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01D79FC2-A2DA-4C2A-B55D-042AA1D7B008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</calcChain>
</file>

<file path=xl/sharedStrings.xml><?xml version="1.0" encoding="utf-8"?>
<sst xmlns="http://schemas.openxmlformats.org/spreadsheetml/2006/main" count="14222" uniqueCount="69">
  <si>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</si>
  <si>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</si>
  <si>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</si>
  <si>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</si>
  <si>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</si>
  <si>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</si>
  <si>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</si>
  <si>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</si>
  <si>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</si>
  <si>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</si>
  <si>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</si>
  <si>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</si>
  <si>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</si>
  <si>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</si>
  <si>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</si>
  <si>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</si>
  <si>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</si>
  <si>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</si>
  <si>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</si>
  <si>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</si>
  <si>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</si>
  <si>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</si>
  <si>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</si>
  <si>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</si>
  <si>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</si>
  <si>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</si>
  <si>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</si>
  <si>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</si>
  <si>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</si>
  <si>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</si>
  <si>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</si>
  <si>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</si>
  <si>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</si>
  <si>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</si>
  <si>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</si>
  <si>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</si>
  <si>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</si>
  <si>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</si>
  <si>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</si>
  <si>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</si>
  <si>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</si>
  <si>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mcp_road_part_02</t>
  </si>
  <si>
    <t>Kooper</t>
  </si>
  <si>
    <t>Plane_01</t>
  </si>
  <si>
    <t>mcp_roads_turn_01 (1)</t>
  </si>
  <si>
    <t>Building 07 (16)</t>
  </si>
  <si>
    <t>mcp_roads_T_cross_01</t>
  </si>
  <si>
    <t>mcp_road_part_01</t>
  </si>
  <si>
    <t>Building 15 (33)</t>
  </si>
  <si>
    <t>mcp_roads_cross_01</t>
  </si>
  <si>
    <t>Building 11 (3)</t>
  </si>
  <si>
    <t>Building 07 (18)</t>
  </si>
  <si>
    <t>Building 24</t>
  </si>
  <si>
    <t>FAR</t>
  </si>
  <si>
    <t>Bannar 14 (1)</t>
  </si>
  <si>
    <t>mcp_roads_cross_02</t>
  </si>
  <si>
    <t>mcp_roads_turn_01</t>
  </si>
  <si>
    <t>mcp_road_part_02 (1)</t>
  </si>
  <si>
    <t>mcp_road_part_02 (3)</t>
  </si>
  <si>
    <t>Shurbs (1)</t>
  </si>
  <si>
    <t>Shurbs (2)</t>
  </si>
  <si>
    <t>Building 07 (15)</t>
  </si>
  <si>
    <t>mcp_road_part_02 (9)</t>
  </si>
  <si>
    <t>mcp_road_part_02 (8)</t>
  </si>
  <si>
    <t>mcp_road_part_02 (10)</t>
  </si>
  <si>
    <t>mcp_road_part_02 (12)</t>
  </si>
  <si>
    <t>mcp_road_part_02 (11)</t>
  </si>
  <si>
    <t>Building 15 (22)</t>
  </si>
  <si>
    <t>Box001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</si>
</sst>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092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"20190303162210077"</f>
        <v>20190303162210077</v>
      </c>
      <c r="B2" t="str">
        <f>"1551601330064020"</f>
        <v>1551601330064020</v>
      </c>
      <c r="C2" t="s">
        <v>40</v>
      </c>
      <c r="D2">
        <v>5.5828439999999997</v>
      </c>
      <c r="E2">
        <v>0.48773670000000002</v>
      </c>
      <c r="F2" t="s">
        <v>41</v>
      </c>
      <c r="G2">
        <v>-461.8458</v>
      </c>
      <c r="H2" s="1">
        <v>-3.924637E-6</v>
      </c>
      <c r="I2">
        <v>367.11200000000002</v>
      </c>
      <c r="J2">
        <v>-475.66660000000002</v>
      </c>
      <c r="K2">
        <v>1.1200410000000001</v>
      </c>
      <c r="L2">
        <v>367.06880000000001</v>
      </c>
      <c r="M2">
        <v>0.99996649999999998</v>
      </c>
      <c r="N2">
        <v>-8.1905280000000007E-3</v>
      </c>
      <c r="O2" s="1">
        <v>-4.6650850000000001E-5</v>
      </c>
      <c r="P2">
        <v>0.99180480000000004</v>
      </c>
      <c r="Q2">
        <v>0.1246801</v>
      </c>
      <c r="R2">
        <v>-2.789494E-2</v>
      </c>
      <c r="S2">
        <v>3.0555729999999999</v>
      </c>
      <c r="T2">
        <v>-0.2474819</v>
      </c>
      <c r="U2">
        <v>9.5825200000000006E-3</v>
      </c>
      <c r="V2">
        <v>2.785118E-2</v>
      </c>
      <c r="W2">
        <v>0.1327989</v>
      </c>
      <c r="X2">
        <v>0.99075159999999995</v>
      </c>
      <c r="Y2">
        <v>-3.1711550000000002E-3</v>
      </c>
      <c r="Z2">
        <v>1.446125E-4</v>
      </c>
      <c r="AA2">
        <v>0.99999490000000002</v>
      </c>
      <c r="AB2">
        <v>1</v>
      </c>
      <c r="AC2">
        <v>13.8208</v>
      </c>
      <c r="AD2">
        <v>-1.1200449246369999</v>
      </c>
      <c r="AE2">
        <v>4.31999999999561E-2</v>
      </c>
      <c r="AF2">
        <v>-4.3558701717491197E-2</v>
      </c>
      <c r="AG2">
        <v>-1.1200449246369999</v>
      </c>
      <c r="AH2">
        <v>13.7306220685337</v>
      </c>
      <c r="AI2">
        <v>94.663426860049199</v>
      </c>
      <c r="AJ2">
        <v>90.181763170288704</v>
      </c>
      <c r="AK2">
        <v>13.776297774895999</v>
      </c>
      <c r="AL2">
        <v>82.368639743810206</v>
      </c>
      <c r="AM2">
        <v>88.389773051271206</v>
      </c>
      <c r="AN2">
        <v>0.99999998448558103</v>
      </c>
    </row>
    <row r="3" spans="1:40" x14ac:dyDescent="0.25">
      <c r="A3" t="str">
        <f>"20190303162210097"</f>
        <v>20190303162210097</v>
      </c>
      <c r="B3" t="str">
        <f>"1551601330084517"</f>
        <v>1551601330084517</v>
      </c>
      <c r="C3" t="s">
        <v>40</v>
      </c>
      <c r="D3">
        <v>5.5250110000000001</v>
      </c>
      <c r="E3">
        <v>0.48775859999999899</v>
      </c>
      <c r="F3" t="s">
        <v>41</v>
      </c>
      <c r="G3">
        <v>-461.6696</v>
      </c>
      <c r="H3" s="1">
        <v>-4.0007620000000001E-6</v>
      </c>
      <c r="I3">
        <v>367.10910000000001</v>
      </c>
      <c r="J3">
        <v>-475.65949999999998</v>
      </c>
      <c r="K3">
        <v>1.1201970000000001</v>
      </c>
      <c r="L3">
        <v>367.06880000000001</v>
      </c>
      <c r="M3">
        <v>0.99996549999999995</v>
      </c>
      <c r="N3">
        <v>-8.3210049999999994E-3</v>
      </c>
      <c r="O3" s="1">
        <v>-3.7447899999999998E-5</v>
      </c>
      <c r="P3">
        <v>0.99189769999999999</v>
      </c>
      <c r="Q3">
        <v>0.1238905</v>
      </c>
      <c r="R3">
        <v>-2.811715E-2</v>
      </c>
      <c r="S3">
        <v>3.0557859999999999</v>
      </c>
      <c r="T3">
        <v>-0.2445235</v>
      </c>
      <c r="U3">
        <v>8.8195800000000005E-3</v>
      </c>
      <c r="V3">
        <v>2.808335E-2</v>
      </c>
      <c r="W3">
        <v>0.13213859999999999</v>
      </c>
      <c r="X3">
        <v>0.99083330000000003</v>
      </c>
      <c r="Y3">
        <v>-2.9132469999999999E-3</v>
      </c>
      <c r="Z3">
        <v>1.3119529999999999E-4</v>
      </c>
      <c r="AA3">
        <v>0.99999579999999999</v>
      </c>
      <c r="AB3">
        <v>1</v>
      </c>
      <c r="AC3">
        <v>13.989899999999899</v>
      </c>
      <c r="AD3">
        <v>-1.12020100076199</v>
      </c>
      <c r="AE3">
        <v>4.0300000000002001E-2</v>
      </c>
      <c r="AF3">
        <v>-4.0563835723968301E-2</v>
      </c>
      <c r="AG3">
        <v>-1.12020100076199</v>
      </c>
      <c r="AH3">
        <v>13.9007737844011</v>
      </c>
      <c r="AI3">
        <v>94.607234317187405</v>
      </c>
      <c r="AJ3">
        <v>90.167194289110498</v>
      </c>
      <c r="AK3">
        <v>13.945895722827199</v>
      </c>
      <c r="AL3">
        <v>82.406808307364003</v>
      </c>
      <c r="AM3">
        <v>88.376491013690895</v>
      </c>
      <c r="AN3">
        <v>0.99999995627303495</v>
      </c>
    </row>
    <row r="4" spans="1:40" x14ac:dyDescent="0.25">
      <c r="A4" t="str">
        <f>"20190303162210119"</f>
        <v>20190303162210119</v>
      </c>
      <c r="B4" t="str">
        <f>"1551601330113797"</f>
        <v>1551601330113797</v>
      </c>
      <c r="C4" t="s">
        <v>40</v>
      </c>
      <c r="D4">
        <v>5.6467700000000001</v>
      </c>
      <c r="E4">
        <v>0.48777510000000002</v>
      </c>
      <c r="F4" t="s">
        <v>41</v>
      </c>
      <c r="G4">
        <v>-461.79160000000002</v>
      </c>
      <c r="H4" s="1">
        <v>-3.9490230000000002E-6</v>
      </c>
      <c r="I4">
        <v>367.10570000000001</v>
      </c>
      <c r="J4">
        <v>-475.649</v>
      </c>
      <c r="K4">
        <v>1.1202000000000001</v>
      </c>
      <c r="L4">
        <v>367.06880000000001</v>
      </c>
      <c r="M4">
        <v>0.99996830000000003</v>
      </c>
      <c r="N4">
        <v>-7.9682469999999995E-3</v>
      </c>
      <c r="O4" s="1">
        <v>-2.6127919999999999E-5</v>
      </c>
      <c r="P4">
        <v>0.99183639999999995</v>
      </c>
      <c r="Q4">
        <v>0.124316</v>
      </c>
      <c r="R4">
        <v>-2.8395299999999998E-2</v>
      </c>
      <c r="S4">
        <v>3.0556030000000001</v>
      </c>
      <c r="T4">
        <v>-0.24681990000000001</v>
      </c>
      <c r="U4">
        <v>8.1481929999999998E-3</v>
      </c>
      <c r="V4">
        <v>2.837344E-2</v>
      </c>
      <c r="W4">
        <v>0.13221429999999901</v>
      </c>
      <c r="X4">
        <v>0.990815</v>
      </c>
      <c r="Y4">
        <v>-2.6830859999999999E-3</v>
      </c>
      <c r="Z4">
        <v>1.207966E-4</v>
      </c>
      <c r="AA4">
        <v>0.99999640000000001</v>
      </c>
      <c r="AB4">
        <v>1</v>
      </c>
      <c r="AC4">
        <v>13.857399999999901</v>
      </c>
      <c r="AD4">
        <v>-1.120203949023</v>
      </c>
      <c r="AE4">
        <v>3.6900000000002799E-2</v>
      </c>
      <c r="AF4">
        <v>-3.7020159774805203E-2</v>
      </c>
      <c r="AG4">
        <v>-1.120203949023</v>
      </c>
      <c r="AH4">
        <v>13.767432583744499</v>
      </c>
      <c r="AI4">
        <v>94.651676867509707</v>
      </c>
      <c r="AJ4">
        <v>90.154066038594095</v>
      </c>
      <c r="AK4">
        <v>13.8129803926447</v>
      </c>
      <c r="AL4">
        <v>82.402433102587807</v>
      </c>
      <c r="AM4">
        <v>88.359699638042301</v>
      </c>
      <c r="AN4">
        <v>1.0000000187234599</v>
      </c>
    </row>
    <row r="5" spans="1:40" x14ac:dyDescent="0.25">
      <c r="A5" t="str">
        <f>"20190303162210143"</f>
        <v>20190303162210143</v>
      </c>
      <c r="B5" t="str">
        <f>"1551601330134293"</f>
        <v>1551601330134293</v>
      </c>
      <c r="C5" t="s">
        <v>40</v>
      </c>
      <c r="D5">
        <v>5.4092039999999999</v>
      </c>
      <c r="E5">
        <v>0.48775780000000002</v>
      </c>
      <c r="F5" t="s">
        <v>41</v>
      </c>
      <c r="G5">
        <v>-461.70699999999999</v>
      </c>
      <c r="H5" s="1">
        <v>-3.9858610000000002E-6</v>
      </c>
      <c r="I5">
        <v>367.10250000000002</v>
      </c>
      <c r="J5">
        <v>-475.63380000000001</v>
      </c>
      <c r="K5">
        <v>1.11996299999999</v>
      </c>
      <c r="L5">
        <v>367.06880000000001</v>
      </c>
      <c r="M5">
        <v>0.99997720000000001</v>
      </c>
      <c r="N5">
        <v>-6.7570769999999898E-3</v>
      </c>
      <c r="O5" s="1">
        <v>-7.2840459999999899E-6</v>
      </c>
      <c r="P5">
        <v>0.991649</v>
      </c>
      <c r="Q5">
        <v>0.1257394</v>
      </c>
      <c r="R5">
        <v>-2.867312E-2</v>
      </c>
      <c r="S5">
        <v>3.055634</v>
      </c>
      <c r="T5">
        <v>-0.2455109</v>
      </c>
      <c r="U5">
        <v>7.4157709999999998E-3</v>
      </c>
      <c r="V5">
        <v>2.8669799999999999E-2</v>
      </c>
      <c r="W5">
        <v>0.13243640000000001</v>
      </c>
      <c r="X5">
        <v>0.99077680000000001</v>
      </c>
      <c r="Y5">
        <v>-2.4256989999999999E-3</v>
      </c>
      <c r="Z5">
        <v>1.060368E-4</v>
      </c>
      <c r="AA5">
        <v>0.99999709999999997</v>
      </c>
      <c r="AB5">
        <v>1</v>
      </c>
      <c r="AC5">
        <v>13.9268</v>
      </c>
      <c r="AD5">
        <v>-1.11996698586099</v>
      </c>
      <c r="AE5">
        <v>3.3700000000010201E-2</v>
      </c>
      <c r="AF5">
        <v>-3.3584255205220799E-2</v>
      </c>
      <c r="AG5">
        <v>-1.11996698586099</v>
      </c>
      <c r="AH5">
        <v>13.837313362343099</v>
      </c>
      <c r="AI5">
        <v>94.627315717557096</v>
      </c>
      <c r="AJ5">
        <v>90.139061120652499</v>
      </c>
      <c r="AK5">
        <v>13.882604043885101</v>
      </c>
      <c r="AL5">
        <v>82.389594766544803</v>
      </c>
      <c r="AM5">
        <v>88.342512373938703</v>
      </c>
      <c r="AN5">
        <v>1.00000001244762</v>
      </c>
    </row>
    <row r="6" spans="1:40" x14ac:dyDescent="0.25">
      <c r="A6" t="str">
        <f>"20190303162210166"</f>
        <v>20190303162210166</v>
      </c>
      <c r="B6" t="str">
        <f>"1551601330153813"</f>
        <v>1551601330153813</v>
      </c>
      <c r="C6" t="s">
        <v>40</v>
      </c>
      <c r="D6">
        <v>5.650728</v>
      </c>
      <c r="E6">
        <v>0.48776510000000001</v>
      </c>
      <c r="F6" t="s">
        <v>41</v>
      </c>
      <c r="G6">
        <v>-461.44189999999998</v>
      </c>
      <c r="H6" s="1">
        <v>-4.1001190000000002E-6</v>
      </c>
      <c r="I6">
        <v>367.09960000000001</v>
      </c>
      <c r="J6">
        <v>-475.61540000000002</v>
      </c>
      <c r="K6">
        <v>1.1197919999999999</v>
      </c>
      <c r="L6">
        <v>367.06889999999999</v>
      </c>
      <c r="M6">
        <v>0.99998410000000004</v>
      </c>
      <c r="N6">
        <v>-5.673343E-3</v>
      </c>
      <c r="O6" s="1">
        <v>1.5177170000000001E-5</v>
      </c>
      <c r="P6">
        <v>0.99152839999999998</v>
      </c>
      <c r="Q6">
        <v>0.1265878</v>
      </c>
      <c r="R6">
        <v>-2.9111519999999998E-2</v>
      </c>
      <c r="S6">
        <v>3.0560610000000001</v>
      </c>
      <c r="T6">
        <v>-0.24117</v>
      </c>
      <c r="U6">
        <v>6.6528319999999896E-3</v>
      </c>
      <c r="V6">
        <v>2.913023E-2</v>
      </c>
      <c r="W6">
        <v>0.13220999999999999</v>
      </c>
      <c r="X6">
        <v>0.99079360000000005</v>
      </c>
      <c r="Y6">
        <v>-2.1546069999999998E-3</v>
      </c>
      <c r="Z6" s="1">
        <v>8.9896009999999995E-5</v>
      </c>
      <c r="AA6">
        <v>0.99999769999999999</v>
      </c>
      <c r="AB6">
        <v>1</v>
      </c>
      <c r="AC6">
        <v>14.173500000000001</v>
      </c>
      <c r="AD6">
        <v>-1.119796100119</v>
      </c>
      <c r="AE6">
        <v>3.0700000000024302E-2</v>
      </c>
      <c r="AF6">
        <v>-3.0295777634815699E-2</v>
      </c>
      <c r="AG6">
        <v>-1.119796100119</v>
      </c>
      <c r="AH6">
        <v>14.085578710512999</v>
      </c>
      <c r="AI6">
        <v>94.545414010257403</v>
      </c>
      <c r="AJ6">
        <v>90.1232336671806</v>
      </c>
      <c r="AK6">
        <v>14.130052680370399</v>
      </c>
      <c r="AL6">
        <v>82.4026815599115</v>
      </c>
      <c r="AM6">
        <v>88.315937273639406</v>
      </c>
      <c r="AN6">
        <v>1.0000000061004</v>
      </c>
    </row>
    <row r="7" spans="1:40" x14ac:dyDescent="0.25">
      <c r="A7" t="str">
        <f>"20190303162210187"</f>
        <v>20190303162210187</v>
      </c>
      <c r="B7" t="str">
        <f>"1551601330174308"</f>
        <v>1551601330174308</v>
      </c>
      <c r="C7" t="s">
        <v>40</v>
      </c>
      <c r="D7">
        <v>5.6539380000000001</v>
      </c>
      <c r="E7">
        <v>0.48774489999999998</v>
      </c>
      <c r="F7" t="s">
        <v>41</v>
      </c>
      <c r="G7">
        <v>-461.28559999999999</v>
      </c>
      <c r="H7" s="1">
        <v>-4.1683249999999996E-6</v>
      </c>
      <c r="I7">
        <v>367.09309999999999</v>
      </c>
      <c r="J7">
        <v>-475.60109999999997</v>
      </c>
      <c r="K7">
        <v>1.1200619999999999</v>
      </c>
      <c r="L7">
        <v>367.06889999999999</v>
      </c>
      <c r="M7">
        <v>0.9999808</v>
      </c>
      <c r="N7">
        <v>-6.2129530000000002E-3</v>
      </c>
      <c r="O7" s="1">
        <v>2.7371909999999999E-5</v>
      </c>
      <c r="P7">
        <v>0.99164969999999997</v>
      </c>
      <c r="Q7">
        <v>0.1256555</v>
      </c>
      <c r="R7">
        <v>-2.901513E-2</v>
      </c>
      <c r="S7">
        <v>3.0562740000000002</v>
      </c>
      <c r="T7">
        <v>-0.2388306</v>
      </c>
      <c r="U7">
        <v>5.1879880000000001E-3</v>
      </c>
      <c r="V7">
        <v>2.9046849999999999E-2</v>
      </c>
      <c r="W7">
        <v>0.13181300000000001</v>
      </c>
      <c r="X7">
        <v>0.99084899999999998</v>
      </c>
      <c r="Y7">
        <v>-1.66470299999999E-3</v>
      </c>
      <c r="Z7" s="1">
        <v>6.8158570000000006E-5</v>
      </c>
      <c r="AA7">
        <v>0.99999859999999896</v>
      </c>
      <c r="AB7">
        <v>2</v>
      </c>
      <c r="AC7">
        <v>14.315499999999901</v>
      </c>
      <c r="AD7">
        <v>-1.1200661683249999</v>
      </c>
      <c r="AE7">
        <v>2.42000000000075E-2</v>
      </c>
      <c r="AF7">
        <v>-2.3663289983234598E-2</v>
      </c>
      <c r="AG7">
        <v>-1.1200661683249999</v>
      </c>
      <c r="AH7">
        <v>14.2283984630738</v>
      </c>
      <c r="AI7">
        <v>94.501062047939897</v>
      </c>
      <c r="AJ7">
        <v>90.095288686139895</v>
      </c>
      <c r="AK7">
        <v>14.2724360568447</v>
      </c>
      <c r="AL7">
        <v>82.425629252854307</v>
      </c>
      <c r="AM7">
        <v>88.320848669507797</v>
      </c>
      <c r="AN7">
        <v>1.00000006363245</v>
      </c>
    </row>
    <row r="8" spans="1:40" x14ac:dyDescent="0.25">
      <c r="A8" t="str">
        <f>"20190303162210212"</f>
        <v>20190303162210212</v>
      </c>
      <c r="B8" t="str">
        <f>"1551601330204566"</f>
        <v>1551601330204566</v>
      </c>
      <c r="C8" t="s">
        <v>40</v>
      </c>
      <c r="D8">
        <v>5.6561779999999997</v>
      </c>
      <c r="E8">
        <v>0.48775249999999998</v>
      </c>
      <c r="F8" t="s">
        <v>41</v>
      </c>
      <c r="G8">
        <v>-461.44799999999998</v>
      </c>
      <c r="H8" s="1">
        <v>-4.0984630000000003E-6</v>
      </c>
      <c r="I8">
        <v>367.0942</v>
      </c>
      <c r="J8">
        <v>-475.58940000000001</v>
      </c>
      <c r="K8">
        <v>1.1206</v>
      </c>
      <c r="L8">
        <v>367.06889999999999</v>
      </c>
      <c r="M8">
        <v>0.99996850000000004</v>
      </c>
      <c r="N8">
        <v>-7.9480539999999995E-3</v>
      </c>
      <c r="O8" s="1">
        <v>3.2118210000000001E-5</v>
      </c>
      <c r="P8">
        <v>0.99187760000000003</v>
      </c>
      <c r="Q8">
        <v>0.12388929999999999</v>
      </c>
      <c r="R8">
        <v>-2.8820930000000002E-2</v>
      </c>
      <c r="S8">
        <v>3.0560299999999998</v>
      </c>
      <c r="T8">
        <v>-0.24185090000000001</v>
      </c>
      <c r="U8">
        <v>5.493164E-3</v>
      </c>
      <c r="V8">
        <v>2.8858990000000001E-2</v>
      </c>
      <c r="W8">
        <v>0.13176760000000001</v>
      </c>
      <c r="X8">
        <v>0.99086050000000003</v>
      </c>
      <c r="Y8">
        <v>-1.759388E-3</v>
      </c>
      <c r="Z8" s="1">
        <v>7.4230349999999996E-5</v>
      </c>
      <c r="AA8">
        <v>0.99999850000000001</v>
      </c>
      <c r="AB8">
        <v>2</v>
      </c>
      <c r="AC8">
        <v>14.1413999999999</v>
      </c>
      <c r="AD8">
        <v>-1.1206040984629999</v>
      </c>
      <c r="AE8">
        <v>2.5300000000015602E-2</v>
      </c>
      <c r="AF8">
        <v>-2.46907461317314E-2</v>
      </c>
      <c r="AG8">
        <v>-1.1206040984629999</v>
      </c>
      <c r="AH8">
        <v>14.053155408910101</v>
      </c>
      <c r="AI8">
        <v>94.559134004559596</v>
      </c>
      <c r="AJ8">
        <v>90.100665939397103</v>
      </c>
      <c r="AK8">
        <v>14.097784936840799</v>
      </c>
      <c r="AL8">
        <v>82.428253159833105</v>
      </c>
      <c r="AM8">
        <v>88.331721746099603</v>
      </c>
      <c r="AN8">
        <v>1.0000000360869099</v>
      </c>
    </row>
    <row r="9" spans="1:40" x14ac:dyDescent="0.25">
      <c r="A9" t="str">
        <f>"20190303162210233"</f>
        <v>20190303162210233</v>
      </c>
      <c r="B9" t="str">
        <f>"1551601330225061"</f>
        <v>1551601330225061</v>
      </c>
      <c r="C9" t="s">
        <v>40</v>
      </c>
      <c r="D9">
        <v>5.837574</v>
      </c>
      <c r="E9">
        <v>0.48774420000000002</v>
      </c>
      <c r="F9" t="s">
        <v>41</v>
      </c>
      <c r="G9">
        <v>-461.75990000000002</v>
      </c>
      <c r="H9" s="1">
        <v>-3.964433E-6</v>
      </c>
      <c r="I9">
        <v>367.09530000000001</v>
      </c>
      <c r="J9">
        <v>-475.57780000000002</v>
      </c>
      <c r="K9">
        <v>1.120789</v>
      </c>
      <c r="L9">
        <v>367.06889999999999</v>
      </c>
      <c r="M9">
        <v>0.99996169999999995</v>
      </c>
      <c r="N9">
        <v>-8.7675189999999997E-3</v>
      </c>
      <c r="O9" s="1">
        <v>3.41979299999999E-5</v>
      </c>
      <c r="P9">
        <v>0.99196810000000002</v>
      </c>
      <c r="Q9">
        <v>0.123208</v>
      </c>
      <c r="R9">
        <v>-2.862524E-2</v>
      </c>
      <c r="S9">
        <v>3.0556640000000002</v>
      </c>
      <c r="T9">
        <v>-0.24760019999999999</v>
      </c>
      <c r="U9">
        <v>5.859375E-3</v>
      </c>
      <c r="V9">
        <v>2.8666000000000001E-2</v>
      </c>
      <c r="W9">
        <v>0.13189899999999999</v>
      </c>
      <c r="X9">
        <v>0.99084859999999997</v>
      </c>
      <c r="Y9">
        <v>-1.876614E-3</v>
      </c>
      <c r="Z9" s="1">
        <v>8.1681059999999997E-5</v>
      </c>
      <c r="AA9">
        <v>0.99999819999999995</v>
      </c>
      <c r="AB9">
        <v>1</v>
      </c>
      <c r="AC9">
        <v>13.8179</v>
      </c>
      <c r="AD9">
        <v>-1.1207929644329999</v>
      </c>
      <c r="AE9">
        <v>2.64000000000237E-2</v>
      </c>
      <c r="AF9">
        <v>-2.57579745535584E-2</v>
      </c>
      <c r="AG9">
        <v>-1.1207929644329999</v>
      </c>
      <c r="AH9">
        <v>13.727586018804001</v>
      </c>
      <c r="AI9">
        <v>94.667570364883204</v>
      </c>
      <c r="AJ9">
        <v>90.107507721802307</v>
      </c>
      <c r="AK9">
        <v>13.7732878517091</v>
      </c>
      <c r="AL9">
        <v>82.420658059179402</v>
      </c>
      <c r="AM9">
        <v>88.342851964762403</v>
      </c>
      <c r="AN9">
        <v>1.00000001693947</v>
      </c>
    </row>
    <row r="10" spans="1:40" x14ac:dyDescent="0.25">
      <c r="A10" t="str">
        <f>"20190303162210289"</f>
        <v>20190303162210289</v>
      </c>
      <c r="B10" t="str">
        <f>"1551601330273861"</f>
        <v>1551601330273861</v>
      </c>
      <c r="C10" t="s">
        <v>40</v>
      </c>
      <c r="D10">
        <v>5.7093059999999998</v>
      </c>
      <c r="E10">
        <v>0.48769859999999998</v>
      </c>
      <c r="F10" t="s">
        <v>41</v>
      </c>
      <c r="G10">
        <v>-461.87139999999999</v>
      </c>
      <c r="H10" s="1">
        <v>-3.9159409999999997E-6</v>
      </c>
      <c r="I10">
        <v>367.0992</v>
      </c>
      <c r="J10">
        <v>-475.53030000000001</v>
      </c>
      <c r="K10">
        <v>1.1200380000000001</v>
      </c>
      <c r="L10">
        <v>367.06889999999999</v>
      </c>
      <c r="M10">
        <v>0.99998030000000004</v>
      </c>
      <c r="N10">
        <v>-6.2882169999999996E-3</v>
      </c>
      <c r="O10" s="1">
        <v>6.9462049999999997E-5</v>
      </c>
      <c r="P10">
        <v>0.99165150000000002</v>
      </c>
      <c r="Q10">
        <v>0.12581580000000001</v>
      </c>
      <c r="R10">
        <v>-2.8248510000000001E-2</v>
      </c>
      <c r="S10">
        <v>3.0555110000000001</v>
      </c>
      <c r="T10">
        <v>-0.24985180000000001</v>
      </c>
      <c r="U10">
        <v>6.7749019999999898E-3</v>
      </c>
      <c r="V10">
        <v>2.8321699999999998E-2</v>
      </c>
      <c r="W10">
        <v>0.1320479</v>
      </c>
      <c r="X10">
        <v>0.99083860000000001</v>
      </c>
      <c r="Y10">
        <v>-2.1403070000000001E-3</v>
      </c>
      <c r="Z10" s="1">
        <v>8.8868619999999898E-5</v>
      </c>
      <c r="AA10">
        <v>0.99999769999999999</v>
      </c>
      <c r="AB10">
        <v>1</v>
      </c>
      <c r="AC10">
        <v>13.658899999999999</v>
      </c>
      <c r="AD10">
        <v>-1.12004191594099</v>
      </c>
      <c r="AE10">
        <v>3.0300000000010999E-2</v>
      </c>
      <c r="AF10">
        <v>-2.9155163447579201E-2</v>
      </c>
      <c r="AG10">
        <v>-1.12004191594099</v>
      </c>
      <c r="AH10">
        <v>13.5676715236556</v>
      </c>
      <c r="AI10">
        <v>94.719184279302794</v>
      </c>
      <c r="AJ10">
        <v>90.123120997029403</v>
      </c>
      <c r="AK10">
        <v>13.6138552398222</v>
      </c>
      <c r="AL10">
        <v>82.412050918610106</v>
      </c>
      <c r="AM10">
        <v>88.362728132377399</v>
      </c>
      <c r="AN10">
        <v>0.999999948917628</v>
      </c>
    </row>
    <row r="11" spans="1:40" x14ac:dyDescent="0.25">
      <c r="A11" t="str">
        <f>"20190303162210309"</f>
        <v>20190303162210309</v>
      </c>
      <c r="B11" t="str">
        <f>"1551601330304116"</f>
        <v>1551601330304116</v>
      </c>
      <c r="C11" t="s">
        <v>40</v>
      </c>
      <c r="D11">
        <v>5.5788140000000004</v>
      </c>
      <c r="E11">
        <v>0.49463299999999999</v>
      </c>
      <c r="F11" t="s">
        <v>41</v>
      </c>
      <c r="G11">
        <v>-461.42200000000003</v>
      </c>
      <c r="H11" s="1">
        <v>-4.1076289999999996E-6</v>
      </c>
      <c r="I11">
        <v>367.1053</v>
      </c>
      <c r="J11">
        <v>-475.50900000000001</v>
      </c>
      <c r="K11">
        <v>1.1199779999999999</v>
      </c>
      <c r="L11">
        <v>367.06889999999999</v>
      </c>
      <c r="M11">
        <v>0.9999827</v>
      </c>
      <c r="N11">
        <v>-5.8771600000000002E-3</v>
      </c>
      <c r="O11" s="1">
        <v>8.8617459999999906E-5</v>
      </c>
      <c r="P11">
        <v>0.991672</v>
      </c>
      <c r="Q11">
        <v>0.1256815</v>
      </c>
      <c r="R11">
        <v>-2.812808E-2</v>
      </c>
      <c r="S11">
        <v>3.056244</v>
      </c>
      <c r="T11">
        <v>-0.2426304</v>
      </c>
      <c r="U11">
        <v>7.9040529999999994E-3</v>
      </c>
      <c r="V11">
        <v>2.8219379999999999E-2</v>
      </c>
      <c r="W11">
        <v>0.1315067</v>
      </c>
      <c r="X11">
        <v>0.99091359999999995</v>
      </c>
      <c r="Y11">
        <v>-2.4893960000000001E-3</v>
      </c>
      <c r="Z11" s="1">
        <v>9.9482890000000002E-5</v>
      </c>
      <c r="AA11">
        <v>0.99999689999999997</v>
      </c>
      <c r="AB11">
        <v>2</v>
      </c>
      <c r="AC11">
        <v>14.087</v>
      </c>
      <c r="AD11">
        <v>-1.119982107629</v>
      </c>
      <c r="AE11">
        <v>3.6400000000014601E-2</v>
      </c>
      <c r="AF11">
        <v>-3.4930828146170302E-2</v>
      </c>
      <c r="AG11">
        <v>-1.119982107629</v>
      </c>
      <c r="AH11">
        <v>13.9985192534949</v>
      </c>
      <c r="AI11">
        <v>94.574316082215802</v>
      </c>
      <c r="AJ11">
        <v>90.1429711841282</v>
      </c>
      <c r="AK11">
        <v>14.0432945342121</v>
      </c>
      <c r="AL11">
        <v>82.443332989154499</v>
      </c>
      <c r="AM11">
        <v>88.368763436386701</v>
      </c>
      <c r="AN11">
        <v>1.00000005410871</v>
      </c>
    </row>
    <row r="12" spans="1:40" x14ac:dyDescent="0.25">
      <c r="A12" t="str">
        <f>"20190303162210332"</f>
        <v>20190303162210332</v>
      </c>
      <c r="B12" t="str">
        <f>"1551601330323636"</f>
        <v>1551601330323636</v>
      </c>
      <c r="C12" t="s">
        <v>40</v>
      </c>
      <c r="D12">
        <v>5.5336970000000001</v>
      </c>
      <c r="E12">
        <v>0.50669569999999997</v>
      </c>
      <c r="F12" t="s">
        <v>42</v>
      </c>
      <c r="G12">
        <v>-474.78859999999997</v>
      </c>
      <c r="H12">
        <v>1.004489</v>
      </c>
      <c r="I12">
        <v>367.0573</v>
      </c>
      <c r="J12">
        <v>-475.48989999999998</v>
      </c>
      <c r="K12">
        <v>1.120312</v>
      </c>
      <c r="L12">
        <v>367.06900000000002</v>
      </c>
      <c r="M12">
        <v>0.99997619999999998</v>
      </c>
      <c r="N12">
        <v>-6.8924679999999997E-3</v>
      </c>
      <c r="O12" s="1">
        <v>9.9477969999999902E-5</v>
      </c>
      <c r="P12">
        <v>0.99182199999999998</v>
      </c>
      <c r="Q12">
        <v>0.1244682</v>
      </c>
      <c r="R12">
        <v>-2.8223709999999999E-2</v>
      </c>
      <c r="S12">
        <v>3.0865170000000002</v>
      </c>
      <c r="T12">
        <v>-0.49489499999999997</v>
      </c>
      <c r="U12">
        <v>-4.9224850000000001E-2</v>
      </c>
      <c r="V12">
        <v>2.8326440000000001E-2</v>
      </c>
      <c r="W12">
        <v>0.13130059999999999</v>
      </c>
      <c r="X12">
        <v>0.99093779999999998</v>
      </c>
      <c r="Y12">
        <v>1.5833630000000001E-2</v>
      </c>
      <c r="Z12">
        <v>-1.3313540000000001E-3</v>
      </c>
      <c r="AA12">
        <v>0.99987380000000003</v>
      </c>
      <c r="AB12">
        <v>2</v>
      </c>
      <c r="AC12">
        <v>0.70130000000000303</v>
      </c>
      <c r="AD12">
        <v>-0.115823</v>
      </c>
      <c r="AE12">
        <v>-1.17000000000189E-2</v>
      </c>
      <c r="AF12">
        <v>1.1457341117626099E-2</v>
      </c>
      <c r="AG12">
        <v>-0.115823</v>
      </c>
      <c r="AH12">
        <v>0.68268309584044196</v>
      </c>
      <c r="AI12">
        <v>99.627697734766102</v>
      </c>
      <c r="AJ12">
        <v>89.0385060481062</v>
      </c>
      <c r="AK12">
        <v>0.69253335467743105</v>
      </c>
      <c r="AL12">
        <v>82.455244368731201</v>
      </c>
      <c r="AM12">
        <v>88.362618103962106</v>
      </c>
      <c r="AN12">
        <v>0.99999997911613603</v>
      </c>
    </row>
    <row r="13" spans="1:40" x14ac:dyDescent="0.25">
      <c r="A13" t="str">
        <f>"20190303162210353"</f>
        <v>20190303162210353</v>
      </c>
      <c r="B13" t="str">
        <f>"1551601330344132"</f>
        <v>1551601330344132</v>
      </c>
      <c r="C13" t="s">
        <v>40</v>
      </c>
      <c r="D13">
        <v>5.5575519999999896</v>
      </c>
      <c r="E13">
        <v>0.50515619999999894</v>
      </c>
      <c r="F13" t="s">
        <v>42</v>
      </c>
      <c r="G13">
        <v>-474.81689999999998</v>
      </c>
      <c r="H13">
        <v>0.91301069999999995</v>
      </c>
      <c r="I13">
        <v>367.03640000000001</v>
      </c>
      <c r="J13">
        <v>-475.47129999999999</v>
      </c>
      <c r="K13">
        <v>1.1204609999999999</v>
      </c>
      <c r="L13">
        <v>367.06900000000002</v>
      </c>
      <c r="M13">
        <v>0.99997199999999997</v>
      </c>
      <c r="N13">
        <v>-7.4868309999999898E-3</v>
      </c>
      <c r="O13">
        <v>1.091223E-4</v>
      </c>
      <c r="P13">
        <v>0.99198739999999996</v>
      </c>
      <c r="Q13">
        <v>0.1231324</v>
      </c>
      <c r="R13">
        <v>-2.8278310000000001E-2</v>
      </c>
      <c r="S13">
        <v>3.141937</v>
      </c>
      <c r="T13">
        <v>-0.96781289999999998</v>
      </c>
      <c r="U13">
        <v>-0.14974979999999999</v>
      </c>
      <c r="V13">
        <v>2.8390769999999999E-2</v>
      </c>
      <c r="W13">
        <v>0.13055459999999999</v>
      </c>
      <c r="X13">
        <v>0.99103459999999999</v>
      </c>
      <c r="Y13">
        <v>4.5550699999999902E-2</v>
      </c>
      <c r="Z13">
        <v>-7.0595179999999999E-3</v>
      </c>
      <c r="AA13">
        <v>0.99893710000000002</v>
      </c>
      <c r="AB13">
        <v>2</v>
      </c>
      <c r="AC13">
        <v>0.65440000000000897</v>
      </c>
      <c r="AD13">
        <v>-0.2074503</v>
      </c>
      <c r="AE13">
        <v>-3.26000000000021E-2</v>
      </c>
      <c r="AF13">
        <v>2.9694654479232099E-2</v>
      </c>
      <c r="AG13">
        <v>-0.2074503</v>
      </c>
      <c r="AH13">
        <v>0.59477308392321104</v>
      </c>
      <c r="AI13">
        <v>109.20604246934499</v>
      </c>
      <c r="AJ13">
        <v>87.141822807474995</v>
      </c>
      <c r="AK13">
        <v>0.63061273443711796</v>
      </c>
      <c r="AL13">
        <v>82.498358750501694</v>
      </c>
      <c r="AM13">
        <v>88.359061810768594</v>
      </c>
      <c r="AN13">
        <v>1.00000005889975</v>
      </c>
    </row>
    <row r="14" spans="1:40" x14ac:dyDescent="0.25">
      <c r="A14" t="str">
        <f>"20190303162210375"</f>
        <v>20190303162210375</v>
      </c>
      <c r="B14" t="str">
        <f>"1551601330363653"</f>
        <v>1551601330363653</v>
      </c>
      <c r="C14" t="s">
        <v>40</v>
      </c>
      <c r="D14">
        <v>5.5896439999999998</v>
      </c>
      <c r="E14">
        <v>0.50448219999999999</v>
      </c>
      <c r="F14" t="s">
        <v>42</v>
      </c>
      <c r="G14">
        <v>-474.80180000000001</v>
      </c>
      <c r="H14">
        <v>0.90270099999999998</v>
      </c>
      <c r="I14">
        <v>367.03919999999999</v>
      </c>
      <c r="J14">
        <v>-475.44830000000002</v>
      </c>
      <c r="K14">
        <v>1.1202219999999901</v>
      </c>
      <c r="L14">
        <v>367.06900000000002</v>
      </c>
      <c r="M14">
        <v>0.99997740000000002</v>
      </c>
      <c r="N14">
        <v>-6.721851E-3</v>
      </c>
      <c r="O14">
        <v>1.2604590000000001E-4</v>
      </c>
      <c r="P14">
        <v>0.99194199999999999</v>
      </c>
      <c r="Q14">
        <v>0.1235058</v>
      </c>
      <c r="R14">
        <v>-2.8242110000000001E-2</v>
      </c>
      <c r="S14">
        <v>3.1474000000000002</v>
      </c>
      <c r="T14">
        <v>-1.0236130000000001</v>
      </c>
      <c r="U14">
        <v>-0.13803099999999999</v>
      </c>
      <c r="V14">
        <v>2.8371110000000001E-2</v>
      </c>
      <c r="W14">
        <v>0.1301698</v>
      </c>
      <c r="X14">
        <v>0.99108569999999996</v>
      </c>
      <c r="Y14">
        <v>4.1738520000000001E-2</v>
      </c>
      <c r="Z14">
        <v>-6.7967569999999996E-3</v>
      </c>
      <c r="AA14">
        <v>0.99910549999999998</v>
      </c>
      <c r="AB14">
        <v>2</v>
      </c>
      <c r="AC14">
        <v>0.64650000000000296</v>
      </c>
      <c r="AD14">
        <v>-0.21752099999999899</v>
      </c>
      <c r="AE14">
        <v>-2.9800000000022898E-2</v>
      </c>
      <c r="AF14">
        <v>2.6848546618142399E-2</v>
      </c>
      <c r="AG14">
        <v>-0.21752099999999899</v>
      </c>
      <c r="AH14">
        <v>0.58087746758733605</v>
      </c>
      <c r="AI14">
        <v>110.50933142169499</v>
      </c>
      <c r="AJ14">
        <v>87.353634045416797</v>
      </c>
      <c r="AK14">
        <v>0.62085011254503497</v>
      </c>
      <c r="AL14">
        <v>82.520595339612001</v>
      </c>
      <c r="AM14">
        <v>88.360282006124805</v>
      </c>
      <c r="AN14">
        <v>0.99999998072957996</v>
      </c>
    </row>
    <row r="15" spans="1:40" x14ac:dyDescent="0.25">
      <c r="A15" t="str">
        <f>"20190303162210398"</f>
        <v>20190303162210398</v>
      </c>
      <c r="B15" t="str">
        <f>"1551601330384149"</f>
        <v>1551601330384149</v>
      </c>
      <c r="C15" t="s">
        <v>40</v>
      </c>
      <c r="D15">
        <v>5.5648920000000004</v>
      </c>
      <c r="E15">
        <v>0.50382139999999997</v>
      </c>
      <c r="F15" t="s">
        <v>42</v>
      </c>
      <c r="G15">
        <v>-474.779</v>
      </c>
      <c r="H15">
        <v>0.90082050000000002</v>
      </c>
      <c r="I15">
        <v>367.04050000000001</v>
      </c>
      <c r="J15">
        <v>-475.41930000000002</v>
      </c>
      <c r="K15">
        <v>1.1199460000000001</v>
      </c>
      <c r="L15">
        <v>367.06900000000002</v>
      </c>
      <c r="M15">
        <v>0.99998379999999998</v>
      </c>
      <c r="N15">
        <v>-5.6909819999999998E-3</v>
      </c>
      <c r="O15">
        <v>1.5084629999999999E-4</v>
      </c>
      <c r="P15">
        <v>0.99187840000000005</v>
      </c>
      <c r="Q15">
        <v>0.1239775</v>
      </c>
      <c r="R15">
        <v>-2.8406689999999998E-2</v>
      </c>
      <c r="S15">
        <v>3.1491090000000002</v>
      </c>
      <c r="T15">
        <v>-1.0322629999999999</v>
      </c>
      <c r="U15">
        <v>-0.132019</v>
      </c>
      <c r="V15">
        <v>2.8560039999999998E-2</v>
      </c>
      <c r="W15">
        <v>0.1296194</v>
      </c>
      <c r="X15">
        <v>0.99115240000000004</v>
      </c>
      <c r="Y15">
        <v>3.9905179999999998E-2</v>
      </c>
      <c r="Z15">
        <v>-6.5348089999999999E-3</v>
      </c>
      <c r="AA15">
        <v>0.99918209999999996</v>
      </c>
      <c r="AB15">
        <v>2</v>
      </c>
      <c r="AC15">
        <v>0.64030000000002396</v>
      </c>
      <c r="AD15">
        <v>-0.219125499999999</v>
      </c>
      <c r="AE15">
        <v>-2.8500000000008099E-2</v>
      </c>
      <c r="AF15">
        <v>2.56038757126727E-2</v>
      </c>
      <c r="AG15">
        <v>-0.219125499999999</v>
      </c>
      <c r="AH15">
        <v>0.57328696992026495</v>
      </c>
      <c r="AI15">
        <v>110.899152230943</v>
      </c>
      <c r="AJ15">
        <v>87.442781924355401</v>
      </c>
      <c r="AK15">
        <v>0.61427151413859205</v>
      </c>
      <c r="AL15">
        <v>82.552400333753795</v>
      </c>
      <c r="AM15">
        <v>88.349479771397199</v>
      </c>
      <c r="AN15">
        <v>0.99999997238345995</v>
      </c>
    </row>
    <row r="16" spans="1:40" x14ac:dyDescent="0.25">
      <c r="A16" t="str">
        <f>"20190303162210422"</f>
        <v>20190303162210422</v>
      </c>
      <c r="B16" t="str">
        <f>"1551601330414405"</f>
        <v>1551601330414405</v>
      </c>
      <c r="C16" t="s">
        <v>40</v>
      </c>
      <c r="D16">
        <v>5.5617640000000002</v>
      </c>
      <c r="E16">
        <v>0.50325880000000001</v>
      </c>
      <c r="F16" t="s">
        <v>42</v>
      </c>
      <c r="G16">
        <v>-474.75349999999997</v>
      </c>
      <c r="H16">
        <v>0.90177790000000002</v>
      </c>
      <c r="I16">
        <v>367.0421</v>
      </c>
      <c r="J16">
        <v>-475.3947</v>
      </c>
      <c r="K16">
        <v>1.120206</v>
      </c>
      <c r="L16">
        <v>367.06909999999999</v>
      </c>
      <c r="M16">
        <v>0.99997939999999996</v>
      </c>
      <c r="N16">
        <v>-6.4385429999999997E-3</v>
      </c>
      <c r="O16">
        <v>1.6929839999999999E-4</v>
      </c>
      <c r="P16">
        <v>0.99196770000000001</v>
      </c>
      <c r="Q16">
        <v>0.123132199999999</v>
      </c>
      <c r="R16">
        <v>-2.896431E-2</v>
      </c>
      <c r="S16">
        <v>3.1499630000000001</v>
      </c>
      <c r="T16">
        <v>-1.0322169999999999</v>
      </c>
      <c r="U16">
        <v>-0.12689210000000001</v>
      </c>
      <c r="V16">
        <v>2.91364E-2</v>
      </c>
      <c r="W16">
        <v>0.1295154</v>
      </c>
      <c r="X16">
        <v>0.99114919999999995</v>
      </c>
      <c r="Y16">
        <v>3.8365959999999998E-2</v>
      </c>
      <c r="Z16">
        <v>-6.3032990000000001E-3</v>
      </c>
      <c r="AA16">
        <v>0.99924389999999996</v>
      </c>
      <c r="AB16">
        <v>3</v>
      </c>
      <c r="AC16">
        <v>0.64120000000002597</v>
      </c>
      <c r="AD16">
        <v>-0.21842809999999999</v>
      </c>
      <c r="AE16">
        <v>-2.6999999999986798E-2</v>
      </c>
      <c r="AF16">
        <v>2.42942918553593E-2</v>
      </c>
      <c r="AG16">
        <v>-0.21842809999999999</v>
      </c>
      <c r="AH16">
        <v>0.574629968190846</v>
      </c>
      <c r="AI16">
        <v>110.795791170182</v>
      </c>
      <c r="AJ16">
        <v>87.579082182570303</v>
      </c>
      <c r="AK16">
        <v>0.61522406310983702</v>
      </c>
      <c r="AL16">
        <v>82.558409602999802</v>
      </c>
      <c r="AM16">
        <v>88.316184762362994</v>
      </c>
      <c r="AN16">
        <v>0.99999995265137798</v>
      </c>
    </row>
    <row r="17" spans="1:40" x14ac:dyDescent="0.25">
      <c r="A17" t="str">
        <f>"20190303162210445"</f>
        <v>20190303162210445</v>
      </c>
      <c r="B17" t="str">
        <f>"1551601330433925"</f>
        <v>1551601330433925</v>
      </c>
      <c r="C17" t="s">
        <v>40</v>
      </c>
      <c r="D17">
        <v>5.5847949999999997</v>
      </c>
      <c r="E17">
        <v>0.50329709999999905</v>
      </c>
      <c r="F17" t="s">
        <v>42</v>
      </c>
      <c r="G17">
        <v>-474.73219999999998</v>
      </c>
      <c r="H17">
        <v>0.90265770000000001</v>
      </c>
      <c r="I17">
        <v>367.0428</v>
      </c>
      <c r="J17">
        <v>-475.3741</v>
      </c>
      <c r="K17">
        <v>1.1207100000000001</v>
      </c>
      <c r="L17">
        <v>367.06909999999999</v>
      </c>
      <c r="M17">
        <v>0.99996549999999995</v>
      </c>
      <c r="N17">
        <v>-8.3156730000000009E-3</v>
      </c>
      <c r="O17">
        <v>1.8066499999999999E-4</v>
      </c>
      <c r="P17">
        <v>0.99222509999999997</v>
      </c>
      <c r="Q17">
        <v>0.120961</v>
      </c>
      <c r="R17">
        <v>-2.9294250000000001E-2</v>
      </c>
      <c r="S17">
        <v>3.1490480000000001</v>
      </c>
      <c r="T17">
        <v>-1.034224</v>
      </c>
      <c r="U17">
        <v>-0.12362670000000001</v>
      </c>
      <c r="V17">
        <v>2.94787E-2</v>
      </c>
      <c r="W17">
        <v>0.12920670000000001</v>
      </c>
      <c r="X17">
        <v>0.99117940000000004</v>
      </c>
      <c r="Y17">
        <v>3.7385689999999999E-2</v>
      </c>
      <c r="Z17">
        <v>-6.1957890000000002E-3</v>
      </c>
      <c r="AA17">
        <v>0.99928170000000005</v>
      </c>
      <c r="AB17">
        <v>3</v>
      </c>
      <c r="AC17">
        <v>0.64190000000002101</v>
      </c>
      <c r="AD17">
        <v>-0.2180523</v>
      </c>
      <c r="AE17">
        <v>-2.6299999999992E-2</v>
      </c>
      <c r="AF17">
        <v>2.3687174334172501E-2</v>
      </c>
      <c r="AG17">
        <v>-0.2180523</v>
      </c>
      <c r="AH17">
        <v>0.57558677584287599</v>
      </c>
      <c r="AI17">
        <v>110.73237657681101</v>
      </c>
      <c r="AJ17">
        <v>87.643431377587206</v>
      </c>
      <c r="AK17">
        <v>0.61596105744472596</v>
      </c>
      <c r="AL17">
        <v>82.576246920373606</v>
      </c>
      <c r="AM17">
        <v>88.296466443634202</v>
      </c>
      <c r="AN17">
        <v>0.99999998403146995</v>
      </c>
    </row>
    <row r="18" spans="1:40" x14ac:dyDescent="0.25">
      <c r="A18" t="str">
        <f>"20190303162210468"</f>
        <v>20190303162210468</v>
      </c>
      <c r="B18" t="str">
        <f>"1551601330454421"</f>
        <v>1551601330454421</v>
      </c>
      <c r="C18" t="s">
        <v>40</v>
      </c>
      <c r="D18">
        <v>5.5566529999999998</v>
      </c>
      <c r="E18">
        <v>0.50335659999999904</v>
      </c>
      <c r="F18" t="s">
        <v>42</v>
      </c>
      <c r="G18">
        <v>-474.6961</v>
      </c>
      <c r="H18">
        <v>0.8965263</v>
      </c>
      <c r="I18">
        <v>367.04169999999999</v>
      </c>
      <c r="J18">
        <v>-475.3485</v>
      </c>
      <c r="K18">
        <v>1.1205480000000001</v>
      </c>
      <c r="L18">
        <v>367.06909999999999</v>
      </c>
      <c r="M18">
        <v>0.99996770000000001</v>
      </c>
      <c r="N18">
        <v>-8.0423749999999992E-3</v>
      </c>
      <c r="O18">
        <v>1.9730069999999999E-4</v>
      </c>
      <c r="P18">
        <v>0.99226840000000005</v>
      </c>
      <c r="Q18">
        <v>0.1204205</v>
      </c>
      <c r="R18">
        <v>-3.0041450000000001E-2</v>
      </c>
      <c r="S18">
        <v>3.1466370000000001</v>
      </c>
      <c r="T18">
        <v>-1.040367</v>
      </c>
      <c r="U18">
        <v>-0.1247253</v>
      </c>
      <c r="V18">
        <v>3.0241879999999999E-2</v>
      </c>
      <c r="W18">
        <v>0.1283957</v>
      </c>
      <c r="X18">
        <v>0.99126179999999997</v>
      </c>
      <c r="Y18">
        <v>3.7736239999999997E-2</v>
      </c>
      <c r="Z18">
        <v>-6.2921749999999997E-3</v>
      </c>
      <c r="AA18">
        <v>0.99926789999999999</v>
      </c>
      <c r="AB18">
        <v>2</v>
      </c>
      <c r="AC18">
        <v>0.65239999999999998</v>
      </c>
      <c r="AD18">
        <v>-0.22402169999999899</v>
      </c>
      <c r="AE18">
        <v>-2.7400000000000001E-2</v>
      </c>
      <c r="AF18">
        <v>2.4629733338978999E-2</v>
      </c>
      <c r="AG18">
        <v>-0.22402169999999899</v>
      </c>
      <c r="AH18">
        <v>0.58369234193230102</v>
      </c>
      <c r="AI18">
        <v>110.97980889673001</v>
      </c>
      <c r="AJ18">
        <v>87.583756013641704</v>
      </c>
      <c r="AK18">
        <v>0.62569089482399698</v>
      </c>
      <c r="AL18">
        <v>82.623104155842697</v>
      </c>
      <c r="AM18">
        <v>88.252535506971498</v>
      </c>
      <c r="AN18">
        <v>0.99999999161183195</v>
      </c>
    </row>
    <row r="19" spans="1:40" x14ac:dyDescent="0.25">
      <c r="A19" t="str">
        <f>"20190303162210488"</f>
        <v>20190303162210488</v>
      </c>
      <c r="B19" t="str">
        <f>"1551601330483701"</f>
        <v>1551601330483701</v>
      </c>
      <c r="C19" t="s">
        <v>40</v>
      </c>
      <c r="D19">
        <v>5.5957119999999998</v>
      </c>
      <c r="E19">
        <v>0.50288940000000004</v>
      </c>
      <c r="F19" t="s">
        <v>42</v>
      </c>
      <c r="G19">
        <v>-474.6705</v>
      </c>
      <c r="H19">
        <v>0.89629319999999901</v>
      </c>
      <c r="I19">
        <v>367.04129999999998</v>
      </c>
      <c r="J19">
        <v>-475.32170000000002</v>
      </c>
      <c r="K19">
        <v>1.120244</v>
      </c>
      <c r="L19">
        <v>367.06920000000002</v>
      </c>
      <c r="M19">
        <v>0.99997449999999999</v>
      </c>
      <c r="N19">
        <v>-7.1406589999999997E-3</v>
      </c>
      <c r="O19">
        <v>2.1691599999999999E-4</v>
      </c>
      <c r="P19">
        <v>0.99213739999999995</v>
      </c>
      <c r="Q19">
        <v>0.12138409999999999</v>
      </c>
      <c r="R19">
        <v>-3.048783E-2</v>
      </c>
      <c r="S19">
        <v>3.145721</v>
      </c>
      <c r="T19">
        <v>-1.0403560000000001</v>
      </c>
      <c r="U19">
        <v>-0.12728879999999901</v>
      </c>
      <c r="V19">
        <v>3.070705E-2</v>
      </c>
      <c r="W19">
        <v>0.1284642</v>
      </c>
      <c r="X19">
        <v>0.99123870000000003</v>
      </c>
      <c r="Y19">
        <v>3.8540289999999998E-2</v>
      </c>
      <c r="Z19">
        <v>-6.4149999999999997E-3</v>
      </c>
      <c r="AA19">
        <v>0.99923649999999997</v>
      </c>
      <c r="AB19">
        <v>2</v>
      </c>
      <c r="AC19">
        <v>0.65120000000001699</v>
      </c>
      <c r="AD19">
        <v>-0.22395080000000001</v>
      </c>
      <c r="AE19">
        <v>-2.7900000000045101E-2</v>
      </c>
      <c r="AF19">
        <v>2.5080419668066699E-2</v>
      </c>
      <c r="AG19">
        <v>-0.22395080000000001</v>
      </c>
      <c r="AH19">
        <v>0.58243523669345298</v>
      </c>
      <c r="AI19">
        <v>111.01436118299399</v>
      </c>
      <c r="AJ19">
        <v>87.534292411653595</v>
      </c>
      <c r="AK19">
        <v>0.62451084315128202</v>
      </c>
      <c r="AL19">
        <v>82.619147180364493</v>
      </c>
      <c r="AM19">
        <v>88.225632349142998</v>
      </c>
      <c r="AN19">
        <v>1.0000000669895099</v>
      </c>
    </row>
    <row r="20" spans="1:40" x14ac:dyDescent="0.25">
      <c r="A20" t="str">
        <f>"20190303162210511"</f>
        <v>20190303162210511</v>
      </c>
      <c r="B20" t="str">
        <f>"1551601330504197"</f>
        <v>1551601330504197</v>
      </c>
      <c r="C20" t="s">
        <v>40</v>
      </c>
      <c r="D20">
        <v>5.5504989999999896</v>
      </c>
      <c r="E20">
        <v>0.49267270000000002</v>
      </c>
      <c r="F20" t="s">
        <v>42</v>
      </c>
      <c r="G20">
        <v>-474.64350000000002</v>
      </c>
      <c r="H20">
        <v>0.89817440000000004</v>
      </c>
      <c r="I20">
        <v>367.04140000000001</v>
      </c>
      <c r="J20">
        <v>-475.29410000000001</v>
      </c>
      <c r="K20">
        <v>1.120261</v>
      </c>
      <c r="L20">
        <v>367.06920000000002</v>
      </c>
      <c r="M20">
        <v>0.99997400000000003</v>
      </c>
      <c r="N20">
        <v>-7.201463E-3</v>
      </c>
      <c r="O20">
        <v>2.352977E-4</v>
      </c>
      <c r="P20">
        <v>0.9921411</v>
      </c>
      <c r="Q20">
        <v>0.1214137</v>
      </c>
      <c r="R20">
        <v>-3.0241690000000002E-2</v>
      </c>
      <c r="S20">
        <v>3.1459350000000001</v>
      </c>
      <c r="T20">
        <v>-1.0300990000000001</v>
      </c>
      <c r="U20">
        <v>-0.1256409</v>
      </c>
      <c r="V20">
        <v>3.04789E-2</v>
      </c>
      <c r="W20">
        <v>0.12855459999999999</v>
      </c>
      <c r="X20">
        <v>0.9912339</v>
      </c>
      <c r="Y20">
        <v>3.8095860000000002E-2</v>
      </c>
      <c r="Z20">
        <v>-6.2902059999999996E-3</v>
      </c>
      <c r="AA20">
        <v>0.99925430000000004</v>
      </c>
      <c r="AB20">
        <v>3</v>
      </c>
      <c r="AC20">
        <v>0.65059999999999696</v>
      </c>
      <c r="AD20">
        <v>-0.222086599999999</v>
      </c>
      <c r="AE20">
        <v>-2.78000000000133E-2</v>
      </c>
      <c r="AF20">
        <v>2.5040570151555301E-2</v>
      </c>
      <c r="AG20">
        <v>-0.222086599999999</v>
      </c>
      <c r="AH20">
        <v>0.58280611974295804</v>
      </c>
      <c r="AI20">
        <v>110.842482103797</v>
      </c>
      <c r="AJ20">
        <v>87.539769974017801</v>
      </c>
      <c r="AK20">
        <v>0.62418944340874405</v>
      </c>
      <c r="AL20">
        <v>82.613923441165198</v>
      </c>
      <c r="AM20">
        <v>88.238798848500906</v>
      </c>
      <c r="AN20">
        <v>0.99999994651778801</v>
      </c>
    </row>
    <row r="21" spans="1:40" x14ac:dyDescent="0.25">
      <c r="A21" t="str">
        <f>"20190303162210532"</f>
        <v>20190303162210532</v>
      </c>
      <c r="B21" t="str">
        <f>"1551601330524693"</f>
        <v>1551601330524693</v>
      </c>
      <c r="C21" t="s">
        <v>40</v>
      </c>
      <c r="D21">
        <v>5.8547359999999999</v>
      </c>
      <c r="E21">
        <v>0.48575859999999899</v>
      </c>
      <c r="F21" t="s">
        <v>42</v>
      </c>
      <c r="G21">
        <v>-474.59519999999998</v>
      </c>
      <c r="H21">
        <v>0.95514569999999999</v>
      </c>
      <c r="I21">
        <v>367.05990000000003</v>
      </c>
      <c r="J21">
        <v>-475.27170000000001</v>
      </c>
      <c r="K21">
        <v>1.1206769999999999</v>
      </c>
      <c r="L21">
        <v>367.06920000000002</v>
      </c>
      <c r="M21">
        <v>0.99996169999999995</v>
      </c>
      <c r="N21">
        <v>-8.7552310000000005E-3</v>
      </c>
      <c r="O21">
        <v>2.467452E-4</v>
      </c>
      <c r="P21">
        <v>0.99232989999999999</v>
      </c>
      <c r="Q21">
        <v>0.11992510000000001</v>
      </c>
      <c r="R21">
        <v>-2.9992399999999999E-2</v>
      </c>
      <c r="S21">
        <v>3.112549</v>
      </c>
      <c r="T21">
        <v>-0.7354965</v>
      </c>
      <c r="U21">
        <v>-4.0710450000000002E-2</v>
      </c>
      <c r="V21">
        <v>3.0242020000000001E-2</v>
      </c>
      <c r="W21">
        <v>0.12860759999999999</v>
      </c>
      <c r="X21">
        <v>0.99123439999999996</v>
      </c>
      <c r="Y21">
        <v>1.2948650000000001E-2</v>
      </c>
      <c r="Z21">
        <v>-1.6219089999999999E-3</v>
      </c>
      <c r="AA21">
        <v>0.99991479999999999</v>
      </c>
      <c r="AB21">
        <v>3</v>
      </c>
      <c r="AC21">
        <v>0.67650000000003196</v>
      </c>
      <c r="AD21">
        <v>-0.16553129999999999</v>
      </c>
      <c r="AE21">
        <v>-9.2999999999960892E-3</v>
      </c>
      <c r="AF21">
        <v>8.9322382266988094E-3</v>
      </c>
      <c r="AG21">
        <v>-0.16553129999999999</v>
      </c>
      <c r="AH21">
        <v>0.63828917802430696</v>
      </c>
      <c r="AI21">
        <v>104.537206710521</v>
      </c>
      <c r="AJ21">
        <v>89.198253447210305</v>
      </c>
      <c r="AK21">
        <v>0.65946453349848499</v>
      </c>
      <c r="AL21">
        <v>82.610862227689097</v>
      </c>
      <c r="AM21">
        <v>88.252479148163701</v>
      </c>
      <c r="AN21">
        <v>1.0000000651473899</v>
      </c>
    </row>
    <row r="22" spans="1:40" x14ac:dyDescent="0.25">
      <c r="A22" t="str">
        <f>"20190303162210602"</f>
        <v>20190303162210602</v>
      </c>
      <c r="B22" t="str">
        <f>"1551601330593989"</f>
        <v>1551601330593989</v>
      </c>
      <c r="C22" t="s">
        <v>40</v>
      </c>
      <c r="D22">
        <v>5.4362440000000003</v>
      </c>
      <c r="E22">
        <v>0.486958</v>
      </c>
      <c r="F22" t="s">
        <v>42</v>
      </c>
      <c r="G22">
        <v>-474.53649999999999</v>
      </c>
      <c r="H22">
        <v>1.035941</v>
      </c>
      <c r="I22">
        <v>367.07330000000002</v>
      </c>
      <c r="J22">
        <v>-475.1848</v>
      </c>
      <c r="K22">
        <v>1.1200650000000001</v>
      </c>
      <c r="L22">
        <v>367.0693</v>
      </c>
      <c r="M22">
        <v>0.99997290000000005</v>
      </c>
      <c r="N22">
        <v>-7.3517449999999998E-3</v>
      </c>
      <c r="O22">
        <v>3.0735339999999998E-4</v>
      </c>
      <c r="P22">
        <v>0.99236420000000003</v>
      </c>
      <c r="Q22">
        <v>0.12009889999999999</v>
      </c>
      <c r="R22">
        <v>-2.8104670000000002E-2</v>
      </c>
      <c r="S22">
        <v>3.0664669999999998</v>
      </c>
      <c r="T22">
        <v>-0.3536011</v>
      </c>
      <c r="U22">
        <v>1.8096919999999999E-2</v>
      </c>
      <c r="V22">
        <v>2.841314E-2</v>
      </c>
      <c r="W22">
        <v>0.12739030000000001</v>
      </c>
      <c r="X22">
        <v>0.99144560000000004</v>
      </c>
      <c r="Y22">
        <v>-5.5566969999999898E-3</v>
      </c>
      <c r="Z22">
        <v>3.0674309999999998E-4</v>
      </c>
      <c r="AA22">
        <v>0.99998450000000005</v>
      </c>
      <c r="AB22">
        <v>3</v>
      </c>
      <c r="AC22">
        <v>0.64830000000000598</v>
      </c>
      <c r="AD22">
        <v>-8.4123999999999796E-2</v>
      </c>
      <c r="AE22">
        <v>4.0000000000190898E-3</v>
      </c>
      <c r="AF22">
        <v>-3.7378028762754499E-3</v>
      </c>
      <c r="AG22">
        <v>-8.4123999999999796E-2</v>
      </c>
      <c r="AH22">
        <v>0.63756633278491304</v>
      </c>
      <c r="AI22">
        <v>97.5163727123538</v>
      </c>
      <c r="AJ22">
        <v>90.335898972268396</v>
      </c>
      <c r="AK22">
        <v>0.64310313888764703</v>
      </c>
      <c r="AL22">
        <v>82.681186269643604</v>
      </c>
      <c r="AM22">
        <v>88.358449978386702</v>
      </c>
      <c r="AN22">
        <v>0.99999998640905396</v>
      </c>
    </row>
    <row r="23" spans="1:40" x14ac:dyDescent="0.25">
      <c r="A23" t="str">
        <f>"20190303162210624"</f>
        <v>20190303162210624</v>
      </c>
      <c r="B23" t="str">
        <f>"1551601330614485"</f>
        <v>1551601330614485</v>
      </c>
      <c r="C23" t="s">
        <v>40</v>
      </c>
      <c r="D23">
        <v>5.8301879999999997</v>
      </c>
      <c r="E23">
        <v>0.48824319999999999</v>
      </c>
      <c r="F23" t="s">
        <v>42</v>
      </c>
      <c r="G23">
        <v>-474.4581</v>
      </c>
      <c r="H23">
        <v>1.0361049999999901</v>
      </c>
      <c r="I23">
        <v>367.07260000000002</v>
      </c>
      <c r="J23">
        <v>-475.15289999999999</v>
      </c>
      <c r="K23">
        <v>1.119945</v>
      </c>
      <c r="L23">
        <v>367.0693</v>
      </c>
      <c r="M23">
        <v>0.99997720000000001</v>
      </c>
      <c r="N23">
        <v>-6.7469009999999996E-3</v>
      </c>
      <c r="O23">
        <v>3.3383039999999999E-4</v>
      </c>
      <c r="P23">
        <v>0.99234449999999996</v>
      </c>
      <c r="Q23">
        <v>0.1202558</v>
      </c>
      <c r="R23">
        <v>-2.812183E-2</v>
      </c>
      <c r="S23">
        <v>3.0663149999999999</v>
      </c>
      <c r="T23">
        <v>-0.35434189999999999</v>
      </c>
      <c r="U23">
        <v>1.4190670000000001E-2</v>
      </c>
      <c r="V23">
        <v>2.8455930000000001E-2</v>
      </c>
      <c r="W23">
        <v>0.12694759999999999</v>
      </c>
      <c r="X23">
        <v>0.99150119999999997</v>
      </c>
      <c r="Y23">
        <v>-4.2659519999999999E-3</v>
      </c>
      <c r="Z23">
        <v>2.2390490000000001E-4</v>
      </c>
      <c r="AA23">
        <v>0.99999090000000002</v>
      </c>
      <c r="AB23">
        <v>3</v>
      </c>
      <c r="AC23">
        <v>0.69479999999998598</v>
      </c>
      <c r="AD23">
        <v>-8.3840000000000095E-2</v>
      </c>
      <c r="AE23">
        <v>3.30000000002428E-3</v>
      </c>
      <c r="AF23">
        <v>-3.02401828144704E-3</v>
      </c>
      <c r="AG23">
        <v>-8.3840000000000095E-2</v>
      </c>
      <c r="AH23">
        <v>0.68482967317965304</v>
      </c>
      <c r="AI23">
        <v>96.979613913121497</v>
      </c>
      <c r="AJ23">
        <v>90.253000658942796</v>
      </c>
      <c r="AK23">
        <v>0.68994925288307796</v>
      </c>
      <c r="AL23">
        <v>82.706759062373905</v>
      </c>
      <c r="AM23">
        <v>88.356071311127195</v>
      </c>
      <c r="AN23">
        <v>1.00000003134968</v>
      </c>
    </row>
    <row r="24" spans="1:40" x14ac:dyDescent="0.25">
      <c r="A24" t="str">
        <f>"20190303162210647"</f>
        <v>20190303162210647</v>
      </c>
      <c r="B24" t="str">
        <f>"1551601330634005"</f>
        <v>1551601330634005</v>
      </c>
      <c r="C24" t="s">
        <v>40</v>
      </c>
      <c r="D24">
        <v>5.7064979999999998</v>
      </c>
      <c r="E24">
        <v>0.48832100000000001</v>
      </c>
      <c r="F24" t="s">
        <v>42</v>
      </c>
      <c r="G24">
        <v>-474.40449999999998</v>
      </c>
      <c r="H24">
        <v>1.0340499999999999</v>
      </c>
      <c r="I24">
        <v>367.07049999999998</v>
      </c>
      <c r="J24">
        <v>-475.12299999999999</v>
      </c>
      <c r="K24">
        <v>1.120398</v>
      </c>
      <c r="L24">
        <v>367.06939999999997</v>
      </c>
      <c r="M24">
        <v>0.99996660000000004</v>
      </c>
      <c r="N24">
        <v>-8.1653999999999997E-3</v>
      </c>
      <c r="O24">
        <v>3.5210550000000003E-4</v>
      </c>
      <c r="P24">
        <v>0.992506</v>
      </c>
      <c r="Q24">
        <v>0.11884019999999999</v>
      </c>
      <c r="R24">
        <v>-2.8444150000000001E-2</v>
      </c>
      <c r="S24">
        <v>3.0659480000000001</v>
      </c>
      <c r="T24">
        <v>-0.3519311</v>
      </c>
      <c r="U24">
        <v>4.699707E-3</v>
      </c>
      <c r="V24">
        <v>2.879688E-2</v>
      </c>
      <c r="W24">
        <v>0.12694</v>
      </c>
      <c r="X24">
        <v>0.99149229999999999</v>
      </c>
      <c r="Y24">
        <v>-1.1744839999999999E-3</v>
      </c>
      <c r="Z24" s="1">
        <v>3.458061E-5</v>
      </c>
      <c r="AA24">
        <v>0.99999930000000004</v>
      </c>
      <c r="AB24">
        <v>3</v>
      </c>
      <c r="AC24">
        <v>0.71850000000006198</v>
      </c>
      <c r="AD24">
        <v>-8.6347999999999994E-2</v>
      </c>
      <c r="AE24">
        <v>1.1000000000080899E-3</v>
      </c>
      <c r="AF24">
        <v>-8.3494479372730904E-4</v>
      </c>
      <c r="AG24">
        <v>-8.6347999999999994E-2</v>
      </c>
      <c r="AH24">
        <v>0.70827095981356403</v>
      </c>
      <c r="AI24">
        <v>96.950839784251698</v>
      </c>
      <c r="AJ24">
        <v>90.067543063828694</v>
      </c>
      <c r="AK24">
        <v>0.713515540652084</v>
      </c>
      <c r="AL24">
        <v>82.707197849766203</v>
      </c>
      <c r="AM24">
        <v>88.336370353222804</v>
      </c>
      <c r="AN24">
        <v>1.0000000024285101</v>
      </c>
    </row>
    <row r="25" spans="1:40" x14ac:dyDescent="0.25">
      <c r="A25" t="str">
        <f>"20190303162210670"</f>
        <v>20190303162210670</v>
      </c>
      <c r="B25" t="str">
        <f>"1551601330664261"</f>
        <v>1551601330664261</v>
      </c>
      <c r="C25" t="s">
        <v>40</v>
      </c>
      <c r="D25">
        <v>5.7315239999999896</v>
      </c>
      <c r="E25">
        <v>0.48786760000000001</v>
      </c>
      <c r="F25" t="s">
        <v>42</v>
      </c>
      <c r="G25">
        <v>-474.3818</v>
      </c>
      <c r="H25">
        <v>1.0343290000000001</v>
      </c>
      <c r="I25">
        <v>367.06959999999998</v>
      </c>
      <c r="J25">
        <v>-475.09910000000002</v>
      </c>
      <c r="K25">
        <v>1.120927</v>
      </c>
      <c r="L25">
        <v>367.06939999999997</v>
      </c>
      <c r="M25">
        <v>0.99994799999999995</v>
      </c>
      <c r="N25">
        <v>-1.019458E-2</v>
      </c>
      <c r="O25">
        <v>3.6237310000000002E-4</v>
      </c>
      <c r="P25">
        <v>0.99272830000000001</v>
      </c>
      <c r="Q25">
        <v>0.11691989999999899</v>
      </c>
      <c r="R25">
        <v>-2.864564E-2</v>
      </c>
      <c r="S25">
        <v>3.065369</v>
      </c>
      <c r="T25">
        <v>-0.35612179999999999</v>
      </c>
      <c r="U25">
        <v>2.2888180000000002E-3</v>
      </c>
      <c r="V25">
        <v>2.901026E-2</v>
      </c>
      <c r="W25">
        <v>0.12703320000000001</v>
      </c>
      <c r="X25">
        <v>0.99147419999999997</v>
      </c>
      <c r="Y25">
        <v>-3.8349869999999999E-4</v>
      </c>
      <c r="Z25" s="1">
        <v>-1.4110879999999999E-5</v>
      </c>
      <c r="AA25">
        <v>0.99999990000000005</v>
      </c>
      <c r="AB25">
        <v>3</v>
      </c>
      <c r="AC25">
        <v>0.71730000000002203</v>
      </c>
      <c r="AD25">
        <v>-8.6597999999999897E-2</v>
      </c>
      <c r="AE25">
        <v>2.0000000000663901E-4</v>
      </c>
      <c r="AF25" s="1">
        <v>5.9082598058606301E-5</v>
      </c>
      <c r="AG25">
        <v>-8.6597999999999897E-2</v>
      </c>
      <c r="AH25">
        <v>0.70699543720857405</v>
      </c>
      <c r="AI25">
        <v>96.983223553200801</v>
      </c>
      <c r="AJ25">
        <v>89.995211873619795</v>
      </c>
      <c r="AK25">
        <v>0.71227927481325504</v>
      </c>
      <c r="AL25">
        <v>82.7018147166511</v>
      </c>
      <c r="AM25">
        <v>88.324019565920196</v>
      </c>
      <c r="AN25">
        <v>1.0000000591765701</v>
      </c>
    </row>
    <row r="26" spans="1:40" x14ac:dyDescent="0.25">
      <c r="A26" t="str">
        <f>"20190303162210692"</f>
        <v>20190303162210692</v>
      </c>
      <c r="B26" t="str">
        <f>"1551601330683950"</f>
        <v>1551601330683950</v>
      </c>
      <c r="C26" t="s">
        <v>40</v>
      </c>
      <c r="D26">
        <v>5.739198</v>
      </c>
      <c r="E26">
        <v>0.47940290000000002</v>
      </c>
      <c r="F26" t="s">
        <v>42</v>
      </c>
      <c r="G26">
        <v>-474.35950000000003</v>
      </c>
      <c r="H26">
        <v>1.03671</v>
      </c>
      <c r="I26">
        <v>367.07040000000001</v>
      </c>
      <c r="J26">
        <v>-475.07499999999999</v>
      </c>
      <c r="K26">
        <v>1.1211199999999999</v>
      </c>
      <c r="L26">
        <v>367.06950000000001</v>
      </c>
      <c r="M26">
        <v>0.99993600000000005</v>
      </c>
      <c r="N26">
        <v>-1.131356E-2</v>
      </c>
      <c r="O26">
        <v>3.7131540000000002E-4</v>
      </c>
      <c r="P26">
        <v>0.99286540000000001</v>
      </c>
      <c r="Q26">
        <v>0.1156949</v>
      </c>
      <c r="R26">
        <v>-2.8864730000000002E-2</v>
      </c>
      <c r="S26">
        <v>3.0631710000000001</v>
      </c>
      <c r="T26">
        <v>-0.34886070000000002</v>
      </c>
      <c r="U26">
        <v>5.0353999999999998E-3</v>
      </c>
      <c r="V26">
        <v>2.9239000000000001E-2</v>
      </c>
      <c r="W26">
        <v>0.12691920000000001</v>
      </c>
      <c r="X26">
        <v>0.99148199999999997</v>
      </c>
      <c r="Y26">
        <v>-1.265459E-3</v>
      </c>
      <c r="Z26" s="1">
        <v>4.1049079999999897E-5</v>
      </c>
      <c r="AA26">
        <v>0.99999919999999998</v>
      </c>
      <c r="AB26">
        <v>2</v>
      </c>
      <c r="AC26">
        <v>0.71549999999996305</v>
      </c>
      <c r="AD26">
        <v>-8.4410000000000096E-2</v>
      </c>
      <c r="AE26">
        <v>9.0000000000145497E-4</v>
      </c>
      <c r="AF26">
        <v>-6.2559986462594496E-4</v>
      </c>
      <c r="AG26">
        <v>-8.4410000000000096E-2</v>
      </c>
      <c r="AH26">
        <v>0.70567885005922304</v>
      </c>
      <c r="AI26">
        <v>96.821041990172503</v>
      </c>
      <c r="AJ26">
        <v>90.050793958914497</v>
      </c>
      <c r="AK26">
        <v>0.71070956015526998</v>
      </c>
      <c r="AL26">
        <v>82.708399150869496</v>
      </c>
      <c r="AM26">
        <v>88.3108257083193</v>
      </c>
      <c r="AN26">
        <v>0.99999997938681895</v>
      </c>
    </row>
    <row r="27" spans="1:40" x14ac:dyDescent="0.25">
      <c r="A27" t="str">
        <f>"20190303162210734"</f>
        <v>20190303162210734</v>
      </c>
      <c r="B27" t="str">
        <f>"1551601330723966"</f>
        <v>1551601330723966</v>
      </c>
      <c r="C27" t="s">
        <v>40</v>
      </c>
      <c r="D27">
        <v>5.6674249999999997</v>
      </c>
      <c r="E27">
        <v>0.4789506</v>
      </c>
      <c r="F27" t="s">
        <v>41</v>
      </c>
      <c r="G27">
        <v>-452.59690000000001</v>
      </c>
      <c r="H27" s="1">
        <v>-3.51318E-6</v>
      </c>
      <c r="I27">
        <v>367.61520000000002</v>
      </c>
      <c r="J27">
        <v>-475.01479999999998</v>
      </c>
      <c r="K27">
        <v>1.1203080000000001</v>
      </c>
      <c r="L27">
        <v>367.06950000000001</v>
      </c>
      <c r="M27">
        <v>0.99995940000000005</v>
      </c>
      <c r="N27">
        <v>-9.0053140000000004E-3</v>
      </c>
      <c r="O27">
        <v>4.136605E-4</v>
      </c>
      <c r="P27">
        <v>0.99254869999999995</v>
      </c>
      <c r="Q27">
        <v>0.1184047</v>
      </c>
      <c r="R27">
        <v>-2.8765740000000001E-2</v>
      </c>
      <c r="S27">
        <v>3.0413510000000001</v>
      </c>
      <c r="T27">
        <v>-0.15169060000000001</v>
      </c>
      <c r="U27">
        <v>7.3852539999999994E-2</v>
      </c>
      <c r="V27">
        <v>2.9180879999999999E-2</v>
      </c>
      <c r="W27">
        <v>0.12733729999999999</v>
      </c>
      <c r="X27">
        <v>0.99143009999999998</v>
      </c>
      <c r="Y27">
        <v>-2.3827480000000002E-2</v>
      </c>
      <c r="Z27">
        <v>6.8424459999999996E-4</v>
      </c>
      <c r="AA27">
        <v>0.99971589999999999</v>
      </c>
      <c r="AB27">
        <v>3</v>
      </c>
      <c r="AC27">
        <v>22.4178999999999</v>
      </c>
      <c r="AD27">
        <v>-1.1203115131799899</v>
      </c>
      <c r="AE27">
        <v>0.54570000000000995</v>
      </c>
      <c r="AF27">
        <v>-0.53509063499492904</v>
      </c>
      <c r="AG27">
        <v>-1.1203115131799899</v>
      </c>
      <c r="AH27">
        <v>22.362309313424799</v>
      </c>
      <c r="AI27">
        <v>92.867198453966793</v>
      </c>
      <c r="AJ27">
        <v>91.370725418024406</v>
      </c>
      <c r="AK27">
        <v>22.396747480460402</v>
      </c>
      <c r="AL27">
        <v>82.684247813692494</v>
      </c>
      <c r="AM27">
        <v>88.314093235981801</v>
      </c>
      <c r="AN27">
        <v>0.99999997745743596</v>
      </c>
    </row>
    <row r="28" spans="1:40" x14ac:dyDescent="0.25">
      <c r="A28" t="str">
        <f>"20190303162210756"</f>
        <v>20190303162210756</v>
      </c>
      <c r="B28" t="str">
        <f>"1551601330744461"</f>
        <v>1551601330744461</v>
      </c>
      <c r="C28" t="s">
        <v>40</v>
      </c>
      <c r="D28">
        <v>5.6067739999999997</v>
      </c>
      <c r="E28">
        <v>0.47907470000000002</v>
      </c>
      <c r="F28" t="s">
        <v>41</v>
      </c>
      <c r="G28">
        <v>-452.274</v>
      </c>
      <c r="H28" s="1">
        <v>-3.6453239999999999E-6</v>
      </c>
      <c r="I28">
        <v>367.65129999999999</v>
      </c>
      <c r="J28">
        <v>-474.98129999999998</v>
      </c>
      <c r="K28">
        <v>1.1200840000000001</v>
      </c>
      <c r="L28">
        <v>367.06950000000001</v>
      </c>
      <c r="M28">
        <v>0.9999673</v>
      </c>
      <c r="N28">
        <v>-8.0755219999999999E-3</v>
      </c>
      <c r="O28">
        <v>4.4110489999999998E-4</v>
      </c>
      <c r="P28">
        <v>0.99240839999999997</v>
      </c>
      <c r="Q28">
        <v>0.11964379999999999</v>
      </c>
      <c r="R28">
        <v>-2.848378E-2</v>
      </c>
      <c r="S28">
        <v>3.0426639999999998</v>
      </c>
      <c r="T28">
        <v>-0.14989439999999901</v>
      </c>
      <c r="U28">
        <v>7.7850340000000004E-2</v>
      </c>
      <c r="V28">
        <v>2.892494E-2</v>
      </c>
      <c r="W28">
        <v>0.12765370000000001</v>
      </c>
      <c r="X28">
        <v>0.99139699999999997</v>
      </c>
      <c r="Y28">
        <v>-2.510186E-2</v>
      </c>
      <c r="Z28">
        <v>7.0112669999999996E-4</v>
      </c>
      <c r="AA28">
        <v>0.99968460000000003</v>
      </c>
      <c r="AB28">
        <v>3</v>
      </c>
      <c r="AC28">
        <v>22.707299999999901</v>
      </c>
      <c r="AD28">
        <v>-1.1200876453240001</v>
      </c>
      <c r="AE28">
        <v>0.58179999999998699</v>
      </c>
      <c r="AF28">
        <v>-0.57039635293187896</v>
      </c>
      <c r="AG28">
        <v>-1.1200876453240001</v>
      </c>
      <c r="AH28">
        <v>22.652473203271501</v>
      </c>
      <c r="AI28">
        <v>92.829880060238196</v>
      </c>
      <c r="AJ28">
        <v>91.442420826756205</v>
      </c>
      <c r="AK28">
        <v>22.687320039122699</v>
      </c>
      <c r="AL28">
        <v>82.665970917072102</v>
      </c>
      <c r="AM28">
        <v>88.3288158221618</v>
      </c>
      <c r="AN28">
        <v>1.0000000654433401</v>
      </c>
    </row>
    <row r="29" spans="1:40" x14ac:dyDescent="0.25">
      <c r="A29" t="str">
        <f>"20190303162210778"</f>
        <v>20190303162210778</v>
      </c>
      <c r="B29" t="str">
        <f>"1551601330763981"</f>
        <v>1551601330763981</v>
      </c>
      <c r="C29" t="s">
        <v>40</v>
      </c>
      <c r="D29">
        <v>5.6072430000000004</v>
      </c>
      <c r="E29">
        <v>0.47916839999999999</v>
      </c>
      <c r="F29" t="s">
        <v>41</v>
      </c>
      <c r="G29">
        <v>-451.84089999999998</v>
      </c>
      <c r="H29" s="1">
        <v>-3.8300130000000003E-6</v>
      </c>
      <c r="I29">
        <v>367.65750000000003</v>
      </c>
      <c r="J29">
        <v>-474.9504</v>
      </c>
      <c r="K29">
        <v>1.1203149999999999</v>
      </c>
      <c r="L29">
        <v>367.06950000000001</v>
      </c>
      <c r="M29">
        <v>0.99996220000000002</v>
      </c>
      <c r="N29">
        <v>-8.6917599999999998E-3</v>
      </c>
      <c r="O29">
        <v>4.6277379999999998E-4</v>
      </c>
      <c r="P29">
        <v>0.99249019999999999</v>
      </c>
      <c r="Q29">
        <v>0.1190268</v>
      </c>
      <c r="R29">
        <v>-2.8217889999999999E-2</v>
      </c>
      <c r="S29">
        <v>3.0429379999999999</v>
      </c>
      <c r="T29">
        <v>-0.14728939999999999</v>
      </c>
      <c r="U29">
        <v>7.7331540000000004E-2</v>
      </c>
      <c r="V29">
        <v>2.8680549999999999E-2</v>
      </c>
      <c r="W29">
        <v>0.1276475</v>
      </c>
      <c r="X29">
        <v>0.99140479999999997</v>
      </c>
      <c r="Y29">
        <v>-2.490858E-2</v>
      </c>
      <c r="Z29">
        <v>6.9236429999999902E-4</v>
      </c>
      <c r="AA29">
        <v>0.99968950000000001</v>
      </c>
      <c r="AB29">
        <v>4</v>
      </c>
      <c r="AC29">
        <v>23.109500000000001</v>
      </c>
      <c r="AD29">
        <v>-1.120318830013</v>
      </c>
      <c r="AE29">
        <v>0.58800000000002195</v>
      </c>
      <c r="AF29">
        <v>-0.57595234359120095</v>
      </c>
      <c r="AG29">
        <v>-1.120318830013</v>
      </c>
      <c r="AH29">
        <v>23.055619716301202</v>
      </c>
      <c r="AI29">
        <v>92.7810624737225</v>
      </c>
      <c r="AJ29">
        <v>91.431008013966903</v>
      </c>
      <c r="AK29">
        <v>23.090007273400001</v>
      </c>
      <c r="AL29">
        <v>82.666328361177307</v>
      </c>
      <c r="AM29">
        <v>88.342940965130694</v>
      </c>
      <c r="AN29">
        <v>0.99999996783379497</v>
      </c>
    </row>
    <row r="30" spans="1:40" x14ac:dyDescent="0.25">
      <c r="A30" t="str">
        <f>"20190303162210802"</f>
        <v>20190303162210802</v>
      </c>
      <c r="B30" t="str">
        <f>"1551601330794237"</f>
        <v>1551601330794237</v>
      </c>
      <c r="C30" t="s">
        <v>40</v>
      </c>
      <c r="D30">
        <v>5.5979159999999997</v>
      </c>
      <c r="E30">
        <v>0.47928130000000002</v>
      </c>
      <c r="F30" t="s">
        <v>41</v>
      </c>
      <c r="G30">
        <v>-452.32889999999998</v>
      </c>
      <c r="H30" s="1">
        <v>-3.6232579999999998E-6</v>
      </c>
      <c r="I30">
        <v>367.64280000000002</v>
      </c>
      <c r="J30">
        <v>-474.92250000000001</v>
      </c>
      <c r="K30">
        <v>1.1208549999999999</v>
      </c>
      <c r="L30">
        <v>367.06959999999998</v>
      </c>
      <c r="M30">
        <v>0.99994400000000006</v>
      </c>
      <c r="N30">
        <v>-1.057598E-2</v>
      </c>
      <c r="O30">
        <v>4.7621829999999998E-4</v>
      </c>
      <c r="P30">
        <v>0.99269220000000002</v>
      </c>
      <c r="Q30">
        <v>0.11736000000000001</v>
      </c>
      <c r="R30">
        <v>-2.808592E-2</v>
      </c>
      <c r="S30">
        <v>3.0429689999999998</v>
      </c>
      <c r="T30">
        <v>-0.15070120000000001</v>
      </c>
      <c r="U30">
        <v>7.7117920000000006E-2</v>
      </c>
      <c r="V30">
        <v>2.8563020000000001E-2</v>
      </c>
      <c r="W30">
        <v>0.12785089999999999</v>
      </c>
      <c r="X30">
        <v>0.99138199999999999</v>
      </c>
      <c r="Y30">
        <v>-2.4822219999999999E-2</v>
      </c>
      <c r="Z30">
        <v>7.2702689999999996E-4</v>
      </c>
      <c r="AA30">
        <v>0.99969160000000001</v>
      </c>
      <c r="AB30">
        <v>4</v>
      </c>
      <c r="AC30">
        <v>22.593599999999999</v>
      </c>
      <c r="AD30">
        <v>-1.120858623258</v>
      </c>
      <c r="AE30">
        <v>0.57320000000004201</v>
      </c>
      <c r="AF30">
        <v>-0.56105990660914895</v>
      </c>
      <c r="AG30">
        <v>-1.120858623258</v>
      </c>
      <c r="AH30">
        <v>22.538436557406801</v>
      </c>
      <c r="AI30">
        <v>92.846149693851302</v>
      </c>
      <c r="AJ30">
        <v>91.425996292303296</v>
      </c>
      <c r="AK30">
        <v>22.573263714500602</v>
      </c>
      <c r="AL30">
        <v>82.654578245564394</v>
      </c>
      <c r="AM30">
        <v>88.349689730904601</v>
      </c>
      <c r="AN30">
        <v>0.99999998433316495</v>
      </c>
    </row>
    <row r="31" spans="1:40" x14ac:dyDescent="0.25">
      <c r="A31" t="str">
        <f>"20190303162210825"</f>
        <v>20190303162210825</v>
      </c>
      <c r="B31" t="str">
        <f>"1551601330813758"</f>
        <v>1551601330813758</v>
      </c>
      <c r="C31" t="s">
        <v>40</v>
      </c>
      <c r="D31">
        <v>5.4788930000000002</v>
      </c>
      <c r="E31">
        <v>0.47933569999999998</v>
      </c>
      <c r="F31" t="s">
        <v>41</v>
      </c>
      <c r="G31">
        <v>-453.31330000000003</v>
      </c>
      <c r="H31" s="1">
        <v>-3.2054540000000001E-6</v>
      </c>
      <c r="I31">
        <v>367.61739999999998</v>
      </c>
      <c r="J31">
        <v>-474.89780000000002</v>
      </c>
      <c r="K31">
        <v>1.1212930000000001</v>
      </c>
      <c r="L31">
        <v>367.06959999999998</v>
      </c>
      <c r="M31">
        <v>0.99992190000000003</v>
      </c>
      <c r="N31">
        <v>-1.2498280000000001E-2</v>
      </c>
      <c r="O31">
        <v>4.8308839999999998E-4</v>
      </c>
      <c r="P31">
        <v>0.99285630000000002</v>
      </c>
      <c r="Q31">
        <v>0.1160341</v>
      </c>
      <c r="R31">
        <v>-2.780007E-2</v>
      </c>
      <c r="S31">
        <v>3.0429689999999998</v>
      </c>
      <c r="T31">
        <v>-0.15783639999999999</v>
      </c>
      <c r="U31">
        <v>7.7148439999999999E-2</v>
      </c>
      <c r="V31">
        <v>2.8285230000000001E-2</v>
      </c>
      <c r="W31">
        <v>0.12843260000000001</v>
      </c>
      <c r="X31">
        <v>0.99131480000000005</v>
      </c>
      <c r="Y31">
        <v>-2.482088E-2</v>
      </c>
      <c r="Z31">
        <v>7.7945110000000005E-4</v>
      </c>
      <c r="AA31">
        <v>0.99969160000000001</v>
      </c>
      <c r="AB31">
        <v>3</v>
      </c>
      <c r="AC31">
        <v>21.584499999999899</v>
      </c>
      <c r="AD31">
        <v>-1.1212962054539899</v>
      </c>
      <c r="AE31">
        <v>0.54779999999999496</v>
      </c>
      <c r="AF31">
        <v>-0.535926520342353</v>
      </c>
      <c r="AG31">
        <v>-1.1212962054539899</v>
      </c>
      <c r="AH31">
        <v>21.526705131106301</v>
      </c>
      <c r="AI31">
        <v>92.980840923710502</v>
      </c>
      <c r="AJ31">
        <v>91.4261349302231</v>
      </c>
      <c r="AK31">
        <v>21.5625498542536</v>
      </c>
      <c r="AL31">
        <v>82.620972426308398</v>
      </c>
      <c r="AM31">
        <v>88.365620371930305</v>
      </c>
      <c r="AN31">
        <v>1.0000000098389701</v>
      </c>
    </row>
    <row r="32" spans="1:40" x14ac:dyDescent="0.25">
      <c r="A32" t="str">
        <f>"20190303162210845"</f>
        <v>20190303162210845</v>
      </c>
      <c r="B32" t="str">
        <f>"1551601330834253"</f>
        <v>1551601330834253</v>
      </c>
      <c r="C32" t="s">
        <v>40</v>
      </c>
      <c r="D32">
        <v>5.4777760000000004</v>
      </c>
      <c r="E32">
        <v>0.47939290000000001</v>
      </c>
      <c r="F32" t="s">
        <v>41</v>
      </c>
      <c r="G32">
        <v>-453.87819999999999</v>
      </c>
      <c r="H32" s="1">
        <v>-2.9655339999999999E-6</v>
      </c>
      <c r="I32">
        <v>367.60379999999998</v>
      </c>
      <c r="J32">
        <v>-474.87049999999999</v>
      </c>
      <c r="K32">
        <v>1.12101299999999</v>
      </c>
      <c r="L32">
        <v>367.06959999999998</v>
      </c>
      <c r="M32">
        <v>0.99992899999999996</v>
      </c>
      <c r="N32">
        <v>-1.1921289999999999E-2</v>
      </c>
      <c r="O32">
        <v>4.9623759999999995E-4</v>
      </c>
      <c r="P32">
        <v>0.99272590000000005</v>
      </c>
      <c r="Q32">
        <v>0.11714910000000001</v>
      </c>
      <c r="R32">
        <v>-2.7780019999999999E-2</v>
      </c>
      <c r="S32">
        <v>3.042694</v>
      </c>
      <c r="T32">
        <v>-0.1623124</v>
      </c>
      <c r="U32">
        <v>7.7331540000000004E-2</v>
      </c>
      <c r="V32">
        <v>2.827789E-2</v>
      </c>
      <c r="W32">
        <v>0.12897400000000001</v>
      </c>
      <c r="X32">
        <v>0.99124469999999998</v>
      </c>
      <c r="Y32">
        <v>-2.4868339999999999E-2</v>
      </c>
      <c r="Z32">
        <v>7.9057490000000003E-4</v>
      </c>
      <c r="AA32">
        <v>0.99969039999999998</v>
      </c>
      <c r="AB32">
        <v>2</v>
      </c>
      <c r="AC32">
        <v>20.9923</v>
      </c>
      <c r="AD32">
        <v>-1.12101596553399</v>
      </c>
      <c r="AE32">
        <v>0.53419999999999801</v>
      </c>
      <c r="AF32">
        <v>-0.52229356756403</v>
      </c>
      <c r="AG32">
        <v>-1.12101596553399</v>
      </c>
      <c r="AH32">
        <v>20.9329068244243</v>
      </c>
      <c r="AI32">
        <v>93.064469825492793</v>
      </c>
      <c r="AJ32">
        <v>91.4292811664005</v>
      </c>
      <c r="AK32">
        <v>20.9694076093181</v>
      </c>
      <c r="AL32">
        <v>82.589692217551502</v>
      </c>
      <c r="AM32">
        <v>88.365928773165393</v>
      </c>
      <c r="AN32">
        <v>0.99999999350847102</v>
      </c>
    </row>
    <row r="33" spans="1:40" x14ac:dyDescent="0.25">
      <c r="A33" t="str">
        <f>"20190303162210869"</f>
        <v>20190303162210869</v>
      </c>
      <c r="B33" t="str">
        <f>"1551601330864510"</f>
        <v>1551601330864510</v>
      </c>
      <c r="C33" t="s">
        <v>40</v>
      </c>
      <c r="D33">
        <v>5.5374460000000001</v>
      </c>
      <c r="E33">
        <v>0.47948600000000002</v>
      </c>
      <c r="F33" t="s">
        <v>41</v>
      </c>
      <c r="G33">
        <v>-453.5609</v>
      </c>
      <c r="H33" s="1">
        <v>-3.10155E-6</v>
      </c>
      <c r="I33">
        <v>367.60449999999997</v>
      </c>
      <c r="J33">
        <v>-474.83420000000001</v>
      </c>
      <c r="K33">
        <v>1.1204609999999999</v>
      </c>
      <c r="L33">
        <v>367.06970000000001</v>
      </c>
      <c r="M33">
        <v>0.99994830000000001</v>
      </c>
      <c r="N33">
        <v>-1.0156109999999999E-2</v>
      </c>
      <c r="O33">
        <v>5.2422839999999998E-4</v>
      </c>
      <c r="P33">
        <v>0.99246820000000002</v>
      </c>
      <c r="Q33">
        <v>0.1193263</v>
      </c>
      <c r="R33">
        <v>-2.7716480000000002E-2</v>
      </c>
      <c r="S33">
        <v>3.0429689999999998</v>
      </c>
      <c r="T33">
        <v>-0.16007779999999999</v>
      </c>
      <c r="U33">
        <v>7.6385499999999995E-2</v>
      </c>
      <c r="V33">
        <v>2.82414E-2</v>
      </c>
      <c r="W33">
        <v>0.1293986</v>
      </c>
      <c r="X33">
        <v>0.99119040000000003</v>
      </c>
      <c r="Y33">
        <v>-2.453031E-2</v>
      </c>
      <c r="Z33">
        <v>7.4712949999999998E-4</v>
      </c>
      <c r="AA33">
        <v>0.9996988</v>
      </c>
      <c r="AB33">
        <v>3</v>
      </c>
      <c r="AC33">
        <v>21.273299999999999</v>
      </c>
      <c r="AD33">
        <v>-1.1204641015500001</v>
      </c>
      <c r="AE33">
        <v>0.53479999999996097</v>
      </c>
      <c r="AF33">
        <v>-0.52219955109395</v>
      </c>
      <c r="AG33">
        <v>-1.1204641015500001</v>
      </c>
      <c r="AH33">
        <v>21.2147621983843</v>
      </c>
      <c r="AI33">
        <v>93.022371176539494</v>
      </c>
      <c r="AJ33">
        <v>91.4100459627508</v>
      </c>
      <c r="AK33">
        <v>21.250747452925498</v>
      </c>
      <c r="AL33">
        <v>82.565158834441604</v>
      </c>
      <c r="AM33">
        <v>88.367946894949895</v>
      </c>
      <c r="AN33">
        <v>0.99999999170403997</v>
      </c>
    </row>
    <row r="34" spans="1:40" x14ac:dyDescent="0.25">
      <c r="A34" t="str">
        <f>"20190303162210891"</f>
        <v>20190303162210891</v>
      </c>
      <c r="B34" t="str">
        <f>"1551601330884536"</f>
        <v>1551601330884536</v>
      </c>
      <c r="C34" t="s">
        <v>40</v>
      </c>
      <c r="D34">
        <v>5.4221779999999997</v>
      </c>
      <c r="E34">
        <v>0.47966540000000002</v>
      </c>
      <c r="F34" t="s">
        <v>41</v>
      </c>
      <c r="G34">
        <v>-452.70089999999999</v>
      </c>
      <c r="H34" s="1">
        <v>-3.4666310000000002E-6</v>
      </c>
      <c r="I34">
        <v>367.62599999999998</v>
      </c>
      <c r="J34">
        <v>-474.79939999999999</v>
      </c>
      <c r="K34">
        <v>1.1201509999999999</v>
      </c>
      <c r="L34">
        <v>367.06979999999999</v>
      </c>
      <c r="M34">
        <v>0.99995999999999996</v>
      </c>
      <c r="N34">
        <v>-8.9331459999999994E-3</v>
      </c>
      <c r="O34">
        <v>5.537265E-4</v>
      </c>
      <c r="P34">
        <v>0.99226930000000002</v>
      </c>
      <c r="Q34">
        <v>0.1209177</v>
      </c>
      <c r="R34">
        <v>-2.7944279999999998E-2</v>
      </c>
      <c r="S34">
        <v>3.0434269999999999</v>
      </c>
      <c r="T34">
        <v>-0.1540685</v>
      </c>
      <c r="U34">
        <v>7.6507569999999997E-2</v>
      </c>
      <c r="V34">
        <v>2.849728E-2</v>
      </c>
      <c r="W34">
        <v>0.12977639999999999</v>
      </c>
      <c r="X34">
        <v>0.99113370000000001</v>
      </c>
      <c r="Y34">
        <v>-2.4540630000000001E-2</v>
      </c>
      <c r="Z34">
        <v>7.073181E-4</v>
      </c>
      <c r="AA34">
        <v>0.99969859999999999</v>
      </c>
      <c r="AB34">
        <v>3</v>
      </c>
      <c r="AC34">
        <v>22.098500000000001</v>
      </c>
      <c r="AD34">
        <v>-1.1201544666309999</v>
      </c>
      <c r="AE34">
        <v>0.55619999999998904</v>
      </c>
      <c r="AF34">
        <v>-0.54256971076510596</v>
      </c>
      <c r="AG34">
        <v>-1.1201544666309999</v>
      </c>
      <c r="AH34">
        <v>22.042205412155798</v>
      </c>
      <c r="AI34">
        <v>92.908310399199493</v>
      </c>
      <c r="AJ34">
        <v>91.410053018268897</v>
      </c>
      <c r="AK34">
        <v>22.0773174854153</v>
      </c>
      <c r="AL34">
        <v>82.543328552414494</v>
      </c>
      <c r="AM34">
        <v>88.353073694904495</v>
      </c>
      <c r="AN34">
        <v>1.0000000101200199</v>
      </c>
    </row>
    <row r="35" spans="1:40" x14ac:dyDescent="0.25">
      <c r="A35" t="str">
        <f>"20190303162210912"</f>
        <v>20190303162210912</v>
      </c>
      <c r="B35" t="str">
        <f>"1551601330904056"</f>
        <v>1551601330904056</v>
      </c>
      <c r="C35" t="s">
        <v>40</v>
      </c>
      <c r="D35">
        <v>5.4159699999999997</v>
      </c>
      <c r="E35">
        <v>0.47976780000000002</v>
      </c>
      <c r="F35" t="s">
        <v>41</v>
      </c>
      <c r="G35">
        <v>-451.92829999999998</v>
      </c>
      <c r="H35" s="1">
        <v>-3.7975059999999998E-6</v>
      </c>
      <c r="I35">
        <v>367.62920000000003</v>
      </c>
      <c r="J35">
        <v>-474.76690000000002</v>
      </c>
      <c r="K35">
        <v>1.1202620000000001</v>
      </c>
      <c r="L35">
        <v>367.06979999999999</v>
      </c>
      <c r="M35">
        <v>0.99995919999999905</v>
      </c>
      <c r="N35">
        <v>-9.0189689999999999E-3</v>
      </c>
      <c r="O35">
        <v>5.7915859999999996E-4</v>
      </c>
      <c r="P35">
        <v>0.99225589999999997</v>
      </c>
      <c r="Q35">
        <v>0.121058399999999</v>
      </c>
      <c r="R35">
        <v>-2.780527E-2</v>
      </c>
      <c r="S35">
        <v>3.0436100000000001</v>
      </c>
      <c r="T35">
        <v>-0.1490659</v>
      </c>
      <c r="U35">
        <v>7.4462890000000004E-2</v>
      </c>
      <c r="V35">
        <v>2.8383180000000001E-2</v>
      </c>
      <c r="W35">
        <v>0.1300019</v>
      </c>
      <c r="X35">
        <v>0.99110739999999997</v>
      </c>
      <c r="Y35">
        <v>-2.3845620000000001E-2</v>
      </c>
      <c r="Z35">
        <v>6.6800469999999995E-4</v>
      </c>
      <c r="AA35">
        <v>0.99971540000000003</v>
      </c>
      <c r="AB35">
        <v>4</v>
      </c>
      <c r="AC35">
        <v>22.8386</v>
      </c>
      <c r="AD35">
        <v>-1.120265797506</v>
      </c>
      <c r="AE35">
        <v>0.55940000000003898</v>
      </c>
      <c r="AF35">
        <v>-0.544862022234334</v>
      </c>
      <c r="AG35">
        <v>-1.120265797506</v>
      </c>
      <c r="AH35">
        <v>22.784133451315601</v>
      </c>
      <c r="AI35">
        <v>92.814087740315998</v>
      </c>
      <c r="AJ35">
        <v>91.369915837110796</v>
      </c>
      <c r="AK35">
        <v>22.818163975388</v>
      </c>
      <c r="AL35">
        <v>82.530297804407994</v>
      </c>
      <c r="AM35">
        <v>88.3596206942008</v>
      </c>
      <c r="AN35">
        <v>0.99999998862264095</v>
      </c>
    </row>
    <row r="36" spans="1:40" x14ac:dyDescent="0.25">
      <c r="A36" t="str">
        <f>"20190303162210935"</f>
        <v>20190303162210935</v>
      </c>
      <c r="B36" t="str">
        <f>"1551601330924556"</f>
        <v>1551601330924556</v>
      </c>
      <c r="C36" t="s">
        <v>40</v>
      </c>
      <c r="D36">
        <v>5.5347710000000001</v>
      </c>
      <c r="E36">
        <v>0.47985699999999998</v>
      </c>
      <c r="F36" t="s">
        <v>41</v>
      </c>
      <c r="G36">
        <v>-451.82150000000001</v>
      </c>
      <c r="H36" s="1">
        <v>-3.8438759999999999E-6</v>
      </c>
      <c r="I36">
        <v>367.62619999999998</v>
      </c>
      <c r="J36">
        <v>-474.73790000000002</v>
      </c>
      <c r="K36">
        <v>1.120735</v>
      </c>
      <c r="L36">
        <v>367.06979999999999</v>
      </c>
      <c r="M36">
        <v>0.99994430000000001</v>
      </c>
      <c r="N36">
        <v>-1.0537370000000001E-2</v>
      </c>
      <c r="O36">
        <v>5.9540519999999998E-4</v>
      </c>
      <c r="P36">
        <v>0.99241469999999998</v>
      </c>
      <c r="Q36">
        <v>0.1197265</v>
      </c>
      <c r="R36">
        <v>-2.790393E-2</v>
      </c>
      <c r="S36">
        <v>3.0435789999999998</v>
      </c>
      <c r="T36">
        <v>-0.14859649999999999</v>
      </c>
      <c r="U36">
        <v>7.3822020000000002E-2</v>
      </c>
      <c r="V36">
        <v>2.8498909999999999E-2</v>
      </c>
      <c r="W36">
        <v>0.13017590000000001</v>
      </c>
      <c r="X36">
        <v>0.9910812</v>
      </c>
      <c r="Y36">
        <v>-2.361885E-2</v>
      </c>
      <c r="Z36">
        <v>6.7791800000000001E-4</v>
      </c>
      <c r="AA36">
        <v>0.99972079999999997</v>
      </c>
      <c r="AB36">
        <v>4</v>
      </c>
      <c r="AC36">
        <v>22.916399999999999</v>
      </c>
      <c r="AD36">
        <v>-1.120738843876</v>
      </c>
      <c r="AE36">
        <v>0.55639999999999601</v>
      </c>
      <c r="AF36">
        <v>-0.54146032442662895</v>
      </c>
      <c r="AG36">
        <v>-1.120738843876</v>
      </c>
      <c r="AH36">
        <v>22.8620790417637</v>
      </c>
      <c r="AI36">
        <v>92.805706473514604</v>
      </c>
      <c r="AJ36">
        <v>91.356726686979897</v>
      </c>
      <c r="AK36">
        <v>22.895936166729498</v>
      </c>
      <c r="AL36">
        <v>82.520242596589398</v>
      </c>
      <c r="AM36">
        <v>88.352892346520093</v>
      </c>
      <c r="AN36">
        <v>0.99999994890271704</v>
      </c>
    </row>
    <row r="37" spans="1:40" x14ac:dyDescent="0.25">
      <c r="A37" t="str">
        <f>"20190303162210957"</f>
        <v>20190303162210957</v>
      </c>
      <c r="B37" t="str">
        <f>"1551601330944072"</f>
        <v>1551601330944072</v>
      </c>
      <c r="C37" t="s">
        <v>40</v>
      </c>
      <c r="D37">
        <v>5.4770089999999998</v>
      </c>
      <c r="E37">
        <v>0.47987000000000002</v>
      </c>
      <c r="F37" t="s">
        <v>41</v>
      </c>
      <c r="G37">
        <v>-452.42340000000002</v>
      </c>
      <c r="H37" s="1">
        <v>-3.5900879999999998E-6</v>
      </c>
      <c r="I37">
        <v>367.60120000000001</v>
      </c>
      <c r="J37">
        <v>-474.70740000000001</v>
      </c>
      <c r="K37">
        <v>1.120835</v>
      </c>
      <c r="L37">
        <v>367.06990000000002</v>
      </c>
      <c r="M37">
        <v>0.99993929999999998</v>
      </c>
      <c r="N37">
        <v>-1.1000859999999999E-2</v>
      </c>
      <c r="O37">
        <v>6.114324E-4</v>
      </c>
      <c r="P37">
        <v>0.99249370000000003</v>
      </c>
      <c r="Q37">
        <v>0.11906659999999999</v>
      </c>
      <c r="R37">
        <v>-2.7917020000000001E-2</v>
      </c>
      <c r="S37">
        <v>3.0433650000000001</v>
      </c>
      <c r="T37">
        <v>-0.15285209999999999</v>
      </c>
      <c r="U37">
        <v>7.2479249999999995E-2</v>
      </c>
      <c r="V37">
        <v>2.8528049999999999E-2</v>
      </c>
      <c r="W37">
        <v>0.12997639999999999</v>
      </c>
      <c r="X37">
        <v>0.99110659999999895</v>
      </c>
      <c r="Y37">
        <v>-2.3162329999999998E-2</v>
      </c>
      <c r="Z37">
        <v>6.8477130000000003E-4</v>
      </c>
      <c r="AA37">
        <v>0.9997315</v>
      </c>
      <c r="AB37">
        <v>3</v>
      </c>
      <c r="AC37">
        <v>22.283999999999899</v>
      </c>
      <c r="AD37">
        <v>-1.120838590088</v>
      </c>
      <c r="AE37">
        <v>0.531299999999987</v>
      </c>
      <c r="AF37">
        <v>-0.51636830905347797</v>
      </c>
      <c r="AG37">
        <v>-1.120838590088</v>
      </c>
      <c r="AH37">
        <v>22.228118193694499</v>
      </c>
      <c r="AI37">
        <v>92.885880738224699</v>
      </c>
      <c r="AJ37">
        <v>91.330765125938498</v>
      </c>
      <c r="AK37">
        <v>22.262348344424002</v>
      </c>
      <c r="AL37">
        <v>82.5317714600464</v>
      </c>
      <c r="AM37">
        <v>88.351251347677703</v>
      </c>
      <c r="AN37">
        <v>1.00000000337866</v>
      </c>
    </row>
    <row r="38" spans="1:40" x14ac:dyDescent="0.25">
      <c r="A38" t="str">
        <f>"20190303162210978"</f>
        <v>20190303162210978</v>
      </c>
      <c r="B38" t="str">
        <f>"1551601330964567"</f>
        <v>1551601330964567</v>
      </c>
      <c r="C38" t="s">
        <v>40</v>
      </c>
      <c r="D38">
        <v>5.4230409999999996</v>
      </c>
      <c r="E38">
        <v>0.47994059999999999</v>
      </c>
      <c r="F38" t="s">
        <v>41</v>
      </c>
      <c r="G38">
        <v>-452.68270000000001</v>
      </c>
      <c r="H38" s="1">
        <v>-3.4796449999999999E-6</v>
      </c>
      <c r="I38">
        <v>367.59679999999997</v>
      </c>
      <c r="J38">
        <v>-474.67320000000001</v>
      </c>
      <c r="K38">
        <v>1.120476</v>
      </c>
      <c r="L38">
        <v>367.06990000000002</v>
      </c>
      <c r="M38">
        <v>0.99995149999999999</v>
      </c>
      <c r="N38">
        <v>-9.8287470000000005E-3</v>
      </c>
      <c r="O38">
        <v>6.3515920000000001E-4</v>
      </c>
      <c r="P38">
        <v>0.99236769999999996</v>
      </c>
      <c r="Q38">
        <v>0.1200808</v>
      </c>
      <c r="R38">
        <v>-2.805121E-2</v>
      </c>
      <c r="S38">
        <v>3.0432739999999998</v>
      </c>
      <c r="T38">
        <v>-0.1548716</v>
      </c>
      <c r="U38">
        <v>7.2814939999999995E-2</v>
      </c>
      <c r="V38">
        <v>2.8685189999999999E-2</v>
      </c>
      <c r="W38">
        <v>0.12982750000000001</v>
      </c>
      <c r="X38">
        <v>0.99112160000000005</v>
      </c>
      <c r="Y38">
        <v>-2.3249309999999999E-2</v>
      </c>
      <c r="Z38">
        <v>6.7941369999999896E-4</v>
      </c>
      <c r="AA38">
        <v>0.99972950000000005</v>
      </c>
      <c r="AB38">
        <v>3</v>
      </c>
      <c r="AC38">
        <v>21.990500000000001</v>
      </c>
      <c r="AD38">
        <v>-1.1204794796449999</v>
      </c>
      <c r="AE38">
        <v>0.52689999999995496</v>
      </c>
      <c r="AF38">
        <v>-0.51160428737407104</v>
      </c>
      <c r="AG38">
        <v>-1.1204794796449999</v>
      </c>
      <c r="AH38">
        <v>21.933918150847699</v>
      </c>
      <c r="AI38">
        <v>92.923580571267493</v>
      </c>
      <c r="AJ38">
        <v>91.336170407204406</v>
      </c>
      <c r="AK38">
        <v>21.9684769308037</v>
      </c>
      <c r="AL38">
        <v>82.540375853420699</v>
      </c>
      <c r="AM38">
        <v>88.342199736891104</v>
      </c>
      <c r="AN38">
        <v>1.00000002293407</v>
      </c>
    </row>
    <row r="39" spans="1:40" x14ac:dyDescent="0.25">
      <c r="A39" t="str">
        <f>"20190303162211001"</f>
        <v>20190303162211001</v>
      </c>
      <c r="B39" t="str">
        <f>"1551601330994130"</f>
        <v>1551601330994130</v>
      </c>
      <c r="C39" t="s">
        <v>40</v>
      </c>
      <c r="D39">
        <v>5.2008320000000001</v>
      </c>
      <c r="E39">
        <v>0.48001840000000001</v>
      </c>
      <c r="F39" t="s">
        <v>41</v>
      </c>
      <c r="G39">
        <v>-452.18430000000001</v>
      </c>
      <c r="H39" s="1">
        <v>-3.692407E-6</v>
      </c>
      <c r="I39">
        <v>367.6026</v>
      </c>
      <c r="J39">
        <v>-474.63099999999997</v>
      </c>
      <c r="K39">
        <v>1.120045</v>
      </c>
      <c r="L39">
        <v>367.06990000000002</v>
      </c>
      <c r="M39">
        <v>0.99996669999999999</v>
      </c>
      <c r="N39">
        <v>-8.1512500000000005E-3</v>
      </c>
      <c r="O39">
        <v>6.6969309999999999E-4</v>
      </c>
      <c r="P39">
        <v>0.99225350000000001</v>
      </c>
      <c r="Q39">
        <v>0.12094530000000001</v>
      </c>
      <c r="R39">
        <v>-2.8383510000000001E-2</v>
      </c>
      <c r="S39">
        <v>3.043488</v>
      </c>
      <c r="T39">
        <v>-0.151637299999999</v>
      </c>
      <c r="U39">
        <v>7.2113040000000003E-2</v>
      </c>
      <c r="V39">
        <v>2.9050949999999999E-2</v>
      </c>
      <c r="W39">
        <v>0.12902839999999999</v>
      </c>
      <c r="X39">
        <v>0.99121530000000002</v>
      </c>
      <c r="Y39">
        <v>-2.2985450000000001E-2</v>
      </c>
      <c r="Z39">
        <v>6.380496E-4</v>
      </c>
      <c r="AA39">
        <v>0.99973559999999995</v>
      </c>
      <c r="AB39">
        <v>3</v>
      </c>
      <c r="AC39">
        <v>22.4466999999999</v>
      </c>
      <c r="AD39">
        <v>-1.1200486924069999</v>
      </c>
      <c r="AE39">
        <v>0.53269999999997697</v>
      </c>
      <c r="AF39">
        <v>-0.51638200613432095</v>
      </c>
      <c r="AG39">
        <v>-1.1200486924069999</v>
      </c>
      <c r="AH39">
        <v>22.391332607275999</v>
      </c>
      <c r="AI39">
        <v>92.862875736877896</v>
      </c>
      <c r="AJ39">
        <v>91.321103421916007</v>
      </c>
      <c r="AK39">
        <v>22.425274477234002</v>
      </c>
      <c r="AL39">
        <v>82.586549323896804</v>
      </c>
      <c r="AM39">
        <v>88.3212320474602</v>
      </c>
      <c r="AN39">
        <v>1.00000002832827</v>
      </c>
    </row>
    <row r="40" spans="1:40" x14ac:dyDescent="0.25">
      <c r="A40" t="str">
        <f>"20190303162211025"</f>
        <v>20190303162211025</v>
      </c>
      <c r="B40" t="str">
        <f>"1551601331014628"</f>
        <v>1551601331014628</v>
      </c>
      <c r="C40" t="s">
        <v>40</v>
      </c>
      <c r="D40">
        <v>5.5431839999999903</v>
      </c>
      <c r="E40">
        <v>0.4800719</v>
      </c>
      <c r="F40" t="s">
        <v>41</v>
      </c>
      <c r="G40">
        <v>-451.70949999999999</v>
      </c>
      <c r="H40" s="1">
        <v>-3.8964240000000003E-6</v>
      </c>
      <c r="I40">
        <v>367.60079999999999</v>
      </c>
      <c r="J40">
        <v>-474.59280000000001</v>
      </c>
      <c r="K40">
        <v>1.1201430000000001</v>
      </c>
      <c r="L40">
        <v>367.07</v>
      </c>
      <c r="M40">
        <v>0.99996649999999998</v>
      </c>
      <c r="N40">
        <v>-8.1534650000000004E-3</v>
      </c>
      <c r="O40">
        <v>6.978148E-4</v>
      </c>
      <c r="P40">
        <v>0.99227580000000004</v>
      </c>
      <c r="Q40">
        <v>0.12069000000000001</v>
      </c>
      <c r="R40">
        <v>-2.8686150000000001E-2</v>
      </c>
      <c r="S40">
        <v>3.0435789999999998</v>
      </c>
      <c r="T40">
        <v>-0.14872260000000001</v>
      </c>
      <c r="U40">
        <v>7.049561E-2</v>
      </c>
      <c r="V40">
        <v>2.9381549999999999E-2</v>
      </c>
      <c r="W40">
        <v>0.12877539999999901</v>
      </c>
      <c r="X40">
        <v>0.99123839999999996</v>
      </c>
      <c r="Y40">
        <v>-2.2427570000000001E-2</v>
      </c>
      <c r="Z40">
        <v>6.1067619999999995E-4</v>
      </c>
      <c r="AA40">
        <v>0.99974830000000003</v>
      </c>
      <c r="AB40">
        <v>4</v>
      </c>
      <c r="AC40">
        <v>22.883299999999998</v>
      </c>
      <c r="AD40">
        <v>-1.120146896424</v>
      </c>
      <c r="AE40">
        <v>0.53079999999999905</v>
      </c>
      <c r="AF40">
        <v>-0.51360103478596997</v>
      </c>
      <c r="AG40">
        <v>-1.120146896424</v>
      </c>
      <c r="AH40">
        <v>22.828992736156899</v>
      </c>
      <c r="AI40">
        <v>92.8083613726496</v>
      </c>
      <c r="AJ40">
        <v>91.288808869087205</v>
      </c>
      <c r="AK40">
        <v>22.862227022755299</v>
      </c>
      <c r="AL40">
        <v>82.601166690513097</v>
      </c>
      <c r="AM40">
        <v>88.302178320630304</v>
      </c>
      <c r="AN40">
        <v>0.99999997238006</v>
      </c>
    </row>
    <row r="41" spans="1:40" x14ac:dyDescent="0.25">
      <c r="A41" t="str">
        <f>"20190303162211046"</f>
        <v>20190303162211046</v>
      </c>
      <c r="B41" t="str">
        <f>"1551601331034146"</f>
        <v>1551601331034146</v>
      </c>
      <c r="C41" t="s">
        <v>40</v>
      </c>
      <c r="D41">
        <v>5.4827539999999999</v>
      </c>
      <c r="E41">
        <v>0.4801261</v>
      </c>
      <c r="F41" t="s">
        <v>41</v>
      </c>
      <c r="G41">
        <v>-451.77280000000002</v>
      </c>
      <c r="H41" s="1">
        <v>-3.8714300000000003E-6</v>
      </c>
      <c r="I41">
        <v>367.58859999999999</v>
      </c>
      <c r="J41">
        <v>-474.5609</v>
      </c>
      <c r="K41">
        <v>1.1206290000000001</v>
      </c>
      <c r="L41">
        <v>367.07</v>
      </c>
      <c r="M41">
        <v>0.99995290000000003</v>
      </c>
      <c r="N41">
        <v>-9.6741780000000003E-3</v>
      </c>
      <c r="O41">
        <v>7.1642899999999998E-4</v>
      </c>
      <c r="P41">
        <v>0.99247620000000003</v>
      </c>
      <c r="Q41">
        <v>0.1189038</v>
      </c>
      <c r="R41">
        <v>-2.9205849999999998E-2</v>
      </c>
      <c r="S41">
        <v>3.0435490000000001</v>
      </c>
      <c r="T41">
        <v>-0.14939549999999999</v>
      </c>
      <c r="U41">
        <v>6.9183350000000005E-2</v>
      </c>
      <c r="V41">
        <v>2.9920809999999999E-2</v>
      </c>
      <c r="W41">
        <v>0.12849869999999999</v>
      </c>
      <c r="X41">
        <v>0.99125819999999998</v>
      </c>
      <c r="Y41">
        <v>-2.1977880000000002E-2</v>
      </c>
      <c r="Z41">
        <v>6.1719640000000001E-4</v>
      </c>
      <c r="AA41">
        <v>0.99975820000000004</v>
      </c>
      <c r="AB41">
        <v>4</v>
      </c>
      <c r="AC41">
        <v>22.788099999999901</v>
      </c>
      <c r="AD41">
        <v>-1.12063287143</v>
      </c>
      <c r="AE41">
        <v>0.51859999999999196</v>
      </c>
      <c r="AF41">
        <v>-0.50106195464887004</v>
      </c>
      <c r="AG41">
        <v>-1.12063287143</v>
      </c>
      <c r="AH41">
        <v>22.733517662009699</v>
      </c>
      <c r="AI41">
        <v>92.821386981727201</v>
      </c>
      <c r="AJ41">
        <v>91.262632921178806</v>
      </c>
      <c r="AK41">
        <v>22.766635816559099</v>
      </c>
      <c r="AL41">
        <v>82.6171534210456</v>
      </c>
      <c r="AM41">
        <v>88.271070277446597</v>
      </c>
      <c r="AN41">
        <v>0.99999999491999303</v>
      </c>
    </row>
    <row r="42" spans="1:40" x14ac:dyDescent="0.25">
      <c r="A42" t="str">
        <f>"20190303162211071"</f>
        <v>20190303162211071</v>
      </c>
      <c r="B42" t="str">
        <f>"1551601331064402"</f>
        <v>1551601331064402</v>
      </c>
      <c r="C42" t="s">
        <v>40</v>
      </c>
      <c r="D42">
        <v>5.4234499999999999</v>
      </c>
      <c r="E42">
        <v>0.48016360000000002</v>
      </c>
      <c r="F42" t="s">
        <v>41</v>
      </c>
      <c r="G42">
        <v>-452.48500000000001</v>
      </c>
      <c r="H42" s="1">
        <v>-3.5715009999999998E-6</v>
      </c>
      <c r="I42">
        <v>367.55700000000002</v>
      </c>
      <c r="J42">
        <v>-474.53019999999998</v>
      </c>
      <c r="K42">
        <v>1.121194</v>
      </c>
      <c r="L42">
        <v>367.07010000000002</v>
      </c>
      <c r="M42">
        <v>0.99992950000000003</v>
      </c>
      <c r="N42">
        <v>-1.184869E-2</v>
      </c>
      <c r="O42">
        <v>7.2958589999999905E-4</v>
      </c>
      <c r="P42">
        <v>0.99272570000000004</v>
      </c>
      <c r="Q42">
        <v>0.1166508</v>
      </c>
      <c r="R42">
        <v>-2.9809169999999999E-2</v>
      </c>
      <c r="S42">
        <v>3.0432429999999999</v>
      </c>
      <c r="T42">
        <v>-0.1544827</v>
      </c>
      <c r="U42">
        <v>6.7138669999999998E-2</v>
      </c>
      <c r="V42">
        <v>3.0538800000000001E-2</v>
      </c>
      <c r="W42">
        <v>0.12840370000000001</v>
      </c>
      <c r="X42">
        <v>0.99125160000000001</v>
      </c>
      <c r="Y42">
        <v>-2.129346E-2</v>
      </c>
      <c r="Z42">
        <v>6.3794359999999996E-4</v>
      </c>
      <c r="AA42">
        <v>0.99977309999999997</v>
      </c>
      <c r="AB42">
        <v>3</v>
      </c>
      <c r="AC42">
        <v>22.045199999999902</v>
      </c>
      <c r="AD42">
        <v>-1.1211975715009901</v>
      </c>
      <c r="AE42">
        <v>0.486899999999934</v>
      </c>
      <c r="AF42">
        <v>-0.46960077707761999</v>
      </c>
      <c r="AG42">
        <v>-1.1211975715009901</v>
      </c>
      <c r="AH42">
        <v>21.988700243293</v>
      </c>
      <c r="AI42">
        <v>92.918303238788198</v>
      </c>
      <c r="AJ42">
        <v>91.223448989177399</v>
      </c>
      <c r="AK42">
        <v>22.022273889713698</v>
      </c>
      <c r="AL42">
        <v>82.622641517806599</v>
      </c>
      <c r="AM42">
        <v>88.235371246953505</v>
      </c>
      <c r="AN42">
        <v>0.99999993149084199</v>
      </c>
    </row>
    <row r="43" spans="1:40" x14ac:dyDescent="0.25">
      <c r="A43" t="str">
        <f>"20190303162211092"</f>
        <v>20190303162211092</v>
      </c>
      <c r="B43" t="str">
        <f>"1551601331083922"</f>
        <v>1551601331083922</v>
      </c>
      <c r="C43" t="s">
        <v>40</v>
      </c>
      <c r="D43">
        <v>5.4217979999999999</v>
      </c>
      <c r="E43">
        <v>0.48018640000000001</v>
      </c>
      <c r="F43" t="s">
        <v>41</v>
      </c>
      <c r="G43">
        <v>-453.18920000000003</v>
      </c>
      <c r="H43" s="1">
        <v>-3.2745900000000001E-6</v>
      </c>
      <c r="I43">
        <v>367.52789999999999</v>
      </c>
      <c r="J43">
        <v>-474.50150000000002</v>
      </c>
      <c r="K43">
        <v>1.1213390000000001</v>
      </c>
      <c r="L43">
        <v>367.07010000000002</v>
      </c>
      <c r="M43">
        <v>0.99991779999999997</v>
      </c>
      <c r="N43">
        <v>-1.2801720000000001E-2</v>
      </c>
      <c r="O43">
        <v>7.4118999999999997E-4</v>
      </c>
      <c r="P43">
        <v>0.99281900000000001</v>
      </c>
      <c r="Q43">
        <v>0.1157009</v>
      </c>
      <c r="R43">
        <v>-3.0395599999999901E-2</v>
      </c>
      <c r="S43">
        <v>3.0427550000000001</v>
      </c>
      <c r="T43">
        <v>-0.15985729999999901</v>
      </c>
      <c r="U43">
        <v>6.5277099999999894E-2</v>
      </c>
      <c r="V43">
        <v>3.1137439999999999E-2</v>
      </c>
      <c r="W43">
        <v>0.1283995</v>
      </c>
      <c r="X43">
        <v>0.99123360000000005</v>
      </c>
      <c r="Y43">
        <v>-2.06724E-2</v>
      </c>
      <c r="Z43">
        <v>6.4562609999999998E-4</v>
      </c>
      <c r="AA43">
        <v>0.99978610000000001</v>
      </c>
      <c r="AB43">
        <v>3</v>
      </c>
      <c r="AC43">
        <v>21.3123</v>
      </c>
      <c r="AD43">
        <v>-1.1213422745899999</v>
      </c>
      <c r="AE43">
        <v>0.45779999999996301</v>
      </c>
      <c r="AF43">
        <v>-0.44078245376525599</v>
      </c>
      <c r="AG43">
        <v>-1.1213422745899999</v>
      </c>
      <c r="AH43">
        <v>21.2538233145536</v>
      </c>
      <c r="AI43">
        <v>93.019451657170507</v>
      </c>
      <c r="AJ43">
        <v>91.188085272056796</v>
      </c>
      <c r="AK43">
        <v>21.287947368278399</v>
      </c>
      <c r="AL43">
        <v>82.6228847568009</v>
      </c>
      <c r="AM43">
        <v>88.200769795054299</v>
      </c>
      <c r="AN43">
        <v>1.00000001076948</v>
      </c>
    </row>
    <row r="44" spans="1:40" x14ac:dyDescent="0.25">
      <c r="A44" t="str">
        <f>"20190303162211114"</f>
        <v>20190303162211114</v>
      </c>
      <c r="B44" t="str">
        <f>"1551601331104418"</f>
        <v>1551601331104418</v>
      </c>
      <c r="C44" t="s">
        <v>40</v>
      </c>
      <c r="D44">
        <v>5.4205310000000004</v>
      </c>
      <c r="E44">
        <v>0.48024889999999998</v>
      </c>
      <c r="F44" t="s">
        <v>41</v>
      </c>
      <c r="G44">
        <v>-453.42610000000002</v>
      </c>
      <c r="H44" s="1">
        <v>-3.1760650000000001E-6</v>
      </c>
      <c r="I44">
        <v>367.5104</v>
      </c>
      <c r="J44">
        <v>-474.46820000000002</v>
      </c>
      <c r="K44">
        <v>1.120924</v>
      </c>
      <c r="L44">
        <v>367.0702</v>
      </c>
      <c r="M44">
        <v>0.9999306</v>
      </c>
      <c r="N44">
        <v>-1.176667E-2</v>
      </c>
      <c r="O44">
        <v>7.6425750000000002E-4</v>
      </c>
      <c r="P44">
        <v>0.99277230000000005</v>
      </c>
      <c r="Q44">
        <v>0.115966</v>
      </c>
      <c r="R44">
        <v>-3.090596E-2</v>
      </c>
      <c r="S44">
        <v>3.0424799999999999</v>
      </c>
      <c r="T44">
        <v>-0.16187760000000001</v>
      </c>
      <c r="U44">
        <v>6.3568120000000006E-2</v>
      </c>
      <c r="V44">
        <v>3.1669469999999998E-2</v>
      </c>
      <c r="W44">
        <v>0.1276381</v>
      </c>
      <c r="X44">
        <v>0.9913151</v>
      </c>
      <c r="Y44">
        <v>-2.0090770000000001E-2</v>
      </c>
      <c r="Z44">
        <v>6.207141E-4</v>
      </c>
      <c r="AA44">
        <v>0.99979790000000002</v>
      </c>
      <c r="AB44">
        <v>3</v>
      </c>
      <c r="AC44">
        <v>21.042100000000001</v>
      </c>
      <c r="AD44">
        <v>-1.1209271760649999</v>
      </c>
      <c r="AE44">
        <v>0.44020000000000398</v>
      </c>
      <c r="AF44">
        <v>-0.42291756101877098</v>
      </c>
      <c r="AG44">
        <v>-1.1209271760649999</v>
      </c>
      <c r="AH44">
        <v>20.982911750158799</v>
      </c>
      <c r="AI44">
        <v>93.057268833757206</v>
      </c>
      <c r="AJ44">
        <v>91.154659142815902</v>
      </c>
      <c r="AK44">
        <v>21.0170864420454</v>
      </c>
      <c r="AL44">
        <v>82.666871868955297</v>
      </c>
      <c r="AM44">
        <v>88.170198312919197</v>
      </c>
      <c r="AN44">
        <v>1.00000003369484</v>
      </c>
    </row>
    <row r="45" spans="1:40" x14ac:dyDescent="0.25">
      <c r="A45" t="str">
        <f>"20190303162211135"</f>
        <v>20190303162211135</v>
      </c>
      <c r="B45" t="str">
        <f>"1551601331123939"</f>
        <v>1551601331123939</v>
      </c>
      <c r="C45" t="s">
        <v>40</v>
      </c>
      <c r="D45">
        <v>5.4848350000000003</v>
      </c>
      <c r="E45">
        <v>0.48031360000000001</v>
      </c>
      <c r="F45" t="s">
        <v>41</v>
      </c>
      <c r="G45">
        <v>-453.19490000000002</v>
      </c>
      <c r="H45" s="1">
        <v>-3.276948E-6</v>
      </c>
      <c r="I45">
        <v>367.50069999999999</v>
      </c>
      <c r="J45">
        <v>-474.43130000000002</v>
      </c>
      <c r="K45">
        <v>1.120457</v>
      </c>
      <c r="L45">
        <v>367.07029999999997</v>
      </c>
      <c r="M45">
        <v>0.99994749999999999</v>
      </c>
      <c r="N45">
        <v>-1.021786E-2</v>
      </c>
      <c r="O45">
        <v>7.9987089999999895E-4</v>
      </c>
      <c r="P45">
        <v>0.99255340000000003</v>
      </c>
      <c r="Q45">
        <v>0.117688</v>
      </c>
      <c r="R45">
        <v>-3.1429720000000001E-2</v>
      </c>
      <c r="S45">
        <v>3.0425420000000001</v>
      </c>
      <c r="T45">
        <v>-0.16031619999999999</v>
      </c>
      <c r="U45">
        <v>6.1584470000000002E-2</v>
      </c>
      <c r="V45">
        <v>3.2226659999999997E-2</v>
      </c>
      <c r="W45">
        <v>0.12782249999999901</v>
      </c>
      <c r="X45">
        <v>0.99127330000000002</v>
      </c>
      <c r="Y45">
        <v>-1.9405809999999999E-2</v>
      </c>
      <c r="Z45">
        <v>5.7614720000000001E-4</v>
      </c>
      <c r="AA45">
        <v>0.99981149999999996</v>
      </c>
      <c r="AB45">
        <v>3</v>
      </c>
      <c r="AC45">
        <v>21.2364</v>
      </c>
      <c r="AD45">
        <v>-1.1204602769480001</v>
      </c>
      <c r="AE45">
        <v>0.43040000000001999</v>
      </c>
      <c r="AF45">
        <v>-0.41226542247140502</v>
      </c>
      <c r="AG45">
        <v>-1.1204602769480001</v>
      </c>
      <c r="AH45">
        <v>21.1778078484544</v>
      </c>
      <c r="AI45">
        <v>93.027967712384594</v>
      </c>
      <c r="AJ45">
        <v>91.115228062854499</v>
      </c>
      <c r="AK45">
        <v>21.211434163602501</v>
      </c>
      <c r="AL45">
        <v>82.656218669749705</v>
      </c>
      <c r="AM45">
        <v>88.137948940697399</v>
      </c>
      <c r="AN45">
        <v>0.99999995220694604</v>
      </c>
    </row>
    <row r="46" spans="1:40" x14ac:dyDescent="0.25">
      <c r="A46" t="str">
        <f>"20190303162211160"</f>
        <v>20190303162211160</v>
      </c>
      <c r="B46" t="str">
        <f>"1551601331154195"</f>
        <v>1551601331154195</v>
      </c>
      <c r="C46" t="s">
        <v>40</v>
      </c>
      <c r="D46">
        <v>5.3301170000000004</v>
      </c>
      <c r="E46">
        <v>0.48077310000000001</v>
      </c>
      <c r="F46" t="s">
        <v>41</v>
      </c>
      <c r="G46">
        <v>-452.32870000000003</v>
      </c>
      <c r="H46" s="1">
        <v>-3.6486059999999998E-6</v>
      </c>
      <c r="I46">
        <v>367.50029999999998</v>
      </c>
      <c r="J46">
        <v>-474.38889999999998</v>
      </c>
      <c r="K46">
        <v>1.120306</v>
      </c>
      <c r="L46">
        <v>367.07029999999997</v>
      </c>
      <c r="M46">
        <v>0.99995520000000004</v>
      </c>
      <c r="N46">
        <v>-9.4419229999999996E-3</v>
      </c>
      <c r="O46">
        <v>8.4436250000000004E-4</v>
      </c>
      <c r="P46">
        <v>0.99243369999999997</v>
      </c>
      <c r="Q46">
        <v>0.1186077</v>
      </c>
      <c r="R46">
        <v>-3.1747200000000003E-2</v>
      </c>
      <c r="S46">
        <v>3.0426639999999998</v>
      </c>
      <c r="T46">
        <v>-0.15424350000000001</v>
      </c>
      <c r="U46">
        <v>5.9204100000000003E-2</v>
      </c>
      <c r="V46">
        <v>3.2586379999999998E-2</v>
      </c>
      <c r="W46">
        <v>0.12797239999999999</v>
      </c>
      <c r="X46">
        <v>0.99124219999999996</v>
      </c>
      <c r="Y46">
        <v>-1.858247E-2</v>
      </c>
      <c r="Z46">
        <v>5.2365879999999895E-4</v>
      </c>
      <c r="AA46">
        <v>0.99982720000000003</v>
      </c>
      <c r="AB46">
        <v>4</v>
      </c>
      <c r="AC46">
        <v>22.060199999999899</v>
      </c>
      <c r="AD46">
        <v>-1.120309648606</v>
      </c>
      <c r="AE46">
        <v>0.43000000000000599</v>
      </c>
      <c r="AF46">
        <v>-0.41031439985010798</v>
      </c>
      <c r="AG46">
        <v>-1.120309648606</v>
      </c>
      <c r="AH46">
        <v>22.003828134211499</v>
      </c>
      <c r="AI46">
        <v>92.914152345611299</v>
      </c>
      <c r="AJ46">
        <v>91.068294065969397</v>
      </c>
      <c r="AK46">
        <v>22.036149939937399</v>
      </c>
      <c r="AL46">
        <v>82.647558920118399</v>
      </c>
      <c r="AM46">
        <v>88.117120225738205</v>
      </c>
      <c r="AN46">
        <v>0.99999995319205104</v>
      </c>
    </row>
    <row r="47" spans="1:40" x14ac:dyDescent="0.25">
      <c r="A47" t="str">
        <f>"20190303162211183"</f>
        <v>20190303162211183</v>
      </c>
      <c r="B47" t="str">
        <f>"1551601331173716"</f>
        <v>1551601331173716</v>
      </c>
      <c r="C47" t="s">
        <v>40</v>
      </c>
      <c r="D47">
        <v>5.3095600000000003</v>
      </c>
      <c r="E47">
        <v>0.52316799999999997</v>
      </c>
      <c r="F47" t="s">
        <v>41</v>
      </c>
      <c r="G47">
        <v>-451.5514</v>
      </c>
      <c r="H47" s="1">
        <v>-3.985931E-6</v>
      </c>
      <c r="I47">
        <v>367.47859999999997</v>
      </c>
      <c r="J47">
        <v>-474.35469999999998</v>
      </c>
      <c r="K47">
        <v>1.1206750000000001</v>
      </c>
      <c r="L47">
        <v>367.07040000000001</v>
      </c>
      <c r="M47">
        <v>0.9999439</v>
      </c>
      <c r="N47">
        <v>-1.0562480000000001E-2</v>
      </c>
      <c r="O47">
        <v>8.7276899999999904E-4</v>
      </c>
      <c r="P47">
        <v>0.99248460000000005</v>
      </c>
      <c r="Q47">
        <v>0.1181767</v>
      </c>
      <c r="R47">
        <v>-3.1764229999999997E-2</v>
      </c>
      <c r="S47">
        <v>3.0425110000000002</v>
      </c>
      <c r="T47">
        <v>-0.1492522</v>
      </c>
      <c r="U47">
        <v>5.4412839999999997E-2</v>
      </c>
      <c r="V47">
        <v>3.2631819999999999E-2</v>
      </c>
      <c r="W47">
        <v>0.1286525</v>
      </c>
      <c r="X47">
        <v>0.9911527</v>
      </c>
      <c r="Y47">
        <v>-1.6984470000000002E-2</v>
      </c>
      <c r="Z47">
        <v>4.7251109999999998E-4</v>
      </c>
      <c r="AA47">
        <v>0.99985559999999996</v>
      </c>
      <c r="AB47">
        <v>4</v>
      </c>
      <c r="AC47">
        <v>22.803299999999901</v>
      </c>
      <c r="AD47">
        <v>-1.120678985931</v>
      </c>
      <c r="AE47">
        <v>0.40819999999996498</v>
      </c>
      <c r="AF47">
        <v>-0.387361436493804</v>
      </c>
      <c r="AG47">
        <v>-1.120678985931</v>
      </c>
      <c r="AH47">
        <v>22.7487207233875</v>
      </c>
      <c r="AI47">
        <v>92.819895881406396</v>
      </c>
      <c r="AJ47">
        <v>90.975528736510697</v>
      </c>
      <c r="AK47">
        <v>22.779601946098001</v>
      </c>
      <c r="AL47">
        <v>82.608267524125097</v>
      </c>
      <c r="AM47">
        <v>88.114326406395904</v>
      </c>
      <c r="AN47">
        <v>0.99999998807502599</v>
      </c>
    </row>
    <row r="48" spans="1:40" x14ac:dyDescent="0.25">
      <c r="A48" t="str">
        <f>"20190303162211204"</f>
        <v>20190303162211204</v>
      </c>
      <c r="B48" t="str">
        <f>"1551601331193742"</f>
        <v>1551601331193742</v>
      </c>
      <c r="C48" t="s">
        <v>40</v>
      </c>
      <c r="D48">
        <v>5.2682699999999896</v>
      </c>
      <c r="E48">
        <v>0.52656420000000004</v>
      </c>
      <c r="F48" t="s">
        <v>41</v>
      </c>
      <c r="G48">
        <v>-446.91559999999998</v>
      </c>
      <c r="H48" s="1">
        <v>-2.5290050000000002E-6</v>
      </c>
      <c r="I48">
        <v>364.50380000000001</v>
      </c>
      <c r="J48">
        <v>-474.32670000000002</v>
      </c>
      <c r="K48">
        <v>1.1211660000000001</v>
      </c>
      <c r="L48">
        <v>367.07049999999998</v>
      </c>
      <c r="M48">
        <v>0.99992259999999999</v>
      </c>
      <c r="N48">
        <v>-1.24076E-2</v>
      </c>
      <c r="O48">
        <v>8.8786249999999996E-4</v>
      </c>
      <c r="P48">
        <v>0.99267059999999996</v>
      </c>
      <c r="Q48">
        <v>0.11660520000000001</v>
      </c>
      <c r="R48">
        <v>-3.1758679999999997E-2</v>
      </c>
      <c r="S48">
        <v>3.028381</v>
      </c>
      <c r="T48">
        <v>-0.12368609999999999</v>
      </c>
      <c r="U48">
        <v>-0.28326420000000002</v>
      </c>
      <c r="V48">
        <v>3.264334E-2</v>
      </c>
      <c r="W48">
        <v>0.12891159999999999</v>
      </c>
      <c r="X48">
        <v>0.99111870000000002</v>
      </c>
      <c r="Y48">
        <v>9.3912270000000006E-2</v>
      </c>
      <c r="Z48">
        <v>-2.5222249999999999E-3</v>
      </c>
      <c r="AA48">
        <v>0.9955773</v>
      </c>
      <c r="AB48">
        <v>4</v>
      </c>
      <c r="AC48">
        <v>27.411100000000001</v>
      </c>
      <c r="AD48">
        <v>-1.121168529005</v>
      </c>
      <c r="AE48">
        <v>-2.56669999999996</v>
      </c>
      <c r="AF48">
        <v>2.58674820488873</v>
      </c>
      <c r="AG48">
        <v>-1.121168529005</v>
      </c>
      <c r="AH48">
        <v>27.363429761691499</v>
      </c>
      <c r="AI48">
        <v>92.335879190658403</v>
      </c>
      <c r="AJ48">
        <v>84.599704190095494</v>
      </c>
      <c r="AK48">
        <v>27.508281906890399</v>
      </c>
      <c r="AL48">
        <v>82.593297864807894</v>
      </c>
      <c r="AM48">
        <v>88.113596525078904</v>
      </c>
      <c r="AN48">
        <v>1.0000000328753</v>
      </c>
    </row>
    <row r="49" spans="1:40" x14ac:dyDescent="0.25">
      <c r="A49" t="str">
        <f>"20190303162211226"</f>
        <v>20190303162211226</v>
      </c>
      <c r="B49" t="str">
        <f>"1551601331214238"</f>
        <v>1551601331214238</v>
      </c>
      <c r="C49" t="s">
        <v>40</v>
      </c>
      <c r="D49">
        <v>5.2776209999999999</v>
      </c>
      <c r="E49">
        <v>0.52747119999999903</v>
      </c>
      <c r="F49" t="s">
        <v>41</v>
      </c>
      <c r="G49">
        <v>-450.47899999999998</v>
      </c>
      <c r="H49" s="1">
        <v>-4.9524360000000004E-6</v>
      </c>
      <c r="I49">
        <v>364.6234</v>
      </c>
      <c r="J49">
        <v>-474.29880000000003</v>
      </c>
      <c r="K49">
        <v>1.121475</v>
      </c>
      <c r="L49">
        <v>367.07049999999998</v>
      </c>
      <c r="M49">
        <v>0.99990239999999997</v>
      </c>
      <c r="N49">
        <v>-1.394575E-2</v>
      </c>
      <c r="O49">
        <v>9.0252210000000004E-4</v>
      </c>
      <c r="P49">
        <v>0.99285299999999999</v>
      </c>
      <c r="Q49">
        <v>0.115106</v>
      </c>
      <c r="R49">
        <v>-3.15263E-2</v>
      </c>
      <c r="S49">
        <v>3.028931</v>
      </c>
      <c r="T49">
        <v>-0.14240129999999901</v>
      </c>
      <c r="U49">
        <v>-0.31079099999999998</v>
      </c>
      <c r="V49">
        <v>3.2427560000000001E-2</v>
      </c>
      <c r="W49">
        <v>0.128939</v>
      </c>
      <c r="X49">
        <v>0.99112219999999995</v>
      </c>
      <c r="Y49">
        <v>0.10282289999999999</v>
      </c>
      <c r="Z49">
        <v>-3.158536E-3</v>
      </c>
      <c r="AA49">
        <v>0.99469470000000004</v>
      </c>
      <c r="AB49">
        <v>3</v>
      </c>
      <c r="AC49">
        <v>23.819799999999901</v>
      </c>
      <c r="AD49">
        <v>-1.121479952436</v>
      </c>
      <c r="AE49">
        <v>-2.4470999999999701</v>
      </c>
      <c r="AF49">
        <v>2.4631958499692002</v>
      </c>
      <c r="AG49">
        <v>-1.121479952436</v>
      </c>
      <c r="AH49">
        <v>23.765450859114999</v>
      </c>
      <c r="AI49">
        <v>92.687380639503999</v>
      </c>
      <c r="AJ49">
        <v>84.082645702065406</v>
      </c>
      <c r="AK49">
        <v>23.919065734598298</v>
      </c>
      <c r="AL49">
        <v>82.5917146065688</v>
      </c>
      <c r="AM49">
        <v>88.126063779382505</v>
      </c>
      <c r="AN49">
        <v>1.0000000138506899</v>
      </c>
    </row>
    <row r="50" spans="1:40" x14ac:dyDescent="0.25">
      <c r="A50" t="str">
        <f>"20190303162211247"</f>
        <v>20190303162211247</v>
      </c>
      <c r="B50" t="str">
        <f>"1551601331233758"</f>
        <v>1551601331233758</v>
      </c>
      <c r="C50" t="s">
        <v>40</v>
      </c>
      <c r="D50">
        <v>5.2703920000000002</v>
      </c>
      <c r="E50">
        <v>0.52762710000000002</v>
      </c>
      <c r="F50" t="s">
        <v>41</v>
      </c>
      <c r="G50">
        <v>-452.52809999999999</v>
      </c>
      <c r="H50" s="1">
        <v>-4.0441279999999999E-6</v>
      </c>
      <c r="I50">
        <v>364.7885</v>
      </c>
      <c r="J50">
        <v>-474.2679</v>
      </c>
      <c r="K50">
        <v>1.1211390000000001</v>
      </c>
      <c r="L50">
        <v>367.07060000000001</v>
      </c>
      <c r="M50">
        <v>0.99991350000000001</v>
      </c>
      <c r="N50">
        <v>-1.3132970000000001E-2</v>
      </c>
      <c r="O50">
        <v>9.4033980000000005E-4</v>
      </c>
      <c r="P50">
        <v>0.99278069999999896</v>
      </c>
      <c r="Q50">
        <v>0.11580260000000001</v>
      </c>
      <c r="R50">
        <v>-3.125315E-2</v>
      </c>
      <c r="S50">
        <v>3.029633</v>
      </c>
      <c r="T50">
        <v>-0.15606510000000001</v>
      </c>
      <c r="U50">
        <v>-0.31756590000000001</v>
      </c>
      <c r="V50">
        <v>3.2189780000000001E-2</v>
      </c>
      <c r="W50">
        <v>0.12882979999999999</v>
      </c>
      <c r="X50">
        <v>0.99114409999999997</v>
      </c>
      <c r="Y50">
        <v>0.105010199999999</v>
      </c>
      <c r="Z50">
        <v>-3.4235229999999999E-3</v>
      </c>
      <c r="AA50">
        <v>0.99446520000000005</v>
      </c>
      <c r="AB50">
        <v>3</v>
      </c>
      <c r="AC50">
        <v>21.739799999999999</v>
      </c>
      <c r="AD50">
        <v>-1.1211430441279999</v>
      </c>
      <c r="AE50">
        <v>-2.28210000000001</v>
      </c>
      <c r="AF50">
        <v>2.2965024167147199</v>
      </c>
      <c r="AG50">
        <v>-1.1211430441279999</v>
      </c>
      <c r="AH50">
        <v>21.680611674604599</v>
      </c>
      <c r="AI50">
        <v>92.943790715376295</v>
      </c>
      <c r="AJ50">
        <v>83.953534236740595</v>
      </c>
      <c r="AK50">
        <v>21.830707905617199</v>
      </c>
      <c r="AL50">
        <v>82.598023550211096</v>
      </c>
      <c r="AM50">
        <v>88.139836084774899</v>
      </c>
      <c r="AN50">
        <v>0.99999996313464801</v>
      </c>
    </row>
    <row r="51" spans="1:40" x14ac:dyDescent="0.25">
      <c r="A51" t="str">
        <f>"20190303162211272"</f>
        <v>20190303162211272</v>
      </c>
      <c r="B51" t="str">
        <f>"1551601331264014"</f>
        <v>1551601331264014</v>
      </c>
      <c r="C51" t="s">
        <v>40</v>
      </c>
      <c r="D51">
        <v>5.2801109999999998</v>
      </c>
      <c r="E51">
        <v>0.52744869999999899</v>
      </c>
      <c r="F51" t="s">
        <v>41</v>
      </c>
      <c r="G51">
        <v>-453.50279999999998</v>
      </c>
      <c r="H51" s="1">
        <v>-3.6078570000000001E-6</v>
      </c>
      <c r="I51">
        <v>364.89069999999998</v>
      </c>
      <c r="J51">
        <v>-474.22649999999999</v>
      </c>
      <c r="K51">
        <v>1.1205639999999999</v>
      </c>
      <c r="L51">
        <v>367.07060000000001</v>
      </c>
      <c r="M51">
        <v>0.99993690000000002</v>
      </c>
      <c r="N51">
        <v>-1.1184589999999999E-2</v>
      </c>
      <c r="O51">
        <v>1.015541E-3</v>
      </c>
      <c r="P51">
        <v>0.99257359999999994</v>
      </c>
      <c r="Q51">
        <v>0.11763179999999999</v>
      </c>
      <c r="R51">
        <v>-3.099528E-2</v>
      </c>
      <c r="S51">
        <v>3.030945</v>
      </c>
      <c r="T51">
        <v>-0.16364500000000001</v>
      </c>
      <c r="U51">
        <v>-0.31817630000000002</v>
      </c>
      <c r="V51">
        <v>3.2003049999999998E-2</v>
      </c>
      <c r="W51">
        <v>0.1287258</v>
      </c>
      <c r="X51">
        <v>0.99116369999999998</v>
      </c>
      <c r="Y51">
        <v>0.105228</v>
      </c>
      <c r="Z51">
        <v>-3.4648069999999999E-3</v>
      </c>
      <c r="AA51">
        <v>0.9944421</v>
      </c>
      <c r="AB51">
        <v>3</v>
      </c>
      <c r="AC51">
        <v>20.723700000000001</v>
      </c>
      <c r="AD51">
        <v>-1.1205676078569999</v>
      </c>
      <c r="AE51">
        <v>-2.1799000000000301</v>
      </c>
      <c r="AF51">
        <v>2.1945996992224801</v>
      </c>
      <c r="AG51">
        <v>-1.1205676078569999</v>
      </c>
      <c r="AH51">
        <v>20.6617265928029</v>
      </c>
      <c r="AI51">
        <v>93.087006014591793</v>
      </c>
      <c r="AJ51">
        <v>83.937021016861294</v>
      </c>
      <c r="AK51">
        <v>20.808144689023699</v>
      </c>
      <c r="AL51">
        <v>82.604032644068596</v>
      </c>
      <c r="AM51">
        <v>88.150655757754393</v>
      </c>
      <c r="AN51">
        <v>1.0000000034963099</v>
      </c>
    </row>
    <row r="52" spans="1:40" x14ac:dyDescent="0.25">
      <c r="A52" t="str">
        <f>"20190303162211296"</f>
        <v>20190303162211296</v>
      </c>
      <c r="B52" t="str">
        <f>"1551601331284040"</f>
        <v>1551601331284040</v>
      </c>
      <c r="C52" t="s">
        <v>40</v>
      </c>
      <c r="D52">
        <v>5.2692170000000003</v>
      </c>
      <c r="E52">
        <v>0.52733540000000001</v>
      </c>
      <c r="F52" t="s">
        <v>41</v>
      </c>
      <c r="G52">
        <v>-453.3048</v>
      </c>
      <c r="H52" s="1">
        <v>-3.693228E-6</v>
      </c>
      <c r="I52">
        <v>364.88819999999998</v>
      </c>
      <c r="J52">
        <v>-474.18419999999998</v>
      </c>
      <c r="K52">
        <v>1.1203110000000001</v>
      </c>
      <c r="L52">
        <v>367.07080000000002</v>
      </c>
      <c r="M52">
        <v>0.99994930000000004</v>
      </c>
      <c r="N52">
        <v>-1.001869E-2</v>
      </c>
      <c r="O52">
        <v>1.1025760000000001E-3</v>
      </c>
      <c r="P52">
        <v>0.99242710000000001</v>
      </c>
      <c r="Q52">
        <v>0.1189146</v>
      </c>
      <c r="R52">
        <v>-3.0792699999999999E-2</v>
      </c>
      <c r="S52">
        <v>3.0317989999999999</v>
      </c>
      <c r="T52">
        <v>-0.16238259999999999</v>
      </c>
      <c r="U52">
        <v>-0.31625370000000003</v>
      </c>
      <c r="V52">
        <v>3.1882960000000002E-2</v>
      </c>
      <c r="W52">
        <v>0.12885199999999999</v>
      </c>
      <c r="X52">
        <v>0.99115120000000001</v>
      </c>
      <c r="Y52">
        <v>0.10466839999999999</v>
      </c>
      <c r="Z52">
        <v>-3.3674780000000001E-3</v>
      </c>
      <c r="AA52">
        <v>0.99450150000000004</v>
      </c>
      <c r="AB52">
        <v>4</v>
      </c>
      <c r="AC52">
        <v>20.879399999999901</v>
      </c>
      <c r="AD52">
        <v>-1.1203146932279999</v>
      </c>
      <c r="AE52">
        <v>-2.1826000000000301</v>
      </c>
      <c r="AF52">
        <v>2.19935741072891</v>
      </c>
      <c r="AG52">
        <v>-1.1203146932279999</v>
      </c>
      <c r="AH52">
        <v>20.817694078063301</v>
      </c>
      <c r="AI52">
        <v>93.063413665183603</v>
      </c>
      <c r="AJ52">
        <v>83.969160419012894</v>
      </c>
      <c r="AK52">
        <v>20.963507930683399</v>
      </c>
      <c r="AL52">
        <v>82.596741399638901</v>
      </c>
      <c r="AM52">
        <v>88.157567327038507</v>
      </c>
      <c r="AN52">
        <v>1.0000000311518999</v>
      </c>
    </row>
    <row r="53" spans="1:40" x14ac:dyDescent="0.25">
      <c r="A53" t="str">
        <f>"20190303162211317"</f>
        <v>20190303162211317</v>
      </c>
      <c r="B53" t="str">
        <f>"1551601331304535"</f>
        <v>1551601331304535</v>
      </c>
      <c r="C53" t="s">
        <v>40</v>
      </c>
      <c r="D53">
        <v>5.2955779999999999</v>
      </c>
      <c r="E53">
        <v>0.52720889999999998</v>
      </c>
      <c r="F53" t="s">
        <v>41</v>
      </c>
      <c r="G53">
        <v>-452.95650000000001</v>
      </c>
      <c r="H53" s="1">
        <v>-3.8463729999999996E-6</v>
      </c>
      <c r="I53">
        <v>364.86720000000003</v>
      </c>
      <c r="J53">
        <v>-474.15219999999999</v>
      </c>
      <c r="K53">
        <v>1.1205510000000001</v>
      </c>
      <c r="L53">
        <v>367.07089999999999</v>
      </c>
      <c r="M53">
        <v>0.99994329999999998</v>
      </c>
      <c r="N53">
        <v>-1.059383E-2</v>
      </c>
      <c r="O53">
        <v>1.16084E-3</v>
      </c>
      <c r="P53">
        <v>0.99250870000000002</v>
      </c>
      <c r="Q53">
        <v>0.11833829999999999</v>
      </c>
      <c r="R53">
        <v>-3.037786E-2</v>
      </c>
      <c r="S53">
        <v>3.0323180000000001</v>
      </c>
      <c r="T53">
        <v>-0.16003290000000001</v>
      </c>
      <c r="U53">
        <v>-0.31475829999999999</v>
      </c>
      <c r="V53">
        <v>3.152576E-2</v>
      </c>
      <c r="W53">
        <v>0.12884680000000001</v>
      </c>
      <c r="X53">
        <v>0.99116329999999997</v>
      </c>
      <c r="Y53">
        <v>0.1042275</v>
      </c>
      <c r="Z53">
        <v>-3.3439170000000001E-3</v>
      </c>
      <c r="AA53">
        <v>0.99454779999999998</v>
      </c>
      <c r="AB53">
        <v>4</v>
      </c>
      <c r="AC53">
        <v>21.195699999999899</v>
      </c>
      <c r="AD53">
        <v>-1.120554846373</v>
      </c>
      <c r="AE53">
        <v>-2.20369999999996</v>
      </c>
      <c r="AF53">
        <v>2.2221603486902599</v>
      </c>
      <c r="AG53">
        <v>-1.120554846373</v>
      </c>
      <c r="AH53">
        <v>21.134689178667401</v>
      </c>
      <c r="AI53">
        <v>93.018356130825694</v>
      </c>
      <c r="AJ53">
        <v>83.997814685280204</v>
      </c>
      <c r="AK53">
        <v>21.280712545821899</v>
      </c>
      <c r="AL53">
        <v>82.597041828633493</v>
      </c>
      <c r="AM53">
        <v>88.178217215363503</v>
      </c>
      <c r="AN53">
        <v>1.0000000293403499</v>
      </c>
    </row>
    <row r="54" spans="1:40" x14ac:dyDescent="0.25">
      <c r="A54" t="str">
        <f>"20190303162211337"</f>
        <v>20190303162211337</v>
      </c>
      <c r="B54" t="str">
        <f>"1551601331324055"</f>
        <v>1551601331324055</v>
      </c>
      <c r="C54" t="s">
        <v>40</v>
      </c>
      <c r="D54">
        <v>5.369904</v>
      </c>
      <c r="E54">
        <v>0.5269741</v>
      </c>
      <c r="F54" t="s">
        <v>41</v>
      </c>
      <c r="G54">
        <v>-453.28</v>
      </c>
      <c r="H54" s="1">
        <v>-3.698658E-6</v>
      </c>
      <c r="I54">
        <v>364.91739999999999</v>
      </c>
      <c r="J54">
        <v>-474.1241</v>
      </c>
      <c r="K54">
        <v>1.1209899999999999</v>
      </c>
      <c r="L54">
        <v>367.07100000000003</v>
      </c>
      <c r="M54">
        <v>0.99992630000000005</v>
      </c>
      <c r="N54">
        <v>-1.208153E-2</v>
      </c>
      <c r="O54">
        <v>1.201101E-3</v>
      </c>
      <c r="P54">
        <v>0.99272360000000004</v>
      </c>
      <c r="Q54">
        <v>0.1165593</v>
      </c>
      <c r="R54">
        <v>-3.0230159999999999E-2</v>
      </c>
      <c r="S54">
        <v>3.0324399999999998</v>
      </c>
      <c r="T54">
        <v>-0.1628009</v>
      </c>
      <c r="U54">
        <v>-0.31286619999999998</v>
      </c>
      <c r="V54">
        <v>3.1421200000000003E-2</v>
      </c>
      <c r="W54">
        <v>0.1285442</v>
      </c>
      <c r="X54">
        <v>0.99120589999999997</v>
      </c>
      <c r="Y54">
        <v>0.10364080000000001</v>
      </c>
      <c r="Z54">
        <v>-3.4508070000000002E-3</v>
      </c>
      <c r="AA54">
        <v>0.99460879999999996</v>
      </c>
      <c r="AB54">
        <v>4</v>
      </c>
      <c r="AC54">
        <v>20.844100000000001</v>
      </c>
      <c r="AD54">
        <v>-1.120993698658</v>
      </c>
      <c r="AE54">
        <v>-2.15359999999998</v>
      </c>
      <c r="AF54">
        <v>2.17241926679911</v>
      </c>
      <c r="AG54">
        <v>-1.120993698658</v>
      </c>
      <c r="AH54">
        <v>20.782025548892001</v>
      </c>
      <c r="AI54">
        <v>93.070872891047401</v>
      </c>
      <c r="AJ54">
        <v>84.0323415274176</v>
      </c>
      <c r="AK54">
        <v>20.925310469811201</v>
      </c>
      <c r="AL54">
        <v>82.614524845930205</v>
      </c>
      <c r="AM54">
        <v>88.184333369692197</v>
      </c>
      <c r="AN54">
        <v>1.00000001967894</v>
      </c>
    </row>
    <row r="55" spans="1:40" x14ac:dyDescent="0.25">
      <c r="A55" t="str">
        <f>"20190303162211371"</f>
        <v>20190303162211371</v>
      </c>
      <c r="B55" t="str">
        <f>"1551601331364071"</f>
        <v>1551601331364071</v>
      </c>
      <c r="C55" t="s">
        <v>40</v>
      </c>
      <c r="D55">
        <v>5.3106280000000003</v>
      </c>
      <c r="E55">
        <v>0.52669350000000004</v>
      </c>
      <c r="F55" t="s">
        <v>41</v>
      </c>
      <c r="G55">
        <v>-454.39920000000001</v>
      </c>
      <c r="H55" s="1">
        <v>-3.1952209999999999E-6</v>
      </c>
      <c r="I55">
        <v>365.04899999999998</v>
      </c>
      <c r="J55">
        <v>-474.07139999999998</v>
      </c>
      <c r="K55">
        <v>1.12079</v>
      </c>
      <c r="L55">
        <v>367.07119999999998</v>
      </c>
      <c r="M55">
        <v>0.99993279999999995</v>
      </c>
      <c r="N55">
        <v>-1.1519639999999999E-2</v>
      </c>
      <c r="O55">
        <v>1.312836E-3</v>
      </c>
      <c r="P55">
        <v>0.99272329999999998</v>
      </c>
      <c r="Q55">
        <v>0.1166225</v>
      </c>
      <c r="R55">
        <v>-2.9998520000000001E-2</v>
      </c>
      <c r="S55">
        <v>3.0327760000000001</v>
      </c>
      <c r="T55">
        <v>-0.17235590000000001</v>
      </c>
      <c r="U55">
        <v>-0.31088259999999901</v>
      </c>
      <c r="V55">
        <v>3.1298930000000003E-2</v>
      </c>
      <c r="W55">
        <v>0.1280509</v>
      </c>
      <c r="X55">
        <v>0.99127359999999998</v>
      </c>
      <c r="Y55">
        <v>0.10307959999999999</v>
      </c>
      <c r="Z55">
        <v>-3.5742159999999999E-3</v>
      </c>
      <c r="AA55">
        <v>0.99466670000000001</v>
      </c>
      <c r="AB55">
        <v>3</v>
      </c>
      <c r="AC55">
        <v>19.672199999999901</v>
      </c>
      <c r="AD55">
        <v>-1.120793195221</v>
      </c>
      <c r="AE55">
        <v>-2.0221999999999398</v>
      </c>
      <c r="AF55">
        <v>2.0414690753582798</v>
      </c>
      <c r="AG55">
        <v>-1.120793195221</v>
      </c>
      <c r="AH55">
        <v>19.606551148541801</v>
      </c>
      <c r="AI55">
        <v>93.254153878226404</v>
      </c>
      <c r="AJ55">
        <v>84.055680965216396</v>
      </c>
      <c r="AK55">
        <v>19.744382019006899</v>
      </c>
      <c r="AL55">
        <v>82.643024258706305</v>
      </c>
      <c r="AM55">
        <v>88.191517449699205</v>
      </c>
      <c r="AN55">
        <v>1.0000000030334499</v>
      </c>
    </row>
    <row r="56" spans="1:40" x14ac:dyDescent="0.25">
      <c r="A56" t="str">
        <f>"20190303162211393"</f>
        <v>20190303162211393</v>
      </c>
      <c r="B56" t="str">
        <f>"1551601331384567"</f>
        <v>1551601331384567</v>
      </c>
      <c r="C56" t="s">
        <v>40</v>
      </c>
      <c r="D56">
        <v>5.2954749999999997</v>
      </c>
      <c r="E56">
        <v>0.52688800000000002</v>
      </c>
      <c r="F56" t="s">
        <v>41</v>
      </c>
      <c r="G56">
        <v>-455.19569999999999</v>
      </c>
      <c r="H56" s="1">
        <v>-2.8351639999999998E-6</v>
      </c>
      <c r="I56">
        <v>365.15230000000003</v>
      </c>
      <c r="J56">
        <v>-474.03129999999999</v>
      </c>
      <c r="K56">
        <v>1.120357</v>
      </c>
      <c r="L56">
        <v>367.07139999999998</v>
      </c>
      <c r="M56">
        <v>0.99995029999999996</v>
      </c>
      <c r="N56">
        <v>-9.8622750000000002E-3</v>
      </c>
      <c r="O56">
        <v>1.4296109999999999E-3</v>
      </c>
      <c r="P56">
        <v>0.99255249999999995</v>
      </c>
      <c r="Q56">
        <v>0.11792030000000001</v>
      </c>
      <c r="R56">
        <v>-3.0568930000000001E-2</v>
      </c>
      <c r="S56">
        <v>3.0338440000000002</v>
      </c>
      <c r="T56">
        <v>-0.18014229999999901</v>
      </c>
      <c r="U56">
        <v>-0.30841059999999998</v>
      </c>
      <c r="V56">
        <v>3.1982530000000002E-2</v>
      </c>
      <c r="W56">
        <v>0.12770429999999999</v>
      </c>
      <c r="X56">
        <v>0.99129650000000002</v>
      </c>
      <c r="Y56">
        <v>0.1023476</v>
      </c>
      <c r="Z56">
        <v>-3.6051780000000001E-3</v>
      </c>
      <c r="AA56">
        <v>0.99474220000000002</v>
      </c>
      <c r="AB56">
        <v>3</v>
      </c>
      <c r="AC56">
        <v>18.835599999999999</v>
      </c>
      <c r="AD56">
        <v>-1.1203598351639901</v>
      </c>
      <c r="AE56">
        <v>-1.9190999999999501</v>
      </c>
      <c r="AF56">
        <v>1.93923643032443</v>
      </c>
      <c r="AG56">
        <v>-1.1203598351639901</v>
      </c>
      <c r="AH56">
        <v>18.767121421461798</v>
      </c>
      <c r="AI56">
        <v>93.398337650040204</v>
      </c>
      <c r="AJ56">
        <v>84.100473982844306</v>
      </c>
      <c r="AK56">
        <v>18.9002828164246</v>
      </c>
      <c r="AL56">
        <v>82.663047422969996</v>
      </c>
      <c r="AM56">
        <v>88.1520881329037</v>
      </c>
      <c r="AN56">
        <v>1.0000000106879701</v>
      </c>
    </row>
    <row r="57" spans="1:40" x14ac:dyDescent="0.25">
      <c r="A57" t="str">
        <f>"20190303162211415"</f>
        <v>20190303162211415</v>
      </c>
      <c r="B57" t="str">
        <f>"1551601331404088"</f>
        <v>1551601331404088</v>
      </c>
      <c r="C57" t="s">
        <v>40</v>
      </c>
      <c r="D57">
        <v>5.3135859999999999</v>
      </c>
      <c r="E57">
        <v>0.52705749999999996</v>
      </c>
      <c r="F57" t="s">
        <v>41</v>
      </c>
      <c r="G57">
        <v>-454.67070000000001</v>
      </c>
      <c r="H57" s="1">
        <v>-3.0723950000000001E-6</v>
      </c>
      <c r="I57">
        <v>365.08460000000002</v>
      </c>
      <c r="J57">
        <v>-473.99009999999998</v>
      </c>
      <c r="K57">
        <v>1.1202510000000001</v>
      </c>
      <c r="L57">
        <v>367.07150000000001</v>
      </c>
      <c r="M57">
        <v>0.99995730000000005</v>
      </c>
      <c r="N57">
        <v>-9.1165429999999995E-3</v>
      </c>
      <c r="O57">
        <v>1.5504399999999999E-3</v>
      </c>
      <c r="P57">
        <v>0.9924499</v>
      </c>
      <c r="Q57">
        <v>0.11878279999999999</v>
      </c>
      <c r="R57">
        <v>-3.0562530000000001E-2</v>
      </c>
      <c r="S57">
        <v>3.0337519999999998</v>
      </c>
      <c r="T57">
        <v>-0.17555689999999999</v>
      </c>
      <c r="U57">
        <v>-0.31130980000000003</v>
      </c>
      <c r="V57">
        <v>3.209422E-2</v>
      </c>
      <c r="W57">
        <v>0.12782679999999999</v>
      </c>
      <c r="X57">
        <v>0.99127710000000002</v>
      </c>
      <c r="Y57">
        <v>0.1034214</v>
      </c>
      <c r="Z57">
        <v>-3.5305240000000002E-3</v>
      </c>
      <c r="AA57">
        <v>0.99463140000000005</v>
      </c>
      <c r="AB57">
        <v>4</v>
      </c>
      <c r="AC57">
        <v>19.319399999999899</v>
      </c>
      <c r="AD57">
        <v>-1.1202540723950001</v>
      </c>
      <c r="AE57">
        <v>-1.9868999999999899</v>
      </c>
      <c r="AF57">
        <v>2.0101642460256901</v>
      </c>
      <c r="AG57">
        <v>-1.1202540723950001</v>
      </c>
      <c r="AH57">
        <v>19.252240401757</v>
      </c>
      <c r="AI57">
        <v>93.312220367220604</v>
      </c>
      <c r="AJ57">
        <v>84.039233617905495</v>
      </c>
      <c r="AK57">
        <v>19.389288021218398</v>
      </c>
      <c r="AL57">
        <v>82.655970682249503</v>
      </c>
      <c r="AM57">
        <v>88.145603051761995</v>
      </c>
      <c r="AN57">
        <v>1.0000000093700201</v>
      </c>
    </row>
    <row r="58" spans="1:40" x14ac:dyDescent="0.25">
      <c r="A58" t="str">
        <f>"20190303162211437"</f>
        <v>20190303162211437</v>
      </c>
      <c r="B58" t="str">
        <f>"1551601331424583"</f>
        <v>1551601331424583</v>
      </c>
      <c r="C58" t="s">
        <v>40</v>
      </c>
      <c r="D58">
        <v>5.3308369999999998</v>
      </c>
      <c r="E58">
        <v>0.52724300000000002</v>
      </c>
      <c r="F58" t="s">
        <v>41</v>
      </c>
      <c r="G58">
        <v>-454.40620000000001</v>
      </c>
      <c r="H58" s="1">
        <v>-3.1908180000000001E-6</v>
      </c>
      <c r="I58">
        <v>365.05680000000001</v>
      </c>
      <c r="J58">
        <v>-473.95389999999998</v>
      </c>
      <c r="K58">
        <v>1.120608</v>
      </c>
      <c r="L58">
        <v>367.07170000000002</v>
      </c>
      <c r="M58">
        <v>0.99994769999999999</v>
      </c>
      <c r="N58">
        <v>-1.0096620000000001E-2</v>
      </c>
      <c r="O58">
        <v>1.637445E-3</v>
      </c>
      <c r="P58">
        <v>0.99258809999999997</v>
      </c>
      <c r="Q58">
        <v>0.1178284</v>
      </c>
      <c r="R58">
        <v>-2.9754800000000001E-2</v>
      </c>
      <c r="S58">
        <v>3.0339659999999999</v>
      </c>
      <c r="T58">
        <v>-0.1735506</v>
      </c>
      <c r="U58">
        <v>-0.31210329999999997</v>
      </c>
      <c r="V58">
        <v>3.1375470000000003E-2</v>
      </c>
      <c r="W58">
        <v>0.12784480000000001</v>
      </c>
      <c r="X58">
        <v>0.99129780000000001</v>
      </c>
      <c r="Y58">
        <v>0.103759</v>
      </c>
      <c r="Z58">
        <v>-3.5599960000000002E-3</v>
      </c>
      <c r="AA58">
        <v>0.99459609999999998</v>
      </c>
      <c r="AB58">
        <v>4</v>
      </c>
      <c r="AC58">
        <v>19.547699999999899</v>
      </c>
      <c r="AD58">
        <v>-1.1206111908180001</v>
      </c>
      <c r="AE58">
        <v>-2.0149000000000101</v>
      </c>
      <c r="AF58">
        <v>2.0402725807983901</v>
      </c>
      <c r="AG58">
        <v>-1.1206111908180001</v>
      </c>
      <c r="AH58">
        <v>19.481025229260101</v>
      </c>
      <c r="AI58">
        <v>93.274340119199294</v>
      </c>
      <c r="AJ58">
        <v>84.021136471785198</v>
      </c>
      <c r="AK58">
        <v>19.619603095577901</v>
      </c>
      <c r="AL58">
        <v>82.654930909842605</v>
      </c>
      <c r="AM58">
        <v>88.187142069658805</v>
      </c>
      <c r="AN58">
        <v>1.0000000206448001</v>
      </c>
    </row>
    <row r="59" spans="1:40" x14ac:dyDescent="0.25">
      <c r="A59" t="str">
        <f>"20190303162211460"</f>
        <v>20190303162211460</v>
      </c>
      <c r="B59" t="str">
        <f>"1551601331453864"</f>
        <v>1551601331453864</v>
      </c>
      <c r="C59" t="s">
        <v>40</v>
      </c>
      <c r="D59">
        <v>5.3434749999999998</v>
      </c>
      <c r="E59">
        <v>0.52729119999999996</v>
      </c>
      <c r="F59" t="s">
        <v>41</v>
      </c>
      <c r="G59">
        <v>-454.69240000000002</v>
      </c>
      <c r="H59" s="1">
        <v>-3.0605059999999999E-6</v>
      </c>
      <c r="I59">
        <v>365.09930000000003</v>
      </c>
      <c r="J59">
        <v>-473.9212</v>
      </c>
      <c r="K59">
        <v>1.1211370000000001</v>
      </c>
      <c r="L59">
        <v>367.0718</v>
      </c>
      <c r="M59">
        <v>0.99992669999999995</v>
      </c>
      <c r="N59">
        <v>-1.2004310000000001E-2</v>
      </c>
      <c r="O59">
        <v>1.695352E-3</v>
      </c>
      <c r="P59">
        <v>0.99285469999999998</v>
      </c>
      <c r="Q59">
        <v>0.11580790000000001</v>
      </c>
      <c r="R59">
        <v>-2.878791E-2</v>
      </c>
      <c r="S59">
        <v>3.034027</v>
      </c>
      <c r="T59">
        <v>-0.1765149</v>
      </c>
      <c r="U59">
        <v>-0.31066890000000003</v>
      </c>
      <c r="V59">
        <v>3.0472800000000001E-2</v>
      </c>
      <c r="W59">
        <v>0.127717</v>
      </c>
      <c r="X59">
        <v>0.99134239999999996</v>
      </c>
      <c r="Y59">
        <v>0.1033381</v>
      </c>
      <c r="Z59">
        <v>-3.6961979999999999E-3</v>
      </c>
      <c r="AA59">
        <v>0.99463939999999995</v>
      </c>
      <c r="AB59">
        <v>4</v>
      </c>
      <c r="AC59">
        <v>19.2287999999999</v>
      </c>
      <c r="AD59">
        <v>-1.121140060506</v>
      </c>
      <c r="AE59">
        <v>-1.97249999999996</v>
      </c>
      <c r="AF59">
        <v>1.99837634852543</v>
      </c>
      <c r="AG59">
        <v>-1.121140060506</v>
      </c>
      <c r="AH59">
        <v>19.160968569074502</v>
      </c>
      <c r="AI59">
        <v>93.330629027891703</v>
      </c>
      <c r="AJ59">
        <v>84.0459129098343</v>
      </c>
      <c r="AK59">
        <v>19.2974915357069</v>
      </c>
      <c r="AL59">
        <v>82.662313597702294</v>
      </c>
      <c r="AM59">
        <v>88.239343709951001</v>
      </c>
      <c r="AN59">
        <v>0.99999998883329999</v>
      </c>
    </row>
    <row r="60" spans="1:40" x14ac:dyDescent="0.25">
      <c r="A60" t="str">
        <f>"20190303162211485"</f>
        <v>20190303162211485</v>
      </c>
      <c r="B60" t="str">
        <f>"1551601331474361"</f>
        <v>1551601331474361</v>
      </c>
      <c r="C60" t="s">
        <v>40</v>
      </c>
      <c r="D60">
        <v>5.3479159999999997</v>
      </c>
      <c r="E60">
        <v>0.52739150000000001</v>
      </c>
      <c r="F60" t="s">
        <v>41</v>
      </c>
      <c r="G60">
        <v>-455.33179999999999</v>
      </c>
      <c r="H60" s="1">
        <v>-2.7704089999999998E-6</v>
      </c>
      <c r="I60">
        <v>365.18830000000003</v>
      </c>
      <c r="J60">
        <v>-473.89019999999999</v>
      </c>
      <c r="K60">
        <v>1.1215619999999999</v>
      </c>
      <c r="L60">
        <v>367.07190000000003</v>
      </c>
      <c r="M60">
        <v>0.99990140000000005</v>
      </c>
      <c r="N60">
        <v>-1.3935960000000001E-2</v>
      </c>
      <c r="O60">
        <v>1.739928E-3</v>
      </c>
      <c r="P60">
        <v>0.99310759999999998</v>
      </c>
      <c r="Q60">
        <v>0.1136262</v>
      </c>
      <c r="R60">
        <v>-2.8755570000000001E-2</v>
      </c>
      <c r="S60">
        <v>3.034027</v>
      </c>
      <c r="T60">
        <v>-0.18298339999999999</v>
      </c>
      <c r="U60">
        <v>-0.307403599999999</v>
      </c>
      <c r="V60">
        <v>3.049087E-2</v>
      </c>
      <c r="W60">
        <v>0.1274527</v>
      </c>
      <c r="X60">
        <v>0.99137589999999998</v>
      </c>
      <c r="Y60">
        <v>0.1023049</v>
      </c>
      <c r="Z60">
        <v>-3.8702849999999998E-3</v>
      </c>
      <c r="AA60">
        <v>0.99474560000000001</v>
      </c>
      <c r="AB60">
        <v>3</v>
      </c>
      <c r="AC60">
        <v>18.558399999999999</v>
      </c>
      <c r="AD60">
        <v>-1.1215647704089999</v>
      </c>
      <c r="AE60">
        <v>-1.8835999999999999</v>
      </c>
      <c r="AF60">
        <v>1.9089894330595301</v>
      </c>
      <c r="AG60">
        <v>-1.1215647704089999</v>
      </c>
      <c r="AH60">
        <v>18.488257911601899</v>
      </c>
      <c r="AI60">
        <v>93.453201023952502</v>
      </c>
      <c r="AJ60">
        <v>84.104863691335595</v>
      </c>
      <c r="AK60">
        <v>18.620360597895701</v>
      </c>
      <c r="AL60">
        <v>82.677581947533298</v>
      </c>
      <c r="AM60">
        <v>88.238359812709305</v>
      </c>
      <c r="AN60">
        <v>1.0000000294957201</v>
      </c>
    </row>
    <row r="61" spans="1:40" x14ac:dyDescent="0.25">
      <c r="A61" t="str">
        <f>"20190303162211508"</f>
        <v>20190303162211508</v>
      </c>
      <c r="B61" t="str">
        <f>"1551601331493881"</f>
        <v>1551601331493881</v>
      </c>
      <c r="C61" t="s">
        <v>40</v>
      </c>
      <c r="D61">
        <v>5.3546329999999998</v>
      </c>
      <c r="E61">
        <v>0.52740690000000001</v>
      </c>
      <c r="F61" t="s">
        <v>41</v>
      </c>
      <c r="G61">
        <v>-455.96809999999999</v>
      </c>
      <c r="H61" s="1">
        <v>-2.5178740000000002E-6</v>
      </c>
      <c r="I61">
        <v>365.25760000000002</v>
      </c>
      <c r="J61">
        <v>-473.85320000000002</v>
      </c>
      <c r="K61">
        <v>1.12121</v>
      </c>
      <c r="L61">
        <v>367.07209999999998</v>
      </c>
      <c r="M61">
        <v>0.99991289999999999</v>
      </c>
      <c r="N61">
        <v>-1.306848E-2</v>
      </c>
      <c r="O61">
        <v>1.8695579999999999E-3</v>
      </c>
      <c r="P61">
        <v>0.99317719999999998</v>
      </c>
      <c r="Q61">
        <v>0.11266760000000001</v>
      </c>
      <c r="R61">
        <v>-3.008535E-2</v>
      </c>
      <c r="S61">
        <v>3.0336910000000001</v>
      </c>
      <c r="T61">
        <v>-0.1898475</v>
      </c>
      <c r="U61">
        <v>-0.30709839999999999</v>
      </c>
      <c r="V61">
        <v>3.1940339999999998E-2</v>
      </c>
      <c r="W61">
        <v>0.12563730000000001</v>
      </c>
      <c r="X61">
        <v>0.9915619</v>
      </c>
      <c r="Y61">
        <v>0.1023324</v>
      </c>
      <c r="Z61">
        <v>-3.954122E-3</v>
      </c>
      <c r="AA61">
        <v>0.99474240000000003</v>
      </c>
      <c r="AB61">
        <v>3</v>
      </c>
      <c r="AC61">
        <v>17.885100000000001</v>
      </c>
      <c r="AD61">
        <v>-1.121212517874</v>
      </c>
      <c r="AE61">
        <v>-1.81449999999995</v>
      </c>
      <c r="AF61">
        <v>1.8407763554341099</v>
      </c>
      <c r="AG61">
        <v>-1.121212517874</v>
      </c>
      <c r="AH61">
        <v>17.8123865431679</v>
      </c>
      <c r="AI61">
        <v>93.582738708873705</v>
      </c>
      <c r="AJ61">
        <v>84.099855930889404</v>
      </c>
      <c r="AK61">
        <v>17.942315610427599</v>
      </c>
      <c r="AL61">
        <v>82.782439171472006</v>
      </c>
      <c r="AM61">
        <v>88.155017749189895</v>
      </c>
      <c r="AN61">
        <v>0.99999995900110605</v>
      </c>
    </row>
    <row r="62" spans="1:40" x14ac:dyDescent="0.25">
      <c r="A62" t="str">
        <f>"20190303162211550"</f>
        <v>20190303162211550</v>
      </c>
      <c r="B62" t="str">
        <f>"1551601331544632"</f>
        <v>1551601331544632</v>
      </c>
      <c r="C62" t="s">
        <v>40</v>
      </c>
      <c r="D62">
        <v>5.4071420000000003</v>
      </c>
      <c r="E62">
        <v>0.5274143</v>
      </c>
      <c r="F62" t="s">
        <v>41</v>
      </c>
      <c r="G62">
        <v>-456.28519999999997</v>
      </c>
      <c r="H62" s="1">
        <v>-2.4050799999999999E-6</v>
      </c>
      <c r="I62">
        <v>365.27600000000001</v>
      </c>
      <c r="J62">
        <v>-473.77769999999998</v>
      </c>
      <c r="K62">
        <v>1.1204620000000001</v>
      </c>
      <c r="L62">
        <v>367.07249999999999</v>
      </c>
      <c r="M62">
        <v>0.99994430000000001</v>
      </c>
      <c r="N62">
        <v>-1.030824E-2</v>
      </c>
      <c r="O62">
        <v>2.2928850000000001E-3</v>
      </c>
      <c r="P62">
        <v>0.99303129999999995</v>
      </c>
      <c r="Q62">
        <v>0.112369899999999</v>
      </c>
      <c r="R62">
        <v>-3.552462E-2</v>
      </c>
      <c r="S62">
        <v>3.0332029999999999</v>
      </c>
      <c r="T62">
        <v>-0.19358149999999999</v>
      </c>
      <c r="U62">
        <v>-0.31008909999999901</v>
      </c>
      <c r="V62">
        <v>3.7780019999999997E-2</v>
      </c>
      <c r="W62">
        <v>0.1226063</v>
      </c>
      <c r="X62">
        <v>0.99173610000000001</v>
      </c>
      <c r="Y62">
        <v>0.1037361</v>
      </c>
      <c r="Z62">
        <v>-3.9572829999999998E-3</v>
      </c>
      <c r="AA62">
        <v>0.99459699999999995</v>
      </c>
      <c r="AB62">
        <v>4</v>
      </c>
      <c r="AC62">
        <v>17.4925</v>
      </c>
      <c r="AD62">
        <v>-1.1204644050799999</v>
      </c>
      <c r="AE62">
        <v>-1.79649999999998</v>
      </c>
      <c r="AF62">
        <v>1.8291790657411899</v>
      </c>
      <c r="AG62">
        <v>-1.1204644050799999</v>
      </c>
      <c r="AH62">
        <v>17.417617538563501</v>
      </c>
      <c r="AI62">
        <v>93.660653770823998</v>
      </c>
      <c r="AJ62">
        <v>84.004835869854801</v>
      </c>
      <c r="AK62">
        <v>17.5492090208439</v>
      </c>
      <c r="AL62">
        <v>82.957456904113798</v>
      </c>
      <c r="AM62">
        <v>87.818381837071897</v>
      </c>
      <c r="AN62">
        <v>1.0000000633770401</v>
      </c>
    </row>
    <row r="63" spans="1:40" x14ac:dyDescent="0.25">
      <c r="A63" t="str">
        <f>"20190303162211572"</f>
        <v>20190303162211572</v>
      </c>
      <c r="B63" t="str">
        <f>"1551601331564153"</f>
        <v>1551601331564153</v>
      </c>
      <c r="C63" t="s">
        <v>40</v>
      </c>
      <c r="D63">
        <v>5.3962599999999998</v>
      </c>
      <c r="E63">
        <v>0.52200230000000003</v>
      </c>
      <c r="F63" t="s">
        <v>41</v>
      </c>
      <c r="G63">
        <v>-456.40460000000002</v>
      </c>
      <c r="H63" s="1">
        <v>-2.3834950000000002E-6</v>
      </c>
      <c r="I63">
        <v>365.20440000000002</v>
      </c>
      <c r="J63">
        <v>-473.74090000000001</v>
      </c>
      <c r="K63">
        <v>1.120671</v>
      </c>
      <c r="L63">
        <v>367.07279999999997</v>
      </c>
      <c r="M63">
        <v>0.99993920000000003</v>
      </c>
      <c r="N63">
        <v>-1.0740110000000001E-2</v>
      </c>
      <c r="O63">
        <v>2.4945100000000001E-3</v>
      </c>
      <c r="P63">
        <v>0.99301550000000005</v>
      </c>
      <c r="Q63">
        <v>0.11163960000000001</v>
      </c>
      <c r="R63">
        <v>-3.8171169999999997E-2</v>
      </c>
      <c r="S63">
        <v>3.0314939999999999</v>
      </c>
      <c r="T63">
        <v>-0.1955122</v>
      </c>
      <c r="U63">
        <v>-0.32595829999999998</v>
      </c>
      <c r="V63">
        <v>4.0623579999999999E-2</v>
      </c>
      <c r="W63">
        <v>0.12230530000000001</v>
      </c>
      <c r="X63">
        <v>0.99166080000000001</v>
      </c>
      <c r="Y63">
        <v>0.10912230000000001</v>
      </c>
      <c r="Z63">
        <v>-4.2270909999999997E-3</v>
      </c>
      <c r="AA63">
        <v>0.99401930000000005</v>
      </c>
      <c r="AB63">
        <v>4</v>
      </c>
      <c r="AC63">
        <v>17.336299999999898</v>
      </c>
      <c r="AD63">
        <v>-1.120673383495</v>
      </c>
      <c r="AE63">
        <v>-1.8683999999999501</v>
      </c>
      <c r="AF63">
        <v>1.9037782043968201</v>
      </c>
      <c r="AG63">
        <v>-1.120673383495</v>
      </c>
      <c r="AH63">
        <v>17.260286945117802</v>
      </c>
      <c r="AI63">
        <v>93.692546891751107</v>
      </c>
      <c r="AJ63">
        <v>83.705821957576802</v>
      </c>
      <c r="AK63">
        <v>17.401085762440601</v>
      </c>
      <c r="AL63">
        <v>82.974833277461499</v>
      </c>
      <c r="AM63">
        <v>87.654178731215694</v>
      </c>
      <c r="AN63">
        <v>1.0000000019583699</v>
      </c>
    </row>
    <row r="64" spans="1:40" x14ac:dyDescent="0.25">
      <c r="A64" t="str">
        <f>"20190303162211594"</f>
        <v>20190303162211594</v>
      </c>
      <c r="B64" t="str">
        <f>"1551601331584649"</f>
        <v>1551601331584649</v>
      </c>
      <c r="C64" t="s">
        <v>40</v>
      </c>
      <c r="D64">
        <v>5.3865249999999998</v>
      </c>
      <c r="E64">
        <v>0.52104989999999995</v>
      </c>
      <c r="F64" t="s">
        <v>42</v>
      </c>
      <c r="G64">
        <v>-473.03550000000001</v>
      </c>
      <c r="H64">
        <v>0.96497449999999996</v>
      </c>
      <c r="I64">
        <v>367.00560000000002</v>
      </c>
      <c r="J64">
        <v>-473.70960000000002</v>
      </c>
      <c r="K64">
        <v>1.121095</v>
      </c>
      <c r="L64">
        <v>367.07319999999999</v>
      </c>
      <c r="M64">
        <v>0.99992080000000005</v>
      </c>
      <c r="N64">
        <v>-1.230145E-2</v>
      </c>
      <c r="O64">
        <v>2.628123E-3</v>
      </c>
      <c r="P64">
        <v>0.99300770000000005</v>
      </c>
      <c r="Q64">
        <v>0.1105754</v>
      </c>
      <c r="R64">
        <v>-4.1334540000000003E-2</v>
      </c>
      <c r="S64">
        <v>3.0865480000000001</v>
      </c>
      <c r="T64">
        <v>-0.6817474</v>
      </c>
      <c r="U64">
        <v>-0.29174800000000001</v>
      </c>
      <c r="V64">
        <v>4.3928929999999998E-2</v>
      </c>
      <c r="W64">
        <v>0.1227866</v>
      </c>
      <c r="X64">
        <v>0.99146040000000002</v>
      </c>
      <c r="Y64">
        <v>9.4281229999999994E-2</v>
      </c>
      <c r="Z64">
        <v>-1.139513E-2</v>
      </c>
      <c r="AA64">
        <v>0.99548040000000004</v>
      </c>
      <c r="AB64">
        <v>4</v>
      </c>
      <c r="AC64">
        <v>0.67410000000000903</v>
      </c>
      <c r="AD64">
        <v>-0.1561205</v>
      </c>
      <c r="AE64">
        <v>-6.7599999999970295E-2</v>
      </c>
      <c r="AF64">
        <v>6.5873391296445399E-2</v>
      </c>
      <c r="AG64">
        <v>-0.1561205</v>
      </c>
      <c r="AH64">
        <v>0.63993691758304405</v>
      </c>
      <c r="AI64">
        <v>103.64083372560999</v>
      </c>
      <c r="AJ64">
        <v>84.122826033220406</v>
      </c>
      <c r="AK64">
        <v>0.66199106692374099</v>
      </c>
      <c r="AL64">
        <v>82.947047465921699</v>
      </c>
      <c r="AM64">
        <v>87.463038169717194</v>
      </c>
      <c r="AN64">
        <v>1.00000001239933</v>
      </c>
    </row>
    <row r="65" spans="1:40" x14ac:dyDescent="0.25">
      <c r="A65" t="str">
        <f>"20190303162211615"</f>
        <v>20190303162211615</v>
      </c>
      <c r="B65" t="str">
        <f>"1551601331604167"</f>
        <v>1551601331604167</v>
      </c>
      <c r="C65" t="s">
        <v>40</v>
      </c>
      <c r="D65">
        <v>5.4016010000000003</v>
      </c>
      <c r="E65">
        <v>0.52074929999999997</v>
      </c>
      <c r="F65" t="s">
        <v>42</v>
      </c>
      <c r="G65">
        <v>-473.0197</v>
      </c>
      <c r="H65">
        <v>0.94177219999999995</v>
      </c>
      <c r="I65">
        <v>367.00760000000002</v>
      </c>
      <c r="J65">
        <v>-473.67750000000001</v>
      </c>
      <c r="K65">
        <v>1.1211690000000001</v>
      </c>
      <c r="L65">
        <v>367.0736</v>
      </c>
      <c r="M65">
        <v>0.99991450000000004</v>
      </c>
      <c r="N65">
        <v>-1.2780929999999999E-2</v>
      </c>
      <c r="O65">
        <v>2.8091290000000001E-3</v>
      </c>
      <c r="P65">
        <v>0.99290900000000004</v>
      </c>
      <c r="Q65">
        <v>0.11083990000000001</v>
      </c>
      <c r="R65">
        <v>-4.2972070000000001E-2</v>
      </c>
      <c r="S65">
        <v>3.098541</v>
      </c>
      <c r="T65">
        <v>-0.80547429999999998</v>
      </c>
      <c r="U65">
        <v>-0.29418949999999999</v>
      </c>
      <c r="V65">
        <v>4.5746820000000001E-2</v>
      </c>
      <c r="W65">
        <v>0.1235248</v>
      </c>
      <c r="X65">
        <v>0.99128649999999996</v>
      </c>
      <c r="Y65">
        <v>9.3977610000000003E-2</v>
      </c>
      <c r="Z65">
        <v>-1.328322E-2</v>
      </c>
      <c r="AA65">
        <v>0.99548570000000003</v>
      </c>
      <c r="AB65">
        <v>3</v>
      </c>
      <c r="AC65">
        <v>0.65780000000000804</v>
      </c>
      <c r="AD65">
        <v>-0.1793968</v>
      </c>
      <c r="AE65">
        <v>-6.5999999999973996E-2</v>
      </c>
      <c r="AF65">
        <v>6.3194343025471E-2</v>
      </c>
      <c r="AG65">
        <v>-0.1793968</v>
      </c>
      <c r="AH65">
        <v>0.61250913181974398</v>
      </c>
      <c r="AI65">
        <v>106.243052028606</v>
      </c>
      <c r="AJ65">
        <v>84.109470175932401</v>
      </c>
      <c r="AK65">
        <v>0.641361187945792</v>
      </c>
      <c r="AL65">
        <v>82.904427440115199</v>
      </c>
      <c r="AM65">
        <v>87.357735280247695</v>
      </c>
      <c r="AN65">
        <v>1.0000000364187001</v>
      </c>
    </row>
    <row r="66" spans="1:40" x14ac:dyDescent="0.25">
      <c r="A66" t="str">
        <f>"20190303162211638"</f>
        <v>20190303162211638</v>
      </c>
      <c r="B66" t="str">
        <f>"1551601331634423"</f>
        <v>1551601331634423</v>
      </c>
      <c r="C66" t="s">
        <v>40</v>
      </c>
      <c r="D66">
        <v>5.46821</v>
      </c>
      <c r="E66">
        <v>0.52019769999999999</v>
      </c>
      <c r="F66" t="s">
        <v>42</v>
      </c>
      <c r="G66">
        <v>-472.99110000000002</v>
      </c>
      <c r="H66">
        <v>0.93520740000000002</v>
      </c>
      <c r="I66">
        <v>367.00689999999997</v>
      </c>
      <c r="J66">
        <v>-473.63740000000001</v>
      </c>
      <c r="K66">
        <v>1.120773</v>
      </c>
      <c r="L66">
        <v>367.07400000000001</v>
      </c>
      <c r="M66">
        <v>0.99992990000000004</v>
      </c>
      <c r="N66">
        <v>-1.142112E-2</v>
      </c>
      <c r="O66">
        <v>3.1555139999999999E-3</v>
      </c>
      <c r="P66">
        <v>0.99279620000000002</v>
      </c>
      <c r="Q66">
        <v>0.1115183</v>
      </c>
      <c r="R66">
        <v>-4.3815090000000001E-2</v>
      </c>
      <c r="S66">
        <v>3.1023860000000001</v>
      </c>
      <c r="T66">
        <v>-0.84105980000000002</v>
      </c>
      <c r="U66">
        <v>-0.29885859999999997</v>
      </c>
      <c r="V66">
        <v>4.6924899999999999E-2</v>
      </c>
      <c r="W66">
        <v>0.1228566</v>
      </c>
      <c r="X66">
        <v>0.99131440000000004</v>
      </c>
      <c r="Y66">
        <v>9.5363649999999994E-2</v>
      </c>
      <c r="Z66">
        <v>-1.40286E-2</v>
      </c>
      <c r="AA66">
        <v>0.9953436</v>
      </c>
      <c r="AB66">
        <v>3</v>
      </c>
      <c r="AC66">
        <v>0.64629999999999599</v>
      </c>
      <c r="AD66">
        <v>-0.1855656</v>
      </c>
      <c r="AE66">
        <v>-6.7100000000039003E-2</v>
      </c>
      <c r="AF66">
        <v>6.3925523136589196E-2</v>
      </c>
      <c r="AG66">
        <v>-0.1855656</v>
      </c>
      <c r="AH66">
        <v>0.59736472664691997</v>
      </c>
      <c r="AI66">
        <v>107.16470649034299</v>
      </c>
      <c r="AJ66">
        <v>83.891877806968097</v>
      </c>
      <c r="AK66">
        <v>0.62878110742419402</v>
      </c>
      <c r="AL66">
        <v>82.943005827741104</v>
      </c>
      <c r="AM66">
        <v>87.289867569411996</v>
      </c>
      <c r="AN66">
        <v>0.99999996502546395</v>
      </c>
    </row>
    <row r="67" spans="1:40" x14ac:dyDescent="0.25">
      <c r="A67" t="str">
        <f>"20190303162211662"</f>
        <v>20190303162211662</v>
      </c>
      <c r="B67" t="str">
        <f>"1551601331653944"</f>
        <v>1551601331653944</v>
      </c>
      <c r="C67" t="s">
        <v>40</v>
      </c>
      <c r="D67">
        <v>5.4619369999999998</v>
      </c>
      <c r="E67">
        <v>0.51971329999999905</v>
      </c>
      <c r="F67" t="s">
        <v>42</v>
      </c>
      <c r="G67">
        <v>-472.9554</v>
      </c>
      <c r="H67">
        <v>0.93422340000000004</v>
      </c>
      <c r="I67">
        <v>367.00760000000002</v>
      </c>
      <c r="J67">
        <v>-473.59120000000001</v>
      </c>
      <c r="K67">
        <v>1.120325</v>
      </c>
      <c r="L67">
        <v>367.0745</v>
      </c>
      <c r="M67">
        <v>0.99994799999999995</v>
      </c>
      <c r="N67">
        <v>-9.5493650000000006E-3</v>
      </c>
      <c r="O67">
        <v>3.6306060000000002E-3</v>
      </c>
      <c r="P67">
        <v>0.99275950000000002</v>
      </c>
      <c r="Q67">
        <v>0.1120377</v>
      </c>
      <c r="R67">
        <v>-4.3319999999999997E-2</v>
      </c>
      <c r="S67">
        <v>3.1040040000000002</v>
      </c>
      <c r="T67">
        <v>-0.84951659999999996</v>
      </c>
      <c r="U67">
        <v>-0.29980469999999998</v>
      </c>
      <c r="V67">
        <v>4.6889640000000003E-2</v>
      </c>
      <c r="W67">
        <v>0.12152490000000001</v>
      </c>
      <c r="X67">
        <v>0.99148020000000003</v>
      </c>
      <c r="Y67">
        <v>9.6002850000000001E-2</v>
      </c>
      <c r="Z67">
        <v>-1.427922E-2</v>
      </c>
      <c r="AA67">
        <v>0.99527869999999996</v>
      </c>
      <c r="AB67">
        <v>4</v>
      </c>
      <c r="AC67">
        <v>0.63580000000001702</v>
      </c>
      <c r="AD67">
        <v>-0.18610160000000001</v>
      </c>
      <c r="AE67">
        <v>-6.6899999999975507E-2</v>
      </c>
      <c r="AF67">
        <v>6.3801595549225903E-2</v>
      </c>
      <c r="AG67">
        <v>-0.18610160000000001</v>
      </c>
      <c r="AH67">
        <v>0.58590463393460901</v>
      </c>
      <c r="AI67">
        <v>107.524271008639</v>
      </c>
      <c r="AJ67">
        <v>83.785311234363903</v>
      </c>
      <c r="AK67">
        <v>0.618052335310882</v>
      </c>
      <c r="AL67">
        <v>83.019882680491094</v>
      </c>
      <c r="AM67">
        <v>87.292353153717798</v>
      </c>
      <c r="AN67">
        <v>0.99999996332568897</v>
      </c>
    </row>
    <row r="68" spans="1:40" x14ac:dyDescent="0.25">
      <c r="A68" t="str">
        <f>"20190303162211686"</f>
        <v>20190303162211686</v>
      </c>
      <c r="B68" t="str">
        <f>"1551601331674439"</f>
        <v>1551601331674439</v>
      </c>
      <c r="C68" t="s">
        <v>40</v>
      </c>
      <c r="D68">
        <v>5.4498800000000003</v>
      </c>
      <c r="E68">
        <v>0.51944069999999998</v>
      </c>
      <c r="F68" t="s">
        <v>42</v>
      </c>
      <c r="G68">
        <v>-472.91590000000002</v>
      </c>
      <c r="H68">
        <v>0.93572219999999995</v>
      </c>
      <c r="I68">
        <v>367.0093</v>
      </c>
      <c r="J68">
        <v>-473.55169999999998</v>
      </c>
      <c r="K68">
        <v>1.120501</v>
      </c>
      <c r="L68">
        <v>367.07510000000002</v>
      </c>
      <c r="M68">
        <v>0.9999439</v>
      </c>
      <c r="N68">
        <v>-9.8190889999999996E-3</v>
      </c>
      <c r="O68">
        <v>3.9919439999999999E-3</v>
      </c>
      <c r="P68">
        <v>0.99289689999999997</v>
      </c>
      <c r="Q68">
        <v>0.11111799999999999</v>
      </c>
      <c r="R68">
        <v>-4.253009E-2</v>
      </c>
      <c r="S68">
        <v>3.1047060000000002</v>
      </c>
      <c r="T68">
        <v>-0.84901979999999999</v>
      </c>
      <c r="U68">
        <v>-0.2981567</v>
      </c>
      <c r="V68">
        <v>4.6459559999999997E-2</v>
      </c>
      <c r="W68">
        <v>0.1208731</v>
      </c>
      <c r="X68">
        <v>0.99158009999999996</v>
      </c>
      <c r="Y68">
        <v>9.5814629999999998E-2</v>
      </c>
      <c r="Z68">
        <v>-1.434817E-2</v>
      </c>
      <c r="AA68">
        <v>0.99529579999999995</v>
      </c>
      <c r="AB68">
        <v>4</v>
      </c>
      <c r="AC68">
        <v>0.63579999999995995</v>
      </c>
      <c r="AD68">
        <v>-0.18477879999999999</v>
      </c>
      <c r="AE68">
        <v>-6.58000000000242E-2</v>
      </c>
      <c r="AF68">
        <v>6.306731005223E-2</v>
      </c>
      <c r="AG68">
        <v>-0.18477879999999999</v>
      </c>
      <c r="AH68">
        <v>0.586518476607095</v>
      </c>
      <c r="AI68">
        <v>107.392526791374</v>
      </c>
      <c r="AJ68">
        <v>83.862666099180302</v>
      </c>
      <c r="AK68">
        <v>0.61816228769488302</v>
      </c>
      <c r="AL68">
        <v>83.0575052960465</v>
      </c>
      <c r="AM68">
        <v>87.317421610134403</v>
      </c>
      <c r="AN68">
        <v>0.99999994586750496</v>
      </c>
    </row>
    <row r="69" spans="1:40" x14ac:dyDescent="0.25">
      <c r="A69" t="str">
        <f>"20190303162211709"</f>
        <v>20190303162211709</v>
      </c>
      <c r="B69" t="str">
        <f>"1551601331703720"</f>
        <v>1551601331703720</v>
      </c>
      <c r="C69" t="s">
        <v>40</v>
      </c>
      <c r="D69">
        <v>5.5471810000000001</v>
      </c>
      <c r="E69">
        <v>0.51926669999999997</v>
      </c>
      <c r="F69" t="s">
        <v>42</v>
      </c>
      <c r="G69">
        <v>-472.85199999999998</v>
      </c>
      <c r="H69">
        <v>0.92876860000000006</v>
      </c>
      <c r="I69">
        <v>367.00740000000002</v>
      </c>
      <c r="J69">
        <v>-473.51589999999999</v>
      </c>
      <c r="K69">
        <v>1.120981</v>
      </c>
      <c r="L69">
        <v>367.07569999999998</v>
      </c>
      <c r="M69">
        <v>0.99992449999999999</v>
      </c>
      <c r="N69">
        <v>-1.1520819999999999E-2</v>
      </c>
      <c r="O69">
        <v>4.2603570000000002E-3</v>
      </c>
      <c r="P69">
        <v>0.99322220000000006</v>
      </c>
      <c r="Q69">
        <v>0.1091191</v>
      </c>
      <c r="R69">
        <v>-4.0031879999999999E-2</v>
      </c>
      <c r="S69">
        <v>3.1039729999999999</v>
      </c>
      <c r="T69">
        <v>-0.85116049999999999</v>
      </c>
      <c r="U69">
        <v>-0.29721069999999999</v>
      </c>
      <c r="V69">
        <v>4.4243129999999999E-2</v>
      </c>
      <c r="W69">
        <v>0.12055979999999999</v>
      </c>
      <c r="X69">
        <v>0.99171969999999998</v>
      </c>
      <c r="Y69">
        <v>9.5755590000000002E-2</v>
      </c>
      <c r="Z69">
        <v>-1.452283E-2</v>
      </c>
      <c r="AA69">
        <v>0.99529889999999999</v>
      </c>
      <c r="AB69">
        <v>4</v>
      </c>
      <c r="AC69">
        <v>0.66390000000001204</v>
      </c>
      <c r="AD69">
        <v>-0.19221240000000001</v>
      </c>
      <c r="AE69">
        <v>-6.8299999999965097E-2</v>
      </c>
      <c r="AF69">
        <v>6.5680234860711895E-2</v>
      </c>
      <c r="AG69">
        <v>-0.19221240000000001</v>
      </c>
      <c r="AH69">
        <v>0.61277678906616895</v>
      </c>
      <c r="AI69">
        <v>107.32207170865399</v>
      </c>
      <c r="AJ69">
        <v>83.882131913867894</v>
      </c>
      <c r="AK69">
        <v>0.64556556071661797</v>
      </c>
      <c r="AL69">
        <v>83.075588971816501</v>
      </c>
      <c r="AM69">
        <v>87.445583788980898</v>
      </c>
      <c r="AN69">
        <v>1.00000004164816</v>
      </c>
    </row>
    <row r="70" spans="1:40" x14ac:dyDescent="0.25">
      <c r="A70" t="str">
        <f>"20190303162211729"</f>
        <v>20190303162211729</v>
      </c>
      <c r="B70" t="str">
        <f>"1551601331724215"</f>
        <v>1551601331724215</v>
      </c>
      <c r="C70" t="s">
        <v>40</v>
      </c>
      <c r="D70">
        <v>5.4954960000000002</v>
      </c>
      <c r="E70">
        <v>0.52693749999999995</v>
      </c>
      <c r="F70" t="s">
        <v>42</v>
      </c>
      <c r="G70">
        <v>-472.82409999999999</v>
      </c>
      <c r="H70">
        <v>0.92800830000000001</v>
      </c>
      <c r="I70">
        <v>367.01119999999997</v>
      </c>
      <c r="J70">
        <v>-473.48840000000001</v>
      </c>
      <c r="K70">
        <v>1.1213879999999901</v>
      </c>
      <c r="L70">
        <v>367.0761</v>
      </c>
      <c r="M70">
        <v>0.99990199999999996</v>
      </c>
      <c r="N70">
        <v>-1.3285999999999999E-2</v>
      </c>
      <c r="O70">
        <v>4.4338169999999996E-3</v>
      </c>
      <c r="P70">
        <v>0.99340709999999999</v>
      </c>
      <c r="Q70">
        <v>0.1084161</v>
      </c>
      <c r="R70">
        <v>-3.7263869999999998E-2</v>
      </c>
      <c r="S70">
        <v>3.1039430000000001</v>
      </c>
      <c r="T70">
        <v>-0.86580219999999897</v>
      </c>
      <c r="U70">
        <v>-0.28897089999999998</v>
      </c>
      <c r="V70">
        <v>4.1664199999999998E-2</v>
      </c>
      <c r="W70">
        <v>0.1216039</v>
      </c>
      <c r="X70">
        <v>0.99170389999999997</v>
      </c>
      <c r="Y70">
        <v>9.3253160000000002E-2</v>
      </c>
      <c r="Z70">
        <v>-1.452258E-2</v>
      </c>
      <c r="AA70">
        <v>0.99553650000000005</v>
      </c>
      <c r="AB70">
        <v>3</v>
      </c>
      <c r="AC70">
        <v>0.66430000000002498</v>
      </c>
      <c r="AD70">
        <v>-0.19337969999999899</v>
      </c>
      <c r="AE70">
        <v>-6.4900000000022801E-2</v>
      </c>
      <c r="AF70">
        <v>6.2591122547868097E-2</v>
      </c>
      <c r="AG70">
        <v>-0.19337969999999899</v>
      </c>
      <c r="AH70">
        <v>0.61258541665296196</v>
      </c>
      <c r="AI70">
        <v>107.434526991208</v>
      </c>
      <c r="AJ70">
        <v>84.166029925555904</v>
      </c>
      <c r="AK70">
        <v>0.64542563451553103</v>
      </c>
      <c r="AL70">
        <v>83.015322888803595</v>
      </c>
      <c r="AM70">
        <v>87.594261969678101</v>
      </c>
      <c r="AN70">
        <v>1.0000000196660299</v>
      </c>
    </row>
    <row r="71" spans="1:40" x14ac:dyDescent="0.25">
      <c r="A71" t="str">
        <f>"20190303162211749"</f>
        <v>20190303162211749</v>
      </c>
      <c r="B71" t="str">
        <f>"1551601331743736"</f>
        <v>1551601331743736</v>
      </c>
      <c r="C71" t="s">
        <v>40</v>
      </c>
      <c r="D71">
        <v>5.5161720000000001</v>
      </c>
      <c r="E71">
        <v>0.52771480000000004</v>
      </c>
      <c r="F71" t="s">
        <v>42</v>
      </c>
      <c r="G71">
        <v>-472.80950000000001</v>
      </c>
      <c r="H71">
        <v>0.90388080000000004</v>
      </c>
      <c r="I71">
        <v>367.00130000000001</v>
      </c>
      <c r="J71">
        <v>-473.45929999999998</v>
      </c>
      <c r="K71">
        <v>1.12154</v>
      </c>
      <c r="L71">
        <v>367.07650000000001</v>
      </c>
      <c r="M71">
        <v>0.99988670000000002</v>
      </c>
      <c r="N71">
        <v>-1.433187E-2</v>
      </c>
      <c r="O71">
        <v>4.6127069999999997E-3</v>
      </c>
      <c r="P71">
        <v>0.99341409999999997</v>
      </c>
      <c r="Q71">
        <v>0.1092868</v>
      </c>
      <c r="R71">
        <v>-3.4422719999999997E-2</v>
      </c>
      <c r="S71">
        <v>3.1160580000000002</v>
      </c>
      <c r="T71">
        <v>-0.99854489999999996</v>
      </c>
      <c r="U71">
        <v>-0.34234619999999999</v>
      </c>
      <c r="V71">
        <v>3.9010320000000001E-2</v>
      </c>
      <c r="W71">
        <v>0.1235092</v>
      </c>
      <c r="X71">
        <v>0.99157640000000002</v>
      </c>
      <c r="Y71">
        <v>0.10798389999999999</v>
      </c>
      <c r="Z71">
        <v>-1.9001460000000001E-2</v>
      </c>
      <c r="AA71">
        <v>0.99397100000000005</v>
      </c>
      <c r="AB71">
        <v>3</v>
      </c>
      <c r="AC71">
        <v>0.64979999999996996</v>
      </c>
      <c r="AD71">
        <v>-0.217659199999999</v>
      </c>
      <c r="AE71">
        <v>-7.5199999999995201E-2</v>
      </c>
      <c r="AF71">
        <v>7.0402092076238501E-2</v>
      </c>
      <c r="AG71">
        <v>-0.217659199999999</v>
      </c>
      <c r="AH71">
        <v>0.58470862383480204</v>
      </c>
      <c r="AI71">
        <v>110.28345806591101</v>
      </c>
      <c r="AJ71">
        <v>83.134328130256804</v>
      </c>
      <c r="AK71">
        <v>0.62786635257842804</v>
      </c>
      <c r="AL71">
        <v>82.905328193377201</v>
      </c>
      <c r="AM71">
        <v>87.747047420128993</v>
      </c>
      <c r="AN71">
        <v>1.00000004229405</v>
      </c>
    </row>
    <row r="72" spans="1:40" x14ac:dyDescent="0.25">
      <c r="A72" t="str">
        <f>"20190303162211773"</f>
        <v>20190303162211773</v>
      </c>
      <c r="B72" t="str">
        <f>"1551601331764232"</f>
        <v>1551601331764232</v>
      </c>
      <c r="C72" t="s">
        <v>40</v>
      </c>
      <c r="D72">
        <v>5.5099559999999999</v>
      </c>
      <c r="E72">
        <v>0.52803610000000001</v>
      </c>
      <c r="F72" t="s">
        <v>42</v>
      </c>
      <c r="G72">
        <v>-472.78199999999998</v>
      </c>
      <c r="H72">
        <v>0.89651349999999996</v>
      </c>
      <c r="I72">
        <v>367.0034</v>
      </c>
      <c r="J72">
        <v>-473.42110000000002</v>
      </c>
      <c r="K72">
        <v>1.121111</v>
      </c>
      <c r="L72">
        <v>367.077</v>
      </c>
      <c r="M72">
        <v>0.99990190000000001</v>
      </c>
      <c r="N72">
        <v>-1.311841E-2</v>
      </c>
      <c r="O72">
        <v>4.9291860000000003E-3</v>
      </c>
      <c r="P72">
        <v>0.99310149999999997</v>
      </c>
      <c r="Q72">
        <v>0.1128126</v>
      </c>
      <c r="R72">
        <v>-3.1986319999999999E-2</v>
      </c>
      <c r="S72">
        <v>3.1223749999999999</v>
      </c>
      <c r="T72">
        <v>-1.037474</v>
      </c>
      <c r="U72">
        <v>-0.33624270000000001</v>
      </c>
      <c r="V72">
        <v>3.687758E-2</v>
      </c>
      <c r="W72">
        <v>0.12582979999999999</v>
      </c>
      <c r="X72">
        <v>0.99136619999999998</v>
      </c>
      <c r="Y72">
        <v>0.105863</v>
      </c>
      <c r="Z72">
        <v>-1.9324649999999999E-2</v>
      </c>
      <c r="AA72">
        <v>0.99419299999999999</v>
      </c>
      <c r="AB72">
        <v>3</v>
      </c>
      <c r="AC72">
        <v>0.63910000000004097</v>
      </c>
      <c r="AD72">
        <v>-0.22459749999999901</v>
      </c>
      <c r="AE72">
        <v>-7.3599999999999E-2</v>
      </c>
      <c r="AF72">
        <v>6.8411305985291507E-2</v>
      </c>
      <c r="AG72">
        <v>-0.22459749999999901</v>
      </c>
      <c r="AH72">
        <v>0.56933589876121504</v>
      </c>
      <c r="AI72">
        <v>111.388931960797</v>
      </c>
      <c r="AJ72">
        <v>83.148199054156606</v>
      </c>
      <c r="AK72">
        <v>0.61584698538768901</v>
      </c>
      <c r="AL72">
        <v>82.771321936470699</v>
      </c>
      <c r="AM72">
        <v>87.869651079007696</v>
      </c>
      <c r="AN72">
        <v>1.00000001848856</v>
      </c>
    </row>
    <row r="73" spans="1:40" x14ac:dyDescent="0.25">
      <c r="A73" t="str">
        <f>"20190303162211795"</f>
        <v>20190303162211795</v>
      </c>
      <c r="B73" t="str">
        <f>"1551601331783752"</f>
        <v>1551601331783752</v>
      </c>
      <c r="C73" t="s">
        <v>40</v>
      </c>
      <c r="D73">
        <v>5.5300180000000001</v>
      </c>
      <c r="E73">
        <v>0.52824069999999901</v>
      </c>
      <c r="F73" t="s">
        <v>42</v>
      </c>
      <c r="G73">
        <v>-472.7466</v>
      </c>
      <c r="H73">
        <v>0.89757559999999903</v>
      </c>
      <c r="I73">
        <v>367.0059</v>
      </c>
      <c r="J73">
        <v>-473.38260000000002</v>
      </c>
      <c r="K73">
        <v>1.12066</v>
      </c>
      <c r="L73">
        <v>367.07749999999999</v>
      </c>
      <c r="M73">
        <v>0.99992049999999999</v>
      </c>
      <c r="N73">
        <v>-1.143138E-2</v>
      </c>
      <c r="O73">
        <v>5.3263169999999997E-3</v>
      </c>
      <c r="P73">
        <v>0.99272669999999996</v>
      </c>
      <c r="Q73">
        <v>0.1161196</v>
      </c>
      <c r="R73">
        <v>-3.1783619999999999E-2</v>
      </c>
      <c r="S73">
        <v>3.1281129999999999</v>
      </c>
      <c r="T73">
        <v>-1.03712</v>
      </c>
      <c r="U73">
        <v>-0.327179</v>
      </c>
      <c r="V73">
        <v>3.705522E-2</v>
      </c>
      <c r="W73">
        <v>0.12746260000000001</v>
      </c>
      <c r="X73">
        <v>0.99115089999999995</v>
      </c>
      <c r="Y73">
        <v>0.1033819</v>
      </c>
      <c r="Z73">
        <v>-1.891412E-2</v>
      </c>
      <c r="AA73">
        <v>0.99446190000000001</v>
      </c>
      <c r="AB73">
        <v>3</v>
      </c>
      <c r="AC73">
        <v>0.63600000000002399</v>
      </c>
      <c r="AD73">
        <v>-0.22308439999999999</v>
      </c>
      <c r="AE73">
        <v>-7.1599999999989394E-2</v>
      </c>
      <c r="AF73">
        <v>6.6863263308833507E-2</v>
      </c>
      <c r="AG73">
        <v>-0.22308439999999999</v>
      </c>
      <c r="AH73">
        <v>0.56675259496727304</v>
      </c>
      <c r="AI73">
        <v>111.35090956827599</v>
      </c>
      <c r="AJ73">
        <v>83.271568358283005</v>
      </c>
      <c r="AK73">
        <v>0.61273636207246995</v>
      </c>
      <c r="AL73">
        <v>82.677009507563895</v>
      </c>
      <c r="AM73">
        <v>87.858934118139402</v>
      </c>
      <c r="AN73">
        <v>0.99999995514940798</v>
      </c>
    </row>
    <row r="74" spans="1:40" x14ac:dyDescent="0.25">
      <c r="A74" t="str">
        <f>"20190303162211817"</f>
        <v>20190303162211817</v>
      </c>
      <c r="B74" t="str">
        <f>"1551601331814008"</f>
        <v>1551601331814008</v>
      </c>
      <c r="C74" t="s">
        <v>40</v>
      </c>
      <c r="D74">
        <v>5.5615459999999999</v>
      </c>
      <c r="E74">
        <v>0.52820529999999999</v>
      </c>
      <c r="F74" t="s">
        <v>42</v>
      </c>
      <c r="G74">
        <v>-472.70859999999999</v>
      </c>
      <c r="H74">
        <v>0.89965629999999996</v>
      </c>
      <c r="I74">
        <v>367.00709999999998</v>
      </c>
      <c r="J74">
        <v>-473.34120000000001</v>
      </c>
      <c r="K74">
        <v>1.1205459999999901</v>
      </c>
      <c r="L74">
        <v>367.07819999999998</v>
      </c>
      <c r="M74">
        <v>0.99992639999999999</v>
      </c>
      <c r="N74">
        <v>-1.06935E-2</v>
      </c>
      <c r="O74">
        <v>5.739554E-3</v>
      </c>
      <c r="P74">
        <v>0.99251900000000004</v>
      </c>
      <c r="Q74">
        <v>0.117617899999999</v>
      </c>
      <c r="R74">
        <v>-3.2744740000000001E-2</v>
      </c>
      <c r="S74">
        <v>3.1316220000000001</v>
      </c>
      <c r="T74">
        <v>-1.0267809999999999</v>
      </c>
      <c r="U74">
        <v>-0.327179</v>
      </c>
      <c r="V74">
        <v>3.8417930000000003E-2</v>
      </c>
      <c r="W74">
        <v>0.12822919999999999</v>
      </c>
      <c r="X74">
        <v>0.9910002</v>
      </c>
      <c r="Y74">
        <v>0.10377359999999999</v>
      </c>
      <c r="Z74">
        <v>-1.8877049999999999E-2</v>
      </c>
      <c r="AA74">
        <v>0.99442180000000002</v>
      </c>
      <c r="AB74">
        <v>4</v>
      </c>
      <c r="AC74">
        <v>0.63260000000002403</v>
      </c>
      <c r="AD74">
        <v>-0.220889699999999</v>
      </c>
      <c r="AE74">
        <v>-7.1100000000001204E-2</v>
      </c>
      <c r="AF74">
        <v>6.66990480046393E-2</v>
      </c>
      <c r="AG74">
        <v>-0.220889699999999</v>
      </c>
      <c r="AH74">
        <v>0.56424422929408602</v>
      </c>
      <c r="AI74">
        <v>111.244690475936</v>
      </c>
      <c r="AJ74">
        <v>83.258377721841995</v>
      </c>
      <c r="AK74">
        <v>0.609600338633839</v>
      </c>
      <c r="AL74">
        <v>82.632723707902699</v>
      </c>
      <c r="AM74">
        <v>87.779936327011399</v>
      </c>
      <c r="AN74">
        <v>1.0000000307390799</v>
      </c>
    </row>
    <row r="75" spans="1:40" x14ac:dyDescent="0.25">
      <c r="A75" t="str">
        <f>"20190303162211840"</f>
        <v>20190303162211840</v>
      </c>
      <c r="B75" t="str">
        <f>"1551601331834504"</f>
        <v>1551601331834504</v>
      </c>
      <c r="C75" t="s">
        <v>40</v>
      </c>
      <c r="D75">
        <v>5.554773</v>
      </c>
      <c r="E75">
        <v>0.52815900000000005</v>
      </c>
      <c r="F75" t="s">
        <v>42</v>
      </c>
      <c r="G75">
        <v>-472.67290000000003</v>
      </c>
      <c r="H75">
        <v>0.9018408</v>
      </c>
      <c r="I75">
        <v>367.00749999999999</v>
      </c>
      <c r="J75">
        <v>-473.3066</v>
      </c>
      <c r="K75">
        <v>1.1208670000000001</v>
      </c>
      <c r="L75">
        <v>367.07870000000003</v>
      </c>
      <c r="M75">
        <v>0.99991359999999996</v>
      </c>
      <c r="N75">
        <v>-1.1696120000000001E-2</v>
      </c>
      <c r="O75">
        <v>6.0231199999999999E-3</v>
      </c>
      <c r="P75">
        <v>0.99258579999999996</v>
      </c>
      <c r="Q75">
        <v>0.1167136</v>
      </c>
      <c r="R75">
        <v>-3.3939839999999999E-2</v>
      </c>
      <c r="S75">
        <v>3.1333310000000001</v>
      </c>
      <c r="T75">
        <v>-1.0257750000000001</v>
      </c>
      <c r="U75">
        <v>-0.32894899999999999</v>
      </c>
      <c r="V75">
        <v>3.9901550000000001E-2</v>
      </c>
      <c r="W75">
        <v>0.12831769999999901</v>
      </c>
      <c r="X75">
        <v>0.99093010000000004</v>
      </c>
      <c r="Y75">
        <v>0.1045041</v>
      </c>
      <c r="Z75">
        <v>-1.9105569999999999E-2</v>
      </c>
      <c r="AA75">
        <v>0.99434089999999997</v>
      </c>
      <c r="AB75">
        <v>4</v>
      </c>
      <c r="AC75">
        <v>0.63369999999997595</v>
      </c>
      <c r="AD75">
        <v>-0.21902619999999901</v>
      </c>
      <c r="AE75">
        <v>-7.1200000000033001E-2</v>
      </c>
      <c r="AF75">
        <v>6.7099948308407903E-2</v>
      </c>
      <c r="AG75">
        <v>-0.21902619999999901</v>
      </c>
      <c r="AH75">
        <v>0.56643636384722895</v>
      </c>
      <c r="AI75">
        <v>111.00624778680699</v>
      </c>
      <c r="AJ75">
        <v>83.244235625297407</v>
      </c>
      <c r="AK75">
        <v>0.61100330084042997</v>
      </c>
      <c r="AL75">
        <v>82.627610672238504</v>
      </c>
      <c r="AM75">
        <v>87.694129997117599</v>
      </c>
      <c r="AN75">
        <v>1.0000000144558501</v>
      </c>
    </row>
    <row r="76" spans="1:40" x14ac:dyDescent="0.25">
      <c r="A76" t="str">
        <f>"20190303162211862"</f>
        <v>20190303162211862</v>
      </c>
      <c r="B76" t="str">
        <f>"1551601331854024"</f>
        <v>1551601331854024</v>
      </c>
      <c r="C76" t="s">
        <v>40</v>
      </c>
      <c r="D76">
        <v>5.5347939999999998</v>
      </c>
      <c r="E76">
        <v>0.52807499999999996</v>
      </c>
      <c r="F76" t="s">
        <v>42</v>
      </c>
      <c r="G76">
        <v>-472.64229999999998</v>
      </c>
      <c r="H76">
        <v>0.902339</v>
      </c>
      <c r="I76">
        <v>367.00830000000002</v>
      </c>
      <c r="J76">
        <v>-473.27519999999998</v>
      </c>
      <c r="K76">
        <v>1.121329</v>
      </c>
      <c r="L76">
        <v>367.07929999999999</v>
      </c>
      <c r="M76">
        <v>0.99988900000000003</v>
      </c>
      <c r="N76">
        <v>-1.354085E-2</v>
      </c>
      <c r="O76">
        <v>6.2275899999999999E-3</v>
      </c>
      <c r="P76">
        <v>0.9928207</v>
      </c>
      <c r="Q76">
        <v>0.11442049999999999</v>
      </c>
      <c r="R76">
        <v>-3.4859660000000001E-2</v>
      </c>
      <c r="S76">
        <v>3.132263</v>
      </c>
      <c r="T76">
        <v>-1.0304879999999901</v>
      </c>
      <c r="U76">
        <v>-0.33151249999999999</v>
      </c>
      <c r="V76">
        <v>4.1042879999999997E-2</v>
      </c>
      <c r="W76">
        <v>0.1278504</v>
      </c>
      <c r="X76">
        <v>0.99094380000000004</v>
      </c>
      <c r="Y76">
        <v>0.1054041</v>
      </c>
      <c r="Z76">
        <v>-1.9493340000000001E-2</v>
      </c>
      <c r="AA76">
        <v>0.99423839999999997</v>
      </c>
      <c r="AB76">
        <v>4</v>
      </c>
      <c r="AC76">
        <v>0.63290000000000601</v>
      </c>
      <c r="AD76">
        <v>-0.21898999999999999</v>
      </c>
      <c r="AE76">
        <v>-7.0999999999969504E-2</v>
      </c>
      <c r="AF76">
        <v>6.7016690654320393E-2</v>
      </c>
      <c r="AG76">
        <v>-0.21898999999999999</v>
      </c>
      <c r="AH76">
        <v>0.565574664244059</v>
      </c>
      <c r="AI76">
        <v>111.032207703073</v>
      </c>
      <c r="AJ76">
        <v>83.242355536239401</v>
      </c>
      <c r="AK76">
        <v>0.610182397124857</v>
      </c>
      <c r="AL76">
        <v>82.654606720106699</v>
      </c>
      <c r="AM76">
        <v>87.628280723885993</v>
      </c>
      <c r="AN76">
        <v>0.99999992876864396</v>
      </c>
    </row>
    <row r="77" spans="1:40" x14ac:dyDescent="0.25">
      <c r="A77" t="str">
        <f>"20190303162211887"</f>
        <v>20190303162211887</v>
      </c>
      <c r="B77" t="str">
        <f>"1551601331884281"</f>
        <v>1551601331884281</v>
      </c>
      <c r="C77" t="s">
        <v>40</v>
      </c>
      <c r="D77">
        <v>5.5592059999999996</v>
      </c>
      <c r="E77">
        <v>0.52798630000000002</v>
      </c>
      <c r="F77" t="s">
        <v>42</v>
      </c>
      <c r="G77">
        <v>-472.61540000000002</v>
      </c>
      <c r="H77">
        <v>0.90201189999999998</v>
      </c>
      <c r="I77">
        <v>367.00810000000001</v>
      </c>
      <c r="J77">
        <v>-473.2448</v>
      </c>
      <c r="K77">
        <v>1.1215919999999999</v>
      </c>
      <c r="L77">
        <v>367.0797</v>
      </c>
      <c r="M77">
        <v>0.99986649999999999</v>
      </c>
      <c r="N77">
        <v>-1.5047039999999999E-2</v>
      </c>
      <c r="O77">
        <v>6.3858519999999896E-3</v>
      </c>
      <c r="P77">
        <v>0.99287530000000002</v>
      </c>
      <c r="Q77">
        <v>0.1139608</v>
      </c>
      <c r="R77">
        <v>-3.4811309999999998E-2</v>
      </c>
      <c r="S77">
        <v>3.1299440000000001</v>
      </c>
      <c r="T77">
        <v>-1.040835</v>
      </c>
      <c r="U77">
        <v>-0.33422849999999998</v>
      </c>
      <c r="V77">
        <v>4.1168280000000002E-2</v>
      </c>
      <c r="W77">
        <v>0.12887899999999999</v>
      </c>
      <c r="X77">
        <v>0.99080539999999995</v>
      </c>
      <c r="Y77">
        <v>0.1062857</v>
      </c>
      <c r="Z77">
        <v>-1.9956689999999999E-2</v>
      </c>
      <c r="AA77">
        <v>0.99413530000000006</v>
      </c>
      <c r="AB77">
        <v>3</v>
      </c>
      <c r="AC77">
        <v>0.62939999999997498</v>
      </c>
      <c r="AD77">
        <v>-0.219580099999999</v>
      </c>
      <c r="AE77">
        <v>-7.1599999999989394E-2</v>
      </c>
      <c r="AF77">
        <v>6.7506844798919496E-2</v>
      </c>
      <c r="AG77">
        <v>-0.219580099999999</v>
      </c>
      <c r="AH77">
        <v>0.56146594669470395</v>
      </c>
      <c r="AI77">
        <v>111.220548239396</v>
      </c>
      <c r="AJ77">
        <v>83.144055515599504</v>
      </c>
      <c r="AK77">
        <v>0.60664372057122296</v>
      </c>
      <c r="AL77">
        <v>82.595181042734495</v>
      </c>
      <c r="AM77">
        <v>87.6207107040062</v>
      </c>
      <c r="AN77">
        <v>0.99999998229415898</v>
      </c>
    </row>
    <row r="78" spans="1:40" x14ac:dyDescent="0.25">
      <c r="A78" t="str">
        <f>"20190303162211907"</f>
        <v>20190303162211907</v>
      </c>
      <c r="B78" t="str">
        <f>"1551601331904776"</f>
        <v>1551601331904776</v>
      </c>
      <c r="C78" t="s">
        <v>40</v>
      </c>
      <c r="D78">
        <v>5.5594460000000003</v>
      </c>
      <c r="E78">
        <v>0.52779790000000004</v>
      </c>
      <c r="F78" t="s">
        <v>42</v>
      </c>
      <c r="G78">
        <v>-472.56420000000003</v>
      </c>
      <c r="H78">
        <v>0.89466060000000003</v>
      </c>
      <c r="I78">
        <v>367.0068</v>
      </c>
      <c r="J78">
        <v>-473.21300000000002</v>
      </c>
      <c r="K78">
        <v>1.1212420000000001</v>
      </c>
      <c r="L78">
        <v>367.08019999999999</v>
      </c>
      <c r="M78">
        <v>0.9998785</v>
      </c>
      <c r="N78">
        <v>-1.4124630000000001E-2</v>
      </c>
      <c r="O78">
        <v>6.5934740000000002E-3</v>
      </c>
      <c r="P78">
        <v>0.99279600000000001</v>
      </c>
      <c r="Q78">
        <v>0.1149338</v>
      </c>
      <c r="R78">
        <v>-3.3856150000000002E-2</v>
      </c>
      <c r="S78">
        <v>3.1296689999999998</v>
      </c>
      <c r="T78">
        <v>-1.043717</v>
      </c>
      <c r="U78">
        <v>-0.33361819999999998</v>
      </c>
      <c r="V78">
        <v>4.0413350000000001E-2</v>
      </c>
      <c r="W78">
        <v>0.1289381</v>
      </c>
      <c r="X78">
        <v>0.99082879999999995</v>
      </c>
      <c r="Y78">
        <v>0.1062801</v>
      </c>
      <c r="Z78">
        <v>-2.002775E-2</v>
      </c>
      <c r="AA78">
        <v>0.99413450000000003</v>
      </c>
      <c r="AB78">
        <v>3</v>
      </c>
      <c r="AC78">
        <v>0.64879999999999405</v>
      </c>
      <c r="AD78">
        <v>-0.22658139999999999</v>
      </c>
      <c r="AE78">
        <v>-7.3399999999992305E-2</v>
      </c>
      <c r="AF78">
        <v>6.9328091726891902E-2</v>
      </c>
      <c r="AG78">
        <v>-0.22658139999999999</v>
      </c>
      <c r="AH78">
        <v>0.57862326669497599</v>
      </c>
      <c r="AI78">
        <v>111.246391291734</v>
      </c>
      <c r="AJ78">
        <v>83.167642384512703</v>
      </c>
      <c r="AK78">
        <v>0.62526026572077797</v>
      </c>
      <c r="AL78">
        <v>82.591766441816603</v>
      </c>
      <c r="AM78">
        <v>87.664347634278897</v>
      </c>
      <c r="AN78">
        <v>0.99999999169963605</v>
      </c>
    </row>
    <row r="79" spans="1:40" x14ac:dyDescent="0.25">
      <c r="A79" t="str">
        <f>"20190303162211929"</f>
        <v>20190303162211929</v>
      </c>
      <c r="B79" t="str">
        <f>"1551601331924296"</f>
        <v>1551601331924296</v>
      </c>
      <c r="C79" t="s">
        <v>40</v>
      </c>
      <c r="D79">
        <v>5.5958800000000002</v>
      </c>
      <c r="E79">
        <v>0.52764580000000005</v>
      </c>
      <c r="F79" t="s">
        <v>42</v>
      </c>
      <c r="G79">
        <v>-472.53030000000001</v>
      </c>
      <c r="H79">
        <v>0.89410710000000004</v>
      </c>
      <c r="I79">
        <v>367.00810000000001</v>
      </c>
      <c r="J79">
        <v>-473.17520000000002</v>
      </c>
      <c r="K79">
        <v>1.1207149999999999</v>
      </c>
      <c r="L79">
        <v>367.08069999999998</v>
      </c>
      <c r="M79">
        <v>0.99990080000000003</v>
      </c>
      <c r="N79">
        <v>-1.227486E-2</v>
      </c>
      <c r="O79">
        <v>6.9192780000000001E-3</v>
      </c>
      <c r="P79">
        <v>0.99267649999999996</v>
      </c>
      <c r="Q79">
        <v>0.1162257</v>
      </c>
      <c r="R79">
        <v>-3.2938490000000001E-2</v>
      </c>
      <c r="S79">
        <v>3.1311650000000002</v>
      </c>
      <c r="T79">
        <v>-1.0419400000000001</v>
      </c>
      <c r="U79">
        <v>-0.3295593</v>
      </c>
      <c r="V79">
        <v>3.9808610000000001E-2</v>
      </c>
      <c r="W79">
        <v>0.1283985</v>
      </c>
      <c r="X79">
        <v>0.99092329999999995</v>
      </c>
      <c r="Y79">
        <v>0.10536860000000001</v>
      </c>
      <c r="Z79">
        <v>-1.9847730000000001E-2</v>
      </c>
      <c r="AA79">
        <v>0.99423519999999999</v>
      </c>
      <c r="AB79">
        <v>3</v>
      </c>
      <c r="AC79">
        <v>0.64490000000000602</v>
      </c>
      <c r="AD79">
        <v>-0.226607899999999</v>
      </c>
      <c r="AE79">
        <v>-7.2599999999965803E-2</v>
      </c>
      <c r="AF79">
        <v>6.8686211426284505E-2</v>
      </c>
      <c r="AG79">
        <v>-0.226607899999999</v>
      </c>
      <c r="AH79">
        <v>0.57435359897792604</v>
      </c>
      <c r="AI79">
        <v>111.392904302459</v>
      </c>
      <c r="AJ79">
        <v>83.180457840985497</v>
      </c>
      <c r="AK79">
        <v>0.62124954136112098</v>
      </c>
      <c r="AL79">
        <v>82.622942030731295</v>
      </c>
      <c r="AM79">
        <v>87.699479358175793</v>
      </c>
      <c r="AN79">
        <v>0.99999994335763398</v>
      </c>
    </row>
    <row r="80" spans="1:40" x14ac:dyDescent="0.25">
      <c r="A80" t="str">
        <f>"20190303162211953"</f>
        <v>20190303162211953</v>
      </c>
      <c r="B80" t="str">
        <f>"1551601331943816"</f>
        <v>1551601331943816</v>
      </c>
      <c r="C80" t="s">
        <v>40</v>
      </c>
      <c r="D80">
        <v>5.5976689999999998</v>
      </c>
      <c r="E80">
        <v>0.52747359999999999</v>
      </c>
      <c r="F80" t="s">
        <v>42</v>
      </c>
      <c r="G80">
        <v>-472.49400000000003</v>
      </c>
      <c r="H80">
        <v>0.89464030000000005</v>
      </c>
      <c r="I80">
        <v>367.0095</v>
      </c>
      <c r="J80">
        <v>-473.13279999999997</v>
      </c>
      <c r="K80">
        <v>1.1204400000000001</v>
      </c>
      <c r="L80">
        <v>367.0813</v>
      </c>
      <c r="M80">
        <v>0.99991339999999995</v>
      </c>
      <c r="N80">
        <v>-1.0946269999999999E-2</v>
      </c>
      <c r="O80">
        <v>7.3054269999999998E-3</v>
      </c>
      <c r="P80">
        <v>0.99252180000000001</v>
      </c>
      <c r="Q80">
        <v>0.1177773</v>
      </c>
      <c r="R80">
        <v>-3.2081110000000003E-2</v>
      </c>
      <c r="S80">
        <v>3.1331180000000001</v>
      </c>
      <c r="T80">
        <v>-1.0400480000000001</v>
      </c>
      <c r="U80">
        <v>-0.32482909999999998</v>
      </c>
      <c r="V80">
        <v>3.932298E-2</v>
      </c>
      <c r="W80">
        <v>0.12863450000000001</v>
      </c>
      <c r="X80">
        <v>0.99091209999999996</v>
      </c>
      <c r="Y80">
        <v>0.1042916</v>
      </c>
      <c r="Z80">
        <v>-1.968195E-2</v>
      </c>
      <c r="AA80">
        <v>0.99435200000000001</v>
      </c>
      <c r="AB80">
        <v>4</v>
      </c>
      <c r="AC80">
        <v>0.63879999999994597</v>
      </c>
      <c r="AD80">
        <v>-0.22579969999999899</v>
      </c>
      <c r="AE80">
        <v>-7.1799999999996006E-2</v>
      </c>
      <c r="AF80">
        <v>6.8066625016960897E-2</v>
      </c>
      <c r="AG80">
        <v>-0.22579969999999899</v>
      </c>
      <c r="AH80">
        <v>0.56815608006340002</v>
      </c>
      <c r="AI80">
        <v>111.53437813671999</v>
      </c>
      <c r="AJ80">
        <v>83.168371566565597</v>
      </c>
      <c r="AK80">
        <v>0.61515843591248698</v>
      </c>
      <c r="AL80">
        <v>82.609307285416307</v>
      </c>
      <c r="AM80">
        <v>87.727488422442093</v>
      </c>
      <c r="AN80">
        <v>0.99999996063636898</v>
      </c>
    </row>
    <row r="81" spans="1:40" x14ac:dyDescent="0.25">
      <c r="A81" t="str">
        <f>"20190303162211975"</f>
        <v>20190303162211975</v>
      </c>
      <c r="B81" t="str">
        <f>"1551601331964312"</f>
        <v>1551601331964312</v>
      </c>
      <c r="C81" t="s">
        <v>40</v>
      </c>
      <c r="D81">
        <v>5.6017099999999997</v>
      </c>
      <c r="E81">
        <v>0.527400599999999</v>
      </c>
      <c r="F81" t="s">
        <v>42</v>
      </c>
      <c r="G81">
        <v>-472.45819999999998</v>
      </c>
      <c r="H81">
        <v>0.89730299999999996</v>
      </c>
      <c r="I81">
        <v>367.01240000000001</v>
      </c>
      <c r="J81">
        <v>-473.09800000000001</v>
      </c>
      <c r="K81">
        <v>1.1206469999999999</v>
      </c>
      <c r="L81">
        <v>367.08179999999999</v>
      </c>
      <c r="M81">
        <v>0.99990699999999999</v>
      </c>
      <c r="N81">
        <v>-1.133665E-2</v>
      </c>
      <c r="O81">
        <v>7.5788280000000001E-3</v>
      </c>
      <c r="P81">
        <v>0.9926005</v>
      </c>
      <c r="Q81">
        <v>0.1172253</v>
      </c>
      <c r="R81">
        <v>-3.1663440000000001E-2</v>
      </c>
      <c r="S81">
        <v>3.1353149999999999</v>
      </c>
      <c r="T81">
        <v>-1.0370189999999999</v>
      </c>
      <c r="U81">
        <v>-0.32019039999999999</v>
      </c>
      <c r="V81">
        <v>3.9177829999999997E-2</v>
      </c>
      <c r="W81">
        <v>0.12846949999999999</v>
      </c>
      <c r="X81">
        <v>0.99093929999999997</v>
      </c>
      <c r="Y81">
        <v>0.103121699999999</v>
      </c>
      <c r="Z81">
        <v>-1.952568E-2</v>
      </c>
      <c r="AA81">
        <v>0.9944771</v>
      </c>
      <c r="AB81">
        <v>4</v>
      </c>
      <c r="AC81">
        <v>0.63980000000003601</v>
      </c>
      <c r="AD81">
        <v>-0.22334399999999899</v>
      </c>
      <c r="AE81">
        <v>-6.9399999999973205E-2</v>
      </c>
      <c r="AF81">
        <v>6.6266004648446397E-2</v>
      </c>
      <c r="AG81">
        <v>-0.22334399999999899</v>
      </c>
      <c r="AH81">
        <v>0.57053849636553799</v>
      </c>
      <c r="AI81">
        <v>111.24845867465601</v>
      </c>
      <c r="AJ81">
        <v>83.374984298148803</v>
      </c>
      <c r="AK81">
        <v>0.61626934171928205</v>
      </c>
      <c r="AL81">
        <v>82.618840519379006</v>
      </c>
      <c r="AM81">
        <v>87.735930112700103</v>
      </c>
      <c r="AN81">
        <v>1.0000000055391201</v>
      </c>
    </row>
    <row r="82" spans="1:40" x14ac:dyDescent="0.25">
      <c r="A82" t="str">
        <f>"20190303162211996"</f>
        <v>20190303162211996</v>
      </c>
      <c r="B82" t="str">
        <f>"1551601331983832"</f>
        <v>1551601331983832</v>
      </c>
      <c r="C82" t="s">
        <v>40</v>
      </c>
      <c r="D82">
        <v>5.6076430000000004</v>
      </c>
      <c r="E82">
        <v>0.52733180000000002</v>
      </c>
      <c r="F82" t="s">
        <v>42</v>
      </c>
      <c r="G82">
        <v>-472.42739999999998</v>
      </c>
      <c r="H82">
        <v>0.89832639999999997</v>
      </c>
      <c r="I82">
        <v>367.01299999999998</v>
      </c>
      <c r="J82">
        <v>-473.06810000000002</v>
      </c>
      <c r="K82">
        <v>1.1210659999999999</v>
      </c>
      <c r="L82">
        <v>367.08229999999998</v>
      </c>
      <c r="M82">
        <v>0.99988829999999995</v>
      </c>
      <c r="N82">
        <v>-1.277475E-2</v>
      </c>
      <c r="O82">
        <v>7.76416E-3</v>
      </c>
      <c r="P82">
        <v>0.99277930000000003</v>
      </c>
      <c r="Q82">
        <v>0.11562509999999999</v>
      </c>
      <c r="R82">
        <v>-3.194106E-2</v>
      </c>
      <c r="S82">
        <v>3.1350099999999999</v>
      </c>
      <c r="T82">
        <v>-1.0396879999999999</v>
      </c>
      <c r="U82">
        <v>-0.31890869999999999</v>
      </c>
      <c r="V82">
        <v>3.965022E-2</v>
      </c>
      <c r="W82">
        <v>0.12829450000000001</v>
      </c>
      <c r="X82">
        <v>0.99094320000000002</v>
      </c>
      <c r="Y82">
        <v>0.1028654</v>
      </c>
      <c r="Z82">
        <v>-1.965459E-2</v>
      </c>
      <c r="AA82">
        <v>0.99450110000000003</v>
      </c>
      <c r="AB82">
        <v>4</v>
      </c>
      <c r="AC82">
        <v>0.64070000000003802</v>
      </c>
      <c r="AD82">
        <v>-0.22273959999999901</v>
      </c>
      <c r="AE82">
        <v>-6.9299999999941506E-2</v>
      </c>
      <c r="AF82">
        <v>6.6346813725909407E-2</v>
      </c>
      <c r="AG82">
        <v>-0.22273959999999901</v>
      </c>
      <c r="AH82">
        <v>0.57182996868984504</v>
      </c>
      <c r="AI82">
        <v>111.152700793066</v>
      </c>
      <c r="AJ82">
        <v>83.381824843077595</v>
      </c>
      <c r="AK82">
        <v>0.61725549182779205</v>
      </c>
      <c r="AL82">
        <v>82.628951069773606</v>
      </c>
      <c r="AM82">
        <v>87.708668831100098</v>
      </c>
      <c r="AN82">
        <v>1.0000000221512599</v>
      </c>
    </row>
    <row r="83" spans="1:40" x14ac:dyDescent="0.25">
      <c r="A83" t="str">
        <f>"20190303162212017"</f>
        <v>20190303162212017</v>
      </c>
      <c r="B83" t="str">
        <f>"1551601332014088"</f>
        <v>1551601332014088</v>
      </c>
      <c r="C83" t="s">
        <v>40</v>
      </c>
      <c r="D83">
        <v>5.6045170000000004</v>
      </c>
      <c r="E83">
        <v>0.52724680000000002</v>
      </c>
      <c r="F83" t="s">
        <v>42</v>
      </c>
      <c r="G83">
        <v>-472.40039999999999</v>
      </c>
      <c r="H83">
        <v>0.89840159999999902</v>
      </c>
      <c r="I83">
        <v>367.01409999999998</v>
      </c>
      <c r="J83">
        <v>-473.03489999999999</v>
      </c>
      <c r="K83">
        <v>1.1210899999999999</v>
      </c>
      <c r="L83">
        <v>367.0829</v>
      </c>
      <c r="M83">
        <v>0.99988410000000005</v>
      </c>
      <c r="N83">
        <v>-1.2973760000000001E-2</v>
      </c>
      <c r="O83">
        <v>7.9551559999999997E-3</v>
      </c>
      <c r="P83">
        <v>0.99283109999999997</v>
      </c>
      <c r="Q83">
        <v>0.1151045</v>
      </c>
      <c r="R83">
        <v>-3.2206609999999997E-2</v>
      </c>
      <c r="S83">
        <v>3.1332399999999998</v>
      </c>
      <c r="T83">
        <v>-1.0448309999999901</v>
      </c>
      <c r="U83">
        <v>-0.31948850000000001</v>
      </c>
      <c r="V83">
        <v>4.0107909999999997E-2</v>
      </c>
      <c r="W83">
        <v>0.127971</v>
      </c>
      <c r="X83">
        <v>0.99096660000000003</v>
      </c>
      <c r="Y83">
        <v>0.1031987</v>
      </c>
      <c r="Z83">
        <v>-1.987914E-2</v>
      </c>
      <c r="AA83">
        <v>0.99446210000000002</v>
      </c>
      <c r="AB83">
        <v>3</v>
      </c>
      <c r="AC83">
        <v>0.63450000000000195</v>
      </c>
      <c r="AD83">
        <v>-0.22268840000000001</v>
      </c>
      <c r="AE83">
        <v>-6.8800000000010103E-2</v>
      </c>
      <c r="AF83">
        <v>6.5831105519325098E-2</v>
      </c>
      <c r="AG83">
        <v>-0.22268840000000001</v>
      </c>
      <c r="AH83">
        <v>0.56513009956816995</v>
      </c>
      <c r="AI83">
        <v>111.37544458017599</v>
      </c>
      <c r="AJ83">
        <v>83.355651489222396</v>
      </c>
      <c r="AK83">
        <v>0.61097944923408498</v>
      </c>
      <c r="AL83">
        <v>82.647640232507896</v>
      </c>
      <c r="AM83">
        <v>87.682302912087195</v>
      </c>
      <c r="AN83">
        <v>1.0000000118005601</v>
      </c>
    </row>
    <row r="84" spans="1:40" x14ac:dyDescent="0.25">
      <c r="A84" t="str">
        <f>"20190303162212041"</f>
        <v>20190303162212041</v>
      </c>
      <c r="B84" t="str">
        <f>"1551601332034584"</f>
        <v>1551601332034584</v>
      </c>
      <c r="C84" t="s">
        <v>40</v>
      </c>
      <c r="D84">
        <v>5.615602</v>
      </c>
      <c r="E84">
        <v>0.52721600000000002</v>
      </c>
      <c r="F84" t="s">
        <v>42</v>
      </c>
      <c r="G84">
        <v>-472.36869999999999</v>
      </c>
      <c r="H84">
        <v>0.89857019999999999</v>
      </c>
      <c r="I84">
        <v>367.01440000000002</v>
      </c>
      <c r="J84">
        <v>-472.99349999999998</v>
      </c>
      <c r="K84">
        <v>1.1206469999999999</v>
      </c>
      <c r="L84">
        <v>367.08350000000002</v>
      </c>
      <c r="M84">
        <v>0.99990140000000005</v>
      </c>
      <c r="N84">
        <v>-1.1386159999999999E-2</v>
      </c>
      <c r="O84">
        <v>8.2346980000000004E-3</v>
      </c>
      <c r="P84">
        <v>0.99257189999999995</v>
      </c>
      <c r="Q84">
        <v>0.11735379999999999</v>
      </c>
      <c r="R84">
        <v>-3.2084309999999998E-2</v>
      </c>
      <c r="S84">
        <v>3.13266</v>
      </c>
      <c r="T84">
        <v>-1.046484</v>
      </c>
      <c r="U84">
        <v>-0.31970209999999999</v>
      </c>
      <c r="V84">
        <v>4.0255010000000001E-2</v>
      </c>
      <c r="W84">
        <v>0.12864489999999901</v>
      </c>
      <c r="X84">
        <v>0.99087329999999996</v>
      </c>
      <c r="Y84">
        <v>0.10353279999999999</v>
      </c>
      <c r="Z84">
        <v>-1.998308E-2</v>
      </c>
      <c r="AA84">
        <v>0.99442529999999996</v>
      </c>
      <c r="AB84">
        <v>3</v>
      </c>
      <c r="AC84">
        <v>0.62479999999999303</v>
      </c>
      <c r="AD84">
        <v>-0.22207679999999999</v>
      </c>
      <c r="AE84">
        <v>-6.9099999999991696E-2</v>
      </c>
      <c r="AF84">
        <v>6.6005032380308401E-2</v>
      </c>
      <c r="AG84">
        <v>-0.22207679999999999</v>
      </c>
      <c r="AH84">
        <v>0.554947526864912</v>
      </c>
      <c r="AI84">
        <v>111.67165272398201</v>
      </c>
      <c r="AJ84">
        <v>83.217148868830805</v>
      </c>
      <c r="AK84">
        <v>0.60136638330658998</v>
      </c>
      <c r="AL84">
        <v>82.608706236691205</v>
      </c>
      <c r="AM84">
        <v>87.673593042116096</v>
      </c>
      <c r="AN84">
        <v>0.99999993638949802</v>
      </c>
    </row>
    <row r="85" spans="1:40" x14ac:dyDescent="0.25">
      <c r="A85" t="str">
        <f>"20190303162212063"</f>
        <v>20190303162212063</v>
      </c>
      <c r="B85" t="str">
        <f>"1551601332054104"</f>
        <v>1551601332054104</v>
      </c>
      <c r="C85" t="s">
        <v>40</v>
      </c>
      <c r="D85">
        <v>5.6272229999999999</v>
      </c>
      <c r="E85">
        <v>0.5271844</v>
      </c>
      <c r="F85" t="s">
        <v>42</v>
      </c>
      <c r="G85">
        <v>-472.33139999999997</v>
      </c>
      <c r="H85">
        <v>0.9011188</v>
      </c>
      <c r="I85">
        <v>367.01580000000001</v>
      </c>
      <c r="J85">
        <v>-472.95150000000001</v>
      </c>
      <c r="K85">
        <v>1.120263</v>
      </c>
      <c r="L85">
        <v>367.08409999999998</v>
      </c>
      <c r="M85">
        <v>0.99991640000000004</v>
      </c>
      <c r="N85">
        <v>-9.6926059999999994E-3</v>
      </c>
      <c r="O85">
        <v>8.5577090000000001E-3</v>
      </c>
      <c r="P85">
        <v>0.99232469999999995</v>
      </c>
      <c r="Q85">
        <v>0.1195035</v>
      </c>
      <c r="R85">
        <v>-3.1791630000000001E-2</v>
      </c>
      <c r="S85">
        <v>3.1350099999999999</v>
      </c>
      <c r="T85">
        <v>-1.0393810000000001</v>
      </c>
      <c r="U85">
        <v>-0.31915280000000001</v>
      </c>
      <c r="V85">
        <v>4.027331E-2</v>
      </c>
      <c r="W85">
        <v>0.12911629999999999</v>
      </c>
      <c r="X85">
        <v>0.99081129999999995</v>
      </c>
      <c r="Y85">
        <v>0.1036955</v>
      </c>
      <c r="Z85">
        <v>-1.9895139999999999E-2</v>
      </c>
      <c r="AA85">
        <v>0.99441009999999996</v>
      </c>
      <c r="AB85">
        <v>4</v>
      </c>
      <c r="AC85">
        <v>0.62010000000003596</v>
      </c>
      <c r="AD85">
        <v>-0.21914420000000001</v>
      </c>
      <c r="AE85">
        <v>-6.8299999999965097E-2</v>
      </c>
      <c r="AF85">
        <v>6.5519560848131805E-2</v>
      </c>
      <c r="AG85">
        <v>-0.21914420000000001</v>
      </c>
      <c r="AH85">
        <v>0.55144670038634003</v>
      </c>
      <c r="AI85">
        <v>111.535335310157</v>
      </c>
      <c r="AJ85">
        <v>83.224226929937302</v>
      </c>
      <c r="AK85">
        <v>0.59700121994377398</v>
      </c>
      <c r="AL85">
        <v>82.581470295638098</v>
      </c>
      <c r="AM85">
        <v>87.672391135323195</v>
      </c>
      <c r="AN85">
        <v>0.99999999531586803</v>
      </c>
    </row>
    <row r="86" spans="1:40" x14ac:dyDescent="0.25">
      <c r="A86" t="str">
        <f>"20190303162212087"</f>
        <v>20190303162212087</v>
      </c>
      <c r="B86" t="str">
        <f>"1551601332084360"</f>
        <v>1551601332084360</v>
      </c>
      <c r="C86" t="s">
        <v>40</v>
      </c>
      <c r="D86">
        <v>5.6259129999999997</v>
      </c>
      <c r="E86">
        <v>0.52714059999999996</v>
      </c>
      <c r="F86" t="s">
        <v>42</v>
      </c>
      <c r="G86">
        <v>-472.26010000000002</v>
      </c>
      <c r="H86">
        <v>0.8925575</v>
      </c>
      <c r="I86">
        <v>367.01420000000002</v>
      </c>
      <c r="J86">
        <v>-472.90989999999999</v>
      </c>
      <c r="K86">
        <v>1.120441</v>
      </c>
      <c r="L86">
        <v>367.08479999999997</v>
      </c>
      <c r="M86">
        <v>0.99991169999999996</v>
      </c>
      <c r="N86">
        <v>-9.9382159999999997E-3</v>
      </c>
      <c r="O86">
        <v>8.833446E-3</v>
      </c>
      <c r="P86">
        <v>0.99233099999999996</v>
      </c>
      <c r="Q86">
        <v>0.1195348</v>
      </c>
      <c r="R86">
        <v>-3.1480189999999998E-2</v>
      </c>
      <c r="S86">
        <v>3.137451</v>
      </c>
      <c r="T86">
        <v>-1.0331760000000001</v>
      </c>
      <c r="U86">
        <v>-0.31707760000000001</v>
      </c>
      <c r="V86">
        <v>4.0239450000000003E-2</v>
      </c>
      <c r="W86">
        <v>0.12938959999999999</v>
      </c>
      <c r="X86">
        <v>0.99077700000000002</v>
      </c>
      <c r="Y86">
        <v>0.103322</v>
      </c>
      <c r="Z86">
        <v>-1.9805929999999999E-2</v>
      </c>
      <c r="AA86">
        <v>0.99445070000000002</v>
      </c>
      <c r="AB86">
        <v>4</v>
      </c>
      <c r="AC86">
        <v>0.64979999999996996</v>
      </c>
      <c r="AD86">
        <v>-0.22788349999999899</v>
      </c>
      <c r="AE86">
        <v>-7.0599999999956198E-2</v>
      </c>
      <c r="AF86">
        <v>6.8064036675176104E-2</v>
      </c>
      <c r="AG86">
        <v>-0.22788349999999899</v>
      </c>
      <c r="AH86">
        <v>0.57879593741794</v>
      </c>
      <c r="AI86">
        <v>111.35676633987499</v>
      </c>
      <c r="AJ86">
        <v>83.293053645774904</v>
      </c>
      <c r="AK86">
        <v>0.62575421679145105</v>
      </c>
      <c r="AL86">
        <v>82.565678727124606</v>
      </c>
      <c r="AM86">
        <v>87.674265511113802</v>
      </c>
      <c r="AN86">
        <v>0.99999997282673003</v>
      </c>
    </row>
    <row r="87" spans="1:40" x14ac:dyDescent="0.25">
      <c r="A87" t="str">
        <f>"20190303162212108"</f>
        <v>20190303162212108</v>
      </c>
      <c r="B87" t="str">
        <f>"1551601332103880"</f>
        <v>1551601332103880</v>
      </c>
      <c r="C87" t="s">
        <v>40</v>
      </c>
      <c r="D87">
        <v>5.6452339999999896</v>
      </c>
      <c r="E87">
        <v>0.52711779999999997</v>
      </c>
      <c r="F87" t="s">
        <v>42</v>
      </c>
      <c r="G87">
        <v>-472.22719999999998</v>
      </c>
      <c r="H87">
        <v>0.89548289999999997</v>
      </c>
      <c r="I87">
        <v>367.01609999999999</v>
      </c>
      <c r="J87">
        <v>-472.87650000000002</v>
      </c>
      <c r="K87">
        <v>1.1209020000000001</v>
      </c>
      <c r="L87">
        <v>367.08530000000002</v>
      </c>
      <c r="M87">
        <v>0.99989380000000005</v>
      </c>
      <c r="N87">
        <v>-1.1453639999999999E-2</v>
      </c>
      <c r="O87">
        <v>9.0165320000000007E-3</v>
      </c>
      <c r="P87">
        <v>0.99248119999999995</v>
      </c>
      <c r="Q87">
        <v>0.1181642</v>
      </c>
      <c r="R87">
        <v>-3.1918370000000001E-2</v>
      </c>
      <c r="S87">
        <v>3.137756</v>
      </c>
      <c r="T87">
        <v>-1.033968</v>
      </c>
      <c r="U87">
        <v>-0.31451420000000002</v>
      </c>
      <c r="V87">
        <v>4.0870799999999999E-2</v>
      </c>
      <c r="W87">
        <v>0.12951869999999999</v>
      </c>
      <c r="X87">
        <v>0.99073429999999996</v>
      </c>
      <c r="Y87">
        <v>0.1026851</v>
      </c>
      <c r="Z87">
        <v>-1.983745E-2</v>
      </c>
      <c r="AA87">
        <v>0.99451610000000001</v>
      </c>
      <c r="AB87">
        <v>4</v>
      </c>
      <c r="AC87">
        <v>0.64930000000003896</v>
      </c>
      <c r="AD87">
        <v>-0.22541910000000001</v>
      </c>
      <c r="AE87">
        <v>-6.9200000000023396E-2</v>
      </c>
      <c r="AF87">
        <v>6.7060110095260902E-2</v>
      </c>
      <c r="AG87">
        <v>-0.22541910000000001</v>
      </c>
      <c r="AH87">
        <v>0.57957832003285104</v>
      </c>
      <c r="AI87">
        <v>111.12447662596</v>
      </c>
      <c r="AJ87">
        <v>83.399940446567598</v>
      </c>
      <c r="AK87">
        <v>0.62547730419488501</v>
      </c>
      <c r="AL87">
        <v>82.558219159711399</v>
      </c>
      <c r="AM87">
        <v>87.637714463261602</v>
      </c>
      <c r="AN87">
        <v>0.99999998456940897</v>
      </c>
    </row>
    <row r="88" spans="1:40" x14ac:dyDescent="0.25">
      <c r="A88" t="str">
        <f>"20190303162212130"</f>
        <v>20190303162212130</v>
      </c>
      <c r="B88" t="str">
        <f>"1551601332124377"</f>
        <v>1551601332124377</v>
      </c>
      <c r="C88" t="s">
        <v>40</v>
      </c>
      <c r="D88">
        <v>5.6388259999999999</v>
      </c>
      <c r="E88">
        <v>0.52722019999999903</v>
      </c>
      <c r="F88" t="s">
        <v>42</v>
      </c>
      <c r="G88">
        <v>-472.19839999999999</v>
      </c>
      <c r="H88">
        <v>0.89640509999999995</v>
      </c>
      <c r="I88">
        <v>367.01710000000003</v>
      </c>
      <c r="J88">
        <v>-472.84589999999997</v>
      </c>
      <c r="K88">
        <v>1.1213679999999999</v>
      </c>
      <c r="L88">
        <v>367.08580000000001</v>
      </c>
      <c r="M88">
        <v>0.99986920000000001</v>
      </c>
      <c r="N88">
        <v>-1.335768E-2</v>
      </c>
      <c r="O88">
        <v>9.1437010000000006E-3</v>
      </c>
      <c r="P88">
        <v>0.99265579999999998</v>
      </c>
      <c r="Q88">
        <v>0.11635379999999999</v>
      </c>
      <c r="R88">
        <v>-3.3114400000000002E-2</v>
      </c>
      <c r="S88">
        <v>3.1362920000000001</v>
      </c>
      <c r="T88">
        <v>-1.0385219999999999</v>
      </c>
      <c r="U88">
        <v>-0.3140869</v>
      </c>
      <c r="V88">
        <v>4.2207439999999999E-2</v>
      </c>
      <c r="W88">
        <v>0.12959300000000001</v>
      </c>
      <c r="X88">
        <v>0.99066849999999995</v>
      </c>
      <c r="Y88">
        <v>0.1026357</v>
      </c>
      <c r="Z88">
        <v>-2.0042170000000002E-2</v>
      </c>
      <c r="AA88">
        <v>0.99451710000000004</v>
      </c>
      <c r="AB88">
        <v>3</v>
      </c>
      <c r="AC88">
        <v>0.64749999999997898</v>
      </c>
      <c r="AD88">
        <v>-0.22496289999999999</v>
      </c>
      <c r="AE88">
        <v>-6.8699999999978403E-2</v>
      </c>
      <c r="AF88">
        <v>6.6661129367909494E-2</v>
      </c>
      <c r="AG88">
        <v>-0.22496289999999999</v>
      </c>
      <c r="AH88">
        <v>0.577867030386226</v>
      </c>
      <c r="AI88">
        <v>111.143182959699</v>
      </c>
      <c r="AJ88">
        <v>83.419604834974095</v>
      </c>
      <c r="AK88">
        <v>0.62368446938528999</v>
      </c>
      <c r="AL88">
        <v>82.553925605864094</v>
      </c>
      <c r="AM88">
        <v>87.560388222082906</v>
      </c>
      <c r="AN88">
        <v>0.99999994526629998</v>
      </c>
    </row>
    <row r="89" spans="1:40" x14ac:dyDescent="0.25">
      <c r="A89" t="str">
        <f>"20190303162212153"</f>
        <v>20190303162212153</v>
      </c>
      <c r="B89" t="str">
        <f>"1551601332143896"</f>
        <v>1551601332143896</v>
      </c>
      <c r="C89" t="s">
        <v>40</v>
      </c>
      <c r="D89">
        <v>5.6847310000000002</v>
      </c>
      <c r="E89">
        <v>0.52719439999999995</v>
      </c>
      <c r="F89" t="s">
        <v>42</v>
      </c>
      <c r="G89">
        <v>-472.17230000000001</v>
      </c>
      <c r="H89">
        <v>0.896704099999999</v>
      </c>
      <c r="I89">
        <v>367.01740000000001</v>
      </c>
      <c r="J89">
        <v>-472.81349999999998</v>
      </c>
      <c r="K89">
        <v>1.1214500000000001</v>
      </c>
      <c r="L89">
        <v>367.08629999999999</v>
      </c>
      <c r="M89">
        <v>0.99985780000000002</v>
      </c>
      <c r="N89">
        <v>-1.409782E-2</v>
      </c>
      <c r="O89">
        <v>9.2613260000000003E-3</v>
      </c>
      <c r="P89">
        <v>0.99263800000000002</v>
      </c>
      <c r="Q89">
        <v>0.1161442</v>
      </c>
      <c r="R89">
        <v>-3.4358409999999999E-2</v>
      </c>
      <c r="S89">
        <v>3.1342159999999999</v>
      </c>
      <c r="T89">
        <v>-1.04559</v>
      </c>
      <c r="U89">
        <v>-0.31716919999999998</v>
      </c>
      <c r="V89">
        <v>4.3571159999999998E-2</v>
      </c>
      <c r="W89">
        <v>0.13011489999999901</v>
      </c>
      <c r="X89">
        <v>0.99054109999999995</v>
      </c>
      <c r="Y89">
        <v>0.1036267</v>
      </c>
      <c r="Z89">
        <v>-2.0416380000000001E-2</v>
      </c>
      <c r="AA89">
        <v>0.99440669999999998</v>
      </c>
      <c r="AB89">
        <v>3</v>
      </c>
      <c r="AC89">
        <v>0.64119999999996902</v>
      </c>
      <c r="AD89">
        <v>-0.2247459</v>
      </c>
      <c r="AE89">
        <v>-6.8899999999985001E-2</v>
      </c>
      <c r="AF89">
        <v>6.6731241883766598E-2</v>
      </c>
      <c r="AG89">
        <v>-0.2247459</v>
      </c>
      <c r="AH89">
        <v>0.57116432031003805</v>
      </c>
      <c r="AI89">
        <v>111.34699460384201</v>
      </c>
      <c r="AJ89">
        <v>83.336133241513707</v>
      </c>
      <c r="AK89">
        <v>0.61740785466771297</v>
      </c>
      <c r="AL89">
        <v>82.523768019072094</v>
      </c>
      <c r="AM89">
        <v>87.481340915783704</v>
      </c>
      <c r="AN89">
        <v>1.00000000198748</v>
      </c>
    </row>
    <row r="90" spans="1:40" x14ac:dyDescent="0.25">
      <c r="A90" t="str">
        <f>"20190303162212176"</f>
        <v>20190303162212176</v>
      </c>
      <c r="B90" t="str">
        <f>"1551601332164392"</f>
        <v>1551601332164392</v>
      </c>
      <c r="C90" t="s">
        <v>40</v>
      </c>
      <c r="D90">
        <v>5.6639970000000002</v>
      </c>
      <c r="E90">
        <v>0.52988059999999904</v>
      </c>
      <c r="F90" t="s">
        <v>42</v>
      </c>
      <c r="G90">
        <v>-472.14120000000003</v>
      </c>
      <c r="H90">
        <v>0.89688690000000004</v>
      </c>
      <c r="I90">
        <v>367.01729999999998</v>
      </c>
      <c r="J90">
        <v>-472.77569999999997</v>
      </c>
      <c r="K90">
        <v>1.121003</v>
      </c>
      <c r="L90">
        <v>367.08679999999998</v>
      </c>
      <c r="M90">
        <v>0.99987409999999999</v>
      </c>
      <c r="N90">
        <v>-1.276147E-2</v>
      </c>
      <c r="O90">
        <v>9.4530529999999995E-3</v>
      </c>
      <c r="P90">
        <v>0.9924849</v>
      </c>
      <c r="Q90">
        <v>0.1172144</v>
      </c>
      <c r="R90">
        <v>-3.5143870000000001E-2</v>
      </c>
      <c r="S90">
        <v>3.1336360000000001</v>
      </c>
      <c r="T90">
        <v>-1.0468249999999999</v>
      </c>
      <c r="U90">
        <v>-0.32043460000000001</v>
      </c>
      <c r="V90">
        <v>4.4535320000000003E-2</v>
      </c>
      <c r="W90">
        <v>0.12986199999999901</v>
      </c>
      <c r="X90">
        <v>0.99053139999999995</v>
      </c>
      <c r="Y90">
        <v>0.10479049999999999</v>
      </c>
      <c r="Z90">
        <v>-2.0638110000000001E-2</v>
      </c>
      <c r="AA90">
        <v>0.99428019999999995</v>
      </c>
      <c r="AB90">
        <v>3</v>
      </c>
      <c r="AC90">
        <v>0.634499999999945</v>
      </c>
      <c r="AD90">
        <v>-0.22411610000000001</v>
      </c>
      <c r="AE90">
        <v>-6.9500000000005002E-2</v>
      </c>
      <c r="AF90">
        <v>6.72095479632773E-2</v>
      </c>
      <c r="AG90">
        <v>-0.22411610000000001</v>
      </c>
      <c r="AH90">
        <v>0.56425192767270604</v>
      </c>
      <c r="AI90">
        <v>111.52445188409</v>
      </c>
      <c r="AJ90">
        <v>83.207350962942698</v>
      </c>
      <c r="AK90">
        <v>0.61083990332901705</v>
      </c>
      <c r="AL90">
        <v>82.538382055552205</v>
      </c>
      <c r="AM90">
        <v>87.425656015527295</v>
      </c>
      <c r="AN90">
        <v>0.99999999407873097</v>
      </c>
    </row>
    <row r="91" spans="1:40" x14ac:dyDescent="0.25">
      <c r="A91" t="str">
        <f>"20190303162212199"</f>
        <v>20190303162212199</v>
      </c>
      <c r="B91" t="str">
        <f>"1551601332193819"</f>
        <v>1551601332193819</v>
      </c>
      <c r="C91" t="s">
        <v>40</v>
      </c>
      <c r="D91">
        <v>5.6533579999999999</v>
      </c>
      <c r="E91">
        <v>0.52979580000000004</v>
      </c>
      <c r="F91" t="s">
        <v>42</v>
      </c>
      <c r="G91">
        <v>-472.11079999999998</v>
      </c>
      <c r="H91">
        <v>0.8842293</v>
      </c>
      <c r="I91">
        <v>367.01350000000002</v>
      </c>
      <c r="J91">
        <v>-472.73320000000001</v>
      </c>
      <c r="K91">
        <v>1.1205339999999999</v>
      </c>
      <c r="L91">
        <v>367.0874</v>
      </c>
      <c r="M91">
        <v>0.99989240000000001</v>
      </c>
      <c r="N91">
        <v>-1.097714E-2</v>
      </c>
      <c r="O91">
        <v>9.7320719999999996E-3</v>
      </c>
      <c r="P91">
        <v>0.99232370000000003</v>
      </c>
      <c r="Q91">
        <v>0.11853229999999999</v>
      </c>
      <c r="R91">
        <v>-3.5272779999999997E-2</v>
      </c>
      <c r="S91">
        <v>3.1427</v>
      </c>
      <c r="T91">
        <v>-1.119399</v>
      </c>
      <c r="U91">
        <v>-0.34472659999999899</v>
      </c>
      <c r="V91">
        <v>4.4926790000000001E-2</v>
      </c>
      <c r="W91">
        <v>0.12941469999999999</v>
      </c>
      <c r="X91">
        <v>0.99057229999999996</v>
      </c>
      <c r="Y91">
        <v>0.1111631</v>
      </c>
      <c r="Z91">
        <v>-2.3035400000000001E-2</v>
      </c>
      <c r="AA91">
        <v>0.99353519999999895</v>
      </c>
      <c r="AB91">
        <v>4</v>
      </c>
      <c r="AC91">
        <v>0.62240000000002704</v>
      </c>
      <c r="AD91">
        <v>-0.23630469999999901</v>
      </c>
      <c r="AE91">
        <v>-7.3899999999980495E-2</v>
      </c>
      <c r="AF91">
        <v>7.0003581415183605E-2</v>
      </c>
      <c r="AG91">
        <v>-0.23630469999999901</v>
      </c>
      <c r="AH91">
        <v>0.54428493794965205</v>
      </c>
      <c r="AI91">
        <v>113.29715980888599</v>
      </c>
      <c r="AJ91">
        <v>82.671098749230495</v>
      </c>
      <c r="AK91">
        <v>0.59748347787357103</v>
      </c>
      <c r="AL91">
        <v>82.564228846142498</v>
      </c>
      <c r="AM91">
        <v>87.403165193172697</v>
      </c>
      <c r="AN91">
        <v>1.00000003128154</v>
      </c>
    </row>
    <row r="92" spans="1:40" x14ac:dyDescent="0.25">
      <c r="A92" t="str">
        <f>"20190303162212221"</f>
        <v>20190303162212221</v>
      </c>
      <c r="B92" t="str">
        <f>"1551601332214315"</f>
        <v>1551601332214315</v>
      </c>
      <c r="C92" t="s">
        <v>40</v>
      </c>
      <c r="D92">
        <v>5.6492940000000003</v>
      </c>
      <c r="E92">
        <v>0.52969500000000003</v>
      </c>
      <c r="F92" t="s">
        <v>42</v>
      </c>
      <c r="G92">
        <v>-472.07260000000002</v>
      </c>
      <c r="H92">
        <v>0.88611479999999998</v>
      </c>
      <c r="I92">
        <v>367.0147</v>
      </c>
      <c r="J92">
        <v>-472.69510000000002</v>
      </c>
      <c r="K92">
        <v>1.120463</v>
      </c>
      <c r="L92">
        <v>367.08800000000002</v>
      </c>
      <c r="M92">
        <v>0.99989620000000001</v>
      </c>
      <c r="N92">
        <v>-1.040101E-2</v>
      </c>
      <c r="O92">
        <v>9.9774349999999998E-3</v>
      </c>
      <c r="P92">
        <v>0.99233400000000005</v>
      </c>
      <c r="Q92">
        <v>0.118547</v>
      </c>
      <c r="R92">
        <v>-3.4930990000000002E-2</v>
      </c>
      <c r="S92">
        <v>3.1442260000000002</v>
      </c>
      <c r="T92">
        <v>-1.1159509999999999</v>
      </c>
      <c r="U92">
        <v>-0.34466550000000001</v>
      </c>
      <c r="V92">
        <v>4.4820510000000001E-2</v>
      </c>
      <c r="W92">
        <v>0.12886149999999999</v>
      </c>
      <c r="X92">
        <v>0.99064920000000001</v>
      </c>
      <c r="Y92">
        <v>0.1113698</v>
      </c>
      <c r="Z92">
        <v>-2.305043E-2</v>
      </c>
      <c r="AA92">
        <v>0.9935117</v>
      </c>
      <c r="AB92">
        <v>4</v>
      </c>
      <c r="AC92">
        <v>0.62250000000000205</v>
      </c>
      <c r="AD92">
        <v>-0.23434819999999901</v>
      </c>
      <c r="AE92">
        <v>-7.3300000000017407E-2</v>
      </c>
      <c r="AF92">
        <v>6.9756626667753702E-2</v>
      </c>
      <c r="AG92">
        <v>-0.23434819999999901</v>
      </c>
      <c r="AH92">
        <v>0.54548618866560405</v>
      </c>
      <c r="AI92">
        <v>113.080947067746</v>
      </c>
      <c r="AJ92">
        <v>82.712583661214694</v>
      </c>
      <c r="AK92">
        <v>0.59777943075371098</v>
      </c>
      <c r="AL92">
        <v>82.596192288424405</v>
      </c>
      <c r="AM92">
        <v>87.409500785869199</v>
      </c>
      <c r="AN92">
        <v>1.00000000087977</v>
      </c>
    </row>
    <row r="93" spans="1:40" x14ac:dyDescent="0.25">
      <c r="A93" t="str">
        <f>"20190303162212242"</f>
        <v>20190303162212242</v>
      </c>
      <c r="B93" t="str">
        <f>"1551601332233834"</f>
        <v>1551601332233834</v>
      </c>
      <c r="C93" t="s">
        <v>40</v>
      </c>
      <c r="D93">
        <v>5.6761809999999997</v>
      </c>
      <c r="E93">
        <v>0.52952829999999995</v>
      </c>
      <c r="F93" t="s">
        <v>42</v>
      </c>
      <c r="G93">
        <v>-472.03640000000001</v>
      </c>
      <c r="H93">
        <v>0.88700800000000002</v>
      </c>
      <c r="I93">
        <v>367.01569999999998</v>
      </c>
      <c r="J93">
        <v>-472.65989999999999</v>
      </c>
      <c r="K93">
        <v>1.1208149999999999</v>
      </c>
      <c r="L93">
        <v>367.08870000000002</v>
      </c>
      <c r="M93">
        <v>0.99988330000000003</v>
      </c>
      <c r="N93">
        <v>-1.141028E-2</v>
      </c>
      <c r="O93">
        <v>1.0163480000000001E-2</v>
      </c>
      <c r="P93">
        <v>0.99252750000000001</v>
      </c>
      <c r="Q93">
        <v>0.1171282</v>
      </c>
      <c r="R93">
        <v>-3.420496E-2</v>
      </c>
      <c r="S93">
        <v>3.1442260000000002</v>
      </c>
      <c r="T93">
        <v>-1.1144989999999999</v>
      </c>
      <c r="U93">
        <v>-0.3423157</v>
      </c>
      <c r="V93">
        <v>4.4284030000000002E-2</v>
      </c>
      <c r="W93">
        <v>0.128443899999999</v>
      </c>
      <c r="X93">
        <v>0.99072749999999998</v>
      </c>
      <c r="Y93">
        <v>0.110844</v>
      </c>
      <c r="Z93">
        <v>-2.3040390000000001E-2</v>
      </c>
      <c r="AA93">
        <v>0.99357070000000003</v>
      </c>
      <c r="AB93">
        <v>4</v>
      </c>
      <c r="AC93">
        <v>0.62349999999997796</v>
      </c>
      <c r="AD93">
        <v>-0.23380699999999899</v>
      </c>
      <c r="AE93">
        <v>-7.3000000000035897E-2</v>
      </c>
      <c r="AF93">
        <v>6.96692689362476E-2</v>
      </c>
      <c r="AG93">
        <v>-0.23380699999999899</v>
      </c>
      <c r="AH93">
        <v>0.546866242510055</v>
      </c>
      <c r="AI93">
        <v>112.982374706032</v>
      </c>
      <c r="AJ93">
        <v>82.739783202895097</v>
      </c>
      <c r="AK93">
        <v>0.59881734066422698</v>
      </c>
      <c r="AL93">
        <v>82.620319095692096</v>
      </c>
      <c r="AM93">
        <v>87.440668351949498</v>
      </c>
      <c r="AN93">
        <v>0.99999994500824896</v>
      </c>
    </row>
    <row r="94" spans="1:40" x14ac:dyDescent="0.25">
      <c r="A94" t="str">
        <f>"20190303162212264"</f>
        <v>20190303162212264</v>
      </c>
      <c r="B94" t="str">
        <f>"1551601332254331"</f>
        <v>1551601332254331</v>
      </c>
      <c r="C94" t="s">
        <v>40</v>
      </c>
      <c r="D94">
        <v>5.6693829999999998</v>
      </c>
      <c r="E94">
        <v>0.52939780000000003</v>
      </c>
      <c r="F94" t="s">
        <v>42</v>
      </c>
      <c r="G94">
        <v>-472.00479999999999</v>
      </c>
      <c r="H94">
        <v>0.88731539999999998</v>
      </c>
      <c r="I94">
        <v>367.0181</v>
      </c>
      <c r="J94">
        <v>-472.62180000000001</v>
      </c>
      <c r="K94">
        <v>1.1207320000000001</v>
      </c>
      <c r="L94">
        <v>367.08929999999998</v>
      </c>
      <c r="M94">
        <v>0.99988549999999998</v>
      </c>
      <c r="N94">
        <v>-1.100305E-2</v>
      </c>
      <c r="O94">
        <v>1.0387850000000001E-2</v>
      </c>
      <c r="P94">
        <v>0.99250039999999995</v>
      </c>
      <c r="Q94">
        <v>0.1176758</v>
      </c>
      <c r="R94">
        <v>-3.3093999999999998E-2</v>
      </c>
      <c r="S94">
        <v>3.1431269999999998</v>
      </c>
      <c r="T94">
        <v>-1.1203700000000001</v>
      </c>
      <c r="U94">
        <v>-0.33807369999999998</v>
      </c>
      <c r="V94">
        <v>4.3391239999999998E-2</v>
      </c>
      <c r="W94">
        <v>0.12858910000000001</v>
      </c>
      <c r="X94">
        <v>0.99074819999999997</v>
      </c>
      <c r="Y94">
        <v>0.10975890000000001</v>
      </c>
      <c r="Z94">
        <v>-2.302357E-2</v>
      </c>
      <c r="AA94">
        <v>0.99369160000000001</v>
      </c>
      <c r="AB94">
        <v>4</v>
      </c>
      <c r="AC94">
        <v>0.61700000000001798</v>
      </c>
      <c r="AD94">
        <v>-0.2334166</v>
      </c>
      <c r="AE94">
        <v>-7.1199999999976102E-2</v>
      </c>
      <c r="AF94">
        <v>6.8001527497572004E-2</v>
      </c>
      <c r="AG94">
        <v>-0.2334166</v>
      </c>
      <c r="AH94">
        <v>0.53996420007720503</v>
      </c>
      <c r="AI94">
        <v>113.214195044886</v>
      </c>
      <c r="AJ94">
        <v>82.822123703888295</v>
      </c>
      <c r="AK94">
        <v>0.59217299352687403</v>
      </c>
      <c r="AL94">
        <v>82.611930412688807</v>
      </c>
      <c r="AM94">
        <v>87.492251641828901</v>
      </c>
      <c r="AN94">
        <v>0.99999997607539304</v>
      </c>
    </row>
    <row r="95" spans="1:40" x14ac:dyDescent="0.25">
      <c r="A95" t="str">
        <f>"20190303162212287"</f>
        <v>20190303162212287</v>
      </c>
      <c r="B95" t="str">
        <f>"1551601332284117"</f>
        <v>1551601332284117</v>
      </c>
      <c r="C95" t="s">
        <v>40</v>
      </c>
      <c r="D95">
        <v>5.679678</v>
      </c>
      <c r="E95">
        <v>0.52923599999999904</v>
      </c>
      <c r="F95" t="s">
        <v>42</v>
      </c>
      <c r="G95">
        <v>-471.93459999999999</v>
      </c>
      <c r="H95">
        <v>0.87580409999999997</v>
      </c>
      <c r="I95">
        <v>367.01600000000002</v>
      </c>
      <c r="J95">
        <v>-472.5752</v>
      </c>
      <c r="K95">
        <v>1.120357</v>
      </c>
      <c r="L95">
        <v>367.09010000000001</v>
      </c>
      <c r="M95">
        <v>0.99989819999999996</v>
      </c>
      <c r="N95">
        <v>-9.4175470000000001E-3</v>
      </c>
      <c r="O95">
        <v>1.071243E-2</v>
      </c>
      <c r="P95">
        <v>0.99237450000000005</v>
      </c>
      <c r="Q95">
        <v>0.11898830000000001</v>
      </c>
      <c r="R95">
        <v>-3.2159E-2</v>
      </c>
      <c r="S95">
        <v>3.1444700000000001</v>
      </c>
      <c r="T95">
        <v>-1.120992</v>
      </c>
      <c r="U95">
        <v>-0.33346559999999997</v>
      </c>
      <c r="V95">
        <v>4.277077E-2</v>
      </c>
      <c r="W95">
        <v>0.1283309</v>
      </c>
      <c r="X95">
        <v>0.99080869999999999</v>
      </c>
      <c r="Y95">
        <v>0.1086688</v>
      </c>
      <c r="Z95">
        <v>-2.2869560000000001E-2</v>
      </c>
      <c r="AA95">
        <v>0.99381489999999995</v>
      </c>
      <c r="AB95">
        <v>4</v>
      </c>
      <c r="AC95">
        <v>0.64060000000000605</v>
      </c>
      <c r="AD95">
        <v>-0.24455289999999999</v>
      </c>
      <c r="AE95">
        <v>-7.4100000000044006E-2</v>
      </c>
      <c r="AF95">
        <v>7.0779407997860005E-2</v>
      </c>
      <c r="AG95">
        <v>-0.24455289999999999</v>
      </c>
      <c r="AH95">
        <v>0.55933023105884705</v>
      </c>
      <c r="AI95">
        <v>113.44952900886101</v>
      </c>
      <c r="AJ95">
        <v>82.787944646946599</v>
      </c>
      <c r="AK95">
        <v>0.61454548478634297</v>
      </c>
      <c r="AL95">
        <v>82.6268480990298</v>
      </c>
      <c r="AM95">
        <v>87.528216962738597</v>
      </c>
      <c r="AN95">
        <v>1.00000001932844</v>
      </c>
    </row>
    <row r="96" spans="1:40" x14ac:dyDescent="0.25">
      <c r="A96" t="str">
        <f>"20190303162212310"</f>
        <v>20190303162212310</v>
      </c>
      <c r="B96" t="str">
        <f>"1551601332304613"</f>
        <v>1551601332304613</v>
      </c>
      <c r="C96" t="s">
        <v>40</v>
      </c>
      <c r="D96">
        <v>5.6944589999999904</v>
      </c>
      <c r="E96">
        <v>0.52920590000000001</v>
      </c>
      <c r="F96" t="s">
        <v>42</v>
      </c>
      <c r="G96">
        <v>-471.89179999999999</v>
      </c>
      <c r="H96">
        <v>0.877467199999999</v>
      </c>
      <c r="I96">
        <v>367.01799999999997</v>
      </c>
      <c r="J96">
        <v>-472.52800000000002</v>
      </c>
      <c r="K96">
        <v>1.1201680000000001</v>
      </c>
      <c r="L96">
        <v>367.09089999999998</v>
      </c>
      <c r="M96">
        <v>0.99990429999999997</v>
      </c>
      <c r="N96">
        <v>-8.3352169999999903E-3</v>
      </c>
      <c r="O96">
        <v>1.104525E-2</v>
      </c>
      <c r="P96">
        <v>0.99230280000000004</v>
      </c>
      <c r="Q96">
        <v>0.11976970000000001</v>
      </c>
      <c r="R96">
        <v>-3.1477020000000001E-2</v>
      </c>
      <c r="S96">
        <v>3.1464539999999999</v>
      </c>
      <c r="T96">
        <v>-1.118528</v>
      </c>
      <c r="U96">
        <v>-0.32968140000000001</v>
      </c>
      <c r="V96">
        <v>4.2414769999999997E-2</v>
      </c>
      <c r="W96">
        <v>0.12804009999999999</v>
      </c>
      <c r="X96">
        <v>0.99086160000000001</v>
      </c>
      <c r="Y96">
        <v>0.10784059999999999</v>
      </c>
      <c r="Z96">
        <v>-2.2727230000000001E-2</v>
      </c>
      <c r="AA96">
        <v>0.99390840000000003</v>
      </c>
      <c r="AB96">
        <v>4</v>
      </c>
      <c r="AC96">
        <v>0.63620000000002996</v>
      </c>
      <c r="AD96">
        <v>-0.24270079999999999</v>
      </c>
      <c r="AE96">
        <v>-7.2899999999947299E-2</v>
      </c>
      <c r="AF96">
        <v>6.9884273054379401E-2</v>
      </c>
      <c r="AG96">
        <v>-0.24270079999999999</v>
      </c>
      <c r="AH96">
        <v>0.55555358523333198</v>
      </c>
      <c r="AI96">
        <v>113.434179915481</v>
      </c>
      <c r="AJ96">
        <v>82.830300121902397</v>
      </c>
      <c r="AK96">
        <v>0.61026820006173399</v>
      </c>
      <c r="AL96">
        <v>82.643648130734405</v>
      </c>
      <c r="AM96">
        <v>87.548896210609399</v>
      </c>
      <c r="AN96">
        <v>0.99999999513836102</v>
      </c>
    </row>
    <row r="97" spans="1:40" x14ac:dyDescent="0.25">
      <c r="A97" t="str">
        <f>"20190303162212332"</f>
        <v>20190303162212332</v>
      </c>
      <c r="B97" t="str">
        <f>"1551601332324133"</f>
        <v>1551601332324133</v>
      </c>
      <c r="C97" t="s">
        <v>40</v>
      </c>
      <c r="D97">
        <v>5.6765480000000004</v>
      </c>
      <c r="E97">
        <v>0.52918390000000004</v>
      </c>
      <c r="F97" t="s">
        <v>42</v>
      </c>
      <c r="G97">
        <v>-471.85129999999998</v>
      </c>
      <c r="H97">
        <v>0.8799806</v>
      </c>
      <c r="I97">
        <v>367.0204</v>
      </c>
      <c r="J97">
        <v>-472.48480000000001</v>
      </c>
      <c r="K97">
        <v>1.1204609999999999</v>
      </c>
      <c r="L97">
        <v>367.09179999999998</v>
      </c>
      <c r="M97">
        <v>0.99989530000000004</v>
      </c>
      <c r="N97">
        <v>-9.0468969999999999E-3</v>
      </c>
      <c r="O97">
        <v>1.1300599999999999E-2</v>
      </c>
      <c r="P97">
        <v>0.99247470000000004</v>
      </c>
      <c r="Q97">
        <v>0.1185905</v>
      </c>
      <c r="R97">
        <v>-3.0503470000000001E-2</v>
      </c>
      <c r="S97">
        <v>3.147675</v>
      </c>
      <c r="T97">
        <v>-1.11717</v>
      </c>
      <c r="U97">
        <v>-0.32836910000000002</v>
      </c>
      <c r="V97">
        <v>4.1704350000000001E-2</v>
      </c>
      <c r="W97">
        <v>0.12756519999999999</v>
      </c>
      <c r="X97">
        <v>0.99095299999999997</v>
      </c>
      <c r="Y97">
        <v>0.1076524</v>
      </c>
      <c r="Z97">
        <v>-2.2778240000000002E-2</v>
      </c>
      <c r="AA97">
        <v>0.99392760000000002</v>
      </c>
      <c r="AB97">
        <v>5</v>
      </c>
      <c r="AC97">
        <v>0.63350000000002604</v>
      </c>
      <c r="AD97">
        <v>-0.24048040000000001</v>
      </c>
      <c r="AE97">
        <v>-7.1399999999982797E-2</v>
      </c>
      <c r="AF97">
        <v>6.8769265693467599E-2</v>
      </c>
      <c r="AG97">
        <v>-0.24048040000000001</v>
      </c>
      <c r="AH97">
        <v>0.55384437408083997</v>
      </c>
      <c r="AI97">
        <v>113.31088048077601</v>
      </c>
      <c r="AJ97">
        <v>82.921974312055895</v>
      </c>
      <c r="AK97">
        <v>0.607703567036739</v>
      </c>
      <c r="AL97">
        <v>82.671082838997293</v>
      </c>
      <c r="AM97">
        <v>87.590123825815098</v>
      </c>
      <c r="AN97">
        <v>0.99999999063448097</v>
      </c>
    </row>
    <row r="98" spans="1:40" x14ac:dyDescent="0.25">
      <c r="A98" t="str">
        <f>"20190303162212352"</f>
        <v>20190303162212352</v>
      </c>
      <c r="B98" t="str">
        <f>"1551601332344629"</f>
        <v>1551601332344629</v>
      </c>
      <c r="C98" t="s">
        <v>40</v>
      </c>
      <c r="D98">
        <v>5.6944949999999999</v>
      </c>
      <c r="E98">
        <v>0.52868000000000004</v>
      </c>
      <c r="F98" t="s">
        <v>42</v>
      </c>
      <c r="G98">
        <v>-471.815</v>
      </c>
      <c r="H98">
        <v>0.8818165</v>
      </c>
      <c r="I98">
        <v>367.02190000000002</v>
      </c>
      <c r="J98">
        <v>-472.44779999999997</v>
      </c>
      <c r="K98">
        <v>1.12064599999999</v>
      </c>
      <c r="L98">
        <v>367.09249999999997</v>
      </c>
      <c r="M98">
        <v>0.99988779999999999</v>
      </c>
      <c r="N98">
        <v>-9.5943290000000004E-3</v>
      </c>
      <c r="O98">
        <v>1.150902E-2</v>
      </c>
      <c r="P98">
        <v>0.99255249999999995</v>
      </c>
      <c r="Q98">
        <v>0.11807529999999999</v>
      </c>
      <c r="R98">
        <v>-2.9962300000000001E-2</v>
      </c>
      <c r="S98">
        <v>3.1466669999999999</v>
      </c>
      <c r="T98">
        <v>-1.1211679999999999</v>
      </c>
      <c r="U98">
        <v>-0.32666020000000001</v>
      </c>
      <c r="V98">
        <v>4.1376360000000001E-2</v>
      </c>
      <c r="W98">
        <v>0.1275917</v>
      </c>
      <c r="X98">
        <v>0.99096329999999999</v>
      </c>
      <c r="Y98">
        <v>0.1073036</v>
      </c>
      <c r="Z98">
        <v>-2.2893719999999999E-2</v>
      </c>
      <c r="AA98">
        <v>0.99396269999999998</v>
      </c>
      <c r="AB98">
        <v>4</v>
      </c>
      <c r="AC98">
        <v>0.63279999999997405</v>
      </c>
      <c r="AD98">
        <v>-0.238829499999999</v>
      </c>
      <c r="AE98">
        <v>-7.0599999999956198E-2</v>
      </c>
      <c r="AF98">
        <v>6.8273066545393196E-2</v>
      </c>
      <c r="AG98">
        <v>-0.238829499999999</v>
      </c>
      <c r="AH98">
        <v>0.55400169747084005</v>
      </c>
      <c r="AI98">
        <v>113.164246467788</v>
      </c>
      <c r="AJ98">
        <v>82.974508448773605</v>
      </c>
      <c r="AK98">
        <v>0.60713970590493704</v>
      </c>
      <c r="AL98">
        <v>82.669551717854702</v>
      </c>
      <c r="AM98">
        <v>87.609079392130994</v>
      </c>
      <c r="AN98">
        <v>0.99999995351131299</v>
      </c>
    </row>
    <row r="99" spans="1:40" x14ac:dyDescent="0.25">
      <c r="A99" t="str">
        <f>"20190303162212375"</f>
        <v>20190303162212375</v>
      </c>
      <c r="B99" t="str">
        <f>"1551601332364149"</f>
        <v>1551601332364149</v>
      </c>
      <c r="C99" t="s">
        <v>40</v>
      </c>
      <c r="D99">
        <v>5.7262230000000001</v>
      </c>
      <c r="E99">
        <v>0.52848700000000004</v>
      </c>
      <c r="F99" t="s">
        <v>42</v>
      </c>
      <c r="G99">
        <v>-471.7758</v>
      </c>
      <c r="H99">
        <v>0.88118569999999996</v>
      </c>
      <c r="I99">
        <v>367.02370000000002</v>
      </c>
      <c r="J99">
        <v>-472.40129999999999</v>
      </c>
      <c r="K99">
        <v>1.1204559999999999</v>
      </c>
      <c r="L99">
        <v>367.09339999999997</v>
      </c>
      <c r="M99">
        <v>0.9998918</v>
      </c>
      <c r="N99">
        <v>-8.7999889999999994E-3</v>
      </c>
      <c r="O99">
        <v>1.1797210000000001E-2</v>
      </c>
      <c r="P99">
        <v>0.99244049999999995</v>
      </c>
      <c r="Q99">
        <v>0.11917899999999999</v>
      </c>
      <c r="R99">
        <v>-2.930176E-2</v>
      </c>
      <c r="S99">
        <v>3.14621</v>
      </c>
      <c r="T99">
        <v>-1.1213649999999999</v>
      </c>
      <c r="U99">
        <v>-0.32177729999999999</v>
      </c>
      <c r="V99">
        <v>4.0997730000000003E-2</v>
      </c>
      <c r="W99">
        <v>0.12790770000000001</v>
      </c>
      <c r="X99">
        <v>0.9909384</v>
      </c>
      <c r="Y99">
        <v>0.106141</v>
      </c>
      <c r="Z99">
        <v>-2.2758049999999998E-2</v>
      </c>
      <c r="AA99">
        <v>0.99409060000000005</v>
      </c>
      <c r="AB99">
        <v>4</v>
      </c>
      <c r="AC99">
        <v>0.62549999999998795</v>
      </c>
      <c r="AD99">
        <v>-0.23927029999999999</v>
      </c>
      <c r="AE99">
        <v>-6.9699999999954798E-2</v>
      </c>
      <c r="AF99">
        <v>6.7341584332610394E-2</v>
      </c>
      <c r="AG99">
        <v>-0.23927029999999999</v>
      </c>
      <c r="AH99">
        <v>0.54575516080524999</v>
      </c>
      <c r="AI99">
        <v>113.51485248836499</v>
      </c>
      <c r="AJ99">
        <v>82.965740189158495</v>
      </c>
      <c r="AK99">
        <v>0.59969480653752505</v>
      </c>
      <c r="AL99">
        <v>82.651297412625695</v>
      </c>
      <c r="AM99">
        <v>87.630873908790704</v>
      </c>
      <c r="AN99">
        <v>1.0000000530894999</v>
      </c>
    </row>
    <row r="100" spans="1:40" x14ac:dyDescent="0.25">
      <c r="A100" t="str">
        <f>"20190303162212410"</f>
        <v>20190303162212410</v>
      </c>
      <c r="B100" t="str">
        <f>"1551601332404165"</f>
        <v>1551601332404165</v>
      </c>
      <c r="C100" t="s">
        <v>40</v>
      </c>
      <c r="D100">
        <v>5.7213419999999999</v>
      </c>
      <c r="E100">
        <v>0.52489140000000001</v>
      </c>
      <c r="F100" t="s">
        <v>42</v>
      </c>
      <c r="G100">
        <v>-471.73180000000002</v>
      </c>
      <c r="H100">
        <v>0.882758499999999</v>
      </c>
      <c r="I100">
        <v>367.02569999999997</v>
      </c>
      <c r="J100">
        <v>-472.32240000000002</v>
      </c>
      <c r="K100">
        <v>1.120028</v>
      </c>
      <c r="L100">
        <v>367.09480000000002</v>
      </c>
      <c r="M100">
        <v>0.99990089999999998</v>
      </c>
      <c r="N100">
        <v>-6.7440900000000003E-3</v>
      </c>
      <c r="O100">
        <v>1.235109E-2</v>
      </c>
      <c r="P100">
        <v>0.99218059999999997</v>
      </c>
      <c r="Q100">
        <v>0.12132469999999999</v>
      </c>
      <c r="R100">
        <v>-2.9289030000000001E-2</v>
      </c>
      <c r="S100">
        <v>3.1476440000000001</v>
      </c>
      <c r="T100">
        <v>-1.1175630000000001</v>
      </c>
      <c r="U100">
        <v>-0.31652829999999998</v>
      </c>
      <c r="V100">
        <v>4.1520969999999997E-2</v>
      </c>
      <c r="W100">
        <v>0.12801689999999999</v>
      </c>
      <c r="X100">
        <v>0.99090250000000002</v>
      </c>
      <c r="Y100">
        <v>0.10511959999999999</v>
      </c>
      <c r="Z100">
        <v>-2.2597030000000001E-2</v>
      </c>
      <c r="AA100">
        <v>0.99420280000000005</v>
      </c>
      <c r="AB100">
        <v>4</v>
      </c>
      <c r="AC100">
        <v>0.59059999999999402</v>
      </c>
      <c r="AD100">
        <v>-0.23726949999999999</v>
      </c>
      <c r="AE100">
        <v>-6.9100000000048498E-2</v>
      </c>
      <c r="AF100">
        <v>6.5897395700257794E-2</v>
      </c>
      <c r="AG100">
        <v>-0.23726949999999999</v>
      </c>
      <c r="AH100">
        <v>0.50870626018787402</v>
      </c>
      <c r="AI100">
        <v>114.82303017625701</v>
      </c>
      <c r="AJ100">
        <v>82.619053213348494</v>
      </c>
      <c r="AK100">
        <v>0.56517372687047196</v>
      </c>
      <c r="AL100">
        <v>82.644988762475094</v>
      </c>
      <c r="AM100">
        <v>87.600585851977698</v>
      </c>
      <c r="AN100">
        <v>1.0000000410707901</v>
      </c>
    </row>
    <row r="101" spans="1:40" x14ac:dyDescent="0.25">
      <c r="A101" t="str">
        <f>"20190303162212431"</f>
        <v>20190303162212431</v>
      </c>
      <c r="B101" t="str">
        <f>"1551601332423686"</f>
        <v>1551601332423686</v>
      </c>
      <c r="C101" t="s">
        <v>40</v>
      </c>
      <c r="D101">
        <v>5.7363960000000001</v>
      </c>
      <c r="E101">
        <v>0.52494189999999996</v>
      </c>
      <c r="F101" t="s">
        <v>42</v>
      </c>
      <c r="G101">
        <v>-471.63810000000001</v>
      </c>
      <c r="H101">
        <v>0.88197680000000001</v>
      </c>
      <c r="I101">
        <v>367.03190000000001</v>
      </c>
      <c r="J101">
        <v>-472.27140000000003</v>
      </c>
      <c r="K101">
        <v>1.1200399999999999</v>
      </c>
      <c r="L101">
        <v>367.09589999999997</v>
      </c>
      <c r="M101">
        <v>0.99989899999999998</v>
      </c>
      <c r="N101">
        <v>-6.3630789999999998E-3</v>
      </c>
      <c r="O101">
        <v>1.2705650000000001E-2</v>
      </c>
      <c r="P101">
        <v>0.99208759999999996</v>
      </c>
      <c r="Q101">
        <v>0.12206210000000001</v>
      </c>
      <c r="R101">
        <v>-2.93764E-2</v>
      </c>
      <c r="S101">
        <v>3.1491090000000002</v>
      </c>
      <c r="T101">
        <v>-1.0957190000000001</v>
      </c>
      <c r="U101">
        <v>-0.28848269999999998</v>
      </c>
      <c r="V101">
        <v>4.1956319999999998E-2</v>
      </c>
      <c r="W101">
        <v>0.1283772</v>
      </c>
      <c r="X101">
        <v>0.99083750000000004</v>
      </c>
      <c r="Y101">
        <v>9.7365359999999998E-2</v>
      </c>
      <c r="Z101">
        <v>-2.0951399999999998E-2</v>
      </c>
      <c r="AA101">
        <v>0.99502809999999997</v>
      </c>
      <c r="AB101">
        <v>5</v>
      </c>
      <c r="AC101">
        <v>0.63330000000001896</v>
      </c>
      <c r="AD101">
        <v>-0.238063199999999</v>
      </c>
      <c r="AE101">
        <v>-6.3999999999964502E-2</v>
      </c>
      <c r="AF101">
        <v>6.3200989516806194E-2</v>
      </c>
      <c r="AG101">
        <v>-0.238063199999999</v>
      </c>
      <c r="AH101">
        <v>0.55482701420191705</v>
      </c>
      <c r="AI101">
        <v>113.089494385492</v>
      </c>
      <c r="AJ101">
        <v>83.501382762902594</v>
      </c>
      <c r="AK101">
        <v>0.60704321753756296</v>
      </c>
      <c r="AL101">
        <v>82.624172996994602</v>
      </c>
      <c r="AM101">
        <v>87.575298846754393</v>
      </c>
      <c r="AN101">
        <v>0.99999999483701596</v>
      </c>
    </row>
    <row r="102" spans="1:40" x14ac:dyDescent="0.25">
      <c r="A102" t="str">
        <f>"20190303162212454"</f>
        <v>20190303162212454</v>
      </c>
      <c r="B102" t="str">
        <f>"1551601332444181"</f>
        <v>1551601332444181</v>
      </c>
      <c r="C102" t="s">
        <v>40</v>
      </c>
      <c r="D102">
        <v>5.7336580000000001</v>
      </c>
      <c r="E102">
        <v>0.52487220000000001</v>
      </c>
      <c r="F102" t="s">
        <v>42</v>
      </c>
      <c r="G102">
        <v>-471.5926</v>
      </c>
      <c r="H102">
        <v>0.88487289999999996</v>
      </c>
      <c r="I102">
        <v>367.03339999999997</v>
      </c>
      <c r="J102">
        <v>-472.22160000000002</v>
      </c>
      <c r="K102">
        <v>1.1204769999999999</v>
      </c>
      <c r="L102">
        <v>367.09690000000001</v>
      </c>
      <c r="M102">
        <v>0.9998861</v>
      </c>
      <c r="N102">
        <v>-7.7027249999999997E-3</v>
      </c>
      <c r="O102">
        <v>1.298583E-2</v>
      </c>
      <c r="P102">
        <v>0.99233590000000005</v>
      </c>
      <c r="Q102">
        <v>0.120018</v>
      </c>
      <c r="R102">
        <v>-2.9418980000000001E-2</v>
      </c>
      <c r="S102">
        <v>3.149597</v>
      </c>
      <c r="T102">
        <v>-1.0912599999999999</v>
      </c>
      <c r="U102">
        <v>-0.2897034</v>
      </c>
      <c r="V102">
        <v>4.228871E-2</v>
      </c>
      <c r="W102">
        <v>0.12765940000000001</v>
      </c>
      <c r="X102">
        <v>0.99091609999999997</v>
      </c>
      <c r="Y102">
        <v>9.7995360000000004E-2</v>
      </c>
      <c r="Z102">
        <v>-2.111948E-2</v>
      </c>
      <c r="AA102">
        <v>0.99496280000000004</v>
      </c>
      <c r="AB102">
        <v>5</v>
      </c>
      <c r="AC102">
        <v>0.62900000000001899</v>
      </c>
      <c r="AD102">
        <v>-0.23560410000000001</v>
      </c>
      <c r="AE102">
        <v>-6.3500000000033197E-2</v>
      </c>
      <c r="AF102">
        <v>6.2923708870897099E-2</v>
      </c>
      <c r="AG102">
        <v>-0.23560410000000001</v>
      </c>
      <c r="AH102">
        <v>0.55152311881932103</v>
      </c>
      <c r="AI102">
        <v>112.99804929853499</v>
      </c>
      <c r="AJ102">
        <v>83.491222782519998</v>
      </c>
      <c r="AK102">
        <v>0.60303104038438204</v>
      </c>
      <c r="AL102">
        <v>82.665641060993707</v>
      </c>
      <c r="AM102">
        <v>87.556306483280807</v>
      </c>
      <c r="AN102">
        <v>0.99999998732051598</v>
      </c>
    </row>
    <row r="103" spans="1:40" x14ac:dyDescent="0.25">
      <c r="A103" t="str">
        <f>"20190303162212475"</f>
        <v>20190303162212475</v>
      </c>
      <c r="B103" t="str">
        <f>"1551601332463702"</f>
        <v>1551601332463702</v>
      </c>
      <c r="C103" t="s">
        <v>40</v>
      </c>
      <c r="D103">
        <v>5.7257199999999999</v>
      </c>
      <c r="E103">
        <v>0.52490719999999902</v>
      </c>
      <c r="F103" t="s">
        <v>42</v>
      </c>
      <c r="G103">
        <v>-471.55099999999999</v>
      </c>
      <c r="H103">
        <v>0.88675219999999899</v>
      </c>
      <c r="I103">
        <v>367.03460000000001</v>
      </c>
      <c r="J103">
        <v>-472.178</v>
      </c>
      <c r="K103">
        <v>1.120663</v>
      </c>
      <c r="L103">
        <v>367.09780000000001</v>
      </c>
      <c r="M103">
        <v>0.99987700000000002</v>
      </c>
      <c r="N103">
        <v>-8.4485649999999999E-3</v>
      </c>
      <c r="O103">
        <v>1.321056E-2</v>
      </c>
      <c r="P103">
        <v>0.99242850000000005</v>
      </c>
      <c r="Q103">
        <v>0.1192811</v>
      </c>
      <c r="R103">
        <v>-2.9290179999999999E-2</v>
      </c>
      <c r="S103">
        <v>3.1472169999999999</v>
      </c>
      <c r="T103">
        <v>-1.0970549999999999</v>
      </c>
      <c r="U103">
        <v>-0.29031370000000001</v>
      </c>
      <c r="V103">
        <v>4.2389799999999998E-2</v>
      </c>
      <c r="W103">
        <v>0.1276603</v>
      </c>
      <c r="X103">
        <v>0.99091169999999995</v>
      </c>
      <c r="Y103">
        <v>9.8358139999999997E-2</v>
      </c>
      <c r="Z103">
        <v>-2.140417E-2</v>
      </c>
      <c r="AA103">
        <v>0.99492080000000005</v>
      </c>
      <c r="AB103">
        <v>5</v>
      </c>
      <c r="AC103">
        <v>0.62700000000006595</v>
      </c>
      <c r="AD103">
        <v>-0.2339108</v>
      </c>
      <c r="AE103">
        <v>-6.3199999999994802E-2</v>
      </c>
      <c r="AF103">
        <v>6.2822355478692596E-2</v>
      </c>
      <c r="AG103">
        <v>-0.2339108</v>
      </c>
      <c r="AH103">
        <v>0.55029289828331196</v>
      </c>
      <c r="AI103">
        <v>112.89544537551301</v>
      </c>
      <c r="AJ103">
        <v>83.487214008447197</v>
      </c>
      <c r="AK103">
        <v>0.60123471673347295</v>
      </c>
      <c r="AL103">
        <v>82.665589327128899</v>
      </c>
      <c r="AM103">
        <v>87.550461144451205</v>
      </c>
      <c r="AN103">
        <v>1.0000000222684999</v>
      </c>
    </row>
    <row r="104" spans="1:40" x14ac:dyDescent="0.25">
      <c r="A104" t="str">
        <f>"20190303162212499"</f>
        <v>20190303162212499</v>
      </c>
      <c r="B104" t="str">
        <f>"1551601332493957"</f>
        <v>1551601332493957</v>
      </c>
      <c r="C104" t="s">
        <v>40</v>
      </c>
      <c r="D104">
        <v>5.7404809999999999</v>
      </c>
      <c r="E104">
        <v>0.52491699999999997</v>
      </c>
      <c r="F104" t="s">
        <v>42</v>
      </c>
      <c r="G104">
        <v>-471.50700000000001</v>
      </c>
      <c r="H104">
        <v>0.88633189999999995</v>
      </c>
      <c r="I104">
        <v>367.03579999999999</v>
      </c>
      <c r="J104">
        <v>-472.1216</v>
      </c>
      <c r="K104">
        <v>1.1204190000000001</v>
      </c>
      <c r="L104">
        <v>367.09890000000001</v>
      </c>
      <c r="M104">
        <v>0.99987890000000001</v>
      </c>
      <c r="N104">
        <v>-7.6823819999999998E-3</v>
      </c>
      <c r="O104">
        <v>1.3536400000000001E-2</v>
      </c>
      <c r="P104">
        <v>0.99233760000000004</v>
      </c>
      <c r="Q104">
        <v>0.12019680000000001</v>
      </c>
      <c r="R104">
        <v>-2.8614440000000001E-2</v>
      </c>
      <c r="S104">
        <v>3.146423</v>
      </c>
      <c r="T104">
        <v>-1.098895</v>
      </c>
      <c r="U104">
        <v>-0.28967290000000001</v>
      </c>
      <c r="V104">
        <v>4.2035129999999997E-2</v>
      </c>
      <c r="W104">
        <v>0.1278164</v>
      </c>
      <c r="X104">
        <v>0.99090670000000003</v>
      </c>
      <c r="Y104">
        <v>9.8464679999999999E-2</v>
      </c>
      <c r="Z104">
        <v>-2.1540110000000001E-2</v>
      </c>
      <c r="AA104">
        <v>0.9949074</v>
      </c>
      <c r="AB104">
        <v>5</v>
      </c>
      <c r="AC104">
        <v>0.61460000000005199</v>
      </c>
      <c r="AD104">
        <v>-0.23408709999999999</v>
      </c>
      <c r="AE104">
        <v>-6.3100000000019904E-2</v>
      </c>
      <c r="AF104">
        <v>6.2449102171806999E-2</v>
      </c>
      <c r="AG104">
        <v>-0.23408709999999999</v>
      </c>
      <c r="AH104">
        <v>0.53665099339816602</v>
      </c>
      <c r="AI104">
        <v>113.425933416893</v>
      </c>
      <c r="AJ104">
        <v>83.362447615364999</v>
      </c>
      <c r="AK104">
        <v>0.58880467853415797</v>
      </c>
      <c r="AL104">
        <v>82.656571684634997</v>
      </c>
      <c r="AM104">
        <v>87.570919226229805</v>
      </c>
      <c r="AN104">
        <v>1.00000003618398</v>
      </c>
    </row>
    <row r="105" spans="1:40" x14ac:dyDescent="0.25">
      <c r="A105" t="str">
        <f>"20190303162212524"</f>
        <v>20190303162212524</v>
      </c>
      <c r="B105" t="str">
        <f>"1551601332516405"</f>
        <v>1551601332516405</v>
      </c>
      <c r="C105" t="s">
        <v>40</v>
      </c>
      <c r="D105">
        <v>5.6858329999999997</v>
      </c>
      <c r="E105">
        <v>0.52504240000000002</v>
      </c>
      <c r="F105" t="s">
        <v>42</v>
      </c>
      <c r="G105">
        <v>-471.45729999999998</v>
      </c>
      <c r="H105">
        <v>0.88889779999999996</v>
      </c>
      <c r="I105">
        <v>367.03809999999999</v>
      </c>
      <c r="J105">
        <v>-472.05939999999998</v>
      </c>
      <c r="K105">
        <v>1.1200559999999999</v>
      </c>
      <c r="L105">
        <v>367.10019999999997</v>
      </c>
      <c r="M105">
        <v>0.99988339999999998</v>
      </c>
      <c r="N105">
        <v>-6.2428550000000003E-3</v>
      </c>
      <c r="O105">
        <v>1.394538E-2</v>
      </c>
      <c r="P105">
        <v>0.99209650000000005</v>
      </c>
      <c r="Q105">
        <v>0.122326</v>
      </c>
      <c r="R105">
        <v>-2.794346E-2</v>
      </c>
      <c r="S105">
        <v>3.1477659999999998</v>
      </c>
      <c r="T105">
        <v>-1.097043</v>
      </c>
      <c r="U105">
        <v>-0.28729250000000001</v>
      </c>
      <c r="V105">
        <v>4.1760270000000002E-2</v>
      </c>
      <c r="W105">
        <v>0.1285191</v>
      </c>
      <c r="X105">
        <v>0.99082740000000002</v>
      </c>
      <c r="Y105">
        <v>9.8128969999999996E-2</v>
      </c>
      <c r="Z105">
        <v>-2.1522099999999999E-2</v>
      </c>
      <c r="AA105">
        <v>0.99494090000000002</v>
      </c>
      <c r="AB105">
        <v>5</v>
      </c>
      <c r="AC105">
        <v>0.60210000000000696</v>
      </c>
      <c r="AD105">
        <v>-0.23115819999999901</v>
      </c>
      <c r="AE105">
        <v>-6.2099999999986701E-2</v>
      </c>
      <c r="AF105">
        <v>6.1518577095990998E-2</v>
      </c>
      <c r="AG105">
        <v>-0.23115819999999901</v>
      </c>
      <c r="AH105">
        <v>0.52465771742781597</v>
      </c>
      <c r="AI105">
        <v>113.63373981928299</v>
      </c>
      <c r="AJ105">
        <v>83.312338468278298</v>
      </c>
      <c r="AK105">
        <v>0.57661457596189902</v>
      </c>
      <c r="AL105">
        <v>82.6159749109529</v>
      </c>
      <c r="AM105">
        <v>87.586590788892593</v>
      </c>
      <c r="AN105">
        <v>1.00000000790302</v>
      </c>
    </row>
    <row r="106" spans="1:40" x14ac:dyDescent="0.25">
      <c r="A106" t="str">
        <f>"20190303162212544"</f>
        <v>20190303162212544</v>
      </c>
      <c r="B106" t="str">
        <f>"1551601332533974"</f>
        <v>1551601332533974</v>
      </c>
      <c r="C106" t="s">
        <v>40</v>
      </c>
      <c r="D106">
        <v>5.7095649999999996</v>
      </c>
      <c r="E106">
        <v>0.5251382</v>
      </c>
      <c r="F106" t="s">
        <v>42</v>
      </c>
      <c r="G106">
        <v>-471.3571</v>
      </c>
      <c r="H106">
        <v>0.87700400000000001</v>
      </c>
      <c r="I106">
        <v>367.03579999999999</v>
      </c>
      <c r="J106">
        <v>-472.00279999999998</v>
      </c>
      <c r="K106">
        <v>1.119875</v>
      </c>
      <c r="L106">
        <v>367.10129999999998</v>
      </c>
      <c r="M106">
        <v>0.99988330000000003</v>
      </c>
      <c r="N106">
        <v>-5.2446159999999997E-3</v>
      </c>
      <c r="O106">
        <v>1.434741E-2</v>
      </c>
      <c r="P106">
        <v>0.99193869999999895</v>
      </c>
      <c r="Q106">
        <v>0.1236718</v>
      </c>
      <c r="R106">
        <v>-2.7628159999999999E-2</v>
      </c>
      <c r="S106">
        <v>3.1502379999999999</v>
      </c>
      <c r="T106">
        <v>-1.0903290000000001</v>
      </c>
      <c r="U106">
        <v>-0.28659059999999997</v>
      </c>
      <c r="V106">
        <v>4.1834360000000001E-2</v>
      </c>
      <c r="W106">
        <v>0.12887750000000001</v>
      </c>
      <c r="X106">
        <v>0.99077769999999998</v>
      </c>
      <c r="Y106">
        <v>9.8306249999999998E-2</v>
      </c>
      <c r="Z106">
        <v>-2.1509549999999999E-2</v>
      </c>
      <c r="AA106">
        <v>0.99492369999999997</v>
      </c>
      <c r="AB106">
        <v>6</v>
      </c>
      <c r="AC106">
        <v>0.64569999999997596</v>
      </c>
      <c r="AD106">
        <v>-0.242870999999999</v>
      </c>
      <c r="AE106">
        <v>-6.5499999999985903E-2</v>
      </c>
      <c r="AF106">
        <v>6.5574617664849094E-2</v>
      </c>
      <c r="AG106">
        <v>-0.242870999999999</v>
      </c>
      <c r="AH106">
        <v>0.565502361232463</v>
      </c>
      <c r="AI106">
        <v>113.10404847007401</v>
      </c>
      <c r="AJ106">
        <v>83.385627101701004</v>
      </c>
      <c r="AK106">
        <v>0.61893398168333102</v>
      </c>
      <c r="AL106">
        <v>82.595267746069496</v>
      </c>
      <c r="AM106">
        <v>87.582192922992306</v>
      </c>
      <c r="AN106">
        <v>0.999999987250074</v>
      </c>
    </row>
    <row r="107" spans="1:40" x14ac:dyDescent="0.25">
      <c r="A107" t="str">
        <f>"20190303162212566"</f>
        <v>20190303162212566</v>
      </c>
      <c r="B107" t="str">
        <f>"1551601332554470"</f>
        <v>1551601332554470</v>
      </c>
      <c r="C107" t="s">
        <v>40</v>
      </c>
      <c r="D107">
        <v>5.7125059999999896</v>
      </c>
      <c r="E107">
        <v>0.52529459999999994</v>
      </c>
      <c r="F107" t="s">
        <v>42</v>
      </c>
      <c r="G107">
        <v>-471.30160000000001</v>
      </c>
      <c r="H107">
        <v>0.87820859999999901</v>
      </c>
      <c r="I107">
        <v>367.03739999999999</v>
      </c>
      <c r="J107">
        <v>-471.94380000000001</v>
      </c>
      <c r="K107">
        <v>1.1198549999999901</v>
      </c>
      <c r="L107">
        <v>367.1026</v>
      </c>
      <c r="M107">
        <v>0.99987959999999998</v>
      </c>
      <c r="N107">
        <v>-4.7769839999999997E-3</v>
      </c>
      <c r="O107">
        <v>1.4767550000000001E-2</v>
      </c>
      <c r="P107">
        <v>0.99181030000000003</v>
      </c>
      <c r="Q107">
        <v>0.12474540000000001</v>
      </c>
      <c r="R107">
        <v>-2.7407219999999999E-2</v>
      </c>
      <c r="S107">
        <v>3.1518549999999999</v>
      </c>
      <c r="T107">
        <v>-1.08634599999999</v>
      </c>
      <c r="U107">
        <v>-0.28656009999999998</v>
      </c>
      <c r="V107">
        <v>4.2022700000000003E-2</v>
      </c>
      <c r="W107">
        <v>0.12948850000000001</v>
      </c>
      <c r="X107">
        <v>0.99069010000000002</v>
      </c>
      <c r="Y107">
        <v>9.8681959999999999E-2</v>
      </c>
      <c r="Z107">
        <v>-2.1610710000000002E-2</v>
      </c>
      <c r="AA107">
        <v>0.99488430000000005</v>
      </c>
      <c r="AB107">
        <v>6</v>
      </c>
      <c r="AC107">
        <v>0.64220000000000199</v>
      </c>
      <c r="AD107">
        <v>-0.24164639999999901</v>
      </c>
      <c r="AE107">
        <v>-6.5200000000004296E-2</v>
      </c>
      <c r="AF107">
        <v>6.5497768945332699E-2</v>
      </c>
      <c r="AG107">
        <v>-0.24164639999999901</v>
      </c>
      <c r="AH107">
        <v>0.56235753828694801</v>
      </c>
      <c r="AI107">
        <v>113.113624916384</v>
      </c>
      <c r="AJ107">
        <v>83.356693423650498</v>
      </c>
      <c r="AK107">
        <v>0.61557204390544895</v>
      </c>
      <c r="AL107">
        <v>82.559964501665405</v>
      </c>
      <c r="AM107">
        <v>87.571106367081697</v>
      </c>
      <c r="AN107">
        <v>1.00000002659277</v>
      </c>
    </row>
    <row r="108" spans="1:40" x14ac:dyDescent="0.25">
      <c r="A108" t="str">
        <f>"20190303162212588"</f>
        <v>20190303162212588</v>
      </c>
      <c r="B108" t="str">
        <f>"1551601332583750"</f>
        <v>1551601332583750</v>
      </c>
      <c r="C108" t="s">
        <v>40</v>
      </c>
      <c r="D108">
        <v>5.7152609999999999</v>
      </c>
      <c r="E108">
        <v>0.52541459999999995</v>
      </c>
      <c r="F108" t="s">
        <v>42</v>
      </c>
      <c r="G108">
        <v>-471.24930000000001</v>
      </c>
      <c r="H108">
        <v>0.88169409999999904</v>
      </c>
      <c r="I108">
        <v>367.03919999999999</v>
      </c>
      <c r="J108">
        <v>-471.88819999999998</v>
      </c>
      <c r="K108">
        <v>1.1202909999999999</v>
      </c>
      <c r="L108">
        <v>367.10390000000001</v>
      </c>
      <c r="M108">
        <v>0.99986739999999996</v>
      </c>
      <c r="N108">
        <v>-6.118465E-3</v>
      </c>
      <c r="O108">
        <v>1.509832E-2</v>
      </c>
      <c r="P108">
        <v>0.99201410000000001</v>
      </c>
      <c r="Q108">
        <v>0.12335110000000001</v>
      </c>
      <c r="R108">
        <v>-2.6323329999999999E-2</v>
      </c>
      <c r="S108">
        <v>3.152863</v>
      </c>
      <c r="T108">
        <v>-1.0811839999999999</v>
      </c>
      <c r="U108">
        <v>-0.28720089999999998</v>
      </c>
      <c r="V108">
        <v>4.1277649999999999E-2</v>
      </c>
      <c r="W108">
        <v>0.1294218</v>
      </c>
      <c r="X108">
        <v>0.99073009999999995</v>
      </c>
      <c r="Y108">
        <v>9.9183389999999996E-2</v>
      </c>
      <c r="Z108">
        <v>-2.1749770000000002E-2</v>
      </c>
      <c r="AA108">
        <v>0.99483140000000003</v>
      </c>
      <c r="AB108">
        <v>6</v>
      </c>
      <c r="AC108">
        <v>0.63889999999997804</v>
      </c>
      <c r="AD108">
        <v>-0.2385969</v>
      </c>
      <c r="AE108">
        <v>-6.4700000000016106E-2</v>
      </c>
      <c r="AF108">
        <v>6.53215564405807E-2</v>
      </c>
      <c r="AG108">
        <v>-0.2385969</v>
      </c>
      <c r="AH108">
        <v>0.56047708512333505</v>
      </c>
      <c r="AI108">
        <v>112.92064252265401</v>
      </c>
      <c r="AJ108">
        <v>83.352376325980202</v>
      </c>
      <c r="AK108">
        <v>0.61264177899795602</v>
      </c>
      <c r="AL108">
        <v>82.563818278833395</v>
      </c>
      <c r="AM108">
        <v>87.614215934400704</v>
      </c>
      <c r="AN108">
        <v>0.99999998887538599</v>
      </c>
    </row>
    <row r="109" spans="1:40" x14ac:dyDescent="0.25">
      <c r="A109" t="str">
        <f>"20190303162212610"</f>
        <v>20190303162212610</v>
      </c>
      <c r="B109" t="str">
        <f>"1551601332604245"</f>
        <v>1551601332604245</v>
      </c>
      <c r="C109" t="s">
        <v>40</v>
      </c>
      <c r="D109">
        <v>5.7347010000000003</v>
      </c>
      <c r="E109">
        <v>0.52549639999999997</v>
      </c>
      <c r="F109" t="s">
        <v>42</v>
      </c>
      <c r="G109">
        <v>-471.20069999999998</v>
      </c>
      <c r="H109">
        <v>0.88374470000000005</v>
      </c>
      <c r="I109">
        <v>367.04129999999998</v>
      </c>
      <c r="J109">
        <v>-471.83539999999999</v>
      </c>
      <c r="K109">
        <v>1.1207100000000001</v>
      </c>
      <c r="L109">
        <v>367.10509999999999</v>
      </c>
      <c r="M109">
        <v>0.99985190000000002</v>
      </c>
      <c r="N109">
        <v>-7.7631599999999999E-3</v>
      </c>
      <c r="O109">
        <v>1.5364829999999999E-2</v>
      </c>
      <c r="P109">
        <v>0.99212690000000003</v>
      </c>
      <c r="Q109">
        <v>0.122623</v>
      </c>
      <c r="R109">
        <v>-2.54594E-2</v>
      </c>
      <c r="S109">
        <v>3.1513979999999999</v>
      </c>
      <c r="T109">
        <v>-1.0842989999999999</v>
      </c>
      <c r="U109">
        <v>-0.285705599999999</v>
      </c>
      <c r="V109">
        <v>4.0691150000000002E-2</v>
      </c>
      <c r="W109">
        <v>0.13032009999999999</v>
      </c>
      <c r="X109">
        <v>0.99063659999999998</v>
      </c>
      <c r="Y109">
        <v>9.8957240000000002E-2</v>
      </c>
      <c r="Z109">
        <v>-2.192668E-2</v>
      </c>
      <c r="AA109">
        <v>0.99485009999999996</v>
      </c>
      <c r="AB109">
        <v>6</v>
      </c>
      <c r="AC109">
        <v>0.63470000000000903</v>
      </c>
      <c r="AD109">
        <v>-0.23696529999999999</v>
      </c>
      <c r="AE109">
        <v>-6.3800000000014706E-2</v>
      </c>
      <c r="AF109">
        <v>6.4626609146690397E-2</v>
      </c>
      <c r="AG109">
        <v>-0.23696529999999999</v>
      </c>
      <c r="AH109">
        <v>0.556807580215815</v>
      </c>
      <c r="AI109">
        <v>112.915749825983</v>
      </c>
      <c r="AJ109">
        <v>83.379512486525101</v>
      </c>
      <c r="AK109">
        <v>0.60857524875702995</v>
      </c>
      <c r="AL109">
        <v>82.511909836487405</v>
      </c>
      <c r="AM109">
        <v>87.647854648741998</v>
      </c>
      <c r="AN109">
        <v>0.99999998570594595</v>
      </c>
    </row>
    <row r="110" spans="1:40" x14ac:dyDescent="0.25">
      <c r="A110" t="str">
        <f>"20190303162212633"</f>
        <v>20190303162212633</v>
      </c>
      <c r="B110" t="str">
        <f>"1551601332624741"</f>
        <v>1551601332624741</v>
      </c>
      <c r="C110" t="s">
        <v>40</v>
      </c>
      <c r="D110">
        <v>5.7194399999999996</v>
      </c>
      <c r="E110">
        <v>0.52559789999999995</v>
      </c>
      <c r="F110" t="s">
        <v>42</v>
      </c>
      <c r="G110">
        <v>-471.15170000000001</v>
      </c>
      <c r="H110">
        <v>0.88502179999999997</v>
      </c>
      <c r="I110">
        <v>367.04309999999998</v>
      </c>
      <c r="J110">
        <v>-471.77870000000001</v>
      </c>
      <c r="K110">
        <v>1.1207119999999999</v>
      </c>
      <c r="L110">
        <v>367.10629999999998</v>
      </c>
      <c r="M110">
        <v>0.99984519999999999</v>
      </c>
      <c r="N110">
        <v>-8.0880869999999903E-3</v>
      </c>
      <c r="O110">
        <v>1.563374E-2</v>
      </c>
      <c r="P110">
        <v>0.99205080000000001</v>
      </c>
      <c r="Q110">
        <v>0.1234025</v>
      </c>
      <c r="R110">
        <v>-2.4647240000000001E-2</v>
      </c>
      <c r="S110">
        <v>3.150757</v>
      </c>
      <c r="T110">
        <v>-1.086357</v>
      </c>
      <c r="U110">
        <v>-0.28448489999999999</v>
      </c>
      <c r="V110">
        <v>4.0147740000000001E-2</v>
      </c>
      <c r="W110">
        <v>0.13142019999999999</v>
      </c>
      <c r="X110">
        <v>0.99051339999999999</v>
      </c>
      <c r="Y110">
        <v>9.8822519999999997E-2</v>
      </c>
      <c r="Z110">
        <v>-2.2046570000000001E-2</v>
      </c>
      <c r="AA110">
        <v>0.99486079999999999</v>
      </c>
      <c r="AB110">
        <v>5</v>
      </c>
      <c r="AC110">
        <v>0.62700000000000899</v>
      </c>
      <c r="AD110">
        <v>-0.23569019999999999</v>
      </c>
      <c r="AE110">
        <v>-6.3199999999994802E-2</v>
      </c>
      <c r="AF110">
        <v>6.4037360181958894E-2</v>
      </c>
      <c r="AG110">
        <v>-0.23569019999999999</v>
      </c>
      <c r="AH110">
        <v>0.54912350994873704</v>
      </c>
      <c r="AI110">
        <v>113.08964307039901</v>
      </c>
      <c r="AJ110">
        <v>83.348359407163997</v>
      </c>
      <c r="AK110">
        <v>0.60098858812254896</v>
      </c>
      <c r="AL110">
        <v>82.448331694556401</v>
      </c>
      <c r="AM110">
        <v>87.678943456616096</v>
      </c>
      <c r="AN110">
        <v>0.99999995278735199</v>
      </c>
    </row>
    <row r="111" spans="1:40" x14ac:dyDescent="0.25">
      <c r="A111" t="str">
        <f>"20190303162212654"</f>
        <v>20190303162212654</v>
      </c>
      <c r="B111" t="str">
        <f>"1551601332644262"</f>
        <v>1551601332644262</v>
      </c>
      <c r="C111" t="s">
        <v>40</v>
      </c>
      <c r="D111">
        <v>5.7106050000000002</v>
      </c>
      <c r="E111">
        <v>0.52564730000000004</v>
      </c>
      <c r="F111" t="s">
        <v>42</v>
      </c>
      <c r="G111">
        <v>-471.09780000000001</v>
      </c>
      <c r="H111">
        <v>0.88648819999999995</v>
      </c>
      <c r="I111">
        <v>367.04520000000002</v>
      </c>
      <c r="J111">
        <v>-471.71839999999997</v>
      </c>
      <c r="K111">
        <v>1.120379</v>
      </c>
      <c r="L111">
        <v>367.10759999999999</v>
      </c>
      <c r="M111">
        <v>0.99984740000000005</v>
      </c>
      <c r="N111">
        <v>-7.0828940000000002E-3</v>
      </c>
      <c r="O111">
        <v>1.597239E-2</v>
      </c>
      <c r="P111">
        <v>0.99189439999999995</v>
      </c>
      <c r="Q111">
        <v>0.12476859999999999</v>
      </c>
      <c r="R111">
        <v>-2.40515E-2</v>
      </c>
      <c r="S111">
        <v>3.1519780000000002</v>
      </c>
      <c r="T111">
        <v>-1.084549</v>
      </c>
      <c r="U111">
        <v>-0.28082279999999998</v>
      </c>
      <c r="V111">
        <v>3.988046E-2</v>
      </c>
      <c r="W111">
        <v>0.13179080000000001</v>
      </c>
      <c r="X111">
        <v>0.99047499999999999</v>
      </c>
      <c r="Y111">
        <v>9.8042939999999995E-2</v>
      </c>
      <c r="Z111">
        <v>-2.194718E-2</v>
      </c>
      <c r="AA111">
        <v>0.99494020000000005</v>
      </c>
      <c r="AB111">
        <v>5</v>
      </c>
      <c r="AC111">
        <v>0.62059999999996696</v>
      </c>
      <c r="AD111">
        <v>-0.23389080000000001</v>
      </c>
      <c r="AE111">
        <v>-6.2399999999968203E-2</v>
      </c>
      <c r="AF111">
        <v>6.3390979512853204E-2</v>
      </c>
      <c r="AG111">
        <v>-0.23389080000000001</v>
      </c>
      <c r="AH111">
        <v>0.54314882034069101</v>
      </c>
      <c r="AI111">
        <v>113.157215790053</v>
      </c>
      <c r="AJ111">
        <v>83.343117091653397</v>
      </c>
      <c r="AK111">
        <v>0.59475538135078998</v>
      </c>
      <c r="AL111">
        <v>82.426911896859806</v>
      </c>
      <c r="AM111">
        <v>87.694289661145703</v>
      </c>
      <c r="AN111">
        <v>0.99999999583972499</v>
      </c>
    </row>
    <row r="112" spans="1:40" x14ac:dyDescent="0.25">
      <c r="A112" t="str">
        <f>"20190303162212677"</f>
        <v>20190303162212677</v>
      </c>
      <c r="B112" t="str">
        <f>"1551601332674518"</f>
        <v>1551601332674518</v>
      </c>
      <c r="C112" t="s">
        <v>40</v>
      </c>
      <c r="D112">
        <v>5.7288009999999998</v>
      </c>
      <c r="E112">
        <v>0.52572350000000001</v>
      </c>
      <c r="F112" t="s">
        <v>42</v>
      </c>
      <c r="G112">
        <v>-471.04039999999998</v>
      </c>
      <c r="H112">
        <v>0.88810309999999903</v>
      </c>
      <c r="I112">
        <v>367.04719999999998</v>
      </c>
      <c r="J112">
        <v>-471.65230000000003</v>
      </c>
      <c r="K112">
        <v>1.120063</v>
      </c>
      <c r="L112">
        <v>367.10910000000001</v>
      </c>
      <c r="M112">
        <v>0.99984839999999997</v>
      </c>
      <c r="N112">
        <v>-5.8831329999999996E-3</v>
      </c>
      <c r="O112">
        <v>1.6396310000000001E-2</v>
      </c>
      <c r="P112">
        <v>0.99179569999999995</v>
      </c>
      <c r="Q112">
        <v>0.12562480000000001</v>
      </c>
      <c r="R112">
        <v>-2.3667669999999998E-2</v>
      </c>
      <c r="S112">
        <v>3.1536249999999999</v>
      </c>
      <c r="T112">
        <v>-1.0806229999999999</v>
      </c>
      <c r="U112">
        <v>-0.2793274</v>
      </c>
      <c r="V112">
        <v>3.9907400000000003E-2</v>
      </c>
      <c r="W112">
        <v>0.13146040000000001</v>
      </c>
      <c r="X112">
        <v>0.99051789999999995</v>
      </c>
      <c r="Y112">
        <v>9.7996739999999999E-2</v>
      </c>
      <c r="Z112">
        <v>-2.1951289999999998E-2</v>
      </c>
      <c r="AA112">
        <v>0.99494459999999996</v>
      </c>
      <c r="AB112">
        <v>6</v>
      </c>
      <c r="AC112">
        <v>0.61190000000004796</v>
      </c>
      <c r="AD112">
        <v>-0.2319599</v>
      </c>
      <c r="AE112">
        <v>-6.1900000000036898E-2</v>
      </c>
      <c r="AF112">
        <v>6.2967774367908805E-2</v>
      </c>
      <c r="AG112">
        <v>-0.2319599</v>
      </c>
      <c r="AH112">
        <v>0.53473791397507697</v>
      </c>
      <c r="AI112">
        <v>113.30666214075301</v>
      </c>
      <c r="AJ112">
        <v>83.284093635439504</v>
      </c>
      <c r="AK112">
        <v>0.58627209762982502</v>
      </c>
      <c r="AL112">
        <v>82.446009165397498</v>
      </c>
      <c r="AM112">
        <v>87.6928336144898</v>
      </c>
      <c r="AN112">
        <v>1.0000000737816599</v>
      </c>
    </row>
    <row r="113" spans="1:40" x14ac:dyDescent="0.25">
      <c r="A113" t="str">
        <f>"20190303162212700"</f>
        <v>20190303162212700</v>
      </c>
      <c r="B113" t="str">
        <f>"1551601332694037"</f>
        <v>1551601332694037</v>
      </c>
      <c r="C113" t="s">
        <v>40</v>
      </c>
      <c r="D113">
        <v>5.7515980000000004</v>
      </c>
      <c r="E113">
        <v>0.52581199999999995</v>
      </c>
      <c r="F113" t="s">
        <v>42</v>
      </c>
      <c r="G113">
        <v>-470.98079999999999</v>
      </c>
      <c r="H113">
        <v>0.89064789999999905</v>
      </c>
      <c r="I113">
        <v>367.04939999999999</v>
      </c>
      <c r="J113">
        <v>-471.5829</v>
      </c>
      <c r="K113">
        <v>1.1198889999999999</v>
      </c>
      <c r="L113">
        <v>367.11070000000001</v>
      </c>
      <c r="M113">
        <v>0.99984530000000005</v>
      </c>
      <c r="N113">
        <v>-4.972158E-3</v>
      </c>
      <c r="O113">
        <v>1.6872720000000001E-2</v>
      </c>
      <c r="P113">
        <v>0.99168820000000002</v>
      </c>
      <c r="Q113">
        <v>0.12651689999999999</v>
      </c>
      <c r="R113">
        <v>-2.3411410000000001E-2</v>
      </c>
      <c r="S113">
        <v>3.1546940000000001</v>
      </c>
      <c r="T113">
        <v>-1.0779099999999999</v>
      </c>
      <c r="U113">
        <v>-0.27935789999999999</v>
      </c>
      <c r="V113">
        <v>4.0112910000000002E-2</v>
      </c>
      <c r="W113">
        <v>0.13145179999999901</v>
      </c>
      <c r="X113">
        <v>0.99051060000000002</v>
      </c>
      <c r="Y113">
        <v>9.8445530000000003E-2</v>
      </c>
      <c r="Z113">
        <v>-2.209245E-2</v>
      </c>
      <c r="AA113">
        <v>0.99489720000000004</v>
      </c>
      <c r="AB113">
        <v>6</v>
      </c>
      <c r="AC113">
        <v>0.60210000000000696</v>
      </c>
      <c r="AD113">
        <v>-0.2292411</v>
      </c>
      <c r="AE113">
        <v>-6.1300000000017001E-2</v>
      </c>
      <c r="AF113">
        <v>6.2485500140378701E-2</v>
      </c>
      <c r="AG113">
        <v>-0.2292411</v>
      </c>
      <c r="AH113">
        <v>0.525574397742125</v>
      </c>
      <c r="AI113">
        <v>113.418507039823</v>
      </c>
      <c r="AJ113">
        <v>83.219934596584906</v>
      </c>
      <c r="AK113">
        <v>0.57678797423229999</v>
      </c>
      <c r="AL113">
        <v>82.446505168067702</v>
      </c>
      <c r="AM113">
        <v>87.680948331500502</v>
      </c>
      <c r="AN113">
        <v>0.99999993499213102</v>
      </c>
    </row>
    <row r="114" spans="1:40" x14ac:dyDescent="0.25">
      <c r="A114" t="str">
        <f>"20190303162212724"</f>
        <v>20190303162212724</v>
      </c>
      <c r="B114" t="str">
        <f>"1551601332714535"</f>
        <v>1551601332714535</v>
      </c>
      <c r="C114" t="s">
        <v>40</v>
      </c>
      <c r="D114">
        <v>5.7364240000000004</v>
      </c>
      <c r="E114">
        <v>0.52577779999999996</v>
      </c>
      <c r="F114" t="s">
        <v>42</v>
      </c>
      <c r="G114">
        <v>-470.91930000000002</v>
      </c>
      <c r="H114">
        <v>0.89389529999999995</v>
      </c>
      <c r="I114">
        <v>367.05130000000003</v>
      </c>
      <c r="J114">
        <v>-471.51240000000001</v>
      </c>
      <c r="K114">
        <v>1.119794</v>
      </c>
      <c r="L114">
        <v>367.1123</v>
      </c>
      <c r="M114">
        <v>0.99984030000000002</v>
      </c>
      <c r="N114">
        <v>-4.2389849999999998E-3</v>
      </c>
      <c r="O114">
        <v>1.7368720000000001E-2</v>
      </c>
      <c r="P114">
        <v>0.99162050000000002</v>
      </c>
      <c r="Q114">
        <v>0.12707370000000001</v>
      </c>
      <c r="R114">
        <v>-2.3264130000000001E-2</v>
      </c>
      <c r="S114">
        <v>3.1556700000000002</v>
      </c>
      <c r="T114">
        <v>-1.074929</v>
      </c>
      <c r="U114">
        <v>-0.2795105</v>
      </c>
      <c r="V114">
        <v>4.0447780000000003E-2</v>
      </c>
      <c r="W114">
        <v>0.13128500000000001</v>
      </c>
      <c r="X114">
        <v>0.99051920000000004</v>
      </c>
      <c r="Y114">
        <v>9.8951300000000006E-2</v>
      </c>
      <c r="Z114">
        <v>-2.2250160000000001E-2</v>
      </c>
      <c r="AA114">
        <v>0.99484349999999999</v>
      </c>
      <c r="AB114">
        <v>7</v>
      </c>
      <c r="AC114">
        <v>0.59309999999999197</v>
      </c>
      <c r="AD114">
        <v>-0.22589869999999901</v>
      </c>
      <c r="AE114">
        <v>-6.0999999999978599E-2</v>
      </c>
      <c r="AF114">
        <v>6.2342972747511098E-2</v>
      </c>
      <c r="AG114">
        <v>-0.22589869999999901</v>
      </c>
      <c r="AH114">
        <v>0.51764354250256905</v>
      </c>
      <c r="AI114">
        <v>113.42550517946</v>
      </c>
      <c r="AJ114">
        <v>83.132595510899307</v>
      </c>
      <c r="AK114">
        <v>0.56821800922471299</v>
      </c>
      <c r="AL114">
        <v>82.456146372612096</v>
      </c>
      <c r="AM114">
        <v>87.661630141004395</v>
      </c>
      <c r="AN114">
        <v>1.00000002985028</v>
      </c>
    </row>
    <row r="115" spans="1:40" x14ac:dyDescent="0.25">
      <c r="A115" t="str">
        <f>"20190303162212745"</f>
        <v>20190303162212745</v>
      </c>
      <c r="B115" t="str">
        <f>"1551601332734054"</f>
        <v>1551601332734054</v>
      </c>
      <c r="C115" t="s">
        <v>40</v>
      </c>
      <c r="D115">
        <v>5.7278830000000003</v>
      </c>
      <c r="E115">
        <v>0.52572559999999902</v>
      </c>
      <c r="F115" t="s">
        <v>42</v>
      </c>
      <c r="G115">
        <v>-470.79939999999999</v>
      </c>
      <c r="H115">
        <v>0.87729849999999998</v>
      </c>
      <c r="I115">
        <v>367.04930000000002</v>
      </c>
      <c r="J115">
        <v>-471.44220000000001</v>
      </c>
      <c r="K115">
        <v>1.1196980000000001</v>
      </c>
      <c r="L115">
        <v>367.11399999999998</v>
      </c>
      <c r="M115">
        <v>0.99983449999999996</v>
      </c>
      <c r="N115">
        <v>-3.5054880000000002E-3</v>
      </c>
      <c r="O115">
        <v>1.7853890000000001E-2</v>
      </c>
      <c r="P115">
        <v>0.99151449999999997</v>
      </c>
      <c r="Q115">
        <v>0.1278878</v>
      </c>
      <c r="R115">
        <v>-2.33236E-2</v>
      </c>
      <c r="S115">
        <v>3.1564329999999998</v>
      </c>
      <c r="T115">
        <v>-1.0736460000000001</v>
      </c>
      <c r="U115">
        <v>-0.27761839999999999</v>
      </c>
      <c r="V115">
        <v>4.0980040000000002E-2</v>
      </c>
      <c r="W115">
        <v>0.13137380000000001</v>
      </c>
      <c r="X115">
        <v>0.99048550000000002</v>
      </c>
      <c r="Y115">
        <v>9.8827639999999994E-2</v>
      </c>
      <c r="Z115">
        <v>-2.233363E-2</v>
      </c>
      <c r="AA115">
        <v>0.99485389999999996</v>
      </c>
      <c r="AB115">
        <v>7</v>
      </c>
      <c r="AC115">
        <v>0.64280000000002202</v>
      </c>
      <c r="AD115">
        <v>-0.24239949999999899</v>
      </c>
      <c r="AE115">
        <v>-6.4700000000016106E-2</v>
      </c>
      <c r="AF115">
        <v>6.6766939493816096E-2</v>
      </c>
      <c r="AG115">
        <v>-0.24239949999999899</v>
      </c>
      <c r="AH115">
        <v>0.562372818105914</v>
      </c>
      <c r="AI115">
        <v>113.172081817753</v>
      </c>
      <c r="AJ115">
        <v>83.229330208405003</v>
      </c>
      <c r="AK115">
        <v>0.61601828573022699</v>
      </c>
      <c r="AL115">
        <v>82.451013694835893</v>
      </c>
      <c r="AM115">
        <v>87.630813408948498</v>
      </c>
      <c r="AN115">
        <v>0.99999998235754495</v>
      </c>
    </row>
    <row r="116" spans="1:40" x14ac:dyDescent="0.25">
      <c r="A116" t="str">
        <f>"20190303162212766"</f>
        <v>20190303162212766</v>
      </c>
      <c r="B116" t="str">
        <f>"1551601332754550"</f>
        <v>1551601332754550</v>
      </c>
      <c r="C116" t="s">
        <v>40</v>
      </c>
      <c r="D116">
        <v>5.7437500000000004</v>
      </c>
      <c r="E116">
        <v>0.52574449999999995</v>
      </c>
      <c r="F116" t="s">
        <v>42</v>
      </c>
      <c r="G116">
        <v>-470.7321</v>
      </c>
      <c r="H116">
        <v>0.87872289999999997</v>
      </c>
      <c r="I116">
        <v>367.05149999999998</v>
      </c>
      <c r="J116">
        <v>-471.3725</v>
      </c>
      <c r="K116">
        <v>1.1196790000000001</v>
      </c>
      <c r="L116">
        <v>367.11579999999998</v>
      </c>
      <c r="M116">
        <v>0.99982769999999999</v>
      </c>
      <c r="N116">
        <v>-3.0802160000000002E-3</v>
      </c>
      <c r="O116">
        <v>1.8311129999999998E-2</v>
      </c>
      <c r="P116">
        <v>0.99144410000000005</v>
      </c>
      <c r="Q116">
        <v>0.12855949999999999</v>
      </c>
      <c r="R116">
        <v>-2.2612469999999999E-2</v>
      </c>
      <c r="S116">
        <v>3.1573790000000002</v>
      </c>
      <c r="T116">
        <v>-1.071618</v>
      </c>
      <c r="U116">
        <v>-0.27691650000000001</v>
      </c>
      <c r="V116">
        <v>4.0718610000000002E-2</v>
      </c>
      <c r="W116">
        <v>0.1316244</v>
      </c>
      <c r="X116">
        <v>0.99046299999999998</v>
      </c>
      <c r="Y116">
        <v>9.903286E-2</v>
      </c>
      <c r="Z116">
        <v>-2.2457029999999999E-2</v>
      </c>
      <c r="AA116">
        <v>0.99483069999999896</v>
      </c>
      <c r="AB116">
        <v>7</v>
      </c>
      <c r="AC116">
        <v>0.64039999999999897</v>
      </c>
      <c r="AD116">
        <v>-0.24095610000000001</v>
      </c>
      <c r="AE116">
        <v>-6.4300000000002897E-2</v>
      </c>
      <c r="AF116">
        <v>6.6671236539581805E-2</v>
      </c>
      <c r="AG116">
        <v>-0.24095610000000001</v>
      </c>
      <c r="AH116">
        <v>0.56054985876061303</v>
      </c>
      <c r="AI116">
        <v>113.11511974513699</v>
      </c>
      <c r="AJ116">
        <v>83.2171622626269</v>
      </c>
      <c r="AK116">
        <v>0.61377605041698202</v>
      </c>
      <c r="AL116">
        <v>82.436529511007095</v>
      </c>
      <c r="AM116">
        <v>87.645857034517405</v>
      </c>
      <c r="AN116">
        <v>0.99999997112234495</v>
      </c>
    </row>
    <row r="117" spans="1:40" x14ac:dyDescent="0.25">
      <c r="A117" t="str">
        <f>"20190303162212788"</f>
        <v>20190303162212788</v>
      </c>
      <c r="B117" t="str">
        <f>"1551601332784803"</f>
        <v>1551601332784803</v>
      </c>
      <c r="C117" t="s">
        <v>40</v>
      </c>
      <c r="D117">
        <v>5.7299519999999999</v>
      </c>
      <c r="E117">
        <v>0.52571950000000001</v>
      </c>
      <c r="F117" t="s">
        <v>42</v>
      </c>
      <c r="G117">
        <v>-470.66770000000002</v>
      </c>
      <c r="H117">
        <v>0.88099729999999998</v>
      </c>
      <c r="I117">
        <v>367.05399999999997</v>
      </c>
      <c r="J117">
        <v>-471.30270000000002</v>
      </c>
      <c r="K117">
        <v>1.1200509999999999</v>
      </c>
      <c r="L117">
        <v>367.11759999999998</v>
      </c>
      <c r="M117">
        <v>0.99981569999999997</v>
      </c>
      <c r="N117">
        <v>-4.3412310000000001E-3</v>
      </c>
      <c r="O117">
        <v>1.8702699999999999E-2</v>
      </c>
      <c r="P117">
        <v>0.99164209999999997</v>
      </c>
      <c r="Q117">
        <v>0.12705619999999901</v>
      </c>
      <c r="R117">
        <v>-2.2423140000000001E-2</v>
      </c>
      <c r="S117">
        <v>3.1583860000000001</v>
      </c>
      <c r="T117">
        <v>-1.069858</v>
      </c>
      <c r="U117">
        <v>-0.27459719999999999</v>
      </c>
      <c r="V117">
        <v>4.0937220000000003E-2</v>
      </c>
      <c r="W117">
        <v>0.13136629999999999</v>
      </c>
      <c r="X117">
        <v>0.99048829999999999</v>
      </c>
      <c r="Y117">
        <v>9.8678719999999998E-2</v>
      </c>
      <c r="Z117">
        <v>-2.2526150000000002E-2</v>
      </c>
      <c r="AA117">
        <v>0.99486430000000003</v>
      </c>
      <c r="AB117">
        <v>8</v>
      </c>
      <c r="AC117">
        <v>0.63499999999999002</v>
      </c>
      <c r="AD117">
        <v>-0.23905370000000001</v>
      </c>
      <c r="AE117">
        <v>-6.3599999999951196E-2</v>
      </c>
      <c r="AF117">
        <v>6.6179175107525495E-2</v>
      </c>
      <c r="AG117">
        <v>-0.23905370000000001</v>
      </c>
      <c r="AH117">
        <v>0.55572243252746201</v>
      </c>
      <c r="AI117">
        <v>113.129715353276</v>
      </c>
      <c r="AJ117">
        <v>83.208815062063493</v>
      </c>
      <c r="AK117">
        <v>0.60856698621913596</v>
      </c>
      <c r="AL117">
        <v>82.451447429909095</v>
      </c>
      <c r="AM117">
        <v>87.633292835831796</v>
      </c>
      <c r="AN117">
        <v>1.00000001659695</v>
      </c>
    </row>
    <row r="118" spans="1:40" x14ac:dyDescent="0.25">
      <c r="A118" t="str">
        <f>"20190303162212812"</f>
        <v>20190303162212812</v>
      </c>
      <c r="B118" t="str">
        <f>"1551601332804323"</f>
        <v>1551601332804323</v>
      </c>
      <c r="C118" t="s">
        <v>40</v>
      </c>
      <c r="D118">
        <v>5.7630309999999998</v>
      </c>
      <c r="E118">
        <v>0.52567379999999997</v>
      </c>
      <c r="F118" t="s">
        <v>42</v>
      </c>
      <c r="G118">
        <v>-470.60649999999998</v>
      </c>
      <c r="H118">
        <v>0.88267329999999999</v>
      </c>
      <c r="I118">
        <v>367.0573</v>
      </c>
      <c r="J118">
        <v>-471.23349999999999</v>
      </c>
      <c r="K118">
        <v>1.120414</v>
      </c>
      <c r="L118">
        <v>367.11950000000002</v>
      </c>
      <c r="M118">
        <v>0.99979910000000005</v>
      </c>
      <c r="N118">
        <v>-6.3842409999999997E-3</v>
      </c>
      <c r="O118">
        <v>1.9000880000000001E-2</v>
      </c>
      <c r="P118">
        <v>0.99194210000000005</v>
      </c>
      <c r="Q118">
        <v>0.12470589999999999</v>
      </c>
      <c r="R118">
        <v>-2.235115E-2</v>
      </c>
      <c r="S118">
        <v>3.1570740000000002</v>
      </c>
      <c r="T118">
        <v>-1.076503</v>
      </c>
      <c r="U118">
        <v>-0.27331539999999999</v>
      </c>
      <c r="V118">
        <v>4.1209629999999997E-2</v>
      </c>
      <c r="W118">
        <v>0.1310278</v>
      </c>
      <c r="X118">
        <v>0.99052180000000001</v>
      </c>
      <c r="Y118">
        <v>9.8496840000000002E-2</v>
      </c>
      <c r="Z118">
        <v>-2.2799980000000001E-2</v>
      </c>
      <c r="AA118">
        <v>0.99487610000000004</v>
      </c>
      <c r="AB118">
        <v>7</v>
      </c>
      <c r="AC118">
        <v>0.62700000000000899</v>
      </c>
      <c r="AD118">
        <v>-0.2377407</v>
      </c>
      <c r="AE118">
        <v>-6.22000000000184E-2</v>
      </c>
      <c r="AF118">
        <v>6.4867385596261803E-2</v>
      </c>
      <c r="AG118">
        <v>-0.2377407</v>
      </c>
      <c r="AH118">
        <v>0.54772520499097499</v>
      </c>
      <c r="AI118">
        <v>113.31791436102399</v>
      </c>
      <c r="AJ118">
        <v>83.2458905363181</v>
      </c>
      <c r="AK118">
        <v>0.60060912275205203</v>
      </c>
      <c r="AL118">
        <v>82.471010854908002</v>
      </c>
      <c r="AM118">
        <v>87.617642541825703</v>
      </c>
      <c r="AN118">
        <v>0.99999997712640798</v>
      </c>
    </row>
    <row r="119" spans="1:40" x14ac:dyDescent="0.25">
      <c r="A119" t="str">
        <f>"20190303162212834"</f>
        <v>20190303162212834</v>
      </c>
      <c r="B119" t="str">
        <f>"1551601332823843"</f>
        <v>1551601332823843</v>
      </c>
      <c r="C119" t="s">
        <v>40</v>
      </c>
      <c r="D119">
        <v>5.6937009999999999</v>
      </c>
      <c r="E119">
        <v>0.5086946</v>
      </c>
      <c r="F119" t="s">
        <v>42</v>
      </c>
      <c r="G119">
        <v>-470.5471</v>
      </c>
      <c r="H119">
        <v>0.88444630000000002</v>
      </c>
      <c r="I119">
        <v>367.05950000000001</v>
      </c>
      <c r="J119">
        <v>-471.16590000000002</v>
      </c>
      <c r="K119">
        <v>1.1204289999999999</v>
      </c>
      <c r="L119">
        <v>367.12139999999999</v>
      </c>
      <c r="M119">
        <v>0.99978619999999996</v>
      </c>
      <c r="N119">
        <v>-7.4732119999999999E-3</v>
      </c>
      <c r="O119">
        <v>1.9283649999999999E-2</v>
      </c>
      <c r="P119">
        <v>0.99205949999999998</v>
      </c>
      <c r="Q119">
        <v>0.1238641</v>
      </c>
      <c r="R119">
        <v>-2.1813599999999999E-2</v>
      </c>
      <c r="S119">
        <v>3.154541</v>
      </c>
      <c r="T119">
        <v>-1.084703</v>
      </c>
      <c r="U119">
        <v>-0.27337650000000002</v>
      </c>
      <c r="V119">
        <v>4.0994170000000003E-2</v>
      </c>
      <c r="W119">
        <v>0.13125329999999999</v>
      </c>
      <c r="X119">
        <v>0.99050090000000002</v>
      </c>
      <c r="Y119">
        <v>9.8716250000000005E-2</v>
      </c>
      <c r="Z119">
        <v>-2.3145180000000001E-2</v>
      </c>
      <c r="AA119">
        <v>0.99484640000000002</v>
      </c>
      <c r="AB119">
        <v>7</v>
      </c>
      <c r="AC119">
        <v>0.618800000000021</v>
      </c>
      <c r="AD119">
        <v>-0.23598269999999999</v>
      </c>
      <c r="AE119">
        <v>-6.1899999999979999E-2</v>
      </c>
      <c r="AF119">
        <v>6.4529825385754094E-2</v>
      </c>
      <c r="AG119">
        <v>-0.23598269999999999</v>
      </c>
      <c r="AH119">
        <v>0.53976928063943097</v>
      </c>
      <c r="AI119">
        <v>113.465695300908</v>
      </c>
      <c r="AJ119">
        <v>83.1826023470433</v>
      </c>
      <c r="AK119">
        <v>0.59262366590072602</v>
      </c>
      <c r="AL119">
        <v>82.457978214107598</v>
      </c>
      <c r="AM119">
        <v>87.630034246042698</v>
      </c>
      <c r="AN119">
        <v>0.99999999181784405</v>
      </c>
    </row>
    <row r="120" spans="1:40" x14ac:dyDescent="0.25">
      <c r="A120" t="str">
        <f>"20190303162212857"</f>
        <v>20190303162212857</v>
      </c>
      <c r="B120" t="str">
        <f>"1551601332844339"</f>
        <v>1551601332844339</v>
      </c>
      <c r="C120" t="s">
        <v>40</v>
      </c>
      <c r="D120">
        <v>5.9524480000000004</v>
      </c>
      <c r="E120">
        <v>0.50415900000000002</v>
      </c>
      <c r="F120" t="s">
        <v>42</v>
      </c>
      <c r="G120">
        <v>-470.46730000000002</v>
      </c>
      <c r="H120">
        <v>0.92405689999999996</v>
      </c>
      <c r="I120">
        <v>367.09059999999999</v>
      </c>
      <c r="J120">
        <v>-471.09230000000002</v>
      </c>
      <c r="K120">
        <v>1.120058</v>
      </c>
      <c r="L120">
        <v>367.1234</v>
      </c>
      <c r="M120">
        <v>0.99978239999999996</v>
      </c>
      <c r="N120">
        <v>-6.9298719999999897E-3</v>
      </c>
      <c r="O120">
        <v>1.9675229999999998E-2</v>
      </c>
      <c r="P120">
        <v>0.99200880000000002</v>
      </c>
      <c r="Q120">
        <v>0.1243688</v>
      </c>
      <c r="R120">
        <v>-2.1240459999999999E-2</v>
      </c>
      <c r="S120">
        <v>3.1308289999999999</v>
      </c>
      <c r="T120">
        <v>-0.88004609999999905</v>
      </c>
      <c r="U120">
        <v>-0.137207</v>
      </c>
      <c r="V120">
        <v>4.0820160000000001E-2</v>
      </c>
      <c r="W120">
        <v>0.1312159</v>
      </c>
      <c r="X120">
        <v>0.99051299999999998</v>
      </c>
      <c r="Y120">
        <v>6.031334E-2</v>
      </c>
      <c r="Z120">
        <v>-1.3814480000000001E-2</v>
      </c>
      <c r="AA120">
        <v>0.99808390000000002</v>
      </c>
      <c r="AB120">
        <v>6</v>
      </c>
      <c r="AC120">
        <v>0.625</v>
      </c>
      <c r="AD120">
        <v>-0.19600110000000001</v>
      </c>
      <c r="AE120">
        <v>-3.2800000000008801E-2</v>
      </c>
      <c r="AF120">
        <v>4.1063611862127099E-2</v>
      </c>
      <c r="AG120">
        <v>-0.19600110000000001</v>
      </c>
      <c r="AH120">
        <v>0.56847948200091303</v>
      </c>
      <c r="AI120">
        <v>108.977341421833</v>
      </c>
      <c r="AJ120">
        <v>85.868465938830496</v>
      </c>
      <c r="AK120">
        <v>0.60272014474082403</v>
      </c>
      <c r="AL120">
        <v>82.460139457674302</v>
      </c>
      <c r="AM120">
        <v>87.640111555946106</v>
      </c>
      <c r="AN120">
        <v>0.99999995052211599</v>
      </c>
    </row>
    <row r="121" spans="1:40" x14ac:dyDescent="0.25">
      <c r="A121" t="str">
        <f>"20190303162212878"</f>
        <v>20190303162212878</v>
      </c>
      <c r="B121" t="str">
        <f>"1551601332874595"</f>
        <v>1551601332874595</v>
      </c>
      <c r="C121" t="s">
        <v>40</v>
      </c>
      <c r="D121">
        <v>5.9367219999999996</v>
      </c>
      <c r="E121">
        <v>0.47563050000000001</v>
      </c>
      <c r="F121" t="s">
        <v>42</v>
      </c>
      <c r="G121">
        <v>-470.39089999999999</v>
      </c>
      <c r="H121">
        <v>0.94467219999999996</v>
      </c>
      <c r="I121">
        <v>367.10070000000002</v>
      </c>
      <c r="J121">
        <v>-471.01839999999999</v>
      </c>
      <c r="K121">
        <v>1.1197090000000001</v>
      </c>
      <c r="L121">
        <v>367.12529999999998</v>
      </c>
      <c r="M121">
        <v>0.99977950000000004</v>
      </c>
      <c r="N121">
        <v>-5.9861879999999999E-3</v>
      </c>
      <c r="O121">
        <v>2.0132710000000002E-2</v>
      </c>
      <c r="P121">
        <v>0.99188019999999999</v>
      </c>
      <c r="Q121">
        <v>0.1255029</v>
      </c>
      <c r="R121">
        <v>-2.0563640000000001E-2</v>
      </c>
      <c r="S121">
        <v>3.119904</v>
      </c>
      <c r="T121">
        <v>-0.78045850000000005</v>
      </c>
      <c r="U121">
        <v>-9.9212649999999999E-2</v>
      </c>
      <c r="V121">
        <v>4.0586610000000002E-2</v>
      </c>
      <c r="W121">
        <v>0.1314168</v>
      </c>
      <c r="X121">
        <v>0.99049600000000004</v>
      </c>
      <c r="Y121">
        <v>4.9740590000000001E-2</v>
      </c>
      <c r="Z121">
        <v>-1.1116880000000001E-2</v>
      </c>
      <c r="AA121">
        <v>0.99870029999999999</v>
      </c>
      <c r="AB121">
        <v>7</v>
      </c>
      <c r="AC121">
        <v>0.62749999999999695</v>
      </c>
      <c r="AD121">
        <v>-0.17503679999999999</v>
      </c>
      <c r="AE121">
        <v>-2.4599999999963901E-2</v>
      </c>
      <c r="AF121">
        <v>3.4544738586797498E-2</v>
      </c>
      <c r="AG121">
        <v>-0.17503679999999999</v>
      </c>
      <c r="AH121">
        <v>0.58168640473942701</v>
      </c>
      <c r="AI121">
        <v>106.719396452702</v>
      </c>
      <c r="AJ121">
        <v>86.601354671514699</v>
      </c>
      <c r="AK121">
        <v>0.60843265344403596</v>
      </c>
      <c r="AL121">
        <v>82.448528465361505</v>
      </c>
      <c r="AM121">
        <v>87.653558149585194</v>
      </c>
      <c r="AN121">
        <v>0.99999998712476601</v>
      </c>
    </row>
    <row r="122" spans="1:40" x14ac:dyDescent="0.25">
      <c r="A122" t="str">
        <f>"20190303162212901"</f>
        <v>20190303162212901</v>
      </c>
      <c r="B122" t="str">
        <f>"1551601332894780"</f>
        <v>1551601332894780</v>
      </c>
      <c r="C122" t="s">
        <v>40</v>
      </c>
      <c r="D122">
        <v>5.6594980000000001</v>
      </c>
      <c r="E122">
        <v>0.47675699999999999</v>
      </c>
      <c r="F122" t="s">
        <v>41</v>
      </c>
      <c r="G122">
        <v>-444.06349999999998</v>
      </c>
      <c r="H122" s="1">
        <v>-3.0216119999999999E-6</v>
      </c>
      <c r="I122">
        <v>368.2919</v>
      </c>
      <c r="J122">
        <v>-470.93830000000003</v>
      </c>
      <c r="K122">
        <v>1.1195079999999999</v>
      </c>
      <c r="L122">
        <v>367.12729999999999</v>
      </c>
      <c r="M122">
        <v>0.99977329999999998</v>
      </c>
      <c r="N122">
        <v>-5.1590289999999999E-3</v>
      </c>
      <c r="O122">
        <v>2.0663629999999999E-2</v>
      </c>
      <c r="P122">
        <v>0.99182959999999998</v>
      </c>
      <c r="Q122">
        <v>0.12597439999999999</v>
      </c>
      <c r="R122">
        <v>-2.0122939999999999E-2</v>
      </c>
      <c r="S122">
        <v>3.0432429999999999</v>
      </c>
      <c r="T122">
        <v>-0.12641730000000001</v>
      </c>
      <c r="U122">
        <v>0.13171389999999999</v>
      </c>
      <c r="V122">
        <v>4.0651489999999998E-2</v>
      </c>
      <c r="W122">
        <v>0.1310751</v>
      </c>
      <c r="X122">
        <v>0.99053869999999999</v>
      </c>
      <c r="Y122">
        <v>-2.2578250000000001E-2</v>
      </c>
      <c r="Z122">
        <v>-2.2409949999999999E-4</v>
      </c>
      <c r="AA122">
        <v>0.99974510000000005</v>
      </c>
      <c r="AB122">
        <v>8</v>
      </c>
      <c r="AC122">
        <v>26.8748</v>
      </c>
      <c r="AD122">
        <v>-1.1195110216119999</v>
      </c>
      <c r="AE122">
        <v>1.1646000000000001</v>
      </c>
      <c r="AF122">
        <v>-0.60796009380865002</v>
      </c>
      <c r="AG122">
        <v>-1.1195110216119999</v>
      </c>
      <c r="AH122">
        <v>26.846628095333301</v>
      </c>
      <c r="AI122">
        <v>92.387253365429203</v>
      </c>
      <c r="AJ122">
        <v>91.297280040931199</v>
      </c>
      <c r="AK122">
        <v>26.876836876617698</v>
      </c>
      <c r="AL122">
        <v>82.468277898058403</v>
      </c>
      <c r="AM122">
        <v>87.649912629654096</v>
      </c>
      <c r="AN122">
        <v>1.00000007083845</v>
      </c>
    </row>
    <row r="123" spans="1:40" x14ac:dyDescent="0.25">
      <c r="A123" t="str">
        <f>"20190303162212925"</f>
        <v>20190303162212925</v>
      </c>
      <c r="B123" t="str">
        <f>"1551601332914300"</f>
        <v>1551601332914300</v>
      </c>
      <c r="C123" t="s">
        <v>40</v>
      </c>
      <c r="D123">
        <v>5.9307679999999996</v>
      </c>
      <c r="E123">
        <v>0.47835430000000001</v>
      </c>
      <c r="F123" t="s">
        <v>41</v>
      </c>
      <c r="G123">
        <v>-443.10430000000002</v>
      </c>
      <c r="H123" s="1">
        <v>-3.4803890000000001E-6</v>
      </c>
      <c r="I123">
        <v>368.26179999999999</v>
      </c>
      <c r="J123">
        <v>-470.85509999999999</v>
      </c>
      <c r="K123">
        <v>1.119415</v>
      </c>
      <c r="L123">
        <v>367.12950000000001</v>
      </c>
      <c r="M123">
        <v>0.99976480000000001</v>
      </c>
      <c r="N123">
        <v>-4.4649670000000002E-3</v>
      </c>
      <c r="O123">
        <v>2.1226129999999999E-2</v>
      </c>
      <c r="P123">
        <v>0.99173690000000003</v>
      </c>
      <c r="Q123">
        <v>0.12685360000000001</v>
      </c>
      <c r="R123">
        <v>-1.9137350000000001E-2</v>
      </c>
      <c r="S123">
        <v>3.0428160000000002</v>
      </c>
      <c r="T123">
        <v>-0.1223851</v>
      </c>
      <c r="U123">
        <v>0.12402340000000001</v>
      </c>
      <c r="V123">
        <v>4.01988E-2</v>
      </c>
      <c r="W123">
        <v>0.13127269999999999</v>
      </c>
      <c r="X123">
        <v>0.99053089999999999</v>
      </c>
      <c r="Y123">
        <v>-1.950375E-2</v>
      </c>
      <c r="Z123">
        <v>-3.2269189999999999E-4</v>
      </c>
      <c r="AA123">
        <v>0.99980970000000002</v>
      </c>
      <c r="AB123">
        <v>8</v>
      </c>
      <c r="AC123">
        <v>27.750799999999899</v>
      </c>
      <c r="AD123">
        <v>-1.1194184803889999</v>
      </c>
      <c r="AE123">
        <v>1.1322999999999801</v>
      </c>
      <c r="AF123">
        <v>-0.54211631796917903</v>
      </c>
      <c r="AG123">
        <v>-1.1194184803889999</v>
      </c>
      <c r="AH123">
        <v>27.723546165943802</v>
      </c>
      <c r="AI123">
        <v>92.311785547305206</v>
      </c>
      <c r="AJ123">
        <v>91.120239769676104</v>
      </c>
      <c r="AK123">
        <v>27.751432392791202</v>
      </c>
      <c r="AL123">
        <v>82.456856767816106</v>
      </c>
      <c r="AM123">
        <v>87.676035779371304</v>
      </c>
      <c r="AN123">
        <v>0.99999996457076901</v>
      </c>
    </row>
    <row r="124" spans="1:40" x14ac:dyDescent="0.25">
      <c r="A124" t="str">
        <f>"20190303162212946"</f>
        <v>20190303162212946</v>
      </c>
      <c r="B124" t="str">
        <f>"1551601332934796"</f>
        <v>1551601332934796</v>
      </c>
      <c r="C124" t="s">
        <v>40</v>
      </c>
      <c r="D124">
        <v>5.9266160000000001</v>
      </c>
      <c r="E124">
        <v>0.47940379999999999</v>
      </c>
      <c r="F124" t="s">
        <v>41</v>
      </c>
      <c r="G124">
        <v>-443.93650000000002</v>
      </c>
      <c r="H124" s="1">
        <v>-3.108725E-6</v>
      </c>
      <c r="I124">
        <v>368.13929999999999</v>
      </c>
      <c r="J124">
        <v>-470.7731</v>
      </c>
      <c r="K124">
        <v>1.119345</v>
      </c>
      <c r="L124">
        <v>367.1318</v>
      </c>
      <c r="M124">
        <v>0.99975599999999998</v>
      </c>
      <c r="N124">
        <v>-3.7589619999999998E-3</v>
      </c>
      <c r="O124">
        <v>2.177111E-2</v>
      </c>
      <c r="P124">
        <v>0.99156259999999996</v>
      </c>
      <c r="Q124">
        <v>0.1283058</v>
      </c>
      <c r="R124">
        <v>-1.8474549999999999E-2</v>
      </c>
      <c r="S124">
        <v>3.0433650000000001</v>
      </c>
      <c r="T124">
        <v>-0.12655939999999999</v>
      </c>
      <c r="U124">
        <v>0.1141663</v>
      </c>
      <c r="V124">
        <v>4.0053169999999999E-2</v>
      </c>
      <c r="W124">
        <v>0.13203129999999999</v>
      </c>
      <c r="X124">
        <v>0.99043599999999998</v>
      </c>
      <c r="Y124">
        <v>-1.5722699999999999E-2</v>
      </c>
      <c r="Z124">
        <v>-4.6647879999999999E-4</v>
      </c>
      <c r="AA124">
        <v>0.99987630000000005</v>
      </c>
      <c r="AB124">
        <v>8</v>
      </c>
      <c r="AC124">
        <v>26.836599999999901</v>
      </c>
      <c r="AD124">
        <v>-1.1193481087249999</v>
      </c>
      <c r="AE124">
        <v>1.0074999999999901</v>
      </c>
      <c r="AF124">
        <v>-0.42226097653155498</v>
      </c>
      <c r="AG124">
        <v>-1.1193481087249999</v>
      </c>
      <c r="AH124">
        <v>26.805605496598702</v>
      </c>
      <c r="AI124">
        <v>92.390870893465802</v>
      </c>
      <c r="AJ124">
        <v>90.902489253520599</v>
      </c>
      <c r="AK124">
        <v>26.8322889549157</v>
      </c>
      <c r="AL124">
        <v>82.413010784019903</v>
      </c>
      <c r="AM124">
        <v>87.684224101607199</v>
      </c>
      <c r="AN124">
        <v>0.99999999535136896</v>
      </c>
    </row>
    <row r="125" spans="1:40" x14ac:dyDescent="0.25">
      <c r="A125" t="str">
        <f>"20190303162212967"</f>
        <v>20190303162212967</v>
      </c>
      <c r="B125" t="str">
        <f>"1551601332954317"</f>
        <v>1551601332954317</v>
      </c>
      <c r="C125" t="s">
        <v>40</v>
      </c>
      <c r="D125">
        <v>5.9227730000000003</v>
      </c>
      <c r="E125">
        <v>0.4800759</v>
      </c>
      <c r="F125" t="s">
        <v>41</v>
      </c>
      <c r="G125">
        <v>-443.98689999999999</v>
      </c>
      <c r="H125" s="1">
        <v>-3.094922E-6</v>
      </c>
      <c r="I125">
        <v>368.08269999999999</v>
      </c>
      <c r="J125">
        <v>-470.69409999999999</v>
      </c>
      <c r="K125">
        <v>1.119275</v>
      </c>
      <c r="L125">
        <v>367.13409999999999</v>
      </c>
      <c r="M125">
        <v>0.9997471</v>
      </c>
      <c r="N125">
        <v>-3.0452420000000001E-3</v>
      </c>
      <c r="O125">
        <v>2.228598E-2</v>
      </c>
      <c r="P125">
        <v>0.99141900000000005</v>
      </c>
      <c r="Q125">
        <v>0.12953299999999901</v>
      </c>
      <c r="R125">
        <v>-1.760575E-2</v>
      </c>
      <c r="S125">
        <v>3.0440369999999999</v>
      </c>
      <c r="T125">
        <v>-0.12720529999999999</v>
      </c>
      <c r="U125">
        <v>0.1080627</v>
      </c>
      <c r="V125">
        <v>3.9677560000000001E-2</v>
      </c>
      <c r="W125">
        <v>0.13255549999999999</v>
      </c>
      <c r="X125">
        <v>0.99038110000000001</v>
      </c>
      <c r="Y125">
        <v>-1.3200949999999999E-2</v>
      </c>
      <c r="Z125">
        <v>-5.6688530000000004E-4</v>
      </c>
      <c r="AA125">
        <v>0.99991269999999999</v>
      </c>
      <c r="AB125">
        <v>8</v>
      </c>
      <c r="AC125">
        <v>26.7072</v>
      </c>
      <c r="AD125">
        <v>-1.119278094922</v>
      </c>
      <c r="AE125">
        <v>0.948599999999999</v>
      </c>
      <c r="AF125">
        <v>-0.352547148088517</v>
      </c>
      <c r="AG125">
        <v>-1.119278094922</v>
      </c>
      <c r="AH125">
        <v>26.6749150851733</v>
      </c>
      <c r="AI125">
        <v>92.402509008894</v>
      </c>
      <c r="AJ125">
        <v>90.757201573703597</v>
      </c>
      <c r="AK125">
        <v>26.7007147422425</v>
      </c>
      <c r="AL125">
        <v>82.382710017521603</v>
      </c>
      <c r="AM125">
        <v>87.705790604294705</v>
      </c>
      <c r="AN125">
        <v>0.99999999629250602</v>
      </c>
    </row>
    <row r="126" spans="1:40" x14ac:dyDescent="0.25">
      <c r="A126" t="str">
        <f>"20190303162212990"</f>
        <v>20190303162212990</v>
      </c>
      <c r="B126" t="str">
        <f>"1551601332984572"</f>
        <v>1551601332984572</v>
      </c>
      <c r="C126" t="s">
        <v>40</v>
      </c>
      <c r="D126">
        <v>5.9798239999999998</v>
      </c>
      <c r="E126">
        <v>0.48086069999999997</v>
      </c>
      <c r="F126" t="s">
        <v>41</v>
      </c>
      <c r="G126">
        <v>-444.47160000000002</v>
      </c>
      <c r="H126" s="1">
        <v>-2.8729040000000002E-6</v>
      </c>
      <c r="I126">
        <v>368.04259999999999</v>
      </c>
      <c r="J126">
        <v>-470.5994</v>
      </c>
      <c r="K126">
        <v>1.1192409999999999</v>
      </c>
      <c r="L126">
        <v>367.13679999999999</v>
      </c>
      <c r="M126">
        <v>0.9997355</v>
      </c>
      <c r="N126">
        <v>-2.3395009999999999E-3</v>
      </c>
      <c r="O126">
        <v>2.2879989999999999E-2</v>
      </c>
      <c r="P126">
        <v>0.99132779999999998</v>
      </c>
      <c r="Q126">
        <v>0.13029369999999901</v>
      </c>
      <c r="R126">
        <v>-1.71083E-2</v>
      </c>
      <c r="S126">
        <v>3.0448300000000001</v>
      </c>
      <c r="T126">
        <v>-0.12996540000000001</v>
      </c>
      <c r="U126">
        <v>0.1054993</v>
      </c>
      <c r="V126">
        <v>3.9757180000000003E-2</v>
      </c>
      <c r="W126">
        <v>0.13261979999999901</v>
      </c>
      <c r="X126">
        <v>0.99036930000000001</v>
      </c>
      <c r="Y126">
        <v>-1.1759779999999999E-2</v>
      </c>
      <c r="Z126">
        <v>-6.5765929999999902E-4</v>
      </c>
      <c r="AA126">
        <v>0.9999306</v>
      </c>
      <c r="AB126">
        <v>9</v>
      </c>
      <c r="AC126">
        <v>26.127799999999901</v>
      </c>
      <c r="AD126">
        <v>-1.119243872904</v>
      </c>
      <c r="AE126">
        <v>0.90579999999999905</v>
      </c>
      <c r="AF126">
        <v>-0.30719441463518898</v>
      </c>
      <c r="AG126">
        <v>-1.119243872904</v>
      </c>
      <c r="AH126">
        <v>26.093859346180199</v>
      </c>
      <c r="AI126">
        <v>92.455912313531798</v>
      </c>
      <c r="AJ126">
        <v>90.674493187990905</v>
      </c>
      <c r="AK126">
        <v>26.1196587043869</v>
      </c>
      <c r="AL126">
        <v>82.378993092753007</v>
      </c>
      <c r="AM126">
        <v>87.701164443521805</v>
      </c>
      <c r="AN126">
        <v>0.99999999754804103</v>
      </c>
    </row>
    <row r="127" spans="1:40" x14ac:dyDescent="0.25">
      <c r="A127" t="str">
        <f>"20190303162213012"</f>
        <v>20190303162213012</v>
      </c>
      <c r="B127" t="str">
        <f>"1551601333004093"</f>
        <v>1551601333004093</v>
      </c>
      <c r="C127" t="s">
        <v>40</v>
      </c>
      <c r="D127">
        <v>5.7831099999999998</v>
      </c>
      <c r="E127">
        <v>0.4811841</v>
      </c>
      <c r="F127" t="s">
        <v>41</v>
      </c>
      <c r="G127">
        <v>-445.05680000000001</v>
      </c>
      <c r="H127" s="1">
        <v>-2.6068549999999998E-6</v>
      </c>
      <c r="I127">
        <v>367.98320000000001</v>
      </c>
      <c r="J127">
        <v>-470.50900000000001</v>
      </c>
      <c r="K127">
        <v>1.1192709999999999</v>
      </c>
      <c r="L127">
        <v>367.1395</v>
      </c>
      <c r="M127">
        <v>0.9997241</v>
      </c>
      <c r="N127">
        <v>-1.9661269999999998E-3</v>
      </c>
      <c r="O127">
        <v>2.3410449999999999E-2</v>
      </c>
      <c r="P127">
        <v>0.9912763</v>
      </c>
      <c r="Q127">
        <v>0.13068669999999999</v>
      </c>
      <c r="R127">
        <v>-1.7101870000000002E-2</v>
      </c>
      <c r="S127">
        <v>3.045563</v>
      </c>
      <c r="T127">
        <v>-0.1334523</v>
      </c>
      <c r="U127">
        <v>0.1009216</v>
      </c>
      <c r="V127">
        <v>4.0270809999999997E-2</v>
      </c>
      <c r="W127">
        <v>0.13264389999999901</v>
      </c>
      <c r="X127">
        <v>0.99034529999999998</v>
      </c>
      <c r="Y127">
        <v>-9.723087E-3</v>
      </c>
      <c r="Z127">
        <v>-7.5643740000000002E-4</v>
      </c>
      <c r="AA127">
        <v>0.99995239999999996</v>
      </c>
      <c r="AB127">
        <v>9</v>
      </c>
      <c r="AC127">
        <v>25.452200000000001</v>
      </c>
      <c r="AD127">
        <v>-1.119273606855</v>
      </c>
      <c r="AE127">
        <v>0.843700000000012</v>
      </c>
      <c r="AF127">
        <v>-0.247142811114476</v>
      </c>
      <c r="AG127">
        <v>-1.119273606855</v>
      </c>
      <c r="AH127">
        <v>25.4158794757846</v>
      </c>
      <c r="AI127">
        <v>92.521463757382406</v>
      </c>
      <c r="AJ127">
        <v>90.557123893520497</v>
      </c>
      <c r="AK127">
        <v>25.4417134349025</v>
      </c>
      <c r="AL127">
        <v>82.377599805113505</v>
      </c>
      <c r="AM127">
        <v>87.671441497933998</v>
      </c>
      <c r="AN127">
        <v>0.999999977788677</v>
      </c>
    </row>
    <row r="128" spans="1:40" x14ac:dyDescent="0.25">
      <c r="A128" t="str">
        <f>"20190303162213035"</f>
        <v>20190303162213035</v>
      </c>
      <c r="B128" t="str">
        <f>"1551601333024588"</f>
        <v>1551601333024588</v>
      </c>
      <c r="C128" t="s">
        <v>40</v>
      </c>
      <c r="D128">
        <v>5.9796559999999896</v>
      </c>
      <c r="E128">
        <v>0.48142950000000001</v>
      </c>
      <c r="F128" t="s">
        <v>41</v>
      </c>
      <c r="G128">
        <v>-445.37700000000001</v>
      </c>
      <c r="H128" s="1">
        <v>-2.4611200000000002E-6</v>
      </c>
      <c r="I128">
        <v>367.95159999999998</v>
      </c>
      <c r="J128">
        <v>-470.41800000000001</v>
      </c>
      <c r="K128">
        <v>1.119356</v>
      </c>
      <c r="L128">
        <v>367.14229999999998</v>
      </c>
      <c r="M128">
        <v>0.9997123</v>
      </c>
      <c r="N128">
        <v>-1.868878E-3</v>
      </c>
      <c r="O128">
        <v>2.3913609999999998E-2</v>
      </c>
      <c r="P128">
        <v>0.99124259999999997</v>
      </c>
      <c r="Q128">
        <v>0.13095599999999999</v>
      </c>
      <c r="R128">
        <v>-1.6985429999999999E-2</v>
      </c>
      <c r="S128">
        <v>3.0459900000000002</v>
      </c>
      <c r="T128">
        <v>-0.13565529999999901</v>
      </c>
      <c r="U128">
        <v>9.8419190000000004E-2</v>
      </c>
      <c r="V128">
        <v>4.0651039999999999E-2</v>
      </c>
      <c r="W128">
        <v>0.132817299999999</v>
      </c>
      <c r="X128">
        <v>0.99030660000000004</v>
      </c>
      <c r="Y128">
        <v>-8.3968719999999997E-3</v>
      </c>
      <c r="Z128">
        <v>-8.2466759999999897E-4</v>
      </c>
      <c r="AA128">
        <v>0.99996439999999998</v>
      </c>
      <c r="AB128">
        <v>9</v>
      </c>
      <c r="AC128">
        <v>25.041</v>
      </c>
      <c r="AD128">
        <v>-1.11935846112</v>
      </c>
      <c r="AE128">
        <v>0.80930000000000701</v>
      </c>
      <c r="AF128">
        <v>-0.209827982728163</v>
      </c>
      <c r="AG128">
        <v>-1.11935846112</v>
      </c>
      <c r="AH128">
        <v>25.0032833077669</v>
      </c>
      <c r="AI128">
        <v>92.563242037618906</v>
      </c>
      <c r="AJ128">
        <v>90.480815878126606</v>
      </c>
      <c r="AK128">
        <v>25.029206286162399</v>
      </c>
      <c r="AL128">
        <v>82.3675765985396</v>
      </c>
      <c r="AM128">
        <v>87.649388444752404</v>
      </c>
      <c r="AN128">
        <v>1.0000000521179599</v>
      </c>
    </row>
    <row r="129" spans="1:40" x14ac:dyDescent="0.25">
      <c r="A129" t="str">
        <f>"20190303162213056"</f>
        <v>20190303162213056</v>
      </c>
      <c r="B129" t="str">
        <f>"1551601333044108"</f>
        <v>1551601333044108</v>
      </c>
      <c r="C129" t="s">
        <v>40</v>
      </c>
      <c r="D129">
        <v>5.9758009999999997</v>
      </c>
      <c r="E129">
        <v>0.48157539999999999</v>
      </c>
      <c r="F129" t="s">
        <v>41</v>
      </c>
      <c r="G129">
        <v>-445.45690000000002</v>
      </c>
      <c r="H129" s="1">
        <v>-2.426355E-6</v>
      </c>
      <c r="I129">
        <v>367.93450000000001</v>
      </c>
      <c r="J129">
        <v>-470.32760000000002</v>
      </c>
      <c r="K129">
        <v>1.119456</v>
      </c>
      <c r="L129">
        <v>367.14499999999998</v>
      </c>
      <c r="M129">
        <v>0.99970049999999999</v>
      </c>
      <c r="N129">
        <v>-1.911306E-3</v>
      </c>
      <c r="O129">
        <v>2.4401849999999999E-2</v>
      </c>
      <c r="P129">
        <v>0.99121559999999997</v>
      </c>
      <c r="Q129">
        <v>0.1311986</v>
      </c>
      <c r="R129">
        <v>-1.668677E-2</v>
      </c>
      <c r="S129">
        <v>3.0462039999999999</v>
      </c>
      <c r="T129">
        <v>-0.13660449999999999</v>
      </c>
      <c r="U129">
        <v>9.6679689999999999E-2</v>
      </c>
      <c r="V129">
        <v>4.0835660000000003E-2</v>
      </c>
      <c r="W129">
        <v>0.13310179999999999</v>
      </c>
      <c r="X129">
        <v>0.99026069999999999</v>
      </c>
      <c r="Y129">
        <v>-7.3375019999999897E-3</v>
      </c>
      <c r="Z129">
        <v>-8.7524039999999895E-4</v>
      </c>
      <c r="AA129">
        <v>0.99997270000000005</v>
      </c>
      <c r="AB129">
        <v>9</v>
      </c>
      <c r="AC129">
        <v>24.870699999999999</v>
      </c>
      <c r="AD129">
        <v>-1.119458426355</v>
      </c>
      <c r="AE129">
        <v>0.78950000000003195</v>
      </c>
      <c r="AF129">
        <v>-0.18200439934458901</v>
      </c>
      <c r="AG129">
        <v>-1.119458426355</v>
      </c>
      <c r="AH129">
        <v>24.8322998840564</v>
      </c>
      <c r="AI129">
        <v>92.5811192275102</v>
      </c>
      <c r="AJ129">
        <v>90.419932799634907</v>
      </c>
      <c r="AK129">
        <v>24.858186383994799</v>
      </c>
      <c r="AL129">
        <v>82.351129119866997</v>
      </c>
      <c r="AM129">
        <v>87.638615683221403</v>
      </c>
      <c r="AN129">
        <v>0.99999994712768103</v>
      </c>
    </row>
    <row r="130" spans="1:40" x14ac:dyDescent="0.25">
      <c r="A130" t="str">
        <f>"20190303162213080"</f>
        <v>20190303162213080</v>
      </c>
      <c r="B130" t="str">
        <f>"1551601333074364"</f>
        <v>1551601333074364</v>
      </c>
      <c r="C130" t="s">
        <v>40</v>
      </c>
      <c r="D130">
        <v>5.9713949999999896</v>
      </c>
      <c r="E130">
        <v>0.4817322</v>
      </c>
      <c r="F130" t="s">
        <v>41</v>
      </c>
      <c r="G130">
        <v>-445.74</v>
      </c>
      <c r="H130" s="1">
        <v>-2.2947249999999999E-6</v>
      </c>
      <c r="I130">
        <v>367.9221</v>
      </c>
      <c r="J130">
        <v>-470.226</v>
      </c>
      <c r="K130">
        <v>1.1195459999999999</v>
      </c>
      <c r="L130">
        <v>367.1481</v>
      </c>
      <c r="M130">
        <v>0.99968650000000003</v>
      </c>
      <c r="N130">
        <v>-1.9836480000000002E-3</v>
      </c>
      <c r="O130">
        <v>2.4958850000000001E-2</v>
      </c>
      <c r="P130">
        <v>0.99122739999999998</v>
      </c>
      <c r="Q130">
        <v>0.13115489999999999</v>
      </c>
      <c r="R130">
        <v>-1.6329320000000001E-2</v>
      </c>
      <c r="S130">
        <v>3.0465390000000001</v>
      </c>
      <c r="T130">
        <v>-0.138707</v>
      </c>
      <c r="U130">
        <v>9.6282960000000001E-2</v>
      </c>
      <c r="V130">
        <v>4.1030089999999998E-2</v>
      </c>
      <c r="W130">
        <v>0.1331302</v>
      </c>
      <c r="X130">
        <v>0.99024889999999999</v>
      </c>
      <c r="Y130">
        <v>-6.6484259999999998E-3</v>
      </c>
      <c r="Z130">
        <v>-9.2797520000000001E-4</v>
      </c>
      <c r="AA130">
        <v>0.99997749999999996</v>
      </c>
      <c r="AB130">
        <v>9</v>
      </c>
      <c r="AC130">
        <v>24.485999999999901</v>
      </c>
      <c r="AD130">
        <v>-1.1195482947249999</v>
      </c>
      <c r="AE130">
        <v>0.77400000000000002</v>
      </c>
      <c r="AF130">
        <v>-0.162276371699865</v>
      </c>
      <c r="AG130">
        <v>-1.1195482947249999</v>
      </c>
      <c r="AH130">
        <v>24.446635608536202</v>
      </c>
      <c r="AI130">
        <v>92.622004791030804</v>
      </c>
      <c r="AJ130">
        <v>90.380322871574194</v>
      </c>
      <c r="AK130">
        <v>24.472795397779599</v>
      </c>
      <c r="AL130">
        <v>82.349487724394095</v>
      </c>
      <c r="AM130">
        <v>87.627357050036906</v>
      </c>
      <c r="AN130">
        <v>1.00000000119432</v>
      </c>
    </row>
    <row r="131" spans="1:40" x14ac:dyDescent="0.25">
      <c r="A131" t="str">
        <f>"20190303162213101"</f>
        <v>20190303162213101</v>
      </c>
      <c r="B131" t="str">
        <f>"1551601333093885"</f>
        <v>1551601333093885</v>
      </c>
      <c r="C131" t="s">
        <v>40</v>
      </c>
      <c r="D131">
        <v>5.9778699999999896</v>
      </c>
      <c r="E131">
        <v>0.48181420000000003</v>
      </c>
      <c r="F131" t="s">
        <v>41</v>
      </c>
      <c r="G131">
        <v>-446.12849999999997</v>
      </c>
      <c r="H131" s="1">
        <v>-2.1131429999999999E-6</v>
      </c>
      <c r="I131">
        <v>367.91059999999999</v>
      </c>
      <c r="J131">
        <v>-470.13339999999999</v>
      </c>
      <c r="K131">
        <v>1.1196029999999999</v>
      </c>
      <c r="L131">
        <v>367.15109999999999</v>
      </c>
      <c r="M131">
        <v>0.99967320000000004</v>
      </c>
      <c r="N131">
        <v>-2.0310150000000002E-3</v>
      </c>
      <c r="O131">
        <v>2.548048E-2</v>
      </c>
      <c r="P131">
        <v>0.99123790000000001</v>
      </c>
      <c r="Q131">
        <v>0.13117719999999999</v>
      </c>
      <c r="R131">
        <v>-1.5494040000000001E-2</v>
      </c>
      <c r="S131">
        <v>3.0469360000000001</v>
      </c>
      <c r="T131">
        <v>-0.14155760000000001</v>
      </c>
      <c r="U131">
        <v>9.6405030000000003E-2</v>
      </c>
      <c r="V131">
        <v>4.0710669999999997E-2</v>
      </c>
      <c r="W131">
        <v>0.13319919999999999</v>
      </c>
      <c r="X131">
        <v>0.99025280000000004</v>
      </c>
      <c r="Y131">
        <v>-6.1642769999999897E-3</v>
      </c>
      <c r="Z131">
        <v>-9.8158259999999993E-4</v>
      </c>
      <c r="AA131">
        <v>0.99998050000000005</v>
      </c>
      <c r="AB131">
        <v>9</v>
      </c>
      <c r="AC131">
        <v>24.004899999999999</v>
      </c>
      <c r="AD131">
        <v>-1.119605113143</v>
      </c>
      <c r="AE131">
        <v>0.75950000000000195</v>
      </c>
      <c r="AF131">
        <v>-0.147275677484585</v>
      </c>
      <c r="AG131">
        <v>-1.119605113143</v>
      </c>
      <c r="AH131">
        <v>23.964379642294499</v>
      </c>
      <c r="AI131">
        <v>92.674837746255307</v>
      </c>
      <c r="AJ131">
        <v>90.352112954289296</v>
      </c>
      <c r="AK131">
        <v>23.990971163639301</v>
      </c>
      <c r="AL131">
        <v>82.3454987553976</v>
      </c>
      <c r="AM131">
        <v>87.645816516380606</v>
      </c>
      <c r="AN131">
        <v>0.99999999672016404</v>
      </c>
    </row>
    <row r="132" spans="1:40" x14ac:dyDescent="0.25">
      <c r="A132" t="str">
        <f>"20190303162213126"</f>
        <v>20190303162213126</v>
      </c>
      <c r="B132" t="str">
        <f>"1551601333114380"</f>
        <v>1551601333114380</v>
      </c>
      <c r="C132" t="s">
        <v>40</v>
      </c>
      <c r="D132">
        <v>5.8585770000000004</v>
      </c>
      <c r="E132">
        <v>0.48179830000000001</v>
      </c>
      <c r="F132" t="s">
        <v>41</v>
      </c>
      <c r="G132">
        <v>-446.34640000000002</v>
      </c>
      <c r="H132" s="1">
        <v>-2.0087470000000002E-6</v>
      </c>
      <c r="I132">
        <v>367.91820000000001</v>
      </c>
      <c r="J132">
        <v>-470.03</v>
      </c>
      <c r="K132">
        <v>1.119656</v>
      </c>
      <c r="L132">
        <v>367.15440000000001</v>
      </c>
      <c r="M132">
        <v>0.99965789999999999</v>
      </c>
      <c r="N132">
        <v>-2.071411E-3</v>
      </c>
      <c r="O132">
        <v>2.6071859999999999E-2</v>
      </c>
      <c r="P132">
        <v>0.99130680000000004</v>
      </c>
      <c r="Q132">
        <v>0.13080929999999999</v>
      </c>
      <c r="R132">
        <v>-1.413098E-2</v>
      </c>
      <c r="S132">
        <v>3.046967</v>
      </c>
      <c r="T132">
        <v>-0.1434145</v>
      </c>
      <c r="U132">
        <v>9.8266599999999996E-2</v>
      </c>
      <c r="V132">
        <v>3.9933410000000003E-2</v>
      </c>
      <c r="W132">
        <v>0.13287270000000001</v>
      </c>
      <c r="X132">
        <v>0.99032830000000005</v>
      </c>
      <c r="Y132">
        <v>-6.1837539999999996E-3</v>
      </c>
      <c r="Z132">
        <v>-1.0201260000000001E-3</v>
      </c>
      <c r="AA132">
        <v>0.99998030000000004</v>
      </c>
      <c r="AB132">
        <v>10</v>
      </c>
      <c r="AC132">
        <v>23.683599999999899</v>
      </c>
      <c r="AD132">
        <v>-1.1196580087470001</v>
      </c>
      <c r="AE132">
        <v>0.76380000000000303</v>
      </c>
      <c r="AF132">
        <v>-0.14573813289373699</v>
      </c>
      <c r="AG132">
        <v>-1.1196580087470001</v>
      </c>
      <c r="AH132">
        <v>23.642676743495901</v>
      </c>
      <c r="AI132">
        <v>92.711307570565495</v>
      </c>
      <c r="AJ132">
        <v>90.353178037343596</v>
      </c>
      <c r="AK132">
        <v>23.669622668250799</v>
      </c>
      <c r="AL132">
        <v>82.364373525168901</v>
      </c>
      <c r="AM132">
        <v>87.690890004986201</v>
      </c>
      <c r="AN132">
        <v>0.99999998671020396</v>
      </c>
    </row>
    <row r="133" spans="1:40" x14ac:dyDescent="0.25">
      <c r="A133" t="str">
        <f>"20190303162213170"</f>
        <v>20190303162213170</v>
      </c>
      <c r="B133" t="str">
        <f>"1551601333164156"</f>
        <v>1551601333164156</v>
      </c>
      <c r="C133" t="s">
        <v>40</v>
      </c>
      <c r="D133">
        <v>5.7911029999999997</v>
      </c>
      <c r="E133">
        <v>0.4818248</v>
      </c>
      <c r="F133" t="s">
        <v>41</v>
      </c>
      <c r="G133">
        <v>-446.62920000000003</v>
      </c>
      <c r="H133" s="1">
        <v>-1.8714870000000001E-6</v>
      </c>
      <c r="I133">
        <v>367.93860000000001</v>
      </c>
      <c r="J133">
        <v>-469.82470000000001</v>
      </c>
      <c r="K133">
        <v>1.1197170000000001</v>
      </c>
      <c r="L133">
        <v>367.16109999999998</v>
      </c>
      <c r="M133">
        <v>0.99962649999999997</v>
      </c>
      <c r="N133">
        <v>-2.1180399999999999E-3</v>
      </c>
      <c r="O133">
        <v>2.7245769999999999E-2</v>
      </c>
      <c r="P133">
        <v>0.99142969999999997</v>
      </c>
      <c r="Q133">
        <v>0.13015189999999999</v>
      </c>
      <c r="R133">
        <v>-1.128734E-2</v>
      </c>
      <c r="S133">
        <v>3.0469970000000002</v>
      </c>
      <c r="T133">
        <v>-0.14578929999999901</v>
      </c>
      <c r="U133">
        <v>0.1021118</v>
      </c>
      <c r="V133">
        <v>3.8251359999999998E-2</v>
      </c>
      <c r="W133">
        <v>0.13226299999999999</v>
      </c>
      <c r="X133">
        <v>0.99047629999999998</v>
      </c>
      <c r="Y133">
        <v>-6.271441E-3</v>
      </c>
      <c r="Z133">
        <v>-1.088019E-3</v>
      </c>
      <c r="AA133">
        <v>0.99997970000000003</v>
      </c>
      <c r="AB133">
        <v>10</v>
      </c>
      <c r="AC133">
        <v>23.1954999999999</v>
      </c>
      <c r="AD133">
        <v>-1.1197188714869999</v>
      </c>
      <c r="AE133">
        <v>0.77750000000003106</v>
      </c>
      <c r="AF133">
        <v>-0.14489340940189299</v>
      </c>
      <c r="AG133">
        <v>-1.1197188714869999</v>
      </c>
      <c r="AH133">
        <v>23.154177154976299</v>
      </c>
      <c r="AI133">
        <v>92.768570463627299</v>
      </c>
      <c r="AJ133">
        <v>90.358538868390198</v>
      </c>
      <c r="AK133">
        <v>23.181688553150799</v>
      </c>
      <c r="AL133">
        <v>82.399617813074798</v>
      </c>
      <c r="AM133">
        <v>87.788384340083098</v>
      </c>
      <c r="AN133">
        <v>0.99999998428626902</v>
      </c>
    </row>
    <row r="134" spans="1:40" x14ac:dyDescent="0.25">
      <c r="A134" t="str">
        <f>"20190303162213191"</f>
        <v>20190303162213191</v>
      </c>
      <c r="B134" t="str">
        <f>"1551601333184654"</f>
        <v>1551601333184654</v>
      </c>
      <c r="C134" t="s">
        <v>40</v>
      </c>
      <c r="D134">
        <v>5.7929130000000004</v>
      </c>
      <c r="E134">
        <v>0.48191450000000002</v>
      </c>
      <c r="F134" t="s">
        <v>41</v>
      </c>
      <c r="G134">
        <v>-446.98779999999999</v>
      </c>
      <c r="H134" s="1">
        <v>-1.692627E-6</v>
      </c>
      <c r="I134">
        <v>367.99110000000002</v>
      </c>
      <c r="J134">
        <v>-469.72410000000002</v>
      </c>
      <c r="K134">
        <v>1.11972</v>
      </c>
      <c r="L134">
        <v>367.16449999999998</v>
      </c>
      <c r="M134">
        <v>0.99961109999999997</v>
      </c>
      <c r="N134">
        <v>-2.1142520000000001E-3</v>
      </c>
      <c r="O134">
        <v>2.78109E-2</v>
      </c>
      <c r="P134">
        <v>0.99147700000000005</v>
      </c>
      <c r="Q134">
        <v>0.12990539999999901</v>
      </c>
      <c r="R134">
        <v>-9.9192280000000004E-3</v>
      </c>
      <c r="S134">
        <v>3.0468139999999999</v>
      </c>
      <c r="T134">
        <v>-0.14938879999999999</v>
      </c>
      <c r="U134">
        <v>0.11074829999999999</v>
      </c>
      <c r="V134">
        <v>3.7442540000000003E-2</v>
      </c>
      <c r="W134">
        <v>0.1320134</v>
      </c>
      <c r="X134">
        <v>0.99054050000000005</v>
      </c>
      <c r="Y134">
        <v>-8.5380979999999992E-3</v>
      </c>
      <c r="Z134">
        <v>-1.0851140000000001E-3</v>
      </c>
      <c r="AA134">
        <v>0.99996300000000005</v>
      </c>
      <c r="AB134">
        <v>10</v>
      </c>
      <c r="AC134">
        <v>22.7363</v>
      </c>
      <c r="AD134">
        <v>-1.1197216926269999</v>
      </c>
      <c r="AE134">
        <v>0.82660000000004097</v>
      </c>
      <c r="AF134">
        <v>-0.19349330098053699</v>
      </c>
      <c r="AG134">
        <v>-1.1197216926269999</v>
      </c>
      <c r="AH134">
        <v>22.695521442555499</v>
      </c>
      <c r="AI134">
        <v>92.824390873345706</v>
      </c>
      <c r="AJ134">
        <v>90.488469980391102</v>
      </c>
      <c r="AK134">
        <v>22.7239501380364</v>
      </c>
      <c r="AL134">
        <v>82.414045332106198</v>
      </c>
      <c r="AM134">
        <v>87.835243867241502</v>
      </c>
      <c r="AN134">
        <v>0.99999998186073003</v>
      </c>
    </row>
    <row r="135" spans="1:40" x14ac:dyDescent="0.25">
      <c r="A135" t="str">
        <f>"20190303162213215"</f>
        <v>20190303162213215</v>
      </c>
      <c r="B135" t="str">
        <f>"1551601333204682"</f>
        <v>1551601333204682</v>
      </c>
      <c r="C135" t="s">
        <v>40</v>
      </c>
      <c r="D135">
        <v>5.6778420000000001</v>
      </c>
      <c r="E135">
        <v>0.48171370000000002</v>
      </c>
      <c r="F135" t="s">
        <v>41</v>
      </c>
      <c r="G135">
        <v>-446.84219999999999</v>
      </c>
      <c r="H135" s="1">
        <v>-1.755816E-6</v>
      </c>
      <c r="I135">
        <v>368.0231</v>
      </c>
      <c r="J135">
        <v>-469.61750000000001</v>
      </c>
      <c r="K135">
        <v>1.119726</v>
      </c>
      <c r="L135">
        <v>367.16809999999998</v>
      </c>
      <c r="M135">
        <v>0.9995946</v>
      </c>
      <c r="N135">
        <v>-2.0948970000000001E-3</v>
      </c>
      <c r="O135">
        <v>2.8396129999999999E-2</v>
      </c>
      <c r="P135">
        <v>0.99146619999999996</v>
      </c>
      <c r="Q135">
        <v>0.13007569999999999</v>
      </c>
      <c r="R135">
        <v>-8.6910689999999992E-3</v>
      </c>
      <c r="S135">
        <v>3.046478</v>
      </c>
      <c r="T135">
        <v>-0.14907860000000001</v>
      </c>
      <c r="U135">
        <v>0.1143188</v>
      </c>
      <c r="V135">
        <v>3.679296E-2</v>
      </c>
      <c r="W135">
        <v>0.13216459999999999</v>
      </c>
      <c r="X135">
        <v>0.99054469999999994</v>
      </c>
      <c r="Y135">
        <v>-9.1268919999999993E-3</v>
      </c>
      <c r="Z135">
        <v>-1.0957989999999999E-3</v>
      </c>
      <c r="AA135">
        <v>0.99995769999999995</v>
      </c>
      <c r="AB135">
        <v>10</v>
      </c>
      <c r="AC135">
        <v>22.775300000000001</v>
      </c>
      <c r="AD135">
        <v>-1.1197277558159999</v>
      </c>
      <c r="AE135">
        <v>0.85500000000001797</v>
      </c>
      <c r="AF135">
        <v>-0.20742279154955601</v>
      </c>
      <c r="AG135">
        <v>-1.1197277558159999</v>
      </c>
      <c r="AH135">
        <v>22.735517590507399</v>
      </c>
      <c r="AI135">
        <v>92.819430647956807</v>
      </c>
      <c r="AJ135">
        <v>90.522711689661605</v>
      </c>
      <c r="AK135">
        <v>22.764019297344401</v>
      </c>
      <c r="AL135">
        <v>82.405305793463</v>
      </c>
      <c r="AM135">
        <v>87.872773811743301</v>
      </c>
      <c r="AN135">
        <v>1.0000000030484</v>
      </c>
    </row>
    <row r="136" spans="1:40" x14ac:dyDescent="0.25">
      <c r="A136" t="str">
        <f>"20190303162213236"</f>
        <v>20190303162213236</v>
      </c>
      <c r="B136" t="str">
        <f>"1551601333224203"</f>
        <v>1551601333224203</v>
      </c>
      <c r="C136" t="s">
        <v>40</v>
      </c>
      <c r="D136">
        <v>5.7362099999999998</v>
      </c>
      <c r="E136">
        <v>0.48160340000000001</v>
      </c>
      <c r="F136" t="s">
        <v>41</v>
      </c>
      <c r="G136">
        <v>-446.69959999999998</v>
      </c>
      <c r="H136" s="1">
        <v>-1.815284E-6</v>
      </c>
      <c r="I136">
        <v>368.06760000000003</v>
      </c>
      <c r="J136">
        <v>-469.51170000000002</v>
      </c>
      <c r="K136">
        <v>1.1197250000000001</v>
      </c>
      <c r="L136">
        <v>367.17169999999999</v>
      </c>
      <c r="M136">
        <v>0.99957850000000004</v>
      </c>
      <c r="N136">
        <v>-2.0687380000000001E-3</v>
      </c>
      <c r="O136">
        <v>2.895936E-2</v>
      </c>
      <c r="P136">
        <v>0.99140019999999995</v>
      </c>
      <c r="Q136">
        <v>0.1306657</v>
      </c>
      <c r="R136">
        <v>-7.244131E-3</v>
      </c>
      <c r="S136">
        <v>3.0463559999999998</v>
      </c>
      <c r="T136">
        <v>-0.14883969999999999</v>
      </c>
      <c r="U136">
        <v>0.1195679</v>
      </c>
      <c r="V136">
        <v>3.590264E-2</v>
      </c>
      <c r="W136">
        <v>0.1327285</v>
      </c>
      <c r="X136">
        <v>0.99050190000000005</v>
      </c>
      <c r="Y136">
        <v>-1.028454E-2</v>
      </c>
      <c r="Z136">
        <v>-1.091657E-3</v>
      </c>
      <c r="AA136">
        <v>0.99994649999999996</v>
      </c>
      <c r="AB136">
        <v>11</v>
      </c>
      <c r="AC136">
        <v>22.812100000000001</v>
      </c>
      <c r="AD136">
        <v>-1.1197268152840001</v>
      </c>
      <c r="AE136">
        <v>0.89590000000004</v>
      </c>
      <c r="AF136">
        <v>-0.234335334350115</v>
      </c>
      <c r="AG136">
        <v>-1.1197268152840001</v>
      </c>
      <c r="AH136">
        <v>22.773692570829201</v>
      </c>
      <c r="AI136">
        <v>92.814677937888803</v>
      </c>
      <c r="AJ136">
        <v>90.589537765113803</v>
      </c>
      <c r="AK136">
        <v>22.802407208460099</v>
      </c>
      <c r="AL136">
        <v>82.372709005739097</v>
      </c>
      <c r="AM136">
        <v>87.924113453245894</v>
      </c>
      <c r="AN136">
        <v>0.99999993408741195</v>
      </c>
    </row>
    <row r="137" spans="1:40" x14ac:dyDescent="0.25">
      <c r="A137" t="str">
        <f>"20190303162213257"</f>
        <v>20190303162213257</v>
      </c>
      <c r="B137" t="str">
        <f>"1551601333244698"</f>
        <v>1551601333244698</v>
      </c>
      <c r="C137" t="s">
        <v>40</v>
      </c>
      <c r="D137">
        <v>5.6254660000000003</v>
      </c>
      <c r="E137">
        <v>0.48148570000000002</v>
      </c>
      <c r="F137" t="s">
        <v>41</v>
      </c>
      <c r="G137">
        <v>-446.26819999999998</v>
      </c>
      <c r="H137" s="1">
        <v>-2.0088589999999999E-6</v>
      </c>
      <c r="I137">
        <v>368.12619999999998</v>
      </c>
      <c r="J137">
        <v>-469.40710000000001</v>
      </c>
      <c r="K137">
        <v>1.1197189999999999</v>
      </c>
      <c r="L137">
        <v>367.17540000000002</v>
      </c>
      <c r="M137">
        <v>0.99956290000000003</v>
      </c>
      <c r="N137">
        <v>-2.040975E-3</v>
      </c>
      <c r="O137">
        <v>2.949558E-2</v>
      </c>
      <c r="P137">
        <v>0.99135519999999999</v>
      </c>
      <c r="Q137">
        <v>0.13107469999999999</v>
      </c>
      <c r="R137">
        <v>-5.8497480000000001E-3</v>
      </c>
      <c r="S137">
        <v>3.0462950000000002</v>
      </c>
      <c r="T137">
        <v>-0.14675160000000001</v>
      </c>
      <c r="U137">
        <v>0.1250916</v>
      </c>
      <c r="V137">
        <v>3.5039769999999998E-2</v>
      </c>
      <c r="W137">
        <v>0.1331089</v>
      </c>
      <c r="X137">
        <v>0.99048179999999997</v>
      </c>
      <c r="Y137">
        <v>-1.1557629999999999E-2</v>
      </c>
      <c r="Z137">
        <v>-1.069052E-3</v>
      </c>
      <c r="AA137">
        <v>0.99993259999999995</v>
      </c>
      <c r="AB137">
        <v>11</v>
      </c>
      <c r="AC137">
        <v>23.1389</v>
      </c>
      <c r="AD137">
        <v>-1.1197210088589999</v>
      </c>
      <c r="AE137">
        <v>0.95079999999995801</v>
      </c>
      <c r="AF137">
        <v>-0.26726486421211298</v>
      </c>
      <c r="AG137">
        <v>-1.1197210088589999</v>
      </c>
      <c r="AH137">
        <v>23.1028677624181</v>
      </c>
      <c r="AI137">
        <v>92.7745837782184</v>
      </c>
      <c r="AJ137">
        <v>90.662795018637595</v>
      </c>
      <c r="AK137">
        <v>23.131530526385401</v>
      </c>
      <c r="AL137">
        <v>82.350718923872506</v>
      </c>
      <c r="AM137">
        <v>87.973921327628602</v>
      </c>
      <c r="AN137">
        <v>0.99999998043605098</v>
      </c>
    </row>
    <row r="138" spans="1:40" x14ac:dyDescent="0.25">
      <c r="A138" t="str">
        <f>"20190303162213281"</f>
        <v>20190303162213281</v>
      </c>
      <c r="B138" t="str">
        <f>"1551601333273979"</f>
        <v>1551601333273979</v>
      </c>
      <c r="C138" t="s">
        <v>40</v>
      </c>
      <c r="D138">
        <v>5.680161</v>
      </c>
      <c r="E138">
        <v>0.48144239999999999</v>
      </c>
      <c r="F138" t="s">
        <v>41</v>
      </c>
      <c r="G138">
        <v>-445.91800000000001</v>
      </c>
      <c r="H138" s="1">
        <v>-2.164216E-6</v>
      </c>
      <c r="I138">
        <v>368.18349999999998</v>
      </c>
      <c r="J138">
        <v>-469.28989999999999</v>
      </c>
      <c r="K138">
        <v>1.1196999999999999</v>
      </c>
      <c r="L138">
        <v>367.17950000000002</v>
      </c>
      <c r="M138">
        <v>0.99954580000000004</v>
      </c>
      <c r="N138">
        <v>-2.008134E-3</v>
      </c>
      <c r="O138">
        <v>3.007E-2</v>
      </c>
      <c r="P138">
        <v>0.99145079999999997</v>
      </c>
      <c r="Q138">
        <v>0.1303918</v>
      </c>
      <c r="R138">
        <v>-4.8438229999999997E-3</v>
      </c>
      <c r="S138">
        <v>3.0461429999999998</v>
      </c>
      <c r="T138">
        <v>-0.14520910000000001</v>
      </c>
      <c r="U138">
        <v>0.1307373</v>
      </c>
      <c r="V138">
        <v>3.4609149999999998E-2</v>
      </c>
      <c r="W138">
        <v>0.13239339999999999</v>
      </c>
      <c r="X138">
        <v>0.99059280000000005</v>
      </c>
      <c r="Y138">
        <v>-1.2833799999999999E-2</v>
      </c>
      <c r="Z138">
        <v>-1.052749E-3</v>
      </c>
      <c r="AA138">
        <v>0.9999171</v>
      </c>
      <c r="AB138">
        <v>11</v>
      </c>
      <c r="AC138">
        <v>23.371899999999901</v>
      </c>
      <c r="AD138">
        <v>-1.1197021642160001</v>
      </c>
      <c r="AE138">
        <v>1.00399999999996</v>
      </c>
      <c r="AF138">
        <v>-0.30006411702668501</v>
      </c>
      <c r="AG138">
        <v>-1.1197021642160001</v>
      </c>
      <c r="AH138">
        <v>23.338055012131601</v>
      </c>
      <c r="AI138">
        <v>92.746576868707805</v>
      </c>
      <c r="AJ138">
        <v>90.736627804489103</v>
      </c>
      <c r="AK138">
        <v>23.366826553046401</v>
      </c>
      <c r="AL138">
        <v>82.392079898406394</v>
      </c>
      <c r="AM138">
        <v>87.999024438109899</v>
      </c>
      <c r="AN138">
        <v>0.99999995051956003</v>
      </c>
    </row>
    <row r="139" spans="1:40" x14ac:dyDescent="0.25">
      <c r="A139" t="str">
        <f>"20190303162213304"</f>
        <v>20190303162213304</v>
      </c>
      <c r="B139" t="str">
        <f>"1551601333294007"</f>
        <v>1551601333294007</v>
      </c>
      <c r="C139" t="s">
        <v>40</v>
      </c>
      <c r="D139">
        <v>5.6341749999999999</v>
      </c>
      <c r="E139">
        <v>0.48080099999999998</v>
      </c>
      <c r="F139" t="s">
        <v>41</v>
      </c>
      <c r="G139">
        <v>-446.04070000000002</v>
      </c>
      <c r="H139" s="1">
        <v>-2.1018540000000002E-6</v>
      </c>
      <c r="I139">
        <v>368.20819999999998</v>
      </c>
      <c r="J139">
        <v>-469.17669999999998</v>
      </c>
      <c r="K139">
        <v>1.1196809999999999</v>
      </c>
      <c r="L139">
        <v>367.18360000000001</v>
      </c>
      <c r="M139">
        <v>0.99953009999999998</v>
      </c>
      <c r="N139">
        <v>-1.9729389999999999E-3</v>
      </c>
      <c r="O139">
        <v>3.0592439999999999E-2</v>
      </c>
      <c r="P139">
        <v>0.99159249999999999</v>
      </c>
      <c r="Q139">
        <v>0.12934409999999999</v>
      </c>
      <c r="R139">
        <v>-3.8255350000000001E-3</v>
      </c>
      <c r="S139">
        <v>3.0458370000000001</v>
      </c>
      <c r="T139">
        <v>-0.14668979999999901</v>
      </c>
      <c r="U139">
        <v>0.13476560000000001</v>
      </c>
      <c r="V139">
        <v>3.4117840000000003E-2</v>
      </c>
      <c r="W139">
        <v>0.13130999999999901</v>
      </c>
      <c r="X139">
        <v>0.99075409999999997</v>
      </c>
      <c r="Y139">
        <v>-1.3635420000000001E-2</v>
      </c>
      <c r="Z139">
        <v>-1.0695889999999999E-3</v>
      </c>
      <c r="AA139">
        <v>0.99990650000000003</v>
      </c>
      <c r="AB139">
        <v>11</v>
      </c>
      <c r="AC139">
        <v>23.1359999999999</v>
      </c>
      <c r="AD139">
        <v>-1.1196831018540001</v>
      </c>
      <c r="AE139">
        <v>1.02459999999996</v>
      </c>
      <c r="AF139">
        <v>-0.315594709380491</v>
      </c>
      <c r="AG139">
        <v>-1.1196831018540001</v>
      </c>
      <c r="AH139">
        <v>23.102512526760801</v>
      </c>
      <c r="AI139">
        <v>92.7744594924675</v>
      </c>
      <c r="AJ139">
        <v>90.782647350476196</v>
      </c>
      <c r="AK139">
        <v>23.1317827959349</v>
      </c>
      <c r="AL139">
        <v>82.454701356096294</v>
      </c>
      <c r="AM139">
        <v>88.027728493308899</v>
      </c>
      <c r="AN139">
        <v>1.00000001488653</v>
      </c>
    </row>
    <row r="140" spans="1:40" x14ac:dyDescent="0.25">
      <c r="A140" t="str">
        <f>"20190303162213327"</f>
        <v>20190303162213327</v>
      </c>
      <c r="B140" t="str">
        <f>"1551601333314503"</f>
        <v>1551601333314503</v>
      </c>
      <c r="C140" t="s">
        <v>40</v>
      </c>
      <c r="D140">
        <v>5.5693840000000003</v>
      </c>
      <c r="E140">
        <v>0.45230169999999997</v>
      </c>
      <c r="F140" t="s">
        <v>41</v>
      </c>
      <c r="G140">
        <v>-446.83940000000001</v>
      </c>
      <c r="H140" s="1">
        <v>-1.7207389999999999E-6</v>
      </c>
      <c r="I140">
        <v>368.22809999999998</v>
      </c>
      <c r="J140">
        <v>-469.0557</v>
      </c>
      <c r="K140">
        <v>1.11965</v>
      </c>
      <c r="L140">
        <v>367.18790000000001</v>
      </c>
      <c r="M140">
        <v>0.99951440000000003</v>
      </c>
      <c r="N140">
        <v>-1.930216E-3</v>
      </c>
      <c r="O140">
        <v>3.1104799999999998E-2</v>
      </c>
      <c r="P140">
        <v>0.99158230000000003</v>
      </c>
      <c r="Q140">
        <v>0.129457399999999</v>
      </c>
      <c r="R140">
        <v>-2.381396E-3</v>
      </c>
      <c r="S140">
        <v>3.045868</v>
      </c>
      <c r="T140">
        <v>-0.15267800000000001</v>
      </c>
      <c r="U140">
        <v>0.14242550000000001</v>
      </c>
      <c r="V140">
        <v>3.318811E-2</v>
      </c>
      <c r="W140">
        <v>0.1313791</v>
      </c>
      <c r="X140">
        <v>0.99077649999999995</v>
      </c>
      <c r="Y140">
        <v>-1.563138E-2</v>
      </c>
      <c r="Z140">
        <v>-1.090464E-3</v>
      </c>
      <c r="AA140">
        <v>0.99987720000000002</v>
      </c>
      <c r="AB140">
        <v>11</v>
      </c>
      <c r="AC140">
        <v>22.216299999999901</v>
      </c>
      <c r="AD140">
        <v>-1.119651720739</v>
      </c>
      <c r="AE140">
        <v>1.04019999999997</v>
      </c>
      <c r="AF140">
        <v>-0.34778050577562802</v>
      </c>
      <c r="AG140">
        <v>-1.119651720739</v>
      </c>
      <c r="AH140">
        <v>22.181688615444699</v>
      </c>
      <c r="AI140">
        <v>92.889277545298</v>
      </c>
      <c r="AJ140">
        <v>90.898250939471794</v>
      </c>
      <c r="AK140">
        <v>22.212651374577099</v>
      </c>
      <c r="AL140">
        <v>82.450707473910597</v>
      </c>
      <c r="AM140">
        <v>88.081476597449907</v>
      </c>
      <c r="AN140">
        <v>0.99999999575721599</v>
      </c>
    </row>
    <row r="141" spans="1:40" x14ac:dyDescent="0.25">
      <c r="A141" t="str">
        <f>"20190303162213348"</f>
        <v>20190303162213348</v>
      </c>
      <c r="B141" t="str">
        <f>"1551601333334023"</f>
        <v>1551601333334023</v>
      </c>
      <c r="C141" t="s">
        <v>40</v>
      </c>
      <c r="D141">
        <v>5.5708440000000001</v>
      </c>
      <c r="E141">
        <v>0.45179780000000003</v>
      </c>
      <c r="F141" t="s">
        <v>41</v>
      </c>
      <c r="G141">
        <v>-455.9599</v>
      </c>
      <c r="H141" s="1">
        <v>-1.862355E-6</v>
      </c>
      <c r="I141">
        <v>368.7885</v>
      </c>
      <c r="J141">
        <v>-468.94560000000001</v>
      </c>
      <c r="K141">
        <v>1.119613</v>
      </c>
      <c r="L141">
        <v>367.1918</v>
      </c>
      <c r="M141">
        <v>0.99950099999999997</v>
      </c>
      <c r="N141">
        <v>-1.8881600000000001E-3</v>
      </c>
      <c r="O141">
        <v>3.1535859999999999E-2</v>
      </c>
      <c r="P141">
        <v>0.99161589999999999</v>
      </c>
      <c r="Q141">
        <v>0.1292191</v>
      </c>
      <c r="R141">
        <v>-7.9323209999999998E-4</v>
      </c>
      <c r="S141">
        <v>3.0605159999999998</v>
      </c>
      <c r="T141">
        <v>-0.2616638</v>
      </c>
      <c r="U141">
        <v>0.37408449999999999</v>
      </c>
      <c r="V141">
        <v>3.203516E-2</v>
      </c>
      <c r="W141">
        <v>0.13109779999999999</v>
      </c>
      <c r="X141">
        <v>0.9908517</v>
      </c>
      <c r="Y141">
        <v>-8.9741730000000006E-2</v>
      </c>
      <c r="Z141">
        <v>1.2798919999999999E-3</v>
      </c>
      <c r="AA141">
        <v>0.99596419999999997</v>
      </c>
      <c r="AB141">
        <v>12</v>
      </c>
      <c r="AC141">
        <v>12.9857</v>
      </c>
      <c r="AD141">
        <v>-1.119614862355</v>
      </c>
      <c r="AE141">
        <v>1.59669999999999</v>
      </c>
      <c r="AF141">
        <v>-1.1777651636783399</v>
      </c>
      <c r="AG141">
        <v>-1.119614862355</v>
      </c>
      <c r="AH141">
        <v>12.934872333189</v>
      </c>
      <c r="AI141">
        <v>94.926789443975906</v>
      </c>
      <c r="AJ141">
        <v>95.202633982970596</v>
      </c>
      <c r="AK141">
        <v>13.036548258518399</v>
      </c>
      <c r="AL141">
        <v>82.466965335676804</v>
      </c>
      <c r="AM141">
        <v>88.148219022900903</v>
      </c>
      <c r="AN141">
        <v>0.99999998801697698</v>
      </c>
    </row>
    <row r="142" spans="1:40" x14ac:dyDescent="0.25">
      <c r="A142" t="str">
        <f>"20190303162213370"</f>
        <v>20190303162213370</v>
      </c>
      <c r="B142" t="str">
        <f>"1551601333364279"</f>
        <v>1551601333364279</v>
      </c>
      <c r="C142" t="s">
        <v>40</v>
      </c>
      <c r="D142">
        <v>5.3709100000000003</v>
      </c>
      <c r="E142">
        <v>0.4525516</v>
      </c>
      <c r="F142" t="s">
        <v>41</v>
      </c>
      <c r="G142">
        <v>-456.01400000000001</v>
      </c>
      <c r="H142" s="1">
        <v>-1.8359930000000001E-6</v>
      </c>
      <c r="I142">
        <v>368.80619999999999</v>
      </c>
      <c r="J142">
        <v>-468.8279</v>
      </c>
      <c r="K142">
        <v>1.119561</v>
      </c>
      <c r="L142">
        <v>367.19600000000003</v>
      </c>
      <c r="M142">
        <v>0.99948440000000005</v>
      </c>
      <c r="N142">
        <v>-1.796906E-3</v>
      </c>
      <c r="O142">
        <v>3.2056769999999998E-2</v>
      </c>
      <c r="P142">
        <v>0.99167169999999905</v>
      </c>
      <c r="Q142">
        <v>0.12878129999999999</v>
      </c>
      <c r="R142">
        <v>1.5731979999999901E-3</v>
      </c>
      <c r="S142">
        <v>3.0602109999999998</v>
      </c>
      <c r="T142">
        <v>-0.26495180000000002</v>
      </c>
      <c r="U142">
        <v>0.38204959999999999</v>
      </c>
      <c r="V142">
        <v>3.0196799999999999E-2</v>
      </c>
      <c r="W142">
        <v>0.13056690000000001</v>
      </c>
      <c r="X142">
        <v>0.99097959999999996</v>
      </c>
      <c r="Y142">
        <v>-9.1777170000000005E-2</v>
      </c>
      <c r="Z142">
        <v>1.332691E-3</v>
      </c>
      <c r="AA142">
        <v>0.99577870000000002</v>
      </c>
      <c r="AB142">
        <v>12</v>
      </c>
      <c r="AC142">
        <v>12.813899999999901</v>
      </c>
      <c r="AD142">
        <v>-1.1195628359929899</v>
      </c>
      <c r="AE142">
        <v>1.6102000000000201</v>
      </c>
      <c r="AF142">
        <v>-1.18965919976093</v>
      </c>
      <c r="AG142">
        <v>-1.1195628359929899</v>
      </c>
      <c r="AH142">
        <v>12.763017836146901</v>
      </c>
      <c r="AI142">
        <v>94.991585712562497</v>
      </c>
      <c r="AJ142">
        <v>95.325234824653904</v>
      </c>
      <c r="AK142">
        <v>12.867141649998199</v>
      </c>
      <c r="AL142">
        <v>82.497647973017493</v>
      </c>
      <c r="AM142">
        <v>88.254642175478395</v>
      </c>
      <c r="AN142">
        <v>1.0000000648609999</v>
      </c>
    </row>
    <row r="143" spans="1:40" x14ac:dyDescent="0.25">
      <c r="A143" t="str">
        <f>"20190303162213392"</f>
        <v>20190303162213392</v>
      </c>
      <c r="B143" t="str">
        <f>"1551601333384775"</f>
        <v>1551601333384775</v>
      </c>
      <c r="C143" t="s">
        <v>40</v>
      </c>
      <c r="D143">
        <v>5.506475</v>
      </c>
      <c r="E143">
        <v>0.4531115</v>
      </c>
      <c r="F143" t="s">
        <v>41</v>
      </c>
      <c r="G143">
        <v>-455.77480000000003</v>
      </c>
      <c r="H143" s="1">
        <v>-1.9348929999999999E-6</v>
      </c>
      <c r="I143">
        <v>368.827</v>
      </c>
      <c r="J143">
        <v>-468.70499999999998</v>
      </c>
      <c r="K143">
        <v>1.1194949999999999</v>
      </c>
      <c r="L143">
        <v>367.2004</v>
      </c>
      <c r="M143">
        <v>0.99946520000000005</v>
      </c>
      <c r="N143">
        <v>-1.645491E-3</v>
      </c>
      <c r="O143">
        <v>3.2663190000000002E-2</v>
      </c>
      <c r="P143">
        <v>0.99169309999999999</v>
      </c>
      <c r="Q143">
        <v>0.12855819999999901</v>
      </c>
      <c r="R143">
        <v>4.1953199999999998E-3</v>
      </c>
      <c r="S143">
        <v>3.0586850000000001</v>
      </c>
      <c r="T143">
        <v>-0.26234170000000001</v>
      </c>
      <c r="U143">
        <v>0.38220209999999999</v>
      </c>
      <c r="V143">
        <v>2.8178760000000001E-2</v>
      </c>
      <c r="W143">
        <v>0.13019339999999999</v>
      </c>
      <c r="X143">
        <v>0.99108810000000003</v>
      </c>
      <c r="Y143">
        <v>-9.1292090000000006E-2</v>
      </c>
      <c r="Z143">
        <v>1.2380119999999999E-3</v>
      </c>
      <c r="AA143">
        <v>0.99582340000000003</v>
      </c>
      <c r="AB143">
        <v>12</v>
      </c>
      <c r="AC143">
        <v>12.9301999999999</v>
      </c>
      <c r="AD143">
        <v>-1.119496934893</v>
      </c>
      <c r="AE143">
        <v>1.6265999999999901</v>
      </c>
      <c r="AF143">
        <v>-1.19457482763539</v>
      </c>
      <c r="AG143">
        <v>-1.119496934893</v>
      </c>
      <c r="AH143">
        <v>12.88137485801</v>
      </c>
      <c r="AI143">
        <v>94.945876138248096</v>
      </c>
      <c r="AJ143">
        <v>95.298261623074396</v>
      </c>
      <c r="AK143">
        <v>12.984995211344099</v>
      </c>
      <c r="AL143">
        <v>82.5192316454647</v>
      </c>
      <c r="AM143">
        <v>88.371396874320894</v>
      </c>
      <c r="AN143">
        <v>0.99999999294015296</v>
      </c>
    </row>
    <row r="144" spans="1:40" x14ac:dyDescent="0.25">
      <c r="A144" t="str">
        <f>"20190303162213415"</f>
        <v>20190303162213415</v>
      </c>
      <c r="B144" t="str">
        <f>"1551601333404295"</f>
        <v>1551601333404295</v>
      </c>
      <c r="C144" t="s">
        <v>40</v>
      </c>
      <c r="D144">
        <v>5.5034340000000004</v>
      </c>
      <c r="E144">
        <v>0.45362380000000002</v>
      </c>
      <c r="F144" t="s">
        <v>41</v>
      </c>
      <c r="G144">
        <v>-455.52019999999999</v>
      </c>
      <c r="H144" s="1">
        <v>-2.038047E-6</v>
      </c>
      <c r="I144">
        <v>368.8614</v>
      </c>
      <c r="J144">
        <v>-468.58409999999998</v>
      </c>
      <c r="K144">
        <v>1.11951</v>
      </c>
      <c r="L144">
        <v>367.20460000000003</v>
      </c>
      <c r="M144">
        <v>0.99945720000000005</v>
      </c>
      <c r="N144">
        <v>-1.602949E-3</v>
      </c>
      <c r="O144">
        <v>3.2905879999999998E-2</v>
      </c>
      <c r="P144">
        <v>0.99165239999999999</v>
      </c>
      <c r="Q144">
        <v>0.12872059999999999</v>
      </c>
      <c r="R144">
        <v>7.5184129999999998E-3</v>
      </c>
      <c r="S144">
        <v>3.057159</v>
      </c>
      <c r="T144">
        <v>-0.25957669999999999</v>
      </c>
      <c r="U144">
        <v>0.38516240000000002</v>
      </c>
      <c r="V144">
        <v>2.507129E-2</v>
      </c>
      <c r="W144">
        <v>0.1303182</v>
      </c>
      <c r="X144">
        <v>0.99115520000000001</v>
      </c>
      <c r="Y144">
        <v>-9.2063389999999995E-2</v>
      </c>
      <c r="Z144">
        <v>1.2366250000000001E-3</v>
      </c>
      <c r="AA144">
        <v>0.99575239999999998</v>
      </c>
      <c r="AB144">
        <v>12</v>
      </c>
      <c r="AC144">
        <v>13.063899999999901</v>
      </c>
      <c r="AD144">
        <v>-1.1195120380470001</v>
      </c>
      <c r="AE144">
        <v>1.6567999999999701</v>
      </c>
      <c r="AF144">
        <v>-1.2172257211062401</v>
      </c>
      <c r="AG144">
        <v>-1.1195120380470001</v>
      </c>
      <c r="AH144">
        <v>13.0172628278962</v>
      </c>
      <c r="AI144">
        <v>94.894216550481005</v>
      </c>
      <c r="AJ144">
        <v>95.342112721820598</v>
      </c>
      <c r="AK144">
        <v>13.1218930490224</v>
      </c>
      <c r="AL144">
        <v>82.512019867933702</v>
      </c>
      <c r="AM144">
        <v>88.551011133066496</v>
      </c>
      <c r="AN144">
        <v>1.0000000166602701</v>
      </c>
    </row>
    <row r="145" spans="1:40" x14ac:dyDescent="0.25">
      <c r="A145" t="str">
        <f>"20190303162213448"</f>
        <v>20190303162213448</v>
      </c>
      <c r="B145" t="str">
        <f>"1551601333434551"</f>
        <v>1551601333434551</v>
      </c>
      <c r="C145" t="s">
        <v>40</v>
      </c>
      <c r="D145">
        <v>5.5582880000000001</v>
      </c>
      <c r="E145">
        <v>0.4539726</v>
      </c>
      <c r="F145" t="s">
        <v>41</v>
      </c>
      <c r="G145">
        <v>-455.27510000000001</v>
      </c>
      <c r="H145" s="1">
        <v>-2.1350420000000002E-6</v>
      </c>
      <c r="I145">
        <v>368.90719999999999</v>
      </c>
      <c r="J145">
        <v>-468.40140000000002</v>
      </c>
      <c r="K145">
        <v>1.1195059999999999</v>
      </c>
      <c r="L145">
        <v>367.21089999999998</v>
      </c>
      <c r="M145">
        <v>0.99946120000000005</v>
      </c>
      <c r="N145">
        <v>-1.5997489999999999E-3</v>
      </c>
      <c r="O145">
        <v>3.2786669999999997E-2</v>
      </c>
      <c r="P145">
        <v>0.99164370000000002</v>
      </c>
      <c r="Q145">
        <v>0.1286099</v>
      </c>
      <c r="R145">
        <v>1.0134819999999999E-2</v>
      </c>
      <c r="S145">
        <v>3.0556640000000002</v>
      </c>
      <c r="T145">
        <v>-0.25703239999999999</v>
      </c>
      <c r="U145">
        <v>0.39093020000000001</v>
      </c>
      <c r="V145">
        <v>2.2312510000000001E-2</v>
      </c>
      <c r="W145">
        <v>0.13020760000000001</v>
      </c>
      <c r="X145">
        <v>0.99123570000000005</v>
      </c>
      <c r="Y145">
        <v>-9.4088619999999998E-2</v>
      </c>
      <c r="Z145">
        <v>1.322036E-3</v>
      </c>
      <c r="AA145">
        <v>0.99556299999999998</v>
      </c>
      <c r="AB145">
        <v>12</v>
      </c>
      <c r="AC145">
        <v>13.126300000000001</v>
      </c>
      <c r="AD145">
        <v>-1.119508135042</v>
      </c>
      <c r="AE145">
        <v>1.6962999999999999</v>
      </c>
      <c r="AF145">
        <v>-1.25603360539071</v>
      </c>
      <c r="AG145">
        <v>-1.119508135042</v>
      </c>
      <c r="AH145">
        <v>13.081269576354</v>
      </c>
      <c r="AI145">
        <v>94.869225603732303</v>
      </c>
      <c r="AJ145">
        <v>95.484596131279901</v>
      </c>
      <c r="AK145">
        <v>13.1890307684659</v>
      </c>
      <c r="AL145">
        <v>82.518411414989998</v>
      </c>
      <c r="AM145">
        <v>88.710501650614304</v>
      </c>
      <c r="AN145">
        <v>1.0000000400773701</v>
      </c>
    </row>
    <row r="146" spans="1:40" x14ac:dyDescent="0.25">
      <c r="A146" t="str">
        <f>"20190303162213470"</f>
        <v>20190303162213470</v>
      </c>
      <c r="B146" t="str">
        <f>"1551601333464808"</f>
        <v>1551601333464808</v>
      </c>
      <c r="C146" t="s">
        <v>40</v>
      </c>
      <c r="D146">
        <v>5.5677490000000001</v>
      </c>
      <c r="E146">
        <v>0.45458579999999998</v>
      </c>
      <c r="F146" t="s">
        <v>41</v>
      </c>
      <c r="G146">
        <v>-454.9529</v>
      </c>
      <c r="H146" s="1">
        <v>-2.2649769999999999E-6</v>
      </c>
      <c r="I146">
        <v>368.95400000000001</v>
      </c>
      <c r="J146">
        <v>-468.26979999999998</v>
      </c>
      <c r="K146">
        <v>1.119383</v>
      </c>
      <c r="L146">
        <v>367.21550000000002</v>
      </c>
      <c r="M146">
        <v>0.9994634</v>
      </c>
      <c r="N146">
        <v>-1.5098150000000001E-3</v>
      </c>
      <c r="O146">
        <v>3.272162E-2</v>
      </c>
      <c r="P146">
        <v>0.99153690000000005</v>
      </c>
      <c r="Q146">
        <v>0.1293385</v>
      </c>
      <c r="R146">
        <v>1.1231639999999999E-2</v>
      </c>
      <c r="S146">
        <v>3.0541990000000001</v>
      </c>
      <c r="T146">
        <v>-0.25424229999999998</v>
      </c>
      <c r="U146">
        <v>0.395874</v>
      </c>
      <c r="V146">
        <v>2.11656E-2</v>
      </c>
      <c r="W146">
        <v>0.1308434</v>
      </c>
      <c r="X146">
        <v>0.99117710000000003</v>
      </c>
      <c r="Y146">
        <v>-9.5797640000000003E-2</v>
      </c>
      <c r="Z146">
        <v>1.3796780000000001E-3</v>
      </c>
      <c r="AA146">
        <v>0.9953999</v>
      </c>
      <c r="AB146">
        <v>13</v>
      </c>
      <c r="AC146">
        <v>13.316899999999899</v>
      </c>
      <c r="AD146">
        <v>-1.119385264977</v>
      </c>
      <c r="AE146">
        <v>1.73849999999998</v>
      </c>
      <c r="AF146">
        <v>-1.29283634470297</v>
      </c>
      <c r="AG146">
        <v>-1.119385264977</v>
      </c>
      <c r="AH146">
        <v>13.274434478440501</v>
      </c>
      <c r="AI146">
        <v>94.797550218812304</v>
      </c>
      <c r="AJ146">
        <v>95.562661307805001</v>
      </c>
      <c r="AK146">
        <v>13.384134634261599</v>
      </c>
      <c r="AL146">
        <v>82.481668199422401</v>
      </c>
      <c r="AM146">
        <v>88.776691598732498</v>
      </c>
      <c r="AN146">
        <v>1.0000000107556599</v>
      </c>
    </row>
    <row r="147" spans="1:40" x14ac:dyDescent="0.25">
      <c r="A147" t="str">
        <f>"20190303162213492"</f>
        <v>20190303162213492</v>
      </c>
      <c r="B147" t="str">
        <f>"1551601333484329"</f>
        <v>1551601333484329</v>
      </c>
      <c r="C147" t="s">
        <v>40</v>
      </c>
      <c r="D147">
        <v>5.5038390000000001</v>
      </c>
      <c r="E147">
        <v>0.45490570000000002</v>
      </c>
      <c r="F147" t="s">
        <v>41</v>
      </c>
      <c r="G147">
        <v>-454.52280000000002</v>
      </c>
      <c r="H147" s="1">
        <v>-2.4426780000000002E-6</v>
      </c>
      <c r="I147">
        <v>368.99250000000001</v>
      </c>
      <c r="J147">
        <v>-468.14330000000001</v>
      </c>
      <c r="K147">
        <v>1.11924</v>
      </c>
      <c r="L147">
        <v>367.21969999999999</v>
      </c>
      <c r="M147">
        <v>0.99946080000000004</v>
      </c>
      <c r="N147">
        <v>-1.389932E-3</v>
      </c>
      <c r="O147">
        <v>3.2806309999999998E-2</v>
      </c>
      <c r="P147">
        <v>0.99145530000000004</v>
      </c>
      <c r="Q147">
        <v>0.13</v>
      </c>
      <c r="R147">
        <v>1.081117E-2</v>
      </c>
      <c r="S147">
        <v>3.0535580000000002</v>
      </c>
      <c r="T147">
        <v>-0.24864259999999999</v>
      </c>
      <c r="U147">
        <v>0.39474490000000001</v>
      </c>
      <c r="V147">
        <v>2.1696960000000001E-2</v>
      </c>
      <c r="W147">
        <v>0.1313819</v>
      </c>
      <c r="X147">
        <v>0.99109440000000004</v>
      </c>
      <c r="Y147">
        <v>-9.5389749999999995E-2</v>
      </c>
      <c r="Z147">
        <v>1.319141E-3</v>
      </c>
      <c r="AA147">
        <v>0.99543910000000002</v>
      </c>
      <c r="AB147">
        <v>13</v>
      </c>
      <c r="AC147">
        <v>13.6204999999999</v>
      </c>
      <c r="AD147">
        <v>-1.1192424426780001</v>
      </c>
      <c r="AE147">
        <v>1.7728000000000099</v>
      </c>
      <c r="AF147">
        <v>-1.3162670073203</v>
      </c>
      <c r="AG147">
        <v>-1.1192424426780001</v>
      </c>
      <c r="AH147">
        <v>13.5811490173196</v>
      </c>
      <c r="AI147">
        <v>94.6893093138018</v>
      </c>
      <c r="AJ147">
        <v>95.535741572999697</v>
      </c>
      <c r="AK147">
        <v>13.6906125177325</v>
      </c>
      <c r="AL147">
        <v>82.450545946405001</v>
      </c>
      <c r="AM147">
        <v>88.745885660847193</v>
      </c>
      <c r="AN147">
        <v>1.0000000357161001</v>
      </c>
    </row>
    <row r="148" spans="1:40" x14ac:dyDescent="0.25">
      <c r="A148" t="str">
        <f>"20190303162213514"</f>
        <v>20190303162213514</v>
      </c>
      <c r="B148" t="str">
        <f>"1551601333503851"</f>
        <v>1551601333503851</v>
      </c>
      <c r="C148" t="s">
        <v>40</v>
      </c>
      <c r="D148">
        <v>5.6149290000000001</v>
      </c>
      <c r="E148">
        <v>0.4550381</v>
      </c>
      <c r="F148" t="s">
        <v>41</v>
      </c>
      <c r="G148">
        <v>-454.16050000000001</v>
      </c>
      <c r="H148" s="1">
        <v>-2.5944859999999999E-6</v>
      </c>
      <c r="I148">
        <v>369.01299999999998</v>
      </c>
      <c r="J148">
        <v>-468.01069999999999</v>
      </c>
      <c r="K148">
        <v>1.119127</v>
      </c>
      <c r="L148">
        <v>367.22399999999999</v>
      </c>
      <c r="M148">
        <v>0.99945680000000003</v>
      </c>
      <c r="N148">
        <v>-1.2944810000000001E-3</v>
      </c>
      <c r="O148">
        <v>3.2936529999999999E-2</v>
      </c>
      <c r="P148">
        <v>0.99131049999999998</v>
      </c>
      <c r="Q148">
        <v>0.13115489999999999</v>
      </c>
      <c r="R148">
        <v>1.011373E-2</v>
      </c>
      <c r="S148">
        <v>3.0535890000000001</v>
      </c>
      <c r="T148">
        <v>-0.2444191</v>
      </c>
      <c r="U148">
        <v>0.39163209999999998</v>
      </c>
      <c r="V148">
        <v>2.2548169999999999E-2</v>
      </c>
      <c r="W148">
        <v>0.13243640000000001</v>
      </c>
      <c r="X148">
        <v>0.99093500000000001</v>
      </c>
      <c r="Y148">
        <v>-9.4272079999999994E-2</v>
      </c>
      <c r="Z148">
        <v>1.2356730000000001E-3</v>
      </c>
      <c r="AA148">
        <v>0.99554569999999998</v>
      </c>
      <c r="AB148">
        <v>13</v>
      </c>
      <c r="AC148">
        <v>13.8501999999999</v>
      </c>
      <c r="AD148">
        <v>-1.119129594486</v>
      </c>
      <c r="AE148">
        <v>1.7890000000000399</v>
      </c>
      <c r="AF148">
        <v>-1.3233531244122501</v>
      </c>
      <c r="AG148">
        <v>-1.119129594486</v>
      </c>
      <c r="AH148">
        <v>13.8129041037352</v>
      </c>
      <c r="AI148">
        <v>94.610998475937905</v>
      </c>
      <c r="AJ148">
        <v>95.472551841572596</v>
      </c>
      <c r="AK148">
        <v>13.921208076892301</v>
      </c>
      <c r="AL148">
        <v>82.389594649205705</v>
      </c>
      <c r="AM148">
        <v>88.696491619782705</v>
      </c>
      <c r="AN148">
        <v>0.99999999712015397</v>
      </c>
    </row>
    <row r="149" spans="1:40" x14ac:dyDescent="0.25">
      <c r="A149" t="str">
        <f>"20190303162213538"</f>
        <v>20190303162213538</v>
      </c>
      <c r="B149" t="str">
        <f>"1551601333524344"</f>
        <v>1551601333524344</v>
      </c>
      <c r="C149" t="s">
        <v>40</v>
      </c>
      <c r="D149">
        <v>5.4304699999999997</v>
      </c>
      <c r="E149">
        <v>0.45535740000000002</v>
      </c>
      <c r="F149" t="s">
        <v>41</v>
      </c>
      <c r="G149">
        <v>-453.76179999999999</v>
      </c>
      <c r="H149" s="1">
        <v>-2.7609889999999998E-6</v>
      </c>
      <c r="I149">
        <v>369.03840000000002</v>
      </c>
      <c r="J149">
        <v>-467.86989999999997</v>
      </c>
      <c r="K149">
        <v>1.1190690000000001</v>
      </c>
      <c r="L149">
        <v>367.22840000000002</v>
      </c>
      <c r="M149">
        <v>0.99945600000000001</v>
      </c>
      <c r="N149">
        <v>-1.24442E-3</v>
      </c>
      <c r="O149">
        <v>3.2961959999999998E-2</v>
      </c>
      <c r="P149">
        <v>0.99124769999999895</v>
      </c>
      <c r="Q149">
        <v>0.1316803</v>
      </c>
      <c r="R149">
        <v>9.4037040000000006E-3</v>
      </c>
      <c r="S149">
        <v>3.0541079999999998</v>
      </c>
      <c r="T149">
        <v>-0.2398738</v>
      </c>
      <c r="U149">
        <v>0.38891599999999998</v>
      </c>
      <c r="V149">
        <v>2.3301720000000001E-2</v>
      </c>
      <c r="W149">
        <v>0.13290850000000001</v>
      </c>
      <c r="X149">
        <v>0.99085440000000002</v>
      </c>
      <c r="Y149">
        <v>-9.3364710000000004E-2</v>
      </c>
      <c r="Z149">
        <v>1.172581E-3</v>
      </c>
      <c r="AA149">
        <v>0.9956313</v>
      </c>
      <c r="AB149">
        <v>13</v>
      </c>
      <c r="AC149">
        <v>14.108099999999901</v>
      </c>
      <c r="AD149">
        <v>-1.119071760989</v>
      </c>
      <c r="AE149">
        <v>1.81</v>
      </c>
      <c r="AF149">
        <v>-1.33571749363027</v>
      </c>
      <c r="AG149">
        <v>-1.119071760989</v>
      </c>
      <c r="AH149">
        <v>14.0729835579046</v>
      </c>
      <c r="AI149">
        <v>94.526288095503702</v>
      </c>
      <c r="AJ149">
        <v>95.421906224964502</v>
      </c>
      <c r="AK149">
        <v>14.1804558830133</v>
      </c>
      <c r="AL149">
        <v>82.362304396153803</v>
      </c>
      <c r="AM149">
        <v>88.6528351958126</v>
      </c>
      <c r="AN149">
        <v>1.0000000407632801</v>
      </c>
    </row>
    <row r="150" spans="1:40" x14ac:dyDescent="0.25">
      <c r="A150" t="str">
        <f>"20190303162213561"</f>
        <v>20190303162213561</v>
      </c>
      <c r="B150" t="str">
        <f>"1551601333554600"</f>
        <v>1551601333554600</v>
      </c>
      <c r="C150" t="s">
        <v>40</v>
      </c>
      <c r="D150">
        <v>5.6218389999999996</v>
      </c>
      <c r="E150">
        <v>0.45611230000000003</v>
      </c>
      <c r="F150" t="s">
        <v>41</v>
      </c>
      <c r="G150">
        <v>-453.40699999999998</v>
      </c>
      <c r="H150" s="1">
        <v>-2.9108780000000002E-6</v>
      </c>
      <c r="I150">
        <v>369.05149999999998</v>
      </c>
      <c r="J150">
        <v>-467.72969999999998</v>
      </c>
      <c r="K150">
        <v>1.119054</v>
      </c>
      <c r="L150">
        <v>367.2328</v>
      </c>
      <c r="M150">
        <v>0.99946100000000004</v>
      </c>
      <c r="N150">
        <v>-1.2200360000000001E-3</v>
      </c>
      <c r="O150">
        <v>3.2807080000000002E-2</v>
      </c>
      <c r="P150">
        <v>0.9911432</v>
      </c>
      <c r="Q150">
        <v>0.132551</v>
      </c>
      <c r="R150">
        <v>8.0845450000000003E-3</v>
      </c>
      <c r="S150">
        <v>3.05423</v>
      </c>
      <c r="T150">
        <v>-0.23632</v>
      </c>
      <c r="U150">
        <v>0.38500980000000001</v>
      </c>
      <c r="V150">
        <v>2.4473000000000002E-2</v>
      </c>
      <c r="W150">
        <v>0.13375300000000001</v>
      </c>
      <c r="X150">
        <v>0.9907125</v>
      </c>
      <c r="Y150">
        <v>-9.2269119999999996E-2</v>
      </c>
      <c r="Z150">
        <v>1.123696E-3</v>
      </c>
      <c r="AA150">
        <v>0.99573350000000005</v>
      </c>
      <c r="AB150">
        <v>13</v>
      </c>
      <c r="AC150">
        <v>14.3226999999999</v>
      </c>
      <c r="AD150">
        <v>-1.119056910878</v>
      </c>
      <c r="AE150">
        <v>1.81869999999997</v>
      </c>
      <c r="AF150">
        <v>-1.3397856795016201</v>
      </c>
      <c r="AG150">
        <v>-1.119056910878</v>
      </c>
      <c r="AH150">
        <v>14.288813569630101</v>
      </c>
      <c r="AI150">
        <v>94.458615161158605</v>
      </c>
      <c r="AJ150">
        <v>95.356657414782205</v>
      </c>
      <c r="AK150">
        <v>14.3950514852996</v>
      </c>
      <c r="AL150">
        <v>82.313482086281894</v>
      </c>
      <c r="AM150">
        <v>88.584943155104796</v>
      </c>
      <c r="AN150">
        <v>1.0000000251971199</v>
      </c>
    </row>
    <row r="151" spans="1:40" x14ac:dyDescent="0.25">
      <c r="A151" t="str">
        <f>"20190303162213582"</f>
        <v>20190303162213582</v>
      </c>
      <c r="B151" t="str">
        <f>"1551601333574119"</f>
        <v>1551601333574119</v>
      </c>
      <c r="C151" t="s">
        <v>40</v>
      </c>
      <c r="D151">
        <v>5.5487270000000004</v>
      </c>
      <c r="E151">
        <v>0.48686869999999999</v>
      </c>
      <c r="F151" t="s">
        <v>41</v>
      </c>
      <c r="G151">
        <v>-452.80919999999998</v>
      </c>
      <c r="H151" s="1">
        <v>-3.1644309999999999E-6</v>
      </c>
      <c r="I151">
        <v>369.06790000000001</v>
      </c>
      <c r="J151">
        <v>-467.59589999999997</v>
      </c>
      <c r="K151">
        <v>1.119054</v>
      </c>
      <c r="L151">
        <v>367.23700000000002</v>
      </c>
      <c r="M151">
        <v>0.99947019999999998</v>
      </c>
      <c r="N151">
        <v>-1.195916E-3</v>
      </c>
      <c r="O151">
        <v>3.2528069999999999E-2</v>
      </c>
      <c r="P151">
        <v>0.99109829999999999</v>
      </c>
      <c r="Q151">
        <v>0.13299140000000001</v>
      </c>
      <c r="R151">
        <v>6.1478619999999996E-3</v>
      </c>
      <c r="S151">
        <v>3.0543819999999999</v>
      </c>
      <c r="T151">
        <v>-0.2290807</v>
      </c>
      <c r="U151">
        <v>0.37567139999999999</v>
      </c>
      <c r="V151">
        <v>2.613499E-2</v>
      </c>
      <c r="W151">
        <v>0.13416789999999901</v>
      </c>
      <c r="X151">
        <v>0.99061390000000005</v>
      </c>
      <c r="Y151">
        <v>-8.956045E-2</v>
      </c>
      <c r="Z151">
        <v>1.0082859999999999E-3</v>
      </c>
      <c r="AA151">
        <v>0.99598089999999995</v>
      </c>
      <c r="AB151">
        <v>13</v>
      </c>
      <c r="AC151">
        <v>14.7866999999999</v>
      </c>
      <c r="AD151">
        <v>-1.1190571644309999</v>
      </c>
      <c r="AE151">
        <v>1.8309000000000399</v>
      </c>
      <c r="AF151">
        <v>-1.34138131786143</v>
      </c>
      <c r="AG151">
        <v>-1.1190571644309999</v>
      </c>
      <c r="AH151">
        <v>14.755197189368401</v>
      </c>
      <c r="AI151">
        <v>94.319354388129099</v>
      </c>
      <c r="AJ151">
        <v>95.194427964913203</v>
      </c>
      <c r="AK151">
        <v>14.8582447440576</v>
      </c>
      <c r="AL151">
        <v>82.289493511164196</v>
      </c>
      <c r="AM151">
        <v>88.488737795982203</v>
      </c>
      <c r="AN151">
        <v>0.99999998098295995</v>
      </c>
    </row>
    <row r="152" spans="1:40" x14ac:dyDescent="0.25">
      <c r="A152" t="str">
        <f>"20190303162213605"</f>
        <v>20190303162213605</v>
      </c>
      <c r="B152" t="str">
        <f>"1551601333594616"</f>
        <v>1551601333594616</v>
      </c>
      <c r="C152" t="s">
        <v>40</v>
      </c>
      <c r="D152">
        <v>5.5524430000000002</v>
      </c>
      <c r="E152">
        <v>0.48904320000000001</v>
      </c>
      <c r="F152" t="s">
        <v>41</v>
      </c>
      <c r="G152">
        <v>-440.40379999999999</v>
      </c>
      <c r="H152" s="1">
        <v>-4.7410159999999996E-6</v>
      </c>
      <c r="I152">
        <v>368.35149999999999</v>
      </c>
      <c r="J152">
        <v>-467.45589999999999</v>
      </c>
      <c r="K152">
        <v>1.1190530000000001</v>
      </c>
      <c r="L152">
        <v>367.24119999999999</v>
      </c>
      <c r="M152">
        <v>0.99948139999999996</v>
      </c>
      <c r="N152">
        <v>-1.164055E-3</v>
      </c>
      <c r="O152">
        <v>3.2182769999999999E-2</v>
      </c>
      <c r="P152">
        <v>0.99119009999999996</v>
      </c>
      <c r="Q152">
        <v>0.13237289999999999</v>
      </c>
      <c r="R152">
        <v>4.4270550000000001E-3</v>
      </c>
      <c r="S152">
        <v>3.0429689999999998</v>
      </c>
      <c r="T152">
        <v>-0.12523000000000001</v>
      </c>
      <c r="U152">
        <v>0.1247253</v>
      </c>
      <c r="V152">
        <v>2.7520090000000001E-2</v>
      </c>
      <c r="W152">
        <v>0.13351679999999999</v>
      </c>
      <c r="X152">
        <v>0.9906644</v>
      </c>
      <c r="Y152">
        <v>-8.7946759999999995E-3</v>
      </c>
      <c r="Z152">
        <v>-1.099561E-3</v>
      </c>
      <c r="AA152">
        <v>0.99996070000000004</v>
      </c>
      <c r="AB152">
        <v>14</v>
      </c>
      <c r="AC152">
        <v>27.052099999999999</v>
      </c>
      <c r="AD152">
        <v>-1.1190577410160001</v>
      </c>
      <c r="AE152">
        <v>1.1102999999999901</v>
      </c>
      <c r="AF152">
        <v>-0.238705042358378</v>
      </c>
      <c r="AG152">
        <v>-1.1190577410160001</v>
      </c>
      <c r="AH152">
        <v>27.027647388163501</v>
      </c>
      <c r="AI152">
        <v>92.370838541635905</v>
      </c>
      <c r="AJ152">
        <v>90.506016512993796</v>
      </c>
      <c r="AK152">
        <v>27.051857490085201</v>
      </c>
      <c r="AL152">
        <v>82.327137810383903</v>
      </c>
      <c r="AM152">
        <v>88.408765272436895</v>
      </c>
      <c r="AN152">
        <v>1.0000000223315999</v>
      </c>
    </row>
    <row r="153" spans="1:40" x14ac:dyDescent="0.25">
      <c r="A153" t="str">
        <f>"20190303162213624"</f>
        <v>20190303162213624</v>
      </c>
      <c r="B153" t="str">
        <f>"1551601333614135"</f>
        <v>1551601333614135</v>
      </c>
      <c r="C153" t="s">
        <v>40</v>
      </c>
      <c r="D153">
        <v>5.4899110000000002</v>
      </c>
      <c r="E153">
        <v>0.49034909999999998</v>
      </c>
      <c r="F153" t="s">
        <v>43</v>
      </c>
      <c r="G153">
        <v>-438.03190000000001</v>
      </c>
      <c r="H153">
        <v>-0.05</v>
      </c>
      <c r="I153">
        <v>368.23110000000003</v>
      </c>
      <c r="J153">
        <v>-467.33069999999998</v>
      </c>
      <c r="K153">
        <v>1.1190439999999999</v>
      </c>
      <c r="L153">
        <v>367.245</v>
      </c>
      <c r="M153">
        <v>0.99949120000000002</v>
      </c>
      <c r="N153">
        <v>-1.135376E-3</v>
      </c>
      <c r="O153">
        <v>3.1874909999999999E-2</v>
      </c>
      <c r="P153">
        <v>0.9912841</v>
      </c>
      <c r="Q153">
        <v>0.1317043</v>
      </c>
      <c r="R153">
        <v>3.153599E-3</v>
      </c>
      <c r="S153">
        <v>3.042389</v>
      </c>
      <c r="T153">
        <v>-0.120878</v>
      </c>
      <c r="U153">
        <v>0.102356</v>
      </c>
      <c r="V153">
        <v>2.8495690000000001E-2</v>
      </c>
      <c r="W153">
        <v>0.1328183</v>
      </c>
      <c r="X153">
        <v>0.99073069999999996</v>
      </c>
      <c r="Y153">
        <v>-1.7725239999999999E-3</v>
      </c>
      <c r="Z153">
        <v>-1.192872E-3</v>
      </c>
      <c r="AA153">
        <v>0.99999769999999999</v>
      </c>
      <c r="AB153">
        <v>14</v>
      </c>
      <c r="AC153">
        <v>29.2987999999999</v>
      </c>
      <c r="AD153">
        <v>-1.169044</v>
      </c>
      <c r="AE153">
        <v>0.98610000000002096</v>
      </c>
      <c r="AF153">
        <v>-5.1619604610702002E-2</v>
      </c>
      <c r="AG153">
        <v>-1.169044</v>
      </c>
      <c r="AH153">
        <v>29.268798892460399</v>
      </c>
      <c r="AI153">
        <v>92.287268376270404</v>
      </c>
      <c r="AJ153">
        <v>90.101048984919103</v>
      </c>
      <c r="AK153">
        <v>29.2921818420002</v>
      </c>
      <c r="AL153">
        <v>82.367518486757305</v>
      </c>
      <c r="AM153">
        <v>88.3524960196915</v>
      </c>
      <c r="AN153">
        <v>1.00000001254297</v>
      </c>
    </row>
    <row r="154" spans="1:40" x14ac:dyDescent="0.25">
      <c r="A154" t="str">
        <f>"20190303162213649"</f>
        <v>20190303162213649</v>
      </c>
      <c r="B154" t="str">
        <f>"1551601333634633"</f>
        <v>1551601333634633</v>
      </c>
      <c r="C154" t="s">
        <v>40</v>
      </c>
      <c r="D154">
        <v>5.488283</v>
      </c>
      <c r="E154">
        <v>0.4906025</v>
      </c>
      <c r="F154" t="s">
        <v>43</v>
      </c>
      <c r="G154">
        <v>-438.32799999999997</v>
      </c>
      <c r="H154">
        <v>-0.05</v>
      </c>
      <c r="I154">
        <v>368.08260000000001</v>
      </c>
      <c r="J154">
        <v>-467.17529999999999</v>
      </c>
      <c r="K154">
        <v>1.1190389999999999</v>
      </c>
      <c r="L154">
        <v>367.24959999999999</v>
      </c>
      <c r="M154">
        <v>0.99950300000000003</v>
      </c>
      <c r="N154">
        <v>-1.104236E-3</v>
      </c>
      <c r="O154">
        <v>3.1507130000000001E-2</v>
      </c>
      <c r="P154">
        <v>0.99131290000000005</v>
      </c>
      <c r="Q154">
        <v>0.13149949999999999</v>
      </c>
      <c r="R154">
        <v>2.6118000000000001E-3</v>
      </c>
      <c r="S154">
        <v>3.042389</v>
      </c>
      <c r="T154">
        <v>-0.1226327</v>
      </c>
      <c r="U154">
        <v>8.7860110000000005E-2</v>
      </c>
      <c r="V154">
        <v>2.868016E-2</v>
      </c>
      <c r="W154">
        <v>0.132581</v>
      </c>
      <c r="X154">
        <v>0.9907572</v>
      </c>
      <c r="Y154">
        <v>2.6153790000000001E-3</v>
      </c>
      <c r="Z154">
        <v>-1.288254E-3</v>
      </c>
      <c r="AA154">
        <v>0.99999579999999999</v>
      </c>
      <c r="AB154">
        <v>14</v>
      </c>
      <c r="AC154">
        <v>28.847299999999901</v>
      </c>
      <c r="AD154">
        <v>-1.1690389999999999</v>
      </c>
      <c r="AE154">
        <v>0.83300000000002605</v>
      </c>
      <c r="AF154">
        <v>7.6184660020176403E-2</v>
      </c>
      <c r="AG154">
        <v>-1.1690389999999999</v>
      </c>
      <c r="AH154">
        <v>28.8119456268611</v>
      </c>
      <c r="AI154">
        <v>92.323482311102197</v>
      </c>
      <c r="AJ154">
        <v>89.848498627404695</v>
      </c>
      <c r="AK154">
        <v>28.8357532776784</v>
      </c>
      <c r="AL154">
        <v>82.3812363861298</v>
      </c>
      <c r="AM154">
        <v>88.341880982008504</v>
      </c>
      <c r="AN154">
        <v>1.0000000512452301</v>
      </c>
    </row>
    <row r="155" spans="1:40" x14ac:dyDescent="0.25">
      <c r="A155" t="str">
        <f>"20190303162213670"</f>
        <v>20190303162213670</v>
      </c>
      <c r="B155" t="str">
        <f>"1551601333663912"</f>
        <v>1551601333663912</v>
      </c>
      <c r="C155" t="s">
        <v>40</v>
      </c>
      <c r="D155">
        <v>5.4857129999999996</v>
      </c>
      <c r="E155">
        <v>0.49094139999999997</v>
      </c>
      <c r="F155" t="s">
        <v>43</v>
      </c>
      <c r="G155">
        <v>-438.14580000000001</v>
      </c>
      <c r="H155">
        <v>-0.05</v>
      </c>
      <c r="I155">
        <v>368.05439999999999</v>
      </c>
      <c r="J155">
        <v>-467.03050000000002</v>
      </c>
      <c r="K155">
        <v>1.119038</v>
      </c>
      <c r="L155">
        <v>367.25380000000001</v>
      </c>
      <c r="M155">
        <v>0.9995136</v>
      </c>
      <c r="N155">
        <v>-1.078491E-3</v>
      </c>
      <c r="O155">
        <v>3.1166780000000002E-2</v>
      </c>
      <c r="P155">
        <v>0.99131729999999996</v>
      </c>
      <c r="Q155">
        <v>0.13148850000000001</v>
      </c>
      <c r="R155">
        <v>1.0763050000000001E-3</v>
      </c>
      <c r="S155">
        <v>3.042297</v>
      </c>
      <c r="T155">
        <v>-0.12251529999999999</v>
      </c>
      <c r="U155">
        <v>8.4350590000000003E-2</v>
      </c>
      <c r="V155">
        <v>2.9882140000000001E-2</v>
      </c>
      <c r="W155">
        <v>0.1325432</v>
      </c>
      <c r="X155">
        <v>0.99072660000000001</v>
      </c>
      <c r="Y155">
        <v>3.4262469999999999E-3</v>
      </c>
      <c r="Z155">
        <v>-1.291265E-3</v>
      </c>
      <c r="AA155">
        <v>0.99999329999999997</v>
      </c>
      <c r="AB155">
        <v>14</v>
      </c>
      <c r="AC155">
        <v>28.884699999999999</v>
      </c>
      <c r="AD155">
        <v>-1.169038</v>
      </c>
      <c r="AE155">
        <v>0.800599999999974</v>
      </c>
      <c r="AF155">
        <v>9.9869099005097203E-2</v>
      </c>
      <c r="AG155">
        <v>-1.169038</v>
      </c>
      <c r="AH155">
        <v>28.848401636606798</v>
      </c>
      <c r="AI155">
        <v>92.320541546209896</v>
      </c>
      <c r="AJ155">
        <v>89.801650882072295</v>
      </c>
      <c r="AK155">
        <v>28.872251395922699</v>
      </c>
      <c r="AL155">
        <v>82.383420437495104</v>
      </c>
      <c r="AM155">
        <v>88.272377470188303</v>
      </c>
      <c r="AN155">
        <v>0.99999991905238605</v>
      </c>
    </row>
    <row r="156" spans="1:40" x14ac:dyDescent="0.25">
      <c r="A156" t="str">
        <f>"20190303162213693"</f>
        <v>20190303162213693</v>
      </c>
      <c r="B156" t="str">
        <f>"1551601333684408"</f>
        <v>1551601333684408</v>
      </c>
      <c r="C156" t="s">
        <v>40</v>
      </c>
      <c r="D156">
        <v>5.4870039999999998</v>
      </c>
      <c r="E156">
        <v>0.49120550000000002</v>
      </c>
      <c r="F156" t="s">
        <v>43</v>
      </c>
      <c r="G156">
        <v>-437.62900000000002</v>
      </c>
      <c r="H156">
        <v>-0.05</v>
      </c>
      <c r="I156">
        <v>368.00349999999997</v>
      </c>
      <c r="J156">
        <v>-466.88440000000003</v>
      </c>
      <c r="K156">
        <v>1.119035</v>
      </c>
      <c r="L156">
        <v>367.25790000000001</v>
      </c>
      <c r="M156">
        <v>0.99952470000000004</v>
      </c>
      <c r="N156">
        <v>-1.0537879999999999E-3</v>
      </c>
      <c r="O156">
        <v>3.0817150000000001E-2</v>
      </c>
      <c r="P156">
        <v>0.99137719999999896</v>
      </c>
      <c r="Q156">
        <v>0.13103989999999999</v>
      </c>
      <c r="R156">
        <v>-6.2624600000000001E-4</v>
      </c>
      <c r="S156">
        <v>3.0422060000000002</v>
      </c>
      <c r="T156">
        <v>-0.12096179999999999</v>
      </c>
      <c r="U156">
        <v>7.7575679999999994E-2</v>
      </c>
      <c r="V156">
        <v>3.1241379999999999E-2</v>
      </c>
      <c r="W156">
        <v>0.13206870000000001</v>
      </c>
      <c r="X156">
        <v>0.99074810000000002</v>
      </c>
      <c r="Y156">
        <v>5.300379E-3</v>
      </c>
      <c r="Z156">
        <v>-1.300025E-3</v>
      </c>
      <c r="AA156">
        <v>0.99998509999999996</v>
      </c>
      <c r="AB156">
        <v>15</v>
      </c>
      <c r="AC156">
        <v>29.255400000000002</v>
      </c>
      <c r="AD156">
        <v>-1.169035</v>
      </c>
      <c r="AE156">
        <v>0.74559999999996696</v>
      </c>
      <c r="AF156">
        <v>0.156073434787389</v>
      </c>
      <c r="AG156">
        <v>-1.169035</v>
      </c>
      <c r="AH156">
        <v>29.217858108533399</v>
      </c>
      <c r="AI156">
        <v>92.291205224515295</v>
      </c>
      <c r="AJ156">
        <v>89.693945256962905</v>
      </c>
      <c r="AK156">
        <v>29.241652384888699</v>
      </c>
      <c r="AL156">
        <v>82.410848885410005</v>
      </c>
      <c r="AM156">
        <v>88.193883706720996</v>
      </c>
      <c r="AN156">
        <v>0.99999998149880198</v>
      </c>
    </row>
    <row r="157" spans="1:40" x14ac:dyDescent="0.25">
      <c r="A157" t="str">
        <f>"20190303162213715"</f>
        <v>20190303162213715</v>
      </c>
      <c r="B157" t="str">
        <f>"1551601333703929"</f>
        <v>1551601333703929</v>
      </c>
      <c r="C157" t="s">
        <v>40</v>
      </c>
      <c r="D157">
        <v>5.487978</v>
      </c>
      <c r="E157">
        <v>0.4912647</v>
      </c>
      <c r="F157" t="s">
        <v>43</v>
      </c>
      <c r="G157">
        <v>-437.58839999999998</v>
      </c>
      <c r="H157">
        <v>-0.05</v>
      </c>
      <c r="I157">
        <v>367.94209999999998</v>
      </c>
      <c r="J157">
        <v>-466.73399999999998</v>
      </c>
      <c r="K157">
        <v>1.1190359999999999</v>
      </c>
      <c r="L157">
        <v>367.26209999999998</v>
      </c>
      <c r="M157">
        <v>0.99953579999999997</v>
      </c>
      <c r="N157">
        <v>-1.029098E-3</v>
      </c>
      <c r="O157">
        <v>3.0451309999999999E-2</v>
      </c>
      <c r="P157">
        <v>0.99162300000000003</v>
      </c>
      <c r="Q157">
        <v>0.12915599999999999</v>
      </c>
      <c r="R157">
        <v>-1.6670329999999901E-3</v>
      </c>
      <c r="S157">
        <v>3.0421450000000001</v>
      </c>
      <c r="T157">
        <v>-0.1213945</v>
      </c>
      <c r="U157">
        <v>7.1044919999999998E-2</v>
      </c>
      <c r="V157">
        <v>3.192557E-2</v>
      </c>
      <c r="W157">
        <v>0.13016030000000001</v>
      </c>
      <c r="X157">
        <v>0.99097880000000005</v>
      </c>
      <c r="Y157">
        <v>7.077903E-3</v>
      </c>
      <c r="Z157">
        <v>-1.3277E-3</v>
      </c>
      <c r="AA157">
        <v>0.99997409999999998</v>
      </c>
      <c r="AB157">
        <v>15</v>
      </c>
      <c r="AC157">
        <v>29.145600000000002</v>
      </c>
      <c r="AD157">
        <v>-1.169036</v>
      </c>
      <c r="AE157">
        <v>0.68000000000000604</v>
      </c>
      <c r="AF157">
        <v>0.207503794086212</v>
      </c>
      <c r="AG157">
        <v>-1.169036</v>
      </c>
      <c r="AH157">
        <v>29.105989582834798</v>
      </c>
      <c r="AI157">
        <v>92.299978363211594</v>
      </c>
      <c r="AJ157">
        <v>89.591531145822998</v>
      </c>
      <c r="AK157">
        <v>29.130196233289301</v>
      </c>
      <c r="AL157">
        <v>82.521144193351205</v>
      </c>
      <c r="AM157">
        <v>88.154785974177798</v>
      </c>
      <c r="AN157">
        <v>0.99999996388267598</v>
      </c>
    </row>
    <row r="158" spans="1:40" x14ac:dyDescent="0.25">
      <c r="A158" t="str">
        <f>"20190303162213740"</f>
        <v>20190303162213740</v>
      </c>
      <c r="B158" t="str">
        <f>"1551601333734184"</f>
        <v>1551601333734184</v>
      </c>
      <c r="C158" t="s">
        <v>40</v>
      </c>
      <c r="D158">
        <v>5.4953240000000001</v>
      </c>
      <c r="E158">
        <v>0.49138769999999998</v>
      </c>
      <c r="F158" t="s">
        <v>43</v>
      </c>
      <c r="G158">
        <v>-438.50779999999997</v>
      </c>
      <c r="H158">
        <v>-0.05</v>
      </c>
      <c r="I158">
        <v>367.88940000000002</v>
      </c>
      <c r="J158">
        <v>-466.5686</v>
      </c>
      <c r="K158">
        <v>1.119046</v>
      </c>
      <c r="L158">
        <v>367.26679999999999</v>
      </c>
      <c r="M158">
        <v>0.99954790000000004</v>
      </c>
      <c r="N158">
        <v>-1.003786E-3</v>
      </c>
      <c r="O158">
        <v>3.0050919999999998E-2</v>
      </c>
      <c r="P158">
        <v>0.99193980000000004</v>
      </c>
      <c r="Q158">
        <v>0.12670090000000001</v>
      </c>
      <c r="R158">
        <v>-1.5892949999999999E-3</v>
      </c>
      <c r="S158">
        <v>3.0419010000000002</v>
      </c>
      <c r="T158">
        <v>-0.12598570000000001</v>
      </c>
      <c r="U158">
        <v>6.7596439999999994E-2</v>
      </c>
      <c r="V158">
        <v>3.1458100000000003E-2</v>
      </c>
      <c r="W158">
        <v>0.12768109999999999</v>
      </c>
      <c r="X158">
        <v>0.99131630000000004</v>
      </c>
      <c r="Y158">
        <v>7.8059000000000002E-3</v>
      </c>
      <c r="Z158">
        <v>-1.379005E-3</v>
      </c>
      <c r="AA158">
        <v>0.99996859999999999</v>
      </c>
      <c r="AB158">
        <v>15</v>
      </c>
      <c r="AC158">
        <v>28.0608</v>
      </c>
      <c r="AD158">
        <v>-1.16904599999999</v>
      </c>
      <c r="AE158">
        <v>0.62260000000003302</v>
      </c>
      <c r="AF158">
        <v>0.22055182373780399</v>
      </c>
      <c r="AG158">
        <v>-1.16904599999999</v>
      </c>
      <c r="AH158">
        <v>28.018230555572298</v>
      </c>
      <c r="AI158">
        <v>92.389176601919502</v>
      </c>
      <c r="AJ158">
        <v>89.548992658838102</v>
      </c>
      <c r="AK158">
        <v>28.043476159746501</v>
      </c>
      <c r="AL158">
        <v>82.664387880061398</v>
      </c>
      <c r="AM158">
        <v>88.182404848613103</v>
      </c>
      <c r="AN158">
        <v>1.00000004099925</v>
      </c>
    </row>
    <row r="159" spans="1:40" x14ac:dyDescent="0.25">
      <c r="A159" t="str">
        <f>"20190303162213763"</f>
        <v>20190303162213763</v>
      </c>
      <c r="B159" t="str">
        <f>"1551601333754680"</f>
        <v>1551601333754680</v>
      </c>
      <c r="C159" t="s">
        <v>40</v>
      </c>
      <c r="D159">
        <v>5.3732660000000001</v>
      </c>
      <c r="E159">
        <v>0.49122460000000001</v>
      </c>
      <c r="F159" t="s">
        <v>41</v>
      </c>
      <c r="G159">
        <v>-440.95150000000001</v>
      </c>
      <c r="H159" s="1">
        <v>-4.5766359999999997E-6</v>
      </c>
      <c r="I159">
        <v>367.8186</v>
      </c>
      <c r="J159">
        <v>-466.40969999999999</v>
      </c>
      <c r="K159">
        <v>1.1190580000000001</v>
      </c>
      <c r="L159">
        <v>367.27109999999999</v>
      </c>
      <c r="M159">
        <v>0.99955919999999998</v>
      </c>
      <c r="N159">
        <v>-9.8243859999999996E-4</v>
      </c>
      <c r="O159">
        <v>2.9673519999999998E-2</v>
      </c>
      <c r="P159">
        <v>0.99200160000000004</v>
      </c>
      <c r="Q159">
        <v>0.12622519999999901</v>
      </c>
      <c r="R159">
        <v>-4.560729E-4</v>
      </c>
      <c r="S159">
        <v>3.0414729999999999</v>
      </c>
      <c r="T159">
        <v>-0.13286300000000001</v>
      </c>
      <c r="U159">
        <v>6.5521239999999994E-2</v>
      </c>
      <c r="V159">
        <v>2.9951120000000001E-2</v>
      </c>
      <c r="W159">
        <v>0.12718550000000001</v>
      </c>
      <c r="X159">
        <v>0.99142660000000005</v>
      </c>
      <c r="Y159">
        <v>8.1036230000000008E-3</v>
      </c>
      <c r="Z159">
        <v>-1.4469729999999901E-3</v>
      </c>
      <c r="AA159">
        <v>0.99996609999999997</v>
      </c>
      <c r="AB159">
        <v>15</v>
      </c>
      <c r="AC159">
        <v>25.458199999999898</v>
      </c>
      <c r="AD159">
        <v>-1.1190625766359901</v>
      </c>
      <c r="AE159">
        <v>0.54750000000001298</v>
      </c>
      <c r="AF159">
        <v>0.207774559689028</v>
      </c>
      <c r="AG159">
        <v>-1.1190625766359901</v>
      </c>
      <c r="AH159">
        <v>25.414152912032598</v>
      </c>
      <c r="AI159">
        <v>92.521194906560794</v>
      </c>
      <c r="AJ159">
        <v>89.531586192173194</v>
      </c>
      <c r="AK159">
        <v>25.439627347000499</v>
      </c>
      <c r="AL159">
        <v>82.693016497571406</v>
      </c>
      <c r="AM159">
        <v>88.269613711646699</v>
      </c>
      <c r="AN159">
        <v>0.99999996209353104</v>
      </c>
    </row>
    <row r="160" spans="1:40" x14ac:dyDescent="0.25">
      <c r="A160" t="str">
        <f>"20190303162213783"</f>
        <v>20190303162213783</v>
      </c>
      <c r="B160" t="str">
        <f>"1551601333774199"</f>
        <v>1551601333774199</v>
      </c>
      <c r="C160" t="s">
        <v>40</v>
      </c>
      <c r="D160">
        <v>5.4349100000000004</v>
      </c>
      <c r="E160">
        <v>0.49117240000000001</v>
      </c>
      <c r="F160" t="s">
        <v>41</v>
      </c>
      <c r="G160">
        <v>-440.74770000000001</v>
      </c>
      <c r="H160" s="1">
        <v>-4.6652029999999997E-6</v>
      </c>
      <c r="I160">
        <v>367.86259999999999</v>
      </c>
      <c r="J160">
        <v>-466.26339999999999</v>
      </c>
      <c r="K160">
        <v>1.1190659999999999</v>
      </c>
      <c r="L160">
        <v>367.27510000000001</v>
      </c>
      <c r="M160">
        <v>0.99956929999999999</v>
      </c>
      <c r="N160">
        <v>-9.6568789999999999E-4</v>
      </c>
      <c r="O160">
        <v>2.9330869999999998E-2</v>
      </c>
      <c r="P160">
        <v>0.99177360000000003</v>
      </c>
      <c r="Q160">
        <v>0.128</v>
      </c>
      <c r="R160">
        <v>1.23128E-3</v>
      </c>
      <c r="S160">
        <v>3.0411380000000001</v>
      </c>
      <c r="T160">
        <v>-0.13261709999999999</v>
      </c>
      <c r="U160">
        <v>7.0098880000000002E-2</v>
      </c>
      <c r="V160">
        <v>2.7917850000000001E-2</v>
      </c>
      <c r="W160">
        <v>0.1289447</v>
      </c>
      <c r="X160">
        <v>0.99125870000000005</v>
      </c>
      <c r="Y160">
        <v>6.2562140000000004E-3</v>
      </c>
      <c r="Z160">
        <v>-1.3890669999999999E-3</v>
      </c>
      <c r="AA160">
        <v>0.99997939999999996</v>
      </c>
      <c r="AB160">
        <v>15</v>
      </c>
      <c r="AC160">
        <v>25.515699999999899</v>
      </c>
      <c r="AD160">
        <v>-1.11907066520299</v>
      </c>
      <c r="AE160">
        <v>0.58749999999997704</v>
      </c>
      <c r="AF160">
        <v>0.16084156917824999</v>
      </c>
      <c r="AG160">
        <v>-1.11907066520299</v>
      </c>
      <c r="AH160">
        <v>25.472981740683501</v>
      </c>
      <c r="AI160">
        <v>92.515431828630497</v>
      </c>
      <c r="AJ160">
        <v>89.638227644138894</v>
      </c>
      <c r="AK160">
        <v>25.4980585128611</v>
      </c>
      <c r="AL160">
        <v>82.591384990635305</v>
      </c>
      <c r="AM160">
        <v>88.386745816599898</v>
      </c>
      <c r="AN160">
        <v>0.99999997616620095</v>
      </c>
    </row>
    <row r="161" spans="1:40" x14ac:dyDescent="0.25">
      <c r="A161" t="str">
        <f>"20190303162213805"</f>
        <v>20190303162213805</v>
      </c>
      <c r="B161" t="str">
        <f>"1551601333794696"</f>
        <v>1551601333794696</v>
      </c>
      <c r="C161" t="s">
        <v>40</v>
      </c>
      <c r="D161">
        <v>5.5010810000000001</v>
      </c>
      <c r="E161">
        <v>0.49116900000000002</v>
      </c>
      <c r="F161" t="s">
        <v>43</v>
      </c>
      <c r="G161">
        <v>-437.88580000000002</v>
      </c>
      <c r="H161">
        <v>-0.05</v>
      </c>
      <c r="I161">
        <v>367.97789999999998</v>
      </c>
      <c r="J161">
        <v>-466.11239999999998</v>
      </c>
      <c r="K161">
        <v>1.119084</v>
      </c>
      <c r="L161">
        <v>367.27910000000003</v>
      </c>
      <c r="M161">
        <v>0.99957980000000002</v>
      </c>
      <c r="N161">
        <v>-9.5365909999999996E-4</v>
      </c>
      <c r="O161">
        <v>2.8972600000000001E-2</v>
      </c>
      <c r="P161">
        <v>0.99161540000000004</v>
      </c>
      <c r="Q161">
        <v>0.1292035</v>
      </c>
      <c r="R161">
        <v>2.377891E-3</v>
      </c>
      <c r="S161">
        <v>3.040985</v>
      </c>
      <c r="T161">
        <v>-0.12527919999999901</v>
      </c>
      <c r="U161">
        <v>7.5317380000000003E-2</v>
      </c>
      <c r="V161">
        <v>2.641284E-2</v>
      </c>
      <c r="W161">
        <v>0.13013669999999999</v>
      </c>
      <c r="X161">
        <v>0.99114420000000003</v>
      </c>
      <c r="Y161">
        <v>4.1872239999999998E-3</v>
      </c>
      <c r="Z161">
        <v>-1.253239E-3</v>
      </c>
      <c r="AA161">
        <v>0.9999905</v>
      </c>
      <c r="AB161">
        <v>16</v>
      </c>
      <c r="AC161">
        <v>28.226599999999902</v>
      </c>
      <c r="AD161">
        <v>-1.169084</v>
      </c>
      <c r="AE161">
        <v>0.69879999999994802</v>
      </c>
      <c r="AF161">
        <v>0.119087513573316</v>
      </c>
      <c r="AG161">
        <v>-1.169084</v>
      </c>
      <c r="AH161">
        <v>28.1866739040758</v>
      </c>
      <c r="AI161">
        <v>92.375044729972004</v>
      </c>
      <c r="AJ161">
        <v>89.757929177972898</v>
      </c>
      <c r="AK161">
        <v>28.2111595828611</v>
      </c>
      <c r="AL161">
        <v>82.522508335255793</v>
      </c>
      <c r="AM161">
        <v>88.473495410238002</v>
      </c>
      <c r="AN161">
        <v>1.00000001199869</v>
      </c>
    </row>
    <row r="162" spans="1:40" x14ac:dyDescent="0.25">
      <c r="A162" t="str">
        <f>"20190303162213827"</f>
        <v>20190303162213827</v>
      </c>
      <c r="B162" t="str">
        <f>"1551601333814216"</f>
        <v>1551601333814216</v>
      </c>
      <c r="C162" t="s">
        <v>40</v>
      </c>
      <c r="D162">
        <v>5.4367749999999999</v>
      </c>
      <c r="E162">
        <v>0.49121789999999999</v>
      </c>
      <c r="F162" t="s">
        <v>43</v>
      </c>
      <c r="G162">
        <v>-436.38900000000001</v>
      </c>
      <c r="H162">
        <v>-0.05</v>
      </c>
      <c r="I162">
        <v>368.04629999999997</v>
      </c>
      <c r="J162">
        <v>-465.94970000000001</v>
      </c>
      <c r="K162">
        <v>1.1190929999999999</v>
      </c>
      <c r="L162">
        <v>367.28339999999997</v>
      </c>
      <c r="M162">
        <v>0.99959129999999996</v>
      </c>
      <c r="N162">
        <v>-9.4738479999999996E-4</v>
      </c>
      <c r="O162">
        <v>2.8576819999999999E-2</v>
      </c>
      <c r="P162">
        <v>0.99154960000000003</v>
      </c>
      <c r="Q162">
        <v>0.12967680000000001</v>
      </c>
      <c r="R162">
        <v>3.6844830000000001E-3</v>
      </c>
      <c r="S162">
        <v>3.0407709999999999</v>
      </c>
      <c r="T162">
        <v>-0.1195999</v>
      </c>
      <c r="U162">
        <v>7.8491210000000006E-2</v>
      </c>
      <c r="V162">
        <v>2.471464E-2</v>
      </c>
      <c r="W162">
        <v>0.13060379999999999</v>
      </c>
      <c r="X162">
        <v>0.99112650000000002</v>
      </c>
      <c r="Y162">
        <v>2.750321E-3</v>
      </c>
      <c r="Z162">
        <v>-1.1514450000000001E-3</v>
      </c>
      <c r="AA162">
        <v>0.99999550000000004</v>
      </c>
      <c r="AB162">
        <v>16</v>
      </c>
      <c r="AC162">
        <v>29.560700000000001</v>
      </c>
      <c r="AD162">
        <v>-1.1690929999999999</v>
      </c>
      <c r="AE162">
        <v>0.76290000000000102</v>
      </c>
      <c r="AF162">
        <v>8.2034398951224594E-2</v>
      </c>
      <c r="AG162">
        <v>-1.1690929999999999</v>
      </c>
      <c r="AH162">
        <v>29.524280011005398</v>
      </c>
      <c r="AI162">
        <v>92.267586530387305</v>
      </c>
      <c r="AJ162">
        <v>89.840801782891603</v>
      </c>
      <c r="AK162">
        <v>29.547531508630499</v>
      </c>
      <c r="AL162">
        <v>82.495514650626902</v>
      </c>
      <c r="AM162">
        <v>88.571573684073499</v>
      </c>
      <c r="AN162">
        <v>0.99999995250350804</v>
      </c>
    </row>
    <row r="163" spans="1:40" x14ac:dyDescent="0.25">
      <c r="A163" t="str">
        <f>"20190303162213850"</f>
        <v>20190303162213850</v>
      </c>
      <c r="B163" t="str">
        <f>"1551601333844472"</f>
        <v>1551601333844472</v>
      </c>
      <c r="C163" t="s">
        <v>40</v>
      </c>
      <c r="D163">
        <v>5.4249130000000001</v>
      </c>
      <c r="E163">
        <v>0.49127080000000001</v>
      </c>
      <c r="F163" t="s">
        <v>43</v>
      </c>
      <c r="G163">
        <v>-435.39460000000003</v>
      </c>
      <c r="H163">
        <v>-0.05</v>
      </c>
      <c r="I163">
        <v>368.10930000000002</v>
      </c>
      <c r="J163">
        <v>-465.78620000000001</v>
      </c>
      <c r="K163">
        <v>1.119097</v>
      </c>
      <c r="L163">
        <v>367.2876</v>
      </c>
      <c r="M163">
        <v>0.99960280000000001</v>
      </c>
      <c r="N163">
        <v>-9.4683039999999999E-4</v>
      </c>
      <c r="O163">
        <v>2.816654E-2</v>
      </c>
      <c r="P163">
        <v>0.99145430000000001</v>
      </c>
      <c r="Q163">
        <v>0.1303907</v>
      </c>
      <c r="R163">
        <v>4.0949569999999998E-3</v>
      </c>
      <c r="S163">
        <v>3.0404360000000001</v>
      </c>
      <c r="T163">
        <v>-0.1163323</v>
      </c>
      <c r="U163">
        <v>8.2183839999999994E-2</v>
      </c>
      <c r="V163">
        <v>2.3897979999999999E-2</v>
      </c>
      <c r="W163">
        <v>0.13131709999999999</v>
      </c>
      <c r="X163">
        <v>0.9910523</v>
      </c>
      <c r="Y163">
        <v>1.1261540000000001E-3</v>
      </c>
      <c r="Z163">
        <v>-1.0723060000000001E-3</v>
      </c>
      <c r="AA163">
        <v>0.99999879999999997</v>
      </c>
      <c r="AB163">
        <v>16</v>
      </c>
      <c r="AC163">
        <v>30.391599999999901</v>
      </c>
      <c r="AD163">
        <v>-1.1690969999999901</v>
      </c>
      <c r="AE163">
        <v>0.82170000000002097</v>
      </c>
      <c r="AF163">
        <v>3.46014469427776E-2</v>
      </c>
      <c r="AG163">
        <v>-1.1690969999999901</v>
      </c>
      <c r="AH163">
        <v>30.357796689253401</v>
      </c>
      <c r="AI163">
        <v>92.205403657890201</v>
      </c>
      <c r="AJ163">
        <v>89.934694996588306</v>
      </c>
      <c r="AK163">
        <v>30.380319367669301</v>
      </c>
      <c r="AL163">
        <v>82.454290721054406</v>
      </c>
      <c r="AM163">
        <v>88.618652021686898</v>
      </c>
      <c r="AN163">
        <v>0.99999997776788896</v>
      </c>
    </row>
    <row r="164" spans="1:40" x14ac:dyDescent="0.25">
      <c r="A164" t="str">
        <f>"20190303162213872"</f>
        <v>20190303162213872</v>
      </c>
      <c r="B164" t="str">
        <f>"1551601333863992"</f>
        <v>1551601333863992</v>
      </c>
      <c r="C164" t="s">
        <v>40</v>
      </c>
      <c r="D164">
        <v>5.4851720000000004</v>
      </c>
      <c r="E164">
        <v>0.49137619999999999</v>
      </c>
      <c r="F164" t="s">
        <v>43</v>
      </c>
      <c r="G164">
        <v>-433.72320000000002</v>
      </c>
      <c r="H164">
        <v>-0.05</v>
      </c>
      <c r="I164">
        <v>368.16079999999999</v>
      </c>
      <c r="J164">
        <v>-465.6216</v>
      </c>
      <c r="K164">
        <v>1.119097</v>
      </c>
      <c r="L164">
        <v>367.29180000000002</v>
      </c>
      <c r="M164">
        <v>0.99961489999999997</v>
      </c>
      <c r="N164">
        <v>-9.5087540000000003E-4</v>
      </c>
      <c r="O164">
        <v>2.7736469999999999E-2</v>
      </c>
      <c r="P164">
        <v>0.99134180000000005</v>
      </c>
      <c r="Q164">
        <v>0.13125129999999999</v>
      </c>
      <c r="R164">
        <v>3.8668589999999998E-3</v>
      </c>
      <c r="S164">
        <v>3.0401310000000001</v>
      </c>
      <c r="T164">
        <v>-0.1108509</v>
      </c>
      <c r="U164">
        <v>8.2794190000000004E-2</v>
      </c>
      <c r="V164">
        <v>2.3700769999999999E-2</v>
      </c>
      <c r="W164">
        <v>0.1321812</v>
      </c>
      <c r="X164">
        <v>0.9909422</v>
      </c>
      <c r="Y164">
        <v>4.9520710000000004E-4</v>
      </c>
      <c r="Z164">
        <v>-9.9352050000000008E-4</v>
      </c>
      <c r="AA164">
        <v>0.99999939999999998</v>
      </c>
      <c r="AB164">
        <v>16</v>
      </c>
      <c r="AC164">
        <v>31.898399999999899</v>
      </c>
      <c r="AD164">
        <v>-1.1690969999999901</v>
      </c>
      <c r="AE164">
        <v>0.86899999999997102</v>
      </c>
      <c r="AF164">
        <v>1.6062112746308699E-2</v>
      </c>
      <c r="AG164">
        <v>-1.1690969999999901</v>
      </c>
      <c r="AH164">
        <v>31.867455875142301</v>
      </c>
      <c r="AI164">
        <v>92.101023972503299</v>
      </c>
      <c r="AJ164">
        <v>89.971121284482194</v>
      </c>
      <c r="AK164">
        <v>31.888897593692601</v>
      </c>
      <c r="AL164">
        <v>82.404346394307396</v>
      </c>
      <c r="AM164">
        <v>88.629894614188103</v>
      </c>
      <c r="AN164">
        <v>1.0000000199364301</v>
      </c>
    </row>
    <row r="165" spans="1:40" x14ac:dyDescent="0.25">
      <c r="A165" t="str">
        <f>"20190303162213895"</f>
        <v>20190303162213895</v>
      </c>
      <c r="B165" t="str">
        <f>"1551601333884487"</f>
        <v>1551601333884487</v>
      </c>
      <c r="C165" t="s">
        <v>40</v>
      </c>
      <c r="D165">
        <v>5.4270940000000003</v>
      </c>
      <c r="E165">
        <v>0.49138169999999998</v>
      </c>
      <c r="F165" t="s">
        <v>43</v>
      </c>
      <c r="G165">
        <v>-432.31920000000002</v>
      </c>
      <c r="H165">
        <v>-0.05</v>
      </c>
      <c r="I165">
        <v>368.185</v>
      </c>
      <c r="J165">
        <v>-465.45549999999997</v>
      </c>
      <c r="K165">
        <v>1.119086</v>
      </c>
      <c r="L165">
        <v>367.29579999999999</v>
      </c>
      <c r="M165">
        <v>0.9996273</v>
      </c>
      <c r="N165">
        <v>-9.584983E-4</v>
      </c>
      <c r="O165">
        <v>2.7283080000000001E-2</v>
      </c>
      <c r="P165">
        <v>0.99119869999999999</v>
      </c>
      <c r="Q165">
        <v>0.13234209999999999</v>
      </c>
      <c r="R165">
        <v>3.287014E-3</v>
      </c>
      <c r="S165">
        <v>3.040009</v>
      </c>
      <c r="T165">
        <v>-0.106721</v>
      </c>
      <c r="U165">
        <v>8.1542970000000006E-2</v>
      </c>
      <c r="V165">
        <v>2.3832800000000001E-2</v>
      </c>
      <c r="W165">
        <v>0.1332786</v>
      </c>
      <c r="X165">
        <v>0.99079200000000001</v>
      </c>
      <c r="Y165">
        <v>4.534699E-4</v>
      </c>
      <c r="Z165">
        <v>-9.3917320000000003E-4</v>
      </c>
      <c r="AA165">
        <v>0.99999950000000004</v>
      </c>
      <c r="AB165">
        <v>16</v>
      </c>
      <c r="AC165">
        <v>33.136299999999899</v>
      </c>
      <c r="AD165">
        <v>-1.1690860000000001</v>
      </c>
      <c r="AE165">
        <v>0.88920000000001598</v>
      </c>
      <c r="AF165">
        <v>1.5172862489394E-2</v>
      </c>
      <c r="AG165">
        <v>-1.1690860000000001</v>
      </c>
      <c r="AH165">
        <v>33.107044442369897</v>
      </c>
      <c r="AI165">
        <v>92.022405401441205</v>
      </c>
      <c r="AJ165">
        <v>89.973741512190102</v>
      </c>
      <c r="AK165">
        <v>33.1276830460599</v>
      </c>
      <c r="AL165">
        <v>82.340908472265298</v>
      </c>
      <c r="AM165">
        <v>88.622056316335104</v>
      </c>
      <c r="AN165">
        <v>0.99999998741889995</v>
      </c>
    </row>
    <row r="166" spans="1:40" x14ac:dyDescent="0.25">
      <c r="A166" t="str">
        <f>"20190303162213915"</f>
        <v>20190303162213915</v>
      </c>
      <c r="B166" t="str">
        <f>"1551601333904008"</f>
        <v>1551601333904008</v>
      </c>
      <c r="C166" t="s">
        <v>40</v>
      </c>
      <c r="D166">
        <v>5.4288610000000004</v>
      </c>
      <c r="E166">
        <v>0.49143579999999998</v>
      </c>
      <c r="F166" t="s">
        <v>43</v>
      </c>
      <c r="G166">
        <v>-430.65989999999999</v>
      </c>
      <c r="H166">
        <v>-0.05</v>
      </c>
      <c r="I166">
        <v>368.2131</v>
      </c>
      <c r="J166">
        <v>-465.29489999999998</v>
      </c>
      <c r="K166">
        <v>1.119078</v>
      </c>
      <c r="L166">
        <v>367.29969999999997</v>
      </c>
      <c r="M166">
        <v>0.99963979999999997</v>
      </c>
      <c r="N166">
        <v>-9.6836540000000003E-4</v>
      </c>
      <c r="O166">
        <v>2.682373E-2</v>
      </c>
      <c r="P166">
        <v>0.99112149999999999</v>
      </c>
      <c r="Q166">
        <v>0.13293920000000001</v>
      </c>
      <c r="R166">
        <v>2.300828E-3</v>
      </c>
      <c r="S166">
        <v>3.0399780000000001</v>
      </c>
      <c r="T166">
        <v>-0.1021391</v>
      </c>
      <c r="U166">
        <v>8.0139160000000001E-2</v>
      </c>
      <c r="V166">
        <v>2.43675E-2</v>
      </c>
      <c r="W166">
        <v>0.133884</v>
      </c>
      <c r="X166">
        <v>0.99069739999999995</v>
      </c>
      <c r="Y166">
        <v>4.5677709999999999E-4</v>
      </c>
      <c r="Z166">
        <v>-8.8259259999999996E-4</v>
      </c>
      <c r="AA166">
        <v>0.99999950000000004</v>
      </c>
      <c r="AB166">
        <v>17</v>
      </c>
      <c r="AC166">
        <v>34.634999999999899</v>
      </c>
      <c r="AD166">
        <v>-1.1690780000000001</v>
      </c>
      <c r="AE166">
        <v>0.91340000000002397</v>
      </c>
      <c r="AF166">
        <v>1.5950740458495701E-2</v>
      </c>
      <c r="AG166">
        <v>-1.1690780000000001</v>
      </c>
      <c r="AH166">
        <v>34.607635641014099</v>
      </c>
      <c r="AI166">
        <v>91.934768587259896</v>
      </c>
      <c r="AJ166">
        <v>89.973592242673007</v>
      </c>
      <c r="AK166">
        <v>34.627379953692603</v>
      </c>
      <c r="AL166">
        <v>82.305908174340104</v>
      </c>
      <c r="AM166">
        <v>88.5910193550895</v>
      </c>
      <c r="AN166">
        <v>1.0000000194395</v>
      </c>
    </row>
    <row r="167" spans="1:40" x14ac:dyDescent="0.25">
      <c r="A167" t="str">
        <f>"20190303162213940"</f>
        <v>20190303162213940</v>
      </c>
      <c r="B167" t="str">
        <f>"1551601333934264"</f>
        <v>1551601333934264</v>
      </c>
      <c r="C167" t="s">
        <v>40</v>
      </c>
      <c r="D167">
        <v>5.4861469999999999</v>
      </c>
      <c r="E167">
        <v>0.49156329999999998</v>
      </c>
      <c r="F167" t="s">
        <v>43</v>
      </c>
      <c r="G167">
        <v>-429.51060000000001</v>
      </c>
      <c r="H167">
        <v>-0.05</v>
      </c>
      <c r="I167">
        <v>368.19450000000001</v>
      </c>
      <c r="J167">
        <v>-465.11439999999999</v>
      </c>
      <c r="K167">
        <v>1.1190690000000001</v>
      </c>
      <c r="L167">
        <v>367.30399999999997</v>
      </c>
      <c r="M167">
        <v>0.99965420000000005</v>
      </c>
      <c r="N167">
        <v>-9.8168850000000005E-4</v>
      </c>
      <c r="O167">
        <v>2.6282110000000001E-2</v>
      </c>
      <c r="P167">
        <v>0.99099599999999999</v>
      </c>
      <c r="Q167">
        <v>0.13388649999999999</v>
      </c>
      <c r="R167">
        <v>1.243056E-3</v>
      </c>
      <c r="S167">
        <v>3.040009</v>
      </c>
      <c r="T167">
        <v>-9.9317429999999998E-2</v>
      </c>
      <c r="U167">
        <v>7.6019290000000003E-2</v>
      </c>
      <c r="V167">
        <v>2.489214E-2</v>
      </c>
      <c r="W167">
        <v>0.13484270000000001</v>
      </c>
      <c r="X167">
        <v>0.9905543</v>
      </c>
      <c r="Y167">
        <v>1.270204E-3</v>
      </c>
      <c r="Z167">
        <v>-8.5370119999999996E-4</v>
      </c>
      <c r="AA167">
        <v>0.99999879999999997</v>
      </c>
      <c r="AB167">
        <v>17</v>
      </c>
      <c r="AC167">
        <v>35.6037999999999</v>
      </c>
      <c r="AD167">
        <v>-1.1690689999999999</v>
      </c>
      <c r="AE167">
        <v>0.89049999999997398</v>
      </c>
      <c r="AF167">
        <v>4.5501911405799601E-2</v>
      </c>
      <c r="AG167">
        <v>-1.1690689999999999</v>
      </c>
      <c r="AH167">
        <v>35.576571802111502</v>
      </c>
      <c r="AI167">
        <v>91.882097328373106</v>
      </c>
      <c r="AJ167">
        <v>89.926719581743697</v>
      </c>
      <c r="AK167">
        <v>35.5958038810967</v>
      </c>
      <c r="AL167">
        <v>82.250475881811099</v>
      </c>
      <c r="AM167">
        <v>88.560488340360607</v>
      </c>
      <c r="AN167">
        <v>0.99999999681277896</v>
      </c>
    </row>
    <row r="168" spans="1:40" x14ac:dyDescent="0.25">
      <c r="A168" t="str">
        <f>"20190303162213964"</f>
        <v>20190303162213964</v>
      </c>
      <c r="B168" t="str">
        <f>"1551601333954760"</f>
        <v>1551601333954760</v>
      </c>
      <c r="C168" t="s">
        <v>40</v>
      </c>
      <c r="D168">
        <v>5.4846539999999999</v>
      </c>
      <c r="E168">
        <v>0.49164449999999998</v>
      </c>
      <c r="F168" t="s">
        <v>43</v>
      </c>
      <c r="G168">
        <v>-428.00940000000003</v>
      </c>
      <c r="H168">
        <v>-0.05</v>
      </c>
      <c r="I168">
        <v>368.17660000000001</v>
      </c>
      <c r="J168">
        <v>-464.9298</v>
      </c>
      <c r="K168">
        <v>1.119054</v>
      </c>
      <c r="L168">
        <v>367.30810000000002</v>
      </c>
      <c r="M168">
        <v>0.99966929999999998</v>
      </c>
      <c r="N168">
        <v>-9.9725310000000006E-4</v>
      </c>
      <c r="O168">
        <v>2.570091E-2</v>
      </c>
      <c r="P168">
        <v>0.9909502</v>
      </c>
      <c r="Q168">
        <v>0.1342293</v>
      </c>
      <c r="R168">
        <v>6.0265839999999998E-4</v>
      </c>
      <c r="S168">
        <v>3.0401310000000001</v>
      </c>
      <c r="T168">
        <v>-9.5785380000000003E-2</v>
      </c>
      <c r="U168">
        <v>7.1502689999999994E-2</v>
      </c>
      <c r="V168">
        <v>2.4962499999999999E-2</v>
      </c>
      <c r="W168">
        <v>0.1351994</v>
      </c>
      <c r="X168">
        <v>0.99050389999999999</v>
      </c>
      <c r="Y168">
        <v>2.1754080000000002E-3</v>
      </c>
      <c r="Z168">
        <v>-8.1903499999999997E-4</v>
      </c>
      <c r="AA168">
        <v>0.99999729999999998</v>
      </c>
      <c r="AB168">
        <v>17</v>
      </c>
      <c r="AC168">
        <v>36.920399999999901</v>
      </c>
      <c r="AD168">
        <v>-1.169054</v>
      </c>
      <c r="AE168">
        <v>0.86849999999998295</v>
      </c>
      <c r="AF168">
        <v>8.0594360098058399E-2</v>
      </c>
      <c r="AG168">
        <v>-1.169054</v>
      </c>
      <c r="AH168">
        <v>36.893555826147903</v>
      </c>
      <c r="AI168">
        <v>91.814932016915407</v>
      </c>
      <c r="AJ168">
        <v>89.874836967123002</v>
      </c>
      <c r="AK168">
        <v>36.912161196587903</v>
      </c>
      <c r="AL168">
        <v>82.229849543674803</v>
      </c>
      <c r="AM168">
        <v>88.556347720313696</v>
      </c>
      <c r="AN168">
        <v>0.999999990040909</v>
      </c>
    </row>
    <row r="169" spans="1:40" x14ac:dyDescent="0.25">
      <c r="A169" t="str">
        <f>"20190303162213985"</f>
        <v>20190303162213985</v>
      </c>
      <c r="B169" t="str">
        <f>"1551601333974280"</f>
        <v>1551601333974280</v>
      </c>
      <c r="C169" t="s">
        <v>40</v>
      </c>
      <c r="D169">
        <v>5.4262499999999996</v>
      </c>
      <c r="E169">
        <v>0.49166179999999898</v>
      </c>
      <c r="F169" t="s">
        <v>43</v>
      </c>
      <c r="G169">
        <v>-427.3759</v>
      </c>
      <c r="H169">
        <v>-0.05</v>
      </c>
      <c r="I169">
        <v>368.15969999999999</v>
      </c>
      <c r="J169">
        <v>-464.75979999999998</v>
      </c>
      <c r="K169">
        <v>1.119041</v>
      </c>
      <c r="L169">
        <v>367.31189999999998</v>
      </c>
      <c r="M169">
        <v>0.9996834</v>
      </c>
      <c r="N169">
        <v>-1.0126989999999999E-3</v>
      </c>
      <c r="O169">
        <v>2.5144449999999999E-2</v>
      </c>
      <c r="P169">
        <v>0.99089280000000002</v>
      </c>
      <c r="Q169">
        <v>0.13465279999999999</v>
      </c>
      <c r="R169">
        <v>-2.194163E-4</v>
      </c>
      <c r="S169">
        <v>3.0401919999999998</v>
      </c>
      <c r="T169">
        <v>-9.4641210000000003E-2</v>
      </c>
      <c r="U169">
        <v>6.8939210000000001E-2</v>
      </c>
      <c r="V169">
        <v>2.523736E-2</v>
      </c>
      <c r="W169">
        <v>0.1356369</v>
      </c>
      <c r="X169">
        <v>0.99043720000000002</v>
      </c>
      <c r="Y169">
        <v>2.4624299999999998E-3</v>
      </c>
      <c r="Z169">
        <v>-7.9644179999999903E-4</v>
      </c>
      <c r="AA169">
        <v>0.99999669999999896</v>
      </c>
      <c r="AB169">
        <v>17</v>
      </c>
      <c r="AC169">
        <v>37.383899999999898</v>
      </c>
      <c r="AD169">
        <v>-1.169041</v>
      </c>
      <c r="AE169">
        <v>0.84780000000000599</v>
      </c>
      <c r="AF169">
        <v>9.2375770465692605E-2</v>
      </c>
      <c r="AG169">
        <v>-1.169041</v>
      </c>
      <c r="AH169">
        <v>37.3568855646934</v>
      </c>
      <c r="AI169">
        <v>91.792415444459394</v>
      </c>
      <c r="AJ169">
        <v>89.858319800776897</v>
      </c>
      <c r="AK169">
        <v>37.375287145870203</v>
      </c>
      <c r="AL169">
        <v>82.204550217759802</v>
      </c>
      <c r="AM169">
        <v>88.540360375385404</v>
      </c>
      <c r="AN169">
        <v>1.0000000700625999</v>
      </c>
    </row>
    <row r="170" spans="1:40" x14ac:dyDescent="0.25">
      <c r="A170" t="str">
        <f>"20190303162214005"</f>
        <v>20190303162214005</v>
      </c>
      <c r="B170" t="str">
        <f>"1551601333993801"</f>
        <v>1551601333993801</v>
      </c>
      <c r="C170" t="s">
        <v>40</v>
      </c>
      <c r="D170">
        <v>5.4255259999999996</v>
      </c>
      <c r="E170">
        <v>0.49165920000000002</v>
      </c>
      <c r="F170" t="s">
        <v>43</v>
      </c>
      <c r="G170">
        <v>-426.35169999999999</v>
      </c>
      <c r="H170">
        <v>-0.05</v>
      </c>
      <c r="I170">
        <v>368.14359999999999</v>
      </c>
      <c r="J170">
        <v>-464.60019999999997</v>
      </c>
      <c r="K170">
        <v>1.1190249999999999</v>
      </c>
      <c r="L170">
        <v>367.31529999999998</v>
      </c>
      <c r="M170">
        <v>0.99969660000000005</v>
      </c>
      <c r="N170">
        <v>-1.027767E-3</v>
      </c>
      <c r="O170">
        <v>2.4610170000000001E-2</v>
      </c>
      <c r="P170">
        <v>0.99090339999999999</v>
      </c>
      <c r="Q170">
        <v>0.13457189999999999</v>
      </c>
      <c r="R170">
        <v>-8.8916389999999998E-4</v>
      </c>
      <c r="S170">
        <v>3.0400999999999998</v>
      </c>
      <c r="T170">
        <v>-9.2532630000000005E-2</v>
      </c>
      <c r="U170">
        <v>6.5826419999999997E-2</v>
      </c>
      <c r="V170">
        <v>2.5381649999999999E-2</v>
      </c>
      <c r="W170">
        <v>0.1355703</v>
      </c>
      <c r="X170">
        <v>0.99044259999999995</v>
      </c>
      <c r="Y170">
        <v>2.9512900000000001E-3</v>
      </c>
      <c r="Z170">
        <v>-7.6982889999999897E-4</v>
      </c>
      <c r="AA170">
        <v>0.99999539999999998</v>
      </c>
      <c r="AB170">
        <v>17</v>
      </c>
      <c r="AC170">
        <v>38.2484999999999</v>
      </c>
      <c r="AD170">
        <v>-1.169025</v>
      </c>
      <c r="AE170">
        <v>0.82830000000001203</v>
      </c>
      <c r="AF170">
        <v>0.113147804777962</v>
      </c>
      <c r="AG170">
        <v>-1.169025</v>
      </c>
      <c r="AH170">
        <v>38.221611885937499</v>
      </c>
      <c r="AI170">
        <v>91.751863091803202</v>
      </c>
      <c r="AJ170">
        <v>89.830387249053402</v>
      </c>
      <c r="AK170">
        <v>38.239652679327399</v>
      </c>
      <c r="AL170">
        <v>82.208401449426205</v>
      </c>
      <c r="AM170">
        <v>88.532026793551196</v>
      </c>
      <c r="AN170">
        <v>1.00000003914678</v>
      </c>
    </row>
    <row r="171" spans="1:40" x14ac:dyDescent="0.25">
      <c r="A171" t="str">
        <f>"20190303162214029"</f>
        <v>20190303162214029</v>
      </c>
      <c r="B171" t="str">
        <f>"1551601334014296"</f>
        <v>1551601334014296</v>
      </c>
      <c r="C171" t="s">
        <v>40</v>
      </c>
      <c r="D171">
        <v>5.4856099999999897</v>
      </c>
      <c r="E171">
        <v>0.49158039999999997</v>
      </c>
      <c r="F171" t="s">
        <v>43</v>
      </c>
      <c r="G171">
        <v>-426.26260000000002</v>
      </c>
      <c r="H171">
        <v>-0.05</v>
      </c>
      <c r="I171">
        <v>368.11309999999997</v>
      </c>
      <c r="J171">
        <v>-464.41030000000001</v>
      </c>
      <c r="K171">
        <v>1.1190150000000001</v>
      </c>
      <c r="L171">
        <v>367.31920000000002</v>
      </c>
      <c r="M171">
        <v>0.9997123</v>
      </c>
      <c r="N171">
        <v>-1.04666E-3</v>
      </c>
      <c r="O171">
        <v>2.3965690000000001E-2</v>
      </c>
      <c r="P171">
        <v>0.99094610000000005</v>
      </c>
      <c r="Q171">
        <v>0.1342305</v>
      </c>
      <c r="R171">
        <v>-2.9006679999999999E-3</v>
      </c>
      <c r="S171">
        <v>3.0401919999999998</v>
      </c>
      <c r="T171">
        <v>-9.2704529999999993E-2</v>
      </c>
      <c r="U171">
        <v>6.3262940000000004E-2</v>
      </c>
      <c r="V171">
        <v>2.6757429999999999E-2</v>
      </c>
      <c r="W171">
        <v>0.1352457</v>
      </c>
      <c r="X171">
        <v>0.99045070000000002</v>
      </c>
      <c r="Y171">
        <v>3.150234E-3</v>
      </c>
      <c r="Z171">
        <v>-7.5502269999999996E-4</v>
      </c>
      <c r="AA171">
        <v>0.99999479999999996</v>
      </c>
      <c r="AB171">
        <v>18</v>
      </c>
      <c r="AC171">
        <v>38.147699999999901</v>
      </c>
      <c r="AD171">
        <v>-1.1690149999999999</v>
      </c>
      <c r="AE171">
        <v>0.79389999999995098</v>
      </c>
      <c r="AF171">
        <v>0.120451350781553</v>
      </c>
      <c r="AG171">
        <v>-1.1690149999999999</v>
      </c>
      <c r="AH171">
        <v>38.119987347725697</v>
      </c>
      <c r="AI171">
        <v>91.756514395314795</v>
      </c>
      <c r="AJ171">
        <v>89.818957676842601</v>
      </c>
      <c r="AK171">
        <v>38.138098274414503</v>
      </c>
      <c r="AL171">
        <v>82.227172034673501</v>
      </c>
      <c r="AM171">
        <v>88.452507522893598</v>
      </c>
      <c r="AN171">
        <v>0.99999997427959197</v>
      </c>
    </row>
    <row r="172" spans="1:40" x14ac:dyDescent="0.25">
      <c r="A172" t="str">
        <f>"20190303162214052"</f>
        <v>20190303162214052</v>
      </c>
      <c r="B172" t="str">
        <f>"1551601334044552"</f>
        <v>1551601334044552</v>
      </c>
      <c r="C172" t="s">
        <v>40</v>
      </c>
      <c r="D172">
        <v>5.4231429999999996</v>
      </c>
      <c r="E172">
        <v>0.50306859999999998</v>
      </c>
      <c r="F172" t="s">
        <v>43</v>
      </c>
      <c r="G172">
        <v>-426.41860000000003</v>
      </c>
      <c r="H172">
        <v>-0.05</v>
      </c>
      <c r="I172">
        <v>368.04500000000002</v>
      </c>
      <c r="J172">
        <v>-464.22680000000003</v>
      </c>
      <c r="K172">
        <v>1.1190059999999999</v>
      </c>
      <c r="L172">
        <v>367.3229</v>
      </c>
      <c r="M172">
        <v>0.99972720000000004</v>
      </c>
      <c r="N172">
        <v>-1.065812E-3</v>
      </c>
      <c r="O172">
        <v>2.3338979999999999E-2</v>
      </c>
      <c r="P172">
        <v>0.99094979999999999</v>
      </c>
      <c r="Q172">
        <v>0.13411010000000001</v>
      </c>
      <c r="R172">
        <v>-5.7854459999999996E-3</v>
      </c>
      <c r="S172">
        <v>3.0402529999999999</v>
      </c>
      <c r="T172">
        <v>-9.3549129999999994E-2</v>
      </c>
      <c r="U172">
        <v>5.807495E-2</v>
      </c>
      <c r="V172">
        <v>2.9021720000000001E-2</v>
      </c>
      <c r="W172">
        <v>0.13514219999999999</v>
      </c>
      <c r="X172">
        <v>0.99040110000000003</v>
      </c>
      <c r="Y172">
        <v>4.2290469999999997E-3</v>
      </c>
      <c r="Z172">
        <v>-7.6024759999999904E-4</v>
      </c>
      <c r="AA172">
        <v>0.99999079999999996</v>
      </c>
      <c r="AB172">
        <v>18</v>
      </c>
      <c r="AC172">
        <v>37.808199999999999</v>
      </c>
      <c r="AD172">
        <v>-1.169006</v>
      </c>
      <c r="AE172">
        <v>0.72210000000001096</v>
      </c>
      <c r="AF172">
        <v>0.16034863946123601</v>
      </c>
      <c r="AG172">
        <v>-1.169006</v>
      </c>
      <c r="AH172">
        <v>37.778650940204201</v>
      </c>
      <c r="AI172">
        <v>91.7723539700374</v>
      </c>
      <c r="AJ172">
        <v>89.756813838144595</v>
      </c>
      <c r="AK172">
        <v>37.797073346702398</v>
      </c>
      <c r="AL172">
        <v>82.233157349036603</v>
      </c>
      <c r="AM172">
        <v>88.321542272901397</v>
      </c>
      <c r="AN172">
        <v>1.0000000066668999</v>
      </c>
    </row>
    <row r="173" spans="1:40" x14ac:dyDescent="0.25">
      <c r="A173" t="str">
        <f>"20190303162214072"</f>
        <v>20190303162214072</v>
      </c>
      <c r="B173" t="str">
        <f>"1551601334064072"</f>
        <v>1551601334064072</v>
      </c>
      <c r="C173" t="s">
        <v>40</v>
      </c>
      <c r="D173">
        <v>5.3703880000000002</v>
      </c>
      <c r="E173">
        <v>0.52213379999999998</v>
      </c>
      <c r="F173" t="s">
        <v>42</v>
      </c>
      <c r="G173">
        <v>-463.40100000000001</v>
      </c>
      <c r="H173">
        <v>1.057121</v>
      </c>
      <c r="I173">
        <v>367.31110000000001</v>
      </c>
      <c r="J173">
        <v>-464.05470000000003</v>
      </c>
      <c r="K173">
        <v>1.1190059999999999</v>
      </c>
      <c r="L173">
        <v>367.32619999999997</v>
      </c>
      <c r="M173">
        <v>0.99974050000000003</v>
      </c>
      <c r="N173">
        <v>-1.0856430000000001E-3</v>
      </c>
      <c r="O173">
        <v>2.2752270000000002E-2</v>
      </c>
      <c r="P173">
        <v>0.99099930000000003</v>
      </c>
      <c r="Q173">
        <v>0.13359389999999999</v>
      </c>
      <c r="R173">
        <v>-8.5341810000000001E-3</v>
      </c>
      <c r="S173">
        <v>3.0581670000000001</v>
      </c>
      <c r="T173">
        <v>-0.22930420000000001</v>
      </c>
      <c r="U173">
        <v>-4.2419430000000001E-2</v>
      </c>
      <c r="V173">
        <v>3.11899E-2</v>
      </c>
      <c r="W173">
        <v>0.13464379999999901</v>
      </c>
      <c r="X173">
        <v>0.99040309999999998</v>
      </c>
      <c r="Y173">
        <v>3.645023E-2</v>
      </c>
      <c r="Z173">
        <v>-3.063175E-3</v>
      </c>
      <c r="AA173">
        <v>0.99933079999999996</v>
      </c>
      <c r="AB173">
        <v>18</v>
      </c>
      <c r="AC173">
        <v>0.65370000000001405</v>
      </c>
      <c r="AD173">
        <v>-6.1884999999999898E-2</v>
      </c>
      <c r="AE173">
        <v>-1.50999999999612E-2</v>
      </c>
      <c r="AF173">
        <v>2.97031959124122E-2</v>
      </c>
      <c r="AG173">
        <v>-6.1884999999999898E-2</v>
      </c>
      <c r="AH173">
        <v>0.64738830089403299</v>
      </c>
      <c r="AI173">
        <v>95.454710123030495</v>
      </c>
      <c r="AJ173">
        <v>87.373021637609995</v>
      </c>
      <c r="AK173">
        <v>0.65101739239967704</v>
      </c>
      <c r="AL173">
        <v>82.261977166326801</v>
      </c>
      <c r="AM173">
        <v>88.196230188002204</v>
      </c>
      <c r="AN173">
        <v>1.0000000316150199</v>
      </c>
    </row>
    <row r="174" spans="1:40" x14ac:dyDescent="0.25">
      <c r="A174" t="str">
        <f>"20190303162214096"</f>
        <v>20190303162214096</v>
      </c>
      <c r="B174" t="str">
        <f>"1551601334084568"</f>
        <v>1551601334084568</v>
      </c>
      <c r="C174" t="s">
        <v>40</v>
      </c>
      <c r="D174">
        <v>5.3763899999999998</v>
      </c>
      <c r="E174">
        <v>0.52409850000000002</v>
      </c>
      <c r="F174" t="s">
        <v>42</v>
      </c>
      <c r="G174">
        <v>-463.29039999999998</v>
      </c>
      <c r="H174">
        <v>0.95202330000000002</v>
      </c>
      <c r="I174">
        <v>367.27620000000002</v>
      </c>
      <c r="J174">
        <v>-463.8655</v>
      </c>
      <c r="K174">
        <v>1.119008</v>
      </c>
      <c r="L174">
        <v>367.32979999999998</v>
      </c>
      <c r="M174">
        <v>0.99975480000000005</v>
      </c>
      <c r="N174">
        <v>-1.110408E-3</v>
      </c>
      <c r="O174">
        <v>2.2112150000000001E-2</v>
      </c>
      <c r="P174">
        <v>0.99106439999999996</v>
      </c>
      <c r="Q174">
        <v>0.13295560000000001</v>
      </c>
      <c r="R174">
        <v>-1.068214E-2</v>
      </c>
      <c r="S174">
        <v>3.1172490000000002</v>
      </c>
      <c r="T174">
        <v>-0.68105859999999996</v>
      </c>
      <c r="U174">
        <v>-0.2036133</v>
      </c>
      <c r="V174">
        <v>3.2703839999999998E-2</v>
      </c>
      <c r="W174">
        <v>0.1340286</v>
      </c>
      <c r="X174">
        <v>0.99043769999999998</v>
      </c>
      <c r="Y174">
        <v>8.4713330000000003E-2</v>
      </c>
      <c r="Z174">
        <v>-1.3930639999999999E-2</v>
      </c>
      <c r="AA174">
        <v>0.99630799999999997</v>
      </c>
      <c r="AB174">
        <v>18</v>
      </c>
      <c r="AC174">
        <v>0.57510000000002004</v>
      </c>
      <c r="AD174">
        <v>-0.16698470000000001</v>
      </c>
      <c r="AE174">
        <v>-5.3599999999960297E-2</v>
      </c>
      <c r="AF174">
        <v>6.1189303887779101E-2</v>
      </c>
      <c r="AG174">
        <v>-0.16698470000000001</v>
      </c>
      <c r="AH174">
        <v>0.52951637313954103</v>
      </c>
      <c r="AI174">
        <v>107.39413372804199</v>
      </c>
      <c r="AJ174">
        <v>83.408310492412895</v>
      </c>
      <c r="AK174">
        <v>0.55858357509616596</v>
      </c>
      <c r="AL174">
        <v>82.297547876426293</v>
      </c>
      <c r="AM174">
        <v>88.1088043629683</v>
      </c>
      <c r="AN174">
        <v>1.0000000221749901</v>
      </c>
    </row>
    <row r="175" spans="1:40" x14ac:dyDescent="0.25">
      <c r="A175" t="str">
        <f>"20190303162214118"</f>
        <v>20190303162214118</v>
      </c>
      <c r="B175" t="str">
        <f>"1551601334113848"</f>
        <v>1551601334113848</v>
      </c>
      <c r="C175" t="s">
        <v>40</v>
      </c>
      <c r="D175">
        <v>5.3712299999999997</v>
      </c>
      <c r="E175">
        <v>0.52418690000000001</v>
      </c>
      <c r="F175" t="s">
        <v>42</v>
      </c>
      <c r="G175">
        <v>-463.14139999999998</v>
      </c>
      <c r="H175">
        <v>0.91675469999999903</v>
      </c>
      <c r="I175">
        <v>367.27699999999999</v>
      </c>
      <c r="J175">
        <v>-463.67790000000002</v>
      </c>
      <c r="K175">
        <v>1.1190150000000001</v>
      </c>
      <c r="L175">
        <v>367.33319999999998</v>
      </c>
      <c r="M175">
        <v>0.99976860000000001</v>
      </c>
      <c r="N175">
        <v>-1.137877E-3</v>
      </c>
      <c r="O175">
        <v>2.1486519999999999E-2</v>
      </c>
      <c r="P175">
        <v>0.991062</v>
      </c>
      <c r="Q175">
        <v>0.1329255</v>
      </c>
      <c r="R175">
        <v>-1.1292989999999999E-2</v>
      </c>
      <c r="S175">
        <v>3.1422729999999999</v>
      </c>
      <c r="T175">
        <v>-0.87753320000000001</v>
      </c>
      <c r="U175">
        <v>-0.22796630000000001</v>
      </c>
      <c r="V175">
        <v>3.2693529999999998E-2</v>
      </c>
      <c r="W175">
        <v>0.13402620000000001</v>
      </c>
      <c r="X175">
        <v>0.99043829999999999</v>
      </c>
      <c r="Y175">
        <v>8.9535939999999994E-2</v>
      </c>
      <c r="Z175">
        <v>-1.816162E-2</v>
      </c>
      <c r="AA175">
        <v>0.99581799999999998</v>
      </c>
      <c r="AB175">
        <v>18</v>
      </c>
      <c r="AC175">
        <v>0.53650000000004605</v>
      </c>
      <c r="AD175">
        <v>-0.2022603</v>
      </c>
      <c r="AE175">
        <v>-5.61999999999898E-2</v>
      </c>
      <c r="AF175">
        <v>5.9368208375007697E-2</v>
      </c>
      <c r="AG175">
        <v>-0.2022603</v>
      </c>
      <c r="AH175">
        <v>0.46920493529435497</v>
      </c>
      <c r="AI175">
        <v>113.154483026349</v>
      </c>
      <c r="AJ175">
        <v>82.788721184245503</v>
      </c>
      <c r="AK175">
        <v>0.51438029163871402</v>
      </c>
      <c r="AL175">
        <v>82.297686138236799</v>
      </c>
      <c r="AM175">
        <v>88.109401280744706</v>
      </c>
      <c r="AN175">
        <v>0.99999995764859395</v>
      </c>
    </row>
    <row r="176" spans="1:40" x14ac:dyDescent="0.25">
      <c r="A176" t="str">
        <f>"20190303162214140"</f>
        <v>20190303162214140</v>
      </c>
      <c r="B176" t="str">
        <f>"1551601334134344"</f>
        <v>1551601334134344</v>
      </c>
      <c r="C176" t="s">
        <v>40</v>
      </c>
      <c r="D176">
        <v>5.4368919999999896</v>
      </c>
      <c r="E176">
        <v>0.52448109999999903</v>
      </c>
      <c r="F176" t="s">
        <v>42</v>
      </c>
      <c r="G176">
        <v>-462.97890000000001</v>
      </c>
      <c r="H176">
        <v>0.90574900000000003</v>
      </c>
      <c r="I176">
        <v>367.28129999999999</v>
      </c>
      <c r="J176">
        <v>-463.49239999999998</v>
      </c>
      <c r="K176">
        <v>1.1190169999999999</v>
      </c>
      <c r="L176">
        <v>367.3365</v>
      </c>
      <c r="M176">
        <v>0.99978129999999998</v>
      </c>
      <c r="N176">
        <v>-1.167055E-3</v>
      </c>
      <c r="O176">
        <v>2.0884260000000002E-2</v>
      </c>
      <c r="P176">
        <v>0.99097919999999995</v>
      </c>
      <c r="Q176">
        <v>0.13356960000000001</v>
      </c>
      <c r="R176">
        <v>-1.0934559999999999E-2</v>
      </c>
      <c r="S176">
        <v>3.1534420000000001</v>
      </c>
      <c r="T176">
        <v>-0.96208499999999997</v>
      </c>
      <c r="U176">
        <v>-0.2326965</v>
      </c>
      <c r="V176">
        <v>3.1735289999999999E-2</v>
      </c>
      <c r="W176">
        <v>0.1347005</v>
      </c>
      <c r="X176">
        <v>0.99037799999999998</v>
      </c>
      <c r="Y176">
        <v>8.9400049999999995E-2</v>
      </c>
      <c r="Z176">
        <v>-1.956958E-2</v>
      </c>
      <c r="AA176">
        <v>0.99580349999999995</v>
      </c>
      <c r="AB176">
        <v>18</v>
      </c>
      <c r="AC176">
        <v>0.51349999999996498</v>
      </c>
      <c r="AD176">
        <v>-0.21326799999999899</v>
      </c>
      <c r="AE176">
        <v>-5.5200000000013398E-2</v>
      </c>
      <c r="AF176">
        <v>5.6309944568499297E-2</v>
      </c>
      <c r="AG176">
        <v>-0.21326799999999899</v>
      </c>
      <c r="AH176">
        <v>0.43761257629904798</v>
      </c>
      <c r="AI176">
        <v>115.79722642801001</v>
      </c>
      <c r="AJ176">
        <v>82.667736866926404</v>
      </c>
      <c r="AK176">
        <v>0.49006001328041199</v>
      </c>
      <c r="AL176">
        <v>82.258698134309697</v>
      </c>
      <c r="AM176">
        <v>88.164664175668094</v>
      </c>
      <c r="AN176">
        <v>0.999999968107816</v>
      </c>
    </row>
    <row r="177" spans="1:40" x14ac:dyDescent="0.25">
      <c r="A177" t="str">
        <f>"20190303162214165"</f>
        <v>20190303162214165</v>
      </c>
      <c r="B177" t="str">
        <f>"1551601334154840"</f>
        <v>1551601334154840</v>
      </c>
      <c r="C177" t="s">
        <v>40</v>
      </c>
      <c r="D177">
        <v>5.4065979999999998</v>
      </c>
      <c r="E177">
        <v>0.52456230000000004</v>
      </c>
      <c r="F177" t="s">
        <v>42</v>
      </c>
      <c r="G177">
        <v>-462.80939999999998</v>
      </c>
      <c r="H177">
        <v>0.90775910000000004</v>
      </c>
      <c r="I177">
        <v>367.28559999999999</v>
      </c>
      <c r="J177">
        <v>-463.2876</v>
      </c>
      <c r="K177">
        <v>1.11903</v>
      </c>
      <c r="L177">
        <v>367.34</v>
      </c>
      <c r="M177">
        <v>0.99979419999999997</v>
      </c>
      <c r="N177">
        <v>-1.200752E-3</v>
      </c>
      <c r="O177">
        <v>2.024923E-2</v>
      </c>
      <c r="P177">
        <v>0.99098600000000003</v>
      </c>
      <c r="Q177">
        <v>0.13360239999999901</v>
      </c>
      <c r="R177">
        <v>-9.8457660000000006E-3</v>
      </c>
      <c r="S177">
        <v>3.15625</v>
      </c>
      <c r="T177">
        <v>-0.97619129999999998</v>
      </c>
      <c r="U177">
        <v>-0.23391719999999999</v>
      </c>
      <c r="V177">
        <v>3.0013209999999999E-2</v>
      </c>
      <c r="W177">
        <v>0.13476850000000001</v>
      </c>
      <c r="X177">
        <v>0.99042249999999998</v>
      </c>
      <c r="Y177">
        <v>8.8998300000000002E-2</v>
      </c>
      <c r="Z177">
        <v>-1.95754E-2</v>
      </c>
      <c r="AA177">
        <v>0.99583940000000004</v>
      </c>
      <c r="AB177">
        <v>19</v>
      </c>
      <c r="AC177">
        <v>0.478200000000015</v>
      </c>
      <c r="AD177">
        <v>-0.21127089999999901</v>
      </c>
      <c r="AE177">
        <v>-5.4399999999986903E-2</v>
      </c>
      <c r="AF177">
        <v>5.3720275825478399E-2</v>
      </c>
      <c r="AG177">
        <v>-0.21127089999999901</v>
      </c>
      <c r="AH177">
        <v>0.399934114484365</v>
      </c>
      <c r="AI177">
        <v>117.63485283647501</v>
      </c>
      <c r="AJ177">
        <v>82.349661052770401</v>
      </c>
      <c r="AK177">
        <v>0.45548716463800498</v>
      </c>
      <c r="AL177">
        <v>82.254766689252193</v>
      </c>
      <c r="AM177">
        <v>88.264271889540694</v>
      </c>
      <c r="AN177">
        <v>1.0000000349364999</v>
      </c>
    </row>
    <row r="178" spans="1:40" x14ac:dyDescent="0.25">
      <c r="A178" t="str">
        <f>"20190303162214188"</f>
        <v>20190303162214188</v>
      </c>
      <c r="B178" t="str">
        <f>"1551601334174361"</f>
        <v>1551601334174361</v>
      </c>
      <c r="C178" t="s">
        <v>40</v>
      </c>
      <c r="D178">
        <v>5.4349930000000004</v>
      </c>
      <c r="E178">
        <v>0.5245765</v>
      </c>
      <c r="F178" t="s">
        <v>42</v>
      </c>
      <c r="G178">
        <v>-462.48289999999997</v>
      </c>
      <c r="H178">
        <v>0.86800580000000005</v>
      </c>
      <c r="I178">
        <v>367.28120000000001</v>
      </c>
      <c r="J178">
        <v>-463.08949999999999</v>
      </c>
      <c r="K178">
        <v>1.119049</v>
      </c>
      <c r="L178">
        <v>367.34339999999997</v>
      </c>
      <c r="M178">
        <v>0.99980579999999997</v>
      </c>
      <c r="N178">
        <v>-1.233998E-3</v>
      </c>
      <c r="O178">
        <v>1.9676809999999999E-2</v>
      </c>
      <c r="P178">
        <v>0.99102449999999997</v>
      </c>
      <c r="Q178">
        <v>0.1334032</v>
      </c>
      <c r="R178">
        <v>-8.6174719999999993E-3</v>
      </c>
      <c r="S178">
        <v>3.1578369999999998</v>
      </c>
      <c r="T178">
        <v>-0.98496790000000001</v>
      </c>
      <c r="U178">
        <v>-0.23019410000000001</v>
      </c>
      <c r="V178">
        <v>2.8211799999999999E-2</v>
      </c>
      <c r="W178">
        <v>0.13460549999999999</v>
      </c>
      <c r="X178">
        <v>0.99049759999999998</v>
      </c>
      <c r="Y178">
        <v>8.7247950000000005E-2</v>
      </c>
      <c r="Z178">
        <v>-1.9294470000000001E-2</v>
      </c>
      <c r="AA178">
        <v>0.99599979999999999</v>
      </c>
      <c r="AB178">
        <v>19</v>
      </c>
      <c r="AC178">
        <v>0.60660000000001402</v>
      </c>
      <c r="AD178">
        <v>-0.25104319999999902</v>
      </c>
      <c r="AE178">
        <v>-6.2199999999961599E-2</v>
      </c>
      <c r="AF178">
        <v>6.3381284794340298E-2</v>
      </c>
      <c r="AG178">
        <v>-0.25104319999999902</v>
      </c>
      <c r="AH178">
        <v>0.517539718483356</v>
      </c>
      <c r="AI178">
        <v>115.70957144034099</v>
      </c>
      <c r="AJ178">
        <v>83.017952830573506</v>
      </c>
      <c r="AK178">
        <v>0.57869442345356403</v>
      </c>
      <c r="AL178">
        <v>82.2641916717225</v>
      </c>
      <c r="AM178">
        <v>88.368516815224197</v>
      </c>
      <c r="AN178">
        <v>1.0000000209476201</v>
      </c>
    </row>
    <row r="179" spans="1:40" x14ac:dyDescent="0.25">
      <c r="A179" t="str">
        <f>"20190303162214209"</f>
        <v>20190303162214209</v>
      </c>
      <c r="B179" t="str">
        <f>"1551601334204617"</f>
        <v>1551601334204617</v>
      </c>
      <c r="C179" t="s">
        <v>40</v>
      </c>
      <c r="D179">
        <v>5.4902290000000002</v>
      </c>
      <c r="E179">
        <v>0.52460830000000003</v>
      </c>
      <c r="F179" t="s">
        <v>42</v>
      </c>
      <c r="G179">
        <v>-462.30759999999998</v>
      </c>
      <c r="H179">
        <v>0.8736448</v>
      </c>
      <c r="I179">
        <v>367.28750000000002</v>
      </c>
      <c r="J179">
        <v>-462.9006</v>
      </c>
      <c r="K179">
        <v>1.119073</v>
      </c>
      <c r="L179">
        <v>367.34649999999999</v>
      </c>
      <c r="M179">
        <v>0.99981549999999997</v>
      </c>
      <c r="N179">
        <v>-1.2655260000000001E-3</v>
      </c>
      <c r="O179">
        <v>1.9166490000000001E-2</v>
      </c>
      <c r="P179">
        <v>0.99110940000000003</v>
      </c>
      <c r="Q179">
        <v>0.13282049999999901</v>
      </c>
      <c r="R179">
        <v>-7.8130850000000009E-3</v>
      </c>
      <c r="S179">
        <v>3.1586609999999999</v>
      </c>
      <c r="T179">
        <v>-0.99138899999999996</v>
      </c>
      <c r="U179">
        <v>-0.2260742</v>
      </c>
      <c r="V179">
        <v>2.689594E-2</v>
      </c>
      <c r="W179">
        <v>0.13405639999999999</v>
      </c>
      <c r="X179">
        <v>0.99060859999999995</v>
      </c>
      <c r="Y179">
        <v>8.5475010000000004E-2</v>
      </c>
      <c r="Z179">
        <v>-1.898302E-2</v>
      </c>
      <c r="AA179">
        <v>0.99615940000000003</v>
      </c>
      <c r="AB179">
        <v>19</v>
      </c>
      <c r="AC179">
        <v>0.59300000000001696</v>
      </c>
      <c r="AD179">
        <v>-0.24542820000000001</v>
      </c>
      <c r="AE179">
        <v>-5.8999999999969001E-2</v>
      </c>
      <c r="AF179">
        <v>6.0152240730943198E-2</v>
      </c>
      <c r="AG179">
        <v>-0.24542820000000001</v>
      </c>
      <c r="AH179">
        <v>0.50594492862009999</v>
      </c>
      <c r="AI179">
        <v>115.719945291778</v>
      </c>
      <c r="AJ179">
        <v>83.219880250609904</v>
      </c>
      <c r="AK179">
        <v>0.56553829597701999</v>
      </c>
      <c r="AL179">
        <v>82.2959400215925</v>
      </c>
      <c r="AM179">
        <v>88.444748664092899</v>
      </c>
      <c r="AN179">
        <v>0.99999995418169996</v>
      </c>
    </row>
    <row r="180" spans="1:40" x14ac:dyDescent="0.25">
      <c r="A180" t="str">
        <f>"20190303162214230"</f>
        <v>20190303162214230</v>
      </c>
      <c r="B180" t="str">
        <f>"1551601334224136"</f>
        <v>1551601334224136</v>
      </c>
      <c r="C180" t="s">
        <v>40</v>
      </c>
      <c r="D180">
        <v>5.4686139999999996</v>
      </c>
      <c r="E180">
        <v>0.52457929999999997</v>
      </c>
      <c r="F180" t="s">
        <v>42</v>
      </c>
      <c r="G180">
        <v>-462.1318</v>
      </c>
      <c r="H180">
        <v>0.87635719999999995</v>
      </c>
      <c r="I180">
        <v>367.29169999999999</v>
      </c>
      <c r="J180">
        <v>-462.71589999999998</v>
      </c>
      <c r="K180">
        <v>1.119092</v>
      </c>
      <c r="L180">
        <v>367.34949999999998</v>
      </c>
      <c r="M180">
        <v>0.99982420000000005</v>
      </c>
      <c r="N180">
        <v>-1.2962640000000001E-3</v>
      </c>
      <c r="O180">
        <v>1.8707439999999999E-2</v>
      </c>
      <c r="P180">
        <v>0.9913459</v>
      </c>
      <c r="Q180">
        <v>0.13102819999999901</v>
      </c>
      <c r="R180">
        <v>-8.0491409999999992E-3</v>
      </c>
      <c r="S180">
        <v>3.1588129999999999</v>
      </c>
      <c r="T180">
        <v>-0.9971949</v>
      </c>
      <c r="U180">
        <v>-0.222168</v>
      </c>
      <c r="V180">
        <v>2.6672979999999999E-2</v>
      </c>
      <c r="W180">
        <v>0.13229649999999901</v>
      </c>
      <c r="X180">
        <v>0.99085120000000004</v>
      </c>
      <c r="Y180">
        <v>8.383264E-2</v>
      </c>
      <c r="Z180">
        <v>-1.8694909999999999E-2</v>
      </c>
      <c r="AA180">
        <v>0.99630450000000004</v>
      </c>
      <c r="AB180">
        <v>19</v>
      </c>
      <c r="AC180">
        <v>0.58409999999997797</v>
      </c>
      <c r="AD180">
        <v>-0.242734799999999</v>
      </c>
      <c r="AE180">
        <v>-5.7799999999986001E-2</v>
      </c>
      <c r="AF180">
        <v>5.8681031069159902E-2</v>
      </c>
      <c r="AG180">
        <v>-0.242734799999999</v>
      </c>
      <c r="AH180">
        <v>0.49778345722583001</v>
      </c>
      <c r="AI180">
        <v>115.839884274665</v>
      </c>
      <c r="AJ180">
        <v>83.276736156817506</v>
      </c>
      <c r="AK180">
        <v>0.55691293469094305</v>
      </c>
      <c r="AL180">
        <v>82.397681172840805</v>
      </c>
      <c r="AM180">
        <v>88.458012469836603</v>
      </c>
      <c r="AN180">
        <v>0.99999995615788395</v>
      </c>
    </row>
    <row r="181" spans="1:40" x14ac:dyDescent="0.25">
      <c r="A181" t="str">
        <f>"20190303162214252"</f>
        <v>20190303162214252</v>
      </c>
      <c r="B181" t="str">
        <f>"1551601334244632"</f>
        <v>1551601334244632</v>
      </c>
      <c r="C181" t="s">
        <v>40</v>
      </c>
      <c r="D181">
        <v>5.4832739999999998</v>
      </c>
      <c r="E181">
        <v>0.52520299999999998</v>
      </c>
      <c r="F181" t="s">
        <v>42</v>
      </c>
      <c r="G181">
        <v>-461.9554</v>
      </c>
      <c r="H181">
        <v>0.87687959999999998</v>
      </c>
      <c r="I181">
        <v>367.29579999999999</v>
      </c>
      <c r="J181">
        <v>-462.51929999999999</v>
      </c>
      <c r="K181">
        <v>1.11911</v>
      </c>
      <c r="L181">
        <v>367.35270000000003</v>
      </c>
      <c r="M181">
        <v>0.99983219999999995</v>
      </c>
      <c r="N181">
        <v>-1.328587E-3</v>
      </c>
      <c r="O181">
        <v>1.8268900000000001E-2</v>
      </c>
      <c r="P181">
        <v>0.99147280000000004</v>
      </c>
      <c r="Q181">
        <v>0.12999189999999999</v>
      </c>
      <c r="R181">
        <v>-9.1462039999999998E-3</v>
      </c>
      <c r="S181">
        <v>3.1572269999999998</v>
      </c>
      <c r="T181">
        <v>-1.0053810000000001</v>
      </c>
      <c r="U181">
        <v>-0.22167970000000001</v>
      </c>
      <c r="V181">
        <v>2.7327850000000001E-2</v>
      </c>
      <c r="W181">
        <v>0.13129399999999999</v>
      </c>
      <c r="X181">
        <v>0.99096669999999998</v>
      </c>
      <c r="Y181">
        <v>8.3242789999999997E-2</v>
      </c>
      <c r="Z181">
        <v>-1.8623339999999999E-2</v>
      </c>
      <c r="AA181">
        <v>0.9963552</v>
      </c>
      <c r="AB181">
        <v>20</v>
      </c>
      <c r="AC181">
        <v>0.56389999999998897</v>
      </c>
      <c r="AD181">
        <v>-0.24223040000000001</v>
      </c>
      <c r="AE181">
        <v>-5.6900000000041397E-2</v>
      </c>
      <c r="AF181">
        <v>5.6814387391737303E-2</v>
      </c>
      <c r="AG181">
        <v>-0.24223040000000001</v>
      </c>
      <c r="AH181">
        <v>0.47584627623111903</v>
      </c>
      <c r="AI181">
        <v>116.814851123731</v>
      </c>
      <c r="AJ181">
        <v>83.1913152780633</v>
      </c>
      <c r="AK181">
        <v>0.53696659104815903</v>
      </c>
      <c r="AL181">
        <v>82.455625702080397</v>
      </c>
      <c r="AM181">
        <v>88.420356877558802</v>
      </c>
      <c r="AN181">
        <v>0.99999996316525497</v>
      </c>
    </row>
    <row r="182" spans="1:40" x14ac:dyDescent="0.25">
      <c r="A182" t="str">
        <f>"20190303162214274"</f>
        <v>20190303162214274</v>
      </c>
      <c r="B182" t="str">
        <f>"1551601334264152"</f>
        <v>1551601334264152</v>
      </c>
      <c r="C182" t="s">
        <v>40</v>
      </c>
      <c r="D182">
        <v>5.4889659999999996</v>
      </c>
      <c r="E182">
        <v>0.52569149999999998</v>
      </c>
      <c r="F182" t="s">
        <v>42</v>
      </c>
      <c r="G182">
        <v>-461.77600000000001</v>
      </c>
      <c r="H182">
        <v>0.8809226</v>
      </c>
      <c r="I182">
        <v>367.29790000000003</v>
      </c>
      <c r="J182">
        <v>-462.32479999999998</v>
      </c>
      <c r="K182">
        <v>1.119137</v>
      </c>
      <c r="L182">
        <v>367.35579999999999</v>
      </c>
      <c r="M182">
        <v>0.99983920000000004</v>
      </c>
      <c r="N182">
        <v>-1.3602429999999999E-3</v>
      </c>
      <c r="O182">
        <v>1.7885680000000001E-2</v>
      </c>
      <c r="P182">
        <v>0.99145729999999999</v>
      </c>
      <c r="Q182">
        <v>0.1299806</v>
      </c>
      <c r="R182">
        <v>-1.08428E-2</v>
      </c>
      <c r="S182">
        <v>3.1562809999999999</v>
      </c>
      <c r="T182">
        <v>-1.0114860000000001</v>
      </c>
      <c r="U182">
        <v>-0.2308655</v>
      </c>
      <c r="V182">
        <v>2.8635109999999998E-2</v>
      </c>
      <c r="W182">
        <v>0.13131519999999999</v>
      </c>
      <c r="X182">
        <v>0.990927</v>
      </c>
      <c r="Y182">
        <v>8.5605619999999993E-2</v>
      </c>
      <c r="Z182">
        <v>-1.8986619999999999E-2</v>
      </c>
      <c r="AA182">
        <v>0.99614820000000004</v>
      </c>
      <c r="AB182">
        <v>20</v>
      </c>
      <c r="AC182">
        <v>0.54879999999997098</v>
      </c>
      <c r="AD182">
        <v>-0.23821439999999899</v>
      </c>
      <c r="AE182">
        <v>-5.7899999999960899E-2</v>
      </c>
      <c r="AF182">
        <v>5.7071788683133E-2</v>
      </c>
      <c r="AG182">
        <v>-0.23821439999999899</v>
      </c>
      <c r="AH182">
        <v>0.46165327714965798</v>
      </c>
      <c r="AI182">
        <v>117.117185779422</v>
      </c>
      <c r="AJ182">
        <v>82.952578347371997</v>
      </c>
      <c r="AK182">
        <v>0.52261557356614596</v>
      </c>
      <c r="AL182">
        <v>82.454400591141507</v>
      </c>
      <c r="AM182">
        <v>88.344767581461696</v>
      </c>
      <c r="AN182">
        <v>0.99999998530237599</v>
      </c>
    </row>
    <row r="183" spans="1:40" x14ac:dyDescent="0.25">
      <c r="A183" t="str">
        <f>"20190303162214295"</f>
        <v>20190303162214295</v>
      </c>
      <c r="B183" t="str">
        <f>"1551601334284648"</f>
        <v>1551601334284648</v>
      </c>
      <c r="C183" t="s">
        <v>40</v>
      </c>
      <c r="D183">
        <v>5.5011830000000002</v>
      </c>
      <c r="E183">
        <v>0.52611750000000002</v>
      </c>
      <c r="F183" t="s">
        <v>42</v>
      </c>
      <c r="G183">
        <v>-461.59519999999998</v>
      </c>
      <c r="H183">
        <v>0.88462269999999898</v>
      </c>
      <c r="I183">
        <v>367.3</v>
      </c>
      <c r="J183">
        <v>-462.13290000000001</v>
      </c>
      <c r="K183">
        <v>1.119162</v>
      </c>
      <c r="L183">
        <v>367.35879999999997</v>
      </c>
      <c r="M183">
        <v>0.99984510000000004</v>
      </c>
      <c r="N183">
        <v>-1.391357E-3</v>
      </c>
      <c r="O183">
        <v>1.7551199999999999E-2</v>
      </c>
      <c r="P183">
        <v>0.99142960000000002</v>
      </c>
      <c r="Q183">
        <v>0.1300164</v>
      </c>
      <c r="R183">
        <v>-1.278704E-2</v>
      </c>
      <c r="S183">
        <v>3.1561889999999999</v>
      </c>
      <c r="T183">
        <v>-1.0145280000000001</v>
      </c>
      <c r="U183">
        <v>-0.24121090000000001</v>
      </c>
      <c r="V183">
        <v>3.023899E-2</v>
      </c>
      <c r="W183">
        <v>0.13138329999999901</v>
      </c>
      <c r="X183">
        <v>0.99087040000000004</v>
      </c>
      <c r="Y183">
        <v>8.8369279999999995E-2</v>
      </c>
      <c r="Z183">
        <v>-1.9370499999999999E-2</v>
      </c>
      <c r="AA183">
        <v>0.99589939999999999</v>
      </c>
      <c r="AB183">
        <v>20</v>
      </c>
      <c r="AC183">
        <v>0.53770000000002904</v>
      </c>
      <c r="AD183">
        <v>-0.23453930000000001</v>
      </c>
      <c r="AE183">
        <v>-5.8799999999962403E-2</v>
      </c>
      <c r="AF183">
        <v>5.7430529615028897E-2</v>
      </c>
      <c r="AG183">
        <v>-0.23453930000000001</v>
      </c>
      <c r="AH183">
        <v>0.45166596920528801</v>
      </c>
      <c r="AI183">
        <v>117.25428421877101</v>
      </c>
      <c r="AJ183">
        <v>82.753575154383896</v>
      </c>
      <c r="AK183">
        <v>0.51216120188325998</v>
      </c>
      <c r="AL183">
        <v>82.450465206326896</v>
      </c>
      <c r="AM183">
        <v>88.252012630748993</v>
      </c>
      <c r="AN183">
        <v>1.0000000588156299</v>
      </c>
    </row>
    <row r="184" spans="1:40" x14ac:dyDescent="0.25">
      <c r="A184" t="str">
        <f>"20190303162214318"</f>
        <v>20190303162214318</v>
      </c>
      <c r="B184" t="str">
        <f>"1551601334313929"</f>
        <v>1551601334313929</v>
      </c>
      <c r="C184" t="s">
        <v>40</v>
      </c>
      <c r="D184">
        <v>5.5005249999999997</v>
      </c>
      <c r="E184">
        <v>0.52653499999999998</v>
      </c>
      <c r="F184" t="s">
        <v>42</v>
      </c>
      <c r="G184">
        <v>-461.41329999999999</v>
      </c>
      <c r="H184">
        <v>0.88745989999999997</v>
      </c>
      <c r="I184">
        <v>367.30110000000002</v>
      </c>
      <c r="J184">
        <v>-461.92270000000002</v>
      </c>
      <c r="K184">
        <v>1.1191869999999999</v>
      </c>
      <c r="L184">
        <v>367.3621</v>
      </c>
      <c r="M184">
        <v>0.99985060000000003</v>
      </c>
      <c r="N184">
        <v>-1.4252609999999999E-3</v>
      </c>
      <c r="O184">
        <v>1.7221190000000001E-2</v>
      </c>
      <c r="P184">
        <v>0.99141409999999996</v>
      </c>
      <c r="Q184">
        <v>0.1300231</v>
      </c>
      <c r="R184">
        <v>-1.385745E-2</v>
      </c>
      <c r="S184">
        <v>3.1559750000000002</v>
      </c>
      <c r="T184">
        <v>-1.0160670000000001</v>
      </c>
      <c r="U184">
        <v>-0.25161739999999999</v>
      </c>
      <c r="V184">
        <v>3.097542E-2</v>
      </c>
      <c r="W184">
        <v>0.1314244</v>
      </c>
      <c r="X184">
        <v>0.99084220000000001</v>
      </c>
      <c r="Y184">
        <v>9.116929E-2</v>
      </c>
      <c r="Z184">
        <v>-1.9736340000000002E-2</v>
      </c>
      <c r="AA184">
        <v>0.99563979999999996</v>
      </c>
      <c r="AB184">
        <v>20</v>
      </c>
      <c r="AC184">
        <v>0.50940000000002705</v>
      </c>
      <c r="AD184">
        <v>-0.23172709999999999</v>
      </c>
      <c r="AE184">
        <v>-6.0999999999978599E-2</v>
      </c>
      <c r="AF184">
        <v>5.7942553787156098E-2</v>
      </c>
      <c r="AG184">
        <v>-0.23172709999999999</v>
      </c>
      <c r="AH184">
        <v>0.42215080613957501</v>
      </c>
      <c r="AI184">
        <v>118.538299960213</v>
      </c>
      <c r="AJ184">
        <v>82.184668317058893</v>
      </c>
      <c r="AK184">
        <v>0.485042360560478</v>
      </c>
      <c r="AL184">
        <v>82.448089741653604</v>
      </c>
      <c r="AM184">
        <v>88.209419200346105</v>
      </c>
      <c r="AN184">
        <v>1.0000000574301799</v>
      </c>
    </row>
    <row r="185" spans="1:40" x14ac:dyDescent="0.25">
      <c r="A185" t="str">
        <f>"20190303162214342"</f>
        <v>20190303162214342</v>
      </c>
      <c r="B185" t="str">
        <f>"1551601334334424"</f>
        <v>1551601334334424</v>
      </c>
      <c r="C185" t="s">
        <v>40</v>
      </c>
      <c r="D185">
        <v>5.4736209999999996</v>
      </c>
      <c r="E185">
        <v>0.52651409999999998</v>
      </c>
      <c r="F185" t="s">
        <v>42</v>
      </c>
      <c r="G185">
        <v>-461.22789999999998</v>
      </c>
      <c r="H185">
        <v>0.89555359999999995</v>
      </c>
      <c r="I185">
        <v>367.30509999999998</v>
      </c>
      <c r="J185">
        <v>-461.71109999999999</v>
      </c>
      <c r="K185">
        <v>1.1192</v>
      </c>
      <c r="L185">
        <v>367.36540000000002</v>
      </c>
      <c r="M185">
        <v>0.99985590000000002</v>
      </c>
      <c r="N185">
        <v>-1.45914E-3</v>
      </c>
      <c r="O185">
        <v>1.6914269999999999E-2</v>
      </c>
      <c r="P185">
        <v>0.99142759999999996</v>
      </c>
      <c r="Q185">
        <v>0.12998019999999999</v>
      </c>
      <c r="R185">
        <v>-1.3287530000000001E-2</v>
      </c>
      <c r="S185">
        <v>3.1556090000000001</v>
      </c>
      <c r="T185">
        <v>-1.0157320000000001</v>
      </c>
      <c r="U185">
        <v>-0.2593994</v>
      </c>
      <c r="V185">
        <v>3.0098469999999999E-2</v>
      </c>
      <c r="W185">
        <v>0.131415899999999</v>
      </c>
      <c r="X185">
        <v>0.99087029999999998</v>
      </c>
      <c r="Y185">
        <v>9.3226740000000002E-2</v>
      </c>
      <c r="Z185">
        <v>-1.995978E-2</v>
      </c>
      <c r="AA185">
        <v>0.99544480000000002</v>
      </c>
      <c r="AB185">
        <v>20</v>
      </c>
      <c r="AC185">
        <v>0.48320000000001001</v>
      </c>
      <c r="AD185">
        <v>-0.223646399999999</v>
      </c>
      <c r="AE185">
        <v>-6.0300000000040599E-2</v>
      </c>
      <c r="AF185">
        <v>5.6538196949241698E-2</v>
      </c>
      <c r="AG185">
        <v>-0.223646399999999</v>
      </c>
      <c r="AH185">
        <v>0.39812954475289802</v>
      </c>
      <c r="AI185">
        <v>119.081183631768</v>
      </c>
      <c r="AJ185">
        <v>81.917495583165802</v>
      </c>
      <c r="AK185">
        <v>0.460131953196451</v>
      </c>
      <c r="AL185">
        <v>82.448580611217906</v>
      </c>
      <c r="AM185">
        <v>88.260130314434306</v>
      </c>
      <c r="AN185">
        <v>1.0000000040456201</v>
      </c>
    </row>
    <row r="186" spans="1:40" x14ac:dyDescent="0.25">
      <c r="A186" t="str">
        <f>"20190303162214364"</f>
        <v>20190303162214364</v>
      </c>
      <c r="B186" t="str">
        <f>"1551601334353944"</f>
        <v>1551601334353944</v>
      </c>
      <c r="C186" t="s">
        <v>40</v>
      </c>
      <c r="D186">
        <v>5.4734069999999999</v>
      </c>
      <c r="E186">
        <v>0.52661849999999999</v>
      </c>
      <c r="F186" t="s">
        <v>42</v>
      </c>
      <c r="G186">
        <v>-461.04109999999997</v>
      </c>
      <c r="H186">
        <v>0.90332760000000001</v>
      </c>
      <c r="I186">
        <v>367.3098</v>
      </c>
      <c r="J186">
        <v>-461.5034</v>
      </c>
      <c r="K186">
        <v>1.119205</v>
      </c>
      <c r="L186">
        <v>367.36860000000001</v>
      </c>
      <c r="M186">
        <v>0.99986059999999999</v>
      </c>
      <c r="N186">
        <v>-1.492595E-3</v>
      </c>
      <c r="O186">
        <v>1.6627070000000001E-2</v>
      </c>
      <c r="P186">
        <v>0.99141520000000005</v>
      </c>
      <c r="Q186">
        <v>0.1301822</v>
      </c>
      <c r="R186">
        <v>-1.218062E-2</v>
      </c>
      <c r="S186">
        <v>3.1557620000000002</v>
      </c>
      <c r="T186">
        <v>-1.0165959999999901</v>
      </c>
      <c r="U186">
        <v>-0.25961299999999998</v>
      </c>
      <c r="V186">
        <v>2.8706860000000001E-2</v>
      </c>
      <c r="W186">
        <v>0.13165180000000001</v>
      </c>
      <c r="X186">
        <v>0.99088030000000005</v>
      </c>
      <c r="Y186">
        <v>9.301972E-2</v>
      </c>
      <c r="Z186">
        <v>-1.985367E-2</v>
      </c>
      <c r="AA186">
        <v>0.99546630000000003</v>
      </c>
      <c r="AB186">
        <v>20</v>
      </c>
      <c r="AC186">
        <v>0.46230000000002702</v>
      </c>
      <c r="AD186">
        <v>-0.2158774</v>
      </c>
      <c r="AE186">
        <v>-5.8800000000019198E-2</v>
      </c>
      <c r="AF186">
        <v>5.4733622493931197E-2</v>
      </c>
      <c r="AG186">
        <v>-0.2158774</v>
      </c>
      <c r="AH186">
        <v>0.37976662732615502</v>
      </c>
      <c r="AI186">
        <v>119.363589400759</v>
      </c>
      <c r="AJ186">
        <v>81.798756177164094</v>
      </c>
      <c r="AK186">
        <v>0.440251646780283</v>
      </c>
      <c r="AL186">
        <v>82.434946231978401</v>
      </c>
      <c r="AM186">
        <v>88.340544276595395</v>
      </c>
      <c r="AN186">
        <v>1.00000002459119</v>
      </c>
    </row>
    <row r="187" spans="1:40" x14ac:dyDescent="0.25">
      <c r="A187" t="str">
        <f>"20190303162214387"</f>
        <v>20190303162214387</v>
      </c>
      <c r="B187" t="str">
        <f>"1551601334374440"</f>
        <v>1551601334374440</v>
      </c>
      <c r="C187" t="s">
        <v>40</v>
      </c>
      <c r="D187">
        <v>5.4363270000000004</v>
      </c>
      <c r="E187">
        <v>0.52673829999999999</v>
      </c>
      <c r="F187" t="s">
        <v>42</v>
      </c>
      <c r="G187">
        <v>-460.68700000000001</v>
      </c>
      <c r="H187">
        <v>0.85641959999999995</v>
      </c>
      <c r="I187">
        <v>367.30149999999998</v>
      </c>
      <c r="J187">
        <v>-461.29199999999997</v>
      </c>
      <c r="K187">
        <v>1.1191990000000001</v>
      </c>
      <c r="L187">
        <v>367.37180000000001</v>
      </c>
      <c r="M187">
        <v>0.99986540000000002</v>
      </c>
      <c r="N187">
        <v>-1.5267049999999999E-3</v>
      </c>
      <c r="O187">
        <v>1.6340980000000001E-2</v>
      </c>
      <c r="P187">
        <v>0.99129210000000001</v>
      </c>
      <c r="Q187">
        <v>0.13119649999999999</v>
      </c>
      <c r="R187">
        <v>-1.129463E-2</v>
      </c>
      <c r="S187">
        <v>3.1561889999999999</v>
      </c>
      <c r="T187">
        <v>-1.015857</v>
      </c>
      <c r="U187">
        <v>-0.25772089999999998</v>
      </c>
      <c r="V187">
        <v>2.7538159999999999E-2</v>
      </c>
      <c r="W187">
        <v>0.1326997</v>
      </c>
      <c r="X187">
        <v>0.99077369999999998</v>
      </c>
      <c r="Y187">
        <v>9.2195620000000006E-2</v>
      </c>
      <c r="Z187">
        <v>-1.9619870000000001E-2</v>
      </c>
      <c r="AA187">
        <v>0.99554759999999998</v>
      </c>
      <c r="AB187">
        <v>21</v>
      </c>
      <c r="AC187">
        <v>0.60500000000001797</v>
      </c>
      <c r="AD187">
        <v>-0.2627794</v>
      </c>
      <c r="AE187">
        <v>-7.0300000000031504E-2</v>
      </c>
      <c r="AF187">
        <v>6.7594633366362997E-2</v>
      </c>
      <c r="AG187">
        <v>-0.2627794</v>
      </c>
      <c r="AH187">
        <v>0.50901984701519698</v>
      </c>
      <c r="AI187">
        <v>117.101252008271</v>
      </c>
      <c r="AJ187">
        <v>82.435736925340905</v>
      </c>
      <c r="AK187">
        <v>0.57682168144034596</v>
      </c>
      <c r="AL187">
        <v>82.374374683500093</v>
      </c>
      <c r="AM187">
        <v>88.407896553892797</v>
      </c>
      <c r="AN187">
        <v>1.0000000426239799</v>
      </c>
    </row>
    <row r="188" spans="1:40" x14ac:dyDescent="0.25">
      <c r="A188" t="str">
        <f>"20190303162214407"</f>
        <v>20190303162214407</v>
      </c>
      <c r="B188" t="str">
        <f>"1551601334394426"</f>
        <v>1551601334394426</v>
      </c>
      <c r="C188" t="s">
        <v>40</v>
      </c>
      <c r="D188">
        <v>5.3961220000000001</v>
      </c>
      <c r="E188">
        <v>0.52680349999999998</v>
      </c>
      <c r="F188" t="s">
        <v>42</v>
      </c>
      <c r="G188">
        <v>-460.49590000000001</v>
      </c>
      <c r="H188">
        <v>0.86378929999999998</v>
      </c>
      <c r="I188">
        <v>367.30720000000002</v>
      </c>
      <c r="J188">
        <v>-461.09620000000001</v>
      </c>
      <c r="K188">
        <v>1.1191949999999999</v>
      </c>
      <c r="L188">
        <v>367.37470000000002</v>
      </c>
      <c r="M188">
        <v>0.99986960000000003</v>
      </c>
      <c r="N188">
        <v>-1.5585079999999999E-3</v>
      </c>
      <c r="O188">
        <v>1.6075209999999999E-2</v>
      </c>
      <c r="P188">
        <v>0.9911373</v>
      </c>
      <c r="Q188">
        <v>0.1323838</v>
      </c>
      <c r="R188">
        <v>-1.102467E-2</v>
      </c>
      <c r="S188">
        <v>3.157562</v>
      </c>
      <c r="T188">
        <v>-1.0130779999999999</v>
      </c>
      <c r="U188">
        <v>-0.2550964</v>
      </c>
      <c r="V188">
        <v>2.70058E-2</v>
      </c>
      <c r="W188">
        <v>0.13391800000000001</v>
      </c>
      <c r="X188">
        <v>0.99062439999999996</v>
      </c>
      <c r="Y188">
        <v>9.1171360000000007E-2</v>
      </c>
      <c r="Z188">
        <v>-1.9318869999999998E-2</v>
      </c>
      <c r="AA188">
        <v>0.99564779999999997</v>
      </c>
      <c r="AB188">
        <v>21</v>
      </c>
      <c r="AC188">
        <v>0.60030000000000405</v>
      </c>
      <c r="AD188">
        <v>-0.25540570000000001</v>
      </c>
      <c r="AE188">
        <v>-6.7499999999995397E-2</v>
      </c>
      <c r="AF188">
        <v>6.5442757604422599E-2</v>
      </c>
      <c r="AG188">
        <v>-0.25540570000000001</v>
      </c>
      <c r="AH188">
        <v>0.50827808407820396</v>
      </c>
      <c r="AI188">
        <v>116.490660182938</v>
      </c>
      <c r="AJ188">
        <v>82.663311854479005</v>
      </c>
      <c r="AK188">
        <v>0.57259185889215303</v>
      </c>
      <c r="AL188">
        <v>82.303942442576201</v>
      </c>
      <c r="AM188">
        <v>88.438424069316596</v>
      </c>
      <c r="AN188">
        <v>1.00000002291649</v>
      </c>
    </row>
    <row r="189" spans="1:40" x14ac:dyDescent="0.25">
      <c r="A189" t="str">
        <f>"20190303162214431"</f>
        <v>20190303162214431</v>
      </c>
      <c r="B189" t="str">
        <f>"1551601334424219"</f>
        <v>1551601334424219</v>
      </c>
      <c r="C189" t="s">
        <v>40</v>
      </c>
      <c r="D189">
        <v>5.3693600000000004</v>
      </c>
      <c r="E189">
        <v>0.52522769999999996</v>
      </c>
      <c r="F189" t="s">
        <v>42</v>
      </c>
      <c r="G189">
        <v>-460.30520000000001</v>
      </c>
      <c r="H189">
        <v>0.86615779999999998</v>
      </c>
      <c r="I189">
        <v>367.31060000000002</v>
      </c>
      <c r="J189">
        <v>-460.87200000000001</v>
      </c>
      <c r="K189">
        <v>1.119191</v>
      </c>
      <c r="L189">
        <v>367.37790000000001</v>
      </c>
      <c r="M189">
        <v>0.9998745</v>
      </c>
      <c r="N189">
        <v>-1.594991E-3</v>
      </c>
      <c r="O189">
        <v>1.576675E-2</v>
      </c>
      <c r="P189">
        <v>0.99098350000000002</v>
      </c>
      <c r="Q189">
        <v>0.133525</v>
      </c>
      <c r="R189">
        <v>-1.1095799999999999E-2</v>
      </c>
      <c r="S189">
        <v>3.1589969999999998</v>
      </c>
      <c r="T189">
        <v>-1.0105230000000001</v>
      </c>
      <c r="U189">
        <v>-0.2535095</v>
      </c>
      <c r="V189">
        <v>2.6773089999999999E-2</v>
      </c>
      <c r="W189">
        <v>0.13509450000000001</v>
      </c>
      <c r="X189">
        <v>0.99047090000000004</v>
      </c>
      <c r="Y189">
        <v>9.0414439999999999E-2</v>
      </c>
      <c r="Z189">
        <v>-1.9051530000000001E-2</v>
      </c>
      <c r="AA189">
        <v>0.995722</v>
      </c>
      <c r="AB189">
        <v>21</v>
      </c>
      <c r="AC189">
        <v>0.56679999999994302</v>
      </c>
      <c r="AD189">
        <v>-0.25303320000000001</v>
      </c>
      <c r="AE189">
        <v>-6.7299999999988799E-2</v>
      </c>
      <c r="AF189">
        <v>6.3708082424851806E-2</v>
      </c>
      <c r="AG189">
        <v>-0.25303320000000001</v>
      </c>
      <c r="AH189">
        <v>0.472759861263989</v>
      </c>
      <c r="AI189">
        <v>117.942869065648</v>
      </c>
      <c r="AJ189">
        <v>82.325180895406803</v>
      </c>
      <c r="AK189">
        <v>0.53998741327075195</v>
      </c>
      <c r="AL189">
        <v>82.235915311792994</v>
      </c>
      <c r="AM189">
        <v>88.4516338444882</v>
      </c>
      <c r="AN189">
        <v>0.99999996301260297</v>
      </c>
    </row>
    <row r="190" spans="1:40" x14ac:dyDescent="0.25">
      <c r="A190" t="str">
        <f>"20190303162214453"</f>
        <v>20190303162214453</v>
      </c>
      <c r="B190" t="str">
        <f>"1551601334444716"</f>
        <v>1551601334444716</v>
      </c>
      <c r="C190" t="s">
        <v>40</v>
      </c>
      <c r="D190">
        <v>5.3250529999999996</v>
      </c>
      <c r="E190">
        <v>0.52349299999999999</v>
      </c>
      <c r="F190" t="s">
        <v>42</v>
      </c>
      <c r="G190">
        <v>-460.06959999999998</v>
      </c>
      <c r="H190">
        <v>0.96810410000000002</v>
      </c>
      <c r="I190">
        <v>367.31549999999999</v>
      </c>
      <c r="J190">
        <v>-460.66180000000003</v>
      </c>
      <c r="K190">
        <v>1.1191899999999999</v>
      </c>
      <c r="L190">
        <v>367.38099999999997</v>
      </c>
      <c r="M190">
        <v>0.99987910000000002</v>
      </c>
      <c r="N190">
        <v>-1.6293709999999999E-3</v>
      </c>
      <c r="O190">
        <v>1.547194E-2</v>
      </c>
      <c r="P190">
        <v>0.99081430000000004</v>
      </c>
      <c r="Q190">
        <v>0.13477649999999999</v>
      </c>
      <c r="R190">
        <v>-1.1078920000000001E-2</v>
      </c>
      <c r="S190">
        <v>3.1033330000000001</v>
      </c>
      <c r="T190">
        <v>-0.58433440000000003</v>
      </c>
      <c r="U190">
        <v>-0.2394714</v>
      </c>
      <c r="V190">
        <v>2.646542E-2</v>
      </c>
      <c r="W190">
        <v>0.136379</v>
      </c>
      <c r="X190">
        <v>0.99030320000000005</v>
      </c>
      <c r="Y190">
        <v>9.049306E-2</v>
      </c>
      <c r="Z190">
        <v>-1.136673E-2</v>
      </c>
      <c r="AA190">
        <v>0.99583219999999995</v>
      </c>
      <c r="AB190">
        <v>21</v>
      </c>
      <c r="AC190">
        <v>0.59220000000004802</v>
      </c>
      <c r="AD190">
        <v>-0.1510859</v>
      </c>
      <c r="AE190">
        <v>-6.5499999999985903E-2</v>
      </c>
      <c r="AF190">
        <v>7.0144180879953902E-2</v>
      </c>
      <c r="AG190">
        <v>-0.1510859</v>
      </c>
      <c r="AH190">
        <v>0.55540176875994995</v>
      </c>
      <c r="AI190">
        <v>105.103490023219</v>
      </c>
      <c r="AJ190">
        <v>82.8019677972746</v>
      </c>
      <c r="AK190">
        <v>0.57984332369340097</v>
      </c>
      <c r="AL190">
        <v>82.161631971888198</v>
      </c>
      <c r="AM190">
        <v>88.469159719475797</v>
      </c>
      <c r="AN190">
        <v>1.0000000390135</v>
      </c>
    </row>
    <row r="191" spans="1:40" x14ac:dyDescent="0.25">
      <c r="A191" t="str">
        <f>"20190303162214474"</f>
        <v>20190303162214474</v>
      </c>
      <c r="B191" t="str">
        <f>"1551601334464235"</f>
        <v>1551601334464235</v>
      </c>
      <c r="C191" t="s">
        <v>40</v>
      </c>
      <c r="D191">
        <v>5.3605330000000002</v>
      </c>
      <c r="E191">
        <v>0.52414659999999902</v>
      </c>
      <c r="F191" t="s">
        <v>41</v>
      </c>
      <c r="G191">
        <v>-443.39530000000002</v>
      </c>
      <c r="H191" s="1">
        <v>-3.7239890000000002E-6</v>
      </c>
      <c r="I191">
        <v>366.11309999999997</v>
      </c>
      <c r="J191">
        <v>-460.45069999999998</v>
      </c>
      <c r="K191">
        <v>1.1191930000000001</v>
      </c>
      <c r="L191">
        <v>367.38389999999998</v>
      </c>
      <c r="M191">
        <v>0.99988359999999998</v>
      </c>
      <c r="N191">
        <v>-1.665419E-3</v>
      </c>
      <c r="O191">
        <v>1.517076E-2</v>
      </c>
      <c r="P191">
        <v>0.99062760000000005</v>
      </c>
      <c r="Q191">
        <v>0.13611500000000001</v>
      </c>
      <c r="R191">
        <v>-1.1401349999999999E-2</v>
      </c>
      <c r="S191">
        <v>3.0521850000000001</v>
      </c>
      <c r="T191">
        <v>-0.19783890000000001</v>
      </c>
      <c r="U191">
        <v>-0.22412109999999999</v>
      </c>
      <c r="V191">
        <v>2.6490219999999998E-2</v>
      </c>
      <c r="W191">
        <v>0.1377526</v>
      </c>
      <c r="X191">
        <v>0.9901124</v>
      </c>
      <c r="Y191">
        <v>8.8135350000000001E-2</v>
      </c>
      <c r="Z191">
        <v>-3.879071E-3</v>
      </c>
      <c r="AA191">
        <v>0.99610100000000001</v>
      </c>
      <c r="AB191">
        <v>21</v>
      </c>
      <c r="AC191">
        <v>17.055399999999899</v>
      </c>
      <c r="AD191">
        <v>-1.1191967239889999</v>
      </c>
      <c r="AE191">
        <v>-1.2707999999999999</v>
      </c>
      <c r="AF191">
        <v>1.5228759489359001</v>
      </c>
      <c r="AG191">
        <v>-1.1191967239889999</v>
      </c>
      <c r="AH191">
        <v>16.961522601392101</v>
      </c>
      <c r="AI191">
        <v>93.760076561110793</v>
      </c>
      <c r="AJ191">
        <v>84.869503402903007</v>
      </c>
      <c r="AK191">
        <v>17.066487670882101</v>
      </c>
      <c r="AL191">
        <v>82.082180608079895</v>
      </c>
      <c r="AM191">
        <v>88.467430759026499</v>
      </c>
      <c r="AN191">
        <v>1.00000003759808</v>
      </c>
    </row>
    <row r="192" spans="1:40" x14ac:dyDescent="0.25">
      <c r="A192" t="str">
        <f>"20190303162214499"</f>
        <v>20190303162214499</v>
      </c>
      <c r="B192" t="str">
        <f>"1551601334494492"</f>
        <v>1551601334494492</v>
      </c>
      <c r="C192" t="s">
        <v>40</v>
      </c>
      <c r="D192">
        <v>5.3351759999999997</v>
      </c>
      <c r="E192">
        <v>0.52587830000000002</v>
      </c>
      <c r="F192" t="s">
        <v>41</v>
      </c>
      <c r="G192">
        <v>-443.22989999999999</v>
      </c>
      <c r="H192" s="1">
        <v>-3.8066710000000002E-6</v>
      </c>
      <c r="I192">
        <v>366.08769999999998</v>
      </c>
      <c r="J192">
        <v>-460.22050000000002</v>
      </c>
      <c r="K192">
        <v>1.1191949999999999</v>
      </c>
      <c r="L192">
        <v>367.387</v>
      </c>
      <c r="M192">
        <v>0.99988860000000002</v>
      </c>
      <c r="N192">
        <v>-1.7101270000000001E-3</v>
      </c>
      <c r="O192">
        <v>1.4838399999999899E-2</v>
      </c>
      <c r="P192">
        <v>0.9904212</v>
      </c>
      <c r="Q192">
        <v>0.13760510000000001</v>
      </c>
      <c r="R192">
        <v>-1.1458579999999999E-2</v>
      </c>
      <c r="S192">
        <v>3.0530089999999999</v>
      </c>
      <c r="T192">
        <v>-0.19841829999999999</v>
      </c>
      <c r="U192">
        <v>-0.22979740000000001</v>
      </c>
      <c r="V192">
        <v>2.6218410000000001E-2</v>
      </c>
      <c r="W192">
        <v>0.13928599999999999</v>
      </c>
      <c r="X192">
        <v>0.98990509999999998</v>
      </c>
      <c r="Y192">
        <v>8.9622569999999999E-2</v>
      </c>
      <c r="Z192">
        <v>-3.9187789999999998E-3</v>
      </c>
      <c r="AA192">
        <v>0.99596810000000002</v>
      </c>
      <c r="AB192">
        <v>22</v>
      </c>
      <c r="AC192">
        <v>16.990600000000001</v>
      </c>
      <c r="AD192">
        <v>-1.1191988066709999</v>
      </c>
      <c r="AE192">
        <v>-1.2992999999999499</v>
      </c>
      <c r="AF192">
        <v>1.5446074012428099</v>
      </c>
      <c r="AG192">
        <v>-1.1191988066709999</v>
      </c>
      <c r="AH192">
        <v>16.8965606795913</v>
      </c>
      <c r="AI192">
        <v>93.773946473348303</v>
      </c>
      <c r="AJ192">
        <v>84.776795609748206</v>
      </c>
      <c r="AK192">
        <v>17.003887225923901</v>
      </c>
      <c r="AL192">
        <v>81.993468148445899</v>
      </c>
      <c r="AM192">
        <v>88.482831210195897</v>
      </c>
      <c r="AN192">
        <v>1.00000005091246</v>
      </c>
    </row>
    <row r="193" spans="1:40" x14ac:dyDescent="0.25">
      <c r="A193" t="str">
        <f>"20190303162214531"</f>
        <v>20190303162214531</v>
      </c>
      <c r="B193" t="str">
        <f>"1551601334524747"</f>
        <v>1551601334524747</v>
      </c>
      <c r="C193" t="s">
        <v>40</v>
      </c>
      <c r="D193">
        <v>5.342714</v>
      </c>
      <c r="E193">
        <v>0.52665550000000005</v>
      </c>
      <c r="F193" t="s">
        <v>41</v>
      </c>
      <c r="G193">
        <v>-443.9572</v>
      </c>
      <c r="H193" s="1">
        <v>-3.4626629999999999E-6</v>
      </c>
      <c r="I193">
        <v>366.08879999999999</v>
      </c>
      <c r="J193">
        <v>-459.89370000000002</v>
      </c>
      <c r="K193">
        <v>1.1192089999999999</v>
      </c>
      <c r="L193">
        <v>367.3913</v>
      </c>
      <c r="M193">
        <v>0.99989530000000004</v>
      </c>
      <c r="N193">
        <v>-1.8099450000000001E-3</v>
      </c>
      <c r="O193">
        <v>1.4362979999999999E-2</v>
      </c>
      <c r="P193">
        <v>0.99035139999999999</v>
      </c>
      <c r="Q193">
        <v>0.13817670000000001</v>
      </c>
      <c r="R193">
        <v>-1.056181E-2</v>
      </c>
      <c r="S193">
        <v>3.0554199999999998</v>
      </c>
      <c r="T193">
        <v>-0.2102667</v>
      </c>
      <c r="U193">
        <v>-0.24389649999999999</v>
      </c>
      <c r="V193">
        <v>2.4852829999999999E-2</v>
      </c>
      <c r="W193">
        <v>0.13995639999999901</v>
      </c>
      <c r="X193">
        <v>0.98984570000000005</v>
      </c>
      <c r="Y193">
        <v>9.3622430000000006E-2</v>
      </c>
      <c r="Z193">
        <v>-4.2573910000000001E-3</v>
      </c>
      <c r="AA193">
        <v>0.99559869999999995</v>
      </c>
      <c r="AB193">
        <v>22</v>
      </c>
      <c r="AC193">
        <v>15.936500000000001</v>
      </c>
      <c r="AD193">
        <v>-1.119212462663</v>
      </c>
      <c r="AE193">
        <v>-1.3025</v>
      </c>
      <c r="AF193">
        <v>1.5237958583045399</v>
      </c>
      <c r="AG193">
        <v>-1.119212462663</v>
      </c>
      <c r="AH193">
        <v>15.8385480323947</v>
      </c>
      <c r="AI193">
        <v>94.023503943055005</v>
      </c>
      <c r="AJ193">
        <v>84.504598123992395</v>
      </c>
      <c r="AK193">
        <v>15.950993515415901</v>
      </c>
      <c r="AL193">
        <v>81.954676553859201</v>
      </c>
      <c r="AM193">
        <v>88.561732238866995</v>
      </c>
      <c r="AN193">
        <v>0.99999998343422902</v>
      </c>
    </row>
    <row r="194" spans="1:40" x14ac:dyDescent="0.25">
      <c r="A194" t="str">
        <f>"20190303162214553"</f>
        <v>20190303162214553</v>
      </c>
      <c r="B194" t="str">
        <f>"1551601334544267"</f>
        <v>1551601334544267</v>
      </c>
      <c r="C194" t="s">
        <v>40</v>
      </c>
      <c r="D194">
        <v>5.3288010000000003</v>
      </c>
      <c r="E194">
        <v>0.52684030000000004</v>
      </c>
      <c r="F194" t="s">
        <v>42</v>
      </c>
      <c r="G194">
        <v>-459.0446</v>
      </c>
      <c r="H194">
        <v>1.059145</v>
      </c>
      <c r="I194">
        <v>367.32220000000001</v>
      </c>
      <c r="J194">
        <v>-459.67910000000001</v>
      </c>
      <c r="K194">
        <v>1.1192279999999999</v>
      </c>
      <c r="L194">
        <v>367.39400000000001</v>
      </c>
      <c r="M194">
        <v>0.99989950000000005</v>
      </c>
      <c r="N194">
        <v>-1.9147420000000001E-3</v>
      </c>
      <c r="O194">
        <v>1.405087E-2</v>
      </c>
      <c r="P194">
        <v>0.99020079999999999</v>
      </c>
      <c r="Q194">
        <v>0.13927590000000001</v>
      </c>
      <c r="R194">
        <v>-1.023716E-2</v>
      </c>
      <c r="S194">
        <v>3.0567319999999998</v>
      </c>
      <c r="T194">
        <v>-0.21621979999999999</v>
      </c>
      <c r="U194">
        <v>-0.24819949999999999</v>
      </c>
      <c r="V194">
        <v>2.4218960000000001E-2</v>
      </c>
      <c r="W194">
        <v>0.14115939999999999</v>
      </c>
      <c r="X194">
        <v>0.98969059999999998</v>
      </c>
      <c r="Y194">
        <v>9.4653650000000006E-2</v>
      </c>
      <c r="Z194">
        <v>-4.3932490000000001E-3</v>
      </c>
      <c r="AA194">
        <v>0.99550059999999996</v>
      </c>
      <c r="AB194">
        <v>22</v>
      </c>
      <c r="AC194">
        <v>0.63450000000000195</v>
      </c>
      <c r="AD194">
        <v>-6.0083000000000102E-2</v>
      </c>
      <c r="AE194">
        <v>-7.1799999999996006E-2</v>
      </c>
      <c r="AF194">
        <v>7.9999927072202603E-2</v>
      </c>
      <c r="AG194">
        <v>-6.0083000000000102E-2</v>
      </c>
      <c r="AH194">
        <v>0.62786967656246895</v>
      </c>
      <c r="AI194">
        <v>95.422609785549497</v>
      </c>
      <c r="AJ194">
        <v>82.738791722712307</v>
      </c>
      <c r="AK194">
        <v>0.63579107100305898</v>
      </c>
      <c r="AL194">
        <v>81.885058799051293</v>
      </c>
      <c r="AM194">
        <v>88.598180786424706</v>
      </c>
      <c r="AN194">
        <v>1.0000000089801</v>
      </c>
    </row>
    <row r="195" spans="1:40" x14ac:dyDescent="0.25">
      <c r="A195" t="str">
        <f>"20190303162214577"</f>
        <v>20190303162214577</v>
      </c>
      <c r="B195" t="str">
        <f>"1551601334564764"</f>
        <v>1551601334564764</v>
      </c>
      <c r="C195" t="s">
        <v>40</v>
      </c>
      <c r="D195">
        <v>5.3229769999999998</v>
      </c>
      <c r="E195">
        <v>0.5270089</v>
      </c>
      <c r="F195" t="s">
        <v>42</v>
      </c>
      <c r="G195">
        <v>-458.84249999999997</v>
      </c>
      <c r="H195">
        <v>1.0604830000000001</v>
      </c>
      <c r="I195">
        <v>367.32600000000002</v>
      </c>
      <c r="J195">
        <v>-459.44099999999997</v>
      </c>
      <c r="K195">
        <v>1.119251</v>
      </c>
      <c r="L195">
        <v>367.39699999999999</v>
      </c>
      <c r="M195">
        <v>0.99990389999999996</v>
      </c>
      <c r="N195">
        <v>-2.0679209999999999E-3</v>
      </c>
      <c r="O195">
        <v>1.3707469999999999E-2</v>
      </c>
      <c r="P195">
        <v>0.9900911</v>
      </c>
      <c r="Q195">
        <v>0.1400479</v>
      </c>
      <c r="R195">
        <v>-1.0299300000000001E-2</v>
      </c>
      <c r="S195">
        <v>3.0573429999999999</v>
      </c>
      <c r="T195">
        <v>-0.21479480000000001</v>
      </c>
      <c r="U195">
        <v>-0.24829100000000001</v>
      </c>
      <c r="V195">
        <v>2.3940969999999999E-2</v>
      </c>
      <c r="W195">
        <v>0.1420826</v>
      </c>
      <c r="X195">
        <v>0.98956529999999998</v>
      </c>
      <c r="Y195">
        <v>9.4330289999999997E-2</v>
      </c>
      <c r="Z195">
        <v>-4.3340360000000003E-3</v>
      </c>
      <c r="AA195">
        <v>0.99553150000000001</v>
      </c>
      <c r="AB195">
        <v>22</v>
      </c>
      <c r="AC195">
        <v>0.59850000000000103</v>
      </c>
      <c r="AD195">
        <v>-5.8767999999999897E-2</v>
      </c>
      <c r="AE195">
        <v>-7.1000000000026306E-2</v>
      </c>
      <c r="AF195">
        <v>7.8451360697026407E-2</v>
      </c>
      <c r="AG195">
        <v>-5.8767999999999897E-2</v>
      </c>
      <c r="AH195">
        <v>0.59184335408570998</v>
      </c>
      <c r="AI195">
        <v>95.621829037695605</v>
      </c>
      <c r="AJ195">
        <v>82.449218745022606</v>
      </c>
      <c r="AK195">
        <v>0.59990570058521497</v>
      </c>
      <c r="AL195">
        <v>81.831625182063306</v>
      </c>
      <c r="AM195">
        <v>88.614089438446896</v>
      </c>
      <c r="AN195">
        <v>1.0000000591156899</v>
      </c>
    </row>
    <row r="196" spans="1:40" x14ac:dyDescent="0.25">
      <c r="A196" t="str">
        <f>"20190303162214599"</f>
        <v>20190303162214599</v>
      </c>
      <c r="B196" t="str">
        <f>"1551601334594043"</f>
        <v>1551601334594043</v>
      </c>
      <c r="C196" t="s">
        <v>40</v>
      </c>
      <c r="D196">
        <v>5.3310420000000001</v>
      </c>
      <c r="E196">
        <v>0.52732259999999997</v>
      </c>
      <c r="F196" t="s">
        <v>41</v>
      </c>
      <c r="G196">
        <v>-443.5521</v>
      </c>
      <c r="H196" s="1">
        <v>-3.6521219999999999E-6</v>
      </c>
      <c r="I196">
        <v>366.10019999999997</v>
      </c>
      <c r="J196">
        <v>-459.21890000000002</v>
      </c>
      <c r="K196">
        <v>1.119286</v>
      </c>
      <c r="L196">
        <v>367.3997</v>
      </c>
      <c r="M196">
        <v>0.99990780000000001</v>
      </c>
      <c r="N196">
        <v>-2.2482700000000001E-3</v>
      </c>
      <c r="O196">
        <v>1.3394959999999999E-2</v>
      </c>
      <c r="P196">
        <v>0.99010529999999997</v>
      </c>
      <c r="Q196">
        <v>0.13989399999999999</v>
      </c>
      <c r="R196">
        <v>-1.1015270000000001E-2</v>
      </c>
      <c r="S196">
        <v>3.0578609999999999</v>
      </c>
      <c r="T196">
        <v>-0.21540429999999999</v>
      </c>
      <c r="U196">
        <v>-0.24957280000000001</v>
      </c>
      <c r="V196">
        <v>2.4347359999999998E-2</v>
      </c>
      <c r="W196">
        <v>0.14210719999999999</v>
      </c>
      <c r="X196">
        <v>0.98955179999999998</v>
      </c>
      <c r="Y196">
        <v>9.4418710000000003E-2</v>
      </c>
      <c r="Z196">
        <v>-4.3333340000000003E-3</v>
      </c>
      <c r="AA196">
        <v>0.99552320000000005</v>
      </c>
      <c r="AB196">
        <v>22</v>
      </c>
      <c r="AC196">
        <v>15.6668</v>
      </c>
      <c r="AD196">
        <v>-1.1192896521219999</v>
      </c>
      <c r="AE196">
        <v>-1.2995000000000201</v>
      </c>
      <c r="AF196">
        <v>1.5016279146184099</v>
      </c>
      <c r="AG196">
        <v>-1.1192896521219999</v>
      </c>
      <c r="AH196">
        <v>15.5690636204946</v>
      </c>
      <c r="AI196">
        <v>94.093099291491299</v>
      </c>
      <c r="AJ196">
        <v>84.490893156865994</v>
      </c>
      <c r="AK196">
        <v>15.681308546748101</v>
      </c>
      <c r="AL196">
        <v>81.830200833363307</v>
      </c>
      <c r="AM196">
        <v>88.590554257503896</v>
      </c>
      <c r="AN196">
        <v>1.0000000075570199</v>
      </c>
    </row>
    <row r="197" spans="1:40" x14ac:dyDescent="0.25">
      <c r="A197" t="str">
        <f>"20190303162214620"</f>
        <v>20190303162214620</v>
      </c>
      <c r="B197" t="str">
        <f>"1551601334614539"</f>
        <v>1551601334614539</v>
      </c>
      <c r="C197" t="s">
        <v>40</v>
      </c>
      <c r="D197">
        <v>5.332408</v>
      </c>
      <c r="E197">
        <v>0.52758590000000005</v>
      </c>
      <c r="F197" t="s">
        <v>41</v>
      </c>
      <c r="G197">
        <v>-443.6825</v>
      </c>
      <c r="H197" s="1">
        <v>-3.5885079999999998E-6</v>
      </c>
      <c r="I197">
        <v>366.1114</v>
      </c>
      <c r="J197">
        <v>-458.99860000000001</v>
      </c>
      <c r="K197">
        <v>1.1193390000000001</v>
      </c>
      <c r="L197">
        <v>367.40230000000003</v>
      </c>
      <c r="M197">
        <v>0.9999112</v>
      </c>
      <c r="N197">
        <v>-2.466724E-3</v>
      </c>
      <c r="O197">
        <v>1.3098729999999999E-2</v>
      </c>
      <c r="P197">
        <v>0.99013410000000002</v>
      </c>
      <c r="Q197">
        <v>0.13961680000000001</v>
      </c>
      <c r="R197">
        <v>-1.1904980000000001E-2</v>
      </c>
      <c r="S197">
        <v>3.0582889999999998</v>
      </c>
      <c r="T197">
        <v>-0.2203282</v>
      </c>
      <c r="U197">
        <v>-0.25360110000000002</v>
      </c>
      <c r="V197">
        <v>2.494238E-2</v>
      </c>
      <c r="W197">
        <v>0.14204629999999999</v>
      </c>
      <c r="X197">
        <v>0.98954569999999997</v>
      </c>
      <c r="Y197">
        <v>9.5400239999999997E-2</v>
      </c>
      <c r="Z197">
        <v>-4.4529119999999998E-3</v>
      </c>
      <c r="AA197">
        <v>0.99542900000000001</v>
      </c>
      <c r="AB197">
        <v>22</v>
      </c>
      <c r="AC197">
        <v>15.3161</v>
      </c>
      <c r="AD197">
        <v>-1.1193425885079999</v>
      </c>
      <c r="AE197">
        <v>-1.2909000000000199</v>
      </c>
      <c r="AF197">
        <v>1.4835434686381199</v>
      </c>
      <c r="AG197">
        <v>-1.1193425885079999</v>
      </c>
      <c r="AH197">
        <v>15.217173833704701</v>
      </c>
      <c r="AI197">
        <v>94.187197029507303</v>
      </c>
      <c r="AJ197">
        <v>84.431751445519694</v>
      </c>
      <c r="AK197">
        <v>15.3302383718902</v>
      </c>
      <c r="AL197">
        <v>81.833725704204298</v>
      </c>
      <c r="AM197">
        <v>88.5561146206025</v>
      </c>
      <c r="AN197">
        <v>0.99999998302612203</v>
      </c>
    </row>
    <row r="198" spans="1:40" x14ac:dyDescent="0.25">
      <c r="A198" t="str">
        <f>"20190303162214642"</f>
        <v>20190303162214642</v>
      </c>
      <c r="B198" t="str">
        <f>"1551601334634059"</f>
        <v>1551601334634059</v>
      </c>
      <c r="C198" t="s">
        <v>40</v>
      </c>
      <c r="D198">
        <v>5.3606540000000003</v>
      </c>
      <c r="E198">
        <v>0.52774829999999995</v>
      </c>
      <c r="F198" t="s">
        <v>41</v>
      </c>
      <c r="G198">
        <v>-443.68169999999998</v>
      </c>
      <c r="H198" s="1">
        <v>-3.5893079999999999E-6</v>
      </c>
      <c r="I198">
        <v>366.10890000000001</v>
      </c>
      <c r="J198">
        <v>-458.77420000000001</v>
      </c>
      <c r="K198">
        <v>1.119397</v>
      </c>
      <c r="L198">
        <v>367.4049</v>
      </c>
      <c r="M198">
        <v>0.99991419999999998</v>
      </c>
      <c r="N198">
        <v>-2.7309600000000002E-3</v>
      </c>
      <c r="O198">
        <v>1.2817500000000001E-2</v>
      </c>
      <c r="P198">
        <v>0.99013470000000003</v>
      </c>
      <c r="Q198">
        <v>0.1394717</v>
      </c>
      <c r="R198">
        <v>-1.345505E-2</v>
      </c>
      <c r="S198">
        <v>3.0582579999999999</v>
      </c>
      <c r="T198">
        <v>-0.2234952</v>
      </c>
      <c r="U198">
        <v>-0.25823970000000002</v>
      </c>
      <c r="V198">
        <v>2.620987E-2</v>
      </c>
      <c r="W198">
        <v>0.14216239999999999</v>
      </c>
      <c r="X198">
        <v>0.9894963</v>
      </c>
      <c r="Y198">
        <v>9.6608920000000001E-2</v>
      </c>
      <c r="Z198">
        <v>-4.5504550000000001E-3</v>
      </c>
      <c r="AA198">
        <v>0.99531199999999997</v>
      </c>
      <c r="AB198">
        <v>23</v>
      </c>
      <c r="AC198">
        <v>15.092499999999999</v>
      </c>
      <c r="AD198">
        <v>-1.1194005893079999</v>
      </c>
      <c r="AE198">
        <v>-1.29599999999999</v>
      </c>
      <c r="AF198">
        <v>1.4812534986877399</v>
      </c>
      <c r="AG198">
        <v>-1.1194005893079999</v>
      </c>
      <c r="AH198">
        <v>14.9927757499085</v>
      </c>
      <c r="AI198">
        <v>94.249320935758902</v>
      </c>
      <c r="AJ198">
        <v>84.357613041720995</v>
      </c>
      <c r="AK198">
        <v>15.1072993712894</v>
      </c>
      <c r="AL198">
        <v>81.827005740304202</v>
      </c>
      <c r="AM198">
        <v>88.482698854204102</v>
      </c>
      <c r="AN198">
        <v>1.00000001648643</v>
      </c>
    </row>
    <row r="199" spans="1:40" x14ac:dyDescent="0.25">
      <c r="A199" t="str">
        <f>"20190303162214666"</f>
        <v>20190303162214666</v>
      </c>
      <c r="B199" t="str">
        <f>"1551601334654556"</f>
        <v>1551601334654556</v>
      </c>
      <c r="C199" t="s">
        <v>40</v>
      </c>
      <c r="D199">
        <v>5.3426920000000004</v>
      </c>
      <c r="E199">
        <v>0.52793259999999997</v>
      </c>
      <c r="F199" t="s">
        <v>41</v>
      </c>
      <c r="G199">
        <v>-443.7013</v>
      </c>
      <c r="H199" s="1">
        <v>-3.5813520000000001E-6</v>
      </c>
      <c r="I199">
        <v>366.10180000000003</v>
      </c>
      <c r="J199">
        <v>-458.5455</v>
      </c>
      <c r="K199">
        <v>1.119467</v>
      </c>
      <c r="L199">
        <v>367.40750000000003</v>
      </c>
      <c r="M199">
        <v>0.99991660000000004</v>
      </c>
      <c r="N199">
        <v>-3.0405160000000001E-3</v>
      </c>
      <c r="O199">
        <v>1.256446E-2</v>
      </c>
      <c r="P199">
        <v>0.99010290000000001</v>
      </c>
      <c r="Q199">
        <v>0.1394466</v>
      </c>
      <c r="R199">
        <v>-1.584874E-2</v>
      </c>
      <c r="S199">
        <v>3.0582579999999999</v>
      </c>
      <c r="T199">
        <v>-0.22712280000000001</v>
      </c>
      <c r="U199">
        <v>-0.26440429999999998</v>
      </c>
      <c r="V199">
        <v>2.8345760000000001E-2</v>
      </c>
      <c r="W199">
        <v>0.14244419999999999</v>
      </c>
      <c r="X199">
        <v>0.98939690000000002</v>
      </c>
      <c r="Y199">
        <v>9.8333980000000001E-2</v>
      </c>
      <c r="Z199">
        <v>-4.6817339999999999E-3</v>
      </c>
      <c r="AA199">
        <v>0.99514250000000004</v>
      </c>
      <c r="AB199">
        <v>23</v>
      </c>
      <c r="AC199">
        <v>14.844200000000001</v>
      </c>
      <c r="AD199">
        <v>-1.1194705813519901</v>
      </c>
      <c r="AE199">
        <v>-1.3057000000000001</v>
      </c>
      <c r="AF199">
        <v>1.4837333636171099</v>
      </c>
      <c r="AG199">
        <v>-1.1194705813519901</v>
      </c>
      <c r="AH199">
        <v>14.7434152234944</v>
      </c>
      <c r="AI199">
        <v>94.320408729154195</v>
      </c>
      <c r="AJ199">
        <v>84.253271995758993</v>
      </c>
      <c r="AK199">
        <v>14.860113442675599</v>
      </c>
      <c r="AL199">
        <v>81.810693887711196</v>
      </c>
      <c r="AM199">
        <v>88.358951514414102</v>
      </c>
      <c r="AN199">
        <v>1.00000002897661</v>
      </c>
    </row>
    <row r="200" spans="1:40" x14ac:dyDescent="0.25">
      <c r="A200" t="str">
        <f>"20190303162214687"</f>
        <v>20190303162214687</v>
      </c>
      <c r="B200" t="str">
        <f>"1551601334674076"</f>
        <v>1551601334674076</v>
      </c>
      <c r="C200" t="s">
        <v>40</v>
      </c>
      <c r="D200">
        <v>5.5312890000000001</v>
      </c>
      <c r="E200">
        <v>0.52796690000000002</v>
      </c>
      <c r="F200" t="s">
        <v>42</v>
      </c>
      <c r="G200">
        <v>-457.63069999999999</v>
      </c>
      <c r="H200">
        <v>1.051021</v>
      </c>
      <c r="I200">
        <v>367.3261</v>
      </c>
      <c r="J200">
        <v>-458.31819999999999</v>
      </c>
      <c r="K200">
        <v>1.119545</v>
      </c>
      <c r="L200">
        <v>367.4101</v>
      </c>
      <c r="M200">
        <v>0.99991799999999997</v>
      </c>
      <c r="N200">
        <v>-3.3697850000000001E-3</v>
      </c>
      <c r="O200">
        <v>1.234969E-2</v>
      </c>
      <c r="P200">
        <v>0.99007409999999996</v>
      </c>
      <c r="Q200">
        <v>0.1394234</v>
      </c>
      <c r="R200">
        <v>-1.7725669999999999E-2</v>
      </c>
      <c r="S200">
        <v>3.0578919999999998</v>
      </c>
      <c r="T200">
        <v>-0.2287583</v>
      </c>
      <c r="U200">
        <v>-0.27197270000000001</v>
      </c>
      <c r="V200">
        <v>3.0001030000000001E-2</v>
      </c>
      <c r="W200">
        <v>0.14274770000000001</v>
      </c>
      <c r="X200">
        <v>0.98930430000000003</v>
      </c>
      <c r="Y200">
        <v>0.10056320000000001</v>
      </c>
      <c r="Z200">
        <v>-4.7983309999999899E-3</v>
      </c>
      <c r="AA200">
        <v>0.99491909999999895</v>
      </c>
      <c r="AB200">
        <v>23</v>
      </c>
      <c r="AC200">
        <v>0.6875</v>
      </c>
      <c r="AD200">
        <v>-6.8524000000000002E-2</v>
      </c>
      <c r="AE200">
        <v>-8.40000000000031E-2</v>
      </c>
      <c r="AF200">
        <v>9.15875735229362E-2</v>
      </c>
      <c r="AG200">
        <v>-6.8524000000000002E-2</v>
      </c>
      <c r="AH200">
        <v>0.67975657013995705</v>
      </c>
      <c r="AI200">
        <v>95.705143672481299</v>
      </c>
      <c r="AJ200">
        <v>82.326417013818997</v>
      </c>
      <c r="AK200">
        <v>0.68931329368311001</v>
      </c>
      <c r="AL200">
        <v>81.7931247018128</v>
      </c>
      <c r="AM200">
        <v>88.263015975920894</v>
      </c>
      <c r="AN200">
        <v>0.99999998282741998</v>
      </c>
    </row>
    <row r="201" spans="1:40" x14ac:dyDescent="0.25">
      <c r="A201" t="str">
        <f>"20190303162214711"</f>
        <v>20190303162214711</v>
      </c>
      <c r="B201" t="str">
        <f>"1551601334704332"</f>
        <v>1551601334704332</v>
      </c>
      <c r="C201" t="s">
        <v>40</v>
      </c>
      <c r="D201">
        <v>5.4602909999999998</v>
      </c>
      <c r="E201">
        <v>0.49163699999999999</v>
      </c>
      <c r="F201" t="s">
        <v>42</v>
      </c>
      <c r="G201">
        <v>-457.42309999999998</v>
      </c>
      <c r="H201">
        <v>1.05227</v>
      </c>
      <c r="I201">
        <v>367.32839999999999</v>
      </c>
      <c r="J201">
        <v>-458.07119999999998</v>
      </c>
      <c r="K201">
        <v>1.119621</v>
      </c>
      <c r="L201">
        <v>367.41289999999998</v>
      </c>
      <c r="M201">
        <v>0.99991920000000001</v>
      </c>
      <c r="N201">
        <v>-3.7322359999999999E-3</v>
      </c>
      <c r="O201">
        <v>1.2154750000000001E-2</v>
      </c>
      <c r="P201">
        <v>0.9901607</v>
      </c>
      <c r="Q201">
        <v>0.1386019</v>
      </c>
      <c r="R201">
        <v>-1.9280510000000001E-2</v>
      </c>
      <c r="S201">
        <v>3.0575559999999999</v>
      </c>
      <c r="T201">
        <v>-0.23013330000000001</v>
      </c>
      <c r="U201">
        <v>-0.2772522</v>
      </c>
      <c r="V201">
        <v>3.1353689999999997E-2</v>
      </c>
      <c r="W201">
        <v>0.14228660000000001</v>
      </c>
      <c r="X201">
        <v>0.98932880000000001</v>
      </c>
      <c r="Y201">
        <v>0.1020741</v>
      </c>
      <c r="Z201">
        <v>-4.8859180000000004E-3</v>
      </c>
      <c r="AA201">
        <v>0.9947648</v>
      </c>
      <c r="AB201">
        <v>23</v>
      </c>
      <c r="AC201">
        <v>0.64809999999999901</v>
      </c>
      <c r="AD201">
        <v>-6.7350999999999897E-2</v>
      </c>
      <c r="AE201">
        <v>-8.4499999999991304E-2</v>
      </c>
      <c r="AF201">
        <v>9.1400721968889501E-2</v>
      </c>
      <c r="AG201">
        <v>-6.7350999999999897E-2</v>
      </c>
      <c r="AH201">
        <v>0.64022647765471297</v>
      </c>
      <c r="AI201">
        <v>95.9455091909864</v>
      </c>
      <c r="AJ201">
        <v>81.875177742670203</v>
      </c>
      <c r="AK201">
        <v>0.650215496483738</v>
      </c>
      <c r="AL201">
        <v>81.819816406574503</v>
      </c>
      <c r="AM201">
        <v>88.184796561061802</v>
      </c>
      <c r="AN201">
        <v>1.0000000024628</v>
      </c>
    </row>
    <row r="202" spans="1:40" x14ac:dyDescent="0.25">
      <c r="A202" t="str">
        <f>"20190303162214732"</f>
        <v>20190303162214732</v>
      </c>
      <c r="B202" t="str">
        <f>"1551601334723852"</f>
        <v>1551601334723852</v>
      </c>
      <c r="C202" t="s">
        <v>40</v>
      </c>
      <c r="D202">
        <v>5.625534</v>
      </c>
      <c r="E202">
        <v>0.48618810000000001</v>
      </c>
      <c r="F202" t="s">
        <v>43</v>
      </c>
      <c r="G202">
        <v>-435.77199999999999</v>
      </c>
      <c r="H202">
        <v>-0.05</v>
      </c>
      <c r="I202">
        <v>367.47160000000002</v>
      </c>
      <c r="J202">
        <v>-457.84930000000003</v>
      </c>
      <c r="K202">
        <v>1.119688</v>
      </c>
      <c r="L202">
        <v>367.41550000000001</v>
      </c>
      <c r="M202">
        <v>0.99991949999999996</v>
      </c>
      <c r="N202">
        <v>-4.0558870000000002E-3</v>
      </c>
      <c r="O202">
        <v>1.2017760000000001E-2</v>
      </c>
      <c r="P202">
        <v>0.99031690000000006</v>
      </c>
      <c r="Q202">
        <v>0.13739849999999901</v>
      </c>
      <c r="R202">
        <v>-1.9857489999999998E-2</v>
      </c>
      <c r="S202">
        <v>3.0523989999999999</v>
      </c>
      <c r="T202">
        <v>-0.1601021</v>
      </c>
      <c r="U202">
        <v>8.0261229999999996E-3</v>
      </c>
      <c r="V202">
        <v>3.1788150000000001E-2</v>
      </c>
      <c r="W202">
        <v>0.14140620000000001</v>
      </c>
      <c r="X202">
        <v>0.98944120000000002</v>
      </c>
      <c r="Y202">
        <v>9.3606450000000008E-3</v>
      </c>
      <c r="Z202">
        <v>-8.4550249999999999E-4</v>
      </c>
      <c r="AA202">
        <v>0.99995579999999995</v>
      </c>
      <c r="AB202">
        <v>23</v>
      </c>
      <c r="AC202">
        <v>22.077300000000001</v>
      </c>
      <c r="AD202">
        <v>-1.1696879999999901</v>
      </c>
      <c r="AE202">
        <v>5.6100000000014902E-2</v>
      </c>
      <c r="AF202">
        <v>0.20864028478896399</v>
      </c>
      <c r="AG202">
        <v>-1.1696879999999901</v>
      </c>
      <c r="AH202">
        <v>22.014584487653199</v>
      </c>
      <c r="AI202">
        <v>93.041266845601498</v>
      </c>
      <c r="AJ202">
        <v>89.457003157614295</v>
      </c>
      <c r="AK202">
        <v>22.046624026136101</v>
      </c>
      <c r="AL202">
        <v>81.870775210331303</v>
      </c>
      <c r="AM202">
        <v>88.159869851084295</v>
      </c>
      <c r="AN202">
        <v>1.00000004406815</v>
      </c>
    </row>
    <row r="203" spans="1:40" x14ac:dyDescent="0.25">
      <c r="A203" t="str">
        <f>"20190303162214756"</f>
        <v>20190303162214756</v>
      </c>
      <c r="B203" t="str">
        <f>"1551601334744348"</f>
        <v>1551601334744348</v>
      </c>
      <c r="C203" t="s">
        <v>40</v>
      </c>
      <c r="D203">
        <v>5.4513040000000004</v>
      </c>
      <c r="E203">
        <v>0.4845873</v>
      </c>
      <c r="F203" t="s">
        <v>43</v>
      </c>
      <c r="G203">
        <v>-434.38799999999998</v>
      </c>
      <c r="H203">
        <v>-0.05</v>
      </c>
      <c r="I203">
        <v>367.7989</v>
      </c>
      <c r="J203">
        <v>-457.61160000000001</v>
      </c>
      <c r="K203">
        <v>1.1197539999999999</v>
      </c>
      <c r="L203">
        <v>367.41820000000001</v>
      </c>
      <c r="M203">
        <v>0.99991940000000001</v>
      </c>
      <c r="N203">
        <v>-4.3980130000000001E-3</v>
      </c>
      <c r="O203">
        <v>1.1914259999999999E-2</v>
      </c>
      <c r="P203">
        <v>0.99044770000000004</v>
      </c>
      <c r="Q203">
        <v>0.1365294</v>
      </c>
      <c r="R203">
        <v>-1.9324830000000001E-2</v>
      </c>
      <c r="S203">
        <v>3.051453</v>
      </c>
      <c r="T203">
        <v>-0.1521332</v>
      </c>
      <c r="U203">
        <v>4.9865720000000002E-2</v>
      </c>
      <c r="V203">
        <v>3.1145539999999999E-2</v>
      </c>
      <c r="W203">
        <v>0.140878</v>
      </c>
      <c r="X203">
        <v>0.98953690000000005</v>
      </c>
      <c r="Y203">
        <v>-4.4318159999999999E-3</v>
      </c>
      <c r="Z203">
        <v>-4.2104270000000002E-4</v>
      </c>
      <c r="AA203">
        <v>0.99999009999999999</v>
      </c>
      <c r="AB203">
        <v>23</v>
      </c>
      <c r="AC203">
        <v>23.223599999999902</v>
      </c>
      <c r="AD203">
        <v>-1.169754</v>
      </c>
      <c r="AE203">
        <v>0.38069999999998999</v>
      </c>
      <c r="AF203">
        <v>-0.103715246861801</v>
      </c>
      <c r="AG203">
        <v>-1.169754</v>
      </c>
      <c r="AH203">
        <v>23.167725404207101</v>
      </c>
      <c r="AI203">
        <v>92.890418889777706</v>
      </c>
      <c r="AJ203">
        <v>90.256495021229199</v>
      </c>
      <c r="AK203">
        <v>23.1974692946815</v>
      </c>
      <c r="AL203">
        <v>81.901344225800301</v>
      </c>
      <c r="AM203">
        <v>88.197218256112194</v>
      </c>
      <c r="AN203">
        <v>0.99999996600374996</v>
      </c>
    </row>
    <row r="204" spans="1:40" x14ac:dyDescent="0.25">
      <c r="A204" t="str">
        <f>"20190303162214778"</f>
        <v>20190303162214778</v>
      </c>
      <c r="B204" t="str">
        <f>"1551601334774603"</f>
        <v>1551601334774603</v>
      </c>
      <c r="C204" t="s">
        <v>40</v>
      </c>
      <c r="D204">
        <v>5.3835499999999996</v>
      </c>
      <c r="E204">
        <v>0.4837262</v>
      </c>
      <c r="F204" t="s">
        <v>43</v>
      </c>
      <c r="G204">
        <v>-433.28719999999998</v>
      </c>
      <c r="H204">
        <v>-0.05</v>
      </c>
      <c r="I204">
        <v>367.92899999999997</v>
      </c>
      <c r="J204">
        <v>-457.37400000000002</v>
      </c>
      <c r="K204">
        <v>1.1198109999999999</v>
      </c>
      <c r="L204">
        <v>367.42099999999999</v>
      </c>
      <c r="M204">
        <v>0.99991859999999999</v>
      </c>
      <c r="N204">
        <v>-4.7349260000000004E-3</v>
      </c>
      <c r="O204">
        <v>1.185108E-2</v>
      </c>
      <c r="P204">
        <v>0.99049940000000003</v>
      </c>
      <c r="Q204">
        <v>0.136272</v>
      </c>
      <c r="R204">
        <v>-1.8459199999999999E-2</v>
      </c>
      <c r="S204">
        <v>3.050446</v>
      </c>
      <c r="T204">
        <v>-0.1466953</v>
      </c>
      <c r="U204">
        <v>6.4056399999999999E-2</v>
      </c>
      <c r="V204">
        <v>3.020979E-2</v>
      </c>
      <c r="W204">
        <v>0.14095629999999901</v>
      </c>
      <c r="X204">
        <v>0.98955479999999996</v>
      </c>
      <c r="Y204">
        <v>-9.1438539999999999E-3</v>
      </c>
      <c r="Z204">
        <v>-2.7203870000000002E-4</v>
      </c>
      <c r="AA204">
        <v>0.99995820000000002</v>
      </c>
      <c r="AB204">
        <v>23</v>
      </c>
      <c r="AC204">
        <v>24.0868</v>
      </c>
      <c r="AD204">
        <v>-1.1698109999999999</v>
      </c>
      <c r="AE204">
        <v>0.50800000000003798</v>
      </c>
      <c r="AF204">
        <v>-0.22198318153701799</v>
      </c>
      <c r="AG204">
        <v>-1.1698109999999999</v>
      </c>
      <c r="AH204">
        <v>24.034463898080599</v>
      </c>
      <c r="AI204">
        <v>92.786395793897398</v>
      </c>
      <c r="AJ204">
        <v>90.529170854147793</v>
      </c>
      <c r="AK204">
        <v>24.0639396021671</v>
      </c>
      <c r="AL204">
        <v>81.896813075053601</v>
      </c>
      <c r="AM204">
        <v>88.251379269932002</v>
      </c>
      <c r="AN204">
        <v>1.00000000606228</v>
      </c>
    </row>
    <row r="205" spans="1:40" x14ac:dyDescent="0.25">
      <c r="A205" t="str">
        <f>"20190303162214801"</f>
        <v>20190303162214801</v>
      </c>
      <c r="B205" t="str">
        <f>"1551601334794507"</f>
        <v>1551601334794507</v>
      </c>
      <c r="C205" t="s">
        <v>40</v>
      </c>
      <c r="D205">
        <v>5.5029329999999996</v>
      </c>
      <c r="E205">
        <v>0.48374149999999999</v>
      </c>
      <c r="F205" t="s">
        <v>43</v>
      </c>
      <c r="G205">
        <v>-432.38170000000002</v>
      </c>
      <c r="H205">
        <v>-0.05</v>
      </c>
      <c r="I205">
        <v>368.01339999999999</v>
      </c>
      <c r="J205">
        <v>-457.13690000000003</v>
      </c>
      <c r="K205">
        <v>1.1198650000000001</v>
      </c>
      <c r="L205">
        <v>367.4237</v>
      </c>
      <c r="M205">
        <v>0.99991730000000001</v>
      </c>
      <c r="N205">
        <v>-5.0726510000000001E-3</v>
      </c>
      <c r="O205">
        <v>1.181785E-2</v>
      </c>
      <c r="P205">
        <v>0.99061500000000002</v>
      </c>
      <c r="Q205">
        <v>0.1357112</v>
      </c>
      <c r="R205">
        <v>-1.6269860000000001E-2</v>
      </c>
      <c r="S205">
        <v>3.0497740000000002</v>
      </c>
      <c r="T205">
        <v>-0.14275070000000001</v>
      </c>
      <c r="U205">
        <v>7.2296139999999995E-2</v>
      </c>
      <c r="V205">
        <v>2.7982509999999999E-2</v>
      </c>
      <c r="W205">
        <v>0.1407321</v>
      </c>
      <c r="X205">
        <v>0.98965219999999998</v>
      </c>
      <c r="Y205">
        <v>-1.187828E-2</v>
      </c>
      <c r="Z205">
        <v>-1.8488320000000001E-4</v>
      </c>
      <c r="AA205">
        <v>0.99992939999999997</v>
      </c>
      <c r="AB205">
        <v>23</v>
      </c>
      <c r="AC205">
        <v>24.755199999999999</v>
      </c>
      <c r="AD205">
        <v>-1.1698649999999999</v>
      </c>
      <c r="AE205">
        <v>0.58969999999999301</v>
      </c>
      <c r="AF205">
        <v>-0.29644016248449601</v>
      </c>
      <c r="AG205">
        <v>-1.1698649999999999</v>
      </c>
      <c r="AH205">
        <v>24.705298316874899</v>
      </c>
      <c r="AI205">
        <v>92.710895478621893</v>
      </c>
      <c r="AJ205">
        <v>90.687462053723195</v>
      </c>
      <c r="AK205">
        <v>24.7347574440087</v>
      </c>
      <c r="AL205">
        <v>81.909788166440094</v>
      </c>
      <c r="AM205">
        <v>88.380387913927905</v>
      </c>
      <c r="AN205">
        <v>1.00000001090057</v>
      </c>
    </row>
    <row r="206" spans="1:40" x14ac:dyDescent="0.25">
      <c r="A206" t="str">
        <f>"20190303162214824"</f>
        <v>20190303162214824</v>
      </c>
      <c r="B206" t="str">
        <f>"1551601334813997"</f>
        <v>1551601334813997</v>
      </c>
      <c r="C206" t="s">
        <v>40</v>
      </c>
      <c r="D206">
        <v>5.3821659999999998</v>
      </c>
      <c r="E206">
        <v>0.48370809999999997</v>
      </c>
      <c r="F206" t="s">
        <v>43</v>
      </c>
      <c r="G206">
        <v>-431.87599999999998</v>
      </c>
      <c r="H206">
        <v>-0.05</v>
      </c>
      <c r="I206">
        <v>368.06819999999999</v>
      </c>
      <c r="J206">
        <v>-456.89699999999999</v>
      </c>
      <c r="K206">
        <v>1.1199190000000001</v>
      </c>
      <c r="L206">
        <v>367.42660000000001</v>
      </c>
      <c r="M206">
        <v>0.99991560000000002</v>
      </c>
      <c r="N206">
        <v>-5.431427E-3</v>
      </c>
      <c r="O206">
        <v>1.1803920000000001E-2</v>
      </c>
      <c r="P206">
        <v>0.99073279999999997</v>
      </c>
      <c r="Q206">
        <v>0.13516710000000001</v>
      </c>
      <c r="R206">
        <v>-1.336388E-2</v>
      </c>
      <c r="S206">
        <v>3.0490719999999998</v>
      </c>
      <c r="T206">
        <v>-0.1412069</v>
      </c>
      <c r="U206">
        <v>7.778931E-2</v>
      </c>
      <c r="V206">
        <v>2.5060519999999999E-2</v>
      </c>
      <c r="W206">
        <v>0.14054430000000001</v>
      </c>
      <c r="X206">
        <v>0.9897572</v>
      </c>
      <c r="Y206">
        <v>-1.3695590000000001E-2</v>
      </c>
      <c r="Z206">
        <v>-1.280376E-4</v>
      </c>
      <c r="AA206">
        <v>0.99990619999999997</v>
      </c>
      <c r="AB206">
        <v>23</v>
      </c>
      <c r="AC206">
        <v>25.021000000000001</v>
      </c>
      <c r="AD206">
        <v>-1.1699189999999999</v>
      </c>
      <c r="AE206">
        <v>0.64159999999998196</v>
      </c>
      <c r="AF206">
        <v>-0.34545031761278699</v>
      </c>
      <c r="AG206">
        <v>-1.1699189999999999</v>
      </c>
      <c r="AH206">
        <v>24.972270217653499</v>
      </c>
      <c r="AI206">
        <v>92.682016735021094</v>
      </c>
      <c r="AJ206">
        <v>90.792542394901105</v>
      </c>
      <c r="AK206">
        <v>25.002046440481699</v>
      </c>
      <c r="AL206">
        <v>81.920656425647195</v>
      </c>
      <c r="AM206">
        <v>88.549588419509504</v>
      </c>
      <c r="AN206">
        <v>1.0000000224384999</v>
      </c>
    </row>
    <row r="207" spans="1:40" x14ac:dyDescent="0.25">
      <c r="A207" t="str">
        <f>"20190303162214843"</f>
        <v>20190303162214843</v>
      </c>
      <c r="B207" t="str">
        <f>"1551601334834493"</f>
        <v>1551601334834493</v>
      </c>
      <c r="C207" t="s">
        <v>40</v>
      </c>
      <c r="D207">
        <v>5.3816920000000001</v>
      </c>
      <c r="E207">
        <v>0.48376530000000001</v>
      </c>
      <c r="F207" t="s">
        <v>43</v>
      </c>
      <c r="G207">
        <v>-431.55020000000002</v>
      </c>
      <c r="H207">
        <v>-0.05</v>
      </c>
      <c r="I207">
        <v>368.14210000000003</v>
      </c>
      <c r="J207">
        <v>-456.68830000000003</v>
      </c>
      <c r="K207">
        <v>1.1199619999999999</v>
      </c>
      <c r="L207">
        <v>367.42899999999997</v>
      </c>
      <c r="M207">
        <v>0.99991379999999996</v>
      </c>
      <c r="N207">
        <v>-5.7689580000000002E-3</v>
      </c>
      <c r="O207">
        <v>1.180114E-2</v>
      </c>
      <c r="P207">
        <v>0.99084899999999998</v>
      </c>
      <c r="Q207">
        <v>0.13457820000000001</v>
      </c>
      <c r="R207">
        <v>-1.03669E-2</v>
      </c>
      <c r="S207">
        <v>3.0484309999999999</v>
      </c>
      <c r="T207">
        <v>-0.140705</v>
      </c>
      <c r="U207">
        <v>8.6059570000000002E-2</v>
      </c>
      <c r="V207">
        <v>2.2060880000000001E-2</v>
      </c>
      <c r="W207">
        <v>0.14029069999999999</v>
      </c>
      <c r="X207">
        <v>0.98986450000000004</v>
      </c>
      <c r="Y207">
        <v>-1.6410899999999999E-2</v>
      </c>
      <c r="Z207" s="1">
        <v>-5.0396219999999998E-5</v>
      </c>
      <c r="AA207">
        <v>0.99986540000000002</v>
      </c>
      <c r="AB207">
        <v>23</v>
      </c>
      <c r="AC207">
        <v>25.138100000000001</v>
      </c>
      <c r="AD207">
        <v>-1.1699619999999999</v>
      </c>
      <c r="AE207">
        <v>0.71309999999999696</v>
      </c>
      <c r="AF207">
        <v>-0.41548792497169801</v>
      </c>
      <c r="AG207">
        <v>-1.1699619999999999</v>
      </c>
      <c r="AH207">
        <v>25.0904602001897</v>
      </c>
      <c r="AI207">
        <v>92.669388829675995</v>
      </c>
      <c r="AJ207">
        <v>90.948708341946997</v>
      </c>
      <c r="AK207">
        <v>25.1211590965573</v>
      </c>
      <c r="AL207">
        <v>81.935331411946294</v>
      </c>
      <c r="AM207">
        <v>88.723273636748701</v>
      </c>
      <c r="AN207">
        <v>0.99999994564655503</v>
      </c>
    </row>
    <row r="208" spans="1:40" x14ac:dyDescent="0.25">
      <c r="A208" t="str">
        <f>"20190303162214865"</f>
        <v>20190303162214865</v>
      </c>
      <c r="B208" t="str">
        <f>"1551601334854012"</f>
        <v>1551601334854012</v>
      </c>
      <c r="C208" t="s">
        <v>40</v>
      </c>
      <c r="D208">
        <v>5.3841159999999997</v>
      </c>
      <c r="E208">
        <v>0.48377310000000001</v>
      </c>
      <c r="F208" t="s">
        <v>43</v>
      </c>
      <c r="G208">
        <v>-430.9375</v>
      </c>
      <c r="H208">
        <v>-0.05</v>
      </c>
      <c r="I208">
        <v>368.2269</v>
      </c>
      <c r="J208">
        <v>-456.45060000000001</v>
      </c>
      <c r="K208">
        <v>1.120012</v>
      </c>
      <c r="L208">
        <v>367.43180000000001</v>
      </c>
      <c r="M208">
        <v>0.9999112</v>
      </c>
      <c r="N208">
        <v>-6.1692619999999896E-3</v>
      </c>
      <c r="O208">
        <v>1.1803610000000001E-2</v>
      </c>
      <c r="P208">
        <v>0.99094590000000005</v>
      </c>
      <c r="Q208">
        <v>0.1340287</v>
      </c>
      <c r="R208">
        <v>-7.8915659999999992E-3</v>
      </c>
      <c r="S208">
        <v>3.0475460000000001</v>
      </c>
      <c r="T208">
        <v>-0.1384619</v>
      </c>
      <c r="U208">
        <v>9.4421389999999994E-2</v>
      </c>
      <c r="V208">
        <v>1.9589889999999999E-2</v>
      </c>
      <c r="W208">
        <v>0.14013819999999999</v>
      </c>
      <c r="X208">
        <v>0.98993810000000004</v>
      </c>
      <c r="Y208">
        <v>-1.915422E-2</v>
      </c>
      <c r="Z208" s="1">
        <v>3.0859289999999997E-5</v>
      </c>
      <c r="AA208">
        <v>0.9998165</v>
      </c>
      <c r="AB208">
        <v>24</v>
      </c>
      <c r="AC208">
        <v>25.513100000000001</v>
      </c>
      <c r="AD208">
        <v>-1.1700120000000001</v>
      </c>
      <c r="AE208">
        <v>0.79509999999999004</v>
      </c>
      <c r="AF208">
        <v>-0.49285665538670997</v>
      </c>
      <c r="AG208">
        <v>-1.1700120000000001</v>
      </c>
      <c r="AH208">
        <v>25.4672003987877</v>
      </c>
      <c r="AI208">
        <v>92.629936576755796</v>
      </c>
      <c r="AJ208">
        <v>91.108684161187298</v>
      </c>
      <c r="AK208">
        <v>25.498826088957799</v>
      </c>
      <c r="AL208">
        <v>81.944156316796196</v>
      </c>
      <c r="AM208">
        <v>88.866321502515405</v>
      </c>
      <c r="AN208">
        <v>0.99999996036052996</v>
      </c>
    </row>
    <row r="209" spans="1:40" x14ac:dyDescent="0.25">
      <c r="A209" t="str">
        <f>"20190303162214888"</f>
        <v>20190303162214888</v>
      </c>
      <c r="B209" t="str">
        <f>"1551601334874509"</f>
        <v>1551601334874509</v>
      </c>
      <c r="C209" t="s">
        <v>40</v>
      </c>
      <c r="D209">
        <v>5.3891210000000003</v>
      </c>
      <c r="E209">
        <v>0.48324919999999999</v>
      </c>
      <c r="F209" t="s">
        <v>43</v>
      </c>
      <c r="G209">
        <v>-430.58</v>
      </c>
      <c r="H209">
        <v>-0.05</v>
      </c>
      <c r="I209">
        <v>368.29599999999999</v>
      </c>
      <c r="J209">
        <v>-456.21449999999999</v>
      </c>
      <c r="K209">
        <v>1.1200680000000001</v>
      </c>
      <c r="L209">
        <v>367.43459999999999</v>
      </c>
      <c r="M209">
        <v>0.99990869999999998</v>
      </c>
      <c r="N209">
        <v>-6.5849979999999999E-3</v>
      </c>
      <c r="O209">
        <v>1.1806769999999999E-2</v>
      </c>
      <c r="P209">
        <v>0.99099789999999999</v>
      </c>
      <c r="Q209">
        <v>0.13370560000000001</v>
      </c>
      <c r="R209">
        <v>-6.7792140000000004E-3</v>
      </c>
      <c r="S209">
        <v>3.0468139999999999</v>
      </c>
      <c r="T209">
        <v>-0.13779369999999999</v>
      </c>
      <c r="U209">
        <v>0.10177609999999999</v>
      </c>
      <c r="V209">
        <v>1.848257E-2</v>
      </c>
      <c r="W209">
        <v>0.14022699999999999</v>
      </c>
      <c r="X209">
        <v>0.98994680000000002</v>
      </c>
      <c r="Y209">
        <v>-2.1566289999999998E-2</v>
      </c>
      <c r="Z209">
        <v>1.025452E-4</v>
      </c>
      <c r="AA209">
        <v>0.99976739999999997</v>
      </c>
      <c r="AB209">
        <v>24</v>
      </c>
      <c r="AC209">
        <v>25.634499999999999</v>
      </c>
      <c r="AD209">
        <v>-1.1700680000000001</v>
      </c>
      <c r="AE209">
        <v>0.86140000000000305</v>
      </c>
      <c r="AF209">
        <v>-0.55751256262599103</v>
      </c>
      <c r="AG209">
        <v>-1.1700680000000001</v>
      </c>
      <c r="AH209">
        <v>25.589630424987298</v>
      </c>
      <c r="AI209">
        <v>92.617365840494898</v>
      </c>
      <c r="AJ209">
        <v>91.248086187575296</v>
      </c>
      <c r="AK209">
        <v>25.6224328405705</v>
      </c>
      <c r="AL209">
        <v>81.939017561079297</v>
      </c>
      <c r="AM209">
        <v>88.930396829340694</v>
      </c>
      <c r="AN209">
        <v>0.99999994187651997</v>
      </c>
    </row>
    <row r="210" spans="1:40" x14ac:dyDescent="0.25">
      <c r="A210" t="str">
        <f>"20190303162214912"</f>
        <v>20190303162214912</v>
      </c>
      <c r="B210" t="str">
        <f>"1551601334904250"</f>
        <v>1551601334904250</v>
      </c>
      <c r="C210" t="s">
        <v>40</v>
      </c>
      <c r="D210">
        <v>5.3748139999999998</v>
      </c>
      <c r="E210">
        <v>0.48296210000000001</v>
      </c>
      <c r="F210" t="s">
        <v>43</v>
      </c>
      <c r="G210">
        <v>-430.59059999999999</v>
      </c>
      <c r="H210">
        <v>-0.05</v>
      </c>
      <c r="I210">
        <v>368.35270000000003</v>
      </c>
      <c r="J210">
        <v>-455.96789999999999</v>
      </c>
      <c r="K210">
        <v>1.120128</v>
      </c>
      <c r="L210">
        <v>367.4375</v>
      </c>
      <c r="M210">
        <v>0.9999053</v>
      </c>
      <c r="N210">
        <v>-7.0577219999999998E-3</v>
      </c>
      <c r="O210">
        <v>1.1806229999999999E-2</v>
      </c>
      <c r="P210">
        <v>0.99108300000000005</v>
      </c>
      <c r="Q210">
        <v>0.13308610000000001</v>
      </c>
      <c r="R210">
        <v>-6.54421E-3</v>
      </c>
      <c r="S210">
        <v>3.046783</v>
      </c>
      <c r="T210">
        <v>-0.13912569999999999</v>
      </c>
      <c r="U210">
        <v>0.10916140000000001</v>
      </c>
      <c r="V210">
        <v>1.8249580000000001E-2</v>
      </c>
      <c r="W210">
        <v>0.1400759</v>
      </c>
      <c r="X210">
        <v>0.98997259999999998</v>
      </c>
      <c r="Y210">
        <v>-2.3983939999999999E-2</v>
      </c>
      <c r="Z210">
        <v>1.764957E-4</v>
      </c>
      <c r="AA210">
        <v>0.9997123</v>
      </c>
      <c r="AB210">
        <v>24</v>
      </c>
      <c r="AC210">
        <v>25.377299999999899</v>
      </c>
      <c r="AD210">
        <v>-1.1701280000000001</v>
      </c>
      <c r="AE210">
        <v>0.91520000000002699</v>
      </c>
      <c r="AF210">
        <v>-0.61421431784520597</v>
      </c>
      <c r="AG210">
        <v>-1.1701280000000001</v>
      </c>
      <c r="AH210">
        <v>25.3325479387393</v>
      </c>
      <c r="AI210">
        <v>92.643876184327794</v>
      </c>
      <c r="AJ210">
        <v>91.388924420365399</v>
      </c>
      <c r="AK210">
        <v>25.366995167602202</v>
      </c>
      <c r="AL210">
        <v>81.947761942142193</v>
      </c>
      <c r="AM210">
        <v>88.943904617287899</v>
      </c>
      <c r="AN210">
        <v>1.00000002684087</v>
      </c>
    </row>
    <row r="211" spans="1:40" x14ac:dyDescent="0.25">
      <c r="A211" t="str">
        <f>"20190303162214932"</f>
        <v>20190303162214932</v>
      </c>
      <c r="B211" t="str">
        <f>"1551601334924744"</f>
        <v>1551601334924744</v>
      </c>
      <c r="C211" t="s">
        <v>40</v>
      </c>
      <c r="D211">
        <v>5.3835160000000002</v>
      </c>
      <c r="E211">
        <v>0.48259200000000002</v>
      </c>
      <c r="F211" t="s">
        <v>43</v>
      </c>
      <c r="G211">
        <v>-430.65839999999997</v>
      </c>
      <c r="H211">
        <v>-0.05</v>
      </c>
      <c r="I211">
        <v>368.37270000000001</v>
      </c>
      <c r="J211">
        <v>-455.74579999999997</v>
      </c>
      <c r="K211">
        <v>1.1201939999999999</v>
      </c>
      <c r="L211">
        <v>367.44009999999997</v>
      </c>
      <c r="M211">
        <v>0.99990199999999996</v>
      </c>
      <c r="N211">
        <v>-7.5354769999999996E-3</v>
      </c>
      <c r="O211">
        <v>1.180025E-2</v>
      </c>
      <c r="P211">
        <v>0.99116550000000003</v>
      </c>
      <c r="Q211">
        <v>0.1324079</v>
      </c>
      <c r="R211">
        <v>-7.6703689999999998E-3</v>
      </c>
      <c r="S211">
        <v>3.0466310000000001</v>
      </c>
      <c r="T211">
        <v>-0.1408546</v>
      </c>
      <c r="U211">
        <v>0.11257929999999999</v>
      </c>
      <c r="V211">
        <v>1.9371900000000001E-2</v>
      </c>
      <c r="W211">
        <v>0.139871</v>
      </c>
      <c r="X211">
        <v>0.98998019999999998</v>
      </c>
      <c r="Y211">
        <v>-2.5109429999999999E-2</v>
      </c>
      <c r="Z211">
        <v>2.1844590000000001E-4</v>
      </c>
      <c r="AA211">
        <v>0.99968469999999998</v>
      </c>
      <c r="AB211">
        <v>24</v>
      </c>
      <c r="AC211">
        <v>25.087399999999999</v>
      </c>
      <c r="AD211">
        <v>-1.170194</v>
      </c>
      <c r="AE211">
        <v>0.93260000000003596</v>
      </c>
      <c r="AF211">
        <v>-0.63510915493960796</v>
      </c>
      <c r="AG211">
        <v>-1.170194</v>
      </c>
      <c r="AH211">
        <v>25.0422484970114</v>
      </c>
      <c r="AI211">
        <v>92.674557560794696</v>
      </c>
      <c r="AJ211">
        <v>91.452795871403893</v>
      </c>
      <c r="AK211">
        <v>25.077618057191799</v>
      </c>
      <c r="AL211">
        <v>81.959618207768401</v>
      </c>
      <c r="AM211">
        <v>88.878981137311399</v>
      </c>
      <c r="AN211">
        <v>0.99999998177132399</v>
      </c>
    </row>
    <row r="212" spans="1:40" x14ac:dyDescent="0.25">
      <c r="A212" t="str">
        <f>"20190303162214955"</f>
        <v>20190303162214955</v>
      </c>
      <c r="B212" t="str">
        <f>"1551601334944264"</f>
        <v>1551601334944264</v>
      </c>
      <c r="C212" t="s">
        <v>40</v>
      </c>
      <c r="D212">
        <v>5.4427019999999997</v>
      </c>
      <c r="E212">
        <v>0.48236329999999999</v>
      </c>
      <c r="F212" t="s">
        <v>43</v>
      </c>
      <c r="G212">
        <v>-431.05950000000001</v>
      </c>
      <c r="H212">
        <v>-0.05</v>
      </c>
      <c r="I212">
        <v>368.34879999999998</v>
      </c>
      <c r="J212">
        <v>-455.51080000000002</v>
      </c>
      <c r="K212">
        <v>1.1202829999999999</v>
      </c>
      <c r="L212">
        <v>367.44290000000001</v>
      </c>
      <c r="M212">
        <v>0.99989760000000005</v>
      </c>
      <c r="N212">
        <v>-8.1109870000000001E-3</v>
      </c>
      <c r="O212">
        <v>1.1788399999999999E-2</v>
      </c>
      <c r="P212">
        <v>0.99119420000000003</v>
      </c>
      <c r="Q212">
        <v>0.13214579999999901</v>
      </c>
      <c r="R212">
        <v>-8.4705539999999999E-3</v>
      </c>
      <c r="S212">
        <v>3.046875</v>
      </c>
      <c r="T212">
        <v>-0.14442940000000001</v>
      </c>
      <c r="U212">
        <v>0.1121521</v>
      </c>
      <c r="V212">
        <v>2.0161410000000001E-2</v>
      </c>
      <c r="W212">
        <v>0.14017879999999899</v>
      </c>
      <c r="X212">
        <v>0.98992089999999999</v>
      </c>
      <c r="Y212">
        <v>-2.4976890000000002E-2</v>
      </c>
      <c r="Z212">
        <v>2.30137E-4</v>
      </c>
      <c r="AA212">
        <v>0.99968800000000002</v>
      </c>
      <c r="AB212">
        <v>24</v>
      </c>
      <c r="AC212">
        <v>24.4513</v>
      </c>
      <c r="AD212">
        <v>-1.170283</v>
      </c>
      <c r="AE212">
        <v>0.90589999999997395</v>
      </c>
      <c r="AF212">
        <v>-0.61617628536838098</v>
      </c>
      <c r="AG212">
        <v>-1.170283</v>
      </c>
      <c r="AH212">
        <v>24.4044524457201</v>
      </c>
      <c r="AI212">
        <v>92.744566287942007</v>
      </c>
      <c r="AJ212">
        <v>91.446326301110801</v>
      </c>
      <c r="AK212">
        <v>24.440264619888101</v>
      </c>
      <c r="AL212">
        <v>81.941807103720606</v>
      </c>
      <c r="AM212">
        <v>88.833236049084704</v>
      </c>
      <c r="AN212">
        <v>0.99999998333971796</v>
      </c>
    </row>
    <row r="213" spans="1:40" x14ac:dyDescent="0.25">
      <c r="A213" t="str">
        <f>"20190303162214979"</f>
        <v>20190303162214979</v>
      </c>
      <c r="B213" t="str">
        <f>"1551601334964760"</f>
        <v>1551601334964760</v>
      </c>
      <c r="C213" t="s">
        <v>40</v>
      </c>
      <c r="D213">
        <v>5.5042339999999896</v>
      </c>
      <c r="E213">
        <v>0.48215150000000001</v>
      </c>
      <c r="F213" t="s">
        <v>43</v>
      </c>
      <c r="G213">
        <v>-430.87790000000001</v>
      </c>
      <c r="H213">
        <v>-0.05</v>
      </c>
      <c r="I213">
        <v>368.34390000000002</v>
      </c>
      <c r="J213">
        <v>-455.25560000000002</v>
      </c>
      <c r="K213">
        <v>1.1203959999999999</v>
      </c>
      <c r="L213">
        <v>367.44589999999999</v>
      </c>
      <c r="M213">
        <v>0.99989209999999995</v>
      </c>
      <c r="N213">
        <v>-8.8055619999999994E-3</v>
      </c>
      <c r="O213">
        <v>1.177163E-2</v>
      </c>
      <c r="P213">
        <v>0.99114780000000002</v>
      </c>
      <c r="Q213">
        <v>0.13243460000000001</v>
      </c>
      <c r="R213">
        <v>-9.3560229999999998E-3</v>
      </c>
      <c r="S213">
        <v>3.0469059999999999</v>
      </c>
      <c r="T213">
        <v>-0.1447551</v>
      </c>
      <c r="U213">
        <v>0.1114502</v>
      </c>
      <c r="V213">
        <v>2.1030409999999999E-2</v>
      </c>
      <c r="W213">
        <v>0.14115459999999999</v>
      </c>
      <c r="X213">
        <v>0.98976419999999998</v>
      </c>
      <c r="Y213">
        <v>-2.4762699999999999E-2</v>
      </c>
      <c r="Z213">
        <v>2.4169990000000001E-4</v>
      </c>
      <c r="AA213">
        <v>0.99969330000000001</v>
      </c>
      <c r="AB213">
        <v>24</v>
      </c>
      <c r="AC213">
        <v>24.377700000000001</v>
      </c>
      <c r="AD213">
        <v>-1.170396</v>
      </c>
      <c r="AE213">
        <v>0.898000000000024</v>
      </c>
      <c r="AF213">
        <v>-0.60955827215109903</v>
      </c>
      <c r="AG213">
        <v>-1.170396</v>
      </c>
      <c r="AH213">
        <v>24.330574945457101</v>
      </c>
      <c r="AI213">
        <v>92.753166005539597</v>
      </c>
      <c r="AJ213">
        <v>91.435141263053197</v>
      </c>
      <c r="AK213">
        <v>24.366334670205699</v>
      </c>
      <c r="AL213">
        <v>81.885336816380899</v>
      </c>
      <c r="AM213">
        <v>88.782768210092001</v>
      </c>
      <c r="AN213">
        <v>1.0000000354237799</v>
      </c>
    </row>
    <row r="214" spans="1:40" x14ac:dyDescent="0.25">
      <c r="A214" t="str">
        <f>"20190303162215002"</f>
        <v>20190303162215002</v>
      </c>
      <c r="B214" t="str">
        <f>"1551601334994566"</f>
        <v>1551601334994566</v>
      </c>
      <c r="C214" t="s">
        <v>40</v>
      </c>
      <c r="D214">
        <v>5.3826580000000002</v>
      </c>
      <c r="E214">
        <v>0.48192590000000002</v>
      </c>
      <c r="F214" t="s">
        <v>43</v>
      </c>
      <c r="G214">
        <v>-430.50470000000001</v>
      </c>
      <c r="H214">
        <v>-0.05</v>
      </c>
      <c r="I214">
        <v>368.34370000000001</v>
      </c>
      <c r="J214">
        <v>-455.01850000000002</v>
      </c>
      <c r="K214">
        <v>1.1204970000000001</v>
      </c>
      <c r="L214">
        <v>367.44869999999997</v>
      </c>
      <c r="M214">
        <v>0.9998861</v>
      </c>
      <c r="N214">
        <v>-9.4670899999999992E-3</v>
      </c>
      <c r="O214">
        <v>1.175412E-2</v>
      </c>
      <c r="P214">
        <v>0.99115010000000003</v>
      </c>
      <c r="Q214">
        <v>0.13234079999999901</v>
      </c>
      <c r="R214">
        <v>-1.036016E-2</v>
      </c>
      <c r="S214">
        <v>3.0470890000000002</v>
      </c>
      <c r="T214">
        <v>-0.14408799999999999</v>
      </c>
      <c r="U214">
        <v>0.1105347</v>
      </c>
      <c r="V214">
        <v>2.201765E-2</v>
      </c>
      <c r="W214">
        <v>0.14171489999999901</v>
      </c>
      <c r="X214">
        <v>0.98966259999999995</v>
      </c>
      <c r="Y214">
        <v>-2.4477829999999999E-2</v>
      </c>
      <c r="Z214">
        <v>2.5013029999999999E-4</v>
      </c>
      <c r="AA214">
        <v>0.99970040000000004</v>
      </c>
      <c r="AB214">
        <v>24</v>
      </c>
      <c r="AC214">
        <v>24.5138</v>
      </c>
      <c r="AD214">
        <v>-1.1704969999999999</v>
      </c>
      <c r="AE214">
        <v>0.89500000000003799</v>
      </c>
      <c r="AF214">
        <v>-0.60540866072293897</v>
      </c>
      <c r="AG214">
        <v>-1.1704969999999999</v>
      </c>
      <c r="AH214">
        <v>24.466918470304201</v>
      </c>
      <c r="AI214">
        <v>92.738104154349998</v>
      </c>
      <c r="AJ214">
        <v>91.4174357309345</v>
      </c>
      <c r="AK214">
        <v>24.502381155838702</v>
      </c>
      <c r="AL214">
        <v>81.852907514858202</v>
      </c>
      <c r="AM214">
        <v>88.725514787504594</v>
      </c>
      <c r="AN214">
        <v>0.99999997581614497</v>
      </c>
    </row>
    <row r="215" spans="1:40" x14ac:dyDescent="0.25">
      <c r="A215" t="str">
        <f>"20190303162215022"</f>
        <v>20190303162215022</v>
      </c>
      <c r="B215" t="str">
        <f>"1551601335014066"</f>
        <v>1551601335014066</v>
      </c>
      <c r="C215" t="s">
        <v>40</v>
      </c>
      <c r="D215">
        <v>5.5030650000000003</v>
      </c>
      <c r="E215">
        <v>0.48181190000000002</v>
      </c>
      <c r="F215" t="s">
        <v>43</v>
      </c>
      <c r="G215">
        <v>-430.33409999999998</v>
      </c>
      <c r="H215">
        <v>-0.05</v>
      </c>
      <c r="I215">
        <v>368.33909999999997</v>
      </c>
      <c r="J215">
        <v>-454.79919999999998</v>
      </c>
      <c r="K215">
        <v>1.1205590000000001</v>
      </c>
      <c r="L215">
        <v>367.45119999999997</v>
      </c>
      <c r="M215">
        <v>0.99988060000000001</v>
      </c>
      <c r="N215">
        <v>-1.004966E-2</v>
      </c>
      <c r="O215">
        <v>1.1738149999999999E-2</v>
      </c>
      <c r="P215">
        <v>0.99115819999999999</v>
      </c>
      <c r="Q215">
        <v>0.13218849999999999</v>
      </c>
      <c r="R215">
        <v>-1.1467959999999999E-2</v>
      </c>
      <c r="S215">
        <v>3.047272</v>
      </c>
      <c r="T215">
        <v>-0.14449719999999999</v>
      </c>
      <c r="U215">
        <v>0.1099243</v>
      </c>
      <c r="V215">
        <v>2.3110390000000001E-2</v>
      </c>
      <c r="W215">
        <v>0.142139299999999</v>
      </c>
      <c r="X215">
        <v>0.98957689999999998</v>
      </c>
      <c r="Y215">
        <v>-2.4291110000000001E-2</v>
      </c>
      <c r="Z215">
        <v>2.5940989999999998E-4</v>
      </c>
      <c r="AA215">
        <v>0.99970490000000001</v>
      </c>
      <c r="AB215">
        <v>23</v>
      </c>
      <c r="AC215">
        <v>24.4651</v>
      </c>
      <c r="AD215">
        <v>-1.1705589999999999</v>
      </c>
      <c r="AE215">
        <v>0.88790000000000102</v>
      </c>
      <c r="AF215">
        <v>-0.59927921176750198</v>
      </c>
      <c r="AG215">
        <v>-1.1705589999999999</v>
      </c>
      <c r="AH215">
        <v>24.4180118230923</v>
      </c>
      <c r="AI215">
        <v>92.743738606240996</v>
      </c>
      <c r="AJ215">
        <v>91.405899807435702</v>
      </c>
      <c r="AK215">
        <v>24.453397419148398</v>
      </c>
      <c r="AL215">
        <v>81.828343175187001</v>
      </c>
      <c r="AM215">
        <v>88.662168486315494</v>
      </c>
      <c r="AN215">
        <v>1.0000000558720199</v>
      </c>
    </row>
    <row r="216" spans="1:40" x14ac:dyDescent="0.25">
      <c r="A216" t="str">
        <f>"20190303162215045"</f>
        <v>20190303162215045</v>
      </c>
      <c r="B216" t="str">
        <f>"1551601335034562"</f>
        <v>1551601335034562</v>
      </c>
      <c r="C216" t="s">
        <v>40</v>
      </c>
      <c r="D216">
        <v>5.496429</v>
      </c>
      <c r="E216">
        <v>0.48169339999999999</v>
      </c>
      <c r="F216" t="s">
        <v>43</v>
      </c>
      <c r="G216">
        <v>-430.3073</v>
      </c>
      <c r="H216">
        <v>-0.05</v>
      </c>
      <c r="I216">
        <v>368.31209999999999</v>
      </c>
      <c r="J216">
        <v>-454.57409999999999</v>
      </c>
      <c r="K216">
        <v>1.1206229999999999</v>
      </c>
      <c r="L216">
        <v>367.45389999999998</v>
      </c>
      <c r="M216">
        <v>0.99987519999999996</v>
      </c>
      <c r="N216">
        <v>-1.0596090000000001E-2</v>
      </c>
      <c r="O216">
        <v>1.172138E-2</v>
      </c>
      <c r="P216">
        <v>0.99122049999999995</v>
      </c>
      <c r="Q216">
        <v>0.13163810000000001</v>
      </c>
      <c r="R216">
        <v>-1.2398340000000001E-2</v>
      </c>
      <c r="S216">
        <v>3.0473940000000002</v>
      </c>
      <c r="T216">
        <v>-0.14564630000000001</v>
      </c>
      <c r="U216">
        <v>0.1071167</v>
      </c>
      <c r="V216">
        <v>2.4024980000000001E-2</v>
      </c>
      <c r="W216">
        <v>0.1421299</v>
      </c>
      <c r="X216">
        <v>0.9895564</v>
      </c>
      <c r="Y216">
        <v>-2.3386859999999999E-2</v>
      </c>
      <c r="Z216">
        <v>2.4685579999999998E-4</v>
      </c>
      <c r="AA216">
        <v>0.99972649999999996</v>
      </c>
      <c r="AB216">
        <v>23</v>
      </c>
      <c r="AC216">
        <v>24.2667999999999</v>
      </c>
      <c r="AD216">
        <v>-1.170623</v>
      </c>
      <c r="AE216">
        <v>0.85820000000000995</v>
      </c>
      <c r="AF216">
        <v>-0.57235445123003903</v>
      </c>
      <c r="AG216">
        <v>-1.170623</v>
      </c>
      <c r="AH216">
        <v>24.2189039537867</v>
      </c>
      <c r="AI216">
        <v>92.766471986511206</v>
      </c>
      <c r="AJ216">
        <v>91.353793364115703</v>
      </c>
      <c r="AK216">
        <v>24.253932805809299</v>
      </c>
      <c r="AL216">
        <v>81.828886724990497</v>
      </c>
      <c r="AM216">
        <v>88.609215615647898</v>
      </c>
      <c r="AN216">
        <v>0.99999998845948501</v>
      </c>
    </row>
    <row r="217" spans="1:40" x14ac:dyDescent="0.25">
      <c r="A217" t="str">
        <f>"20190303162215066"</f>
        <v>20190303162215066</v>
      </c>
      <c r="B217" t="str">
        <f>"1551601335054083"</f>
        <v>1551601335054083</v>
      </c>
      <c r="C217" t="s">
        <v>40</v>
      </c>
      <c r="D217">
        <v>5.49796</v>
      </c>
      <c r="E217">
        <v>0.48151539999999998</v>
      </c>
      <c r="F217" t="s">
        <v>43</v>
      </c>
      <c r="G217">
        <v>-430.47500000000002</v>
      </c>
      <c r="H217">
        <v>-0.05</v>
      </c>
      <c r="I217">
        <v>368.28280000000001</v>
      </c>
      <c r="J217">
        <v>-454.3372</v>
      </c>
      <c r="K217">
        <v>1.1206689999999999</v>
      </c>
      <c r="L217">
        <v>367.45659999999998</v>
      </c>
      <c r="M217">
        <v>0.99986980000000003</v>
      </c>
      <c r="N217">
        <v>-1.1114560000000001E-2</v>
      </c>
      <c r="O217">
        <v>1.170408E-2</v>
      </c>
      <c r="P217">
        <v>0.99120280000000005</v>
      </c>
      <c r="Q217">
        <v>0.1316928</v>
      </c>
      <c r="R217">
        <v>-1.321051E-2</v>
      </c>
      <c r="S217">
        <v>3.0475159999999999</v>
      </c>
      <c r="T217">
        <v>-0.14803450000000001</v>
      </c>
      <c r="U217">
        <v>0.1048279</v>
      </c>
      <c r="V217">
        <v>2.4820209999999999E-2</v>
      </c>
      <c r="W217">
        <v>0.14269760000000001</v>
      </c>
      <c r="X217">
        <v>0.98945499999999997</v>
      </c>
      <c r="Y217">
        <v>-2.2652640000000002E-2</v>
      </c>
      <c r="Z217">
        <v>2.377247E-4</v>
      </c>
      <c r="AA217">
        <v>0.9997433</v>
      </c>
      <c r="AB217">
        <v>23</v>
      </c>
      <c r="AC217">
        <v>23.862199999999898</v>
      </c>
      <c r="AD217">
        <v>-1.170669</v>
      </c>
      <c r="AE217">
        <v>0.82620000000002802</v>
      </c>
      <c r="AF217">
        <v>-0.54552964088356903</v>
      </c>
      <c r="AG217">
        <v>-1.170669</v>
      </c>
      <c r="AH217">
        <v>23.8129904237177</v>
      </c>
      <c r="AI217">
        <v>92.813711476429901</v>
      </c>
      <c r="AJ217">
        <v>91.312354273290893</v>
      </c>
      <c r="AK217">
        <v>23.847989043454199</v>
      </c>
      <c r="AL217">
        <v>81.796024411894393</v>
      </c>
      <c r="AM217">
        <v>88.563052275080594</v>
      </c>
      <c r="AN217">
        <v>0.99999992244759806</v>
      </c>
    </row>
    <row r="218" spans="1:40" x14ac:dyDescent="0.25">
      <c r="A218" t="str">
        <f>"20190303162215090"</f>
        <v>20190303162215090</v>
      </c>
      <c r="B218" t="str">
        <f>"1551601335084339"</f>
        <v>1551601335084339</v>
      </c>
      <c r="C218" t="s">
        <v>40</v>
      </c>
      <c r="D218">
        <v>5.4402039999999996</v>
      </c>
      <c r="E218">
        <v>0.48125800000000002</v>
      </c>
      <c r="F218" t="s">
        <v>43</v>
      </c>
      <c r="G218">
        <v>-430.26560000000001</v>
      </c>
      <c r="H218">
        <v>-0.05</v>
      </c>
      <c r="I218">
        <v>368.27730000000003</v>
      </c>
      <c r="J218">
        <v>-454.1019</v>
      </c>
      <c r="K218">
        <v>1.120714</v>
      </c>
      <c r="L218">
        <v>367.45929999999998</v>
      </c>
      <c r="M218">
        <v>0.9998648</v>
      </c>
      <c r="N218">
        <v>-1.1574859999999999E-2</v>
      </c>
      <c r="O218">
        <v>1.1686820000000001E-2</v>
      </c>
      <c r="P218">
        <v>0.99118779999999995</v>
      </c>
      <c r="Q218">
        <v>0.13175239999999999</v>
      </c>
      <c r="R218">
        <v>-1.372659E-2</v>
      </c>
      <c r="S218">
        <v>3.0477289999999999</v>
      </c>
      <c r="T218">
        <v>-0.14821989999999999</v>
      </c>
      <c r="U218">
        <v>0.1039124</v>
      </c>
      <c r="V218">
        <v>2.53192E-2</v>
      </c>
      <c r="W218">
        <v>0.14321199999999901</v>
      </c>
      <c r="X218">
        <v>0.98936809999999997</v>
      </c>
      <c r="Y218">
        <v>-2.2367370000000001E-2</v>
      </c>
      <c r="Z218">
        <v>2.4036319999999999E-4</v>
      </c>
      <c r="AA218">
        <v>0.99974980000000002</v>
      </c>
      <c r="AB218">
        <v>23</v>
      </c>
      <c r="AC218">
        <v>23.836299999999898</v>
      </c>
      <c r="AD218">
        <v>-1.170714</v>
      </c>
      <c r="AE218">
        <v>0.81800000000004003</v>
      </c>
      <c r="AF218">
        <v>-0.53805853308972595</v>
      </c>
      <c r="AG218">
        <v>-1.170714</v>
      </c>
      <c r="AH218">
        <v>23.7869196678793</v>
      </c>
      <c r="AI218">
        <v>92.816916967907503</v>
      </c>
      <c r="AJ218">
        <v>91.295805728790597</v>
      </c>
      <c r="AK218">
        <v>23.8217888820502</v>
      </c>
      <c r="AL218">
        <v>81.766246152662205</v>
      </c>
      <c r="AM218">
        <v>88.534047404411396</v>
      </c>
      <c r="AN218">
        <v>0.99999998806512402</v>
      </c>
    </row>
    <row r="219" spans="1:40" x14ac:dyDescent="0.25">
      <c r="A219" t="str">
        <f>"20190303162215111"</f>
        <v>20190303162215111</v>
      </c>
      <c r="B219" t="str">
        <f>"1551601335104835"</f>
        <v>1551601335104835</v>
      </c>
      <c r="C219" t="s">
        <v>40</v>
      </c>
      <c r="D219">
        <v>5.5624880000000001</v>
      </c>
      <c r="E219">
        <v>0.4811243</v>
      </c>
      <c r="F219" t="s">
        <v>43</v>
      </c>
      <c r="G219">
        <v>-430.06810000000002</v>
      </c>
      <c r="H219">
        <v>-0.05</v>
      </c>
      <c r="I219">
        <v>368.28059999999999</v>
      </c>
      <c r="J219">
        <v>-453.86950000000002</v>
      </c>
      <c r="K219">
        <v>1.1207450000000001</v>
      </c>
      <c r="L219">
        <v>367.46199999999999</v>
      </c>
      <c r="M219">
        <v>0.99986019999999998</v>
      </c>
      <c r="N219">
        <v>-1.19782E-2</v>
      </c>
      <c r="O219">
        <v>1.1670160000000001E-2</v>
      </c>
      <c r="P219">
        <v>0.99110940000000003</v>
      </c>
      <c r="Q219">
        <v>0.132351</v>
      </c>
      <c r="R219">
        <v>-1.362185E-2</v>
      </c>
      <c r="S219">
        <v>3.047882</v>
      </c>
      <c r="T219">
        <v>-0.1484656</v>
      </c>
      <c r="U219">
        <v>0.1041565</v>
      </c>
      <c r="V219">
        <v>2.5197299999999999E-2</v>
      </c>
      <c r="W219">
        <v>0.14420910000000001</v>
      </c>
      <c r="X219">
        <v>0.98922639999999995</v>
      </c>
      <c r="Y219">
        <v>-2.246165E-2</v>
      </c>
      <c r="Z219">
        <v>2.5302380000000001E-4</v>
      </c>
      <c r="AA219">
        <v>0.99974770000000002</v>
      </c>
      <c r="AB219">
        <v>23</v>
      </c>
      <c r="AC219">
        <v>23.801400000000001</v>
      </c>
      <c r="AD219">
        <v>-1.1707449999999999</v>
      </c>
      <c r="AE219">
        <v>0.81860000000000299</v>
      </c>
      <c r="AF219">
        <v>-0.53945453382362296</v>
      </c>
      <c r="AG219">
        <v>-1.1707449999999999</v>
      </c>
      <c r="AH219">
        <v>23.751933690138799</v>
      </c>
      <c r="AI219">
        <v>92.821128218808298</v>
      </c>
      <c r="AJ219">
        <v>91.3010795460536</v>
      </c>
      <c r="AK219">
        <v>23.786887334618601</v>
      </c>
      <c r="AL219">
        <v>81.708517550512994</v>
      </c>
      <c r="AM219">
        <v>88.540893329875402</v>
      </c>
      <c r="AN219">
        <v>1.0000000194535299</v>
      </c>
    </row>
    <row r="220" spans="1:40" x14ac:dyDescent="0.25">
      <c r="A220" t="str">
        <f>"20190303162215135"</f>
        <v>20190303162215135</v>
      </c>
      <c r="B220" t="str">
        <f>"1551601335124354"</f>
        <v>1551601335124354</v>
      </c>
      <c r="C220" t="s">
        <v>40</v>
      </c>
      <c r="D220">
        <v>5.3239099999999997</v>
      </c>
      <c r="E220">
        <v>0.48093730000000001</v>
      </c>
      <c r="F220" t="s">
        <v>43</v>
      </c>
      <c r="G220">
        <v>-429.58139999999997</v>
      </c>
      <c r="H220">
        <v>-0.05</v>
      </c>
      <c r="I220">
        <v>368.30220000000003</v>
      </c>
      <c r="J220">
        <v>-453.63119999999998</v>
      </c>
      <c r="K220">
        <v>1.1207720000000001</v>
      </c>
      <c r="L220">
        <v>367.46480000000003</v>
      </c>
      <c r="M220">
        <v>0.99985610000000003</v>
      </c>
      <c r="N220">
        <v>-1.234144E-2</v>
      </c>
      <c r="O220">
        <v>1.165301E-2</v>
      </c>
      <c r="P220">
        <v>0.99107350000000005</v>
      </c>
      <c r="Q220">
        <v>0.13267100000000001</v>
      </c>
      <c r="R220">
        <v>-1.311731E-2</v>
      </c>
      <c r="S220">
        <v>3.0479430000000001</v>
      </c>
      <c r="T220">
        <v>-0.1469181</v>
      </c>
      <c r="U220">
        <v>0.1054382</v>
      </c>
      <c r="V220">
        <v>2.4675450000000002E-2</v>
      </c>
      <c r="W220">
        <v>0.14488760000000001</v>
      </c>
      <c r="X220">
        <v>0.98914040000000003</v>
      </c>
      <c r="Y220">
        <v>-2.289739E-2</v>
      </c>
      <c r="Z220">
        <v>2.7536720000000001E-4</v>
      </c>
      <c r="AA220">
        <v>0.99973780000000001</v>
      </c>
      <c r="AB220">
        <v>23</v>
      </c>
      <c r="AC220">
        <v>24.049800000000001</v>
      </c>
      <c r="AD220">
        <v>-1.1707719999999999</v>
      </c>
      <c r="AE220">
        <v>0.83740000000000203</v>
      </c>
      <c r="AF220">
        <v>-0.55575381247550604</v>
      </c>
      <c r="AG220">
        <v>-1.1707719999999999</v>
      </c>
      <c r="AH220">
        <v>24.001115495941701</v>
      </c>
      <c r="AI220">
        <v>92.791921547468206</v>
      </c>
      <c r="AJ220">
        <v>91.326465795897406</v>
      </c>
      <c r="AK220">
        <v>24.036079431254901</v>
      </c>
      <c r="AL220">
        <v>81.669229696604503</v>
      </c>
      <c r="AM220">
        <v>88.570975391160204</v>
      </c>
      <c r="AN220">
        <v>1.00000001268931</v>
      </c>
    </row>
    <row r="221" spans="1:40" x14ac:dyDescent="0.25">
      <c r="A221" t="str">
        <f>"20190303162215156"</f>
        <v>20190303162215156</v>
      </c>
      <c r="B221" t="str">
        <f>"1551601335144851"</f>
        <v>1551601335144851</v>
      </c>
      <c r="C221" t="s">
        <v>40</v>
      </c>
      <c r="D221">
        <v>5.0262370000000001</v>
      </c>
      <c r="E221">
        <v>0.48073939999999998</v>
      </c>
      <c r="F221" t="s">
        <v>43</v>
      </c>
      <c r="G221">
        <v>-429.15100000000001</v>
      </c>
      <c r="H221">
        <v>-0.05</v>
      </c>
      <c r="I221">
        <v>368.34010000000001</v>
      </c>
      <c r="J221">
        <v>-453.41149999999999</v>
      </c>
      <c r="K221">
        <v>1.12079</v>
      </c>
      <c r="L221">
        <v>367.46730000000002</v>
      </c>
      <c r="M221">
        <v>0.99985270000000004</v>
      </c>
      <c r="N221">
        <v>-1.263444E-2</v>
      </c>
      <c r="O221">
        <v>1.1637089999999999E-2</v>
      </c>
      <c r="P221">
        <v>0.99111329999999997</v>
      </c>
      <c r="Q221">
        <v>0.13242000000000001</v>
      </c>
      <c r="R221">
        <v>-1.264323E-2</v>
      </c>
      <c r="S221">
        <v>3.0480040000000002</v>
      </c>
      <c r="T221">
        <v>-0.1457717</v>
      </c>
      <c r="U221">
        <v>0.1089783</v>
      </c>
      <c r="V221">
        <v>2.4185999999999999E-2</v>
      </c>
      <c r="W221">
        <v>0.14492720000000001</v>
      </c>
      <c r="X221">
        <v>0.98914659999999999</v>
      </c>
      <c r="Y221">
        <v>-2.4070589999999999E-2</v>
      </c>
      <c r="Z221">
        <v>3.1822449999999999E-4</v>
      </c>
      <c r="AA221">
        <v>0.99971019999999999</v>
      </c>
      <c r="AB221">
        <v>23</v>
      </c>
      <c r="AC221">
        <v>24.260499999999901</v>
      </c>
      <c r="AD221">
        <v>-1.17079</v>
      </c>
      <c r="AE221">
        <v>0.87279999999998303</v>
      </c>
      <c r="AF221">
        <v>-0.58902676375961205</v>
      </c>
      <c r="AG221">
        <v>-1.17079</v>
      </c>
      <c r="AH221">
        <v>24.2126975849418</v>
      </c>
      <c r="AI221">
        <v>92.767528153980194</v>
      </c>
      <c r="AJ221">
        <v>91.393570137793006</v>
      </c>
      <c r="AK221">
        <v>24.248142734905901</v>
      </c>
      <c r="AL221">
        <v>81.666935853692493</v>
      </c>
      <c r="AM221">
        <v>88.5993181849244</v>
      </c>
      <c r="AN221">
        <v>0.99999992609369703</v>
      </c>
    </row>
    <row r="222" spans="1:40" x14ac:dyDescent="0.25">
      <c r="A222" t="str">
        <f>"20190303162215180"</f>
        <v>20190303162215180</v>
      </c>
      <c r="B222" t="str">
        <f>"1551601335164371"</f>
        <v>1551601335164371</v>
      </c>
      <c r="C222" t="s">
        <v>40</v>
      </c>
      <c r="D222">
        <v>5.5640669999999997</v>
      </c>
      <c r="E222">
        <v>0.4806859</v>
      </c>
      <c r="F222" t="s">
        <v>43</v>
      </c>
      <c r="G222">
        <v>-429.14710000000002</v>
      </c>
      <c r="H222">
        <v>-0.05</v>
      </c>
      <c r="I222">
        <v>368.36040000000003</v>
      </c>
      <c r="J222">
        <v>-453.1671</v>
      </c>
      <c r="K222">
        <v>1.120811</v>
      </c>
      <c r="L222">
        <v>367.47019999999998</v>
      </c>
      <c r="M222">
        <v>0.99984910000000005</v>
      </c>
      <c r="N222">
        <v>-1.2919440000000001E-2</v>
      </c>
      <c r="O222">
        <v>1.161998E-2</v>
      </c>
      <c r="P222">
        <v>0.99119409999999997</v>
      </c>
      <c r="Q222">
        <v>0.13186779999999901</v>
      </c>
      <c r="R222">
        <v>-1.2065350000000001E-2</v>
      </c>
      <c r="S222">
        <v>3.0480040000000002</v>
      </c>
      <c r="T222">
        <v>-0.14707010000000001</v>
      </c>
      <c r="U222">
        <v>0.11218259999999999</v>
      </c>
      <c r="V222">
        <v>2.359205E-2</v>
      </c>
      <c r="W222">
        <v>0.1446588</v>
      </c>
      <c r="X222">
        <v>0.98920030000000003</v>
      </c>
      <c r="Y222">
        <v>-2.5134989999999999E-2</v>
      </c>
      <c r="Z222">
        <v>3.5828820000000002E-4</v>
      </c>
      <c r="AA222">
        <v>0.99968400000000002</v>
      </c>
      <c r="AB222">
        <v>23</v>
      </c>
      <c r="AC222">
        <v>24.0199999999999</v>
      </c>
      <c r="AD222">
        <v>-1.170811</v>
      </c>
      <c r="AE222">
        <v>0.89020000000004895</v>
      </c>
      <c r="AF222">
        <v>-0.60955843334675297</v>
      </c>
      <c r="AG222">
        <v>-1.170811</v>
      </c>
      <c r="AH222">
        <v>23.971846491462699</v>
      </c>
      <c r="AI222">
        <v>92.795263983343801</v>
      </c>
      <c r="AJ222">
        <v>91.456608740525994</v>
      </c>
      <c r="AK222">
        <v>24.008160781110199</v>
      </c>
      <c r="AL222">
        <v>81.682478387519296</v>
      </c>
      <c r="AM222">
        <v>88.633776502585505</v>
      </c>
      <c r="AN222">
        <v>0.99999999338036605</v>
      </c>
    </row>
    <row r="223" spans="1:40" x14ac:dyDescent="0.25">
      <c r="A223" t="str">
        <f>"20190303162215204"</f>
        <v>20190303162215204</v>
      </c>
      <c r="B223" t="str">
        <f>"1551601335194627"</f>
        <v>1551601335194627</v>
      </c>
      <c r="C223" t="s">
        <v>40</v>
      </c>
      <c r="D223">
        <v>5.6802239999999999</v>
      </c>
      <c r="E223">
        <v>0.48053089999999998</v>
      </c>
      <c r="F223" t="s">
        <v>43</v>
      </c>
      <c r="G223">
        <v>-429.21</v>
      </c>
      <c r="H223">
        <v>-0.05</v>
      </c>
      <c r="I223">
        <v>368.37139999999999</v>
      </c>
      <c r="J223">
        <v>-452.92689999999999</v>
      </c>
      <c r="K223">
        <v>1.1208260000000001</v>
      </c>
      <c r="L223">
        <v>367.47289999999998</v>
      </c>
      <c r="M223">
        <v>0.99984620000000002</v>
      </c>
      <c r="N223">
        <v>-1.3161020000000001E-2</v>
      </c>
      <c r="O223">
        <v>1.1604130000000001E-2</v>
      </c>
      <c r="P223">
        <v>0.99117080000000002</v>
      </c>
      <c r="Q223">
        <v>0.13203000000000001</v>
      </c>
      <c r="R223">
        <v>-1.2198799999999999E-2</v>
      </c>
      <c r="S223">
        <v>3.0478519999999998</v>
      </c>
      <c r="T223">
        <v>-0.148951799999999</v>
      </c>
      <c r="U223">
        <v>0.11465450000000001</v>
      </c>
      <c r="V223">
        <v>2.3709729999999998E-2</v>
      </c>
      <c r="W223">
        <v>0.14505889999999999</v>
      </c>
      <c r="X223">
        <v>0.98913890000000004</v>
      </c>
      <c r="Y223">
        <v>-2.5960190000000001E-2</v>
      </c>
      <c r="Z223">
        <v>3.9086889999999998E-4</v>
      </c>
      <c r="AA223">
        <v>0.99966290000000002</v>
      </c>
      <c r="AB223">
        <v>23</v>
      </c>
      <c r="AC223">
        <v>23.716899999999999</v>
      </c>
      <c r="AD223">
        <v>-1.1708259999999999</v>
      </c>
      <c r="AE223">
        <v>0.89850000000001196</v>
      </c>
      <c r="AF223">
        <v>-0.62168877372256803</v>
      </c>
      <c r="AG223">
        <v>-1.1708259999999999</v>
      </c>
      <c r="AH223">
        <v>23.6681317305862</v>
      </c>
      <c r="AI223">
        <v>92.831050420550696</v>
      </c>
      <c r="AJ223">
        <v>91.504637317882199</v>
      </c>
      <c r="AK223">
        <v>23.705227062191</v>
      </c>
      <c r="AL223">
        <v>81.659310025520995</v>
      </c>
      <c r="AM223">
        <v>88.626879019310707</v>
      </c>
      <c r="AN223">
        <v>0.999999999629546</v>
      </c>
    </row>
    <row r="224" spans="1:40" x14ac:dyDescent="0.25">
      <c r="A224" t="str">
        <f>"20190303162215226"</f>
        <v>20190303162215226</v>
      </c>
      <c r="B224" t="str">
        <f>"1551601335214654"</f>
        <v>1551601335214654</v>
      </c>
      <c r="C224" t="s">
        <v>40</v>
      </c>
      <c r="D224">
        <v>5.5604199999999997</v>
      </c>
      <c r="E224">
        <v>0.48045650000000001</v>
      </c>
      <c r="F224" t="s">
        <v>43</v>
      </c>
      <c r="G224">
        <v>-428.91210000000001</v>
      </c>
      <c r="H224">
        <v>-0.05</v>
      </c>
      <c r="I224">
        <v>368.37889999999999</v>
      </c>
      <c r="J224">
        <v>-452.69880000000001</v>
      </c>
      <c r="K224">
        <v>1.120843</v>
      </c>
      <c r="L224">
        <v>367.47559999999999</v>
      </c>
      <c r="M224">
        <v>0.9998437</v>
      </c>
      <c r="N224">
        <v>-1.335746E-2</v>
      </c>
      <c r="O224">
        <v>1.158839E-2</v>
      </c>
      <c r="P224">
        <v>0.991178</v>
      </c>
      <c r="Q224">
        <v>0.13190689999999999</v>
      </c>
      <c r="R224">
        <v>-1.292227E-2</v>
      </c>
      <c r="S224">
        <v>3.0479129999999999</v>
      </c>
      <c r="T224">
        <v>-0.14859900000000001</v>
      </c>
      <c r="U224">
        <v>0.1149902</v>
      </c>
      <c r="V224">
        <v>2.441757E-2</v>
      </c>
      <c r="W224">
        <v>0.14513019999999999</v>
      </c>
      <c r="X224">
        <v>0.98911119999999997</v>
      </c>
      <c r="Y224">
        <v>-2.608481E-2</v>
      </c>
      <c r="Z224">
        <v>3.9996550000000002E-4</v>
      </c>
      <c r="AA224">
        <v>0.99965970000000004</v>
      </c>
      <c r="AB224">
        <v>23</v>
      </c>
      <c r="AC224">
        <v>23.7867</v>
      </c>
      <c r="AD224">
        <v>-1.1708430000000001</v>
      </c>
      <c r="AE224">
        <v>0.90330000000000099</v>
      </c>
      <c r="AF224">
        <v>-0.62605055223788797</v>
      </c>
      <c r="AG224">
        <v>-1.1708430000000001</v>
      </c>
      <c r="AH224">
        <v>23.738139771101999</v>
      </c>
      <c r="AI224">
        <v>92.822747707890599</v>
      </c>
      <c r="AJ224">
        <v>91.510722483037995</v>
      </c>
      <c r="AK224">
        <v>23.775241164223399</v>
      </c>
      <c r="AL224">
        <v>81.655180973083901</v>
      </c>
      <c r="AM224">
        <v>88.585862120954502</v>
      </c>
      <c r="AN224">
        <v>0.99999997932109197</v>
      </c>
    </row>
    <row r="225" spans="1:40" x14ac:dyDescent="0.25">
      <c r="A225" t="str">
        <f>"20190303162215246"</f>
        <v>20190303162215246</v>
      </c>
      <c r="B225" t="str">
        <f>"1551601335234173"</f>
        <v>1551601335234173</v>
      </c>
      <c r="C225" t="s">
        <v>40</v>
      </c>
      <c r="D225">
        <v>5.61991</v>
      </c>
      <c r="E225">
        <v>0.4803905</v>
      </c>
      <c r="F225" t="s">
        <v>43</v>
      </c>
      <c r="G225">
        <v>-428.7715</v>
      </c>
      <c r="H225">
        <v>-0.05</v>
      </c>
      <c r="I225">
        <v>368.36869999999999</v>
      </c>
      <c r="J225">
        <v>-452.48379999999997</v>
      </c>
      <c r="K225">
        <v>1.1208530000000001</v>
      </c>
      <c r="L225">
        <v>367.47800000000001</v>
      </c>
      <c r="M225">
        <v>0.99984170000000006</v>
      </c>
      <c r="N225">
        <v>-1.3518799999999999E-2</v>
      </c>
      <c r="O225">
        <v>1.157352E-2</v>
      </c>
      <c r="P225">
        <v>0.99114400000000002</v>
      </c>
      <c r="Q225">
        <v>0.1320983</v>
      </c>
      <c r="R225">
        <v>-1.356135E-2</v>
      </c>
      <c r="S225">
        <v>3.048035</v>
      </c>
      <c r="T225">
        <v>-0.14915030000000001</v>
      </c>
      <c r="U225">
        <v>0.1137695</v>
      </c>
      <c r="V225">
        <v>2.5041569999999999E-2</v>
      </c>
      <c r="W225">
        <v>0.14548069999999999</v>
      </c>
      <c r="X225">
        <v>0.98904409999999998</v>
      </c>
      <c r="Y225">
        <v>-2.569857E-2</v>
      </c>
      <c r="Z225">
        <v>3.9267220000000001E-4</v>
      </c>
      <c r="AA225">
        <v>0.99966969999999999</v>
      </c>
      <c r="AB225">
        <v>23</v>
      </c>
      <c r="AC225">
        <v>23.7122999999999</v>
      </c>
      <c r="AD225">
        <v>-1.1708529999999999</v>
      </c>
      <c r="AE225">
        <v>0.89069999999998095</v>
      </c>
      <c r="AF225">
        <v>-0.61468392302141595</v>
      </c>
      <c r="AG225">
        <v>-1.1708529999999999</v>
      </c>
      <c r="AH225">
        <v>23.663407800024501</v>
      </c>
      <c r="AI225">
        <v>92.8317013150929</v>
      </c>
      <c r="AJ225">
        <v>91.487988400447094</v>
      </c>
      <c r="AK225">
        <v>23.700329149256401</v>
      </c>
      <c r="AL225">
        <v>81.634883327236395</v>
      </c>
      <c r="AM225">
        <v>88.549640199510506</v>
      </c>
      <c r="AN225">
        <v>0.99999997302268195</v>
      </c>
    </row>
    <row r="226" spans="1:40" x14ac:dyDescent="0.25">
      <c r="A226" t="str">
        <f>"20190303162215268"</f>
        <v>20190303162215268</v>
      </c>
      <c r="B226" t="str">
        <f>"1551601335254670"</f>
        <v>1551601335254670</v>
      </c>
      <c r="C226" t="s">
        <v>40</v>
      </c>
      <c r="D226">
        <v>5.6188760000000002</v>
      </c>
      <c r="E226">
        <v>0.4803326</v>
      </c>
      <c r="F226" t="s">
        <v>43</v>
      </c>
      <c r="G226">
        <v>-428.45049999999998</v>
      </c>
      <c r="H226">
        <v>-0.05</v>
      </c>
      <c r="I226">
        <v>368.36880000000002</v>
      </c>
      <c r="J226">
        <v>-452.2638</v>
      </c>
      <c r="K226">
        <v>1.120865</v>
      </c>
      <c r="L226">
        <v>367.48059999999998</v>
      </c>
      <c r="M226">
        <v>0.9998399</v>
      </c>
      <c r="N226">
        <v>-1.3662189999999999E-2</v>
      </c>
      <c r="O226">
        <v>1.155847E-2</v>
      </c>
      <c r="P226">
        <v>0.9911278</v>
      </c>
      <c r="Q226">
        <v>0.13218189999999999</v>
      </c>
      <c r="R226">
        <v>-1.392465E-2</v>
      </c>
      <c r="S226">
        <v>3.0481569999999998</v>
      </c>
      <c r="T226">
        <v>-0.1485001</v>
      </c>
      <c r="U226">
        <v>0.1129761</v>
      </c>
      <c r="V226">
        <v>2.5389709999999999E-2</v>
      </c>
      <c r="W226">
        <v>0.14570569999999999</v>
      </c>
      <c r="X226">
        <v>0.9890021</v>
      </c>
      <c r="Y226">
        <v>-2.5452679999999998E-2</v>
      </c>
      <c r="Z226">
        <v>3.8876310000000001E-4</v>
      </c>
      <c r="AA226">
        <v>0.99967589999999995</v>
      </c>
      <c r="AB226">
        <v>23</v>
      </c>
      <c r="AC226">
        <v>23.813300000000002</v>
      </c>
      <c r="AD226">
        <v>-1.170865</v>
      </c>
      <c r="AE226">
        <v>0.88820000000003996</v>
      </c>
      <c r="AF226">
        <v>-0.61139364366921001</v>
      </c>
      <c r="AG226">
        <v>-1.170865</v>
      </c>
      <c r="AH226">
        <v>23.7646039601795</v>
      </c>
      <c r="AI226">
        <v>92.819709625927302</v>
      </c>
      <c r="AJ226">
        <v>91.473727476870295</v>
      </c>
      <c r="AK226">
        <v>23.801284175857401</v>
      </c>
      <c r="AL226">
        <v>81.621852915346906</v>
      </c>
      <c r="AM226">
        <v>88.529422968921807</v>
      </c>
      <c r="AN226">
        <v>0.99999997109539096</v>
      </c>
    </row>
    <row r="227" spans="1:40" x14ac:dyDescent="0.25">
      <c r="A227" t="str">
        <f>"20190303162215292"</f>
        <v>20190303162215292</v>
      </c>
      <c r="B227" t="str">
        <f>"1551601335284927"</f>
        <v>1551601335284927</v>
      </c>
      <c r="C227" t="s">
        <v>40</v>
      </c>
      <c r="D227">
        <v>5.6799920000000004</v>
      </c>
      <c r="E227">
        <v>0.48025519999999999</v>
      </c>
      <c r="F227" t="s">
        <v>43</v>
      </c>
      <c r="G227">
        <v>-428.09469999999999</v>
      </c>
      <c r="H227">
        <v>-0.05</v>
      </c>
      <c r="I227">
        <v>368.37270000000001</v>
      </c>
      <c r="J227">
        <v>-452.0179</v>
      </c>
      <c r="K227">
        <v>1.120879</v>
      </c>
      <c r="L227">
        <v>367.48340000000002</v>
      </c>
      <c r="M227">
        <v>0.99983809999999995</v>
      </c>
      <c r="N227">
        <v>-1.3799769999999999E-2</v>
      </c>
      <c r="O227">
        <v>1.154195E-2</v>
      </c>
      <c r="P227">
        <v>0.99114139999999995</v>
      </c>
      <c r="Q227">
        <v>0.13208590000000001</v>
      </c>
      <c r="R227">
        <v>-1.385611E-2</v>
      </c>
      <c r="S227">
        <v>3.0480649999999998</v>
      </c>
      <c r="T227">
        <v>-0.14766299999999999</v>
      </c>
      <c r="U227">
        <v>0.1125183</v>
      </c>
      <c r="V227">
        <v>2.5305009999999999E-2</v>
      </c>
      <c r="W227">
        <v>0.1457463</v>
      </c>
      <c r="X227">
        <v>0.9889983</v>
      </c>
      <c r="Y227">
        <v>-2.5320680000000002E-2</v>
      </c>
      <c r="Z227">
        <v>3.8825200000000001E-4</v>
      </c>
      <c r="AA227">
        <v>0.99967930000000005</v>
      </c>
      <c r="AB227">
        <v>23</v>
      </c>
      <c r="AC227">
        <v>23.923200000000001</v>
      </c>
      <c r="AD227">
        <v>-1.170879</v>
      </c>
      <c r="AE227">
        <v>0.88929999999999099</v>
      </c>
      <c r="AF227">
        <v>-0.61163095747082696</v>
      </c>
      <c r="AG227">
        <v>-1.170879</v>
      </c>
      <c r="AH227">
        <v>23.874759732807899</v>
      </c>
      <c r="AI227">
        <v>92.806761942181495</v>
      </c>
      <c r="AJ227">
        <v>91.467499965971996</v>
      </c>
      <c r="AK227">
        <v>23.911277723285401</v>
      </c>
      <c r="AL227">
        <v>81.619501702211593</v>
      </c>
      <c r="AM227">
        <v>88.534321037152694</v>
      </c>
      <c r="AN227">
        <v>0.99999998244883903</v>
      </c>
    </row>
    <row r="228" spans="1:40" x14ac:dyDescent="0.25">
      <c r="A228" t="str">
        <f>"20190303162215313"</f>
        <v>20190303162215313</v>
      </c>
      <c r="B228" t="str">
        <f>"1551601335304447"</f>
        <v>1551601335304447</v>
      </c>
      <c r="C228" t="s">
        <v>40</v>
      </c>
      <c r="D228">
        <v>5.6778899999999997</v>
      </c>
      <c r="E228">
        <v>0.48019679999999998</v>
      </c>
      <c r="F228" t="s">
        <v>43</v>
      </c>
      <c r="G228">
        <v>-427.91160000000002</v>
      </c>
      <c r="H228">
        <v>-0.05</v>
      </c>
      <c r="I228">
        <v>368.37810000000002</v>
      </c>
      <c r="J228">
        <v>-451.8075</v>
      </c>
      <c r="K228">
        <v>1.120886</v>
      </c>
      <c r="L228">
        <v>367.48579999999998</v>
      </c>
      <c r="M228">
        <v>0.99983690000000003</v>
      </c>
      <c r="N228">
        <v>-1.3901200000000001E-2</v>
      </c>
      <c r="O228">
        <v>1.152747E-2</v>
      </c>
      <c r="P228">
        <v>0.99111260000000001</v>
      </c>
      <c r="Q228">
        <v>0.13223750000000001</v>
      </c>
      <c r="R228">
        <v>-1.445662E-2</v>
      </c>
      <c r="S228">
        <v>3.0481569999999998</v>
      </c>
      <c r="T228">
        <v>-0.14805360000000001</v>
      </c>
      <c r="U228">
        <v>0.1131287</v>
      </c>
      <c r="V228">
        <v>2.5890900000000001E-2</v>
      </c>
      <c r="W228">
        <v>0.14599770000000001</v>
      </c>
      <c r="X228">
        <v>0.98894610000000005</v>
      </c>
      <c r="Y228">
        <v>-2.553337E-2</v>
      </c>
      <c r="Z228">
        <v>3.9799220000000002E-4</v>
      </c>
      <c r="AA228">
        <v>0.9996739</v>
      </c>
      <c r="AB228">
        <v>23</v>
      </c>
      <c r="AC228">
        <v>23.895899999999902</v>
      </c>
      <c r="AD228">
        <v>-1.1708860000000001</v>
      </c>
      <c r="AE228">
        <v>0.89230000000003395</v>
      </c>
      <c r="AF228">
        <v>-0.61527960857340502</v>
      </c>
      <c r="AG228">
        <v>-1.1708860000000001</v>
      </c>
      <c r="AH228">
        <v>23.8474222669503</v>
      </c>
      <c r="AI228">
        <v>92.809977943982702</v>
      </c>
      <c r="AJ228">
        <v>91.477941942374002</v>
      </c>
      <c r="AK228">
        <v>23.884076113594201</v>
      </c>
      <c r="AL228">
        <v>81.604942186943106</v>
      </c>
      <c r="AM228">
        <v>88.500322194696395</v>
      </c>
      <c r="AN228">
        <v>1.0000000279066501</v>
      </c>
    </row>
    <row r="229" spans="1:40" x14ac:dyDescent="0.25">
      <c r="A229" t="str">
        <f>"20190303162215335"</f>
        <v>20190303162215335</v>
      </c>
      <c r="B229" t="str">
        <f>"1551601335324942"</f>
        <v>1551601335324942</v>
      </c>
      <c r="C229" t="s">
        <v>40</v>
      </c>
      <c r="D229">
        <v>5.6822480000000004</v>
      </c>
      <c r="E229">
        <v>0.48014889999999999</v>
      </c>
      <c r="F229" t="s">
        <v>43</v>
      </c>
      <c r="G229">
        <v>-427.66370000000001</v>
      </c>
      <c r="H229">
        <v>-0.05</v>
      </c>
      <c r="I229">
        <v>368.37529999999998</v>
      </c>
      <c r="J229">
        <v>-451.58440000000002</v>
      </c>
      <c r="K229">
        <v>1.1209</v>
      </c>
      <c r="L229">
        <v>367.48829999999998</v>
      </c>
      <c r="M229">
        <v>0.99983599999999995</v>
      </c>
      <c r="N229">
        <v>-1.399413E-2</v>
      </c>
      <c r="O229">
        <v>1.151191E-2</v>
      </c>
      <c r="P229">
        <v>0.99109840000000005</v>
      </c>
      <c r="Q229">
        <v>0.1322517</v>
      </c>
      <c r="R229">
        <v>-1.5300869999999999E-2</v>
      </c>
      <c r="S229">
        <v>3.048279</v>
      </c>
      <c r="T229">
        <v>-0.14783009999999999</v>
      </c>
      <c r="U229">
        <v>0.11230469999999999</v>
      </c>
      <c r="V229">
        <v>2.671927E-2</v>
      </c>
      <c r="W229">
        <v>0.14610339999999999</v>
      </c>
      <c r="X229">
        <v>0.98890840000000002</v>
      </c>
      <c r="Y229">
        <v>-2.5277930000000001E-2</v>
      </c>
      <c r="Z229">
        <v>3.9271629999999998E-4</v>
      </c>
      <c r="AA229">
        <v>0.99968040000000002</v>
      </c>
      <c r="AB229">
        <v>23</v>
      </c>
      <c r="AC229">
        <v>23.9207</v>
      </c>
      <c r="AD229">
        <v>-1.1709000000000001</v>
      </c>
      <c r="AE229">
        <v>0.88700000000000001</v>
      </c>
      <c r="AF229">
        <v>-0.61008158671832002</v>
      </c>
      <c r="AG229">
        <v>-1.1709000000000001</v>
      </c>
      <c r="AH229">
        <v>23.872206735099802</v>
      </c>
      <c r="AI229">
        <v>92.807116349142802</v>
      </c>
      <c r="AJ229">
        <v>91.463940620478496</v>
      </c>
      <c r="AK229">
        <v>23.908690067751401</v>
      </c>
      <c r="AL229">
        <v>81.598819917246701</v>
      </c>
      <c r="AM229">
        <v>88.452304546861299</v>
      </c>
      <c r="AN229">
        <v>0.99999997323572598</v>
      </c>
    </row>
    <row r="230" spans="1:40" x14ac:dyDescent="0.25">
      <c r="A230" t="str">
        <f>"20190303162215358"</f>
        <v>20190303162215358</v>
      </c>
      <c r="B230" t="str">
        <f>"1551601335344462"</f>
        <v>1551601335344462</v>
      </c>
      <c r="C230" t="s">
        <v>40</v>
      </c>
      <c r="D230">
        <v>5.6790500000000002</v>
      </c>
      <c r="E230">
        <v>0.48012280000000002</v>
      </c>
      <c r="F230" t="s">
        <v>43</v>
      </c>
      <c r="G230">
        <v>-427.4375</v>
      </c>
      <c r="H230">
        <v>-0.05</v>
      </c>
      <c r="I230">
        <v>368.36099999999999</v>
      </c>
      <c r="J230">
        <v>-451.35359999999997</v>
      </c>
      <c r="K230">
        <v>1.1209129999999901</v>
      </c>
      <c r="L230">
        <v>367.49099999999999</v>
      </c>
      <c r="M230">
        <v>0.99983500000000003</v>
      </c>
      <c r="N230">
        <v>-1.4076450000000001E-2</v>
      </c>
      <c r="O230">
        <v>1.1496070000000001E-2</v>
      </c>
      <c r="P230">
        <v>0.99105430000000005</v>
      </c>
      <c r="Q230">
        <v>0.132495899999999</v>
      </c>
      <c r="R230">
        <v>-1.6022359999999999E-2</v>
      </c>
      <c r="S230">
        <v>3.0483699999999998</v>
      </c>
      <c r="T230">
        <v>-0.1478177</v>
      </c>
      <c r="U230">
        <v>0.1101685</v>
      </c>
      <c r="V230">
        <v>2.7424529999999999E-2</v>
      </c>
      <c r="W230">
        <v>0.1464279</v>
      </c>
      <c r="X230">
        <v>0.98884110000000003</v>
      </c>
      <c r="Y230">
        <v>-2.4593980000000001E-2</v>
      </c>
      <c r="Z230">
        <v>3.7385670000000001E-4</v>
      </c>
      <c r="AA230">
        <v>0.99969739999999996</v>
      </c>
      <c r="AB230">
        <v>23</v>
      </c>
      <c r="AC230">
        <v>23.916099999999901</v>
      </c>
      <c r="AD230">
        <v>-1.1709130000000001</v>
      </c>
      <c r="AE230">
        <v>0.87000000000000399</v>
      </c>
      <c r="AF230">
        <v>-0.59355327144068004</v>
      </c>
      <c r="AG230">
        <v>-1.1709130000000001</v>
      </c>
      <c r="AH230">
        <v>23.867387246928999</v>
      </c>
      <c r="AI230">
        <v>92.807761948062804</v>
      </c>
      <c r="AJ230">
        <v>91.424583628175</v>
      </c>
      <c r="AK230">
        <v>23.903462442384299</v>
      </c>
      <c r="AL230">
        <v>81.580025346241897</v>
      </c>
      <c r="AM230">
        <v>88.411365446868203</v>
      </c>
      <c r="AN230">
        <v>0.99999997789666994</v>
      </c>
    </row>
    <row r="231" spans="1:40" x14ac:dyDescent="0.25">
      <c r="A231" t="str">
        <f>"20190303162215380"</f>
        <v>20190303162215380</v>
      </c>
      <c r="B231" t="str">
        <f>"1551601335374718"</f>
        <v>1551601335374718</v>
      </c>
      <c r="C231" t="s">
        <v>40</v>
      </c>
      <c r="D231">
        <v>5.6865870000000003</v>
      </c>
      <c r="E231">
        <v>0.4800777</v>
      </c>
      <c r="F231" t="s">
        <v>43</v>
      </c>
      <c r="G231">
        <v>-427.06630000000001</v>
      </c>
      <c r="H231">
        <v>-0.05</v>
      </c>
      <c r="I231">
        <v>368.35629999999998</v>
      </c>
      <c r="J231">
        <v>-451.12439999999998</v>
      </c>
      <c r="K231">
        <v>1.1209180000000001</v>
      </c>
      <c r="L231">
        <v>367.49360000000001</v>
      </c>
      <c r="M231">
        <v>0.99983409999999995</v>
      </c>
      <c r="N231">
        <v>-1.4146529999999999E-2</v>
      </c>
      <c r="O231">
        <v>1.148066E-2</v>
      </c>
      <c r="P231">
        <v>0.99102060000000003</v>
      </c>
      <c r="Q231">
        <v>0.132745899999999</v>
      </c>
      <c r="R231">
        <v>-1.6037470000000002E-2</v>
      </c>
      <c r="S231">
        <v>3.0485229999999999</v>
      </c>
      <c r="T231">
        <v>-0.1469715</v>
      </c>
      <c r="U231">
        <v>0.1086121</v>
      </c>
      <c r="V231">
        <v>2.7424069999999998E-2</v>
      </c>
      <c r="W231">
        <v>0.14674679999999901</v>
      </c>
      <c r="X231">
        <v>0.98879379999999994</v>
      </c>
      <c r="Y231">
        <v>-2.4098769999999999E-2</v>
      </c>
      <c r="Z231">
        <v>3.6039129999999999E-4</v>
      </c>
      <c r="AA231">
        <v>0.99970950000000003</v>
      </c>
      <c r="AB231">
        <v>23</v>
      </c>
      <c r="AC231">
        <v>24.0580999999999</v>
      </c>
      <c r="AD231">
        <v>-1.1709179999999999</v>
      </c>
      <c r="AE231">
        <v>0.86269999999996105</v>
      </c>
      <c r="AF231">
        <v>-0.58502860403980605</v>
      </c>
      <c r="AG231">
        <v>-1.1709179999999999</v>
      </c>
      <c r="AH231">
        <v>24.009618294678301</v>
      </c>
      <c r="AI231">
        <v>92.791201716243506</v>
      </c>
      <c r="AJ231">
        <v>91.395817212081894</v>
      </c>
      <c r="AK231">
        <v>24.0452714288365</v>
      </c>
      <c r="AL231">
        <v>81.561553876968404</v>
      </c>
      <c r="AM231">
        <v>88.411316126064094</v>
      </c>
      <c r="AN231">
        <v>0.99999994092202005</v>
      </c>
    </row>
    <row r="232" spans="1:40" x14ac:dyDescent="0.25">
      <c r="A232" t="str">
        <f>"20190303162215404"</f>
        <v>20190303162215404</v>
      </c>
      <c r="B232" t="str">
        <f>"1551601335395214"</f>
        <v>1551601335395214</v>
      </c>
      <c r="C232" t="s">
        <v>40</v>
      </c>
      <c r="D232">
        <v>5.6746660000000002</v>
      </c>
      <c r="E232">
        <v>0.48011999999999999</v>
      </c>
      <c r="F232" t="s">
        <v>43</v>
      </c>
      <c r="G232">
        <v>-426.74259999999998</v>
      </c>
      <c r="H232">
        <v>-0.05</v>
      </c>
      <c r="I232">
        <v>368.36290000000002</v>
      </c>
      <c r="J232">
        <v>-450.89359999999999</v>
      </c>
      <c r="K232">
        <v>1.120933</v>
      </c>
      <c r="L232">
        <v>367.49619999999999</v>
      </c>
      <c r="M232">
        <v>0.99983339999999998</v>
      </c>
      <c r="N232">
        <v>-1.420659E-2</v>
      </c>
      <c r="O232">
        <v>1.1464439999999999E-2</v>
      </c>
      <c r="P232">
        <v>0.99095650000000002</v>
      </c>
      <c r="Q232">
        <v>0.133222799999999</v>
      </c>
      <c r="R232">
        <v>-1.6033200000000001E-2</v>
      </c>
      <c r="S232">
        <v>3.0485229999999999</v>
      </c>
      <c r="T232">
        <v>-0.14640329999999999</v>
      </c>
      <c r="U232">
        <v>0.1087036</v>
      </c>
      <c r="V232">
        <v>2.7402989999999999E-2</v>
      </c>
      <c r="W232">
        <v>0.1472821</v>
      </c>
      <c r="X232">
        <v>0.98871489999999995</v>
      </c>
      <c r="Y232">
        <v>-2.4145E-2</v>
      </c>
      <c r="Z232">
        <v>3.6368499999999998E-4</v>
      </c>
      <c r="AA232">
        <v>0.99970840000000005</v>
      </c>
      <c r="AB232">
        <v>23</v>
      </c>
      <c r="AC232">
        <v>24.151</v>
      </c>
      <c r="AD232">
        <v>-1.170933</v>
      </c>
      <c r="AE232">
        <v>0.866700000000037</v>
      </c>
      <c r="AF232">
        <v>-0.58835614755742704</v>
      </c>
      <c r="AG232">
        <v>-1.170933</v>
      </c>
      <c r="AH232">
        <v>24.102764678050601</v>
      </c>
      <c r="AI232">
        <v>92.780464524902399</v>
      </c>
      <c r="AJ232">
        <v>91.398330497075506</v>
      </c>
      <c r="AK232">
        <v>24.138361836966901</v>
      </c>
      <c r="AL232">
        <v>81.530547435184303</v>
      </c>
      <c r="AM232">
        <v>88.412410055501596</v>
      </c>
      <c r="AN232">
        <v>1.0000000471616699</v>
      </c>
    </row>
    <row r="233" spans="1:40" x14ac:dyDescent="0.25">
      <c r="A233" t="str">
        <f>"20190303162215426"</f>
        <v>20190303162215426</v>
      </c>
      <c r="B233" t="str">
        <f>"1551601335414734"</f>
        <v>1551601335414734</v>
      </c>
      <c r="C233" t="s">
        <v>40</v>
      </c>
      <c r="D233">
        <v>5.7219309999999997</v>
      </c>
      <c r="E233">
        <v>0.48016429999999999</v>
      </c>
      <c r="F233" t="s">
        <v>43</v>
      </c>
      <c r="G233">
        <v>-426.28109999999998</v>
      </c>
      <c r="H233">
        <v>-0.05</v>
      </c>
      <c r="I233">
        <v>368.37110000000001</v>
      </c>
      <c r="J233">
        <v>-450.66669999999999</v>
      </c>
      <c r="K233">
        <v>1.12094</v>
      </c>
      <c r="L233">
        <v>367.49869999999999</v>
      </c>
      <c r="M233">
        <v>0.99983290000000002</v>
      </c>
      <c r="N233">
        <v>-1.4255779999999999E-2</v>
      </c>
      <c r="O233">
        <v>1.1448710000000001E-2</v>
      </c>
      <c r="P233">
        <v>0.99090440000000002</v>
      </c>
      <c r="Q233">
        <v>0.13361500000000001</v>
      </c>
      <c r="R233">
        <v>-1.5998269999999998E-2</v>
      </c>
      <c r="S233">
        <v>3.0486759999999999</v>
      </c>
      <c r="T233">
        <v>-0.14503929999999901</v>
      </c>
      <c r="U233">
        <v>0.1083679</v>
      </c>
      <c r="V233">
        <v>2.7351710000000001E-2</v>
      </c>
      <c r="W233">
        <v>0.14772260000000001</v>
      </c>
      <c r="X233">
        <v>0.98865060000000005</v>
      </c>
      <c r="Y233">
        <v>-2.404951E-2</v>
      </c>
      <c r="Z233">
        <v>3.6214199999999998E-4</v>
      </c>
      <c r="AA233">
        <v>0.99971069999999995</v>
      </c>
      <c r="AB233">
        <v>23</v>
      </c>
      <c r="AC233">
        <v>24.3856</v>
      </c>
      <c r="AD233">
        <v>-1.1709399999999901</v>
      </c>
      <c r="AE233">
        <v>0.87240000000002704</v>
      </c>
      <c r="AF233">
        <v>-0.5917681002488</v>
      </c>
      <c r="AG233">
        <v>-1.1709399999999901</v>
      </c>
      <c r="AH233">
        <v>24.3379461248763</v>
      </c>
      <c r="AI233">
        <v>92.753660850577006</v>
      </c>
      <c r="AJ233">
        <v>91.392851108774295</v>
      </c>
      <c r="AK233">
        <v>24.373282740440501</v>
      </c>
      <c r="AL233">
        <v>81.505029510651298</v>
      </c>
      <c r="AM233">
        <v>88.415276433652707</v>
      </c>
      <c r="AN233">
        <v>1.00000004573552</v>
      </c>
    </row>
    <row r="234" spans="1:40" x14ac:dyDescent="0.25">
      <c r="A234" t="str">
        <f>"20190303162215446"</f>
        <v>20190303162215446</v>
      </c>
      <c r="B234" t="str">
        <f>"1551601335434254"</f>
        <v>1551601335434254</v>
      </c>
      <c r="C234" t="s">
        <v>40</v>
      </c>
      <c r="D234">
        <v>5.778041</v>
      </c>
      <c r="E234">
        <v>0.4959017</v>
      </c>
      <c r="F234" t="s">
        <v>43</v>
      </c>
      <c r="G234">
        <v>-425.93959999999998</v>
      </c>
      <c r="H234">
        <v>-0.05</v>
      </c>
      <c r="I234">
        <v>368.38130000000001</v>
      </c>
      <c r="J234">
        <v>-450.45510000000002</v>
      </c>
      <c r="K234">
        <v>1.1209559999999901</v>
      </c>
      <c r="L234">
        <v>367.50119999999998</v>
      </c>
      <c r="M234">
        <v>0.99983250000000001</v>
      </c>
      <c r="N234">
        <v>-1.4294889999999999E-2</v>
      </c>
      <c r="O234">
        <v>1.1434E-2</v>
      </c>
      <c r="P234">
        <v>0.99084039999999995</v>
      </c>
      <c r="Q234">
        <v>0.1340711</v>
      </c>
      <c r="R234">
        <v>-1.6142730000000001E-2</v>
      </c>
      <c r="S234">
        <v>3.0487669999999998</v>
      </c>
      <c r="T234">
        <v>-0.14437329999999901</v>
      </c>
      <c r="U234">
        <v>0.1088257</v>
      </c>
      <c r="V234">
        <v>2.7480999999999998E-2</v>
      </c>
      <c r="W234">
        <v>0.148216299999999</v>
      </c>
      <c r="X234">
        <v>0.98857309999999998</v>
      </c>
      <c r="Y234">
        <v>-2.4212979999999999E-2</v>
      </c>
      <c r="Z234">
        <v>3.684561E-4</v>
      </c>
      <c r="AA234">
        <v>0.99970669999999995</v>
      </c>
      <c r="AB234">
        <v>23</v>
      </c>
      <c r="AC234">
        <v>24.515499999999999</v>
      </c>
      <c r="AD234">
        <v>-1.1709560000000001</v>
      </c>
      <c r="AE234">
        <v>0.88010000000002697</v>
      </c>
      <c r="AF234">
        <v>-0.59834030884474698</v>
      </c>
      <c r="AG234">
        <v>-1.1709560000000001</v>
      </c>
      <c r="AH234">
        <v>24.468211480619502</v>
      </c>
      <c r="AI234">
        <v>92.739051223057103</v>
      </c>
      <c r="AJ234">
        <v>91.400819320638703</v>
      </c>
      <c r="AK234">
        <v>24.503520607036101</v>
      </c>
      <c r="AL234">
        <v>81.476427561224</v>
      </c>
      <c r="AM234">
        <v>88.407664622672598</v>
      </c>
      <c r="AN234">
        <v>1.00000002549514</v>
      </c>
    </row>
    <row r="235" spans="1:40" x14ac:dyDescent="0.25">
      <c r="A235" t="str">
        <f>"20190303162215469"</f>
        <v>20190303162215469</v>
      </c>
      <c r="B235" t="str">
        <f>"1551601335464510"</f>
        <v>1551601335464510</v>
      </c>
      <c r="C235" t="s">
        <v>40</v>
      </c>
      <c r="D235">
        <v>5.7181249999999997</v>
      </c>
      <c r="E235">
        <v>0.49784820000000002</v>
      </c>
      <c r="F235" t="s">
        <v>42</v>
      </c>
      <c r="G235">
        <v>-449.56830000000002</v>
      </c>
      <c r="H235">
        <v>1.0379050000000001</v>
      </c>
      <c r="I235">
        <v>367.4957</v>
      </c>
      <c r="J235">
        <v>-450.23009999999999</v>
      </c>
      <c r="K235">
        <v>1.120967</v>
      </c>
      <c r="L235">
        <v>367.50369999999998</v>
      </c>
      <c r="M235">
        <v>0.99983219999999995</v>
      </c>
      <c r="N235">
        <v>-1.433016E-2</v>
      </c>
      <c r="O235">
        <v>1.1418670000000001E-2</v>
      </c>
      <c r="P235">
        <v>0.99089090000000002</v>
      </c>
      <c r="Q235">
        <v>0.13367270000000001</v>
      </c>
      <c r="R235">
        <v>-1.6337529999999999E-2</v>
      </c>
      <c r="S235">
        <v>3.0663450000000001</v>
      </c>
      <c r="T235">
        <v>-0.28751700000000002</v>
      </c>
      <c r="U235">
        <v>-1.7822270000000001E-2</v>
      </c>
      <c r="V235">
        <v>2.76612E-2</v>
      </c>
      <c r="W235">
        <v>0.14785319999999999</v>
      </c>
      <c r="X235">
        <v>0.98862240000000001</v>
      </c>
      <c r="Y235">
        <v>1.710888E-2</v>
      </c>
      <c r="Z235">
        <v>-1.8282299999999999E-3</v>
      </c>
      <c r="AA235">
        <v>0.99985190000000002</v>
      </c>
      <c r="AB235">
        <v>22</v>
      </c>
      <c r="AC235">
        <v>0.66179999999997097</v>
      </c>
      <c r="AD235">
        <v>-8.3062000000000094E-2</v>
      </c>
      <c r="AE235">
        <v>-7.9999999999813502E-3</v>
      </c>
      <c r="AF235">
        <v>1.5315900098098099E-2</v>
      </c>
      <c r="AG235">
        <v>-8.3062000000000094E-2</v>
      </c>
      <c r="AH235">
        <v>0.65140567613287603</v>
      </c>
      <c r="AI235">
        <v>97.264695194605693</v>
      </c>
      <c r="AJ235">
        <v>88.653105407393198</v>
      </c>
      <c r="AK235">
        <v>0.65685860543799202</v>
      </c>
      <c r="AL235">
        <v>81.497463040691002</v>
      </c>
      <c r="AM235">
        <v>88.397308581994906</v>
      </c>
      <c r="AN235">
        <v>0.99999998025871895</v>
      </c>
    </row>
    <row r="236" spans="1:40" x14ac:dyDescent="0.25">
      <c r="A236" t="str">
        <f>"20190303162215492"</f>
        <v>20190303162215492</v>
      </c>
      <c r="B236" t="str">
        <f>"1551601335484030"</f>
        <v>1551601335484030</v>
      </c>
      <c r="C236" t="s">
        <v>40</v>
      </c>
      <c r="D236">
        <v>5.2943449999999999</v>
      </c>
      <c r="E236">
        <v>0.49810729999999998</v>
      </c>
      <c r="F236" t="s">
        <v>42</v>
      </c>
      <c r="G236">
        <v>-449.3698</v>
      </c>
      <c r="H236">
        <v>1.0365960000000001</v>
      </c>
      <c r="I236">
        <v>367.49400000000003</v>
      </c>
      <c r="J236">
        <v>-450.00299999999999</v>
      </c>
      <c r="K236">
        <v>1.1209750000000001</v>
      </c>
      <c r="L236">
        <v>367.50630000000001</v>
      </c>
      <c r="M236">
        <v>0.9998319</v>
      </c>
      <c r="N236">
        <v>-1.4360029999999999E-2</v>
      </c>
      <c r="O236">
        <v>1.140236E-2</v>
      </c>
      <c r="P236">
        <v>0.99088790000000004</v>
      </c>
      <c r="Q236">
        <v>0.13366639999999999</v>
      </c>
      <c r="R236">
        <v>-1.6584000000000002E-2</v>
      </c>
      <c r="S236">
        <v>3.067596</v>
      </c>
      <c r="T236">
        <v>-0.30086299999999999</v>
      </c>
      <c r="U236">
        <v>-3.433228E-2</v>
      </c>
      <c r="V236">
        <v>2.7891320000000001E-2</v>
      </c>
      <c r="W236">
        <v>0.14787639999999999</v>
      </c>
      <c r="X236">
        <v>0.98861250000000001</v>
      </c>
      <c r="Y236">
        <v>2.2429999999999999E-2</v>
      </c>
      <c r="Z236">
        <v>-2.2109780000000002E-3</v>
      </c>
      <c r="AA236">
        <v>0.99974600000000002</v>
      </c>
      <c r="AB236">
        <v>22</v>
      </c>
      <c r="AC236">
        <v>0.63320000000004395</v>
      </c>
      <c r="AD236">
        <v>-8.4379000000000204E-2</v>
      </c>
      <c r="AE236">
        <v>-1.22999999999819E-2</v>
      </c>
      <c r="AF236">
        <v>1.9179464042583701E-2</v>
      </c>
      <c r="AG236">
        <v>-8.4379000000000204E-2</v>
      </c>
      <c r="AH236">
        <v>0.62197782906221899</v>
      </c>
      <c r="AI236">
        <v>97.722091273813803</v>
      </c>
      <c r="AJ236">
        <v>88.233772677733398</v>
      </c>
      <c r="AK236">
        <v>0.62796822159000398</v>
      </c>
      <c r="AL236">
        <v>81.496119304415501</v>
      </c>
      <c r="AM236">
        <v>88.3839662833891</v>
      </c>
      <c r="AN236">
        <v>1.0000000152822699</v>
      </c>
    </row>
    <row r="237" spans="1:40" x14ac:dyDescent="0.25">
      <c r="A237" t="str">
        <f>"20190303162215512"</f>
        <v>20190303162215512</v>
      </c>
      <c r="B237" t="str">
        <f>"1551601335504526"</f>
        <v>1551601335504526</v>
      </c>
      <c r="C237" t="s">
        <v>40</v>
      </c>
      <c r="D237">
        <v>5.6615390000000003</v>
      </c>
      <c r="E237">
        <v>0.49780770000000002</v>
      </c>
      <c r="F237" t="s">
        <v>42</v>
      </c>
      <c r="G237">
        <v>-449.16930000000002</v>
      </c>
      <c r="H237">
        <v>1.0377449999999999</v>
      </c>
      <c r="I237">
        <v>367.4957</v>
      </c>
      <c r="J237">
        <v>-449.79559999999998</v>
      </c>
      <c r="K237">
        <v>1.120989</v>
      </c>
      <c r="L237">
        <v>367.5086</v>
      </c>
      <c r="M237">
        <v>0.9998319</v>
      </c>
      <c r="N237">
        <v>-1.4383109999999999E-2</v>
      </c>
      <c r="O237">
        <v>1.138777E-2</v>
      </c>
      <c r="P237">
        <v>0.99087930000000002</v>
      </c>
      <c r="Q237">
        <v>0.13371820000000001</v>
      </c>
      <c r="R237">
        <v>-1.6674319999999999E-2</v>
      </c>
      <c r="S237">
        <v>3.068298</v>
      </c>
      <c r="T237">
        <v>-0.30662509999999998</v>
      </c>
      <c r="U237">
        <v>-3.701782E-2</v>
      </c>
      <c r="V237">
        <v>2.7967180000000001E-2</v>
      </c>
      <c r="W237">
        <v>0.14795129999999901</v>
      </c>
      <c r="X237">
        <v>0.98859909999999995</v>
      </c>
      <c r="Y237">
        <v>2.32768E-2</v>
      </c>
      <c r="Z237">
        <v>-2.299724E-3</v>
      </c>
      <c r="AA237">
        <v>0.99972640000000002</v>
      </c>
      <c r="AB237">
        <v>22</v>
      </c>
      <c r="AC237">
        <v>0.626299999999957</v>
      </c>
      <c r="AD237">
        <v>-8.3243999999999804E-2</v>
      </c>
      <c r="AE237">
        <v>-1.29000000000019E-2</v>
      </c>
      <c r="AF237">
        <v>1.96844597165871E-2</v>
      </c>
      <c r="AG237">
        <v>-8.3243999999999804E-2</v>
      </c>
      <c r="AH237">
        <v>0.61524802979125504</v>
      </c>
      <c r="AI237">
        <v>97.701520837353698</v>
      </c>
      <c r="AJ237">
        <v>88.167483985091806</v>
      </c>
      <c r="AK237">
        <v>0.62116598397880296</v>
      </c>
      <c r="AL237">
        <v>81.491779693312097</v>
      </c>
      <c r="AM237">
        <v>88.379551313870294</v>
      </c>
      <c r="AN237">
        <v>0.99999996542482505</v>
      </c>
    </row>
    <row r="238" spans="1:40" x14ac:dyDescent="0.25">
      <c r="A238" t="str">
        <f>"20190303162215536"</f>
        <v>20190303162215536</v>
      </c>
      <c r="B238" t="str">
        <f>"1551601335524046"</f>
        <v>1551601335524046</v>
      </c>
      <c r="C238" t="s">
        <v>40</v>
      </c>
      <c r="D238">
        <v>5.6591670000000001</v>
      </c>
      <c r="E238">
        <v>0.49793490000000001</v>
      </c>
      <c r="F238" t="s">
        <v>42</v>
      </c>
      <c r="G238">
        <v>-448.96940000000001</v>
      </c>
      <c r="H238">
        <v>1.0383579999999999</v>
      </c>
      <c r="I238">
        <v>367.49900000000002</v>
      </c>
      <c r="J238">
        <v>-449.55919999999998</v>
      </c>
      <c r="K238">
        <v>1.1209960000000001</v>
      </c>
      <c r="L238">
        <v>367.51130000000001</v>
      </c>
      <c r="M238">
        <v>0.99983169999999999</v>
      </c>
      <c r="N238">
        <v>-1.440513E-2</v>
      </c>
      <c r="O238">
        <v>1.1371340000000001E-2</v>
      </c>
      <c r="P238">
        <v>0.99093969999999998</v>
      </c>
      <c r="Q238">
        <v>0.13328670000000001</v>
      </c>
      <c r="R238">
        <v>-1.6538609999999999E-2</v>
      </c>
      <c r="S238">
        <v>3.068451</v>
      </c>
      <c r="T238">
        <v>-0.30709309999999901</v>
      </c>
      <c r="U238">
        <v>-3.482056E-2</v>
      </c>
      <c r="V238">
        <v>2.7815659999999999E-2</v>
      </c>
      <c r="W238">
        <v>0.14754239999999999</v>
      </c>
      <c r="X238">
        <v>0.98866449999999995</v>
      </c>
      <c r="Y238">
        <v>2.25477E-2</v>
      </c>
      <c r="Z238">
        <v>-2.2600490000000001E-3</v>
      </c>
      <c r="AA238">
        <v>0.99974320000000005</v>
      </c>
      <c r="AB238">
        <v>22</v>
      </c>
      <c r="AC238">
        <v>0.58979999999996802</v>
      </c>
      <c r="AD238">
        <v>-8.2637999999999906E-2</v>
      </c>
      <c r="AE238">
        <v>-1.22999999999819E-2</v>
      </c>
      <c r="AF238">
        <v>1.8640928631607798E-2</v>
      </c>
      <c r="AG238">
        <v>-8.2637999999999906E-2</v>
      </c>
      <c r="AH238">
        <v>0.57827460290199995</v>
      </c>
      <c r="AI238">
        <v>98.128591523812403</v>
      </c>
      <c r="AJ238">
        <v>88.153685432315399</v>
      </c>
      <c r="AK238">
        <v>0.58444678083270696</v>
      </c>
      <c r="AL238">
        <v>81.515468054704996</v>
      </c>
      <c r="AM238">
        <v>88.388432459602697</v>
      </c>
      <c r="AN238">
        <v>0.99999998214962205</v>
      </c>
    </row>
    <row r="239" spans="1:40" x14ac:dyDescent="0.25">
      <c r="A239" t="str">
        <f>"20190303162215569"</f>
        <v>20190303162215569</v>
      </c>
      <c r="B239" t="str">
        <f>"1551601335565038"</f>
        <v>1551601335565038</v>
      </c>
      <c r="C239" t="s">
        <v>40</v>
      </c>
      <c r="D239">
        <v>5.4390919999999996</v>
      </c>
      <c r="E239">
        <v>0.4982026</v>
      </c>
      <c r="F239" t="s">
        <v>42</v>
      </c>
      <c r="G239">
        <v>-448.7679</v>
      </c>
      <c r="H239">
        <v>1.04118</v>
      </c>
      <c r="I239">
        <v>367.50200000000001</v>
      </c>
      <c r="J239">
        <v>-449.23500000000001</v>
      </c>
      <c r="K239">
        <v>1.1209990000000001</v>
      </c>
      <c r="L239">
        <v>367.51499999999999</v>
      </c>
      <c r="M239">
        <v>0.99983160000000004</v>
      </c>
      <c r="N239">
        <v>-1.442891E-2</v>
      </c>
      <c r="O239">
        <v>1.134923E-2</v>
      </c>
      <c r="P239">
        <v>0.9910563</v>
      </c>
      <c r="Q239">
        <v>0.13234360000000001</v>
      </c>
      <c r="R239">
        <v>-1.7107210000000001E-2</v>
      </c>
      <c r="S239">
        <v>3.0685120000000001</v>
      </c>
      <c r="T239">
        <v>-0.30960769999999999</v>
      </c>
      <c r="U239">
        <v>-3.497314E-2</v>
      </c>
      <c r="V239">
        <v>2.8363900000000001E-2</v>
      </c>
      <c r="W239">
        <v>0.14662410000000001</v>
      </c>
      <c r="X239">
        <v>0.98878560000000004</v>
      </c>
      <c r="Y239">
        <v>2.257224E-2</v>
      </c>
      <c r="Z239">
        <v>-2.2779390000000001E-3</v>
      </c>
      <c r="AA239">
        <v>0.99974260000000004</v>
      </c>
      <c r="AB239">
        <v>22</v>
      </c>
      <c r="AC239">
        <v>0.467100000000016</v>
      </c>
      <c r="AD239">
        <v>-7.9819000000000001E-2</v>
      </c>
      <c r="AE239">
        <v>-1.3000000000033599E-2</v>
      </c>
      <c r="AF239">
        <v>1.77820920934843E-2</v>
      </c>
      <c r="AG239">
        <v>-7.9819000000000001E-2</v>
      </c>
      <c r="AH239">
        <v>0.45368471070603</v>
      </c>
      <c r="AI239">
        <v>99.970712584954001</v>
      </c>
      <c r="AJ239">
        <v>87.755450957024095</v>
      </c>
      <c r="AK239">
        <v>0.46099576168185702</v>
      </c>
      <c r="AL239">
        <v>81.568661872976193</v>
      </c>
      <c r="AM239">
        <v>88.356887249584602</v>
      </c>
      <c r="AN239">
        <v>1.0000000501456801</v>
      </c>
    </row>
    <row r="240" spans="1:40" x14ac:dyDescent="0.25">
      <c r="A240" t="str">
        <f>"20190303162215594"</f>
        <v>20190303162215594</v>
      </c>
      <c r="B240" t="str">
        <f>"1551601335585534"</f>
        <v>1551601335585534</v>
      </c>
      <c r="C240" t="s">
        <v>40</v>
      </c>
      <c r="D240">
        <v>5.5952820000000001</v>
      </c>
      <c r="E240">
        <v>0.49821759999999898</v>
      </c>
      <c r="F240" t="s">
        <v>42</v>
      </c>
      <c r="G240">
        <v>-448.37729999999999</v>
      </c>
      <c r="H240">
        <v>1.0328219999999999</v>
      </c>
      <c r="I240">
        <v>367.50400000000002</v>
      </c>
      <c r="J240">
        <v>-448.9957</v>
      </c>
      <c r="K240">
        <v>1.1210009999999999</v>
      </c>
      <c r="L240">
        <v>367.51769999999999</v>
      </c>
      <c r="M240">
        <v>0.99983160000000004</v>
      </c>
      <c r="N240">
        <v>-1.444251E-2</v>
      </c>
      <c r="O240">
        <v>1.133285E-2</v>
      </c>
      <c r="P240">
        <v>0.99124369999999995</v>
      </c>
      <c r="Q240">
        <v>0.1308685</v>
      </c>
      <c r="R240">
        <v>-1.7602980000000001E-2</v>
      </c>
      <c r="S240">
        <v>3.0685419999999999</v>
      </c>
      <c r="T240">
        <v>-0.31557600000000002</v>
      </c>
      <c r="U240">
        <v>-3.8116459999999998E-2</v>
      </c>
      <c r="V240">
        <v>2.8845329999999999E-2</v>
      </c>
      <c r="W240">
        <v>0.1451655</v>
      </c>
      <c r="X240">
        <v>0.98898680000000005</v>
      </c>
      <c r="Y240">
        <v>2.3567100000000001E-2</v>
      </c>
      <c r="Z240">
        <v>-2.378406E-3</v>
      </c>
      <c r="AA240">
        <v>0.99971940000000004</v>
      </c>
      <c r="AB240">
        <v>22</v>
      </c>
      <c r="AC240">
        <v>0.61840000000000805</v>
      </c>
      <c r="AD240">
        <v>-8.8178999999999993E-2</v>
      </c>
      <c r="AE240">
        <v>-1.3699999999971599E-2</v>
      </c>
      <c r="AF240">
        <v>2.0295625672860401E-2</v>
      </c>
      <c r="AG240">
        <v>-8.8178999999999993E-2</v>
      </c>
      <c r="AH240">
        <v>0.60589173529907603</v>
      </c>
      <c r="AI240">
        <v>98.275880206691198</v>
      </c>
      <c r="AJ240">
        <v>88.081473984216601</v>
      </c>
      <c r="AK240">
        <v>0.61261100493394605</v>
      </c>
      <c r="AL240">
        <v>81.653136815055205</v>
      </c>
      <c r="AM240">
        <v>88.329353578274606</v>
      </c>
      <c r="AN240">
        <v>0.99999998301364901</v>
      </c>
    </row>
    <row r="241" spans="1:40" x14ac:dyDescent="0.25">
      <c r="A241" t="str">
        <f>"20190303162215637"</f>
        <v>20190303162215637</v>
      </c>
      <c r="B241" t="str">
        <f>"1551601335624574"</f>
        <v>1551601335624574</v>
      </c>
      <c r="C241" t="s">
        <v>40</v>
      </c>
      <c r="D241">
        <v>5.5376659999999998</v>
      </c>
      <c r="E241">
        <v>0.49821880000000002</v>
      </c>
      <c r="F241" t="s">
        <v>42</v>
      </c>
      <c r="G241">
        <v>-448.1782</v>
      </c>
      <c r="H241">
        <v>1.035598</v>
      </c>
      <c r="I241">
        <v>367.50700000000001</v>
      </c>
      <c r="J241">
        <v>-448.56560000000002</v>
      </c>
      <c r="K241">
        <v>1.121008</v>
      </c>
      <c r="L241">
        <v>367.52249999999998</v>
      </c>
      <c r="M241">
        <v>0.99983160000000004</v>
      </c>
      <c r="N241">
        <v>-1.4460310000000001E-2</v>
      </c>
      <c r="O241">
        <v>1.13034E-2</v>
      </c>
      <c r="P241">
        <v>0.99140729999999999</v>
      </c>
      <c r="Q241">
        <v>0.1294082</v>
      </c>
      <c r="R241">
        <v>-1.9111240000000002E-2</v>
      </c>
      <c r="S241">
        <v>3.0681150000000001</v>
      </c>
      <c r="T241">
        <v>-0.32060470000000002</v>
      </c>
      <c r="U241">
        <v>-4.006958E-2</v>
      </c>
      <c r="V241">
        <v>3.0326140000000001E-2</v>
      </c>
      <c r="W241">
        <v>0.14372449999999901</v>
      </c>
      <c r="X241">
        <v>0.98915299999999995</v>
      </c>
      <c r="Y241">
        <v>2.4166110000000001E-2</v>
      </c>
      <c r="Z241">
        <v>-2.44926E-3</v>
      </c>
      <c r="AA241">
        <v>0.99970499999999995</v>
      </c>
      <c r="AB241">
        <v>22</v>
      </c>
      <c r="AC241">
        <v>0.38740000000001301</v>
      </c>
      <c r="AD241">
        <v>-8.5409999999999903E-2</v>
      </c>
      <c r="AE241">
        <v>-1.55000000000313E-2</v>
      </c>
      <c r="AF241">
        <v>1.8958369067684801E-2</v>
      </c>
      <c r="AG241">
        <v>-8.5409999999999903E-2</v>
      </c>
      <c r="AH241">
        <v>0.36927918448001201</v>
      </c>
      <c r="AI241">
        <v>103.00631154578799</v>
      </c>
      <c r="AJ241">
        <v>87.0610807090642</v>
      </c>
      <c r="AK241">
        <v>0.37950152034995799</v>
      </c>
      <c r="AL241">
        <v>81.736575481621998</v>
      </c>
      <c r="AM241">
        <v>88.243936248417995</v>
      </c>
      <c r="AN241">
        <v>1.00000003203827</v>
      </c>
    </row>
    <row r="242" spans="1:40" x14ac:dyDescent="0.25">
      <c r="A242" t="str">
        <f>"20190303162215660"</f>
        <v>20190303162215660</v>
      </c>
      <c r="B242" t="str">
        <f>"1551601335644095"</f>
        <v>1551601335644095</v>
      </c>
      <c r="C242" t="s">
        <v>40</v>
      </c>
      <c r="D242">
        <v>5.5988550000000004</v>
      </c>
      <c r="E242">
        <v>0.49815789999999999</v>
      </c>
      <c r="F242" t="s">
        <v>42</v>
      </c>
      <c r="G242">
        <v>-447.78230000000002</v>
      </c>
      <c r="H242">
        <v>1.0381819999999999</v>
      </c>
      <c r="I242">
        <v>367.5111</v>
      </c>
      <c r="J242">
        <v>-448.34530000000001</v>
      </c>
      <c r="K242">
        <v>1.1210070000000001</v>
      </c>
      <c r="L242">
        <v>367.52499999999998</v>
      </c>
      <c r="M242">
        <v>0.99983160000000004</v>
      </c>
      <c r="N242">
        <v>-1.4466730000000001E-2</v>
      </c>
      <c r="O242">
        <v>1.128792E-2</v>
      </c>
      <c r="P242">
        <v>0.99142839999999999</v>
      </c>
      <c r="Q242">
        <v>0.1291843</v>
      </c>
      <c r="R242">
        <v>-1.952887E-2</v>
      </c>
      <c r="S242">
        <v>3.0674739999999998</v>
      </c>
      <c r="T242">
        <v>-0.32437159999999998</v>
      </c>
      <c r="U242">
        <v>-4.4616700000000002E-2</v>
      </c>
      <c r="V242">
        <v>3.072855E-2</v>
      </c>
      <c r="W242">
        <v>0.14350750000000001</v>
      </c>
      <c r="X242">
        <v>0.98917200000000005</v>
      </c>
      <c r="Y242">
        <v>2.5621169999999999E-2</v>
      </c>
      <c r="Z242">
        <v>-2.5641219999999998E-3</v>
      </c>
      <c r="AA242">
        <v>0.99966840000000001</v>
      </c>
      <c r="AB242">
        <v>22</v>
      </c>
      <c r="AC242">
        <v>0.56299999999998795</v>
      </c>
      <c r="AD242">
        <v>-8.2824999999999899E-2</v>
      </c>
      <c r="AE242">
        <v>-1.3899999999978201E-2</v>
      </c>
      <c r="AF242">
        <v>1.9826055824637898E-2</v>
      </c>
      <c r="AG242">
        <v>-8.2824999999999899E-2</v>
      </c>
      <c r="AH242">
        <v>0.55089182801952397</v>
      </c>
      <c r="AI242">
        <v>98.5447654049959</v>
      </c>
      <c r="AJ242">
        <v>87.938870726672903</v>
      </c>
      <c r="AK242">
        <v>0.55743596878319102</v>
      </c>
      <c r="AL242">
        <v>81.749138189094097</v>
      </c>
      <c r="AM242">
        <v>88.220683354866097</v>
      </c>
      <c r="AN242">
        <v>0.99999994596267405</v>
      </c>
    </row>
    <row r="243" spans="1:40" x14ac:dyDescent="0.25">
      <c r="A243" t="str">
        <f>"20190303162215682"</f>
        <v>20190303162215682</v>
      </c>
      <c r="B243" t="str">
        <f>"1551601335674351"</f>
        <v>1551601335674351</v>
      </c>
      <c r="C243" t="s">
        <v>40</v>
      </c>
      <c r="D243">
        <v>5.4803940000000004</v>
      </c>
      <c r="E243">
        <v>0.49803359999999902</v>
      </c>
      <c r="F243" t="s">
        <v>42</v>
      </c>
      <c r="G243">
        <v>-447.58350000000002</v>
      </c>
      <c r="H243">
        <v>1.0406299999999999</v>
      </c>
      <c r="I243">
        <v>367.51339999999999</v>
      </c>
      <c r="J243">
        <v>-448.12369999999999</v>
      </c>
      <c r="K243">
        <v>1.1210089999999999</v>
      </c>
      <c r="L243">
        <v>367.52749999999997</v>
      </c>
      <c r="M243">
        <v>0.99983180000000005</v>
      </c>
      <c r="N243">
        <v>-1.4471599999999999E-2</v>
      </c>
      <c r="O243">
        <v>1.1272269999999999E-2</v>
      </c>
      <c r="P243">
        <v>0.99148360000000002</v>
      </c>
      <c r="Q243">
        <v>0.1288202</v>
      </c>
      <c r="R243">
        <v>-1.912142E-2</v>
      </c>
      <c r="S243">
        <v>3.0672000000000001</v>
      </c>
      <c r="T243">
        <v>-0.3238318</v>
      </c>
      <c r="U243">
        <v>-4.5196529999999999E-2</v>
      </c>
      <c r="V243">
        <v>3.0306409999999999E-2</v>
      </c>
      <c r="W243">
        <v>0.14314969999999999</v>
      </c>
      <c r="X243">
        <v>0.98923689999999997</v>
      </c>
      <c r="Y243">
        <v>2.579538E-2</v>
      </c>
      <c r="Z243">
        <v>-2.5691580000000002E-3</v>
      </c>
      <c r="AA243">
        <v>0.99966390000000005</v>
      </c>
      <c r="AB243">
        <v>22</v>
      </c>
      <c r="AC243">
        <v>0.54019999999997004</v>
      </c>
      <c r="AD243">
        <v>-8.0378999999999895E-2</v>
      </c>
      <c r="AE243">
        <v>-1.4099999999984901E-2</v>
      </c>
      <c r="AF243">
        <v>1.97520113888742E-2</v>
      </c>
      <c r="AG243">
        <v>-8.0378999999999895E-2</v>
      </c>
      <c r="AH243">
        <v>0.528317766747611</v>
      </c>
      <c r="AI243">
        <v>98.644772380998504</v>
      </c>
      <c r="AJ243">
        <v>87.858902126644793</v>
      </c>
      <c r="AK243">
        <v>0.53476217915638902</v>
      </c>
      <c r="AL243">
        <v>81.769852771889305</v>
      </c>
      <c r="AM243">
        <v>88.245226764915401</v>
      </c>
      <c r="AN243">
        <v>0.99999997970939303</v>
      </c>
    </row>
    <row r="244" spans="1:40" x14ac:dyDescent="0.25">
      <c r="A244" t="str">
        <f>"20190303162215704"</f>
        <v>20190303162215704</v>
      </c>
      <c r="B244" t="str">
        <f>"1551601335694846"</f>
        <v>1551601335694846</v>
      </c>
      <c r="C244" t="s">
        <v>40</v>
      </c>
      <c r="D244">
        <v>5.3097500000000002</v>
      </c>
      <c r="E244">
        <v>0.51346769999999997</v>
      </c>
      <c r="F244" t="s">
        <v>42</v>
      </c>
      <c r="G244">
        <v>-447.38490000000002</v>
      </c>
      <c r="H244">
        <v>1.043282</v>
      </c>
      <c r="I244">
        <v>367.51670000000001</v>
      </c>
      <c r="J244">
        <v>-447.90969999999999</v>
      </c>
      <c r="K244">
        <v>1.12101299999999</v>
      </c>
      <c r="L244">
        <v>367.5299</v>
      </c>
      <c r="M244">
        <v>0.99983200000000005</v>
      </c>
      <c r="N244">
        <v>-1.4474849999999999E-2</v>
      </c>
      <c r="O244">
        <v>1.125549E-2</v>
      </c>
      <c r="P244">
        <v>0.99151929999999999</v>
      </c>
      <c r="Q244">
        <v>0.1286658</v>
      </c>
      <c r="R244">
        <v>-1.8295990000000002E-2</v>
      </c>
      <c r="S244">
        <v>3.0668950000000001</v>
      </c>
      <c r="T244">
        <v>-0.32301570000000002</v>
      </c>
      <c r="U244">
        <v>-4.2877199999999997E-2</v>
      </c>
      <c r="V244">
        <v>2.9465020000000001E-2</v>
      </c>
      <c r="W244">
        <v>0.14299870000000001</v>
      </c>
      <c r="X244">
        <v>0.98928419999999895</v>
      </c>
      <c r="Y244">
        <v>2.50301E-2</v>
      </c>
      <c r="Z244">
        <v>-2.5157780000000002E-3</v>
      </c>
      <c r="AA244">
        <v>0.99968360000000001</v>
      </c>
      <c r="AB244">
        <v>22</v>
      </c>
      <c r="AC244">
        <v>0.52479999999996996</v>
      </c>
      <c r="AD244">
        <v>-7.7730999999999703E-2</v>
      </c>
      <c r="AE244">
        <v>-1.31999999999834E-2</v>
      </c>
      <c r="AF244">
        <v>1.8696749460232299E-2</v>
      </c>
      <c r="AG244">
        <v>-7.7730999999999703E-2</v>
      </c>
      <c r="AH244">
        <v>0.51336302483111895</v>
      </c>
      <c r="AI244">
        <v>98.604434416725695</v>
      </c>
      <c r="AJ244">
        <v>87.914202003006693</v>
      </c>
      <c r="AK244">
        <v>0.51955102931775099</v>
      </c>
      <c r="AL244">
        <v>81.778594718629407</v>
      </c>
      <c r="AM244">
        <v>88.293996458042798</v>
      </c>
      <c r="AN244">
        <v>1.0000000219874601</v>
      </c>
    </row>
    <row r="245" spans="1:40" x14ac:dyDescent="0.25">
      <c r="A245" t="str">
        <f>"20190303162215726"</f>
        <v>20190303162215726</v>
      </c>
      <c r="B245" t="str">
        <f>"1551601335714366"</f>
        <v>1551601335714366</v>
      </c>
      <c r="C245" t="s">
        <v>40</v>
      </c>
      <c r="D245">
        <v>5.2654680000000003</v>
      </c>
      <c r="E245">
        <v>0.51747860000000001</v>
      </c>
      <c r="F245" t="s">
        <v>42</v>
      </c>
      <c r="G245">
        <v>-447.03370000000001</v>
      </c>
      <c r="H245">
        <v>0.96756260000000005</v>
      </c>
      <c r="I245">
        <v>367.48309999999998</v>
      </c>
      <c r="J245">
        <v>-447.69940000000003</v>
      </c>
      <c r="K245">
        <v>1.1210169999999999</v>
      </c>
      <c r="L245">
        <v>367.53219999999999</v>
      </c>
      <c r="M245">
        <v>0.99983219999999995</v>
      </c>
      <c r="N245">
        <v>-1.447698E-2</v>
      </c>
      <c r="O245">
        <v>1.123733E-2</v>
      </c>
      <c r="P245">
        <v>0.99153570000000002</v>
      </c>
      <c r="Q245">
        <v>0.12862689999999999</v>
      </c>
      <c r="R245">
        <v>-1.7666640000000001E-2</v>
      </c>
      <c r="S245">
        <v>3.0930179999999998</v>
      </c>
      <c r="T245">
        <v>-0.54188879999999995</v>
      </c>
      <c r="U245">
        <v>-0.16458130000000001</v>
      </c>
      <c r="V245">
        <v>2.8818429999999999E-2</v>
      </c>
      <c r="W245">
        <v>0.14296239999999999</v>
      </c>
      <c r="X245">
        <v>0.98930850000000004</v>
      </c>
      <c r="Y245">
        <v>6.317072E-2</v>
      </c>
      <c r="Z245">
        <v>-7.7405939999999999E-3</v>
      </c>
      <c r="AA245">
        <v>0.99797270000000005</v>
      </c>
      <c r="AB245">
        <v>22</v>
      </c>
      <c r="AC245">
        <v>0.66570000000001495</v>
      </c>
      <c r="AD245">
        <v>-0.15345439999999899</v>
      </c>
      <c r="AE245">
        <v>-4.91000000000099E-2</v>
      </c>
      <c r="AF245">
        <v>5.3738300929275201E-2</v>
      </c>
      <c r="AG245">
        <v>-0.15345439999999899</v>
      </c>
      <c r="AH245">
        <v>0.63171973011250204</v>
      </c>
      <c r="AI245">
        <v>103.606261929838</v>
      </c>
      <c r="AJ245">
        <v>85.137743952856098</v>
      </c>
      <c r="AK245">
        <v>0.65230811376184605</v>
      </c>
      <c r="AL245">
        <v>81.780696204099897</v>
      </c>
      <c r="AM245">
        <v>88.331453116541596</v>
      </c>
      <c r="AN245">
        <v>1.00000002894683</v>
      </c>
    </row>
    <row r="246" spans="1:40" x14ac:dyDescent="0.25">
      <c r="A246" t="str">
        <f>"20190303162215748"</f>
        <v>20190303162215748</v>
      </c>
      <c r="B246" t="str">
        <f>"1551601335744623"</f>
        <v>1551601335744623</v>
      </c>
      <c r="C246" t="s">
        <v>40</v>
      </c>
      <c r="D246">
        <v>5.2152919999999998</v>
      </c>
      <c r="E246">
        <v>0.51862229999999998</v>
      </c>
      <c r="F246" t="s">
        <v>42</v>
      </c>
      <c r="G246">
        <v>-446.8612</v>
      </c>
      <c r="H246">
        <v>0.92169869999999998</v>
      </c>
      <c r="I246">
        <v>367.47969999999998</v>
      </c>
      <c r="J246">
        <v>-447.47489999999999</v>
      </c>
      <c r="K246">
        <v>1.121019</v>
      </c>
      <c r="L246">
        <v>367.53480000000002</v>
      </c>
      <c r="M246">
        <v>0.99983230000000001</v>
      </c>
      <c r="N246">
        <v>-1.447829E-2</v>
      </c>
      <c r="O246">
        <v>1.1216189999999999E-2</v>
      </c>
      <c r="P246">
        <v>0.99156319999999998</v>
      </c>
      <c r="Q246">
        <v>0.1284737</v>
      </c>
      <c r="R246">
        <v>-1.7233950000000001E-2</v>
      </c>
      <c r="S246">
        <v>3.118347</v>
      </c>
      <c r="T246">
        <v>-0.7415138</v>
      </c>
      <c r="U246">
        <v>-0.19424440000000001</v>
      </c>
      <c r="V246">
        <v>2.836549E-2</v>
      </c>
      <c r="W246">
        <v>0.1428104</v>
      </c>
      <c r="X246">
        <v>0.98934350000000004</v>
      </c>
      <c r="Y246">
        <v>7.099113E-2</v>
      </c>
      <c r="Z246">
        <v>-1.130667E-2</v>
      </c>
      <c r="AA246">
        <v>0.99741290000000005</v>
      </c>
      <c r="AB246">
        <v>22</v>
      </c>
      <c r="AC246">
        <v>0.61369999999999403</v>
      </c>
      <c r="AD246">
        <v>-0.19932030000000001</v>
      </c>
      <c r="AE246">
        <v>-5.51000000000385E-2</v>
      </c>
      <c r="AF246">
        <v>5.6109271694602399E-2</v>
      </c>
      <c r="AG246">
        <v>-0.19932030000000001</v>
      </c>
      <c r="AH246">
        <v>0.55497037450636399</v>
      </c>
      <c r="AI246">
        <v>109.66349494705</v>
      </c>
      <c r="AJ246">
        <v>84.226831774460607</v>
      </c>
      <c r="AK246">
        <v>0.59234191894709198</v>
      </c>
      <c r="AL246">
        <v>81.789495097020406</v>
      </c>
      <c r="AM246">
        <v>88.357721302715106</v>
      </c>
      <c r="AN246">
        <v>0.99999998618167496</v>
      </c>
    </row>
    <row r="247" spans="1:40" x14ac:dyDescent="0.25">
      <c r="A247" t="str">
        <f>"20190303162215770"</f>
        <v>20190303162215770</v>
      </c>
      <c r="B247" t="str">
        <f>"1551601335764142"</f>
        <v>1551601335764142</v>
      </c>
      <c r="C247" t="s">
        <v>40</v>
      </c>
      <c r="D247">
        <v>5.1892709999999997</v>
      </c>
      <c r="E247">
        <v>0.51901269999999999</v>
      </c>
      <c r="F247" t="s">
        <v>42</v>
      </c>
      <c r="G247">
        <v>-446.67680000000001</v>
      </c>
      <c r="H247">
        <v>0.89914539999999998</v>
      </c>
      <c r="I247">
        <v>367.48309999999998</v>
      </c>
      <c r="J247">
        <v>-447.2559</v>
      </c>
      <c r="K247">
        <v>1.12101299999999</v>
      </c>
      <c r="L247">
        <v>367.53710000000001</v>
      </c>
      <c r="M247">
        <v>0.99983259999999996</v>
      </c>
      <c r="N247">
        <v>-1.447872E-2</v>
      </c>
      <c r="O247">
        <v>1.119266E-2</v>
      </c>
      <c r="P247">
        <v>0.99166259999999995</v>
      </c>
      <c r="Q247">
        <v>0.1278049</v>
      </c>
      <c r="R247">
        <v>-1.6473729999999999E-2</v>
      </c>
      <c r="S247">
        <v>3.134979</v>
      </c>
      <c r="T247">
        <v>-0.87164959999999903</v>
      </c>
      <c r="U247">
        <v>-0.20224</v>
      </c>
      <c r="V247">
        <v>2.7583819999999998E-2</v>
      </c>
      <c r="W247">
        <v>0.14214399999999999</v>
      </c>
      <c r="X247">
        <v>0.98946160000000005</v>
      </c>
      <c r="Y247">
        <v>7.2284029999999999E-2</v>
      </c>
      <c r="Z247">
        <v>-1.327855E-2</v>
      </c>
      <c r="AA247">
        <v>0.99729570000000001</v>
      </c>
      <c r="AB247">
        <v>22</v>
      </c>
      <c r="AC247">
        <v>0.57909999999998196</v>
      </c>
      <c r="AD247">
        <v>-0.221867599999999</v>
      </c>
      <c r="AE247">
        <v>-5.4000000000030399E-2</v>
      </c>
      <c r="AF247">
        <v>5.2796110663669703E-2</v>
      </c>
      <c r="AG247">
        <v>-0.221867599999999</v>
      </c>
      <c r="AH247">
        <v>0.50497554837788095</v>
      </c>
      <c r="AI247">
        <v>113.604423827397</v>
      </c>
      <c r="AJ247">
        <v>84.031307253808706</v>
      </c>
      <c r="AK247">
        <v>0.554087507249994</v>
      </c>
      <c r="AL247">
        <v>81.828070834702203</v>
      </c>
      <c r="AM247">
        <v>88.403144455678103</v>
      </c>
      <c r="AN247">
        <v>1.0000000208681701</v>
      </c>
    </row>
    <row r="248" spans="1:40" x14ac:dyDescent="0.25">
      <c r="A248" t="str">
        <f>"20190303162215794"</f>
        <v>20190303162215794</v>
      </c>
      <c r="B248" t="str">
        <f>"1551601335784638"</f>
        <v>1551601335784638</v>
      </c>
      <c r="C248" t="s">
        <v>40</v>
      </c>
      <c r="D248">
        <v>5.1297160000000002</v>
      </c>
      <c r="E248">
        <v>0.5193084</v>
      </c>
      <c r="F248" t="s">
        <v>42</v>
      </c>
      <c r="G248">
        <v>-446.483</v>
      </c>
      <c r="H248">
        <v>0.89792819999999995</v>
      </c>
      <c r="I248">
        <v>367.48649999999998</v>
      </c>
      <c r="J248">
        <v>-447.0335</v>
      </c>
      <c r="K248">
        <v>1.121011</v>
      </c>
      <c r="L248">
        <v>367.53960000000001</v>
      </c>
      <c r="M248">
        <v>0.99983290000000002</v>
      </c>
      <c r="N248">
        <v>-1.4478380000000001E-2</v>
      </c>
      <c r="O248">
        <v>1.116412E-2</v>
      </c>
      <c r="P248">
        <v>0.99171310000000001</v>
      </c>
      <c r="Q248">
        <v>0.1275646</v>
      </c>
      <c r="R248">
        <v>-1.5247299999999899E-2</v>
      </c>
      <c r="S248">
        <v>3.138611</v>
      </c>
      <c r="T248">
        <v>-0.90593789999999996</v>
      </c>
      <c r="U248">
        <v>-0.20373540000000001</v>
      </c>
      <c r="V248">
        <v>2.6330719999999998E-2</v>
      </c>
      <c r="W248">
        <v>0.14190420000000001</v>
      </c>
      <c r="X248">
        <v>0.98953009999999997</v>
      </c>
      <c r="Y248">
        <v>7.2405919999999999E-2</v>
      </c>
      <c r="Z248">
        <v>-1.3762969999999999E-2</v>
      </c>
      <c r="AA248">
        <v>0.99728030000000001</v>
      </c>
      <c r="AB248">
        <v>22</v>
      </c>
      <c r="AC248">
        <v>0.55049999999999899</v>
      </c>
      <c r="AD248">
        <v>-0.2230828</v>
      </c>
      <c r="AE248">
        <v>-5.3100000000028999E-2</v>
      </c>
      <c r="AF248">
        <v>5.0952980668733799E-2</v>
      </c>
      <c r="AG248">
        <v>-0.2230828</v>
      </c>
      <c r="AH248">
        <v>0.47292629416087101</v>
      </c>
      <c r="AI248">
        <v>115.126257045073</v>
      </c>
      <c r="AJ248">
        <v>83.850684882369904</v>
      </c>
      <c r="AK248">
        <v>0.52537740872976502</v>
      </c>
      <c r="AL248">
        <v>81.841950594733902</v>
      </c>
      <c r="AM248">
        <v>88.475758128159896</v>
      </c>
      <c r="AN248">
        <v>0.99999996379968303</v>
      </c>
    </row>
    <row r="249" spans="1:40" x14ac:dyDescent="0.25">
      <c r="A249" t="str">
        <f>"20190303162215817"</f>
        <v>20190303162215817</v>
      </c>
      <c r="B249" t="str">
        <f>"1551601335804158"</f>
        <v>1551601335804158</v>
      </c>
      <c r="C249" t="s">
        <v>40</v>
      </c>
      <c r="D249">
        <v>5.1552639999999998</v>
      </c>
      <c r="E249">
        <v>0.51954709999999904</v>
      </c>
      <c r="F249" t="s">
        <v>42</v>
      </c>
      <c r="G249">
        <v>-446.28719999999998</v>
      </c>
      <c r="H249">
        <v>0.90196989999999999</v>
      </c>
      <c r="I249">
        <v>367.49110000000002</v>
      </c>
      <c r="J249">
        <v>-446.80399999999997</v>
      </c>
      <c r="K249">
        <v>1.1210100000000001</v>
      </c>
      <c r="L249">
        <v>367.54219999999998</v>
      </c>
      <c r="M249">
        <v>0.99983330000000004</v>
      </c>
      <c r="N249">
        <v>-1.447733E-2</v>
      </c>
      <c r="O249">
        <v>1.1127160000000001E-2</v>
      </c>
      <c r="P249">
        <v>0.99173160000000005</v>
      </c>
      <c r="Q249">
        <v>0.12748090000000001</v>
      </c>
      <c r="R249">
        <v>-1.4735669999999999E-2</v>
      </c>
      <c r="S249">
        <v>3.140533</v>
      </c>
      <c r="T249">
        <v>-0.92174020000000001</v>
      </c>
      <c r="U249">
        <v>-0.20309450000000001</v>
      </c>
      <c r="V249">
        <v>2.578426E-2</v>
      </c>
      <c r="W249">
        <v>0.14181920000000001</v>
      </c>
      <c r="X249">
        <v>0.98955669999999996</v>
      </c>
      <c r="Y249">
        <v>7.2029979999999993E-2</v>
      </c>
      <c r="Z249">
        <v>-1.391277E-2</v>
      </c>
      <c r="AA249">
        <v>0.99730549999999996</v>
      </c>
      <c r="AB249">
        <v>22</v>
      </c>
      <c r="AC249">
        <v>0.516800000000046</v>
      </c>
      <c r="AD249">
        <v>-0.21904009999999999</v>
      </c>
      <c r="AE249">
        <v>-5.1099999999962599E-2</v>
      </c>
      <c r="AF249">
        <v>4.8262107738088499E-2</v>
      </c>
      <c r="AG249">
        <v>-0.21904009999999999</v>
      </c>
      <c r="AH249">
        <v>0.43823684338890401</v>
      </c>
      <c r="AI249">
        <v>116.418995963123</v>
      </c>
      <c r="AJ249">
        <v>83.715460513375106</v>
      </c>
      <c r="AK249">
        <v>0.49230003793906402</v>
      </c>
      <c r="AL249">
        <v>81.846870692560302</v>
      </c>
      <c r="AM249">
        <v>88.507417437204495</v>
      </c>
      <c r="AN249">
        <v>0.99999998803363799</v>
      </c>
    </row>
    <row r="250" spans="1:40" x14ac:dyDescent="0.25">
      <c r="A250" t="str">
        <f>"20190303162215839"</f>
        <v>20190303162215839</v>
      </c>
      <c r="B250" t="str">
        <f>"1551601335834415"</f>
        <v>1551601335834415</v>
      </c>
      <c r="C250" t="s">
        <v>40</v>
      </c>
      <c r="D250">
        <v>5.1176690000000002</v>
      </c>
      <c r="E250">
        <v>0.52069960000000004</v>
      </c>
      <c r="F250" t="s">
        <v>42</v>
      </c>
      <c r="G250">
        <v>-446.09</v>
      </c>
      <c r="H250">
        <v>0.90989359999999997</v>
      </c>
      <c r="I250">
        <v>367.4957</v>
      </c>
      <c r="J250">
        <v>-446.60390000000001</v>
      </c>
      <c r="K250">
        <v>1.1209990000000001</v>
      </c>
      <c r="L250">
        <v>367.54430000000002</v>
      </c>
      <c r="M250">
        <v>0.99983379999999999</v>
      </c>
      <c r="N250">
        <v>-1.447589E-2</v>
      </c>
      <c r="O250">
        <v>1.108553E-2</v>
      </c>
      <c r="P250">
        <v>0.99182409999999999</v>
      </c>
      <c r="Q250">
        <v>0.12684669999999901</v>
      </c>
      <c r="R250">
        <v>-1.39621E-2</v>
      </c>
      <c r="S250">
        <v>3.1413880000000001</v>
      </c>
      <c r="T250">
        <v>-0.92877849999999995</v>
      </c>
      <c r="U250">
        <v>-0.2035217</v>
      </c>
      <c r="V250">
        <v>2.4972299999999999E-2</v>
      </c>
      <c r="W250">
        <v>0.14118530000000001</v>
      </c>
      <c r="X250">
        <v>0.9896682</v>
      </c>
      <c r="Y250">
        <v>7.2055140000000004E-2</v>
      </c>
      <c r="Z250">
        <v>-1.400085E-2</v>
      </c>
      <c r="AA250">
        <v>0.99730240000000003</v>
      </c>
      <c r="AB250">
        <v>22</v>
      </c>
      <c r="AC250">
        <v>0.513900000000035</v>
      </c>
      <c r="AD250">
        <v>-0.2111054</v>
      </c>
      <c r="AE250">
        <v>-4.8600000000021702E-2</v>
      </c>
      <c r="AF250">
        <v>4.6514725323903099E-2</v>
      </c>
      <c r="AG250">
        <v>-0.2111054</v>
      </c>
      <c r="AH250">
        <v>0.43977569414552697</v>
      </c>
      <c r="AI250">
        <v>115.51826757556699</v>
      </c>
      <c r="AJ250">
        <v>83.962318967596104</v>
      </c>
      <c r="AK250">
        <v>0.49003241805241698</v>
      </c>
      <c r="AL250">
        <v>81.883559960361396</v>
      </c>
      <c r="AM250">
        <v>88.554562181986796</v>
      </c>
      <c r="AN250">
        <v>1.0000000253973</v>
      </c>
    </row>
    <row r="251" spans="1:40" x14ac:dyDescent="0.25">
      <c r="A251" t="str">
        <f>"20190303162215860"</f>
        <v>20190303162215860</v>
      </c>
      <c r="B251" t="str">
        <f>"1551601335854910"</f>
        <v>1551601335854910</v>
      </c>
      <c r="C251" t="s">
        <v>40</v>
      </c>
      <c r="D251">
        <v>5.0901439999999996</v>
      </c>
      <c r="E251">
        <v>0.52183029999999997</v>
      </c>
      <c r="F251" t="s">
        <v>42</v>
      </c>
      <c r="G251">
        <v>-445.89690000000002</v>
      </c>
      <c r="H251">
        <v>0.90983340000000001</v>
      </c>
      <c r="I251">
        <v>367.49669999999998</v>
      </c>
      <c r="J251">
        <v>-446.39210000000003</v>
      </c>
      <c r="K251">
        <v>1.1209899999999999</v>
      </c>
      <c r="L251">
        <v>367.54660000000001</v>
      </c>
      <c r="M251">
        <v>0.99983449999999996</v>
      </c>
      <c r="N251">
        <v>-1.4473919999999999E-2</v>
      </c>
      <c r="O251">
        <v>1.1028720000000001E-2</v>
      </c>
      <c r="P251">
        <v>0.99187700000000001</v>
      </c>
      <c r="Q251">
        <v>0.12645799999999999</v>
      </c>
      <c r="R251">
        <v>-1.374205E-2</v>
      </c>
      <c r="S251">
        <v>3.141785</v>
      </c>
      <c r="T251">
        <v>-0.93831379999999998</v>
      </c>
      <c r="U251">
        <v>-0.21051030000000001</v>
      </c>
      <c r="V251">
        <v>2.4699229999999999E-2</v>
      </c>
      <c r="W251">
        <v>0.140794899999999</v>
      </c>
      <c r="X251">
        <v>0.98973069999999996</v>
      </c>
      <c r="Y251">
        <v>7.4039309999999997E-2</v>
      </c>
      <c r="Z251">
        <v>-1.442118E-2</v>
      </c>
      <c r="AA251">
        <v>0.99715109999999996</v>
      </c>
      <c r="AB251">
        <v>22</v>
      </c>
      <c r="AC251">
        <v>0.49520000000001102</v>
      </c>
      <c r="AD251">
        <v>-0.211156599999999</v>
      </c>
      <c r="AE251">
        <v>-4.9900000000036401E-2</v>
      </c>
      <c r="AF251">
        <v>4.6914570445353902E-2</v>
      </c>
      <c r="AG251">
        <v>-0.211156599999999</v>
      </c>
      <c r="AH251">
        <v>0.419170832921477</v>
      </c>
      <c r="AI251">
        <v>116.59357834635</v>
      </c>
      <c r="AJ251">
        <v>83.613900543842206</v>
      </c>
      <c r="AK251">
        <v>0.471690866792772</v>
      </c>
      <c r="AL251">
        <v>81.906154182153102</v>
      </c>
      <c r="AM251">
        <v>88.570451569178701</v>
      </c>
      <c r="AN251">
        <v>1.0000000571755401</v>
      </c>
    </row>
    <row r="252" spans="1:40" x14ac:dyDescent="0.25">
      <c r="A252" t="str">
        <f>"20190303162215882"</f>
        <v>20190303162215882</v>
      </c>
      <c r="B252" t="str">
        <f>"1551601335874430"</f>
        <v>1551601335874430</v>
      </c>
      <c r="C252" t="s">
        <v>40</v>
      </c>
      <c r="D252">
        <v>5.0715320000000004</v>
      </c>
      <c r="E252">
        <v>0.52294039999999997</v>
      </c>
      <c r="F252" t="s">
        <v>42</v>
      </c>
      <c r="G252">
        <v>-445.70260000000002</v>
      </c>
      <c r="H252">
        <v>0.91329119999999997</v>
      </c>
      <c r="I252">
        <v>367.49829999999997</v>
      </c>
      <c r="J252">
        <v>-446.17840000000001</v>
      </c>
      <c r="K252">
        <v>1.1209899999999999</v>
      </c>
      <c r="L252">
        <v>367.5489</v>
      </c>
      <c r="M252">
        <v>0.99983529999999998</v>
      </c>
      <c r="N252">
        <v>-1.447151E-2</v>
      </c>
      <c r="O252">
        <v>1.095612E-2</v>
      </c>
      <c r="P252">
        <v>0.99186240000000003</v>
      </c>
      <c r="Q252">
        <v>0.12650799999999901</v>
      </c>
      <c r="R252">
        <v>-1.430375E-2</v>
      </c>
      <c r="S252">
        <v>3.142242</v>
      </c>
      <c r="T252">
        <v>-0.94654890000000003</v>
      </c>
      <c r="U252">
        <v>-0.21875</v>
      </c>
      <c r="V252">
        <v>2.519271E-2</v>
      </c>
      <c r="W252">
        <v>0.14084160000000001</v>
      </c>
      <c r="X252">
        <v>0.98971160000000002</v>
      </c>
      <c r="Y252">
        <v>7.6390390000000002E-2</v>
      </c>
      <c r="Z252">
        <v>-1.487931E-2</v>
      </c>
      <c r="AA252">
        <v>0.99696700000000005</v>
      </c>
      <c r="AB252">
        <v>22</v>
      </c>
      <c r="AC252">
        <v>0.47579999999999201</v>
      </c>
      <c r="AD252">
        <v>-0.20769879999999899</v>
      </c>
      <c r="AE252">
        <v>-5.0600000000031203E-2</v>
      </c>
      <c r="AF252">
        <v>4.6961738013226499E-2</v>
      </c>
      <c r="AG252">
        <v>-0.20769879999999899</v>
      </c>
      <c r="AH252">
        <v>0.39987178404625101</v>
      </c>
      <c r="AI252">
        <v>117.287765010673</v>
      </c>
      <c r="AJ252">
        <v>83.301752649242303</v>
      </c>
      <c r="AK252">
        <v>0.45303602509623297</v>
      </c>
      <c r="AL252">
        <v>81.903451399240495</v>
      </c>
      <c r="AM252">
        <v>88.541873888294205</v>
      </c>
      <c r="AN252">
        <v>1.00000004005113</v>
      </c>
    </row>
    <row r="253" spans="1:40" x14ac:dyDescent="0.25">
      <c r="A253" t="str">
        <f>"20190303162215904"</f>
        <v>20190303162215904</v>
      </c>
      <c r="B253" t="str">
        <f>"1551601335893951"</f>
        <v>1551601335893951</v>
      </c>
      <c r="C253" t="s">
        <v>40</v>
      </c>
      <c r="D253">
        <v>5.063148</v>
      </c>
      <c r="E253">
        <v>0.52362979999999903</v>
      </c>
      <c r="F253" t="s">
        <v>42</v>
      </c>
      <c r="G253">
        <v>-445.50819999999999</v>
      </c>
      <c r="H253">
        <v>0.91738770000000003</v>
      </c>
      <c r="I253">
        <v>367.49970000000002</v>
      </c>
      <c r="J253">
        <v>-445.96940000000001</v>
      </c>
      <c r="K253">
        <v>1.120981</v>
      </c>
      <c r="L253">
        <v>367.55110000000002</v>
      </c>
      <c r="M253">
        <v>0.99983630000000001</v>
      </c>
      <c r="N253">
        <v>-1.446882E-2</v>
      </c>
      <c r="O253">
        <v>1.08679E-2</v>
      </c>
      <c r="P253">
        <v>0.99184300000000003</v>
      </c>
      <c r="Q253">
        <v>0.12663269999999999</v>
      </c>
      <c r="R253">
        <v>-1.4553440000000001E-2</v>
      </c>
      <c r="S253">
        <v>3.1430660000000001</v>
      </c>
      <c r="T253">
        <v>-0.95489630000000003</v>
      </c>
      <c r="U253">
        <v>-0.2290344</v>
      </c>
      <c r="V253">
        <v>2.5358479999999999E-2</v>
      </c>
      <c r="W253">
        <v>0.14096249999999999</v>
      </c>
      <c r="X253">
        <v>0.98969010000000002</v>
      </c>
      <c r="Y253">
        <v>7.9329730000000001E-2</v>
      </c>
      <c r="Z253">
        <v>-1.5429429999999999E-2</v>
      </c>
      <c r="AA253">
        <v>0.99672899999999998</v>
      </c>
      <c r="AB253">
        <v>22</v>
      </c>
      <c r="AC253">
        <v>0.46120000000001898</v>
      </c>
      <c r="AD253">
        <v>-0.2035933</v>
      </c>
      <c r="AE253">
        <v>-5.1400000000000903E-2</v>
      </c>
      <c r="AF253">
        <v>4.7304548283109003E-2</v>
      </c>
      <c r="AG253">
        <v>-0.2035933</v>
      </c>
      <c r="AH253">
        <v>0.38626542491720001</v>
      </c>
      <c r="AI253">
        <v>117.617334923564</v>
      </c>
      <c r="AJ253">
        <v>83.017957433716404</v>
      </c>
      <c r="AK253">
        <v>0.43919122324976401</v>
      </c>
      <c r="AL253">
        <v>81.896454098791196</v>
      </c>
      <c r="AM253">
        <v>88.532251616956401</v>
      </c>
      <c r="AN253">
        <v>0.99999998647608501</v>
      </c>
    </row>
    <row r="254" spans="1:40" x14ac:dyDescent="0.25">
      <c r="A254" t="str">
        <f>"20190303162215928"</f>
        <v>20190303162215928</v>
      </c>
      <c r="B254" t="str">
        <f>"1551601335924206"</f>
        <v>1551601335924206</v>
      </c>
      <c r="C254" t="s">
        <v>40</v>
      </c>
      <c r="D254">
        <v>5.0672930000000003</v>
      </c>
      <c r="E254">
        <v>0.52440200000000003</v>
      </c>
      <c r="F254" t="s">
        <v>42</v>
      </c>
      <c r="G254">
        <v>-445.14530000000002</v>
      </c>
      <c r="H254">
        <v>0.86864839999999999</v>
      </c>
      <c r="I254">
        <v>367.48930000000001</v>
      </c>
      <c r="J254">
        <v>-445.74950000000001</v>
      </c>
      <c r="K254">
        <v>1.120968</v>
      </c>
      <c r="L254">
        <v>367.55340000000001</v>
      </c>
      <c r="M254">
        <v>0.99983759999999999</v>
      </c>
      <c r="N254">
        <v>-1.446567E-2</v>
      </c>
      <c r="O254">
        <v>1.075624E-2</v>
      </c>
      <c r="P254">
        <v>0.99184479999999997</v>
      </c>
      <c r="Q254">
        <v>0.12651960000000001</v>
      </c>
      <c r="R254">
        <v>-1.538725E-2</v>
      </c>
      <c r="S254">
        <v>3.1441349999999999</v>
      </c>
      <c r="T254">
        <v>-0.96261799999999997</v>
      </c>
      <c r="U254">
        <v>-0.2355042</v>
      </c>
      <c r="V254">
        <v>2.6085959999999998E-2</v>
      </c>
      <c r="W254">
        <v>0.14084539999999901</v>
      </c>
      <c r="X254">
        <v>0.98968789999999995</v>
      </c>
      <c r="Y254">
        <v>8.1091990000000003E-2</v>
      </c>
      <c r="Z254">
        <v>-1.5784289999999999E-2</v>
      </c>
      <c r="AA254">
        <v>0.99658159999999896</v>
      </c>
      <c r="AB254">
        <v>21</v>
      </c>
      <c r="AC254">
        <v>0.60419999999999097</v>
      </c>
      <c r="AD254">
        <v>-0.25231959999999998</v>
      </c>
      <c r="AE254">
        <v>-6.4099999999996202E-2</v>
      </c>
      <c r="AF254">
        <v>6.0211945084080197E-2</v>
      </c>
      <c r="AG254">
        <v>-0.25231959999999998</v>
      </c>
      <c r="AH254">
        <v>0.51471031587468496</v>
      </c>
      <c r="AI254">
        <v>115.96128800628701</v>
      </c>
      <c r="AJ254">
        <v>83.327739644516797</v>
      </c>
      <c r="AK254">
        <v>0.57638300473104298</v>
      </c>
      <c r="AL254">
        <v>81.903231333621605</v>
      </c>
      <c r="AM254">
        <v>88.490160950901299</v>
      </c>
      <c r="AN254">
        <v>1.00000002170834</v>
      </c>
    </row>
    <row r="255" spans="1:40" x14ac:dyDescent="0.25">
      <c r="A255" t="str">
        <f>"20190303162215949"</f>
        <v>20190303162215949</v>
      </c>
      <c r="B255" t="str">
        <f>"1551601335944703"</f>
        <v>1551601335944703</v>
      </c>
      <c r="C255" t="s">
        <v>40</v>
      </c>
      <c r="D255">
        <v>5.0552169999999998</v>
      </c>
      <c r="E255">
        <v>0.52478000000000002</v>
      </c>
      <c r="F255" t="s">
        <v>42</v>
      </c>
      <c r="G255">
        <v>-444.95159999999998</v>
      </c>
      <c r="H255">
        <v>0.87464439999999999</v>
      </c>
      <c r="I255">
        <v>367.49079999999998</v>
      </c>
      <c r="J255">
        <v>-445.53390000000002</v>
      </c>
      <c r="K255">
        <v>1.1209559999999901</v>
      </c>
      <c r="L255">
        <v>367.55549999999999</v>
      </c>
      <c r="M255">
        <v>0.99983889999999997</v>
      </c>
      <c r="N255">
        <v>-1.4462269999999999E-2</v>
      </c>
      <c r="O255">
        <v>1.0630499999999999E-2</v>
      </c>
      <c r="P255">
        <v>0.99192579999999997</v>
      </c>
      <c r="Q255">
        <v>0.12580830000000001</v>
      </c>
      <c r="R255">
        <v>-1.5975860000000001E-2</v>
      </c>
      <c r="S255">
        <v>3.144714</v>
      </c>
      <c r="T255">
        <v>-0.97077939999999996</v>
      </c>
      <c r="U255">
        <v>-0.24444579999999999</v>
      </c>
      <c r="V255">
        <v>2.6554270000000001E-2</v>
      </c>
      <c r="W255">
        <v>0.14013110000000001</v>
      </c>
      <c r="X255">
        <v>0.98977680000000001</v>
      </c>
      <c r="Y255">
        <v>8.3585820000000005E-2</v>
      </c>
      <c r="Z255">
        <v>-1.6262550000000001E-2</v>
      </c>
      <c r="AA255">
        <v>0.99636789999999997</v>
      </c>
      <c r="AB255">
        <v>21</v>
      </c>
      <c r="AC255">
        <v>0.58230000000003201</v>
      </c>
      <c r="AD255">
        <v>-0.24631159999999899</v>
      </c>
      <c r="AE255">
        <v>-6.4700000000016106E-2</v>
      </c>
      <c r="AF255">
        <v>6.0240006591516099E-2</v>
      </c>
      <c r="AG255">
        <v>-0.24631159999999899</v>
      </c>
      <c r="AH255">
        <v>0.494227031771515</v>
      </c>
      <c r="AI255">
        <v>116.322343668889</v>
      </c>
      <c r="AJ255">
        <v>83.050650284110702</v>
      </c>
      <c r="AK255">
        <v>0.55548053217227</v>
      </c>
      <c r="AL255">
        <v>81.9445673637167</v>
      </c>
      <c r="AM255">
        <v>88.463206325453001</v>
      </c>
      <c r="AN255">
        <v>0.99999998413034097</v>
      </c>
    </row>
    <row r="256" spans="1:40" x14ac:dyDescent="0.25">
      <c r="A256" t="str">
        <f>"20190303162215971"</f>
        <v>20190303162215971</v>
      </c>
      <c r="B256" t="str">
        <f>"1551601335964222"</f>
        <v>1551601335964222</v>
      </c>
      <c r="C256" t="s">
        <v>40</v>
      </c>
      <c r="D256">
        <v>5.0582770000000004</v>
      </c>
      <c r="E256">
        <v>0.52517740000000002</v>
      </c>
      <c r="F256" t="s">
        <v>42</v>
      </c>
      <c r="G256">
        <v>-444.75850000000003</v>
      </c>
      <c r="H256">
        <v>0.87985939999999996</v>
      </c>
      <c r="I256">
        <v>367.4939</v>
      </c>
      <c r="J256">
        <v>-445.33049999999997</v>
      </c>
      <c r="K256">
        <v>1.120954</v>
      </c>
      <c r="L256">
        <v>367.55759999999998</v>
      </c>
      <c r="M256">
        <v>0.99984039999999996</v>
      </c>
      <c r="N256">
        <v>-1.4458830000000001E-2</v>
      </c>
      <c r="O256">
        <v>1.0495859999999999E-2</v>
      </c>
      <c r="P256">
        <v>0.99200480000000002</v>
      </c>
      <c r="Q256">
        <v>0.12518099999999999</v>
      </c>
      <c r="R256">
        <v>-1.6006960000000001E-2</v>
      </c>
      <c r="S256">
        <v>3.1444399999999999</v>
      </c>
      <c r="T256">
        <v>-0.97776940000000001</v>
      </c>
      <c r="U256">
        <v>-0.24996950000000001</v>
      </c>
      <c r="V256">
        <v>2.6455289999999999E-2</v>
      </c>
      <c r="W256">
        <v>0.13950129999999999</v>
      </c>
      <c r="X256">
        <v>0.98986850000000004</v>
      </c>
      <c r="Y256">
        <v>8.5067820000000002E-2</v>
      </c>
      <c r="Z256">
        <v>-1.656848E-2</v>
      </c>
      <c r="AA256">
        <v>0.99623740000000005</v>
      </c>
      <c r="AB256">
        <v>21</v>
      </c>
      <c r="AC256">
        <v>0.571999999999945</v>
      </c>
      <c r="AD256">
        <v>-0.24109459999999899</v>
      </c>
      <c r="AE256">
        <v>-6.3699999999982895E-2</v>
      </c>
      <c r="AF256">
        <v>5.9295516409917703E-2</v>
      </c>
      <c r="AG256">
        <v>-0.24109459999999899</v>
      </c>
      <c r="AH256">
        <v>0.48601368671179301</v>
      </c>
      <c r="AI256">
        <v>116.216290484916</v>
      </c>
      <c r="AJ256">
        <v>83.044074083926205</v>
      </c>
      <c r="AK256">
        <v>0.54575806735830101</v>
      </c>
      <c r="AL256">
        <v>81.981010910317096</v>
      </c>
      <c r="AM256">
        <v>88.469073700372505</v>
      </c>
      <c r="AN256">
        <v>1.0000000711814501</v>
      </c>
    </row>
    <row r="257" spans="1:40" x14ac:dyDescent="0.25">
      <c r="A257" t="str">
        <f>"20190303162215995"</f>
        <v>20190303162215995</v>
      </c>
      <c r="B257" t="str">
        <f>"1551601335984718"</f>
        <v>1551601335984718</v>
      </c>
      <c r="C257" t="s">
        <v>40</v>
      </c>
      <c r="D257">
        <v>5.0517139999999996</v>
      </c>
      <c r="E257">
        <v>0.52551139999999996</v>
      </c>
      <c r="F257" t="s">
        <v>42</v>
      </c>
      <c r="G257">
        <v>-444.56700000000001</v>
      </c>
      <c r="H257">
        <v>0.88223839999999998</v>
      </c>
      <c r="I257">
        <v>367.49590000000001</v>
      </c>
      <c r="J257">
        <v>-445.1037</v>
      </c>
      <c r="K257">
        <v>1.1209499999999999</v>
      </c>
      <c r="L257">
        <v>367.5598</v>
      </c>
      <c r="M257">
        <v>0.99984229999999996</v>
      </c>
      <c r="N257">
        <v>-1.445477E-2</v>
      </c>
      <c r="O257">
        <v>1.032741E-2</v>
      </c>
      <c r="P257">
        <v>0.99193690000000001</v>
      </c>
      <c r="Q257">
        <v>0.12578119999999901</v>
      </c>
      <c r="R257">
        <v>-1.551283E-2</v>
      </c>
      <c r="S257">
        <v>3.1441349999999999</v>
      </c>
      <c r="T257">
        <v>-0.98296309999999998</v>
      </c>
      <c r="U257">
        <v>-0.25244139999999998</v>
      </c>
      <c r="V257">
        <v>2.579642E-2</v>
      </c>
      <c r="W257">
        <v>0.1400962</v>
      </c>
      <c r="X257">
        <v>0.98980179999999995</v>
      </c>
      <c r="Y257">
        <v>8.5617769999999996E-2</v>
      </c>
      <c r="Z257">
        <v>-1.6690079999999999E-2</v>
      </c>
      <c r="AA257">
        <v>0.99618830000000003</v>
      </c>
      <c r="AB257">
        <v>21</v>
      </c>
      <c r="AC257">
        <v>0.53670000000005302</v>
      </c>
      <c r="AD257">
        <v>-0.238711599999999</v>
      </c>
      <c r="AE257">
        <v>-6.3899999999989604E-2</v>
      </c>
      <c r="AF257">
        <v>5.8105722944268398E-2</v>
      </c>
      <c r="AG257">
        <v>-0.238711599999999</v>
      </c>
      <c r="AH257">
        <v>0.44852214467423401</v>
      </c>
      <c r="AI257">
        <v>117.825424749479</v>
      </c>
      <c r="AJ257">
        <v>82.618484252469202</v>
      </c>
      <c r="AK257">
        <v>0.511401620330451</v>
      </c>
      <c r="AL257">
        <v>81.946587052546306</v>
      </c>
      <c r="AM257">
        <v>88.507083453749502</v>
      </c>
      <c r="AN257">
        <v>1.0000000019112401</v>
      </c>
    </row>
    <row r="258" spans="1:40" x14ac:dyDescent="0.25">
      <c r="A258" t="str">
        <f>"20190303162216017"</f>
        <v>20190303162216017</v>
      </c>
      <c r="B258" t="str">
        <f>"1551601336013998"</f>
        <v>1551601336013998</v>
      </c>
      <c r="C258" t="s">
        <v>40</v>
      </c>
      <c r="D258">
        <v>5.037312</v>
      </c>
      <c r="E258">
        <v>0.52592910000000004</v>
      </c>
      <c r="F258" t="s">
        <v>42</v>
      </c>
      <c r="G258">
        <v>-444.37279999999998</v>
      </c>
      <c r="H258">
        <v>0.89219150000000003</v>
      </c>
      <c r="I258">
        <v>367.50029999999998</v>
      </c>
      <c r="J258">
        <v>-444.89370000000002</v>
      </c>
      <c r="K258">
        <v>1.1209439999999999</v>
      </c>
      <c r="L258">
        <v>367.56169999999997</v>
      </c>
      <c r="M258">
        <v>0.99984399999999996</v>
      </c>
      <c r="N258">
        <v>-1.4450849999999999E-2</v>
      </c>
      <c r="O258">
        <v>1.015521E-2</v>
      </c>
      <c r="P258">
        <v>0.99179390000000001</v>
      </c>
      <c r="Q258">
        <v>0.12709309999999999</v>
      </c>
      <c r="R258">
        <v>-1.386745E-2</v>
      </c>
      <c r="S258">
        <v>3.1452640000000001</v>
      </c>
      <c r="T258">
        <v>-0.98434909999999998</v>
      </c>
      <c r="U258">
        <v>-0.25473020000000002</v>
      </c>
      <c r="V258">
        <v>2.3982440000000001E-2</v>
      </c>
      <c r="W258">
        <v>0.14140249999999999</v>
      </c>
      <c r="X258">
        <v>0.98966160000000003</v>
      </c>
      <c r="Y258">
        <v>8.6111640000000003E-2</v>
      </c>
      <c r="Z258">
        <v>-1.6734720000000002E-2</v>
      </c>
      <c r="AA258">
        <v>0.99614499999999995</v>
      </c>
      <c r="AB258">
        <v>21</v>
      </c>
      <c r="AC258">
        <v>0.52090000000004</v>
      </c>
      <c r="AD258">
        <v>-0.228752499999999</v>
      </c>
      <c r="AE258">
        <v>-6.1399999999991899E-2</v>
      </c>
      <c r="AF258">
        <v>5.6029865624315799E-2</v>
      </c>
      <c r="AG258">
        <v>-0.228752499999999</v>
      </c>
      <c r="AH258">
        <v>0.43710782041674101</v>
      </c>
      <c r="AI258">
        <v>117.433141491481</v>
      </c>
      <c r="AJ258">
        <v>82.695478293216198</v>
      </c>
      <c r="AK258">
        <v>0.49651817566691597</v>
      </c>
      <c r="AL258">
        <v>81.870988615045306</v>
      </c>
      <c r="AM258">
        <v>88.611824772671895</v>
      </c>
      <c r="AN258">
        <v>0.99999995347458004</v>
      </c>
    </row>
    <row r="259" spans="1:40" x14ac:dyDescent="0.25">
      <c r="A259" t="str">
        <f>"20190303162216038"</f>
        <v>20190303162216038</v>
      </c>
      <c r="B259" t="str">
        <f>"1551601336034494"</f>
        <v>1551601336034494</v>
      </c>
      <c r="C259" t="s">
        <v>40</v>
      </c>
      <c r="D259">
        <v>5.0136520000000004</v>
      </c>
      <c r="E259">
        <v>0.52616350000000001</v>
      </c>
      <c r="F259" t="s">
        <v>42</v>
      </c>
      <c r="G259">
        <v>-444.18049999999999</v>
      </c>
      <c r="H259">
        <v>0.89787050000000002</v>
      </c>
      <c r="I259">
        <v>367.50400000000002</v>
      </c>
      <c r="J259">
        <v>-444.69069999999999</v>
      </c>
      <c r="K259">
        <v>1.1209469999999999</v>
      </c>
      <c r="L259">
        <v>367.56360000000001</v>
      </c>
      <c r="M259">
        <v>0.99984589999999995</v>
      </c>
      <c r="N259">
        <v>-1.444691E-2</v>
      </c>
      <c r="O259">
        <v>9.9740609999999993E-3</v>
      </c>
      <c r="P259">
        <v>0.99170740000000002</v>
      </c>
      <c r="Q259">
        <v>0.12793589999999999</v>
      </c>
      <c r="R259">
        <v>-1.220445E-2</v>
      </c>
      <c r="S259">
        <v>3.1473689999999999</v>
      </c>
      <c r="T259">
        <v>-0.98429929999999999</v>
      </c>
      <c r="U259">
        <v>-0.25357059999999998</v>
      </c>
      <c r="V259">
        <v>2.2142470000000001E-2</v>
      </c>
      <c r="W259">
        <v>0.14224029999999999</v>
      </c>
      <c r="X259">
        <v>0.98958440000000003</v>
      </c>
      <c r="Y259">
        <v>8.5554889999999995E-2</v>
      </c>
      <c r="Z259">
        <v>-1.658192E-2</v>
      </c>
      <c r="AA259">
        <v>0.99619539999999995</v>
      </c>
      <c r="AB259">
        <v>21</v>
      </c>
      <c r="AC259">
        <v>0.51019999999999699</v>
      </c>
      <c r="AD259">
        <v>-0.22307649999999901</v>
      </c>
      <c r="AE259">
        <v>-5.9599999999989002E-2</v>
      </c>
      <c r="AF259">
        <v>5.4422315001541301E-2</v>
      </c>
      <c r="AG259">
        <v>-0.22307649999999901</v>
      </c>
      <c r="AH259">
        <v>0.42872316267060201</v>
      </c>
      <c r="AI259">
        <v>117.302120570542</v>
      </c>
      <c r="AJ259">
        <v>82.765540281171795</v>
      </c>
      <c r="AK259">
        <v>0.486341920291332</v>
      </c>
      <c r="AL259">
        <v>81.822495932347906</v>
      </c>
      <c r="AM259">
        <v>88.718190771074006</v>
      </c>
      <c r="AN259">
        <v>0.99999993832257295</v>
      </c>
    </row>
    <row r="260" spans="1:40" x14ac:dyDescent="0.25">
      <c r="A260" t="str">
        <f>"20190303162216061"</f>
        <v>20190303162216061</v>
      </c>
      <c r="B260" t="str">
        <f>"1551601336054014"</f>
        <v>1551601336054014</v>
      </c>
      <c r="C260" t="s">
        <v>40</v>
      </c>
      <c r="D260">
        <v>5.0284800000000001</v>
      </c>
      <c r="E260">
        <v>0.52641749999999998</v>
      </c>
      <c r="F260" t="s">
        <v>42</v>
      </c>
      <c r="G260">
        <v>-443.98930000000001</v>
      </c>
      <c r="H260">
        <v>0.90185230000000005</v>
      </c>
      <c r="I260">
        <v>367.50749999999999</v>
      </c>
      <c r="J260">
        <v>-444.47199999999998</v>
      </c>
      <c r="K260">
        <v>1.120941</v>
      </c>
      <c r="L260">
        <v>367.56560000000002</v>
      </c>
      <c r="M260">
        <v>0.99984810000000002</v>
      </c>
      <c r="N260">
        <v>-1.444253E-2</v>
      </c>
      <c r="O260">
        <v>9.7652429999999998E-3</v>
      </c>
      <c r="P260">
        <v>0.99171410000000004</v>
      </c>
      <c r="Q260">
        <v>0.12803</v>
      </c>
      <c r="R260">
        <v>-1.0587299999999999E-2</v>
      </c>
      <c r="S260">
        <v>3.1488649999999998</v>
      </c>
      <c r="T260">
        <v>-0.98360899999999996</v>
      </c>
      <c r="U260">
        <v>-0.25076290000000001</v>
      </c>
      <c r="V260">
        <v>2.0321820000000001E-2</v>
      </c>
      <c r="W260">
        <v>0.1423304</v>
      </c>
      <c r="X260">
        <v>0.98961060000000001</v>
      </c>
      <c r="Y260">
        <v>8.4498139999999999E-2</v>
      </c>
      <c r="Z260">
        <v>-1.6334709999999999E-2</v>
      </c>
      <c r="AA260">
        <v>0.99628969999999994</v>
      </c>
      <c r="AB260">
        <v>21</v>
      </c>
      <c r="AC260">
        <v>0.48269999999996499</v>
      </c>
      <c r="AD260">
        <v>-0.219088699999999</v>
      </c>
      <c r="AE260">
        <v>-5.8100000000024403E-2</v>
      </c>
      <c r="AF260">
        <v>5.2209412807454801E-2</v>
      </c>
      <c r="AG260">
        <v>-0.219088699999999</v>
      </c>
      <c r="AH260">
        <v>0.40073387523713799</v>
      </c>
      <c r="AI260">
        <v>118.463756154221</v>
      </c>
      <c r="AJ260">
        <v>82.577058674736094</v>
      </c>
      <c r="AK260">
        <v>0.45968828570669901</v>
      </c>
      <c r="AL260">
        <v>81.817281269232794</v>
      </c>
      <c r="AM260">
        <v>88.823586880884093</v>
      </c>
      <c r="AN260">
        <v>1.0000000293823099</v>
      </c>
    </row>
    <row r="261" spans="1:40" x14ac:dyDescent="0.25">
      <c r="A261" t="str">
        <f>"20190303162216083"</f>
        <v>20190303162216083</v>
      </c>
      <c r="B261" t="str">
        <f>"1551601336074511"</f>
        <v>1551601336074511</v>
      </c>
      <c r="C261" t="s">
        <v>40</v>
      </c>
      <c r="D261">
        <v>5.0143550000000001</v>
      </c>
      <c r="E261">
        <v>0.52667269999999999</v>
      </c>
      <c r="F261" t="s">
        <v>42</v>
      </c>
      <c r="G261">
        <v>-443.79660000000001</v>
      </c>
      <c r="H261">
        <v>0.90951470000000001</v>
      </c>
      <c r="I261">
        <v>367.51159999999999</v>
      </c>
      <c r="J261">
        <v>-444.26679999999999</v>
      </c>
      <c r="K261">
        <v>1.12093</v>
      </c>
      <c r="L261">
        <v>367.56740000000002</v>
      </c>
      <c r="M261">
        <v>0.99985009999999996</v>
      </c>
      <c r="N261">
        <v>-1.443828E-2</v>
      </c>
      <c r="O261">
        <v>9.5557430000000002E-3</v>
      </c>
      <c r="P261">
        <v>0.99172320000000003</v>
      </c>
      <c r="Q261">
        <v>0.12796299999999999</v>
      </c>
      <c r="R261">
        <v>-1.0513639999999999E-2</v>
      </c>
      <c r="S261">
        <v>3.149689</v>
      </c>
      <c r="T261">
        <v>-0.98591019999999896</v>
      </c>
      <c r="U261">
        <v>-0.24902340000000001</v>
      </c>
      <c r="V261">
        <v>2.004359E-2</v>
      </c>
      <c r="W261">
        <v>0.1422592</v>
      </c>
      <c r="X261">
        <v>0.98962649999999996</v>
      </c>
      <c r="Y261">
        <v>8.3749749999999998E-2</v>
      </c>
      <c r="Z261">
        <v>-1.6185599999999901E-2</v>
      </c>
      <c r="AA261">
        <v>0.9963554</v>
      </c>
      <c r="AB261">
        <v>21</v>
      </c>
      <c r="AC261">
        <v>0.47019999999997703</v>
      </c>
      <c r="AD261">
        <v>-0.2114153</v>
      </c>
      <c r="AE261">
        <v>-5.5800000000033302E-2</v>
      </c>
      <c r="AF261">
        <v>5.0269413894660497E-2</v>
      </c>
      <c r="AG261">
        <v>-0.2114153</v>
      </c>
      <c r="AH261">
        <v>0.39158050233682001</v>
      </c>
      <c r="AI261">
        <v>118.16940042455801</v>
      </c>
      <c r="AJ261">
        <v>82.684626703567801</v>
      </c>
      <c r="AK261">
        <v>0.44783784214574701</v>
      </c>
      <c r="AL261">
        <v>81.821402568722604</v>
      </c>
      <c r="AM261">
        <v>88.839707585667696</v>
      </c>
      <c r="AN261">
        <v>1.00000001749348</v>
      </c>
    </row>
    <row r="262" spans="1:40" x14ac:dyDescent="0.25">
      <c r="A262" t="str">
        <f>"20190303162216104"</f>
        <v>20190303162216104</v>
      </c>
      <c r="B262" t="str">
        <f>"1551601336094030"</f>
        <v>1551601336094030</v>
      </c>
      <c r="C262" t="s">
        <v>40</v>
      </c>
      <c r="D262">
        <v>5.036683</v>
      </c>
      <c r="E262">
        <v>0.52694209999999997</v>
      </c>
      <c r="F262" t="s">
        <v>42</v>
      </c>
      <c r="G262">
        <v>-443.43950000000001</v>
      </c>
      <c r="H262">
        <v>0.86116979999999999</v>
      </c>
      <c r="I262">
        <v>367.5009</v>
      </c>
      <c r="J262">
        <v>-444.06779999999998</v>
      </c>
      <c r="K262">
        <v>1.1209290000000001</v>
      </c>
      <c r="L262">
        <v>367.56909999999999</v>
      </c>
      <c r="M262">
        <v>0.99985219999999997</v>
      </c>
      <c r="N262">
        <v>-1.4433939999999999E-2</v>
      </c>
      <c r="O262">
        <v>9.3424770000000001E-3</v>
      </c>
      <c r="P262">
        <v>0.99164220000000003</v>
      </c>
      <c r="Q262">
        <v>0.12856909999999999</v>
      </c>
      <c r="R262">
        <v>-1.076829E-2</v>
      </c>
      <c r="S262">
        <v>3.149994</v>
      </c>
      <c r="T262">
        <v>-0.98905010000000004</v>
      </c>
      <c r="U262">
        <v>-0.2512817</v>
      </c>
      <c r="V262">
        <v>2.008822E-2</v>
      </c>
      <c r="W262">
        <v>0.14285900000000001</v>
      </c>
      <c r="X262">
        <v>0.9895391</v>
      </c>
      <c r="Y262">
        <v>8.4199289999999996E-2</v>
      </c>
      <c r="Z262">
        <v>-1.624128E-2</v>
      </c>
      <c r="AA262">
        <v>0.9963166</v>
      </c>
      <c r="AB262">
        <v>21</v>
      </c>
      <c r="AC262">
        <v>0.628299999999967</v>
      </c>
      <c r="AD262">
        <v>-0.25975920000000002</v>
      </c>
      <c r="AE262">
        <v>-6.8199999999990199E-2</v>
      </c>
      <c r="AF262">
        <v>6.3363222364766297E-2</v>
      </c>
      <c r="AG262">
        <v>-0.25975920000000002</v>
      </c>
      <c r="AH262">
        <v>0.53692903714028195</v>
      </c>
      <c r="AI262">
        <v>115.662092164914</v>
      </c>
      <c r="AJ262">
        <v>83.269629091994801</v>
      </c>
      <c r="AK262">
        <v>0.59981874833776005</v>
      </c>
      <c r="AL262">
        <v>81.786681213900394</v>
      </c>
      <c r="AM262">
        <v>88.837022051138106</v>
      </c>
      <c r="AN262">
        <v>0.99999993044628599</v>
      </c>
    </row>
    <row r="263" spans="1:40" x14ac:dyDescent="0.25">
      <c r="A263" t="str">
        <f>"20190303162216118"</f>
        <v>20190303162216118</v>
      </c>
      <c r="B263" t="str">
        <f>"1551601336114527"</f>
        <v>1551601336114527</v>
      </c>
      <c r="C263" t="s">
        <v>40</v>
      </c>
      <c r="D263">
        <v>5.014208</v>
      </c>
      <c r="E263">
        <v>0.527167099999999</v>
      </c>
      <c r="F263" t="s">
        <v>42</v>
      </c>
      <c r="G263">
        <v>-443.25029999999998</v>
      </c>
      <c r="H263">
        <v>0.86410889999999996</v>
      </c>
      <c r="I263">
        <v>367.50220000000002</v>
      </c>
      <c r="J263">
        <v>-443.93540000000002</v>
      </c>
      <c r="K263">
        <v>1.1209290000000001</v>
      </c>
      <c r="L263">
        <v>367.57010000000002</v>
      </c>
      <c r="M263">
        <v>0.99985369999999996</v>
      </c>
      <c r="N263">
        <v>-1.443111E-2</v>
      </c>
      <c r="O263">
        <v>9.1963189999999997E-3</v>
      </c>
      <c r="P263">
        <v>0.99158199999999996</v>
      </c>
      <c r="Q263">
        <v>0.128983399999999</v>
      </c>
      <c r="R263">
        <v>-1.1349700000000001E-2</v>
      </c>
      <c r="S263">
        <v>3.1508479999999999</v>
      </c>
      <c r="T263">
        <v>-0.98972139999999997</v>
      </c>
      <c r="U263">
        <v>-0.25592039999999999</v>
      </c>
      <c r="V263">
        <v>2.0524750000000001E-2</v>
      </c>
      <c r="W263">
        <v>0.1432696</v>
      </c>
      <c r="X263">
        <v>0.98947079999999998</v>
      </c>
      <c r="Y263">
        <v>8.5431090000000001E-2</v>
      </c>
      <c r="Z263">
        <v>-1.6401539999999999E-2</v>
      </c>
      <c r="AA263">
        <v>0.99620909999999996</v>
      </c>
      <c r="AB263">
        <v>21</v>
      </c>
      <c r="AC263">
        <v>0.68510000000003402</v>
      </c>
      <c r="AD263">
        <v>-0.2568201</v>
      </c>
      <c r="AE263">
        <v>-6.7900000000008703E-2</v>
      </c>
      <c r="AF263">
        <v>6.5134291288547599E-2</v>
      </c>
      <c r="AG263">
        <v>-0.2568201</v>
      </c>
      <c r="AH263">
        <v>0.60083601185481805</v>
      </c>
      <c r="AI263">
        <v>113.022980538453</v>
      </c>
      <c r="AJ263">
        <v>83.812948770158002</v>
      </c>
      <c r="AK263">
        <v>0.65666045473081003</v>
      </c>
      <c r="AL263">
        <v>81.762911244840097</v>
      </c>
      <c r="AM263">
        <v>88.811674960482605</v>
      </c>
      <c r="AN263">
        <v>0.99999995384967999</v>
      </c>
    </row>
    <row r="264" spans="1:40" x14ac:dyDescent="0.25">
      <c r="A264" t="str">
        <f>"20190303162216138"</f>
        <v>20190303162216138</v>
      </c>
      <c r="B264" t="str">
        <f>"1551601336134047"</f>
        <v>1551601336134047</v>
      </c>
      <c r="C264" t="s">
        <v>40</v>
      </c>
      <c r="D264">
        <v>5.0253019999999999</v>
      </c>
      <c r="E264">
        <v>0.52741769999999999</v>
      </c>
      <c r="F264" t="s">
        <v>42</v>
      </c>
      <c r="G264">
        <v>-443.2355</v>
      </c>
      <c r="H264">
        <v>0.90075859999999996</v>
      </c>
      <c r="I264">
        <v>367.51209999999998</v>
      </c>
      <c r="J264">
        <v>-443.74669999999998</v>
      </c>
      <c r="K264">
        <v>1.1209279999999999</v>
      </c>
      <c r="L264">
        <v>367.57159999999999</v>
      </c>
      <c r="M264">
        <v>0.99985559999999996</v>
      </c>
      <c r="N264">
        <v>-1.442702E-2</v>
      </c>
      <c r="O264">
        <v>8.9850450000000005E-3</v>
      </c>
      <c r="P264">
        <v>0.99146270000000003</v>
      </c>
      <c r="Q264">
        <v>0.12976509999999999</v>
      </c>
      <c r="R264">
        <v>-1.275594E-2</v>
      </c>
      <c r="S264">
        <v>3.151459</v>
      </c>
      <c r="T264">
        <v>-0.99125280000000004</v>
      </c>
      <c r="U264">
        <v>-0.25927729999999999</v>
      </c>
      <c r="V264">
        <v>2.172116E-2</v>
      </c>
      <c r="W264">
        <v>0.14404449999999999</v>
      </c>
      <c r="X264">
        <v>0.98933280000000001</v>
      </c>
      <c r="Y264">
        <v>8.6217160000000001E-2</v>
      </c>
      <c r="Z264">
        <v>-1.648589E-2</v>
      </c>
      <c r="AA264">
        <v>0.99613989999999997</v>
      </c>
      <c r="AB264">
        <v>21</v>
      </c>
      <c r="AC264">
        <v>0.51119999999997301</v>
      </c>
      <c r="AD264">
        <v>-0.22016939999999999</v>
      </c>
      <c r="AE264">
        <v>-5.9500000000014097E-2</v>
      </c>
      <c r="AF264">
        <v>5.41761479933313E-2</v>
      </c>
      <c r="AG264">
        <v>-0.22016939999999999</v>
      </c>
      <c r="AH264">
        <v>0.43164661215130601</v>
      </c>
      <c r="AI264">
        <v>116.84387914838899</v>
      </c>
      <c r="AJ264">
        <v>82.846190418614299</v>
      </c>
      <c r="AK264">
        <v>0.487574012319622</v>
      </c>
      <c r="AL264">
        <v>81.718047844447796</v>
      </c>
      <c r="AM264">
        <v>88.742252473995805</v>
      </c>
      <c r="AN264">
        <v>1.00000000796391</v>
      </c>
    </row>
    <row r="265" spans="1:40" x14ac:dyDescent="0.25">
      <c r="A265" t="str">
        <f>"20190303162216162"</f>
        <v>20190303162216162</v>
      </c>
      <c r="B265" t="str">
        <f>"1551601336154544"</f>
        <v>1551601336154544</v>
      </c>
      <c r="C265" t="s">
        <v>40</v>
      </c>
      <c r="D265">
        <v>5.0592069999999998</v>
      </c>
      <c r="E265">
        <v>0.52759699999999998</v>
      </c>
      <c r="F265" t="s">
        <v>42</v>
      </c>
      <c r="G265">
        <v>-443.04770000000002</v>
      </c>
      <c r="H265">
        <v>0.901057</v>
      </c>
      <c r="I265">
        <v>367.51249999999999</v>
      </c>
      <c r="J265">
        <v>-443.52319999999997</v>
      </c>
      <c r="K265">
        <v>1.1209249999999999</v>
      </c>
      <c r="L265">
        <v>367.57330000000002</v>
      </c>
      <c r="M265">
        <v>0.99985800000000002</v>
      </c>
      <c r="N265">
        <v>-1.442209E-2</v>
      </c>
      <c r="O265">
        <v>8.7320409999999994E-3</v>
      </c>
      <c r="P265">
        <v>0.99147110000000005</v>
      </c>
      <c r="Q265">
        <v>0.12957539999999901</v>
      </c>
      <c r="R265">
        <v>-1.398223E-2</v>
      </c>
      <c r="S265">
        <v>3.1521910000000002</v>
      </c>
      <c r="T265">
        <v>-0.99148130000000001</v>
      </c>
      <c r="U265">
        <v>-0.26480100000000001</v>
      </c>
      <c r="V265">
        <v>2.2695969999999999E-2</v>
      </c>
      <c r="W265">
        <v>0.14385010000000001</v>
      </c>
      <c r="X265">
        <v>0.98933919999999997</v>
      </c>
      <c r="Y265">
        <v>8.7621050000000006E-2</v>
      </c>
      <c r="Z265">
        <v>-1.6636270000000002E-2</v>
      </c>
      <c r="AA265">
        <v>0.99601499999999998</v>
      </c>
      <c r="AB265">
        <v>21</v>
      </c>
      <c r="AC265">
        <v>0.47549999999995402</v>
      </c>
      <c r="AD265">
        <v>-0.21986799999999901</v>
      </c>
      <c r="AE265">
        <v>-6.0800000000028803E-2</v>
      </c>
      <c r="AF265">
        <v>5.3661524792228098E-2</v>
      </c>
      <c r="AG265">
        <v>-0.21986799999999901</v>
      </c>
      <c r="AH265">
        <v>0.39240203095605602</v>
      </c>
      <c r="AI265">
        <v>119.036681335018</v>
      </c>
      <c r="AJ265">
        <v>82.213023813441694</v>
      </c>
      <c r="AK265">
        <v>0.45299100494983802</v>
      </c>
      <c r="AL265">
        <v>81.729303345576099</v>
      </c>
      <c r="AM265">
        <v>88.685834698350604</v>
      </c>
      <c r="AN265">
        <v>1.0000000054904401</v>
      </c>
    </row>
    <row r="266" spans="1:40" x14ac:dyDescent="0.25">
      <c r="A266" t="str">
        <f>"20190303162216185"</f>
        <v>20190303162216185</v>
      </c>
      <c r="B266" t="str">
        <f>"1551601336174063"</f>
        <v>1551601336174063</v>
      </c>
      <c r="C266" t="s">
        <v>40</v>
      </c>
      <c r="D266">
        <v>5.0774480000000004</v>
      </c>
      <c r="E266">
        <v>0.52772959999999902</v>
      </c>
      <c r="F266" t="s">
        <v>42</v>
      </c>
      <c r="G266">
        <v>-442.85610000000003</v>
      </c>
      <c r="H266">
        <v>0.91057900000000003</v>
      </c>
      <c r="I266">
        <v>367.51580000000001</v>
      </c>
      <c r="J266">
        <v>-443.31119999999999</v>
      </c>
      <c r="K266">
        <v>1.1209260000000001</v>
      </c>
      <c r="L266">
        <v>367.57490000000001</v>
      </c>
      <c r="M266">
        <v>0.99985999999999997</v>
      </c>
      <c r="N266">
        <v>-1.4417330000000001E-2</v>
      </c>
      <c r="O266">
        <v>8.4921159999999992E-3</v>
      </c>
      <c r="P266">
        <v>0.9915214</v>
      </c>
      <c r="Q266">
        <v>0.1291233</v>
      </c>
      <c r="R266">
        <v>-1.457719E-2</v>
      </c>
      <c r="S266">
        <v>3.1518549999999999</v>
      </c>
      <c r="T266">
        <v>-0.99364459999999999</v>
      </c>
      <c r="U266">
        <v>-0.27044679999999999</v>
      </c>
      <c r="V266">
        <v>2.3052219999999998E-2</v>
      </c>
      <c r="W266">
        <v>0.1433942</v>
      </c>
      <c r="X266">
        <v>0.98939710000000003</v>
      </c>
      <c r="Y266">
        <v>8.9078900000000003E-2</v>
      </c>
      <c r="Z266">
        <v>-1.6834669999999999E-2</v>
      </c>
      <c r="AA266">
        <v>0.9958823</v>
      </c>
      <c r="AB266">
        <v>21</v>
      </c>
      <c r="AC266">
        <v>0.45509999999995798</v>
      </c>
      <c r="AD266">
        <v>-0.21034699999999901</v>
      </c>
      <c r="AE266">
        <v>-5.9100000000000798E-2</v>
      </c>
      <c r="AF266">
        <v>5.2031886946628698E-2</v>
      </c>
      <c r="AG266">
        <v>-0.21034699999999901</v>
      </c>
      <c r="AH266">
        <v>0.37566076777468499</v>
      </c>
      <c r="AI266">
        <v>119.014666311868</v>
      </c>
      <c r="AJ266">
        <v>82.114268879600502</v>
      </c>
      <c r="AK266">
        <v>0.43367521270334602</v>
      </c>
      <c r="AL266">
        <v>81.755697771492507</v>
      </c>
      <c r="AM266">
        <v>88.665292235079605</v>
      </c>
      <c r="AN266">
        <v>0.999999961464488</v>
      </c>
    </row>
    <row r="267" spans="1:40" x14ac:dyDescent="0.25">
      <c r="A267" t="str">
        <f>"20190303162216209"</f>
        <v>20190303162216209</v>
      </c>
      <c r="B267" t="str">
        <f>"1551601336204320"</f>
        <v>1551601336204320</v>
      </c>
      <c r="C267" t="s">
        <v>40</v>
      </c>
      <c r="D267">
        <v>5.1131279999999997</v>
      </c>
      <c r="E267">
        <v>0.52788069999999998</v>
      </c>
      <c r="F267" t="s">
        <v>42</v>
      </c>
      <c r="G267">
        <v>-442.50150000000002</v>
      </c>
      <c r="H267">
        <v>0.86494289999999996</v>
      </c>
      <c r="I267">
        <v>367.50420000000003</v>
      </c>
      <c r="J267">
        <v>-443.09410000000003</v>
      </c>
      <c r="K267">
        <v>1.120924</v>
      </c>
      <c r="L267">
        <v>367.57639999999998</v>
      </c>
      <c r="M267">
        <v>0.99986209999999998</v>
      </c>
      <c r="N267">
        <v>-1.4412390000000001E-2</v>
      </c>
      <c r="O267">
        <v>8.2486209999999994E-3</v>
      </c>
      <c r="P267">
        <v>0.99156299999999997</v>
      </c>
      <c r="Q267">
        <v>0.12881339999999999</v>
      </c>
      <c r="R267">
        <v>-1.4490279999999999E-2</v>
      </c>
      <c r="S267">
        <v>3.1513059999999999</v>
      </c>
      <c r="T267">
        <v>-0.99621199999999999</v>
      </c>
      <c r="U267">
        <v>-0.27441409999999899</v>
      </c>
      <c r="V267">
        <v>2.2722929999999999E-2</v>
      </c>
      <c r="W267">
        <v>0.1430804</v>
      </c>
      <c r="X267">
        <v>0.98945019999999995</v>
      </c>
      <c r="Y267">
        <v>9.0032769999999998E-2</v>
      </c>
      <c r="Z267">
        <v>-1.6959040000000002E-2</v>
      </c>
      <c r="AA267">
        <v>0.99579439999999997</v>
      </c>
      <c r="AB267">
        <v>21</v>
      </c>
      <c r="AC267">
        <v>0.59260000000000401</v>
      </c>
      <c r="AD267">
        <v>-0.25598110000000002</v>
      </c>
      <c r="AE267">
        <v>-7.2199999999952497E-2</v>
      </c>
      <c r="AF267">
        <v>6.5114134695283002E-2</v>
      </c>
      <c r="AG267">
        <v>-0.25598110000000002</v>
      </c>
      <c r="AH267">
        <v>0.50004473587535803</v>
      </c>
      <c r="AI267">
        <v>116.913748179981</v>
      </c>
      <c r="AJ267">
        <v>82.580883139133803</v>
      </c>
      <c r="AK267">
        <v>0.56551826846794495</v>
      </c>
      <c r="AL267">
        <v>81.773864962895601</v>
      </c>
      <c r="AM267">
        <v>88.6844217321038</v>
      </c>
      <c r="AN267">
        <v>1.00000001534599</v>
      </c>
    </row>
    <row r="268" spans="1:40" x14ac:dyDescent="0.25">
      <c r="A268" t="str">
        <f>"20190303162216232"</f>
        <v>20190303162216232</v>
      </c>
      <c r="B268" t="str">
        <f>"1551601336224815"</f>
        <v>1551601336224815</v>
      </c>
      <c r="C268" t="s">
        <v>40</v>
      </c>
      <c r="D268">
        <v>5.0158360000000002</v>
      </c>
      <c r="E268">
        <v>0.52734380000000003</v>
      </c>
      <c r="F268" t="s">
        <v>42</v>
      </c>
      <c r="G268">
        <v>-442.31200000000001</v>
      </c>
      <c r="H268">
        <v>0.87307979999999996</v>
      </c>
      <c r="I268">
        <v>367.50749999999999</v>
      </c>
      <c r="J268">
        <v>-442.87389999999999</v>
      </c>
      <c r="K268">
        <v>1.12093</v>
      </c>
      <c r="L268">
        <v>367.5779</v>
      </c>
      <c r="M268">
        <v>0.99986419999999998</v>
      </c>
      <c r="N268">
        <v>-1.4407329999999999E-2</v>
      </c>
      <c r="O268">
        <v>8.0051219999999999E-3</v>
      </c>
      <c r="P268">
        <v>0.99153860000000005</v>
      </c>
      <c r="Q268">
        <v>0.12903999999999999</v>
      </c>
      <c r="R268">
        <v>-1.413758E-2</v>
      </c>
      <c r="S268">
        <v>3.1512150000000001</v>
      </c>
      <c r="T268">
        <v>-0.99867150000000005</v>
      </c>
      <c r="U268">
        <v>-0.27575680000000002</v>
      </c>
      <c r="V268">
        <v>2.21278E-2</v>
      </c>
      <c r="W268">
        <v>0.1433017</v>
      </c>
      <c r="X268">
        <v>0.98943159999999997</v>
      </c>
      <c r="Y268">
        <v>9.0193170000000003E-2</v>
      </c>
      <c r="Z268">
        <v>-1.6951919999999999E-2</v>
      </c>
      <c r="AA268">
        <v>0.99578</v>
      </c>
      <c r="AB268">
        <v>21</v>
      </c>
      <c r="AC268">
        <v>0.56190000000003604</v>
      </c>
      <c r="AD268">
        <v>-0.24785019999999899</v>
      </c>
      <c r="AE268">
        <v>-7.0400000000006402E-2</v>
      </c>
      <c r="AF268">
        <v>6.2855860568597696E-2</v>
      </c>
      <c r="AG268">
        <v>-0.24785019999999899</v>
      </c>
      <c r="AH268">
        <v>0.47108007683491099</v>
      </c>
      <c r="AI268">
        <v>117.54248897068</v>
      </c>
      <c r="AJ268">
        <v>82.399957164877094</v>
      </c>
      <c r="AK268">
        <v>0.536000951154608</v>
      </c>
      <c r="AL268">
        <v>81.761052874961507</v>
      </c>
      <c r="AM268">
        <v>88.718841966702001</v>
      </c>
      <c r="AN268">
        <v>0.99999995391714303</v>
      </c>
    </row>
    <row r="269" spans="1:40" x14ac:dyDescent="0.25">
      <c r="A269" t="str">
        <f>"20190303162216252"</f>
        <v>20190303162216252</v>
      </c>
      <c r="B269" t="str">
        <f>"1551601336244335"</f>
        <v>1551601336244335</v>
      </c>
      <c r="C269" t="s">
        <v>40</v>
      </c>
      <c r="D269">
        <v>5.2529370000000002</v>
      </c>
      <c r="E269">
        <v>0.48629889999999998</v>
      </c>
      <c r="F269" t="s">
        <v>42</v>
      </c>
      <c r="G269">
        <v>-442.1216</v>
      </c>
      <c r="H269">
        <v>0.88477549999999905</v>
      </c>
      <c r="I269">
        <v>367.51299999999998</v>
      </c>
      <c r="J269">
        <v>-442.68729999999999</v>
      </c>
      <c r="K269">
        <v>1.120935</v>
      </c>
      <c r="L269">
        <v>367.57920000000001</v>
      </c>
      <c r="M269">
        <v>0.99986580000000003</v>
      </c>
      <c r="N269">
        <v>-1.4403010000000001E-2</v>
      </c>
      <c r="O269">
        <v>7.8013539999999999E-3</v>
      </c>
      <c r="P269">
        <v>0.99139520000000003</v>
      </c>
      <c r="Q269">
        <v>0.13023470000000001</v>
      </c>
      <c r="R269">
        <v>-1.3211219999999999E-2</v>
      </c>
      <c r="S269">
        <v>3.150452</v>
      </c>
      <c r="T269">
        <v>-0.98879799999999995</v>
      </c>
      <c r="U269">
        <v>-0.27035520000000002</v>
      </c>
      <c r="V269">
        <v>2.0997829999999999E-2</v>
      </c>
      <c r="W269">
        <v>0.1444908</v>
      </c>
      <c r="X269">
        <v>0.98928329999999998</v>
      </c>
      <c r="Y269">
        <v>8.8500830000000003E-2</v>
      </c>
      <c r="Z269">
        <v>-1.6470640000000002E-2</v>
      </c>
      <c r="AA269">
        <v>0.99593989999999999</v>
      </c>
      <c r="AB269">
        <v>21</v>
      </c>
      <c r="AC269">
        <v>0.56569999999999199</v>
      </c>
      <c r="AD269">
        <v>-0.23615949999999999</v>
      </c>
      <c r="AE269">
        <v>-6.6199999999980705E-2</v>
      </c>
      <c r="AF269">
        <v>6.0252874873401599E-2</v>
      </c>
      <c r="AG269">
        <v>-0.23615949999999999</v>
      </c>
      <c r="AH269">
        <v>0.48225588684649101</v>
      </c>
      <c r="AI269">
        <v>115.916025386618</v>
      </c>
      <c r="AJ269">
        <v>82.878389079861705</v>
      </c>
      <c r="AK269">
        <v>0.54034475917589497</v>
      </c>
      <c r="AL269">
        <v>81.692206118079</v>
      </c>
      <c r="AM269">
        <v>88.784062747335497</v>
      </c>
      <c r="AN269">
        <v>0.99999997390411899</v>
      </c>
    </row>
    <row r="270" spans="1:40" x14ac:dyDescent="0.25">
      <c r="A270" t="str">
        <f>"20190303162216272"</f>
        <v>20190303162216272</v>
      </c>
      <c r="B270" t="str">
        <f>"1551601336264831"</f>
        <v>1551601336264831</v>
      </c>
      <c r="C270" t="s">
        <v>40</v>
      </c>
      <c r="D270">
        <v>5.363156</v>
      </c>
      <c r="E270">
        <v>0.48048639999999998</v>
      </c>
      <c r="F270" t="s">
        <v>42</v>
      </c>
      <c r="G270">
        <v>-441.85950000000003</v>
      </c>
      <c r="H270">
        <v>1.0355970000000001</v>
      </c>
      <c r="I270">
        <v>367.59609999999998</v>
      </c>
      <c r="J270">
        <v>-442.49680000000001</v>
      </c>
      <c r="K270">
        <v>1.1209439999999999</v>
      </c>
      <c r="L270">
        <v>367.5804</v>
      </c>
      <c r="M270">
        <v>0.99986750000000002</v>
      </c>
      <c r="N270">
        <v>-1.439855E-2</v>
      </c>
      <c r="O270">
        <v>7.5946640000000001E-3</v>
      </c>
      <c r="P270">
        <v>0.99129489999999998</v>
      </c>
      <c r="Q270">
        <v>0.13110729999999901</v>
      </c>
      <c r="R270">
        <v>-1.2056519999999999E-2</v>
      </c>
      <c r="S270">
        <v>3.068451</v>
      </c>
      <c r="T270">
        <v>-0.31653429999999999</v>
      </c>
      <c r="U270">
        <v>6.4300540000000003E-2</v>
      </c>
      <c r="V270">
        <v>1.963728E-2</v>
      </c>
      <c r="W270">
        <v>0.1453585</v>
      </c>
      <c r="X270">
        <v>0.98918410000000001</v>
      </c>
      <c r="Y270">
        <v>-1.330572E-2</v>
      </c>
      <c r="Z270">
        <v>1.083304E-4</v>
      </c>
      <c r="AA270">
        <v>0.99991149999999995</v>
      </c>
      <c r="AB270">
        <v>21</v>
      </c>
      <c r="AC270">
        <v>0.63729999999998199</v>
      </c>
      <c r="AD270">
        <v>-8.5347000000000006E-2</v>
      </c>
      <c r="AE270">
        <v>1.5699999999981101E-2</v>
      </c>
      <c r="AF270">
        <v>-1.0667761327211501E-2</v>
      </c>
      <c r="AG270">
        <v>-8.5347000000000006E-2</v>
      </c>
      <c r="AH270">
        <v>0.62617751117730902</v>
      </c>
      <c r="AI270">
        <v>97.760384725889196</v>
      </c>
      <c r="AJ270">
        <v>90.976014896379596</v>
      </c>
      <c r="AK270">
        <v>0.63205710742380194</v>
      </c>
      <c r="AL270">
        <v>81.641959903362505</v>
      </c>
      <c r="AM270">
        <v>88.862713731065895</v>
      </c>
      <c r="AN270">
        <v>0.99999994999042796</v>
      </c>
    </row>
    <row r="271" spans="1:40" x14ac:dyDescent="0.25">
      <c r="A271" t="str">
        <f>"20190303162216295"</f>
        <v>20190303162216295</v>
      </c>
      <c r="B271" t="str">
        <f>"1551601336284351"</f>
        <v>1551601336284351</v>
      </c>
      <c r="C271" t="s">
        <v>40</v>
      </c>
      <c r="D271">
        <v>5.3417680000000001</v>
      </c>
      <c r="E271">
        <v>0.47893819999999998</v>
      </c>
      <c r="F271" t="s">
        <v>43</v>
      </c>
      <c r="G271">
        <v>-426.03519999999997</v>
      </c>
      <c r="H271">
        <v>-0.05</v>
      </c>
      <c r="I271">
        <v>368.19920000000002</v>
      </c>
      <c r="J271">
        <v>-442.28980000000001</v>
      </c>
      <c r="K271">
        <v>1.1209499999999999</v>
      </c>
      <c r="L271">
        <v>367.58170000000001</v>
      </c>
      <c r="M271">
        <v>0.99986920000000001</v>
      </c>
      <c r="N271">
        <v>-1.4393649999999999E-2</v>
      </c>
      <c r="O271">
        <v>7.3717019999999999E-3</v>
      </c>
      <c r="P271">
        <v>0.99122969999999999</v>
      </c>
      <c r="Q271">
        <v>0.13165060000000001</v>
      </c>
      <c r="R271">
        <v>-1.1491690000000001E-2</v>
      </c>
      <c r="S271">
        <v>3.0564580000000001</v>
      </c>
      <c r="T271">
        <v>-0.21741240000000001</v>
      </c>
      <c r="U271">
        <v>0.11489870000000001</v>
      </c>
      <c r="V271">
        <v>1.885032E-2</v>
      </c>
      <c r="W271">
        <v>0.14589579999999999</v>
      </c>
      <c r="X271">
        <v>0.98912040000000001</v>
      </c>
      <c r="Y271">
        <v>-3.0117709999999999E-2</v>
      </c>
      <c r="Z271">
        <v>8.6908299999999999E-4</v>
      </c>
      <c r="AA271">
        <v>0.99954600000000005</v>
      </c>
      <c r="AB271">
        <v>21</v>
      </c>
      <c r="AC271">
        <v>16.2546</v>
      </c>
      <c r="AD271">
        <v>-1.1709499999999999</v>
      </c>
      <c r="AE271">
        <v>0.61750000000000604</v>
      </c>
      <c r="AF271">
        <v>-0.49508121944745098</v>
      </c>
      <c r="AG271">
        <v>-1.1709499999999999</v>
      </c>
      <c r="AH271">
        <v>16.174892376000699</v>
      </c>
      <c r="AI271">
        <v>94.138662307548003</v>
      </c>
      <c r="AJ271">
        <v>91.753162275042698</v>
      </c>
      <c r="AK271">
        <v>16.224776506674999</v>
      </c>
      <c r="AL271">
        <v>81.610843940862097</v>
      </c>
      <c r="AM271">
        <v>88.908208695649506</v>
      </c>
      <c r="AN271">
        <v>1.0000000423589499</v>
      </c>
    </row>
    <row r="272" spans="1:40" x14ac:dyDescent="0.25">
      <c r="A272" t="str">
        <f>"20190303162216317"</f>
        <v>20190303162216317</v>
      </c>
      <c r="B272" t="str">
        <f>"1551601336304846"</f>
        <v>1551601336304846</v>
      </c>
      <c r="C272" t="s">
        <v>40</v>
      </c>
      <c r="D272">
        <v>5.0413370000000004</v>
      </c>
      <c r="E272">
        <v>0.4778925</v>
      </c>
      <c r="F272" t="s">
        <v>43</v>
      </c>
      <c r="G272">
        <v>-420.9169</v>
      </c>
      <c r="H272">
        <v>-0.05</v>
      </c>
      <c r="I272">
        <v>368.48480000000001</v>
      </c>
      <c r="J272">
        <v>-442.0822</v>
      </c>
      <c r="K272">
        <v>1.120957</v>
      </c>
      <c r="L272">
        <v>367.58300000000003</v>
      </c>
      <c r="M272">
        <v>0.99987090000000001</v>
      </c>
      <c r="N272">
        <v>-1.4388740000000001E-2</v>
      </c>
      <c r="O272">
        <v>7.1483759999999997E-3</v>
      </c>
      <c r="P272">
        <v>0.99119950000000001</v>
      </c>
      <c r="Q272">
        <v>0.1319263</v>
      </c>
      <c r="R272">
        <v>-1.091642E-2</v>
      </c>
      <c r="S272">
        <v>3.0502319999999998</v>
      </c>
      <c r="T272">
        <v>-0.16711199999999901</v>
      </c>
      <c r="U272">
        <v>0.12887570000000001</v>
      </c>
      <c r="V272">
        <v>1.805327E-2</v>
      </c>
      <c r="W272">
        <v>0.14616660000000001</v>
      </c>
      <c r="X272">
        <v>0.98909530000000001</v>
      </c>
      <c r="Y272">
        <v>-3.5009249999999999E-2</v>
      </c>
      <c r="Z272">
        <v>9.217203E-4</v>
      </c>
      <c r="AA272">
        <v>0.99938649999999996</v>
      </c>
      <c r="AB272">
        <v>21</v>
      </c>
      <c r="AC272">
        <v>21.165299999999998</v>
      </c>
      <c r="AD272">
        <v>-1.170957</v>
      </c>
      <c r="AE272">
        <v>0.90179999999997995</v>
      </c>
      <c r="AF272">
        <v>-0.74817790056121403</v>
      </c>
      <c r="AG272">
        <v>-1.170957</v>
      </c>
      <c r="AH272">
        <v>21.106720092301501</v>
      </c>
      <c r="AI272">
        <v>93.173406774771095</v>
      </c>
      <c r="AJ272">
        <v>92.030135180386097</v>
      </c>
      <c r="AK272">
        <v>21.152412238832301</v>
      </c>
      <c r="AL272">
        <v>81.595160212054097</v>
      </c>
      <c r="AM272">
        <v>88.954336013892402</v>
      </c>
      <c r="AN272">
        <v>1.0000000539976699</v>
      </c>
    </row>
    <row r="273" spans="1:40" x14ac:dyDescent="0.25">
      <c r="A273" t="str">
        <f>"20190303162216340"</f>
        <v>20190303162216340</v>
      </c>
      <c r="B273" t="str">
        <f>"1551601336334126"</f>
        <v>1551601336334126</v>
      </c>
      <c r="C273" t="s">
        <v>40</v>
      </c>
      <c r="D273">
        <v>5.3908149999999999</v>
      </c>
      <c r="E273">
        <v>0.4782457</v>
      </c>
      <c r="F273" t="s">
        <v>43</v>
      </c>
      <c r="G273">
        <v>-418.09059999999999</v>
      </c>
      <c r="H273">
        <v>-0.05</v>
      </c>
      <c r="I273">
        <v>368.68299999999999</v>
      </c>
      <c r="J273">
        <v>-441.87150000000003</v>
      </c>
      <c r="K273">
        <v>1.1209579999999999</v>
      </c>
      <c r="L273">
        <v>367.58420000000001</v>
      </c>
      <c r="M273">
        <v>0.9998726</v>
      </c>
      <c r="N273">
        <v>-1.4383760000000001E-2</v>
      </c>
      <c r="O273">
        <v>6.9220050000000002E-3</v>
      </c>
      <c r="P273">
        <v>0.99111139999999998</v>
      </c>
      <c r="Q273">
        <v>0.13257469999999999</v>
      </c>
      <c r="R273">
        <v>-1.1048880000000001E-2</v>
      </c>
      <c r="S273">
        <v>3.0479430000000001</v>
      </c>
      <c r="T273">
        <v>-0.1487609</v>
      </c>
      <c r="U273">
        <v>0.13974</v>
      </c>
      <c r="V273">
        <v>1.7960589999999999E-2</v>
      </c>
      <c r="W273">
        <v>0.14680950000000001</v>
      </c>
      <c r="X273">
        <v>0.98900169999999998</v>
      </c>
      <c r="Y273">
        <v>-3.8826979999999997E-2</v>
      </c>
      <c r="Z273">
        <v>9.8810020000000007E-4</v>
      </c>
      <c r="AA273">
        <v>0.99924550000000001</v>
      </c>
      <c r="AB273">
        <v>21</v>
      </c>
      <c r="AC273">
        <v>23.780899999999999</v>
      </c>
      <c r="AD273">
        <v>-1.1709579999999999</v>
      </c>
      <c r="AE273">
        <v>1.09880000000003</v>
      </c>
      <c r="AF273">
        <v>-0.93189055681355504</v>
      </c>
      <c r="AG273">
        <v>-1.1709579999999999</v>
      </c>
      <c r="AH273">
        <v>23.730524242148999</v>
      </c>
      <c r="AI273">
        <v>92.822737200533496</v>
      </c>
      <c r="AJ273">
        <v>92.248832539272698</v>
      </c>
      <c r="AK273">
        <v>23.777664802391001</v>
      </c>
      <c r="AL273">
        <v>81.557922491906098</v>
      </c>
      <c r="AM273">
        <v>88.959604519174803</v>
      </c>
      <c r="AN273">
        <v>0.99999998734314399</v>
      </c>
    </row>
    <row r="274" spans="1:40" x14ac:dyDescent="0.25">
      <c r="A274" t="str">
        <f>"20190303162216362"</f>
        <v>20190303162216362</v>
      </c>
      <c r="B274" t="str">
        <f>"1551601336354623"</f>
        <v>1551601336354623</v>
      </c>
      <c r="C274" t="s">
        <v>40</v>
      </c>
      <c r="D274">
        <v>5.3831819999999997</v>
      </c>
      <c r="E274">
        <v>0.47833870000000001</v>
      </c>
      <c r="F274" t="s">
        <v>43</v>
      </c>
      <c r="G274">
        <v>-414.8852</v>
      </c>
      <c r="H274">
        <v>-0.05</v>
      </c>
      <c r="I274">
        <v>368.79509999999999</v>
      </c>
      <c r="J274">
        <v>-441.67250000000001</v>
      </c>
      <c r="K274">
        <v>1.120962</v>
      </c>
      <c r="L274">
        <v>367.58530000000002</v>
      </c>
      <c r="M274">
        <v>0.99987409999999999</v>
      </c>
      <c r="N274">
        <v>-1.4379029999999999E-2</v>
      </c>
      <c r="O274">
        <v>6.7080239999999999E-3</v>
      </c>
      <c r="P274">
        <v>0.99106689999999997</v>
      </c>
      <c r="Q274">
        <v>0.1328819</v>
      </c>
      <c r="R274">
        <v>-1.135005E-2</v>
      </c>
      <c r="S274">
        <v>3.0460820000000002</v>
      </c>
      <c r="T274">
        <v>-0.13217190000000001</v>
      </c>
      <c r="U274">
        <v>0.13668820000000001</v>
      </c>
      <c r="V274">
        <v>1.8049030000000001E-2</v>
      </c>
      <c r="W274">
        <v>0.14711089999999999</v>
      </c>
      <c r="X274">
        <v>0.98895529999999998</v>
      </c>
      <c r="Y274">
        <v>-3.8080549999999998E-2</v>
      </c>
      <c r="Z274">
        <v>9.0508750000000001E-4</v>
      </c>
      <c r="AA274">
        <v>0.99927429999999995</v>
      </c>
      <c r="AB274">
        <v>21</v>
      </c>
      <c r="AC274">
        <v>26.787299999999998</v>
      </c>
      <c r="AD274">
        <v>-1.1709620000000001</v>
      </c>
      <c r="AE274">
        <v>1.20979999999997</v>
      </c>
      <c r="AF274">
        <v>-1.02810378390415</v>
      </c>
      <c r="AG274">
        <v>-1.1709620000000001</v>
      </c>
      <c r="AH274">
        <v>26.743813868799599</v>
      </c>
      <c r="AI274">
        <v>92.505212300334193</v>
      </c>
      <c r="AJ274">
        <v>92.201519044313798</v>
      </c>
      <c r="AK274">
        <v>26.7891718730707</v>
      </c>
      <c r="AL274">
        <v>81.540463965401898</v>
      </c>
      <c r="AM274">
        <v>88.954433584276501</v>
      </c>
      <c r="AN274">
        <v>0.99999998489041997</v>
      </c>
    </row>
    <row r="275" spans="1:40" x14ac:dyDescent="0.25">
      <c r="A275" t="str">
        <f>"20190303162216384"</f>
        <v>20190303162216384</v>
      </c>
      <c r="B275" t="str">
        <f>"1551601336374143"</f>
        <v>1551601336374143</v>
      </c>
      <c r="C275" t="s">
        <v>40</v>
      </c>
      <c r="D275">
        <v>5.1978280000000003</v>
      </c>
      <c r="E275">
        <v>0.47811799999999999</v>
      </c>
      <c r="F275" t="s">
        <v>43</v>
      </c>
      <c r="G275">
        <v>-413.60980000000001</v>
      </c>
      <c r="H275">
        <v>-0.05</v>
      </c>
      <c r="I275">
        <v>368.827</v>
      </c>
      <c r="J275">
        <v>-441.4683</v>
      </c>
      <c r="K275">
        <v>1.120967</v>
      </c>
      <c r="L275">
        <v>367.58640000000003</v>
      </c>
      <c r="M275">
        <v>0.99987579999999998</v>
      </c>
      <c r="N275">
        <v>-1.4374120000000001E-2</v>
      </c>
      <c r="O275">
        <v>6.4879630000000002E-3</v>
      </c>
      <c r="P275">
        <v>0.99102480000000004</v>
      </c>
      <c r="Q275">
        <v>0.13320270000000001</v>
      </c>
      <c r="R275">
        <v>-1.128154E-2</v>
      </c>
      <c r="S275">
        <v>3.0456539999999999</v>
      </c>
      <c r="T275">
        <v>-0.12708459999999999</v>
      </c>
      <c r="U275">
        <v>0.13476560000000001</v>
      </c>
      <c r="V275">
        <v>1.776223E-2</v>
      </c>
      <c r="W275">
        <v>0.14742640000000001</v>
      </c>
      <c r="X275">
        <v>0.9889135</v>
      </c>
      <c r="Y275">
        <v>-3.7680419999999999E-2</v>
      </c>
      <c r="Z275">
        <v>8.7926330000000002E-4</v>
      </c>
      <c r="AA275">
        <v>0.99928950000000005</v>
      </c>
      <c r="AB275">
        <v>21</v>
      </c>
      <c r="AC275">
        <v>27.8584999999999</v>
      </c>
      <c r="AD275">
        <v>-1.1709670000000001</v>
      </c>
      <c r="AE275">
        <v>1.2405999999999699</v>
      </c>
      <c r="AF275">
        <v>-1.05794490104997</v>
      </c>
      <c r="AG275">
        <v>-1.1709670000000001</v>
      </c>
      <c r="AH275">
        <v>27.816915211028</v>
      </c>
      <c r="AI275">
        <v>92.4087320512551</v>
      </c>
      <c r="AJ275">
        <v>92.178048013243796</v>
      </c>
      <c r="AK275">
        <v>27.861643580131201</v>
      </c>
      <c r="AL275">
        <v>81.522187792360796</v>
      </c>
      <c r="AM275">
        <v>88.971000603561393</v>
      </c>
      <c r="AN275">
        <v>0.999999975356891</v>
      </c>
    </row>
    <row r="276" spans="1:40" x14ac:dyDescent="0.25">
      <c r="A276" t="str">
        <f>"20190303162216398"</f>
        <v>20190303162216398</v>
      </c>
      <c r="B276" t="str">
        <f>"1551601336384879"</f>
        <v>1551601336384879</v>
      </c>
      <c r="C276" t="s">
        <v>40</v>
      </c>
      <c r="D276">
        <v>5.4507680000000001</v>
      </c>
      <c r="E276">
        <v>0.47796359999999899</v>
      </c>
      <c r="F276" t="s">
        <v>43</v>
      </c>
      <c r="G276">
        <v>-413.10309999999998</v>
      </c>
      <c r="H276">
        <v>-0.05</v>
      </c>
      <c r="I276">
        <v>368.85890000000001</v>
      </c>
      <c r="J276">
        <v>-441.33710000000002</v>
      </c>
      <c r="K276">
        <v>1.120965</v>
      </c>
      <c r="L276">
        <v>367.58710000000002</v>
      </c>
      <c r="M276">
        <v>0.99987669999999995</v>
      </c>
      <c r="N276">
        <v>-1.437095E-2</v>
      </c>
      <c r="O276">
        <v>6.3464979999999999E-3</v>
      </c>
      <c r="P276">
        <v>0.99100149999999998</v>
      </c>
      <c r="Q276">
        <v>0.13337739999999901</v>
      </c>
      <c r="R276">
        <v>-1.1250680000000001E-2</v>
      </c>
      <c r="S276">
        <v>3.0456240000000001</v>
      </c>
      <c r="T276">
        <v>-0.12572849999999999</v>
      </c>
      <c r="U276">
        <v>0.1366272</v>
      </c>
      <c r="V276">
        <v>1.7591039999999999E-2</v>
      </c>
      <c r="W276">
        <v>0.14759810000000001</v>
      </c>
      <c r="X276">
        <v>0.98889099999999996</v>
      </c>
      <c r="Y276">
        <v>-3.8431649999999998E-2</v>
      </c>
      <c r="Z276">
        <v>8.9838889999999995E-4</v>
      </c>
      <c r="AA276">
        <v>0.99926079999999995</v>
      </c>
      <c r="AB276">
        <v>20</v>
      </c>
      <c r="AC276">
        <v>28.234000000000002</v>
      </c>
      <c r="AD276">
        <v>-1.170965</v>
      </c>
      <c r="AE276">
        <v>1.2717999999999801</v>
      </c>
      <c r="AF276">
        <v>-1.0906966083623799</v>
      </c>
      <c r="AG276">
        <v>-1.170965</v>
      </c>
      <c r="AH276">
        <v>28.193108006212899</v>
      </c>
      <c r="AI276">
        <v>92.376564864753803</v>
      </c>
      <c r="AJ276">
        <v>92.215476344119807</v>
      </c>
      <c r="AK276">
        <v>28.238486453291099</v>
      </c>
      <c r="AL276">
        <v>81.512241734600494</v>
      </c>
      <c r="AM276">
        <v>88.980892678554298</v>
      </c>
      <c r="AN276">
        <v>1.00000002684644</v>
      </c>
    </row>
    <row r="277" spans="1:40" x14ac:dyDescent="0.25">
      <c r="A277" t="str">
        <f>"20190303162216420"</f>
        <v>20190303162216420</v>
      </c>
      <c r="B277" t="str">
        <f>"1551601336414159"</f>
        <v>1551601336414159</v>
      </c>
      <c r="C277" t="s">
        <v>40</v>
      </c>
      <c r="D277">
        <v>5.3874559999999896</v>
      </c>
      <c r="E277">
        <v>0.47761300000000001</v>
      </c>
      <c r="F277" t="s">
        <v>43</v>
      </c>
      <c r="G277">
        <v>-412.86619999999999</v>
      </c>
      <c r="H277">
        <v>-0.05</v>
      </c>
      <c r="I277">
        <v>368.87830000000002</v>
      </c>
      <c r="J277">
        <v>-441.14609999999999</v>
      </c>
      <c r="K277">
        <v>1.120824</v>
      </c>
      <c r="L277">
        <v>367.5881</v>
      </c>
      <c r="M277">
        <v>0.99988520000000003</v>
      </c>
      <c r="N277">
        <v>-1.385574E-2</v>
      </c>
      <c r="O277">
        <v>6.1316219999999998E-3</v>
      </c>
      <c r="P277">
        <v>0.99090400000000001</v>
      </c>
      <c r="Q277">
        <v>0.1340847</v>
      </c>
      <c r="R277">
        <v>-1.143069E-2</v>
      </c>
      <c r="S277">
        <v>3.0456539999999999</v>
      </c>
      <c r="T277">
        <v>-0.12526319999999999</v>
      </c>
      <c r="U277">
        <v>0.13812260000000001</v>
      </c>
      <c r="V277">
        <v>1.7557449999999999E-2</v>
      </c>
      <c r="W277">
        <v>0.14779429999999999</v>
      </c>
      <c r="X277">
        <v>0.98886229999999997</v>
      </c>
      <c r="Y277">
        <v>-3.9135469999999999E-2</v>
      </c>
      <c r="Z277">
        <v>9.0842950000000005E-4</v>
      </c>
      <c r="AA277">
        <v>0.9992335</v>
      </c>
      <c r="AB277">
        <v>20</v>
      </c>
      <c r="AC277">
        <v>28.279900000000001</v>
      </c>
      <c r="AD277">
        <v>-1.1708240000000001</v>
      </c>
      <c r="AE277">
        <v>1.29020000000002</v>
      </c>
      <c r="AF277">
        <v>-1.1148504784102999</v>
      </c>
      <c r="AG277">
        <v>-1.1708240000000001</v>
      </c>
      <c r="AH277">
        <v>28.238977127453001</v>
      </c>
      <c r="AI277">
        <v>92.372350315489996</v>
      </c>
      <c r="AJ277">
        <v>92.260813910976395</v>
      </c>
      <c r="AK277">
        <v>28.2852178643369</v>
      </c>
      <c r="AL277">
        <v>81.500875707752201</v>
      </c>
      <c r="AM277">
        <v>88.982808734347998</v>
      </c>
      <c r="AN277">
        <v>1.00000003376214</v>
      </c>
    </row>
    <row r="278" spans="1:40" x14ac:dyDescent="0.25">
      <c r="A278" t="str">
        <f>"20190303162216443"</f>
        <v>20190303162216443</v>
      </c>
      <c r="B278" t="str">
        <f>"1551601336434655"</f>
        <v>1551601336434655</v>
      </c>
      <c r="C278" t="s">
        <v>40</v>
      </c>
      <c r="D278">
        <v>5.4517069999999999</v>
      </c>
      <c r="E278">
        <v>0.47747899999999999</v>
      </c>
      <c r="F278" t="s">
        <v>43</v>
      </c>
      <c r="G278">
        <v>-412.40140000000002</v>
      </c>
      <c r="H278">
        <v>-0.05</v>
      </c>
      <c r="I278">
        <v>368.91460000000001</v>
      </c>
      <c r="J278">
        <v>-440.93079999999998</v>
      </c>
      <c r="K278">
        <v>1.1205400000000001</v>
      </c>
      <c r="L278">
        <v>367.58920000000001</v>
      </c>
      <c r="M278">
        <v>0.99989649999999997</v>
      </c>
      <c r="N278">
        <v>-1.312931E-2</v>
      </c>
      <c r="O278">
        <v>5.8847179999999997E-3</v>
      </c>
      <c r="P278">
        <v>0.99072400000000005</v>
      </c>
      <c r="Q278">
        <v>0.1353743</v>
      </c>
      <c r="R278">
        <v>-1.1833740000000001E-2</v>
      </c>
      <c r="S278">
        <v>3.0459589999999999</v>
      </c>
      <c r="T278">
        <v>-0.1240675</v>
      </c>
      <c r="U278">
        <v>0.14056399999999999</v>
      </c>
      <c r="V278">
        <v>1.7715419999999999E-2</v>
      </c>
      <c r="W278">
        <v>0.14836299999999999</v>
      </c>
      <c r="X278">
        <v>0.98877429999999999</v>
      </c>
      <c r="Y278">
        <v>-4.0177110000000002E-2</v>
      </c>
      <c r="Z278">
        <v>9.1926119999999995E-4</v>
      </c>
      <c r="AA278">
        <v>0.99919219999999997</v>
      </c>
      <c r="AB278">
        <v>20</v>
      </c>
      <c r="AC278">
        <v>28.5293999999999</v>
      </c>
      <c r="AD278">
        <v>-1.1705399999999999</v>
      </c>
      <c r="AE278">
        <v>1.3253999999999999</v>
      </c>
      <c r="AF278">
        <v>-1.15553406615968</v>
      </c>
      <c r="AG278">
        <v>-1.1705399999999999</v>
      </c>
      <c r="AH278">
        <v>28.488851363731602</v>
      </c>
      <c r="AI278">
        <v>92.350894747993294</v>
      </c>
      <c r="AJ278">
        <v>92.322696420511505</v>
      </c>
      <c r="AK278">
        <v>28.5362939936925</v>
      </c>
      <c r="AL278">
        <v>81.467928221845796</v>
      </c>
      <c r="AM278">
        <v>88.973567363836494</v>
      </c>
      <c r="AN278">
        <v>1.0000000161076299</v>
      </c>
    </row>
    <row r="279" spans="1:40" x14ac:dyDescent="0.25">
      <c r="A279" t="str">
        <f>"20190303162216463"</f>
        <v>20190303162216463</v>
      </c>
      <c r="B279" t="str">
        <f>"1551601336454175"</f>
        <v>1551601336454175</v>
      </c>
      <c r="C279" t="s">
        <v>40</v>
      </c>
      <c r="D279">
        <v>5.5682580000000002</v>
      </c>
      <c r="E279">
        <v>0.47736810000000002</v>
      </c>
      <c r="F279" t="s">
        <v>43</v>
      </c>
      <c r="G279">
        <v>-411.48599999999999</v>
      </c>
      <c r="H279">
        <v>-0.05</v>
      </c>
      <c r="I279">
        <v>368.94749999999999</v>
      </c>
      <c r="J279">
        <v>-440.73820000000001</v>
      </c>
      <c r="K279">
        <v>1.1202240000000001</v>
      </c>
      <c r="L279">
        <v>367.59010000000001</v>
      </c>
      <c r="M279">
        <v>0.99989980000000001</v>
      </c>
      <c r="N279">
        <v>-1.298268E-2</v>
      </c>
      <c r="O279">
        <v>5.6658139999999999E-3</v>
      </c>
      <c r="P279">
        <v>0.99068959999999995</v>
      </c>
      <c r="Q279">
        <v>0.13558700000000001</v>
      </c>
      <c r="R279">
        <v>-1.2273040000000001E-2</v>
      </c>
      <c r="S279">
        <v>3.0462950000000002</v>
      </c>
      <c r="T279">
        <v>-0.1211016</v>
      </c>
      <c r="U279">
        <v>0.140533399999999</v>
      </c>
      <c r="V279">
        <v>1.7938079999999999E-2</v>
      </c>
      <c r="W279">
        <v>0.14843000000000001</v>
      </c>
      <c r="X279">
        <v>0.98876019999999998</v>
      </c>
      <c r="Y279">
        <v>-4.0382340000000003E-2</v>
      </c>
      <c r="Z279">
        <v>9.1283870000000004E-4</v>
      </c>
      <c r="AA279">
        <v>0.99918390000000001</v>
      </c>
      <c r="AB279">
        <v>21</v>
      </c>
      <c r="AC279">
        <v>29.252199999999998</v>
      </c>
      <c r="AD279">
        <v>-1.1702239999999999</v>
      </c>
      <c r="AE279">
        <v>1.35739999999998</v>
      </c>
      <c r="AF279">
        <v>-1.1897268225767601</v>
      </c>
      <c r="AG279">
        <v>-1.1702239999999999</v>
      </c>
      <c r="AH279">
        <v>29.212770973726698</v>
      </c>
      <c r="AI279">
        <v>92.292066708809401</v>
      </c>
      <c r="AJ279">
        <v>92.332153827647403</v>
      </c>
      <c r="AK279">
        <v>29.260397503895</v>
      </c>
      <c r="AL279">
        <v>81.464046169383906</v>
      </c>
      <c r="AM279">
        <v>88.960654422732205</v>
      </c>
      <c r="AN279">
        <v>0.99999998635906295</v>
      </c>
    </row>
    <row r="280" spans="1:40" x14ac:dyDescent="0.25">
      <c r="A280" t="str">
        <f>"20190303162216484"</f>
        <v>20190303162216484</v>
      </c>
      <c r="B280" t="str">
        <f>"1551601336474671"</f>
        <v>1551601336474671</v>
      </c>
      <c r="C280" t="s">
        <v>40</v>
      </c>
      <c r="D280">
        <v>5.4483810000000004</v>
      </c>
      <c r="E280">
        <v>0.47726849999999998</v>
      </c>
      <c r="F280" t="s">
        <v>43</v>
      </c>
      <c r="G280">
        <v>-411.27289999999999</v>
      </c>
      <c r="H280">
        <v>-0.05</v>
      </c>
      <c r="I280">
        <v>368.94330000000002</v>
      </c>
      <c r="J280">
        <v>-440.5419</v>
      </c>
      <c r="K280">
        <v>1.119793</v>
      </c>
      <c r="L280">
        <v>367.59089999999998</v>
      </c>
      <c r="M280">
        <v>0.99989530000000004</v>
      </c>
      <c r="N280">
        <v>-1.341759E-2</v>
      </c>
      <c r="O280">
        <v>5.4463630000000001E-3</v>
      </c>
      <c r="P280">
        <v>0.99072559999999998</v>
      </c>
      <c r="Q280">
        <v>0.13521620000000001</v>
      </c>
      <c r="R280">
        <v>-1.340277E-2</v>
      </c>
      <c r="S280">
        <v>3.0465390000000001</v>
      </c>
      <c r="T280">
        <v>-0.120994699999999</v>
      </c>
      <c r="U280">
        <v>0.13992309999999999</v>
      </c>
      <c r="V280">
        <v>1.885096E-2</v>
      </c>
      <c r="W280">
        <v>0.14848939999999999</v>
      </c>
      <c r="X280">
        <v>0.98873429999999995</v>
      </c>
      <c r="Y280">
        <v>-4.0397710000000003E-2</v>
      </c>
      <c r="Z280">
        <v>9.2971350000000004E-4</v>
      </c>
      <c r="AA280">
        <v>0.99918320000000005</v>
      </c>
      <c r="AB280">
        <v>21</v>
      </c>
      <c r="AC280">
        <v>29.268999999999998</v>
      </c>
      <c r="AD280">
        <v>-1.1697930000000001</v>
      </c>
      <c r="AE280">
        <v>1.35240000000004</v>
      </c>
      <c r="AF280">
        <v>-1.19105752056086</v>
      </c>
      <c r="AG280">
        <v>-1.1697930000000001</v>
      </c>
      <c r="AH280">
        <v>29.229341886476899</v>
      </c>
      <c r="AI280">
        <v>92.289923766402794</v>
      </c>
      <c r="AJ280">
        <v>92.333437258799506</v>
      </c>
      <c r="AK280">
        <v>29.2769783412955</v>
      </c>
      <c r="AL280">
        <v>81.460604679540893</v>
      </c>
      <c r="AM280">
        <v>88.907745381590004</v>
      </c>
      <c r="AN280">
        <v>0.99999998830088499</v>
      </c>
    </row>
    <row r="281" spans="1:40" x14ac:dyDescent="0.25">
      <c r="A281" t="str">
        <f>"20190303162216507"</f>
        <v>20190303162216507</v>
      </c>
      <c r="B281" t="str">
        <f>"1551601336494191"</f>
        <v>1551601336494191</v>
      </c>
      <c r="C281" t="s">
        <v>40</v>
      </c>
      <c r="D281">
        <v>5.5096089999999904</v>
      </c>
      <c r="E281">
        <v>0.47713329999999998</v>
      </c>
      <c r="F281" t="s">
        <v>43</v>
      </c>
      <c r="G281">
        <v>-411.60700000000003</v>
      </c>
      <c r="H281">
        <v>-0.05</v>
      </c>
      <c r="I281">
        <v>368.89690000000002</v>
      </c>
      <c r="J281">
        <v>-440.33199999999999</v>
      </c>
      <c r="K281">
        <v>1.1190979999999999</v>
      </c>
      <c r="L281">
        <v>367.59179999999998</v>
      </c>
      <c r="M281">
        <v>0.99988359999999998</v>
      </c>
      <c r="N281">
        <v>-1.4344890000000001E-2</v>
      </c>
      <c r="O281">
        <v>5.2192640000000004E-3</v>
      </c>
      <c r="P281">
        <v>0.99084950000000005</v>
      </c>
      <c r="Q281">
        <v>0.13418749999999999</v>
      </c>
      <c r="R281">
        <v>-1.454357E-2</v>
      </c>
      <c r="S281">
        <v>3.0467529999999998</v>
      </c>
      <c r="T281">
        <v>-0.1231751</v>
      </c>
      <c r="U281">
        <v>0.1375122</v>
      </c>
      <c r="V281">
        <v>1.9768480000000001E-2</v>
      </c>
      <c r="W281">
        <v>0.14837899999999901</v>
      </c>
      <c r="X281">
        <v>0.98873299999999997</v>
      </c>
      <c r="Y281">
        <v>-3.9830770000000001E-2</v>
      </c>
      <c r="Z281">
        <v>9.5442219999999998E-4</v>
      </c>
      <c r="AA281">
        <v>0.99920600000000004</v>
      </c>
      <c r="AB281">
        <v>21</v>
      </c>
      <c r="AC281">
        <v>28.725000000000001</v>
      </c>
      <c r="AD281">
        <v>-1.169098</v>
      </c>
      <c r="AE281">
        <v>1.3051000000000299</v>
      </c>
      <c r="AF281">
        <v>-1.1532370920506001</v>
      </c>
      <c r="AG281">
        <v>-1.169098</v>
      </c>
      <c r="AH281">
        <v>28.68400491849</v>
      </c>
      <c r="AI281">
        <v>92.332078247648496</v>
      </c>
      <c r="AJ281">
        <v>92.302330185974697</v>
      </c>
      <c r="AK281">
        <v>28.730974297577301</v>
      </c>
      <c r="AL281">
        <v>81.4670013732851</v>
      </c>
      <c r="AM281">
        <v>88.854595141565696</v>
      </c>
      <c r="AN281">
        <v>1.0000000328657499</v>
      </c>
    </row>
    <row r="282" spans="1:40" x14ac:dyDescent="0.25">
      <c r="A282" t="str">
        <f>"20190303162216531"</f>
        <v>20190303162216531</v>
      </c>
      <c r="B282" t="str">
        <f>"1551601336524174"</f>
        <v>1551601336524174</v>
      </c>
      <c r="C282" t="s">
        <v>40</v>
      </c>
      <c r="D282">
        <v>5.4423760000000003</v>
      </c>
      <c r="E282">
        <v>0.47709550000000001</v>
      </c>
      <c r="F282" t="s">
        <v>43</v>
      </c>
      <c r="G282">
        <v>-412.29989999999998</v>
      </c>
      <c r="H282">
        <v>-0.05</v>
      </c>
      <c r="I282">
        <v>368.8331</v>
      </c>
      <c r="J282">
        <v>-440.11470000000003</v>
      </c>
      <c r="K282">
        <v>1.118117</v>
      </c>
      <c r="L282">
        <v>367.59269999999998</v>
      </c>
      <c r="M282">
        <v>0.9998631</v>
      </c>
      <c r="N282">
        <v>-1.577361E-2</v>
      </c>
      <c r="O282">
        <v>5.002116E-3</v>
      </c>
      <c r="P282">
        <v>0.99106660000000002</v>
      </c>
      <c r="Q282">
        <v>0.13251660000000001</v>
      </c>
      <c r="R282">
        <v>-1.506154E-2</v>
      </c>
      <c r="S282">
        <v>3.046875</v>
      </c>
      <c r="T282">
        <v>-0.12707199999999999</v>
      </c>
      <c r="U282">
        <v>0.13491819999999999</v>
      </c>
      <c r="V282">
        <v>2.0074080000000001E-2</v>
      </c>
      <c r="W282">
        <v>0.1481239</v>
      </c>
      <c r="X282">
        <v>0.98876509999999995</v>
      </c>
      <c r="Y282">
        <v>-3.9193890000000002E-2</v>
      </c>
      <c r="Z282">
        <v>9.9645070000000009E-4</v>
      </c>
      <c r="AA282">
        <v>0.99923110000000004</v>
      </c>
      <c r="AB282">
        <v>21</v>
      </c>
      <c r="AC282">
        <v>27.814800000000002</v>
      </c>
      <c r="AD282">
        <v>-1.1681170000000001</v>
      </c>
      <c r="AE282">
        <v>1.2404000000000199</v>
      </c>
      <c r="AF282">
        <v>-1.09929934450903</v>
      </c>
      <c r="AG282">
        <v>-1.1681170000000001</v>
      </c>
      <c r="AH282">
        <v>27.7717739066895</v>
      </c>
      <c r="AI282">
        <v>92.406633025671496</v>
      </c>
      <c r="AJ282">
        <v>92.266774461146994</v>
      </c>
      <c r="AK282">
        <v>27.818058564515301</v>
      </c>
      <c r="AL282">
        <v>81.481780911088606</v>
      </c>
      <c r="AM282">
        <v>88.836930958593598</v>
      </c>
      <c r="AN282">
        <v>1.0000000407085301</v>
      </c>
    </row>
    <row r="283" spans="1:40" x14ac:dyDescent="0.25">
      <c r="A283" t="str">
        <f>"20190303162216551"</f>
        <v>20190303162216551</v>
      </c>
      <c r="B283" t="str">
        <f>"1551601336544670"</f>
        <v>1551601336544670</v>
      </c>
      <c r="C283" t="s">
        <v>40</v>
      </c>
      <c r="D283">
        <v>5.4385479999999999</v>
      </c>
      <c r="E283">
        <v>0.47734330000000003</v>
      </c>
      <c r="F283" t="s">
        <v>43</v>
      </c>
      <c r="G283">
        <v>-413.20769999999999</v>
      </c>
      <c r="H283">
        <v>-0.05</v>
      </c>
      <c r="I283">
        <v>368.774</v>
      </c>
      <c r="J283">
        <v>-439.9228</v>
      </c>
      <c r="K283">
        <v>1.1170639999999901</v>
      </c>
      <c r="L283">
        <v>367.59339999999997</v>
      </c>
      <c r="M283">
        <v>0.99983610000000001</v>
      </c>
      <c r="N283">
        <v>-1.7458749999999999E-2</v>
      </c>
      <c r="O283">
        <v>4.8175320000000002E-3</v>
      </c>
      <c r="P283">
        <v>0.99123159999999999</v>
      </c>
      <c r="Q283">
        <v>0.13123080000000001</v>
      </c>
      <c r="R283">
        <v>-1.5456910000000001E-2</v>
      </c>
      <c r="S283">
        <v>3.0467529999999998</v>
      </c>
      <c r="T283">
        <v>-0.1322691</v>
      </c>
      <c r="U283">
        <v>0.1337585</v>
      </c>
      <c r="V283">
        <v>2.028839E-2</v>
      </c>
      <c r="W283">
        <v>0.14850729999999901</v>
      </c>
      <c r="X283">
        <v>0.9887032</v>
      </c>
      <c r="Y283">
        <v>-3.8995799999999997E-2</v>
      </c>
      <c r="Z283">
        <v>1.0615970000000001E-3</v>
      </c>
      <c r="AA283">
        <v>0.99923879999999998</v>
      </c>
      <c r="AB283">
        <v>21</v>
      </c>
      <c r="AC283">
        <v>26.7151</v>
      </c>
      <c r="AD283">
        <v>-1.1670640000000001</v>
      </c>
      <c r="AE283">
        <v>1.1806000000000201</v>
      </c>
      <c r="AF283">
        <v>-1.0498661547638299</v>
      </c>
      <c r="AG283">
        <v>-1.1670640000000001</v>
      </c>
      <c r="AH283">
        <v>26.6696803843735</v>
      </c>
      <c r="AI283">
        <v>92.503725406533206</v>
      </c>
      <c r="AJ283">
        <v>92.254314856091398</v>
      </c>
      <c r="AK283">
        <v>26.715840041586802</v>
      </c>
      <c r="AL283">
        <v>81.459567922078193</v>
      </c>
      <c r="AM283">
        <v>88.824443976850105</v>
      </c>
      <c r="AN283">
        <v>1.00000002730616</v>
      </c>
    </row>
    <row r="284" spans="1:40" x14ac:dyDescent="0.25">
      <c r="A284" t="str">
        <f>"20190303162216574"</f>
        <v>20190303162216574</v>
      </c>
      <c r="B284" t="str">
        <f>"1551601336564191"</f>
        <v>1551601336564191</v>
      </c>
      <c r="C284" t="s">
        <v>40</v>
      </c>
      <c r="D284">
        <v>5.4382359999999998</v>
      </c>
      <c r="E284">
        <v>0.47754829999999998</v>
      </c>
      <c r="F284" t="s">
        <v>43</v>
      </c>
      <c r="G284">
        <v>-413.74430000000001</v>
      </c>
      <c r="H284">
        <v>-0.05</v>
      </c>
      <c r="I284">
        <v>368.71350000000001</v>
      </c>
      <c r="J284">
        <v>-439.71820000000002</v>
      </c>
      <c r="K284">
        <v>1.115766</v>
      </c>
      <c r="L284">
        <v>367.5942</v>
      </c>
      <c r="M284">
        <v>0.99979850000000003</v>
      </c>
      <c r="N284">
        <v>-1.953972E-2</v>
      </c>
      <c r="O284">
        <v>4.616518E-3</v>
      </c>
      <c r="P284">
        <v>0.99148440000000004</v>
      </c>
      <c r="Q284">
        <v>0.12928149999999999</v>
      </c>
      <c r="R284">
        <v>-1.5662619999999999E-2</v>
      </c>
      <c r="S284">
        <v>3.046478</v>
      </c>
      <c r="T284">
        <v>-0.13581509999999999</v>
      </c>
      <c r="U284">
        <v>0.1303406</v>
      </c>
      <c r="V284">
        <v>2.0295919999999999E-2</v>
      </c>
      <c r="W284">
        <v>0.14862139999999999</v>
      </c>
      <c r="X284">
        <v>0.98868579999999995</v>
      </c>
      <c r="Y284">
        <v>-3.8078380000000002E-2</v>
      </c>
      <c r="Z284">
        <v>1.1050120000000001E-3</v>
      </c>
      <c r="AA284">
        <v>0.99927410000000005</v>
      </c>
      <c r="AB284">
        <v>20</v>
      </c>
      <c r="AC284">
        <v>25.9739</v>
      </c>
      <c r="AD284">
        <v>-1.1657660000000001</v>
      </c>
      <c r="AE284">
        <v>1.1193</v>
      </c>
      <c r="AF284">
        <v>-0.997350850917058</v>
      </c>
      <c r="AG284">
        <v>-1.1657660000000001</v>
      </c>
      <c r="AH284">
        <v>25.926661179655301</v>
      </c>
      <c r="AI284">
        <v>92.572612268223907</v>
      </c>
      <c r="AJ284">
        <v>92.202976767684405</v>
      </c>
      <c r="AK284">
        <v>25.972013380006299</v>
      </c>
      <c r="AL284">
        <v>81.452956256946607</v>
      </c>
      <c r="AM284">
        <v>88.823987103202199</v>
      </c>
      <c r="AN284">
        <v>0.99999992801411997</v>
      </c>
    </row>
    <row r="285" spans="1:40" x14ac:dyDescent="0.25">
      <c r="A285" t="str">
        <f>"20190303162216589"</f>
        <v>20190303162216589</v>
      </c>
      <c r="B285" t="str">
        <f>"1551601336584687"</f>
        <v>1551601336584687</v>
      </c>
      <c r="C285" t="s">
        <v>40</v>
      </c>
      <c r="D285">
        <v>5.2191460000000003</v>
      </c>
      <c r="E285">
        <v>0.47779189999999999</v>
      </c>
      <c r="F285" t="s">
        <v>43</v>
      </c>
      <c r="G285">
        <v>-414.53890000000001</v>
      </c>
      <c r="H285">
        <v>-0.05</v>
      </c>
      <c r="I285">
        <v>368.65260000000001</v>
      </c>
      <c r="J285">
        <v>-439.58640000000003</v>
      </c>
      <c r="K285">
        <v>1.114849</v>
      </c>
      <c r="L285">
        <v>367.59469999999999</v>
      </c>
      <c r="M285">
        <v>0.99977159999999998</v>
      </c>
      <c r="N285">
        <v>-2.0897450000000001E-2</v>
      </c>
      <c r="O285">
        <v>4.480375E-3</v>
      </c>
      <c r="P285">
        <v>0.99171580000000004</v>
      </c>
      <c r="Q285">
        <v>0.1274564</v>
      </c>
      <c r="R285">
        <v>-1.5958320000000002E-2</v>
      </c>
      <c r="S285">
        <v>3.046173</v>
      </c>
      <c r="T285">
        <v>-0.14103350000000001</v>
      </c>
      <c r="U285">
        <v>0.12805179999999999</v>
      </c>
      <c r="V285">
        <v>2.04575E-2</v>
      </c>
      <c r="W285">
        <v>0.1481432</v>
      </c>
      <c r="X285">
        <v>0.98875429999999997</v>
      </c>
      <c r="Y285">
        <v>-3.746526E-2</v>
      </c>
      <c r="Z285">
        <v>1.144777E-3</v>
      </c>
      <c r="AA285">
        <v>0.99929730000000005</v>
      </c>
      <c r="AB285">
        <v>20</v>
      </c>
      <c r="AC285">
        <v>25.047499999999999</v>
      </c>
      <c r="AD285">
        <v>-1.164849</v>
      </c>
      <c r="AE285">
        <v>1.0579000000000101</v>
      </c>
      <c r="AF285">
        <v>-0.94360550580400704</v>
      </c>
      <c r="AG285">
        <v>-1.164849</v>
      </c>
      <c r="AH285">
        <v>24.998020598338702</v>
      </c>
      <c r="AI285">
        <v>92.666022851340202</v>
      </c>
      <c r="AJ285">
        <v>92.161729433951294</v>
      </c>
      <c r="AK285">
        <v>25.042929109398401</v>
      </c>
      <c r="AL285">
        <v>81.480662343229199</v>
      </c>
      <c r="AM285">
        <v>88.814709381175902</v>
      </c>
      <c r="AN285">
        <v>0.99999999139048901</v>
      </c>
    </row>
    <row r="286" spans="1:40" x14ac:dyDescent="0.25">
      <c r="A286" t="str">
        <f>"20190303162216609"</f>
        <v>20190303162216609</v>
      </c>
      <c r="B286" t="str">
        <f>"1551601336604206"</f>
        <v>1551601336604206</v>
      </c>
      <c r="C286" t="s">
        <v>40</v>
      </c>
      <c r="D286">
        <v>5.4381879999999896</v>
      </c>
      <c r="E286">
        <v>0.47797970000000001</v>
      </c>
      <c r="F286" t="s">
        <v>43</v>
      </c>
      <c r="G286">
        <v>-415.23869999999999</v>
      </c>
      <c r="H286">
        <v>-0.05</v>
      </c>
      <c r="I286">
        <v>368.59559999999999</v>
      </c>
      <c r="J286">
        <v>-439.41059999999999</v>
      </c>
      <c r="K286">
        <v>1.1135200000000001</v>
      </c>
      <c r="L286">
        <v>367.59519999999998</v>
      </c>
      <c r="M286">
        <v>0.9997357</v>
      </c>
      <c r="N286">
        <v>-2.2592029999999999E-2</v>
      </c>
      <c r="O286">
        <v>4.2908410000000001E-3</v>
      </c>
      <c r="P286">
        <v>0.99197829999999998</v>
      </c>
      <c r="Q286">
        <v>0.12534589999999901</v>
      </c>
      <c r="R286">
        <v>-1.635648E-2</v>
      </c>
      <c r="S286">
        <v>3.045776</v>
      </c>
      <c r="T286">
        <v>-0.14571689999999901</v>
      </c>
      <c r="U286">
        <v>0.12521360000000001</v>
      </c>
      <c r="V286">
        <v>2.066902E-2</v>
      </c>
      <c r="W286">
        <v>0.14771500000000001</v>
      </c>
      <c r="X286">
        <v>0.98881399999999997</v>
      </c>
      <c r="Y286">
        <v>-3.6726769999999999E-2</v>
      </c>
      <c r="Z286">
        <v>1.184926E-3</v>
      </c>
      <c r="AA286">
        <v>0.99932460000000001</v>
      </c>
      <c r="AB286">
        <v>20</v>
      </c>
      <c r="AC286">
        <v>24.171899999999901</v>
      </c>
      <c r="AD286">
        <v>-1.1635200000000001</v>
      </c>
      <c r="AE286">
        <v>1.0004000000000099</v>
      </c>
      <c r="AF286">
        <v>-0.89457735012573902</v>
      </c>
      <c r="AG286">
        <v>-1.1635200000000001</v>
      </c>
      <c r="AH286">
        <v>24.120180113202402</v>
      </c>
      <c r="AI286">
        <v>92.759824013122994</v>
      </c>
      <c r="AJ286">
        <v>92.124031592377705</v>
      </c>
      <c r="AK286">
        <v>24.164791249234501</v>
      </c>
      <c r="AL286">
        <v>81.505469637793396</v>
      </c>
      <c r="AM286">
        <v>88.802529919051594</v>
      </c>
      <c r="AN286">
        <v>1.0000000281043699</v>
      </c>
    </row>
    <row r="287" spans="1:40" x14ac:dyDescent="0.25">
      <c r="A287" t="str">
        <f>"20190303162216632"</f>
        <v>20190303162216632</v>
      </c>
      <c r="B287" t="str">
        <f>"1551601336624702"</f>
        <v>1551601336624702</v>
      </c>
      <c r="C287" t="s">
        <v>40</v>
      </c>
      <c r="D287">
        <v>5.3787289999999999</v>
      </c>
      <c r="E287">
        <v>0.47813870000000003</v>
      </c>
      <c r="F287" t="s">
        <v>43</v>
      </c>
      <c r="G287">
        <v>-416.01889999999997</v>
      </c>
      <c r="H287">
        <v>-0.05</v>
      </c>
      <c r="I287">
        <v>368.53750000000002</v>
      </c>
      <c r="J287">
        <v>-439.19889999999998</v>
      </c>
      <c r="K287">
        <v>1.1118399999999999</v>
      </c>
      <c r="L287">
        <v>367.5958</v>
      </c>
      <c r="M287">
        <v>0.99969569999999996</v>
      </c>
      <c r="N287">
        <v>-2.4338240000000001E-2</v>
      </c>
      <c r="O287">
        <v>4.0581879999999999E-3</v>
      </c>
      <c r="P287">
        <v>0.99226740000000002</v>
      </c>
      <c r="Q287">
        <v>0.122958399999999</v>
      </c>
      <c r="R287">
        <v>-1.693337E-2</v>
      </c>
      <c r="S287">
        <v>3.04541</v>
      </c>
      <c r="T287">
        <v>-0.1514807</v>
      </c>
      <c r="U287">
        <v>0.1226807</v>
      </c>
      <c r="V287">
        <v>2.1017669999999999E-2</v>
      </c>
      <c r="W287">
        <v>0.14706229999999901</v>
      </c>
      <c r="X287">
        <v>0.98890389999999995</v>
      </c>
      <c r="Y287">
        <v>-3.612953E-2</v>
      </c>
      <c r="Z287">
        <v>1.235016E-3</v>
      </c>
      <c r="AA287">
        <v>0.99934639999999997</v>
      </c>
      <c r="AB287">
        <v>20</v>
      </c>
      <c r="AC287">
        <v>23.18</v>
      </c>
      <c r="AD287">
        <v>-1.16184</v>
      </c>
      <c r="AE287">
        <v>0.94170000000002496</v>
      </c>
      <c r="AF287">
        <v>-0.84547502548976905</v>
      </c>
      <c r="AG287">
        <v>-1.16184</v>
      </c>
      <c r="AH287">
        <v>23.1256297123801</v>
      </c>
      <c r="AI287">
        <v>92.874225387921598</v>
      </c>
      <c r="AJ287">
        <v>92.093806106113504</v>
      </c>
      <c r="AK287">
        <v>23.170227659616199</v>
      </c>
      <c r="AL287">
        <v>81.543279228404501</v>
      </c>
      <c r="AM287">
        <v>88.782447399765701</v>
      </c>
      <c r="AN287">
        <v>0.99999999298436404</v>
      </c>
    </row>
    <row r="288" spans="1:40" x14ac:dyDescent="0.25">
      <c r="A288" t="str">
        <f>"20190303162216653"</f>
        <v>20190303162216653</v>
      </c>
      <c r="B288" t="str">
        <f>"1551601336644222"</f>
        <v>1551601336644222</v>
      </c>
      <c r="C288" t="s">
        <v>40</v>
      </c>
      <c r="D288">
        <v>5.4384350000000001</v>
      </c>
      <c r="E288">
        <v>0.47828929999999997</v>
      </c>
      <c r="F288" t="s">
        <v>43</v>
      </c>
      <c r="G288">
        <v>-416.80380000000002</v>
      </c>
      <c r="H288">
        <v>-0.05</v>
      </c>
      <c r="I288">
        <v>368.47539999999998</v>
      </c>
      <c r="J288">
        <v>-439.01190000000003</v>
      </c>
      <c r="K288">
        <v>1.11036</v>
      </c>
      <c r="L288">
        <v>367.59629999999999</v>
      </c>
      <c r="M288">
        <v>0.99966339999999998</v>
      </c>
      <c r="N288">
        <v>-2.5658509999999999E-2</v>
      </c>
      <c r="O288">
        <v>3.8601970000000001E-3</v>
      </c>
      <c r="P288">
        <v>0.99243159999999997</v>
      </c>
      <c r="Q288">
        <v>0.1215919</v>
      </c>
      <c r="R288">
        <v>-1.7177169999999999E-2</v>
      </c>
      <c r="S288">
        <v>3.0449519999999999</v>
      </c>
      <c r="T288">
        <v>-0.15797020000000001</v>
      </c>
      <c r="U288">
        <v>0.11959839999999999</v>
      </c>
      <c r="V288">
        <v>2.1067869999999999E-2</v>
      </c>
      <c r="W288">
        <v>0.1470062</v>
      </c>
      <c r="X288">
        <v>0.98891119999999999</v>
      </c>
      <c r="Y288">
        <v>-3.5318910000000002E-2</v>
      </c>
      <c r="Z288">
        <v>1.267958E-3</v>
      </c>
      <c r="AA288">
        <v>0.99937529999999997</v>
      </c>
      <c r="AB288">
        <v>20</v>
      </c>
      <c r="AC288">
        <v>22.208100000000002</v>
      </c>
      <c r="AD288">
        <v>-1.1603600000000001</v>
      </c>
      <c r="AE288">
        <v>0.879099999999994</v>
      </c>
      <c r="AF288">
        <v>-0.79118103334838996</v>
      </c>
      <c r="AG288">
        <v>-1.1603600000000001</v>
      </c>
      <c r="AH288">
        <v>22.150951548625301</v>
      </c>
      <c r="AI288">
        <v>92.996745565549006</v>
      </c>
      <c r="AJ288">
        <v>92.045603841140803</v>
      </c>
      <c r="AK288">
        <v>22.195428747079401</v>
      </c>
      <c r="AL288">
        <v>81.546529068178799</v>
      </c>
      <c r="AM288">
        <v>88.779549201280005</v>
      </c>
      <c r="AN288">
        <v>1.0000000197351</v>
      </c>
    </row>
    <row r="289" spans="1:40" x14ac:dyDescent="0.25">
      <c r="A289" t="str">
        <f>"20190303162216675"</f>
        <v>20190303162216675</v>
      </c>
      <c r="B289" t="str">
        <f>"1551601336664718"</f>
        <v>1551601336664718</v>
      </c>
      <c r="C289" t="s">
        <v>40</v>
      </c>
      <c r="D289">
        <v>5.3788400000000003</v>
      </c>
      <c r="E289">
        <v>0.47827920000000002</v>
      </c>
      <c r="F289" t="s">
        <v>43</v>
      </c>
      <c r="G289">
        <v>-417.1259</v>
      </c>
      <c r="H289">
        <v>-0.05</v>
      </c>
      <c r="I289">
        <v>368.44240000000002</v>
      </c>
      <c r="J289">
        <v>-438.81619999999998</v>
      </c>
      <c r="K289">
        <v>1.108876</v>
      </c>
      <c r="L289">
        <v>367.59679999999997</v>
      </c>
      <c r="M289">
        <v>0.99963190000000002</v>
      </c>
      <c r="N289">
        <v>-2.6885679999999999E-2</v>
      </c>
      <c r="O289">
        <v>3.6563730000000001E-3</v>
      </c>
      <c r="P289">
        <v>0.99262399999999995</v>
      </c>
      <c r="Q289">
        <v>0.1199409</v>
      </c>
      <c r="R289">
        <v>-1.7665279999999998E-2</v>
      </c>
      <c r="S289">
        <v>3.0446780000000002</v>
      </c>
      <c r="T289">
        <v>-0.1614245</v>
      </c>
      <c r="U289">
        <v>0.1177063</v>
      </c>
      <c r="V289">
        <v>2.1354350000000001E-2</v>
      </c>
      <c r="W289">
        <v>0.1465746</v>
      </c>
      <c r="X289">
        <v>0.98896910000000005</v>
      </c>
      <c r="Y289">
        <v>-3.4903000000000003E-2</v>
      </c>
      <c r="Z289">
        <v>1.2988209999999999E-3</v>
      </c>
      <c r="AA289">
        <v>0.99938990000000005</v>
      </c>
      <c r="AB289">
        <v>20</v>
      </c>
      <c r="AC289">
        <v>21.690299999999901</v>
      </c>
      <c r="AD289">
        <v>-1.158876</v>
      </c>
      <c r="AE289">
        <v>0.84560000000004698</v>
      </c>
      <c r="AF289">
        <v>-0.76408002230214001</v>
      </c>
      <c r="AG289">
        <v>-1.158876</v>
      </c>
      <c r="AH289">
        <v>21.631592362252199</v>
      </c>
      <c r="AI289">
        <v>93.064685362017102</v>
      </c>
      <c r="AJ289">
        <v>92.022984081183907</v>
      </c>
      <c r="AK289">
        <v>21.676083594379001</v>
      </c>
      <c r="AL289">
        <v>81.571528574785006</v>
      </c>
      <c r="AM289">
        <v>88.763031086611804</v>
      </c>
      <c r="AN289">
        <v>1.0000000011919401</v>
      </c>
    </row>
    <row r="290" spans="1:40" x14ac:dyDescent="0.25">
      <c r="A290" t="str">
        <f>"20190303162216698"</f>
        <v>20190303162216698</v>
      </c>
      <c r="B290" t="str">
        <f>"1551601336693998"</f>
        <v>1551601336693998</v>
      </c>
      <c r="C290" t="s">
        <v>40</v>
      </c>
      <c r="D290">
        <v>5.3782909999999999</v>
      </c>
      <c r="E290">
        <v>0.47844599999999998</v>
      </c>
      <c r="F290" t="s">
        <v>43</v>
      </c>
      <c r="G290">
        <v>-417.58449999999999</v>
      </c>
      <c r="H290">
        <v>-0.05</v>
      </c>
      <c r="I290">
        <v>368.41250000000002</v>
      </c>
      <c r="J290">
        <v>-438.60860000000002</v>
      </c>
      <c r="K290">
        <v>1.1073599999999999</v>
      </c>
      <c r="L290">
        <v>367.59730000000002</v>
      </c>
      <c r="M290">
        <v>0.99960669999999996</v>
      </c>
      <c r="N290">
        <v>-2.7837589999999999E-2</v>
      </c>
      <c r="O290">
        <v>3.4264130000000001E-3</v>
      </c>
      <c r="P290">
        <v>0.99272720000000003</v>
      </c>
      <c r="Q290">
        <v>0.1189601</v>
      </c>
      <c r="R290">
        <v>-1.8486349999999999E-2</v>
      </c>
      <c r="S290">
        <v>3.044495</v>
      </c>
      <c r="T290">
        <v>-0.16617609999999999</v>
      </c>
      <c r="U290">
        <v>0.11697390000000001</v>
      </c>
      <c r="V290">
        <v>2.194395E-2</v>
      </c>
      <c r="W290">
        <v>0.14653869999999999</v>
      </c>
      <c r="X290">
        <v>0.98896150000000005</v>
      </c>
      <c r="Y290">
        <v>-3.489051E-2</v>
      </c>
      <c r="Z290">
        <v>1.3461219999999999E-3</v>
      </c>
      <c r="AA290">
        <v>0.99939020000000001</v>
      </c>
      <c r="AB290">
        <v>20</v>
      </c>
      <c r="AC290">
        <v>21.024100000000001</v>
      </c>
      <c r="AD290">
        <v>-1.1573599999999999</v>
      </c>
      <c r="AE290">
        <v>0.81520000000000403</v>
      </c>
      <c r="AF290">
        <v>-0.74088821308476904</v>
      </c>
      <c r="AG290">
        <v>-1.1573599999999999</v>
      </c>
      <c r="AH290">
        <v>20.963338535989902</v>
      </c>
      <c r="AI290">
        <v>93.158053463978504</v>
      </c>
      <c r="AJ290">
        <v>92.024110172703502</v>
      </c>
      <c r="AK290">
        <v>21.008330730650801</v>
      </c>
      <c r="AL290">
        <v>81.573607833857494</v>
      </c>
      <c r="AM290">
        <v>88.728879294016195</v>
      </c>
      <c r="AN290">
        <v>0.99999998801077095</v>
      </c>
    </row>
    <row r="291" spans="1:40" x14ac:dyDescent="0.25">
      <c r="A291" t="str">
        <f>"20190303162216719"</f>
        <v>20190303162216719</v>
      </c>
      <c r="B291" t="str">
        <f>"1551601336713955"</f>
        <v>1551601336713955</v>
      </c>
      <c r="C291" t="s">
        <v>40</v>
      </c>
      <c r="D291">
        <v>5.3816189999999997</v>
      </c>
      <c r="E291">
        <v>0.47853820000000002</v>
      </c>
      <c r="F291" t="s">
        <v>43</v>
      </c>
      <c r="G291">
        <v>-417.58159999999998</v>
      </c>
      <c r="H291">
        <v>-0.05</v>
      </c>
      <c r="I291">
        <v>368.37700000000001</v>
      </c>
      <c r="J291">
        <v>-438.41239999999999</v>
      </c>
      <c r="K291">
        <v>1.1059209999999999</v>
      </c>
      <c r="L291">
        <v>367.59769999999997</v>
      </c>
      <c r="M291">
        <v>0.9995927</v>
      </c>
      <c r="N291">
        <v>-2.836141E-2</v>
      </c>
      <c r="O291">
        <v>3.2013480000000001E-3</v>
      </c>
      <c r="P291">
        <v>0.992815</v>
      </c>
      <c r="Q291">
        <v>0.1181353</v>
      </c>
      <c r="R291">
        <v>-1.9044519999999999E-2</v>
      </c>
      <c r="S291">
        <v>3.0441280000000002</v>
      </c>
      <c r="T291">
        <v>-0.16755429999999999</v>
      </c>
      <c r="U291">
        <v>0.1128845</v>
      </c>
      <c r="V291">
        <v>2.2274160000000001E-2</v>
      </c>
      <c r="W291">
        <v>0.1462359</v>
      </c>
      <c r="X291">
        <v>0.98899890000000001</v>
      </c>
      <c r="Y291">
        <v>-3.3780289999999998E-2</v>
      </c>
      <c r="Z291">
        <v>1.323219E-3</v>
      </c>
      <c r="AA291">
        <v>0.99942839999999999</v>
      </c>
      <c r="AB291">
        <v>20</v>
      </c>
      <c r="AC291">
        <v>20.8308</v>
      </c>
      <c r="AD291">
        <v>-1.155921</v>
      </c>
      <c r="AE291">
        <v>0.77929999999997701</v>
      </c>
      <c r="AF291">
        <v>-0.710398099745153</v>
      </c>
      <c r="AG291">
        <v>-1.155921</v>
      </c>
      <c r="AH291">
        <v>20.769324505061501</v>
      </c>
      <c r="AI291">
        <v>93.183664027478798</v>
      </c>
      <c r="AJ291">
        <v>91.958992498923493</v>
      </c>
      <c r="AK291">
        <v>20.813593135614799</v>
      </c>
      <c r="AL291">
        <v>81.591145609526095</v>
      </c>
      <c r="AM291">
        <v>88.709806811143594</v>
      </c>
      <c r="AN291">
        <v>0.99999995042686096</v>
      </c>
    </row>
    <row r="292" spans="1:40" x14ac:dyDescent="0.25">
      <c r="A292" t="str">
        <f>"20190303162216742"</f>
        <v>20190303162216742</v>
      </c>
      <c r="B292" t="str">
        <f>"1551601336734451"</f>
        <v>1551601336734451</v>
      </c>
      <c r="C292" t="s">
        <v>40</v>
      </c>
      <c r="D292">
        <v>5.3824480000000001</v>
      </c>
      <c r="E292">
        <v>0.47858610000000001</v>
      </c>
      <c r="F292" t="s">
        <v>43</v>
      </c>
      <c r="G292">
        <v>-417.62079999999997</v>
      </c>
      <c r="H292">
        <v>-0.05</v>
      </c>
      <c r="I292">
        <v>368.35309999999998</v>
      </c>
      <c r="J292">
        <v>-438.21019999999999</v>
      </c>
      <c r="K292">
        <v>1.1044099999999999</v>
      </c>
      <c r="L292">
        <v>367.59809999999999</v>
      </c>
      <c r="M292">
        <v>0.99958210000000003</v>
      </c>
      <c r="N292">
        <v>-2.8751599999999902E-2</v>
      </c>
      <c r="O292">
        <v>2.980594E-3</v>
      </c>
      <c r="P292">
        <v>0.99290590000000001</v>
      </c>
      <c r="Q292">
        <v>0.117314</v>
      </c>
      <c r="R292">
        <v>-1.9376730000000002E-2</v>
      </c>
      <c r="S292">
        <v>3.0439759999999998</v>
      </c>
      <c r="T292">
        <v>-0.1692311</v>
      </c>
      <c r="U292">
        <v>0.11059570000000001</v>
      </c>
      <c r="V292">
        <v>2.2383900000000002E-2</v>
      </c>
      <c r="W292">
        <v>0.1458043</v>
      </c>
      <c r="X292">
        <v>0.98906019999999994</v>
      </c>
      <c r="Y292">
        <v>-3.3251849999999999E-2</v>
      </c>
      <c r="Z292">
        <v>1.322279E-3</v>
      </c>
      <c r="AA292">
        <v>0.99944619999999995</v>
      </c>
      <c r="AB292">
        <v>20</v>
      </c>
      <c r="AC292">
        <v>20.589400000000001</v>
      </c>
      <c r="AD292">
        <v>-1.1544099999999999</v>
      </c>
      <c r="AE292">
        <v>0.75499999999999501</v>
      </c>
      <c r="AF292">
        <v>-0.69143192357882599</v>
      </c>
      <c r="AG292">
        <v>-1.1544099999999999</v>
      </c>
      <c r="AH292">
        <v>20.527116538391599</v>
      </c>
      <c r="AI292">
        <v>93.217005610803795</v>
      </c>
      <c r="AJ292">
        <v>91.929211944216505</v>
      </c>
      <c r="AK292">
        <v>20.5711753172674</v>
      </c>
      <c r="AL292">
        <v>81.616142864080203</v>
      </c>
      <c r="AM292">
        <v>88.703532801029297</v>
      </c>
      <c r="AN292">
        <v>1.00000000605087</v>
      </c>
    </row>
    <row r="293" spans="1:40" x14ac:dyDescent="0.25">
      <c r="A293" t="str">
        <f>"20190303162216764"</f>
        <v>20190303162216764</v>
      </c>
      <c r="B293" t="str">
        <f>"1551601336753971"</f>
        <v>1551601336753971</v>
      </c>
      <c r="C293" t="s">
        <v>40</v>
      </c>
      <c r="D293">
        <v>5.4390109999999998</v>
      </c>
      <c r="E293">
        <v>0.4785256</v>
      </c>
      <c r="F293" t="s">
        <v>43</v>
      </c>
      <c r="G293">
        <v>-417.60500000000002</v>
      </c>
      <c r="H293">
        <v>-0.05</v>
      </c>
      <c r="I293">
        <v>368.33699999999999</v>
      </c>
      <c r="J293">
        <v>-438.01929999999999</v>
      </c>
      <c r="K293">
        <v>1.1028880000000001</v>
      </c>
      <c r="L293">
        <v>367.59840000000003</v>
      </c>
      <c r="M293">
        <v>0.99957410000000002</v>
      </c>
      <c r="N293">
        <v>-2.9045749999999999E-2</v>
      </c>
      <c r="O293">
        <v>2.7997159999999998E-3</v>
      </c>
      <c r="P293">
        <v>0.9930139</v>
      </c>
      <c r="Q293">
        <v>0.1162171</v>
      </c>
      <c r="R293">
        <v>-2.0419159999999999E-2</v>
      </c>
      <c r="S293">
        <v>3.0437319999999999</v>
      </c>
      <c r="T293">
        <v>-0.17052590000000001</v>
      </c>
      <c r="U293">
        <v>0.10916140000000001</v>
      </c>
      <c r="V293">
        <v>2.3247440000000001E-2</v>
      </c>
      <c r="W293">
        <v>0.14500179999999999</v>
      </c>
      <c r="X293">
        <v>0.98915830000000005</v>
      </c>
      <c r="Y293">
        <v>-3.296458E-2</v>
      </c>
      <c r="Z293">
        <v>1.326572E-3</v>
      </c>
      <c r="AA293">
        <v>0.9994556</v>
      </c>
      <c r="AB293">
        <v>20</v>
      </c>
      <c r="AC293">
        <v>20.414299999999901</v>
      </c>
      <c r="AD293">
        <v>-1.1528879999999999</v>
      </c>
      <c r="AE293">
        <v>0.73859999999996195</v>
      </c>
      <c r="AF293">
        <v>-0.67925516679536302</v>
      </c>
      <c r="AG293">
        <v>-1.1528879999999999</v>
      </c>
      <c r="AH293">
        <v>20.351465119406399</v>
      </c>
      <c r="AI293">
        <v>93.240476719263796</v>
      </c>
      <c r="AJ293">
        <v>91.911607460591497</v>
      </c>
      <c r="AK293">
        <v>20.395408081932999</v>
      </c>
      <c r="AL293">
        <v>81.662617030220702</v>
      </c>
      <c r="AM293">
        <v>88.653668441604907</v>
      </c>
      <c r="AN293">
        <v>1.0000000539643401</v>
      </c>
    </row>
    <row r="294" spans="1:40" x14ac:dyDescent="0.25">
      <c r="A294" t="str">
        <f>"20190303162216786"</f>
        <v>20190303162216786</v>
      </c>
      <c r="B294" t="str">
        <f>"1551601336774467"</f>
        <v>1551601336774467</v>
      </c>
      <c r="C294" t="s">
        <v>40</v>
      </c>
      <c r="D294">
        <v>5.4391669999999896</v>
      </c>
      <c r="E294">
        <v>0.47841990000000001</v>
      </c>
      <c r="F294" t="s">
        <v>43</v>
      </c>
      <c r="G294">
        <v>-417.7407</v>
      </c>
      <c r="H294">
        <v>-0.05</v>
      </c>
      <c r="I294">
        <v>368.30810000000002</v>
      </c>
      <c r="J294">
        <v>-437.82209999999998</v>
      </c>
      <c r="K294">
        <v>1.101153</v>
      </c>
      <c r="L294">
        <v>367.59870000000001</v>
      </c>
      <c r="M294">
        <v>0.99957269999999998</v>
      </c>
      <c r="N294">
        <v>-2.9118689999999999E-2</v>
      </c>
      <c r="O294">
        <v>2.6208220000000001E-3</v>
      </c>
      <c r="P294">
        <v>0.99310849999999995</v>
      </c>
      <c r="Q294">
        <v>0.1153208</v>
      </c>
      <c r="R294">
        <v>-2.0908900000000001E-2</v>
      </c>
      <c r="S294">
        <v>3.0435180000000002</v>
      </c>
      <c r="T294">
        <v>-0.1730313</v>
      </c>
      <c r="U294">
        <v>0.1065063</v>
      </c>
      <c r="V294">
        <v>2.3559879999999998E-2</v>
      </c>
      <c r="W294">
        <v>0.14418029999999901</v>
      </c>
      <c r="X294">
        <v>0.98927089999999995</v>
      </c>
      <c r="Y294">
        <v>-3.2274829999999997E-2</v>
      </c>
      <c r="Z294">
        <v>1.3145940000000001E-3</v>
      </c>
      <c r="AA294">
        <v>0.99947819999999998</v>
      </c>
      <c r="AB294">
        <v>20</v>
      </c>
      <c r="AC294">
        <v>20.081399999999899</v>
      </c>
      <c r="AD294">
        <v>-1.1511530000000001</v>
      </c>
      <c r="AE294">
        <v>0.70940000000001602</v>
      </c>
      <c r="AF294">
        <v>-0.65459709202293603</v>
      </c>
      <c r="AG294">
        <v>-1.1511530000000001</v>
      </c>
      <c r="AH294">
        <v>20.017493875169599</v>
      </c>
      <c r="AI294">
        <v>93.289548806075402</v>
      </c>
      <c r="AJ294">
        <v>91.872976222584398</v>
      </c>
      <c r="AK294">
        <v>20.061249004604601</v>
      </c>
      <c r="AL294">
        <v>81.710184684879806</v>
      </c>
      <c r="AM294">
        <v>88.6357361051586</v>
      </c>
      <c r="AN294">
        <v>0.999999970220256</v>
      </c>
    </row>
    <row r="295" spans="1:40" x14ac:dyDescent="0.25">
      <c r="A295" t="str">
        <f>"20190303162216811"</f>
        <v>20190303162216811</v>
      </c>
      <c r="B295" t="str">
        <f>"1551601336805247"</f>
        <v>1551601336805247</v>
      </c>
      <c r="C295" t="s">
        <v>40</v>
      </c>
      <c r="D295">
        <v>5.4466580000000002</v>
      </c>
      <c r="E295">
        <v>0.47830859999999897</v>
      </c>
      <c r="F295" t="s">
        <v>43</v>
      </c>
      <c r="G295">
        <v>-417.79050000000001</v>
      </c>
      <c r="H295">
        <v>-0.05</v>
      </c>
      <c r="I295">
        <v>368.29820000000001</v>
      </c>
      <c r="J295">
        <v>-437.61070000000001</v>
      </c>
      <c r="K295">
        <v>1.0990719999999901</v>
      </c>
      <c r="L295">
        <v>367.59899999999999</v>
      </c>
      <c r="M295">
        <v>0.99958239999999998</v>
      </c>
      <c r="N295">
        <v>-2.8793030000000001E-2</v>
      </c>
      <c r="O295">
        <v>2.4279290000000001E-3</v>
      </c>
      <c r="P295">
        <v>0.99316380000000004</v>
      </c>
      <c r="Q295">
        <v>0.11476160000000001</v>
      </c>
      <c r="R295">
        <v>-2.1338929999999999E-2</v>
      </c>
      <c r="S295">
        <v>3.0433349999999999</v>
      </c>
      <c r="T295">
        <v>-0.17488999999999999</v>
      </c>
      <c r="U295">
        <v>0.1062622</v>
      </c>
      <c r="V295">
        <v>2.3798880000000001E-2</v>
      </c>
      <c r="W295">
        <v>0.14330079999999901</v>
      </c>
      <c r="X295">
        <v>0.98939299999999997</v>
      </c>
      <c r="Y295">
        <v>-3.2388340000000002E-2</v>
      </c>
      <c r="Z295">
        <v>1.327176E-3</v>
      </c>
      <c r="AA295">
        <v>0.99947450000000004</v>
      </c>
      <c r="AB295">
        <v>20</v>
      </c>
      <c r="AC295">
        <v>19.8202</v>
      </c>
      <c r="AD295">
        <v>-1.1490720000000001</v>
      </c>
      <c r="AE295">
        <v>0.69920000000001803</v>
      </c>
      <c r="AF295">
        <v>-0.64887771991457399</v>
      </c>
      <c r="AG295">
        <v>-1.1490720000000001</v>
      </c>
      <c r="AH295">
        <v>19.755522549561402</v>
      </c>
      <c r="AI295">
        <v>93.327045210875696</v>
      </c>
      <c r="AJ295">
        <v>91.881225560816205</v>
      </c>
      <c r="AK295">
        <v>19.799547468637201</v>
      </c>
      <c r="AL295">
        <v>81.761105421045698</v>
      </c>
      <c r="AM295">
        <v>88.622071829888199</v>
      </c>
      <c r="AN295">
        <v>1.0000000072094399</v>
      </c>
    </row>
    <row r="296" spans="1:40" x14ac:dyDescent="0.25">
      <c r="A296" t="str">
        <f>"20190303162216833"</f>
        <v>20190303162216833</v>
      </c>
      <c r="B296" t="str">
        <f>"1551601336824749"</f>
        <v>1551601336824749</v>
      </c>
      <c r="C296" t="s">
        <v>40</v>
      </c>
      <c r="D296">
        <v>5.5071539999999999</v>
      </c>
      <c r="E296">
        <v>0.47829630000000001</v>
      </c>
      <c r="F296" t="s">
        <v>43</v>
      </c>
      <c r="G296">
        <v>-417.63040000000001</v>
      </c>
      <c r="H296">
        <v>-0.05</v>
      </c>
      <c r="I296">
        <v>368.2903</v>
      </c>
      <c r="J296">
        <v>-437.40960000000001</v>
      </c>
      <c r="K296">
        <v>1.0969089999999999</v>
      </c>
      <c r="L296">
        <v>367.5992</v>
      </c>
      <c r="M296">
        <v>0.99960110000000002</v>
      </c>
      <c r="N296">
        <v>-2.815426E-2</v>
      </c>
      <c r="O296">
        <v>2.2425600000000002E-3</v>
      </c>
      <c r="P296">
        <v>0.99315889999999996</v>
      </c>
      <c r="Q296">
        <v>0.1148009</v>
      </c>
      <c r="R296">
        <v>-2.1360669999999998E-2</v>
      </c>
      <c r="S296">
        <v>3.043091</v>
      </c>
      <c r="T296">
        <v>-0.17500950000000001</v>
      </c>
      <c r="U296">
        <v>0.10528559999999999</v>
      </c>
      <c r="V296">
        <v>2.3636290000000001E-2</v>
      </c>
      <c r="W296">
        <v>0.14270749999999999</v>
      </c>
      <c r="X296">
        <v>0.98948259999999999</v>
      </c>
      <c r="Y296">
        <v>-3.225695E-2</v>
      </c>
      <c r="Z296">
        <v>1.315664E-3</v>
      </c>
      <c r="AA296">
        <v>0.9994788</v>
      </c>
      <c r="AB296">
        <v>20</v>
      </c>
      <c r="AC296">
        <v>19.779199999999999</v>
      </c>
      <c r="AD296">
        <v>-1.146909</v>
      </c>
      <c r="AE296">
        <v>0.69110000000000504</v>
      </c>
      <c r="AF296">
        <v>-0.64456004740081196</v>
      </c>
      <c r="AG296">
        <v>-1.146909</v>
      </c>
      <c r="AH296">
        <v>19.7144948413709</v>
      </c>
      <c r="AI296">
        <v>93.327708195986403</v>
      </c>
      <c r="AJ296">
        <v>91.872602882801203</v>
      </c>
      <c r="AK296">
        <v>19.758344180609502</v>
      </c>
      <c r="AL296">
        <v>81.7954516305157</v>
      </c>
      <c r="AM296">
        <v>88.631605889715999</v>
      </c>
      <c r="AN296">
        <v>0.99999996023198601</v>
      </c>
    </row>
    <row r="297" spans="1:40" x14ac:dyDescent="0.25">
      <c r="A297" t="str">
        <f>"20190303162216855"</f>
        <v>20190303162216855</v>
      </c>
      <c r="B297" t="str">
        <f>"1551601336844269"</f>
        <v>1551601336844269</v>
      </c>
      <c r="C297" t="s">
        <v>40</v>
      </c>
      <c r="D297">
        <v>5.3847769999999997</v>
      </c>
      <c r="E297">
        <v>0.47816639999999999</v>
      </c>
      <c r="F297" t="s">
        <v>43</v>
      </c>
      <c r="G297">
        <v>-417.29750000000001</v>
      </c>
      <c r="H297">
        <v>-0.05</v>
      </c>
      <c r="I297">
        <v>368.29809999999998</v>
      </c>
      <c r="J297">
        <v>-437.21550000000002</v>
      </c>
      <c r="K297">
        <v>1.094697</v>
      </c>
      <c r="L297">
        <v>367.59949999999998</v>
      </c>
      <c r="M297">
        <v>0.99962229999999996</v>
      </c>
      <c r="N297">
        <v>-2.7403500000000001E-2</v>
      </c>
      <c r="O297">
        <v>2.0679169999999998E-3</v>
      </c>
      <c r="P297">
        <v>0.99314780000000003</v>
      </c>
      <c r="Q297">
        <v>0.1150164</v>
      </c>
      <c r="R297">
        <v>-2.0709700000000001E-2</v>
      </c>
      <c r="S297">
        <v>3.042999</v>
      </c>
      <c r="T297">
        <v>-0.1735305</v>
      </c>
      <c r="U297">
        <v>0.1057434</v>
      </c>
      <c r="V297">
        <v>2.2811689999999999E-2</v>
      </c>
      <c r="W297">
        <v>0.1421799</v>
      </c>
      <c r="X297">
        <v>0.98957790000000001</v>
      </c>
      <c r="Y297">
        <v>-3.2583790000000001E-2</v>
      </c>
      <c r="Z297">
        <v>1.3140859999999999E-3</v>
      </c>
      <c r="AA297">
        <v>0.99946809999999997</v>
      </c>
      <c r="AB297">
        <v>20</v>
      </c>
      <c r="AC297">
        <v>19.917999999999999</v>
      </c>
      <c r="AD297">
        <v>-1.1446969999999901</v>
      </c>
      <c r="AE297">
        <v>0.698599999999999</v>
      </c>
      <c r="AF297">
        <v>-0.65523277916224398</v>
      </c>
      <c r="AG297">
        <v>-1.1446969999999901</v>
      </c>
      <c r="AH297">
        <v>19.8539085389455</v>
      </c>
      <c r="AI297">
        <v>93.298000834495994</v>
      </c>
      <c r="AJ297">
        <v>91.890229909182906</v>
      </c>
      <c r="AK297">
        <v>19.8976718610372</v>
      </c>
      <c r="AL297">
        <v>81.825992298712293</v>
      </c>
      <c r="AM297">
        <v>88.679455026028293</v>
      </c>
      <c r="AN297">
        <v>0.99999995866653701</v>
      </c>
    </row>
    <row r="298" spans="1:40" x14ac:dyDescent="0.25">
      <c r="A298" t="str">
        <f>"20190303162216876"</f>
        <v>20190303162216876</v>
      </c>
      <c r="B298" t="str">
        <f>"1551601336864765"</f>
        <v>1551601336864765</v>
      </c>
      <c r="C298" t="s">
        <v>40</v>
      </c>
      <c r="D298">
        <v>5.4447479999999997</v>
      </c>
      <c r="E298">
        <v>0.47804780000000002</v>
      </c>
      <c r="F298" t="s">
        <v>43</v>
      </c>
      <c r="G298">
        <v>-416.96300000000002</v>
      </c>
      <c r="H298">
        <v>-0.05</v>
      </c>
      <c r="I298">
        <v>368.32119999999998</v>
      </c>
      <c r="J298">
        <v>-437.03449999999998</v>
      </c>
      <c r="K298">
        <v>1.092592</v>
      </c>
      <c r="L298">
        <v>367.59969999999998</v>
      </c>
      <c r="M298">
        <v>0.99964280000000005</v>
      </c>
      <c r="N298">
        <v>-2.6663559999999999E-2</v>
      </c>
      <c r="O298">
        <v>1.901846E-3</v>
      </c>
      <c r="P298">
        <v>0.99307279999999998</v>
      </c>
      <c r="Q298">
        <v>0.11566800000000001</v>
      </c>
      <c r="R298">
        <v>-2.067691E-2</v>
      </c>
      <c r="S298">
        <v>3.0428470000000001</v>
      </c>
      <c r="T298">
        <v>-0.17198559999999999</v>
      </c>
      <c r="U298">
        <v>0.108429</v>
      </c>
      <c r="V298">
        <v>2.2613080000000001E-2</v>
      </c>
      <c r="W298">
        <v>0.14209729999999901</v>
      </c>
      <c r="X298">
        <v>0.98959430000000004</v>
      </c>
      <c r="Y298">
        <v>-3.3631939999999999E-2</v>
      </c>
      <c r="Z298">
        <v>1.3418320000000001E-3</v>
      </c>
      <c r="AA298">
        <v>0.99943340000000003</v>
      </c>
      <c r="AB298">
        <v>20</v>
      </c>
      <c r="AC298">
        <v>20.071499999999901</v>
      </c>
      <c r="AD298">
        <v>-1.1425920000000001</v>
      </c>
      <c r="AE298">
        <v>0.72149999999999104</v>
      </c>
      <c r="AF298">
        <v>-0.68110788511101705</v>
      </c>
      <c r="AG298">
        <v>-1.1425920000000001</v>
      </c>
      <c r="AH298">
        <v>20.008082232604799</v>
      </c>
      <c r="AI298">
        <v>93.266524848380797</v>
      </c>
      <c r="AJ298">
        <v>91.949689275240203</v>
      </c>
      <c r="AK298">
        <v>20.0522512216534</v>
      </c>
      <c r="AL298">
        <v>81.830773290931205</v>
      </c>
      <c r="AM298">
        <v>88.690970020512296</v>
      </c>
      <c r="AN298">
        <v>0.99999993632343098</v>
      </c>
    </row>
    <row r="299" spans="1:40" x14ac:dyDescent="0.25">
      <c r="A299" t="str">
        <f>"20190303162216899"</f>
        <v>20190303162216899</v>
      </c>
      <c r="B299" t="str">
        <f>"1551601336895021"</f>
        <v>1551601336895021</v>
      </c>
      <c r="C299" t="s">
        <v>40</v>
      </c>
      <c r="D299">
        <v>5.4418769999999999</v>
      </c>
      <c r="E299">
        <v>0.477856</v>
      </c>
      <c r="F299" t="s">
        <v>43</v>
      </c>
      <c r="G299">
        <v>-416.47309999999999</v>
      </c>
      <c r="H299">
        <v>-0.05</v>
      </c>
      <c r="I299">
        <v>368.34199999999998</v>
      </c>
      <c r="J299">
        <v>-436.82780000000002</v>
      </c>
      <c r="K299">
        <v>1.090182</v>
      </c>
      <c r="L299">
        <v>367.59989999999999</v>
      </c>
      <c r="M299">
        <v>0.99966759999999999</v>
      </c>
      <c r="N299">
        <v>-2.5731899999999999E-2</v>
      </c>
      <c r="O299">
        <v>1.701986E-3</v>
      </c>
      <c r="P299">
        <v>0.99289519999999998</v>
      </c>
      <c r="Q299">
        <v>0.1170789</v>
      </c>
      <c r="R299">
        <v>-2.1258579999999999E-2</v>
      </c>
      <c r="S299">
        <v>3.0429379999999999</v>
      </c>
      <c r="T299">
        <v>-0.16909589999999999</v>
      </c>
      <c r="U299">
        <v>0.1098633</v>
      </c>
      <c r="V299">
        <v>2.2994870000000001E-2</v>
      </c>
      <c r="W299">
        <v>0.1425806</v>
      </c>
      <c r="X299">
        <v>0.98951610000000001</v>
      </c>
      <c r="Y299">
        <v>-3.4302689999999997E-2</v>
      </c>
      <c r="Z299">
        <v>1.3434020000000001E-3</v>
      </c>
      <c r="AA299">
        <v>0.99941060000000004</v>
      </c>
      <c r="AB299">
        <v>20</v>
      </c>
      <c r="AC299">
        <v>20.354700000000001</v>
      </c>
      <c r="AD299">
        <v>-1.140182</v>
      </c>
      <c r="AE299">
        <v>0.74209999999999299</v>
      </c>
      <c r="AF299">
        <v>-0.70523412689555098</v>
      </c>
      <c r="AG299">
        <v>-1.140182</v>
      </c>
      <c r="AH299">
        <v>20.292346084588701</v>
      </c>
      <c r="AI299">
        <v>93.214005217878693</v>
      </c>
      <c r="AJ299">
        <v>91.990439279478196</v>
      </c>
      <c r="AK299">
        <v>20.336584762038701</v>
      </c>
      <c r="AL299">
        <v>81.802798340762394</v>
      </c>
      <c r="AM299">
        <v>88.668771620391098</v>
      </c>
      <c r="AN299">
        <v>1.00000005185094</v>
      </c>
    </row>
    <row r="300" spans="1:40" x14ac:dyDescent="0.25">
      <c r="A300" t="str">
        <f>"20190303162216920"</f>
        <v>20190303162216920</v>
      </c>
      <c r="B300" t="str">
        <f>"1551601336914541"</f>
        <v>1551601336914541</v>
      </c>
      <c r="C300" t="s">
        <v>40</v>
      </c>
      <c r="D300">
        <v>5.4397970000000004</v>
      </c>
      <c r="E300">
        <v>0.47778310000000002</v>
      </c>
      <c r="F300" t="s">
        <v>43</v>
      </c>
      <c r="G300">
        <v>-415.62400000000002</v>
      </c>
      <c r="H300">
        <v>-0.05</v>
      </c>
      <c r="I300">
        <v>368.36349999999999</v>
      </c>
      <c r="J300">
        <v>-436.64449999999999</v>
      </c>
      <c r="K300">
        <v>1.0880840000000001</v>
      </c>
      <c r="L300">
        <v>367.59989999999999</v>
      </c>
      <c r="M300">
        <v>0.99969149999999996</v>
      </c>
      <c r="N300">
        <v>-2.4792359999999999E-2</v>
      </c>
      <c r="O300">
        <v>1.518518E-3</v>
      </c>
      <c r="P300">
        <v>0.99274899999999999</v>
      </c>
      <c r="Q300">
        <v>0.1182228</v>
      </c>
      <c r="R300">
        <v>-2.174775E-2</v>
      </c>
      <c r="S300">
        <v>3.0431819999999998</v>
      </c>
      <c r="T300">
        <v>-0.1636397</v>
      </c>
      <c r="U300">
        <v>0.10958859999999999</v>
      </c>
      <c r="V300">
        <v>2.3301550000000001E-2</v>
      </c>
      <c r="W300">
        <v>0.1427911</v>
      </c>
      <c r="X300">
        <v>0.98947850000000004</v>
      </c>
      <c r="Y300">
        <v>-3.4397869999999997E-2</v>
      </c>
      <c r="Z300">
        <v>1.3069780000000001E-3</v>
      </c>
      <c r="AA300">
        <v>0.99940739999999995</v>
      </c>
      <c r="AB300">
        <v>19</v>
      </c>
      <c r="AC300">
        <v>21.020499999999899</v>
      </c>
      <c r="AD300">
        <v>-1.1380840000000001</v>
      </c>
      <c r="AE300">
        <v>0.76359999999999595</v>
      </c>
      <c r="AF300">
        <v>-0.72953362302893998</v>
      </c>
      <c r="AG300">
        <v>-1.1380840000000001</v>
      </c>
      <c r="AH300">
        <v>20.9602754395045</v>
      </c>
      <c r="AI300">
        <v>93.106070666742795</v>
      </c>
      <c r="AJ300">
        <v>91.993405626841195</v>
      </c>
      <c r="AK300">
        <v>21.0038234852153</v>
      </c>
      <c r="AL300">
        <v>81.790612314817594</v>
      </c>
      <c r="AM300">
        <v>88.650972452279902</v>
      </c>
      <c r="AN300">
        <v>0.99999998121693101</v>
      </c>
    </row>
    <row r="301" spans="1:40" x14ac:dyDescent="0.25">
      <c r="A301" t="str">
        <f>"20190303162216943"</f>
        <v>20190303162216943</v>
      </c>
      <c r="B301" t="str">
        <f>"1551601336935036"</f>
        <v>1551601336935036</v>
      </c>
      <c r="C301" t="s">
        <v>40</v>
      </c>
      <c r="D301">
        <v>5.4399160000000002</v>
      </c>
      <c r="E301">
        <v>0.47769709999999899</v>
      </c>
      <c r="F301" t="s">
        <v>43</v>
      </c>
      <c r="G301">
        <v>-414.89580000000001</v>
      </c>
      <c r="H301">
        <v>-0.05</v>
      </c>
      <c r="I301">
        <v>368.37419999999997</v>
      </c>
      <c r="J301">
        <v>-436.45400000000001</v>
      </c>
      <c r="K301">
        <v>1.086001</v>
      </c>
      <c r="L301">
        <v>367.6</v>
      </c>
      <c r="M301">
        <v>0.99971690000000002</v>
      </c>
      <c r="N301">
        <v>-2.3757549999999999E-2</v>
      </c>
      <c r="O301">
        <v>1.331275E-3</v>
      </c>
      <c r="P301">
        <v>0.99260619999999999</v>
      </c>
      <c r="Q301">
        <v>0.11933390000000001</v>
      </c>
      <c r="R301">
        <v>-2.219579E-2</v>
      </c>
      <c r="S301">
        <v>3.0432429999999999</v>
      </c>
      <c r="T301">
        <v>-0.15924920000000001</v>
      </c>
      <c r="U301">
        <v>0.1083374</v>
      </c>
      <c r="V301">
        <v>2.3563839999999999E-2</v>
      </c>
      <c r="W301">
        <v>0.14287369999999999</v>
      </c>
      <c r="X301">
        <v>0.98946040000000002</v>
      </c>
      <c r="Y301">
        <v>-3.4178529999999999E-2</v>
      </c>
      <c r="Z301">
        <v>1.2619720000000001E-3</v>
      </c>
      <c r="AA301">
        <v>0.99941489999999999</v>
      </c>
      <c r="AB301">
        <v>19</v>
      </c>
      <c r="AC301">
        <v>21.558199999999999</v>
      </c>
      <c r="AD301">
        <v>-1.136001</v>
      </c>
      <c r="AE301">
        <v>0.77419999999995004</v>
      </c>
      <c r="AF301">
        <v>-0.74342968021198297</v>
      </c>
      <c r="AG301">
        <v>-1.136001</v>
      </c>
      <c r="AH301">
        <v>21.4995903520424</v>
      </c>
      <c r="AI301">
        <v>93.022793489704398</v>
      </c>
      <c r="AJ301">
        <v>91.9804292790147</v>
      </c>
      <c r="AK301">
        <v>21.542413311118501</v>
      </c>
      <c r="AL301">
        <v>81.785830943639198</v>
      </c>
      <c r="AM301">
        <v>88.635768110107904</v>
      </c>
      <c r="AN301">
        <v>1.0000000159376901</v>
      </c>
    </row>
    <row r="302" spans="1:40" x14ac:dyDescent="0.25">
      <c r="A302" t="str">
        <f>"20190303162216965"</f>
        <v>20190303162216965</v>
      </c>
      <c r="B302" t="str">
        <f>"1551601336954557"</f>
        <v>1551601336954557</v>
      </c>
      <c r="C302" t="s">
        <v>40</v>
      </c>
      <c r="D302">
        <v>5.5027540000000004</v>
      </c>
      <c r="E302">
        <v>0.47762909999999997</v>
      </c>
      <c r="F302" t="s">
        <v>43</v>
      </c>
      <c r="G302">
        <v>-414.13350000000003</v>
      </c>
      <c r="H302">
        <v>-0.05</v>
      </c>
      <c r="I302">
        <v>368.38780000000003</v>
      </c>
      <c r="J302">
        <v>-436.26650000000001</v>
      </c>
      <c r="K302">
        <v>1.0841130000000001</v>
      </c>
      <c r="L302">
        <v>367.6</v>
      </c>
      <c r="M302">
        <v>0.99974010000000002</v>
      </c>
      <c r="N302">
        <v>-2.2771650000000001E-2</v>
      </c>
      <c r="O302">
        <v>1.1517260000000001E-3</v>
      </c>
      <c r="P302">
        <v>0.99252490000000004</v>
      </c>
      <c r="Q302">
        <v>0.1200344</v>
      </c>
      <c r="R302">
        <v>-2.2050159999999999E-2</v>
      </c>
      <c r="S302">
        <v>3.0433349999999999</v>
      </c>
      <c r="T302">
        <v>-0.15489049999999999</v>
      </c>
      <c r="U302">
        <v>0.1074219</v>
      </c>
      <c r="V302">
        <v>2.3239800000000001E-2</v>
      </c>
      <c r="W302">
        <v>0.14259659999999999</v>
      </c>
      <c r="X302">
        <v>0.98950800000000005</v>
      </c>
      <c r="Y302">
        <v>-3.4060790000000001E-2</v>
      </c>
      <c r="Z302">
        <v>1.2219290000000001E-3</v>
      </c>
      <c r="AA302">
        <v>0.99941899999999995</v>
      </c>
      <c r="AB302">
        <v>19</v>
      </c>
      <c r="AC302">
        <v>22.1329999999999</v>
      </c>
      <c r="AD302">
        <v>-1.1341129999999999</v>
      </c>
      <c r="AE302">
        <v>0.78780000000000405</v>
      </c>
      <c r="AF302">
        <v>-0.76030796087340002</v>
      </c>
      <c r="AG302">
        <v>-1.1341129999999999</v>
      </c>
      <c r="AH302">
        <v>22.076002996200501</v>
      </c>
      <c r="AI302">
        <v>92.939137649602898</v>
      </c>
      <c r="AJ302">
        <v>91.9725140342765</v>
      </c>
      <c r="AK302">
        <v>22.1181868330202</v>
      </c>
      <c r="AL302">
        <v>81.801871554295602</v>
      </c>
      <c r="AM302">
        <v>88.654586208112406</v>
      </c>
      <c r="AN302">
        <v>0.99999998034979898</v>
      </c>
    </row>
    <row r="303" spans="1:40" x14ac:dyDescent="0.25">
      <c r="A303" t="str">
        <f>"20190303162216987"</f>
        <v>20190303162216987</v>
      </c>
      <c r="B303" t="str">
        <f>"1551601336975053"</f>
        <v>1551601336975053</v>
      </c>
      <c r="C303" t="s">
        <v>40</v>
      </c>
      <c r="D303">
        <v>5.5063170000000001</v>
      </c>
      <c r="E303">
        <v>0.4775681</v>
      </c>
      <c r="F303" t="s">
        <v>43</v>
      </c>
      <c r="G303">
        <v>-413.51530000000002</v>
      </c>
      <c r="H303">
        <v>-0.05</v>
      </c>
      <c r="I303">
        <v>368.41079999999999</v>
      </c>
      <c r="J303">
        <v>-436.06560000000002</v>
      </c>
      <c r="K303">
        <v>1.08229</v>
      </c>
      <c r="L303">
        <v>367.6</v>
      </c>
      <c r="M303">
        <v>0.99976189999999998</v>
      </c>
      <c r="N303">
        <v>-2.18075E-2</v>
      </c>
      <c r="O303">
        <v>9.6173639999999996E-4</v>
      </c>
      <c r="P303">
        <v>0.99243190000000003</v>
      </c>
      <c r="Q303">
        <v>0.12085990000000001</v>
      </c>
      <c r="R303">
        <v>-2.1731239999999999E-2</v>
      </c>
      <c r="S303">
        <v>3.0433650000000001</v>
      </c>
      <c r="T303">
        <v>-0.1517068</v>
      </c>
      <c r="U303">
        <v>0.1084595</v>
      </c>
      <c r="V303">
        <v>2.2731390000000001E-2</v>
      </c>
      <c r="W303">
        <v>0.14246589999999901</v>
      </c>
      <c r="X303">
        <v>0.98953869999999999</v>
      </c>
      <c r="Y303">
        <v>-3.4592690000000002E-2</v>
      </c>
      <c r="Z303">
        <v>1.2121440000000001E-3</v>
      </c>
      <c r="AA303">
        <v>0.99940070000000003</v>
      </c>
      <c r="AB303">
        <v>19</v>
      </c>
      <c r="AC303">
        <v>22.5503</v>
      </c>
      <c r="AD303">
        <v>-1.13229</v>
      </c>
      <c r="AE303">
        <v>0.81079999999997199</v>
      </c>
      <c r="AF303">
        <v>-0.78712507249997599</v>
      </c>
      <c r="AG303">
        <v>-1.13229</v>
      </c>
      <c r="AH303">
        <v>22.494429351522498</v>
      </c>
      <c r="AI303">
        <v>92.879875102651795</v>
      </c>
      <c r="AJ303">
        <v>92.004076228159903</v>
      </c>
      <c r="AK303">
        <v>22.536658988734199</v>
      </c>
      <c r="AL303">
        <v>81.809437880458901</v>
      </c>
      <c r="AM303">
        <v>88.684049761838594</v>
      </c>
      <c r="AN303">
        <v>1.00000004377591</v>
      </c>
    </row>
    <row r="304" spans="1:40" x14ac:dyDescent="0.25">
      <c r="A304" t="str">
        <f>"20190303162217010"</f>
        <v>20190303162217010</v>
      </c>
      <c r="B304" t="str">
        <f>"1551601337004333"</f>
        <v>1551601337004333</v>
      </c>
      <c r="C304" t="s">
        <v>40</v>
      </c>
      <c r="D304">
        <v>5.5040190000000004</v>
      </c>
      <c r="E304">
        <v>0.47746450000000001</v>
      </c>
      <c r="F304" t="s">
        <v>43</v>
      </c>
      <c r="G304">
        <v>-412.80349999999999</v>
      </c>
      <c r="H304">
        <v>-0.05</v>
      </c>
      <c r="I304">
        <v>368.44279999999998</v>
      </c>
      <c r="J304">
        <v>-435.87430000000001</v>
      </c>
      <c r="K304">
        <v>1.0807389999999999</v>
      </c>
      <c r="L304">
        <v>367.6</v>
      </c>
      <c r="M304">
        <v>0.9997798</v>
      </c>
      <c r="N304">
        <v>-2.0974650000000001E-2</v>
      </c>
      <c r="O304">
        <v>7.7898639999999999E-4</v>
      </c>
      <c r="P304">
        <v>0.99232310000000001</v>
      </c>
      <c r="Q304">
        <v>0.1218192</v>
      </c>
      <c r="R304">
        <v>-2.1332199999999999E-2</v>
      </c>
      <c r="S304">
        <v>3.0433349999999999</v>
      </c>
      <c r="T304">
        <v>-0.14813470000000001</v>
      </c>
      <c r="U304">
        <v>0.11026</v>
      </c>
      <c r="V304">
        <v>2.214957E-2</v>
      </c>
      <c r="W304">
        <v>0.14259849999999999</v>
      </c>
      <c r="X304">
        <v>0.98953279999999999</v>
      </c>
      <c r="Y304">
        <v>-3.5367999999999997E-2</v>
      </c>
      <c r="Z304">
        <v>1.2098199999999999E-3</v>
      </c>
      <c r="AA304">
        <v>0.99937359999999997</v>
      </c>
      <c r="AB304">
        <v>19</v>
      </c>
      <c r="AC304">
        <v>23.070799999999998</v>
      </c>
      <c r="AD304">
        <v>-1.1307389999999999</v>
      </c>
      <c r="AE304">
        <v>0.84279999999995403</v>
      </c>
      <c r="AF304">
        <v>-0.82284998027241896</v>
      </c>
      <c r="AG304">
        <v>-1.1307389999999999</v>
      </c>
      <c r="AH304">
        <v>23.016234994775001</v>
      </c>
      <c r="AI304">
        <v>92.810766508575398</v>
      </c>
      <c r="AJ304">
        <v>92.047500834957205</v>
      </c>
      <c r="AK304">
        <v>23.058680060030799</v>
      </c>
      <c r="AL304">
        <v>81.801762134730097</v>
      </c>
      <c r="AM304">
        <v>88.717713055057402</v>
      </c>
      <c r="AN304">
        <v>1.0000000489646299</v>
      </c>
    </row>
    <row r="305" spans="1:40" x14ac:dyDescent="0.25">
      <c r="A305" t="str">
        <f>"20190303162217045"</f>
        <v>20190303162217045</v>
      </c>
      <c r="B305" t="str">
        <f>"1551601337034589"</f>
        <v>1551601337034589</v>
      </c>
      <c r="C305" t="s">
        <v>40</v>
      </c>
      <c r="D305">
        <v>5.5033019999999997</v>
      </c>
      <c r="E305">
        <v>0.47735230000000001</v>
      </c>
      <c r="F305" t="s">
        <v>43</v>
      </c>
      <c r="G305">
        <v>-412.0181</v>
      </c>
      <c r="H305">
        <v>-0.05</v>
      </c>
      <c r="I305">
        <v>368.47789999999998</v>
      </c>
      <c r="J305">
        <v>-435.58080000000001</v>
      </c>
      <c r="K305">
        <v>1.0786800000000001</v>
      </c>
      <c r="L305">
        <v>367.59989999999999</v>
      </c>
      <c r="M305">
        <v>0.9998032</v>
      </c>
      <c r="N305">
        <v>-1.9826460000000001E-2</v>
      </c>
      <c r="O305">
        <v>4.9700829999999995E-4</v>
      </c>
      <c r="P305">
        <v>0.99211879999999997</v>
      </c>
      <c r="Q305">
        <v>0.123457</v>
      </c>
      <c r="R305">
        <v>-2.1416770000000002E-2</v>
      </c>
      <c r="S305">
        <v>3.043304</v>
      </c>
      <c r="T305">
        <v>-0.14424719999999999</v>
      </c>
      <c r="U305">
        <v>0.1119995</v>
      </c>
      <c r="V305">
        <v>2.195159E-2</v>
      </c>
      <c r="W305">
        <v>0.14309639999999901</v>
      </c>
      <c r="X305">
        <v>0.98946529999999999</v>
      </c>
      <c r="Y305">
        <v>-3.6222820000000003E-2</v>
      </c>
      <c r="Z305">
        <v>1.2035170000000001E-3</v>
      </c>
      <c r="AA305">
        <v>0.99934299999999998</v>
      </c>
      <c r="AB305">
        <v>19</v>
      </c>
      <c r="AC305">
        <v>23.5627</v>
      </c>
      <c r="AD305">
        <v>-1.1286799999999999</v>
      </c>
      <c r="AE305">
        <v>0.87799999999998501</v>
      </c>
      <c r="AF305">
        <v>-0.86430631333885999</v>
      </c>
      <c r="AG305">
        <v>-1.1286799999999999</v>
      </c>
      <c r="AH305">
        <v>23.509265897829302</v>
      </c>
      <c r="AI305">
        <v>92.746807311935697</v>
      </c>
      <c r="AJ305">
        <v>92.105502182818597</v>
      </c>
      <c r="AK305">
        <v>23.552208537640698</v>
      </c>
      <c r="AL305">
        <v>81.772938704107801</v>
      </c>
      <c r="AM305">
        <v>88.729084107847896</v>
      </c>
      <c r="AN305">
        <v>1.00000001595028</v>
      </c>
    </row>
    <row r="306" spans="1:40" x14ac:dyDescent="0.25">
      <c r="A306" t="str">
        <f>"20190303162217065"</f>
        <v>20190303162217065</v>
      </c>
      <c r="B306" t="str">
        <f>"1551601337054108"</f>
        <v>1551601337054108</v>
      </c>
      <c r="C306" t="s">
        <v>40</v>
      </c>
      <c r="D306">
        <v>5.4978850000000001</v>
      </c>
      <c r="E306">
        <v>0.47728860000000001</v>
      </c>
      <c r="F306" t="s">
        <v>43</v>
      </c>
      <c r="G306">
        <v>-410.77820000000003</v>
      </c>
      <c r="H306">
        <v>-0.05</v>
      </c>
      <c r="I306">
        <v>368.51429999999999</v>
      </c>
      <c r="J306">
        <v>-435.39699999999999</v>
      </c>
      <c r="K306">
        <v>1.0775889999999999</v>
      </c>
      <c r="L306">
        <v>367.59980000000002</v>
      </c>
      <c r="M306">
        <v>0.99981569999999997</v>
      </c>
      <c r="N306">
        <v>-1.9191039999999999E-2</v>
      </c>
      <c r="O306">
        <v>3.22746E-4</v>
      </c>
      <c r="P306">
        <v>0.9920158</v>
      </c>
      <c r="Q306">
        <v>0.1242882</v>
      </c>
      <c r="R306">
        <v>-2.1378000000000001E-2</v>
      </c>
      <c r="S306">
        <v>3.0435180000000002</v>
      </c>
      <c r="T306">
        <v>-0.13850019999999999</v>
      </c>
      <c r="U306">
        <v>0.1122131</v>
      </c>
      <c r="V306">
        <v>2.1738670000000002E-2</v>
      </c>
      <c r="W306">
        <v>0.14329700000000001</v>
      </c>
      <c r="X306">
        <v>0.98944100000000001</v>
      </c>
      <c r="Y306">
        <v>-3.6468420000000001E-2</v>
      </c>
      <c r="Z306">
        <v>1.170925E-3</v>
      </c>
      <c r="AA306">
        <v>0.9993341</v>
      </c>
      <c r="AB306">
        <v>19</v>
      </c>
      <c r="AC306">
        <v>24.618799999999901</v>
      </c>
      <c r="AD306">
        <v>-1.127589</v>
      </c>
      <c r="AE306">
        <v>0.914499999999975</v>
      </c>
      <c r="AF306">
        <v>-0.90465767642203898</v>
      </c>
      <c r="AG306">
        <v>-1.127589</v>
      </c>
      <c r="AH306">
        <v>24.567626520322001</v>
      </c>
      <c r="AI306">
        <v>92.626102993521499</v>
      </c>
      <c r="AJ306">
        <v>92.108858914885502</v>
      </c>
      <c r="AK306">
        <v>24.610122618679899</v>
      </c>
      <c r="AL306">
        <v>81.761325739194106</v>
      </c>
      <c r="AM306">
        <v>88.741376503756399</v>
      </c>
      <c r="AN306">
        <v>1.00000004623168</v>
      </c>
    </row>
    <row r="307" spans="1:40" x14ac:dyDescent="0.25">
      <c r="A307" t="str">
        <f>"20190303162217087"</f>
        <v>20190303162217087</v>
      </c>
      <c r="B307" t="str">
        <f>"1551601337074605"</f>
        <v>1551601337074605</v>
      </c>
      <c r="C307" t="s">
        <v>40</v>
      </c>
      <c r="D307">
        <v>5.564082</v>
      </c>
      <c r="E307">
        <v>0.4772496</v>
      </c>
      <c r="F307" t="s">
        <v>43</v>
      </c>
      <c r="G307">
        <v>-410.0908</v>
      </c>
      <c r="H307">
        <v>-0.05</v>
      </c>
      <c r="I307">
        <v>368.53910000000002</v>
      </c>
      <c r="J307">
        <v>-435.21480000000003</v>
      </c>
      <c r="K307">
        <v>1.076643</v>
      </c>
      <c r="L307">
        <v>367.59960000000001</v>
      </c>
      <c r="M307">
        <v>0.99982649999999995</v>
      </c>
      <c r="N307">
        <v>-1.8623669999999998E-2</v>
      </c>
      <c r="O307">
        <v>1.541596E-4</v>
      </c>
      <c r="P307">
        <v>0.99198629999999999</v>
      </c>
      <c r="Q307">
        <v>0.12457749999999999</v>
      </c>
      <c r="R307">
        <v>-2.1057920000000001E-2</v>
      </c>
      <c r="S307">
        <v>3.0435490000000001</v>
      </c>
      <c r="T307">
        <v>-0.1356134</v>
      </c>
      <c r="U307">
        <v>0.1129761</v>
      </c>
      <c r="V307">
        <v>2.125034E-2</v>
      </c>
      <c r="W307">
        <v>0.1430247</v>
      </c>
      <c r="X307">
        <v>0.98949100000000001</v>
      </c>
      <c r="Y307">
        <v>-3.6888419999999998E-2</v>
      </c>
      <c r="Z307">
        <v>1.1610360000000001E-3</v>
      </c>
      <c r="AA307">
        <v>0.9993187</v>
      </c>
      <c r="AB307">
        <v>19</v>
      </c>
      <c r="AC307">
        <v>25.123999999999999</v>
      </c>
      <c r="AD307">
        <v>-1.1266430000000001</v>
      </c>
      <c r="AE307">
        <v>0.93950000000000899</v>
      </c>
      <c r="AF307">
        <v>-0.933751132954172</v>
      </c>
      <c r="AG307">
        <v>-1.1266430000000001</v>
      </c>
      <c r="AH307">
        <v>25.073793542094101</v>
      </c>
      <c r="AI307">
        <v>92.570966124911394</v>
      </c>
      <c r="AJ307">
        <v>92.132716286453302</v>
      </c>
      <c r="AK307">
        <v>25.116455526592599</v>
      </c>
      <c r="AL307">
        <v>81.777089709457499</v>
      </c>
      <c r="AM307">
        <v>88.7697031502518</v>
      </c>
      <c r="AN307">
        <v>1.0000000404206</v>
      </c>
    </row>
    <row r="308" spans="1:40" x14ac:dyDescent="0.25">
      <c r="A308" t="str">
        <f>"20190303162217111"</f>
        <v>20190303162217111</v>
      </c>
      <c r="B308" t="str">
        <f>"1551601337104861"</f>
        <v>1551601337104861</v>
      </c>
      <c r="C308" t="s">
        <v>40</v>
      </c>
      <c r="D308">
        <v>5.5413379999999997</v>
      </c>
      <c r="E308">
        <v>0.47808919999999999</v>
      </c>
      <c r="F308" t="s">
        <v>43</v>
      </c>
      <c r="G308">
        <v>-409.73559999999998</v>
      </c>
      <c r="H308">
        <v>-0.05</v>
      </c>
      <c r="I308">
        <v>368.55489999999998</v>
      </c>
      <c r="J308">
        <v>-435.01069999999999</v>
      </c>
      <c r="K308">
        <v>1.0757239999999999</v>
      </c>
      <c r="L308">
        <v>367.5994</v>
      </c>
      <c r="M308">
        <v>0.99983699999999998</v>
      </c>
      <c r="N308">
        <v>-1.806025E-2</v>
      </c>
      <c r="O308" s="1">
        <v>-2.9891520000000001E-5</v>
      </c>
      <c r="P308">
        <v>0.9918844</v>
      </c>
      <c r="Q308">
        <v>0.1253918</v>
      </c>
      <c r="R308">
        <v>-2.1039140000000001E-2</v>
      </c>
      <c r="S308">
        <v>3.0435180000000002</v>
      </c>
      <c r="T308">
        <v>-0.13457849999999999</v>
      </c>
      <c r="U308">
        <v>0.1141052</v>
      </c>
      <c r="V308">
        <v>2.1048310000000001E-2</v>
      </c>
      <c r="W308">
        <v>0.14327909999999999</v>
      </c>
      <c r="X308">
        <v>0.98945850000000002</v>
      </c>
      <c r="Y308">
        <v>-3.7443280000000002E-2</v>
      </c>
      <c r="Z308">
        <v>1.166418E-3</v>
      </c>
      <c r="AA308">
        <v>0.99929809999999997</v>
      </c>
      <c r="AB308">
        <v>19</v>
      </c>
      <c r="AC308">
        <v>25.275099999999998</v>
      </c>
      <c r="AD308">
        <v>-1.1257239999999999</v>
      </c>
      <c r="AE308">
        <v>0.95549999999997204</v>
      </c>
      <c r="AF308">
        <v>-0.95436515239407005</v>
      </c>
      <c r="AG308">
        <v>-1.1257239999999999</v>
      </c>
      <c r="AH308">
        <v>25.225103554961802</v>
      </c>
      <c r="AI308">
        <v>92.553426404020001</v>
      </c>
      <c r="AJ308">
        <v>92.166691895062002</v>
      </c>
      <c r="AK308">
        <v>25.268239288221601</v>
      </c>
      <c r="AL308">
        <v>81.762361871950901</v>
      </c>
      <c r="AM308">
        <v>88.781356198667496</v>
      </c>
      <c r="AN308">
        <v>1.00000002753645</v>
      </c>
    </row>
    <row r="309" spans="1:40" x14ac:dyDescent="0.25">
      <c r="A309" t="str">
        <f>"20190303162217133"</f>
        <v>20190303162217133</v>
      </c>
      <c r="B309" t="str">
        <f>"1551601337124380"</f>
        <v>1551601337124380</v>
      </c>
      <c r="C309" t="s">
        <v>40</v>
      </c>
      <c r="D309">
        <v>5.5396239999999999</v>
      </c>
      <c r="E309">
        <v>0.47864790000000002</v>
      </c>
      <c r="F309" t="s">
        <v>43</v>
      </c>
      <c r="G309">
        <v>-408.97539999999998</v>
      </c>
      <c r="H309">
        <v>-0.05</v>
      </c>
      <c r="I309">
        <v>368.5179</v>
      </c>
      <c r="J309">
        <v>-434.82839999999999</v>
      </c>
      <c r="K309">
        <v>1.0750219999999999</v>
      </c>
      <c r="L309">
        <v>367.5992</v>
      </c>
      <c r="M309">
        <v>0.99984499999999998</v>
      </c>
      <c r="N309">
        <v>-1.7612799999999901E-2</v>
      </c>
      <c r="O309">
        <v>-1.911282E-4</v>
      </c>
      <c r="P309">
        <v>0.99180570000000001</v>
      </c>
      <c r="Q309">
        <v>0.1260269</v>
      </c>
      <c r="R309">
        <v>-2.0951319999999999E-2</v>
      </c>
      <c r="S309">
        <v>3.0434269999999999</v>
      </c>
      <c r="T309">
        <v>-0.13159279999999901</v>
      </c>
      <c r="U309">
        <v>0.10736080000000001</v>
      </c>
      <c r="V309">
        <v>2.079988E-2</v>
      </c>
      <c r="W309">
        <v>0.1434706</v>
      </c>
      <c r="X309">
        <v>0.98943599999999998</v>
      </c>
      <c r="Y309">
        <v>-3.5398829999999999E-2</v>
      </c>
      <c r="Z309">
        <v>1.081654E-3</v>
      </c>
      <c r="AA309">
        <v>0.9993727</v>
      </c>
      <c r="AB309">
        <v>19</v>
      </c>
      <c r="AC309">
        <v>25.853000000000002</v>
      </c>
      <c r="AD309">
        <v>-1.125022</v>
      </c>
      <c r="AE309">
        <v>0.91870000000000096</v>
      </c>
      <c r="AF309">
        <v>-0.92189843352183298</v>
      </c>
      <c r="AG309">
        <v>-1.125022</v>
      </c>
      <c r="AH309">
        <v>25.804021703482</v>
      </c>
      <c r="AI309">
        <v>92.4948512507506</v>
      </c>
      <c r="AJ309">
        <v>92.046131933202702</v>
      </c>
      <c r="AK309">
        <v>25.844982245998601</v>
      </c>
      <c r="AL309">
        <v>81.751275150916598</v>
      </c>
      <c r="AM309">
        <v>88.795708027771695</v>
      </c>
      <c r="AN309">
        <v>1.0000000230841799</v>
      </c>
    </row>
    <row r="310" spans="1:40" x14ac:dyDescent="0.25">
      <c r="A310" t="str">
        <f>"20190303162217155"</f>
        <v>20190303162217155</v>
      </c>
      <c r="B310" t="str">
        <f>"1551601337144877"</f>
        <v>1551601337144877</v>
      </c>
      <c r="C310" t="s">
        <v>40</v>
      </c>
      <c r="D310">
        <v>5.5421659999999999</v>
      </c>
      <c r="E310">
        <v>0.47922130000000002</v>
      </c>
      <c r="F310" t="s">
        <v>43</v>
      </c>
      <c r="G310">
        <v>-408.39490000000001</v>
      </c>
      <c r="H310">
        <v>-0.05</v>
      </c>
      <c r="I310">
        <v>368.4957</v>
      </c>
      <c r="J310">
        <v>-434.63780000000003</v>
      </c>
      <c r="K310">
        <v>1.074389</v>
      </c>
      <c r="L310">
        <v>367.59899999999999</v>
      </c>
      <c r="M310">
        <v>0.99985219999999997</v>
      </c>
      <c r="N310">
        <v>-1.7195559999999999E-2</v>
      </c>
      <c r="O310">
        <v>-3.5868869999999999E-4</v>
      </c>
      <c r="P310">
        <v>0.99175250000000004</v>
      </c>
      <c r="Q310">
        <v>0.12633759999999999</v>
      </c>
      <c r="R310">
        <v>-2.1588110000000001E-2</v>
      </c>
      <c r="S310">
        <v>3.0434570000000001</v>
      </c>
      <c r="T310">
        <v>-0.1295309</v>
      </c>
      <c r="U310">
        <v>0.10321039999999999</v>
      </c>
      <c r="V310">
        <v>2.1269659999999999E-2</v>
      </c>
      <c r="W310">
        <v>0.143367299999999</v>
      </c>
      <c r="X310">
        <v>0.98944100000000001</v>
      </c>
      <c r="Y310">
        <v>-3.4207719999999997E-2</v>
      </c>
      <c r="Z310">
        <v>1.0309029999999999E-3</v>
      </c>
      <c r="AA310">
        <v>0.99941420000000003</v>
      </c>
      <c r="AB310">
        <v>19</v>
      </c>
      <c r="AC310">
        <v>26.242899999999999</v>
      </c>
      <c r="AD310">
        <v>-1.1243889999999901</v>
      </c>
      <c r="AE310">
        <v>0.89670000000000905</v>
      </c>
      <c r="AF310">
        <v>-0.90445596138336604</v>
      </c>
      <c r="AG310">
        <v>-1.1243889999999901</v>
      </c>
      <c r="AH310">
        <v>26.194546510002201</v>
      </c>
      <c r="AI310">
        <v>92.456424405358106</v>
      </c>
      <c r="AJ310">
        <v>91.977546356300806</v>
      </c>
      <c r="AK310">
        <v>26.234263055669601</v>
      </c>
      <c r="AL310">
        <v>81.757255744561903</v>
      </c>
      <c r="AM310">
        <v>88.768522746807193</v>
      </c>
      <c r="AN310">
        <v>1.0000000368134001</v>
      </c>
    </row>
    <row r="311" spans="1:40" x14ac:dyDescent="0.25">
      <c r="A311" t="str">
        <f>"20190303162217179"</f>
        <v>20190303162217179</v>
      </c>
      <c r="B311" t="str">
        <f>"1551601337164397"</f>
        <v>1551601337164397</v>
      </c>
      <c r="C311" t="s">
        <v>40</v>
      </c>
      <c r="D311">
        <v>5.5384260000000003</v>
      </c>
      <c r="E311">
        <v>0.47972480000000001</v>
      </c>
      <c r="F311" t="s">
        <v>43</v>
      </c>
      <c r="G311">
        <v>-408.00200000000001</v>
      </c>
      <c r="H311">
        <v>-0.05</v>
      </c>
      <c r="I311">
        <v>368.44479999999999</v>
      </c>
      <c r="J311">
        <v>-434.44189999999998</v>
      </c>
      <c r="K311">
        <v>1.0738319999999999</v>
      </c>
      <c r="L311">
        <v>367.59870000000001</v>
      </c>
      <c r="M311">
        <v>0.99985860000000004</v>
      </c>
      <c r="N311">
        <v>-1.681506E-2</v>
      </c>
      <c r="O311">
        <v>-5.3035099999999998E-4</v>
      </c>
      <c r="P311">
        <v>0.99167329999999998</v>
      </c>
      <c r="Q311">
        <v>0.1267981</v>
      </c>
      <c r="R311">
        <v>-2.250951E-2</v>
      </c>
      <c r="S311">
        <v>3.0434570000000001</v>
      </c>
      <c r="T311">
        <v>-0.1284748</v>
      </c>
      <c r="U311">
        <v>9.6649170000000006E-2</v>
      </c>
      <c r="V311">
        <v>2.2020229999999998E-2</v>
      </c>
      <c r="W311">
        <v>0.14344989999999999</v>
      </c>
      <c r="X311">
        <v>0.98941250000000003</v>
      </c>
      <c r="Y311">
        <v>-3.223024E-2</v>
      </c>
      <c r="Z311">
        <v>9.6449220000000002E-4</v>
      </c>
      <c r="AA311">
        <v>0.99948000000000004</v>
      </c>
      <c r="AB311">
        <v>19</v>
      </c>
      <c r="AC311">
        <v>26.439900000000002</v>
      </c>
      <c r="AD311">
        <v>-1.1238319999999999</v>
      </c>
      <c r="AE311">
        <v>0.84609999999997798</v>
      </c>
      <c r="AF311">
        <v>-0.85857469967630795</v>
      </c>
      <c r="AG311">
        <v>-1.1238319999999999</v>
      </c>
      <c r="AH311">
        <v>26.39181449022</v>
      </c>
      <c r="AI311">
        <v>92.437042319270503</v>
      </c>
      <c r="AJ311">
        <v>91.863280897786694</v>
      </c>
      <c r="AK311">
        <v>26.429680682243099</v>
      </c>
      <c r="AL311">
        <v>81.7524727947184</v>
      </c>
      <c r="AM311">
        <v>88.725043403208801</v>
      </c>
      <c r="AN311">
        <v>0.99999992974775398</v>
      </c>
    </row>
    <row r="312" spans="1:40" x14ac:dyDescent="0.25">
      <c r="A312" t="str">
        <f>"20190303162217201"</f>
        <v>20190303162217201</v>
      </c>
      <c r="B312" t="str">
        <f>"1551601337194653"</f>
        <v>1551601337194653</v>
      </c>
      <c r="C312" t="s">
        <v>40</v>
      </c>
      <c r="D312">
        <v>5.5338659999999997</v>
      </c>
      <c r="E312">
        <v>0.48043799999999998</v>
      </c>
      <c r="F312" t="s">
        <v>43</v>
      </c>
      <c r="G312">
        <v>-407.495</v>
      </c>
      <c r="H312">
        <v>-0.05</v>
      </c>
      <c r="I312">
        <v>368.39339999999999</v>
      </c>
      <c r="J312">
        <v>-434.2516</v>
      </c>
      <c r="K312">
        <v>1.073377</v>
      </c>
      <c r="L312">
        <v>367.59840000000003</v>
      </c>
      <c r="M312">
        <v>0.99986399999999998</v>
      </c>
      <c r="N312">
        <v>-1.6487849999999998E-2</v>
      </c>
      <c r="O312">
        <v>-6.9694549999999998E-4</v>
      </c>
      <c r="P312">
        <v>0.99155219999999999</v>
      </c>
      <c r="Q312">
        <v>0.12764049999999999</v>
      </c>
      <c r="R312">
        <v>-2.3069180000000002E-2</v>
      </c>
      <c r="S312">
        <v>3.0434570000000001</v>
      </c>
      <c r="T312">
        <v>-0.1269286</v>
      </c>
      <c r="U312">
        <v>8.9752199999999893E-2</v>
      </c>
      <c r="V312">
        <v>2.2414429999999999E-2</v>
      </c>
      <c r="W312">
        <v>0.1439666</v>
      </c>
      <c r="X312">
        <v>0.98932869999999995</v>
      </c>
      <c r="Y312">
        <v>-3.013737E-2</v>
      </c>
      <c r="Z312">
        <v>8.9426879999999999E-4</v>
      </c>
      <c r="AA312">
        <v>0.99954540000000003</v>
      </c>
      <c r="AB312">
        <v>19</v>
      </c>
      <c r="AC312">
        <v>26.756599999999899</v>
      </c>
      <c r="AD312">
        <v>-1.1233770000000001</v>
      </c>
      <c r="AE312">
        <v>0.79499999999995896</v>
      </c>
      <c r="AF312">
        <v>-0.81221975824366499</v>
      </c>
      <c r="AG312">
        <v>-1.1233770000000001</v>
      </c>
      <c r="AH312">
        <v>26.7089997560211</v>
      </c>
      <c r="AI312">
        <v>92.407321847418501</v>
      </c>
      <c r="AJ312">
        <v>91.741825877348703</v>
      </c>
      <c r="AK312">
        <v>26.744949893147002</v>
      </c>
      <c r="AL312">
        <v>81.722558403074004</v>
      </c>
      <c r="AM312">
        <v>88.702117334908905</v>
      </c>
      <c r="AN312">
        <v>1.0000000326157299</v>
      </c>
    </row>
    <row r="313" spans="1:40" x14ac:dyDescent="0.25">
      <c r="A313" t="str">
        <f>"20190303162217223"</f>
        <v>20190303162217223</v>
      </c>
      <c r="B313" t="str">
        <f>"1551601337214173"</f>
        <v>1551601337214173</v>
      </c>
      <c r="C313" t="s">
        <v>40</v>
      </c>
      <c r="D313">
        <v>5.5337740000000002</v>
      </c>
      <c r="E313">
        <v>0.48088039999999999</v>
      </c>
      <c r="F313" t="s">
        <v>43</v>
      </c>
      <c r="G313">
        <v>-406.75119999999998</v>
      </c>
      <c r="H313">
        <v>-0.05</v>
      </c>
      <c r="I313">
        <v>368.346</v>
      </c>
      <c r="J313">
        <v>-434.06549999999999</v>
      </c>
      <c r="K313">
        <v>1.073008</v>
      </c>
      <c r="L313">
        <v>367.59809999999999</v>
      </c>
      <c r="M313">
        <v>0.99986839999999999</v>
      </c>
      <c r="N313">
        <v>-1.620543E-2</v>
      </c>
      <c r="O313">
        <v>-8.5932849999999998E-4</v>
      </c>
      <c r="P313">
        <v>0.99145179999999999</v>
      </c>
      <c r="Q313">
        <v>0.12834389999999901</v>
      </c>
      <c r="R313">
        <v>-2.3480290000000001E-2</v>
      </c>
      <c r="S313">
        <v>3.0435180000000002</v>
      </c>
      <c r="T313">
        <v>-0.1243263</v>
      </c>
      <c r="U313">
        <v>8.2733150000000005E-2</v>
      </c>
      <c r="V313">
        <v>2.26646E-2</v>
      </c>
      <c r="W313">
        <v>0.14438889999999999</v>
      </c>
      <c r="X313">
        <v>0.98926139999999996</v>
      </c>
      <c r="Y313">
        <v>-2.7999599999999999E-2</v>
      </c>
      <c r="Z313">
        <v>8.1976509999999903E-4</v>
      </c>
      <c r="AA313">
        <v>0.99960760000000004</v>
      </c>
      <c r="AB313">
        <v>19</v>
      </c>
      <c r="AC313">
        <v>27.314299999999999</v>
      </c>
      <c r="AD313">
        <v>-1.123008</v>
      </c>
      <c r="AE313">
        <v>0.747900000000015</v>
      </c>
      <c r="AF313">
        <v>-0.77007401476959203</v>
      </c>
      <c r="AG313">
        <v>-1.123008</v>
      </c>
      <c r="AH313">
        <v>27.267588952681901</v>
      </c>
      <c r="AI313">
        <v>92.357438924695302</v>
      </c>
      <c r="AJ313">
        <v>91.617681212986199</v>
      </c>
      <c r="AK313">
        <v>27.301567139062001</v>
      </c>
      <c r="AL313">
        <v>81.698106465839203</v>
      </c>
      <c r="AM313">
        <v>88.687547307534203</v>
      </c>
      <c r="AN313">
        <v>0.99999997803316398</v>
      </c>
    </row>
    <row r="314" spans="1:40" x14ac:dyDescent="0.25">
      <c r="A314" t="str">
        <f>"20190303162217247"</f>
        <v>20190303162217247</v>
      </c>
      <c r="B314" t="str">
        <f>"1551601337234669"</f>
        <v>1551601337234669</v>
      </c>
      <c r="C314" t="s">
        <v>40</v>
      </c>
      <c r="D314">
        <v>5.5324999999999998</v>
      </c>
      <c r="E314">
        <v>0.48132009999999997</v>
      </c>
      <c r="F314" t="s">
        <v>43</v>
      </c>
      <c r="G314">
        <v>-406.09780000000001</v>
      </c>
      <c r="H314">
        <v>-0.05</v>
      </c>
      <c r="I314">
        <v>368.31349999999998</v>
      </c>
      <c r="J314">
        <v>-433.86630000000002</v>
      </c>
      <c r="K314">
        <v>1.072675</v>
      </c>
      <c r="L314">
        <v>367.59769999999997</v>
      </c>
      <c r="M314">
        <v>0.99987230000000005</v>
      </c>
      <c r="N314">
        <v>-1.5941219999999999E-2</v>
      </c>
      <c r="O314">
        <v>-1.032165E-3</v>
      </c>
      <c r="P314">
        <v>0.99138470000000001</v>
      </c>
      <c r="Q314">
        <v>0.12882539999999901</v>
      </c>
      <c r="R314">
        <v>-2.3671459999999998E-2</v>
      </c>
      <c r="S314">
        <v>3.0435180000000002</v>
      </c>
      <c r="T314">
        <v>-0.1222086</v>
      </c>
      <c r="U314">
        <v>7.7850340000000004E-2</v>
      </c>
      <c r="V314">
        <v>2.268452E-2</v>
      </c>
      <c r="W314">
        <v>0.1446074</v>
      </c>
      <c r="X314">
        <v>0.98922900000000002</v>
      </c>
      <c r="Y314">
        <v>-2.6572439999999999E-2</v>
      </c>
      <c r="Z314">
        <v>7.7012860000000001E-4</v>
      </c>
      <c r="AA314">
        <v>0.99964660000000005</v>
      </c>
      <c r="AB314">
        <v>19</v>
      </c>
      <c r="AC314">
        <v>27.7685</v>
      </c>
      <c r="AD314">
        <v>-1.1226750000000001</v>
      </c>
      <c r="AE314">
        <v>0.71580000000000099</v>
      </c>
      <c r="AF314">
        <v>-0.74325084962270804</v>
      </c>
      <c r="AG314">
        <v>-1.1226750000000001</v>
      </c>
      <c r="AH314">
        <v>27.722462099395798</v>
      </c>
      <c r="AI314">
        <v>92.3182046940573</v>
      </c>
      <c r="AJ314">
        <v>91.535756011474305</v>
      </c>
      <c r="AK314">
        <v>27.755138728414401</v>
      </c>
      <c r="AL314">
        <v>81.685454330553299</v>
      </c>
      <c r="AM314">
        <v>88.686351182887407</v>
      </c>
      <c r="AN314">
        <v>0.99999995101169403</v>
      </c>
    </row>
    <row r="315" spans="1:40" x14ac:dyDescent="0.25">
      <c r="A315" t="str">
        <f>"20190303162217268"</f>
        <v>20190303162217268</v>
      </c>
      <c r="B315" t="str">
        <f>"1551601337254189"</f>
        <v>1551601337254189</v>
      </c>
      <c r="C315" t="s">
        <v>40</v>
      </c>
      <c r="D315">
        <v>5.3326180000000001</v>
      </c>
      <c r="E315">
        <v>0.48153059999999998</v>
      </c>
      <c r="F315" t="s">
        <v>43</v>
      </c>
      <c r="G315">
        <v>-405.52820000000003</v>
      </c>
      <c r="H315">
        <v>-0.05</v>
      </c>
      <c r="I315">
        <v>368.28789999999998</v>
      </c>
      <c r="J315">
        <v>-433.68509999999998</v>
      </c>
      <c r="K315">
        <v>1.0724129999999901</v>
      </c>
      <c r="L315">
        <v>367.59730000000002</v>
      </c>
      <c r="M315">
        <v>0.99987579999999998</v>
      </c>
      <c r="N315">
        <v>-1.572786E-2</v>
      </c>
      <c r="O315">
        <v>-1.190537E-3</v>
      </c>
      <c r="P315">
        <v>0.9912879</v>
      </c>
      <c r="Q315">
        <v>0.12951079999999901</v>
      </c>
      <c r="R315">
        <v>-2.399627E-2</v>
      </c>
      <c r="S315">
        <v>3.043488</v>
      </c>
      <c r="T315">
        <v>-0.1205744</v>
      </c>
      <c r="U315">
        <v>7.4127199999999893E-2</v>
      </c>
      <c r="V315">
        <v>2.285237E-2</v>
      </c>
      <c r="W315">
        <v>0.14508009999999999</v>
      </c>
      <c r="X315">
        <v>0.98915589999999998</v>
      </c>
      <c r="Y315">
        <v>-2.5510809999999998E-2</v>
      </c>
      <c r="Z315">
        <v>7.3424899999999997E-4</v>
      </c>
      <c r="AA315">
        <v>0.99967430000000002</v>
      </c>
      <c r="AB315">
        <v>19</v>
      </c>
      <c r="AC315">
        <v>28.156899999999901</v>
      </c>
      <c r="AD315">
        <v>-1.1224130000000001</v>
      </c>
      <c r="AE315">
        <v>0.69059999999996002</v>
      </c>
      <c r="AF315">
        <v>-0.722977330367922</v>
      </c>
      <c r="AG315">
        <v>-1.1224130000000001</v>
      </c>
      <c r="AH315">
        <v>28.1114143587982</v>
      </c>
      <c r="AI315">
        <v>92.285696549418404</v>
      </c>
      <c r="AJ315">
        <v>91.473224359333301</v>
      </c>
      <c r="AK315">
        <v>28.1431008315509</v>
      </c>
      <c r="AL315">
        <v>81.658081786287696</v>
      </c>
      <c r="AM315">
        <v>88.676536756356995</v>
      </c>
      <c r="AN315">
        <v>0.99999993036771595</v>
      </c>
    </row>
    <row r="316" spans="1:40" x14ac:dyDescent="0.25">
      <c r="A316" t="str">
        <f>"20190303162217290"</f>
        <v>20190303162217290</v>
      </c>
      <c r="B316" t="str">
        <f>"1551601337284445"</f>
        <v>1551601337284445</v>
      </c>
      <c r="C316" t="s">
        <v>40</v>
      </c>
      <c r="D316">
        <v>5.6527849999999997</v>
      </c>
      <c r="E316">
        <v>0.48211929999999997</v>
      </c>
      <c r="F316" t="s">
        <v>43</v>
      </c>
      <c r="G316">
        <v>-404.8313</v>
      </c>
      <c r="H316">
        <v>-0.05</v>
      </c>
      <c r="I316">
        <v>368.27940000000001</v>
      </c>
      <c r="J316">
        <v>-433.50670000000002</v>
      </c>
      <c r="K316">
        <v>1.0722</v>
      </c>
      <c r="L316">
        <v>367.59690000000001</v>
      </c>
      <c r="M316">
        <v>0.9998785</v>
      </c>
      <c r="N316">
        <v>-1.5540689999999999E-2</v>
      </c>
      <c r="O316">
        <v>-1.3467520000000001E-3</v>
      </c>
      <c r="P316">
        <v>0.99127569999999998</v>
      </c>
      <c r="Q316">
        <v>0.12948209999999999</v>
      </c>
      <c r="R316">
        <v>-2.4639359999999999E-2</v>
      </c>
      <c r="S316">
        <v>3.0435789999999998</v>
      </c>
      <c r="T316">
        <v>-0.11839520000000001</v>
      </c>
      <c r="U316">
        <v>7.1960449999999995E-2</v>
      </c>
      <c r="V316">
        <v>2.3340730000000001E-2</v>
      </c>
      <c r="W316">
        <v>0.14486640000000001</v>
      </c>
      <c r="X316">
        <v>0.9891759</v>
      </c>
      <c r="Y316">
        <v>-2.49565E-2</v>
      </c>
      <c r="Z316">
        <v>7.1065339999999905E-4</v>
      </c>
      <c r="AA316">
        <v>0.99968829999999997</v>
      </c>
      <c r="AB316">
        <v>19</v>
      </c>
      <c r="AC316">
        <v>28.6754</v>
      </c>
      <c r="AD316">
        <v>-1.1222000000000001</v>
      </c>
      <c r="AE316">
        <v>0.68250000000000399</v>
      </c>
      <c r="AF316">
        <v>-0.72002059212257796</v>
      </c>
      <c r="AG316">
        <v>-1.1222000000000001</v>
      </c>
      <c r="AH316">
        <v>28.6306312729422</v>
      </c>
      <c r="AI316">
        <v>92.243895180438699</v>
      </c>
      <c r="AJ316">
        <v>91.440605584291504</v>
      </c>
      <c r="AK316">
        <v>28.661660970366999</v>
      </c>
      <c r="AL316">
        <v>81.670457315945796</v>
      </c>
      <c r="AM316">
        <v>88.648291769940101</v>
      </c>
      <c r="AN316">
        <v>1.0000000123333499</v>
      </c>
    </row>
    <row r="317" spans="1:40" x14ac:dyDescent="0.25">
      <c r="A317" t="str">
        <f>"20190303162217311"</f>
        <v>20190303162217311</v>
      </c>
      <c r="B317" t="str">
        <f>"1551601337304941"</f>
        <v>1551601337304941</v>
      </c>
      <c r="C317" t="s">
        <v>40</v>
      </c>
      <c r="D317">
        <v>5.5902880000000001</v>
      </c>
      <c r="E317">
        <v>0.48251110000000003</v>
      </c>
      <c r="F317" t="s">
        <v>43</v>
      </c>
      <c r="G317">
        <v>-404.71280000000002</v>
      </c>
      <c r="H317">
        <v>-0.05</v>
      </c>
      <c r="I317">
        <v>368.21159999999998</v>
      </c>
      <c r="J317">
        <v>-433.32130000000001</v>
      </c>
      <c r="K317">
        <v>1.0720050000000001</v>
      </c>
      <c r="L317">
        <v>367.59649999999999</v>
      </c>
      <c r="M317">
        <v>0.99988089999999996</v>
      </c>
      <c r="N317">
        <v>-1.5368E-2</v>
      </c>
      <c r="O317">
        <v>-1.5095289999999999E-3</v>
      </c>
      <c r="P317">
        <v>0.99124840000000003</v>
      </c>
      <c r="Q317">
        <v>0.12963469999999999</v>
      </c>
      <c r="R317">
        <v>-2.4930279999999999E-2</v>
      </c>
      <c r="S317">
        <v>3.0435180000000002</v>
      </c>
      <c r="T317">
        <v>-0.11861629999999999</v>
      </c>
      <c r="U317">
        <v>6.4971920000000002E-2</v>
      </c>
      <c r="V317">
        <v>2.3470040000000001E-2</v>
      </c>
      <c r="W317">
        <v>0.144848</v>
      </c>
      <c r="X317">
        <v>0.98917549999999999</v>
      </c>
      <c r="Y317">
        <v>-2.282754E-2</v>
      </c>
      <c r="Z317">
        <v>6.5575529999999896E-4</v>
      </c>
      <c r="AA317">
        <v>0.99973920000000005</v>
      </c>
      <c r="AB317">
        <v>19</v>
      </c>
      <c r="AC317">
        <v>28.6084999999999</v>
      </c>
      <c r="AD317">
        <v>-1.1220049999999999</v>
      </c>
      <c r="AE317">
        <v>0.61509999999998399</v>
      </c>
      <c r="AF317">
        <v>-0.65727922561880103</v>
      </c>
      <c r="AG317">
        <v>-1.1220049999999999</v>
      </c>
      <c r="AH317">
        <v>28.563623866626401</v>
      </c>
      <c r="AI317">
        <v>92.248878874824001</v>
      </c>
      <c r="AJ317">
        <v>91.318203911893704</v>
      </c>
      <c r="AK317">
        <v>28.593207577929501</v>
      </c>
      <c r="AL317">
        <v>81.671522507043804</v>
      </c>
      <c r="AM317">
        <v>88.640805421932399</v>
      </c>
      <c r="AN317">
        <v>0.99999997784092498</v>
      </c>
    </row>
    <row r="318" spans="1:40" x14ac:dyDescent="0.25">
      <c r="A318" t="str">
        <f>"20190303162217335"</f>
        <v>20190303162217335</v>
      </c>
      <c r="B318" t="str">
        <f>"1551601337324461"</f>
        <v>1551601337324461</v>
      </c>
      <c r="C318" t="s">
        <v>40</v>
      </c>
      <c r="D318">
        <v>5.6537379999999997</v>
      </c>
      <c r="E318">
        <v>0.48267529999999997</v>
      </c>
      <c r="F318" t="s">
        <v>43</v>
      </c>
      <c r="G318">
        <v>-404.47710000000001</v>
      </c>
      <c r="H318">
        <v>-0.05</v>
      </c>
      <c r="I318">
        <v>368.17180000000002</v>
      </c>
      <c r="J318">
        <v>-433.13299999999998</v>
      </c>
      <c r="K318">
        <v>1.0718369999999999</v>
      </c>
      <c r="L318">
        <v>367.59589999999997</v>
      </c>
      <c r="M318">
        <v>0.99988290000000002</v>
      </c>
      <c r="N318">
        <v>-1.521283E-2</v>
      </c>
      <c r="O318">
        <v>-1.67508E-3</v>
      </c>
      <c r="P318">
        <v>0.99127949999999998</v>
      </c>
      <c r="Q318">
        <v>0.1292856</v>
      </c>
      <c r="R318">
        <v>-2.5496319999999999E-2</v>
      </c>
      <c r="S318">
        <v>3.0434570000000001</v>
      </c>
      <c r="T318">
        <v>-0.11838650000000001</v>
      </c>
      <c r="U318">
        <v>6.0699459999999997E-2</v>
      </c>
      <c r="V318">
        <v>2.3871739999999999E-2</v>
      </c>
      <c r="W318">
        <v>0.14434549999999999</v>
      </c>
      <c r="X318">
        <v>0.98923930000000004</v>
      </c>
      <c r="Y318">
        <v>-2.159202E-2</v>
      </c>
      <c r="Z318">
        <v>6.2375210000000002E-4</v>
      </c>
      <c r="AA318">
        <v>0.99976659999999995</v>
      </c>
      <c r="AB318">
        <v>19</v>
      </c>
      <c r="AC318">
        <v>28.655899999999999</v>
      </c>
      <c r="AD318">
        <v>-1.121837</v>
      </c>
      <c r="AE318">
        <v>0.57590000000004604</v>
      </c>
      <c r="AF318">
        <v>-0.62295131560039096</v>
      </c>
      <c r="AG318">
        <v>-1.121837</v>
      </c>
      <c r="AH318">
        <v>28.611063124087199</v>
      </c>
      <c r="AI318">
        <v>92.244880192921201</v>
      </c>
      <c r="AJ318">
        <v>91.247309212501804</v>
      </c>
      <c r="AK318">
        <v>28.639824016335702</v>
      </c>
      <c r="AL318">
        <v>81.700619093483297</v>
      </c>
      <c r="AM318">
        <v>88.617640289162296</v>
      </c>
      <c r="AN318">
        <v>0.99999993800268105</v>
      </c>
    </row>
    <row r="319" spans="1:40" x14ac:dyDescent="0.25">
      <c r="A319" t="str">
        <f>"20190303162217356"</f>
        <v>20190303162217356</v>
      </c>
      <c r="B319" t="str">
        <f>"1551601337344957"</f>
        <v>1551601337344957</v>
      </c>
      <c r="C319" t="s">
        <v>40</v>
      </c>
      <c r="D319">
        <v>5.4930879999999904</v>
      </c>
      <c r="E319">
        <v>0.51442359999999998</v>
      </c>
      <c r="F319" t="s">
        <v>43</v>
      </c>
      <c r="G319">
        <v>-404.56580000000002</v>
      </c>
      <c r="H319">
        <v>-0.05</v>
      </c>
      <c r="I319">
        <v>368.14049999999997</v>
      </c>
      <c r="J319">
        <v>-432.95409999999998</v>
      </c>
      <c r="K319">
        <v>1.0717049999999999</v>
      </c>
      <c r="L319">
        <v>367.59550000000002</v>
      </c>
      <c r="M319">
        <v>0.99988469999999996</v>
      </c>
      <c r="N319">
        <v>-1.5082140000000001E-2</v>
      </c>
      <c r="O319">
        <v>-1.8326010000000001E-3</v>
      </c>
      <c r="P319">
        <v>0.99133899999999997</v>
      </c>
      <c r="Q319">
        <v>0.12879660000000001</v>
      </c>
      <c r="R319">
        <v>-2.566446E-2</v>
      </c>
      <c r="S319">
        <v>3.0434570000000001</v>
      </c>
      <c r="T319">
        <v>-0.11951680000000001</v>
      </c>
      <c r="U319">
        <v>5.8013919999999997E-2</v>
      </c>
      <c r="V319">
        <v>2.3883020000000001E-2</v>
      </c>
      <c r="W319">
        <v>0.1437283</v>
      </c>
      <c r="X319">
        <v>0.98932900000000001</v>
      </c>
      <c r="Y319">
        <v>-2.0868040000000001E-2</v>
      </c>
      <c r="Z319">
        <v>6.1132479999999995E-4</v>
      </c>
      <c r="AA319">
        <v>0.99978199999999995</v>
      </c>
      <c r="AB319">
        <v>19</v>
      </c>
      <c r="AC319">
        <v>28.388299999999902</v>
      </c>
      <c r="AD319">
        <v>-1.121705</v>
      </c>
      <c r="AE319">
        <v>0.54499999999995896</v>
      </c>
      <c r="AF319">
        <v>-0.59609909343775702</v>
      </c>
      <c r="AG319">
        <v>-1.121705</v>
      </c>
      <c r="AH319">
        <v>28.343018583432301</v>
      </c>
      <c r="AI319">
        <v>92.265857905762601</v>
      </c>
      <c r="AJ319">
        <v>91.204844420733806</v>
      </c>
      <c r="AK319">
        <v>28.371469095854199</v>
      </c>
      <c r="AL319">
        <v>81.736355594207595</v>
      </c>
      <c r="AM319">
        <v>88.617112688547195</v>
      </c>
      <c r="AN319">
        <v>1.0000000465531</v>
      </c>
    </row>
    <row r="320" spans="1:40" x14ac:dyDescent="0.25">
      <c r="A320" t="str">
        <f>"20190303162217370"</f>
        <v>20190303162217370</v>
      </c>
      <c r="B320" t="str">
        <f>"1551601337364477"</f>
        <v>1551601337364477</v>
      </c>
      <c r="C320" t="s">
        <v>40</v>
      </c>
      <c r="D320">
        <v>5.4654780000000001</v>
      </c>
      <c r="E320">
        <v>0.52574460000000001</v>
      </c>
      <c r="F320" t="s">
        <v>42</v>
      </c>
      <c r="G320">
        <v>-432.17439999999999</v>
      </c>
      <c r="H320">
        <v>0.98508499999999999</v>
      </c>
      <c r="I320">
        <v>367.54509999999999</v>
      </c>
      <c r="J320">
        <v>-432.83929999999998</v>
      </c>
      <c r="K320">
        <v>1.0716300000000001</v>
      </c>
      <c r="L320">
        <v>367.59519999999998</v>
      </c>
      <c r="M320">
        <v>0.99988560000000004</v>
      </c>
      <c r="N320">
        <v>-1.5006169999999999E-2</v>
      </c>
      <c r="O320">
        <v>-1.9334549999999999E-3</v>
      </c>
      <c r="P320">
        <v>0.9913672</v>
      </c>
      <c r="Q320">
        <v>0.12861110000000001</v>
      </c>
      <c r="R320">
        <v>-2.5510339999999999E-2</v>
      </c>
      <c r="S320">
        <v>3.0653079999999999</v>
      </c>
      <c r="T320">
        <v>-0.34055950000000001</v>
      </c>
      <c r="U320">
        <v>-0.19757079999999999</v>
      </c>
      <c r="V320">
        <v>2.3628469999999999E-2</v>
      </c>
      <c r="W320">
        <v>0.14346829999999999</v>
      </c>
      <c r="X320">
        <v>0.98937280000000005</v>
      </c>
      <c r="Y320">
        <v>6.1967950000000001E-2</v>
      </c>
      <c r="Z320">
        <v>-3.7103309999999999E-3</v>
      </c>
      <c r="AA320">
        <v>0.99807129999999999</v>
      </c>
      <c r="AB320">
        <v>19</v>
      </c>
      <c r="AC320">
        <v>0.66489999999998795</v>
      </c>
      <c r="AD320">
        <v>-8.6544999999999803E-2</v>
      </c>
      <c r="AE320">
        <v>-5.0099999999986197E-2</v>
      </c>
      <c r="AF320">
        <v>4.8005477842187901E-2</v>
      </c>
      <c r="AG320">
        <v>-8.6544999999999803E-2</v>
      </c>
      <c r="AH320">
        <v>0.65397831601936696</v>
      </c>
      <c r="AI320">
        <v>97.518505431489999</v>
      </c>
      <c r="AJ320">
        <v>85.8017156100139</v>
      </c>
      <c r="AK320">
        <v>0.66142437266204801</v>
      </c>
      <c r="AL320">
        <v>81.751408096583603</v>
      </c>
      <c r="AM320">
        <v>88.631906691363795</v>
      </c>
      <c r="AN320">
        <v>0.99999999753963498</v>
      </c>
    </row>
    <row r="321" spans="1:40" x14ac:dyDescent="0.25">
      <c r="A321" t="str">
        <f>"20190303162217390"</f>
        <v>20190303162217390</v>
      </c>
      <c r="B321" t="str">
        <f>"1551601337384973"</f>
        <v>1551601337384973</v>
      </c>
      <c r="C321" t="s">
        <v>40</v>
      </c>
      <c r="D321">
        <v>5.4595589999999996</v>
      </c>
      <c r="E321">
        <v>0.52446930000000003</v>
      </c>
      <c r="F321" t="s">
        <v>42</v>
      </c>
      <c r="G321">
        <v>-432.07470000000001</v>
      </c>
      <c r="H321">
        <v>0.85027269999999899</v>
      </c>
      <c r="I321">
        <v>367.524</v>
      </c>
      <c r="J321">
        <v>-432.66730000000001</v>
      </c>
      <c r="K321">
        <v>1.071523</v>
      </c>
      <c r="L321">
        <v>367.59469999999999</v>
      </c>
      <c r="M321">
        <v>0.99988690000000002</v>
      </c>
      <c r="N321">
        <v>-1.4902739999999999E-2</v>
      </c>
      <c r="O321">
        <v>-2.0834510000000001E-3</v>
      </c>
      <c r="P321">
        <v>0.99140600000000001</v>
      </c>
      <c r="Q321">
        <v>0.12829409999999999</v>
      </c>
      <c r="R321">
        <v>-2.559788E-2</v>
      </c>
      <c r="S321">
        <v>3.1364139999999998</v>
      </c>
      <c r="T321">
        <v>-0.90792919999999999</v>
      </c>
      <c r="U321">
        <v>-0.29110720000000001</v>
      </c>
      <c r="V321">
        <v>2.356697E-2</v>
      </c>
      <c r="W321">
        <v>0.14304919999999999</v>
      </c>
      <c r="X321">
        <v>0.98943499999999995</v>
      </c>
      <c r="Y321">
        <v>8.6699269999999995E-2</v>
      </c>
      <c r="Z321">
        <v>-1.2373260000000001E-2</v>
      </c>
      <c r="AA321">
        <v>0.99615770000000003</v>
      </c>
      <c r="AB321">
        <v>19</v>
      </c>
      <c r="AC321">
        <v>0.59260000000000401</v>
      </c>
      <c r="AD321">
        <v>-0.22125030000000001</v>
      </c>
      <c r="AE321">
        <v>-7.0699999999987995E-2</v>
      </c>
      <c r="AF321">
        <v>6.1071516871283503E-2</v>
      </c>
      <c r="AG321">
        <v>-0.22125030000000001</v>
      </c>
      <c r="AH321">
        <v>0.52112387143536198</v>
      </c>
      <c r="AI321">
        <v>112.86408079962</v>
      </c>
      <c r="AJ321">
        <v>83.315885010415997</v>
      </c>
      <c r="AK321">
        <v>0.56943086920435704</v>
      </c>
      <c r="AL321">
        <v>81.775671437015106</v>
      </c>
      <c r="AM321">
        <v>88.635551953904198</v>
      </c>
      <c r="AN321">
        <v>1.0000000474602999</v>
      </c>
    </row>
    <row r="322" spans="1:40" x14ac:dyDescent="0.25">
      <c r="A322" t="str">
        <f>"20190303162217412"</f>
        <v>20190303162217412</v>
      </c>
      <c r="B322" t="str">
        <f>"1551601337404493"</f>
        <v>1551601337404493</v>
      </c>
      <c r="C322" t="s">
        <v>40</v>
      </c>
      <c r="D322">
        <v>5.4993730000000003</v>
      </c>
      <c r="E322">
        <v>0.52506940000000002</v>
      </c>
      <c r="F322" t="s">
        <v>42</v>
      </c>
      <c r="G322">
        <v>-431.91570000000002</v>
      </c>
      <c r="H322">
        <v>0.83453169999999899</v>
      </c>
      <c r="I322">
        <v>367.52730000000003</v>
      </c>
      <c r="J322">
        <v>-432.49110000000002</v>
      </c>
      <c r="K322">
        <v>1.071447</v>
      </c>
      <c r="L322">
        <v>367.59410000000003</v>
      </c>
      <c r="M322">
        <v>0.99988790000000005</v>
      </c>
      <c r="N322">
        <v>-1.4808389999999999E-2</v>
      </c>
      <c r="O322">
        <v>-2.23566E-3</v>
      </c>
      <c r="P322">
        <v>0.99147419999999997</v>
      </c>
      <c r="Q322">
        <v>0.1275849</v>
      </c>
      <c r="R322">
        <v>-2.6479969999999999E-2</v>
      </c>
      <c r="S322">
        <v>3.147125</v>
      </c>
      <c r="T322">
        <v>-0.99225750000000001</v>
      </c>
      <c r="U322">
        <v>-0.28186040000000001</v>
      </c>
      <c r="V322">
        <v>2.4297539999999999E-2</v>
      </c>
      <c r="W322">
        <v>0.14224779999999901</v>
      </c>
      <c r="X322">
        <v>0.98953279999999999</v>
      </c>
      <c r="Y322">
        <v>8.2886109999999999E-2</v>
      </c>
      <c r="Z322">
        <v>-1.2708850000000001E-2</v>
      </c>
      <c r="AA322">
        <v>0.99647799999999997</v>
      </c>
      <c r="AB322">
        <v>19</v>
      </c>
      <c r="AC322">
        <v>0.57540000000000102</v>
      </c>
      <c r="AD322">
        <v>-0.2369153</v>
      </c>
      <c r="AE322">
        <v>-6.6800000000000595E-2</v>
      </c>
      <c r="AF322">
        <v>5.61249621106246E-2</v>
      </c>
      <c r="AG322">
        <v>-0.2369153</v>
      </c>
      <c r="AH322">
        <v>0.49306947655084099</v>
      </c>
      <c r="AI322">
        <v>115.520174889251</v>
      </c>
      <c r="AJ322">
        <v>83.506103802389305</v>
      </c>
      <c r="AK322">
        <v>0.54990579143352303</v>
      </c>
      <c r="AL322">
        <v>81.822062181129198</v>
      </c>
      <c r="AM322">
        <v>88.593410134075398</v>
      </c>
      <c r="AN322">
        <v>0.99999998466536499</v>
      </c>
    </row>
    <row r="323" spans="1:40" x14ac:dyDescent="0.25">
      <c r="A323" t="str">
        <f>"20190303162217426"</f>
        <v>20190303162217426</v>
      </c>
      <c r="B323" t="str">
        <f>"1551601337414254"</f>
        <v>1551601337414254</v>
      </c>
      <c r="C323" t="s">
        <v>40</v>
      </c>
      <c r="D323">
        <v>5.502224</v>
      </c>
      <c r="E323">
        <v>0.52522690000000005</v>
      </c>
      <c r="F323" t="s">
        <v>42</v>
      </c>
      <c r="G323">
        <v>-431.75040000000001</v>
      </c>
      <c r="H323">
        <v>0.83505859999999998</v>
      </c>
      <c r="I323">
        <v>367.5258</v>
      </c>
      <c r="J323">
        <v>-432.37299999999999</v>
      </c>
      <c r="K323">
        <v>1.0713980000000001</v>
      </c>
      <c r="L323">
        <v>367.59370000000001</v>
      </c>
      <c r="M323">
        <v>0.99988860000000002</v>
      </c>
      <c r="N323">
        <v>-1.4750640000000001E-2</v>
      </c>
      <c r="O323">
        <v>-2.337132E-3</v>
      </c>
      <c r="P323">
        <v>0.99145819999999996</v>
      </c>
      <c r="Q323">
        <v>0.12755530000000001</v>
      </c>
      <c r="R323">
        <v>-2.7219509999999999E-2</v>
      </c>
      <c r="S323">
        <v>3.1473390000000001</v>
      </c>
      <c r="T323">
        <v>-1.004316</v>
      </c>
      <c r="U323">
        <v>-0.28866579999999997</v>
      </c>
      <c r="V323">
        <v>2.4936090000000001E-2</v>
      </c>
      <c r="W323">
        <v>0.14216099999999901</v>
      </c>
      <c r="X323">
        <v>0.9895294</v>
      </c>
      <c r="Y323">
        <v>8.4732080000000001E-2</v>
      </c>
      <c r="Z323">
        <v>-1.311503E-2</v>
      </c>
      <c r="AA323">
        <v>0.99631740000000002</v>
      </c>
      <c r="AB323">
        <v>19</v>
      </c>
      <c r="AC323">
        <v>0.62260000000003302</v>
      </c>
      <c r="AD323">
        <v>-0.23633939999999901</v>
      </c>
      <c r="AE323">
        <v>-6.7900000000008703E-2</v>
      </c>
      <c r="AF323">
        <v>5.8162101362298303E-2</v>
      </c>
      <c r="AG323">
        <v>-0.23633939999999901</v>
      </c>
      <c r="AH323">
        <v>0.54512901135487601</v>
      </c>
      <c r="AI323">
        <v>113.32091457721801</v>
      </c>
      <c r="AJ323">
        <v>83.909912303076496</v>
      </c>
      <c r="AK323">
        <v>0.59699646652889204</v>
      </c>
      <c r="AL323">
        <v>81.827086608749397</v>
      </c>
      <c r="AM323">
        <v>88.556454818994695</v>
      </c>
      <c r="AN323">
        <v>0.99999999598492395</v>
      </c>
    </row>
    <row r="324" spans="1:40" x14ac:dyDescent="0.25">
      <c r="A324" t="str">
        <f>"20190303162217448"</f>
        <v>20190303162217448</v>
      </c>
      <c r="B324" t="str">
        <f>"1551601337444510"</f>
        <v>1551601337444510</v>
      </c>
      <c r="C324" t="s">
        <v>40</v>
      </c>
      <c r="D324">
        <v>5.5548739999999999</v>
      </c>
      <c r="E324">
        <v>0.52601239999999905</v>
      </c>
      <c r="F324" t="s">
        <v>42</v>
      </c>
      <c r="G324">
        <v>-431.59109999999998</v>
      </c>
      <c r="H324">
        <v>0.82115329999999997</v>
      </c>
      <c r="I324">
        <v>367.52080000000001</v>
      </c>
      <c r="J324">
        <v>-432.19260000000003</v>
      </c>
      <c r="K324">
        <v>1.07134</v>
      </c>
      <c r="L324">
        <v>367.59309999999999</v>
      </c>
      <c r="M324">
        <v>0.99988929999999998</v>
      </c>
      <c r="N324">
        <v>-1.467162E-2</v>
      </c>
      <c r="O324">
        <v>-2.4914749999999999E-3</v>
      </c>
      <c r="P324">
        <v>0.99144239999999995</v>
      </c>
      <c r="Q324">
        <v>0.12724639999999901</v>
      </c>
      <c r="R324">
        <v>-2.9164599999999902E-2</v>
      </c>
      <c r="S324">
        <v>3.1474609999999998</v>
      </c>
      <c r="T324">
        <v>-1.00729</v>
      </c>
      <c r="U324">
        <v>-0.291778599999999</v>
      </c>
      <c r="V324">
        <v>2.6727569999999999E-2</v>
      </c>
      <c r="W324">
        <v>0.1417735</v>
      </c>
      <c r="X324">
        <v>0.98953829999999998</v>
      </c>
      <c r="Y324">
        <v>8.5496810000000006E-2</v>
      </c>
      <c r="Z324">
        <v>-1.3224649999999999E-2</v>
      </c>
      <c r="AA324">
        <v>0.99625070000000004</v>
      </c>
      <c r="AB324">
        <v>18</v>
      </c>
      <c r="AC324">
        <v>0.601500000000044</v>
      </c>
      <c r="AD324">
        <v>-0.25018669999999898</v>
      </c>
      <c r="AE324">
        <v>-7.2299999999984196E-2</v>
      </c>
      <c r="AF324">
        <v>6.0485728414218301E-2</v>
      </c>
      <c r="AG324">
        <v>-0.25018669999999898</v>
      </c>
      <c r="AH324">
        <v>0.51401750619721898</v>
      </c>
      <c r="AI324">
        <v>115.7987863079</v>
      </c>
      <c r="AJ324">
        <v>83.288725048815607</v>
      </c>
      <c r="AK324">
        <v>0.57486163976725402</v>
      </c>
      <c r="AL324">
        <v>81.849516490658004</v>
      </c>
      <c r="AM324">
        <v>88.452809035938998</v>
      </c>
      <c r="AN324">
        <v>1.00000006773362</v>
      </c>
    </row>
    <row r="325" spans="1:40" x14ac:dyDescent="0.25">
      <c r="A325" t="str">
        <f>"20190303162217469"</f>
        <v>20190303162217469</v>
      </c>
      <c r="B325" t="str">
        <f>"1551601337465005"</f>
        <v>1551601337465005</v>
      </c>
      <c r="C325" t="s">
        <v>40</v>
      </c>
      <c r="D325">
        <v>5.5023070000000001</v>
      </c>
      <c r="E325">
        <v>0.52627330000000005</v>
      </c>
      <c r="F325" t="s">
        <v>42</v>
      </c>
      <c r="G325">
        <v>-431.42500000000001</v>
      </c>
      <c r="H325">
        <v>0.82520260000000001</v>
      </c>
      <c r="I325">
        <v>367.51889999999997</v>
      </c>
      <c r="J325">
        <v>-432.02069999999998</v>
      </c>
      <c r="K325">
        <v>1.0712919999999999</v>
      </c>
      <c r="L325">
        <v>367.59249999999997</v>
      </c>
      <c r="M325">
        <v>0.9998899</v>
      </c>
      <c r="N325">
        <v>-1.4604600000000001E-2</v>
      </c>
      <c r="O325">
        <v>-2.6372169999999999E-3</v>
      </c>
      <c r="P325">
        <v>0.99139259999999996</v>
      </c>
      <c r="Q325">
        <v>0.12720319999999999</v>
      </c>
      <c r="R325">
        <v>-3.099205E-2</v>
      </c>
      <c r="S325">
        <v>3.1464840000000001</v>
      </c>
      <c r="T325">
        <v>-1.0088379999999999</v>
      </c>
      <c r="U325">
        <v>-0.30227659999999901</v>
      </c>
      <c r="V325">
        <v>2.8410120000000001E-2</v>
      </c>
      <c r="W325">
        <v>0.1416635</v>
      </c>
      <c r="X325">
        <v>0.98950709999999997</v>
      </c>
      <c r="Y325">
        <v>8.8511099999999995E-2</v>
      </c>
      <c r="Z325">
        <v>-1.369153E-2</v>
      </c>
      <c r="AA325">
        <v>0.99598109999999995</v>
      </c>
      <c r="AB325">
        <v>18</v>
      </c>
      <c r="AC325">
        <v>0.59569999999996504</v>
      </c>
      <c r="AD325">
        <v>-0.24608939999999899</v>
      </c>
      <c r="AE325">
        <v>-7.3599999999999E-2</v>
      </c>
      <c r="AF325">
        <v>6.1663369358909599E-2</v>
      </c>
      <c r="AG325">
        <v>-0.24608939999999899</v>
      </c>
      <c r="AH325">
        <v>0.510140672289631</v>
      </c>
      <c r="AI325">
        <v>115.59019082211699</v>
      </c>
      <c r="AJ325">
        <v>83.107796790285093</v>
      </c>
      <c r="AK325">
        <v>0.56974193231424497</v>
      </c>
      <c r="AL325">
        <v>81.855882661387596</v>
      </c>
      <c r="AM325">
        <v>88.355410578470895</v>
      </c>
      <c r="AN325">
        <v>0.99999999155053698</v>
      </c>
    </row>
    <row r="326" spans="1:40" x14ac:dyDescent="0.25">
      <c r="A326" t="str">
        <f>"20190303162217491"</f>
        <v>20190303162217491</v>
      </c>
      <c r="B326" t="str">
        <f>"1551601337484525"</f>
        <v>1551601337484525</v>
      </c>
      <c r="C326" t="s">
        <v>40</v>
      </c>
      <c r="D326">
        <v>5.5133710000000002</v>
      </c>
      <c r="E326">
        <v>0.52622619999999998</v>
      </c>
      <c r="F326" t="s">
        <v>42</v>
      </c>
      <c r="G326">
        <v>-431.25990000000002</v>
      </c>
      <c r="H326">
        <v>0.82732689999999998</v>
      </c>
      <c r="I326">
        <v>367.51729999999998</v>
      </c>
      <c r="J326">
        <v>-431.84280000000001</v>
      </c>
      <c r="K326">
        <v>1.0712489999999999</v>
      </c>
      <c r="L326">
        <v>367.59179999999998</v>
      </c>
      <c r="M326">
        <v>0.99989039999999996</v>
      </c>
      <c r="N326">
        <v>-1.454278E-2</v>
      </c>
      <c r="O326">
        <v>-2.7871770000000001E-3</v>
      </c>
      <c r="P326">
        <v>0.99131130000000001</v>
      </c>
      <c r="Q326">
        <v>0.12748080000000001</v>
      </c>
      <c r="R326">
        <v>-3.2411830000000003E-2</v>
      </c>
      <c r="S326">
        <v>3.1458439999999999</v>
      </c>
      <c r="T326">
        <v>-1.008921</v>
      </c>
      <c r="U326">
        <v>-0.3094788</v>
      </c>
      <c r="V326">
        <v>2.9681320000000001E-2</v>
      </c>
      <c r="W326">
        <v>0.141877799999999</v>
      </c>
      <c r="X326">
        <v>0.98943910000000002</v>
      </c>
      <c r="Y326">
        <v>9.0540529999999994E-2</v>
      </c>
      <c r="Z326">
        <v>-1.397806E-2</v>
      </c>
      <c r="AA326">
        <v>0.99579470000000003</v>
      </c>
      <c r="AB326">
        <v>18</v>
      </c>
      <c r="AC326">
        <v>0.58289999999999498</v>
      </c>
      <c r="AD326">
        <v>-0.243922099999999</v>
      </c>
      <c r="AE326">
        <v>-7.4500000000000399E-2</v>
      </c>
      <c r="AF326">
        <v>6.2164200261003902E-2</v>
      </c>
      <c r="AG326">
        <v>-0.243922099999999</v>
      </c>
      <c r="AH326">
        <v>0.49740424079430001</v>
      </c>
      <c r="AI326">
        <v>115.947766619303</v>
      </c>
      <c r="AJ326">
        <v>82.876268655734194</v>
      </c>
      <c r="AK326">
        <v>0.55747049915009295</v>
      </c>
      <c r="AL326">
        <v>81.843479057698602</v>
      </c>
      <c r="AM326">
        <v>88.281749204153499</v>
      </c>
      <c r="AN326">
        <v>1.00000001174929</v>
      </c>
    </row>
    <row r="327" spans="1:40" x14ac:dyDescent="0.25">
      <c r="A327" t="str">
        <f>"20190303162217512"</f>
        <v>20190303162217512</v>
      </c>
      <c r="B327" t="str">
        <f>"1551601337505021"</f>
        <v>1551601337505021</v>
      </c>
      <c r="C327" t="s">
        <v>40</v>
      </c>
      <c r="D327">
        <v>5.5352230000000002</v>
      </c>
      <c r="E327">
        <v>0.52618959999999904</v>
      </c>
      <c r="F327" t="s">
        <v>42</v>
      </c>
      <c r="G327">
        <v>-431.09449999999998</v>
      </c>
      <c r="H327">
        <v>0.83124229999999999</v>
      </c>
      <c r="I327">
        <v>367.51659999999998</v>
      </c>
      <c r="J327">
        <v>-431.66489999999999</v>
      </c>
      <c r="K327">
        <v>1.0712159999999999</v>
      </c>
      <c r="L327">
        <v>367.59109999999998</v>
      </c>
      <c r="M327">
        <v>0.99989070000000002</v>
      </c>
      <c r="N327">
        <v>-1.4487699999999999E-2</v>
      </c>
      <c r="O327">
        <v>-2.9368329999999998E-3</v>
      </c>
      <c r="P327">
        <v>0.9912879</v>
      </c>
      <c r="Q327">
        <v>0.12735270000000001</v>
      </c>
      <c r="R327">
        <v>-3.3610180000000003E-2</v>
      </c>
      <c r="S327">
        <v>3.1457820000000001</v>
      </c>
      <c r="T327">
        <v>-1.0089509999999999</v>
      </c>
      <c r="U327">
        <v>-0.31317139999999999</v>
      </c>
      <c r="V327">
        <v>3.0730839999999999E-2</v>
      </c>
      <c r="W327">
        <v>0.14169509999999999</v>
      </c>
      <c r="X327">
        <v>0.98943320000000001</v>
      </c>
      <c r="Y327">
        <v>9.1508400000000004E-2</v>
      </c>
      <c r="Z327">
        <v>-1.4088959999999999E-2</v>
      </c>
      <c r="AA327">
        <v>0.9957047</v>
      </c>
      <c r="AB327">
        <v>18</v>
      </c>
      <c r="AC327">
        <v>0.57040000000000601</v>
      </c>
      <c r="AD327">
        <v>-0.23997369999999901</v>
      </c>
      <c r="AE327">
        <v>-7.4500000000000399E-2</v>
      </c>
      <c r="AF327">
        <v>6.2029405595164698E-2</v>
      </c>
      <c r="AG327">
        <v>-0.23997369999999901</v>
      </c>
      <c r="AH327">
        <v>0.48603250949923799</v>
      </c>
      <c r="AI327">
        <v>116.094110526462</v>
      </c>
      <c r="AJ327">
        <v>82.727001491085403</v>
      </c>
      <c r="AK327">
        <v>0.54558466266960404</v>
      </c>
      <c r="AL327">
        <v>81.854053501128107</v>
      </c>
      <c r="AM327">
        <v>88.221020293203296</v>
      </c>
      <c r="AN327">
        <v>0.99999997157667697</v>
      </c>
    </row>
    <row r="328" spans="1:40" x14ac:dyDescent="0.25">
      <c r="A328" t="str">
        <f>"20190303162217535"</f>
        <v>20190303162217535</v>
      </c>
      <c r="B328" t="str">
        <f>"1551601337524542"</f>
        <v>1551601337524542</v>
      </c>
      <c r="C328" t="s">
        <v>40</v>
      </c>
      <c r="D328">
        <v>5.5224489999999999</v>
      </c>
      <c r="E328">
        <v>0.5263312</v>
      </c>
      <c r="F328" t="s">
        <v>42</v>
      </c>
      <c r="G328">
        <v>-430.92950000000002</v>
      </c>
      <c r="H328">
        <v>0.835120999999999</v>
      </c>
      <c r="I328">
        <v>367.51710000000003</v>
      </c>
      <c r="J328">
        <v>-431.4853</v>
      </c>
      <c r="K328">
        <v>1.0711839999999999</v>
      </c>
      <c r="L328">
        <v>367.59050000000002</v>
      </c>
      <c r="M328">
        <v>0.99989099999999997</v>
      </c>
      <c r="N328">
        <v>-1.443824E-2</v>
      </c>
      <c r="O328">
        <v>-3.087256E-3</v>
      </c>
      <c r="P328">
        <v>0.9912512</v>
      </c>
      <c r="Q328">
        <v>0.1274863</v>
      </c>
      <c r="R328">
        <v>-3.4181450000000002E-2</v>
      </c>
      <c r="S328">
        <v>3.145416</v>
      </c>
      <c r="T328">
        <v>-1.009817</v>
      </c>
      <c r="U328">
        <v>-0.31594850000000002</v>
      </c>
      <c r="V328">
        <v>3.1153159999999999E-2</v>
      </c>
      <c r="W328">
        <v>0.14177919999999999</v>
      </c>
      <c r="X328">
        <v>0.98940799999999995</v>
      </c>
      <c r="Y328">
        <v>9.22037E-2</v>
      </c>
      <c r="Z328">
        <v>-1.4167310000000001E-2</v>
      </c>
      <c r="AA328">
        <v>0.99563939999999995</v>
      </c>
      <c r="AB328">
        <v>18</v>
      </c>
      <c r="AC328">
        <v>0.55579999999997598</v>
      </c>
      <c r="AD328">
        <v>-0.236063</v>
      </c>
      <c r="AE328">
        <v>-7.3399999999992305E-2</v>
      </c>
      <c r="AF328">
        <v>6.0888089521858597E-2</v>
      </c>
      <c r="AG328">
        <v>-0.236063</v>
      </c>
      <c r="AH328">
        <v>0.47228724434677</v>
      </c>
      <c r="AI328">
        <v>116.36883749573001</v>
      </c>
      <c r="AJ328">
        <v>82.653849698853506</v>
      </c>
      <c r="AK328">
        <v>0.53149632227070798</v>
      </c>
      <c r="AL328">
        <v>81.849186227176105</v>
      </c>
      <c r="AM328">
        <v>88.196542714044597</v>
      </c>
      <c r="AN328">
        <v>1.0000000256973101</v>
      </c>
    </row>
    <row r="329" spans="1:40" x14ac:dyDescent="0.25">
      <c r="A329" t="str">
        <f>"20190303162217549"</f>
        <v>20190303162217549</v>
      </c>
      <c r="B329" t="str">
        <f>"1551601337545037"</f>
        <v>1551601337545037</v>
      </c>
      <c r="C329" t="s">
        <v>40</v>
      </c>
      <c r="D329">
        <v>5.5319430000000001</v>
      </c>
      <c r="E329">
        <v>0.5267385</v>
      </c>
      <c r="F329" t="s">
        <v>42</v>
      </c>
      <c r="G329">
        <v>-430.76429999999999</v>
      </c>
      <c r="H329">
        <v>0.84001970000000004</v>
      </c>
      <c r="I329">
        <v>367.517</v>
      </c>
      <c r="J329">
        <v>-431.36279999999999</v>
      </c>
      <c r="K329">
        <v>1.0711649999999999</v>
      </c>
      <c r="L329">
        <v>367.5899</v>
      </c>
      <c r="M329">
        <v>0.99989119999999998</v>
      </c>
      <c r="N329">
        <v>-1.4407730000000001E-2</v>
      </c>
      <c r="O329">
        <v>-3.189547E-3</v>
      </c>
      <c r="P329">
        <v>0.99126239999999999</v>
      </c>
      <c r="Q329">
        <v>0.1274419</v>
      </c>
      <c r="R329">
        <v>-3.4022190000000001E-2</v>
      </c>
      <c r="S329">
        <v>3.145203</v>
      </c>
      <c r="T329">
        <v>-1.0084519999999999</v>
      </c>
      <c r="U329">
        <v>-0.31829829999999998</v>
      </c>
      <c r="V329">
        <v>3.0892349999999999E-2</v>
      </c>
      <c r="W329">
        <v>0.141705</v>
      </c>
      <c r="X329">
        <v>0.98942680000000005</v>
      </c>
      <c r="Y329">
        <v>9.2829380000000003E-2</v>
      </c>
      <c r="Z329">
        <v>-1.422062E-2</v>
      </c>
      <c r="AA329">
        <v>0.99558049999999998</v>
      </c>
      <c r="AB329">
        <v>18</v>
      </c>
      <c r="AC329">
        <v>0.59850000000000103</v>
      </c>
      <c r="AD329">
        <v>-0.231145299999999</v>
      </c>
      <c r="AE329">
        <v>-7.29000000000041E-2</v>
      </c>
      <c r="AF329">
        <v>6.18936228662871E-2</v>
      </c>
      <c r="AG329">
        <v>-0.231145299999999</v>
      </c>
      <c r="AH329">
        <v>0.52200709054843497</v>
      </c>
      <c r="AI329">
        <v>113.73609813441099</v>
      </c>
      <c r="AJ329">
        <v>83.238092107857895</v>
      </c>
      <c r="AK329">
        <v>0.57423895100075295</v>
      </c>
      <c r="AL329">
        <v>81.853480875349106</v>
      </c>
      <c r="AM329">
        <v>88.211665124899099</v>
      </c>
      <c r="AN329">
        <v>1.0000000184358799</v>
      </c>
    </row>
    <row r="330" spans="1:40" x14ac:dyDescent="0.25">
      <c r="A330" t="str">
        <f>"20190303162217569"</f>
        <v>20190303162217569</v>
      </c>
      <c r="B330" t="str">
        <f>"1551601337564558"</f>
        <v>1551601337564558</v>
      </c>
      <c r="C330" t="s">
        <v>40</v>
      </c>
      <c r="D330">
        <v>5.5008759999999999</v>
      </c>
      <c r="E330">
        <v>0.52718969999999998</v>
      </c>
      <c r="F330" t="s">
        <v>42</v>
      </c>
      <c r="G330">
        <v>-430.60629999999998</v>
      </c>
      <c r="H330">
        <v>0.82809379999999999</v>
      </c>
      <c r="I330">
        <v>367.51240000000001</v>
      </c>
      <c r="J330">
        <v>-431.20679999999999</v>
      </c>
      <c r="K330">
        <v>1.0711440000000001</v>
      </c>
      <c r="L330">
        <v>367.58929999999998</v>
      </c>
      <c r="M330">
        <v>0.99989119999999998</v>
      </c>
      <c r="N330">
        <v>-1.4372319999999999E-2</v>
      </c>
      <c r="O330">
        <v>-3.3198170000000001E-3</v>
      </c>
      <c r="P330">
        <v>0.99131000000000002</v>
      </c>
      <c r="Q330">
        <v>0.1271485</v>
      </c>
      <c r="R330">
        <v>-3.3736199999999897E-2</v>
      </c>
      <c r="S330">
        <v>3.1453549999999999</v>
      </c>
      <c r="T330">
        <v>-1.010599</v>
      </c>
      <c r="U330">
        <v>-0.32150269999999997</v>
      </c>
      <c r="V330">
        <v>3.047685E-2</v>
      </c>
      <c r="W330">
        <v>0.14137739999999999</v>
      </c>
      <c r="X330">
        <v>0.98948650000000005</v>
      </c>
      <c r="Y330">
        <v>9.3644630000000006E-2</v>
      </c>
      <c r="Z330">
        <v>-1.4339559999999999E-2</v>
      </c>
      <c r="AA330">
        <v>0.99550240000000001</v>
      </c>
      <c r="AB330">
        <v>18</v>
      </c>
      <c r="AC330">
        <v>0.60050000000001003</v>
      </c>
      <c r="AD330">
        <v>-0.24305019999999999</v>
      </c>
      <c r="AE330">
        <v>-7.6899999999966398E-2</v>
      </c>
      <c r="AF330">
        <v>6.4508559963428205E-2</v>
      </c>
      <c r="AG330">
        <v>-0.24305019999999999</v>
      </c>
      <c r="AH330">
        <v>0.51736496626870998</v>
      </c>
      <c r="AI330">
        <v>114.993757388066</v>
      </c>
      <c r="AJ330">
        <v>82.892655703688206</v>
      </c>
      <c r="AK330">
        <v>0.57524017796988003</v>
      </c>
      <c r="AL330">
        <v>81.872441473749305</v>
      </c>
      <c r="AM330">
        <v>88.235809182111097</v>
      </c>
      <c r="AN330">
        <v>0.999999970649465</v>
      </c>
    </row>
    <row r="331" spans="1:40" x14ac:dyDescent="0.25">
      <c r="A331" t="str">
        <f>"20190303162217590"</f>
        <v>20190303162217590</v>
      </c>
      <c r="B331" t="str">
        <f>"1551601337585054"</f>
        <v>1551601337585054</v>
      </c>
      <c r="C331" t="s">
        <v>40</v>
      </c>
      <c r="D331">
        <v>5.4962749999999998</v>
      </c>
      <c r="E331">
        <v>0.52734429999999999</v>
      </c>
      <c r="F331" t="s">
        <v>42</v>
      </c>
      <c r="G331">
        <v>-430.4452</v>
      </c>
      <c r="H331">
        <v>0.82458929999999997</v>
      </c>
      <c r="I331">
        <v>367.51029999999997</v>
      </c>
      <c r="J331">
        <v>-431.02640000000002</v>
      </c>
      <c r="K331">
        <v>1.071123</v>
      </c>
      <c r="L331">
        <v>367.58850000000001</v>
      </c>
      <c r="M331">
        <v>0.99989119999999998</v>
      </c>
      <c r="N331">
        <v>-1.43357E-2</v>
      </c>
      <c r="O331">
        <v>-3.4712940000000002E-3</v>
      </c>
      <c r="P331">
        <v>0.99133800000000005</v>
      </c>
      <c r="Q331">
        <v>0.12708259999999999</v>
      </c>
      <c r="R331">
        <v>-3.314947E-2</v>
      </c>
      <c r="S331">
        <v>3.1458439999999999</v>
      </c>
      <c r="T331">
        <v>-1.018289</v>
      </c>
      <c r="U331">
        <v>-0.32385249999999999</v>
      </c>
      <c r="V331">
        <v>2.9739829999999998E-2</v>
      </c>
      <c r="W331">
        <v>0.14127600000000001</v>
      </c>
      <c r="X331">
        <v>0.9895235</v>
      </c>
      <c r="Y331">
        <v>9.4128950000000003E-2</v>
      </c>
      <c r="Z331">
        <v>-1.4468180000000001E-2</v>
      </c>
      <c r="AA331">
        <v>0.99545490000000003</v>
      </c>
      <c r="AB331">
        <v>18</v>
      </c>
      <c r="AC331">
        <v>0.58120000000002303</v>
      </c>
      <c r="AD331">
        <v>-0.24653369999999999</v>
      </c>
      <c r="AE331">
        <v>-7.8200000000038003E-2</v>
      </c>
      <c r="AF331">
        <v>6.4740277806933005E-2</v>
      </c>
      <c r="AG331">
        <v>-0.24653369999999999</v>
      </c>
      <c r="AH331">
        <v>0.49413896732777801</v>
      </c>
      <c r="AI331">
        <v>116.321052724034</v>
      </c>
      <c r="AJ331">
        <v>82.535831233114195</v>
      </c>
      <c r="AK331">
        <v>0.55600673362646602</v>
      </c>
      <c r="AL331">
        <v>81.878310911689795</v>
      </c>
      <c r="AM331">
        <v>88.278510854442999</v>
      </c>
      <c r="AN331">
        <v>1.00000006135833</v>
      </c>
    </row>
    <row r="332" spans="1:40" x14ac:dyDescent="0.25">
      <c r="A332" t="str">
        <f>"20190303162217605"</f>
        <v>20190303162217605</v>
      </c>
      <c r="B332" t="str">
        <f>"1551601337594814"</f>
        <v>1551601337594814</v>
      </c>
      <c r="C332" t="s">
        <v>40</v>
      </c>
      <c r="D332">
        <v>5.5022900000000003</v>
      </c>
      <c r="E332">
        <v>0.52742679999999997</v>
      </c>
      <c r="F332" t="s">
        <v>42</v>
      </c>
      <c r="G332">
        <v>-430.28160000000003</v>
      </c>
      <c r="H332">
        <v>0.82806000000000002</v>
      </c>
      <c r="I332">
        <v>367.51170000000002</v>
      </c>
      <c r="J332">
        <v>-430.91300000000001</v>
      </c>
      <c r="K332">
        <v>1.0711109999999999</v>
      </c>
      <c r="L332">
        <v>367.58800000000002</v>
      </c>
      <c r="M332">
        <v>0.99989119999999998</v>
      </c>
      <c r="N332">
        <v>-1.4314520000000001E-2</v>
      </c>
      <c r="O332">
        <v>-3.5667390000000002E-3</v>
      </c>
      <c r="P332">
        <v>0.99134500000000003</v>
      </c>
      <c r="Q332">
        <v>0.1270443</v>
      </c>
      <c r="R332">
        <v>-3.3089250000000001E-2</v>
      </c>
      <c r="S332">
        <v>3.1470950000000002</v>
      </c>
      <c r="T332">
        <v>-1.027026</v>
      </c>
      <c r="U332">
        <v>-0.32275389999999998</v>
      </c>
      <c r="V332">
        <v>2.9584900000000001E-2</v>
      </c>
      <c r="W332">
        <v>0.14121689999999901</v>
      </c>
      <c r="X332">
        <v>0.98953650000000004</v>
      </c>
      <c r="Y332">
        <v>9.3606960000000003E-2</v>
      </c>
      <c r="Z332">
        <v>-1.4458739999999999E-2</v>
      </c>
      <c r="AA332">
        <v>0.99550430000000001</v>
      </c>
      <c r="AB332">
        <v>18</v>
      </c>
      <c r="AC332">
        <v>0.63139999999998497</v>
      </c>
      <c r="AD332">
        <v>-0.24305099999999999</v>
      </c>
      <c r="AE332">
        <v>-7.6300000000003296E-2</v>
      </c>
      <c r="AF332">
        <v>6.4611060287475805E-2</v>
      </c>
      <c r="AG332">
        <v>-0.24305099999999999</v>
      </c>
      <c r="AH332">
        <v>0.55117174449010597</v>
      </c>
      <c r="AI332">
        <v>113.652095412194</v>
      </c>
      <c r="AJ332">
        <v>83.314021282876396</v>
      </c>
      <c r="AK332">
        <v>0.60583716429147705</v>
      </c>
      <c r="AL332">
        <v>81.881730735458902</v>
      </c>
      <c r="AM332">
        <v>88.287496103366706</v>
      </c>
      <c r="AN332">
        <v>0.99999998199293405</v>
      </c>
    </row>
    <row r="333" spans="1:40" x14ac:dyDescent="0.25">
      <c r="A333" t="str">
        <f>"20190303162217624"</f>
        <v>20190303162217624</v>
      </c>
      <c r="B333" t="str">
        <f>"1551601337614333"</f>
        <v>1551601337614333</v>
      </c>
      <c r="C333" t="s">
        <v>40</v>
      </c>
      <c r="D333">
        <v>5.5215740000000002</v>
      </c>
      <c r="E333">
        <v>0.52753559999999999</v>
      </c>
      <c r="F333" t="s">
        <v>42</v>
      </c>
      <c r="G333">
        <v>-430.12569999999999</v>
      </c>
      <c r="H333">
        <v>0.81333489999999997</v>
      </c>
      <c r="I333">
        <v>367.50670000000002</v>
      </c>
      <c r="J333">
        <v>-430.75779999999997</v>
      </c>
      <c r="K333">
        <v>1.0711029999999999</v>
      </c>
      <c r="L333">
        <v>367.58730000000003</v>
      </c>
      <c r="M333">
        <v>0.99989119999999998</v>
      </c>
      <c r="N333">
        <v>-1.4288179999999999E-2</v>
      </c>
      <c r="O333">
        <v>-3.6975480000000002E-3</v>
      </c>
      <c r="P333">
        <v>0.99140660000000003</v>
      </c>
      <c r="Q333">
        <v>0.12687809999999999</v>
      </c>
      <c r="R333">
        <v>-3.1862939999999999E-2</v>
      </c>
      <c r="S333">
        <v>3.1474299999999999</v>
      </c>
      <c r="T333">
        <v>-1.0303209999999901</v>
      </c>
      <c r="U333">
        <v>-0.32388309999999998</v>
      </c>
      <c r="V333">
        <v>2.8228409999999999E-2</v>
      </c>
      <c r="W333">
        <v>0.14102579999999901</v>
      </c>
      <c r="X333">
        <v>0.98960340000000002</v>
      </c>
      <c r="Y333">
        <v>9.3787659999999995E-2</v>
      </c>
      <c r="Z333">
        <v>-1.4487999999999999E-2</v>
      </c>
      <c r="AA333">
        <v>0.99548680000000001</v>
      </c>
      <c r="AB333">
        <v>18</v>
      </c>
      <c r="AC333">
        <v>0.63209999999997901</v>
      </c>
      <c r="AD333">
        <v>-0.2577681</v>
      </c>
      <c r="AE333">
        <v>-8.0600000000004002E-2</v>
      </c>
      <c r="AF333">
        <v>6.7256344483929198E-2</v>
      </c>
      <c r="AG333">
        <v>-0.2577681</v>
      </c>
      <c r="AH333">
        <v>0.54346292945032704</v>
      </c>
      <c r="AI333">
        <v>115.20710687655399</v>
      </c>
      <c r="AJ333">
        <v>82.945220881826501</v>
      </c>
      <c r="AK333">
        <v>0.60524355836116295</v>
      </c>
      <c r="AL333">
        <v>81.892790825749501</v>
      </c>
      <c r="AM333">
        <v>88.366082514406898</v>
      </c>
      <c r="AN333">
        <v>1.0000000043441599</v>
      </c>
    </row>
    <row r="334" spans="1:40" x14ac:dyDescent="0.25">
      <c r="A334" t="str">
        <f>"20190303162217648"</f>
        <v>20190303162217648</v>
      </c>
      <c r="B334" t="str">
        <f>"1551601337644590"</f>
        <v>1551601337644590</v>
      </c>
      <c r="C334" t="s">
        <v>40</v>
      </c>
      <c r="D334">
        <v>5.4923599999999997</v>
      </c>
      <c r="E334">
        <v>0.52766089999999999</v>
      </c>
      <c r="F334" t="s">
        <v>42</v>
      </c>
      <c r="G334">
        <v>-429.96539999999999</v>
      </c>
      <c r="H334">
        <v>0.81015400000000004</v>
      </c>
      <c r="I334">
        <v>367.5061</v>
      </c>
      <c r="J334">
        <v>-430.56689999999998</v>
      </c>
      <c r="K334">
        <v>1.0710839999999999</v>
      </c>
      <c r="L334">
        <v>367.58640000000003</v>
      </c>
      <c r="M334">
        <v>0.99989090000000003</v>
      </c>
      <c r="N334">
        <v>-1.425945E-2</v>
      </c>
      <c r="O334">
        <v>-3.858383E-3</v>
      </c>
      <c r="P334">
        <v>0.99139100000000002</v>
      </c>
      <c r="Q334">
        <v>0.1271872</v>
      </c>
      <c r="R334">
        <v>-3.1106769999999999E-2</v>
      </c>
      <c r="S334">
        <v>3.1483460000000001</v>
      </c>
      <c r="T334">
        <v>-1.036797</v>
      </c>
      <c r="U334">
        <v>-0.32180789999999998</v>
      </c>
      <c r="V334">
        <v>2.731306E-2</v>
      </c>
      <c r="W334">
        <v>0.14130609999999999</v>
      </c>
      <c r="X334">
        <v>0.9895891</v>
      </c>
      <c r="Y334">
        <v>9.2946479999999998E-2</v>
      </c>
      <c r="Z334">
        <v>-1.437536E-2</v>
      </c>
      <c r="AA334">
        <v>0.99556730000000004</v>
      </c>
      <c r="AB334">
        <v>18</v>
      </c>
      <c r="AC334">
        <v>0.60149999999998705</v>
      </c>
      <c r="AD334">
        <v>-0.260929999999999</v>
      </c>
      <c r="AE334">
        <v>-8.0300000000022395E-2</v>
      </c>
      <c r="AF334">
        <v>6.5810824964952302E-2</v>
      </c>
      <c r="AG334">
        <v>-0.260929999999999</v>
      </c>
      <c r="AH334">
        <v>0.50790134968629297</v>
      </c>
      <c r="AI334">
        <v>116.998039123288</v>
      </c>
      <c r="AJ334">
        <v>82.617089821959496</v>
      </c>
      <c r="AK334">
        <v>0.57478631733516905</v>
      </c>
      <c r="AL334">
        <v>81.876568346948204</v>
      </c>
      <c r="AM334">
        <v>88.419014651444897</v>
      </c>
      <c r="AN334">
        <v>1.00000000199129</v>
      </c>
    </row>
    <row r="335" spans="1:40" x14ac:dyDescent="0.25">
      <c r="A335" t="str">
        <f>"20190303162217670"</f>
        <v>20190303162217670</v>
      </c>
      <c r="B335" t="str">
        <f>"1551601337666061"</f>
        <v>1551601337666061</v>
      </c>
      <c r="C335" t="s">
        <v>40</v>
      </c>
      <c r="D335">
        <v>5.5003190000000002</v>
      </c>
      <c r="E335">
        <v>0.52773959999999998</v>
      </c>
      <c r="F335" t="s">
        <v>42</v>
      </c>
      <c r="G335">
        <v>-429.80110000000002</v>
      </c>
      <c r="H335">
        <v>0.81780920000000001</v>
      </c>
      <c r="I335">
        <v>367.5077</v>
      </c>
      <c r="J335">
        <v>-430.3852</v>
      </c>
      <c r="K335">
        <v>1.0710740000000001</v>
      </c>
      <c r="L335">
        <v>367.58550000000002</v>
      </c>
      <c r="M335">
        <v>0.99989070000000002</v>
      </c>
      <c r="N335">
        <v>-1.423484E-2</v>
      </c>
      <c r="O335">
        <v>-4.0118530000000001E-3</v>
      </c>
      <c r="P335">
        <v>0.99145700000000003</v>
      </c>
      <c r="Q335">
        <v>0.12684400000000001</v>
      </c>
      <c r="R335">
        <v>-3.0394089999999999E-2</v>
      </c>
      <c r="S335">
        <v>3.149597</v>
      </c>
      <c r="T335">
        <v>-1.0416219999999901</v>
      </c>
      <c r="U335">
        <v>-0.3218994</v>
      </c>
      <c r="V335">
        <v>2.6447680000000001E-2</v>
      </c>
      <c r="W335">
        <v>0.1409398</v>
      </c>
      <c r="X335">
        <v>0.98966489999999996</v>
      </c>
      <c r="Y335">
        <v>9.276065E-2</v>
      </c>
      <c r="Z335">
        <v>-1.4350949999999999E-2</v>
      </c>
      <c r="AA335">
        <v>0.99558500000000005</v>
      </c>
      <c r="AB335">
        <v>18</v>
      </c>
      <c r="AC335">
        <v>0.58409999999997797</v>
      </c>
      <c r="AD335">
        <v>-0.25326480000000001</v>
      </c>
      <c r="AE335">
        <v>-7.7800000000024697E-2</v>
      </c>
      <c r="AF335">
        <v>6.36902934014653E-2</v>
      </c>
      <c r="AG335">
        <v>-0.25326480000000001</v>
      </c>
      <c r="AH335">
        <v>0.49328316198497502</v>
      </c>
      <c r="AI335">
        <v>116.98519405017301</v>
      </c>
      <c r="AJ335">
        <v>82.642953228539696</v>
      </c>
      <c r="AK335">
        <v>0.55814674619717997</v>
      </c>
      <c r="AL335">
        <v>81.897768433542495</v>
      </c>
      <c r="AM335">
        <v>88.4691991584032</v>
      </c>
      <c r="AN335">
        <v>1.0000000606467101</v>
      </c>
    </row>
    <row r="336" spans="1:40" x14ac:dyDescent="0.25">
      <c r="A336" t="str">
        <f>"20190303162217691"</f>
        <v>20190303162217691</v>
      </c>
      <c r="B336" t="str">
        <f>"1551601337684606"</f>
        <v>1551601337684606</v>
      </c>
      <c r="C336" t="s">
        <v>40</v>
      </c>
      <c r="D336">
        <v>5.495787</v>
      </c>
      <c r="E336">
        <v>0.52787419999999996</v>
      </c>
      <c r="F336" t="s">
        <v>42</v>
      </c>
      <c r="G336">
        <v>-429.63819999999998</v>
      </c>
      <c r="H336">
        <v>0.82295200000000002</v>
      </c>
      <c r="I336">
        <v>367.50920000000002</v>
      </c>
      <c r="J336">
        <v>-430.21289999999999</v>
      </c>
      <c r="K336">
        <v>1.0710649999999999</v>
      </c>
      <c r="L336">
        <v>367.5847</v>
      </c>
      <c r="M336">
        <v>0.99989039999999996</v>
      </c>
      <c r="N336">
        <v>-1.421383E-2</v>
      </c>
      <c r="O336">
        <v>-4.157839E-3</v>
      </c>
      <c r="P336">
        <v>0.99146619999999996</v>
      </c>
      <c r="Q336">
        <v>0.126915</v>
      </c>
      <c r="R336">
        <v>-2.9795100000000001E-2</v>
      </c>
      <c r="S336">
        <v>3.1498110000000001</v>
      </c>
      <c r="T336">
        <v>-1.0461739999999999</v>
      </c>
      <c r="U336">
        <v>-0.32104490000000002</v>
      </c>
      <c r="V336">
        <v>2.5703719999999999E-2</v>
      </c>
      <c r="W336">
        <v>0.14099039999999999</v>
      </c>
      <c r="X336">
        <v>0.98967729999999998</v>
      </c>
      <c r="Y336">
        <v>9.2331969999999999E-2</v>
      </c>
      <c r="Z336">
        <v>-1.428839E-2</v>
      </c>
      <c r="AA336">
        <v>0.99562569999999995</v>
      </c>
      <c r="AB336">
        <v>18</v>
      </c>
      <c r="AC336">
        <v>0.57470000000000698</v>
      </c>
      <c r="AD336">
        <v>-0.248112999999999</v>
      </c>
      <c r="AE336">
        <v>-7.5499999999976794E-2</v>
      </c>
      <c r="AF336">
        <v>6.1788404018899797E-2</v>
      </c>
      <c r="AG336">
        <v>-0.248112999999999</v>
      </c>
      <c r="AH336">
        <v>0.48596749462788702</v>
      </c>
      <c r="AI336">
        <v>116.861179275016</v>
      </c>
      <c r="AJ336">
        <v>82.753999318672896</v>
      </c>
      <c r="AK336">
        <v>0.54912864929368599</v>
      </c>
      <c r="AL336">
        <v>81.894840070554096</v>
      </c>
      <c r="AM336">
        <v>88.512258819099998</v>
      </c>
      <c r="AN336">
        <v>1.00000006612464</v>
      </c>
    </row>
    <row r="337" spans="1:40" x14ac:dyDescent="0.25">
      <c r="A337" t="str">
        <f>"20190303162217714"</f>
        <v>20190303162217714</v>
      </c>
      <c r="B337" t="str">
        <f>"1551601337704125"</f>
        <v>1551601337704125</v>
      </c>
      <c r="C337" t="s">
        <v>40</v>
      </c>
      <c r="D337">
        <v>5.4750909999999999</v>
      </c>
      <c r="E337">
        <v>0.52799669999999999</v>
      </c>
      <c r="F337" t="s">
        <v>42</v>
      </c>
      <c r="G337">
        <v>-429.47649999999999</v>
      </c>
      <c r="H337">
        <v>0.82587029999999995</v>
      </c>
      <c r="I337">
        <v>367.5095</v>
      </c>
      <c r="J337">
        <v>-430.03320000000002</v>
      </c>
      <c r="K337">
        <v>1.0710550000000001</v>
      </c>
      <c r="L337">
        <v>367.58370000000002</v>
      </c>
      <c r="M337">
        <v>0.99988999999999995</v>
      </c>
      <c r="N337">
        <v>-1.419405E-2</v>
      </c>
      <c r="O337">
        <v>-4.3096760000000001E-3</v>
      </c>
      <c r="P337">
        <v>0.9914598</v>
      </c>
      <c r="Q337">
        <v>0.12695909999999999</v>
      </c>
      <c r="R337">
        <v>-2.9812519999999999E-2</v>
      </c>
      <c r="S337">
        <v>3.1504210000000001</v>
      </c>
      <c r="T337">
        <v>-1.0488869999999999</v>
      </c>
      <c r="U337">
        <v>-0.32025150000000002</v>
      </c>
      <c r="V337">
        <v>2.5570530000000001E-2</v>
      </c>
      <c r="W337">
        <v>0.14101540000000001</v>
      </c>
      <c r="X337">
        <v>0.98967709999999998</v>
      </c>
      <c r="Y337">
        <v>9.1921180000000005E-2</v>
      </c>
      <c r="Z337">
        <v>-1.4202040000000001E-2</v>
      </c>
      <c r="AA337">
        <v>0.99566500000000002</v>
      </c>
      <c r="AB337">
        <v>18</v>
      </c>
      <c r="AC337">
        <v>0.55670000000003395</v>
      </c>
      <c r="AD337">
        <v>-0.24518469999999901</v>
      </c>
      <c r="AE337">
        <v>-7.4200000000018904E-2</v>
      </c>
      <c r="AF337">
        <v>6.0306201781925299E-2</v>
      </c>
      <c r="AG337">
        <v>-0.24518469999999901</v>
      </c>
      <c r="AH337">
        <v>0.46784814590909701</v>
      </c>
      <c r="AI337">
        <v>117.463996754373</v>
      </c>
      <c r="AJ337">
        <v>82.655005133867405</v>
      </c>
      <c r="AK337">
        <v>0.53163357937402</v>
      </c>
      <c r="AL337">
        <v>81.893392507085196</v>
      </c>
      <c r="AM337">
        <v>88.519964170660302</v>
      </c>
      <c r="AN337">
        <v>0.99999997865302503</v>
      </c>
    </row>
    <row r="338" spans="1:40" x14ac:dyDescent="0.25">
      <c r="A338" t="str">
        <f>"20190303162217747"</f>
        <v>20190303162217747</v>
      </c>
      <c r="B338" t="str">
        <f>"1551601337734382"</f>
        <v>1551601337734382</v>
      </c>
      <c r="C338" t="s">
        <v>40</v>
      </c>
      <c r="D338">
        <v>5.4686279999999998</v>
      </c>
      <c r="E338">
        <v>0.52821319999999905</v>
      </c>
      <c r="F338" t="s">
        <v>42</v>
      </c>
      <c r="G338">
        <v>-429.3141</v>
      </c>
      <c r="H338">
        <v>0.83115289999999997</v>
      </c>
      <c r="I338">
        <v>367.50979999999998</v>
      </c>
      <c r="J338">
        <v>-429.77330000000001</v>
      </c>
      <c r="K338">
        <v>1.0710470000000001</v>
      </c>
      <c r="L338">
        <v>367.58229999999998</v>
      </c>
      <c r="M338">
        <v>0.99988940000000004</v>
      </c>
      <c r="N338">
        <v>-1.416883E-2</v>
      </c>
      <c r="O338">
        <v>-4.5296579999999998E-3</v>
      </c>
      <c r="P338">
        <v>0.99134100000000003</v>
      </c>
      <c r="Q338">
        <v>0.12783800000000001</v>
      </c>
      <c r="R338">
        <v>-3.0005859999999999E-2</v>
      </c>
      <c r="S338">
        <v>3.150757</v>
      </c>
      <c r="T338">
        <v>-1.051145</v>
      </c>
      <c r="U338">
        <v>-0.32247920000000002</v>
      </c>
      <c r="V338">
        <v>2.5546320000000001E-2</v>
      </c>
      <c r="W338">
        <v>0.1418674</v>
      </c>
      <c r="X338">
        <v>0.98955599999999999</v>
      </c>
      <c r="Y338">
        <v>9.2356369999999993E-2</v>
      </c>
      <c r="Z338">
        <v>-1.423198E-2</v>
      </c>
      <c r="AA338">
        <v>0.99562430000000002</v>
      </c>
      <c r="AB338">
        <v>18</v>
      </c>
      <c r="AC338">
        <v>0.45920000000000899</v>
      </c>
      <c r="AD338">
        <v>-0.239894099999999</v>
      </c>
      <c r="AE338">
        <v>-7.2499999999990905E-2</v>
      </c>
      <c r="AF338">
        <v>5.56108424018548E-2</v>
      </c>
      <c r="AG338">
        <v>-0.239894099999999</v>
      </c>
      <c r="AH338">
        <v>0.36289198855054899</v>
      </c>
      <c r="AI338">
        <v>123.161967220135</v>
      </c>
      <c r="AJ338">
        <v>81.2875713303509</v>
      </c>
      <c r="AK338">
        <v>0.43855711185844998</v>
      </c>
      <c r="AL338">
        <v>81.844081134747299</v>
      </c>
      <c r="AM338">
        <v>88.521183963665294</v>
      </c>
      <c r="AN338">
        <v>1.0000000253921499</v>
      </c>
    </row>
    <row r="339" spans="1:40" x14ac:dyDescent="0.25">
      <c r="A339" t="str">
        <f>"20190303162217769"</f>
        <v>20190303162217769</v>
      </c>
      <c r="B339" t="str">
        <f>"1551601337764637"</f>
        <v>1551601337764637</v>
      </c>
      <c r="C339" t="s">
        <v>40</v>
      </c>
      <c r="D339">
        <v>5.4781250000000004</v>
      </c>
      <c r="E339">
        <v>0.52842679999999997</v>
      </c>
      <c r="F339" t="s">
        <v>42</v>
      </c>
      <c r="G339">
        <v>-429.00170000000003</v>
      </c>
      <c r="H339">
        <v>0.81358350000000002</v>
      </c>
      <c r="I339">
        <v>367.50240000000002</v>
      </c>
      <c r="J339">
        <v>-429.59129999999999</v>
      </c>
      <c r="K339">
        <v>1.071048</v>
      </c>
      <c r="L339">
        <v>367.5813</v>
      </c>
      <c r="M339">
        <v>0.99988900000000003</v>
      </c>
      <c r="N339">
        <v>-1.415335E-2</v>
      </c>
      <c r="O339">
        <v>-4.6836710000000004E-3</v>
      </c>
      <c r="P339">
        <v>0.99130309999999999</v>
      </c>
      <c r="Q339">
        <v>0.12806780000000001</v>
      </c>
      <c r="R339">
        <v>-3.0282710000000001E-2</v>
      </c>
      <c r="S339">
        <v>3.1519780000000002</v>
      </c>
      <c r="T339">
        <v>-1.05176</v>
      </c>
      <c r="U339">
        <v>-0.32571409999999901</v>
      </c>
      <c r="V339">
        <v>2.567053E-2</v>
      </c>
      <c r="W339">
        <v>0.14208119999999999</v>
      </c>
      <c r="X339">
        <v>0.98952209999999996</v>
      </c>
      <c r="Y339">
        <v>9.3137860000000003E-2</v>
      </c>
      <c r="Z339">
        <v>-1.4317649999999999E-2</v>
      </c>
      <c r="AA339">
        <v>0.9955503</v>
      </c>
      <c r="AB339">
        <v>18</v>
      </c>
      <c r="AC339">
        <v>0.58959999999996104</v>
      </c>
      <c r="AD339">
        <v>-0.25746449999999999</v>
      </c>
      <c r="AE339">
        <v>-7.8899999999975906E-2</v>
      </c>
      <c r="AF339">
        <v>6.4124762222420598E-2</v>
      </c>
      <c r="AG339">
        <v>-0.25746449999999999</v>
      </c>
      <c r="AH339">
        <v>0.49688144322719102</v>
      </c>
      <c r="AI339">
        <v>117.198585917198</v>
      </c>
      <c r="AJ339">
        <v>82.646369865802896</v>
      </c>
      <c r="AK339">
        <v>0.56328600418780905</v>
      </c>
      <c r="AL339">
        <v>81.831705855015798</v>
      </c>
      <c r="AM339">
        <v>88.513946070628194</v>
      </c>
      <c r="AN339">
        <v>1.0000000149461601</v>
      </c>
    </row>
    <row r="340" spans="1:40" x14ac:dyDescent="0.25">
      <c r="A340" t="str">
        <f>"20190303162217790"</f>
        <v>20190303162217790</v>
      </c>
      <c r="B340" t="str">
        <f>"1551601337784158"</f>
        <v>1551601337784158</v>
      </c>
      <c r="C340" t="s">
        <v>40</v>
      </c>
      <c r="D340">
        <v>5.4616920000000002</v>
      </c>
      <c r="E340">
        <v>0.52854259999999997</v>
      </c>
      <c r="F340" t="s">
        <v>42</v>
      </c>
      <c r="G340">
        <v>-428.8399</v>
      </c>
      <c r="H340">
        <v>0.81993259999999901</v>
      </c>
      <c r="I340">
        <v>367.50290000000001</v>
      </c>
      <c r="J340">
        <v>-429.41910000000001</v>
      </c>
      <c r="K340">
        <v>1.0710459999999999</v>
      </c>
      <c r="L340">
        <v>367.5804</v>
      </c>
      <c r="M340">
        <v>0.99988840000000001</v>
      </c>
      <c r="N340">
        <v>-1.413994E-2</v>
      </c>
      <c r="O340">
        <v>-4.8293540000000001E-3</v>
      </c>
      <c r="P340">
        <v>0.99120070000000005</v>
      </c>
      <c r="Q340">
        <v>0.12873370000000001</v>
      </c>
      <c r="R340">
        <v>-3.0808160000000001E-2</v>
      </c>
      <c r="S340">
        <v>3.152374</v>
      </c>
      <c r="T340">
        <v>-1.0535650000000001</v>
      </c>
      <c r="U340">
        <v>-0.32781979999999999</v>
      </c>
      <c r="V340">
        <v>2.6052039999999999E-2</v>
      </c>
      <c r="W340">
        <v>0.14273250000000001</v>
      </c>
      <c r="X340">
        <v>0.98941840000000003</v>
      </c>
      <c r="Y340">
        <v>9.3604469999999995E-2</v>
      </c>
      <c r="Z340">
        <v>-1.4370910000000001E-2</v>
      </c>
      <c r="AA340">
        <v>0.9955058</v>
      </c>
      <c r="AB340">
        <v>18</v>
      </c>
      <c r="AC340">
        <v>0.57920000000001404</v>
      </c>
      <c r="AD340">
        <v>-0.25111339999999999</v>
      </c>
      <c r="AE340">
        <v>-7.7499999999986302E-2</v>
      </c>
      <c r="AF340">
        <v>6.3057393647538207E-2</v>
      </c>
      <c r="AG340">
        <v>-0.25111339999999999</v>
      </c>
      <c r="AH340">
        <v>0.489226373065203</v>
      </c>
      <c r="AI340">
        <v>116.97952778987</v>
      </c>
      <c r="AJ340">
        <v>82.655522147624694</v>
      </c>
      <c r="AK340">
        <v>0.55351297966327195</v>
      </c>
      <c r="AL340">
        <v>81.794004938021203</v>
      </c>
      <c r="AM340">
        <v>88.491712783172801</v>
      </c>
      <c r="AN340">
        <v>1.00000002280148</v>
      </c>
    </row>
    <row r="341" spans="1:40" x14ac:dyDescent="0.25">
      <c r="A341" t="str">
        <f>"20190303162217814"</f>
        <v>20190303162217814</v>
      </c>
      <c r="B341" t="str">
        <f>"1551601337804654"</f>
        <v>1551601337804654</v>
      </c>
      <c r="C341" t="s">
        <v>40</v>
      </c>
      <c r="D341">
        <v>5.4779030000000004</v>
      </c>
      <c r="E341">
        <v>0.52866569999999902</v>
      </c>
      <c r="F341" t="s">
        <v>42</v>
      </c>
      <c r="G341">
        <v>-428.67939999999999</v>
      </c>
      <c r="H341">
        <v>0.82390069999999904</v>
      </c>
      <c r="I341">
        <v>367.50279999999998</v>
      </c>
      <c r="J341">
        <v>-429.2346</v>
      </c>
      <c r="K341">
        <v>1.071042</v>
      </c>
      <c r="L341">
        <v>367.57929999999999</v>
      </c>
      <c r="M341">
        <v>0.99988779999999999</v>
      </c>
      <c r="N341">
        <v>-1.412676E-2</v>
      </c>
      <c r="O341">
        <v>-4.9849359999999997E-3</v>
      </c>
      <c r="P341">
        <v>0.991124</v>
      </c>
      <c r="Q341">
        <v>0.12919810000000001</v>
      </c>
      <c r="R341">
        <v>-3.1321729999999999E-2</v>
      </c>
      <c r="S341">
        <v>3.1532290000000001</v>
      </c>
      <c r="T341">
        <v>-1.053572</v>
      </c>
      <c r="U341">
        <v>-0.33041379999999998</v>
      </c>
      <c r="V341">
        <v>2.641187E-2</v>
      </c>
      <c r="W341">
        <v>0.1431828</v>
      </c>
      <c r="X341">
        <v>0.9893438</v>
      </c>
      <c r="Y341">
        <v>9.4208929999999996E-2</v>
      </c>
      <c r="Z341">
        <v>-1.442042E-2</v>
      </c>
      <c r="AA341">
        <v>0.995448</v>
      </c>
      <c r="AB341">
        <v>18</v>
      </c>
      <c r="AC341">
        <v>0.55520000000001302</v>
      </c>
      <c r="AD341">
        <v>-0.24714130000000001</v>
      </c>
      <c r="AE341">
        <v>-7.6500000000009893E-2</v>
      </c>
      <c r="AF341">
        <v>6.1727741916652701E-2</v>
      </c>
      <c r="AG341">
        <v>-0.24714130000000001</v>
      </c>
      <c r="AH341">
        <v>0.46512721806902702</v>
      </c>
      <c r="AI341">
        <v>117.776813680487</v>
      </c>
      <c r="AJ341">
        <v>82.440364228375103</v>
      </c>
      <c r="AK341">
        <v>0.53031355373632605</v>
      </c>
      <c r="AL341">
        <v>81.767936940807502</v>
      </c>
      <c r="AM341">
        <v>88.470774942766994</v>
      </c>
      <c r="AN341">
        <v>1.0000000278455801</v>
      </c>
    </row>
    <row r="342" spans="1:40" x14ac:dyDescent="0.25">
      <c r="A342" t="str">
        <f>"20190303162217837"</f>
        <v>20190303162217837</v>
      </c>
      <c r="B342" t="str">
        <f>"1551601337834909"</f>
        <v>1551601337834909</v>
      </c>
      <c r="C342" t="s">
        <v>40</v>
      </c>
      <c r="D342">
        <v>5.5024069999999998</v>
      </c>
      <c r="E342">
        <v>0.52882869999999904</v>
      </c>
      <c r="F342" t="s">
        <v>42</v>
      </c>
      <c r="G342">
        <v>-428.51769999999999</v>
      </c>
      <c r="H342">
        <v>0.83153639999999995</v>
      </c>
      <c r="I342">
        <v>367.50310000000002</v>
      </c>
      <c r="J342">
        <v>-429.0532</v>
      </c>
      <c r="K342">
        <v>1.0710440000000001</v>
      </c>
      <c r="L342">
        <v>367.57819999999998</v>
      </c>
      <c r="M342">
        <v>0.99988719999999998</v>
      </c>
      <c r="N342">
        <v>-1.411483E-2</v>
      </c>
      <c r="O342">
        <v>-5.1381439999999999E-3</v>
      </c>
      <c r="P342">
        <v>0.99100869999999996</v>
      </c>
      <c r="Q342">
        <v>0.1300915</v>
      </c>
      <c r="R342">
        <v>-3.127315E-2</v>
      </c>
      <c r="S342">
        <v>3.1536870000000001</v>
      </c>
      <c r="T342">
        <v>-1.0535589999999999</v>
      </c>
      <c r="U342">
        <v>-0.33303829999999901</v>
      </c>
      <c r="V342">
        <v>2.621211E-2</v>
      </c>
      <c r="W342">
        <v>0.14406289999999999</v>
      </c>
      <c r="X342">
        <v>0.98922129999999997</v>
      </c>
      <c r="Y342">
        <v>9.4835450000000002E-2</v>
      </c>
      <c r="Z342">
        <v>-1.447581E-2</v>
      </c>
      <c r="AA342">
        <v>0.99538769999999999</v>
      </c>
      <c r="AB342">
        <v>18</v>
      </c>
      <c r="AC342">
        <v>0.53550000000001297</v>
      </c>
      <c r="AD342">
        <v>-0.23950759999999999</v>
      </c>
      <c r="AE342">
        <v>-7.5099999999963502E-2</v>
      </c>
      <c r="AF342">
        <v>6.0481776368640897E-2</v>
      </c>
      <c r="AG342">
        <v>-0.23950759999999999</v>
      </c>
      <c r="AH342">
        <v>0.44799077542504301</v>
      </c>
      <c r="AI342">
        <v>117.91551642188401</v>
      </c>
      <c r="AJ342">
        <v>82.311172689019401</v>
      </c>
      <c r="AK342">
        <v>0.51158349327983399</v>
      </c>
      <c r="AL342">
        <v>81.716982316473207</v>
      </c>
      <c r="AM342">
        <v>88.482147597184394</v>
      </c>
      <c r="AN342">
        <v>0.99999998712037597</v>
      </c>
    </row>
    <row r="343" spans="1:40" x14ac:dyDescent="0.25">
      <c r="A343" t="str">
        <f>"20190303162217860"</f>
        <v>20190303162217860</v>
      </c>
      <c r="B343" t="str">
        <f>"1551601337854430"</f>
        <v>1551601337854430</v>
      </c>
      <c r="C343" t="s">
        <v>40</v>
      </c>
      <c r="D343">
        <v>5.4734369999999997</v>
      </c>
      <c r="E343">
        <v>0.52890219999999999</v>
      </c>
      <c r="F343" t="s">
        <v>42</v>
      </c>
      <c r="G343">
        <v>-428.35660000000001</v>
      </c>
      <c r="H343">
        <v>0.83851049999999905</v>
      </c>
      <c r="I343">
        <v>367.5043</v>
      </c>
      <c r="J343">
        <v>-428.87479999999999</v>
      </c>
      <c r="K343">
        <v>1.0710409999999999</v>
      </c>
      <c r="L343">
        <v>367.57709999999997</v>
      </c>
      <c r="M343">
        <v>0.99988659999999996</v>
      </c>
      <c r="N343">
        <v>-1.410405E-2</v>
      </c>
      <c r="O343">
        <v>-5.2893280000000003E-3</v>
      </c>
      <c r="P343">
        <v>0.99091850000000004</v>
      </c>
      <c r="Q343">
        <v>0.13088250000000001</v>
      </c>
      <c r="R343">
        <v>-3.0826050000000001E-2</v>
      </c>
      <c r="S343">
        <v>3.154938</v>
      </c>
      <c r="T343">
        <v>-1.053242</v>
      </c>
      <c r="U343">
        <v>-0.33398440000000001</v>
      </c>
      <c r="V343">
        <v>2.5615849999999999E-2</v>
      </c>
      <c r="W343">
        <v>0.1448419</v>
      </c>
      <c r="X343">
        <v>0.98912319999999998</v>
      </c>
      <c r="Y343">
        <v>9.4947240000000002E-2</v>
      </c>
      <c r="Z343">
        <v>-1.443796E-2</v>
      </c>
      <c r="AA343">
        <v>0.99537759999999997</v>
      </c>
      <c r="AB343">
        <v>18</v>
      </c>
      <c r="AC343">
        <v>0.51819999999997801</v>
      </c>
      <c r="AD343">
        <v>-0.2325305</v>
      </c>
      <c r="AE343">
        <v>-7.2799999999972401E-2</v>
      </c>
      <c r="AF343">
        <v>5.8505363783824003E-2</v>
      </c>
      <c r="AG343">
        <v>-0.2325305</v>
      </c>
      <c r="AH343">
        <v>0.43306519548000499</v>
      </c>
      <c r="AI343">
        <v>118.017770014766</v>
      </c>
      <c r="AJ343">
        <v>82.306151896075804</v>
      </c>
      <c r="AK343">
        <v>0.49501391349926899</v>
      </c>
      <c r="AL343">
        <v>81.671876142543198</v>
      </c>
      <c r="AM343">
        <v>88.5165122908992</v>
      </c>
      <c r="AN343">
        <v>1.0000000262725299</v>
      </c>
    </row>
    <row r="344" spans="1:40" x14ac:dyDescent="0.25">
      <c r="A344" t="str">
        <f>"20190303162217882"</f>
        <v>20190303162217882</v>
      </c>
      <c r="B344" t="str">
        <f>"1551601337874925"</f>
        <v>1551601337874925</v>
      </c>
      <c r="C344" t="s">
        <v>40</v>
      </c>
      <c r="D344">
        <v>5.4905920000000004</v>
      </c>
      <c r="E344">
        <v>0.52898710000000004</v>
      </c>
      <c r="F344" t="s">
        <v>42</v>
      </c>
      <c r="G344">
        <v>-428.1961</v>
      </c>
      <c r="H344">
        <v>0.84487080000000003</v>
      </c>
      <c r="I344">
        <v>367.50439999999998</v>
      </c>
      <c r="J344">
        <v>-428.69850000000002</v>
      </c>
      <c r="K344">
        <v>1.071042</v>
      </c>
      <c r="L344">
        <v>367.57600000000002</v>
      </c>
      <c r="M344">
        <v>0.99988589999999999</v>
      </c>
      <c r="N344">
        <v>-1.409436E-2</v>
      </c>
      <c r="O344">
        <v>-5.4386149999999999E-3</v>
      </c>
      <c r="P344">
        <v>0.99093989999999998</v>
      </c>
      <c r="Q344">
        <v>0.13078000000000001</v>
      </c>
      <c r="R344">
        <v>-3.0578040000000001E-2</v>
      </c>
      <c r="S344">
        <v>3.1559140000000001</v>
      </c>
      <c r="T344">
        <v>-1.0515650000000001</v>
      </c>
      <c r="U344">
        <v>-0.33520509999999998</v>
      </c>
      <c r="V344">
        <v>2.5219289999999998E-2</v>
      </c>
      <c r="W344">
        <v>0.1447301</v>
      </c>
      <c r="X344">
        <v>0.98914970000000002</v>
      </c>
      <c r="Y344">
        <v>9.5161259999999998E-2</v>
      </c>
      <c r="Z344">
        <v>-1.4402409999999999E-2</v>
      </c>
      <c r="AA344">
        <v>0.99535770000000001</v>
      </c>
      <c r="AB344">
        <v>18</v>
      </c>
      <c r="AC344">
        <v>0.50240000000002205</v>
      </c>
      <c r="AD344">
        <v>-0.22617119999999999</v>
      </c>
      <c r="AE344">
        <v>-7.1599999999989394E-2</v>
      </c>
      <c r="AF344">
        <v>5.7454227996035001E-2</v>
      </c>
      <c r="AG344">
        <v>-0.22617119999999999</v>
      </c>
      <c r="AH344">
        <v>0.41946421445906601</v>
      </c>
      <c r="AI344">
        <v>118.111262417357</v>
      </c>
      <c r="AJ344">
        <v>82.200700148452398</v>
      </c>
      <c r="AK344">
        <v>0.48000482001311401</v>
      </c>
      <c r="AL344">
        <v>81.678349568710701</v>
      </c>
      <c r="AM344">
        <v>88.539507309617605</v>
      </c>
      <c r="AN344">
        <v>0.99999997172210098</v>
      </c>
    </row>
    <row r="345" spans="1:40" x14ac:dyDescent="0.25">
      <c r="A345" t="str">
        <f>"20190303162217904"</f>
        <v>20190303162217904</v>
      </c>
      <c r="B345" t="str">
        <f>"1551601337894447"</f>
        <v>1551601337894447</v>
      </c>
      <c r="C345" t="s">
        <v>40</v>
      </c>
      <c r="D345">
        <v>5.4970589999999904</v>
      </c>
      <c r="E345">
        <v>0.5291167</v>
      </c>
      <c r="F345" t="s">
        <v>42</v>
      </c>
      <c r="G345">
        <v>-428.03620000000001</v>
      </c>
      <c r="H345">
        <v>0.85003790000000001</v>
      </c>
      <c r="I345">
        <v>367.50569999999999</v>
      </c>
      <c r="J345">
        <v>-428.5342</v>
      </c>
      <c r="K345">
        <v>1.0710440000000001</v>
      </c>
      <c r="L345">
        <v>367.57490000000001</v>
      </c>
      <c r="M345">
        <v>0.99988520000000003</v>
      </c>
      <c r="N345">
        <v>-1.408587E-2</v>
      </c>
      <c r="O345">
        <v>-5.5776619999999997E-3</v>
      </c>
      <c r="P345">
        <v>0.99090120000000004</v>
      </c>
      <c r="Q345">
        <v>0.1310403</v>
      </c>
      <c r="R345">
        <v>-3.0708639999999999E-2</v>
      </c>
      <c r="S345">
        <v>3.1560969999999999</v>
      </c>
      <c r="T345">
        <v>-1.053285</v>
      </c>
      <c r="U345">
        <v>-0.33477780000000001</v>
      </c>
      <c r="V345">
        <v>2.5212430000000001E-2</v>
      </c>
      <c r="W345">
        <v>0.14498150000000001</v>
      </c>
      <c r="X345">
        <v>0.98911309999999997</v>
      </c>
      <c r="Y345">
        <v>9.4890489999999994E-2</v>
      </c>
      <c r="Z345">
        <v>-1.4333510000000001E-2</v>
      </c>
      <c r="AA345">
        <v>0.99538450000000001</v>
      </c>
      <c r="AB345">
        <v>18</v>
      </c>
      <c r="AC345">
        <v>0.49799999999999001</v>
      </c>
      <c r="AD345">
        <v>-0.22100610000000001</v>
      </c>
      <c r="AE345">
        <v>-6.9200000000023396E-2</v>
      </c>
      <c r="AF345">
        <v>5.5665484705129602E-2</v>
      </c>
      <c r="AG345">
        <v>-0.22100610000000001</v>
      </c>
      <c r="AH345">
        <v>0.41767632759839202</v>
      </c>
      <c r="AI345">
        <v>117.676781648966</v>
      </c>
      <c r="AJ345">
        <v>82.408684719819306</v>
      </c>
      <c r="AK345">
        <v>0.47581073659675399</v>
      </c>
      <c r="AL345">
        <v>81.663792214843397</v>
      </c>
      <c r="AM345">
        <v>88.539850407779099</v>
      </c>
      <c r="AN345">
        <v>1.0000000132801801</v>
      </c>
    </row>
    <row r="346" spans="1:40" x14ac:dyDescent="0.25">
      <c r="A346" t="str">
        <f>"20190303162217925"</f>
        <v>20190303162217925</v>
      </c>
      <c r="B346" t="str">
        <f>"1551601337914942"</f>
        <v>1551601337914942</v>
      </c>
      <c r="C346" t="s">
        <v>40</v>
      </c>
      <c r="D346">
        <v>5.5024069999999998</v>
      </c>
      <c r="E346">
        <v>0.52928850000000005</v>
      </c>
      <c r="F346" t="s">
        <v>42</v>
      </c>
      <c r="G346">
        <v>-427.7398</v>
      </c>
      <c r="H346">
        <v>0.80597450000000004</v>
      </c>
      <c r="I346">
        <v>367.49009999999998</v>
      </c>
      <c r="J346">
        <v>-428.35989999999998</v>
      </c>
      <c r="K346">
        <v>1.0710459999999999</v>
      </c>
      <c r="L346">
        <v>367.57380000000001</v>
      </c>
      <c r="M346">
        <v>0.99988469999999996</v>
      </c>
      <c r="N346">
        <v>-1.407741E-2</v>
      </c>
      <c r="O346">
        <v>-5.725529E-3</v>
      </c>
      <c r="P346">
        <v>0.9908901</v>
      </c>
      <c r="Q346">
        <v>0.1310568</v>
      </c>
      <c r="R346">
        <v>-3.1007460000000001E-2</v>
      </c>
      <c r="S346">
        <v>3.1563720000000002</v>
      </c>
      <c r="T346">
        <v>-1.053088</v>
      </c>
      <c r="U346">
        <v>-0.33563229999999999</v>
      </c>
      <c r="V346">
        <v>2.5364459999999998E-2</v>
      </c>
      <c r="W346">
        <v>0.1449896</v>
      </c>
      <c r="X346">
        <v>0.98910799999999999</v>
      </c>
      <c r="Y346">
        <v>9.5004569999999997E-2</v>
      </c>
      <c r="Z346">
        <v>-1.4302789999999999E-2</v>
      </c>
      <c r="AA346">
        <v>0.99537410000000004</v>
      </c>
      <c r="AB346">
        <v>18</v>
      </c>
      <c r="AC346">
        <v>0.620099999999979</v>
      </c>
      <c r="AD346">
        <v>-0.26507149999999902</v>
      </c>
      <c r="AE346">
        <v>-8.3700000000021604E-2</v>
      </c>
      <c r="AF346">
        <v>6.7953176096400503E-2</v>
      </c>
      <c r="AG346">
        <v>-0.26507149999999902</v>
      </c>
      <c r="AH346">
        <v>0.526147964854496</v>
      </c>
      <c r="AI346">
        <v>116.548850287162</v>
      </c>
      <c r="AJ346">
        <v>82.640860165166302</v>
      </c>
      <c r="AK346">
        <v>0.59305329876358204</v>
      </c>
      <c r="AL346">
        <v>81.663322949008204</v>
      </c>
      <c r="AM346">
        <v>88.531042036281704</v>
      </c>
      <c r="AN346">
        <v>0.99999998780162502</v>
      </c>
    </row>
    <row r="347" spans="1:40" x14ac:dyDescent="0.25">
      <c r="A347" t="str">
        <f>"20190303162217948"</f>
        <v>20190303162217948</v>
      </c>
      <c r="B347" t="str">
        <f>"1551601337944222"</f>
        <v>1551601337944222</v>
      </c>
      <c r="C347" t="s">
        <v>40</v>
      </c>
      <c r="D347">
        <v>5.5055719999999999</v>
      </c>
      <c r="E347">
        <v>0.52952299999999997</v>
      </c>
      <c r="F347" t="s">
        <v>42</v>
      </c>
      <c r="G347">
        <v>-427.58109999999999</v>
      </c>
      <c r="H347">
        <v>0.81112550000000005</v>
      </c>
      <c r="I347">
        <v>367.49040000000002</v>
      </c>
      <c r="J347">
        <v>-428.18119999999999</v>
      </c>
      <c r="K347">
        <v>1.0710459999999999</v>
      </c>
      <c r="L347">
        <v>367.57249999999999</v>
      </c>
      <c r="M347">
        <v>0.99988390000000005</v>
      </c>
      <c r="N347">
        <v>-1.406922E-2</v>
      </c>
      <c r="O347">
        <v>-5.8766169999999998E-3</v>
      </c>
      <c r="P347">
        <v>0.99084680000000003</v>
      </c>
      <c r="Q347">
        <v>0.1313481</v>
      </c>
      <c r="R347">
        <v>-3.11542E-2</v>
      </c>
      <c r="S347">
        <v>3.1563720000000002</v>
      </c>
      <c r="T347">
        <v>-1.053412</v>
      </c>
      <c r="U347">
        <v>-0.33712769999999997</v>
      </c>
      <c r="V347">
        <v>2.53619E-2</v>
      </c>
      <c r="W347">
        <v>0.1452726</v>
      </c>
      <c r="X347">
        <v>0.98906649999999996</v>
      </c>
      <c r="Y347">
        <v>9.5308409999999996E-2</v>
      </c>
      <c r="Z347">
        <v>-1.431054E-2</v>
      </c>
      <c r="AA347">
        <v>0.99534489999999998</v>
      </c>
      <c r="AB347">
        <v>18</v>
      </c>
      <c r="AC347">
        <v>0.60009999999999697</v>
      </c>
      <c r="AD347">
        <v>-0.259920499999999</v>
      </c>
      <c r="AE347">
        <v>-8.2099999999968504E-2</v>
      </c>
      <c r="AF347">
        <v>6.6352604731762896E-2</v>
      </c>
      <c r="AG347">
        <v>-0.259920499999999</v>
      </c>
      <c r="AH347">
        <v>0.50717419994006596</v>
      </c>
      <c r="AI347">
        <v>116.937731596498</v>
      </c>
      <c r="AJ347">
        <v>82.546438285947104</v>
      </c>
      <c r="AK347">
        <v>0.57374820571378304</v>
      </c>
      <c r="AL347">
        <v>81.646934395724003</v>
      </c>
      <c r="AM347">
        <v>88.531128628802904</v>
      </c>
      <c r="AN347">
        <v>0.99999994785230795</v>
      </c>
    </row>
    <row r="348" spans="1:40" x14ac:dyDescent="0.25">
      <c r="A348" t="str">
        <f>"20190303162217971"</f>
        <v>20190303162217971</v>
      </c>
      <c r="B348" t="str">
        <f>"1551601337964718"</f>
        <v>1551601337964718</v>
      </c>
      <c r="C348" t="s">
        <v>40</v>
      </c>
      <c r="D348">
        <v>5.5092119999999998</v>
      </c>
      <c r="E348">
        <v>0.52965640000000003</v>
      </c>
      <c r="F348" t="s">
        <v>42</v>
      </c>
      <c r="G348">
        <v>-427.42200000000003</v>
      </c>
      <c r="H348">
        <v>0.81791729999999996</v>
      </c>
      <c r="I348">
        <v>367.4905</v>
      </c>
      <c r="J348">
        <v>-428.00389999999999</v>
      </c>
      <c r="K348">
        <v>1.0710440000000001</v>
      </c>
      <c r="L348">
        <v>367.57139999999998</v>
      </c>
      <c r="M348">
        <v>0.99988310000000002</v>
      </c>
      <c r="N348">
        <v>-1.4061519999999999E-2</v>
      </c>
      <c r="O348">
        <v>-6.026516E-3</v>
      </c>
      <c r="P348">
        <v>0.99085769999999995</v>
      </c>
      <c r="Q348">
        <v>0.1312931</v>
      </c>
      <c r="R348">
        <v>-3.104229E-2</v>
      </c>
      <c r="S348">
        <v>3.1565249999999998</v>
      </c>
      <c r="T348">
        <v>-1.0524530000000001</v>
      </c>
      <c r="U348">
        <v>-0.34045409999999998</v>
      </c>
      <c r="V348">
        <v>2.5101120000000001E-2</v>
      </c>
      <c r="W348">
        <v>0.1452099</v>
      </c>
      <c r="X348">
        <v>0.98908240000000003</v>
      </c>
      <c r="Y348">
        <v>9.6160839999999997E-2</v>
      </c>
      <c r="Z348">
        <v>-1.43947999999999E-2</v>
      </c>
      <c r="AA348">
        <v>0.99526170000000003</v>
      </c>
      <c r="AB348">
        <v>18</v>
      </c>
      <c r="AC348">
        <v>0.58190000000001796</v>
      </c>
      <c r="AD348">
        <v>-0.25312669999999998</v>
      </c>
      <c r="AE348">
        <v>-8.0899999999985497E-2</v>
      </c>
      <c r="AF348">
        <v>6.5274061179103102E-2</v>
      </c>
      <c r="AG348">
        <v>-0.25312669999999998</v>
      </c>
      <c r="AH348">
        <v>0.49119328221088498</v>
      </c>
      <c r="AI348">
        <v>117.059731442181</v>
      </c>
      <c r="AJ348">
        <v>82.430385909106604</v>
      </c>
      <c r="AK348">
        <v>0.55642130603060602</v>
      </c>
      <c r="AL348">
        <v>81.650565677421397</v>
      </c>
      <c r="AM348">
        <v>88.546248927207998</v>
      </c>
      <c r="AN348">
        <v>0.99999998763651199</v>
      </c>
    </row>
    <row r="349" spans="1:40" x14ac:dyDescent="0.25">
      <c r="A349" t="str">
        <f>"20190303162217993"</f>
        <v>20190303162217993</v>
      </c>
      <c r="B349" t="str">
        <f>"1551601337984238"</f>
        <v>1551601337984238</v>
      </c>
      <c r="C349" t="s">
        <v>40</v>
      </c>
      <c r="D349">
        <v>5.5146600000000001</v>
      </c>
      <c r="E349">
        <v>0.52976979999999996</v>
      </c>
      <c r="F349" t="s">
        <v>42</v>
      </c>
      <c r="G349">
        <v>-427.26350000000002</v>
      </c>
      <c r="H349">
        <v>0.82403909999999903</v>
      </c>
      <c r="I349">
        <v>367.49040000000002</v>
      </c>
      <c r="J349">
        <v>-427.83269999999999</v>
      </c>
      <c r="K349">
        <v>1.07104</v>
      </c>
      <c r="L349">
        <v>367.57010000000002</v>
      </c>
      <c r="M349">
        <v>0.9998823</v>
      </c>
      <c r="N349">
        <v>-1.40546E-2</v>
      </c>
      <c r="O349">
        <v>-6.1711750000000001E-3</v>
      </c>
      <c r="P349">
        <v>0.99084819999999996</v>
      </c>
      <c r="Q349">
        <v>0.13146459999999999</v>
      </c>
      <c r="R349">
        <v>-3.061562E-2</v>
      </c>
      <c r="S349">
        <v>3.1564640000000002</v>
      </c>
      <c r="T349">
        <v>-1.0529059999999999</v>
      </c>
      <c r="U349">
        <v>-0.34219359999999999</v>
      </c>
      <c r="V349">
        <v>2.4531109999999998E-2</v>
      </c>
      <c r="W349">
        <v>0.145375</v>
      </c>
      <c r="X349">
        <v>0.98907239999999996</v>
      </c>
      <c r="Y349">
        <v>9.654298E-2</v>
      </c>
      <c r="Z349">
        <v>-1.4419670000000001E-2</v>
      </c>
      <c r="AA349">
        <v>0.99522440000000001</v>
      </c>
      <c r="AB349">
        <v>17</v>
      </c>
      <c r="AC349">
        <v>0.56919999999996596</v>
      </c>
      <c r="AD349">
        <v>-0.2470009</v>
      </c>
      <c r="AE349">
        <v>-7.9700000000002505E-2</v>
      </c>
      <c r="AF349">
        <v>6.4308581425349495E-2</v>
      </c>
      <c r="AG349">
        <v>-0.2470009</v>
      </c>
      <c r="AH349">
        <v>0.48087075532151902</v>
      </c>
      <c r="AI349">
        <v>116.981593004114</v>
      </c>
      <c r="AJ349">
        <v>82.382824320650997</v>
      </c>
      <c r="AK349">
        <v>0.54440951642053304</v>
      </c>
      <c r="AL349">
        <v>81.641004282417299</v>
      </c>
      <c r="AM349">
        <v>88.579233457313094</v>
      </c>
      <c r="AN349">
        <v>0.99999993921229402</v>
      </c>
    </row>
    <row r="350" spans="1:40" x14ac:dyDescent="0.25">
      <c r="A350" t="str">
        <f>"20190303162218015"</f>
        <v>20190303162218015</v>
      </c>
      <c r="B350" t="str">
        <f>"1551601338004734"</f>
        <v>1551601338004734</v>
      </c>
      <c r="C350" t="s">
        <v>40</v>
      </c>
      <c r="D350">
        <v>5.5573709999999998</v>
      </c>
      <c r="E350">
        <v>0.51703489999999996</v>
      </c>
      <c r="F350" t="s">
        <v>42</v>
      </c>
      <c r="G350">
        <v>-427.10590000000002</v>
      </c>
      <c r="H350">
        <v>0.82861149999999995</v>
      </c>
      <c r="I350">
        <v>367.49119999999999</v>
      </c>
      <c r="J350">
        <v>-427.65899999999999</v>
      </c>
      <c r="K350">
        <v>1.071043</v>
      </c>
      <c r="L350">
        <v>367.56889999999999</v>
      </c>
      <c r="M350">
        <v>0.99988140000000003</v>
      </c>
      <c r="N350">
        <v>-1.404792E-2</v>
      </c>
      <c r="O350">
        <v>-6.3179819999999998E-3</v>
      </c>
      <c r="P350">
        <v>0.99081859999999999</v>
      </c>
      <c r="Q350">
        <v>0.13176270000000001</v>
      </c>
      <c r="R350">
        <v>-3.0288619999999999E-2</v>
      </c>
      <c r="S350">
        <v>3.1568299999999998</v>
      </c>
      <c r="T350">
        <v>-1.05294</v>
      </c>
      <c r="U350">
        <v>-0.3415222</v>
      </c>
      <c r="V350">
        <v>2.4058820000000002E-2</v>
      </c>
      <c r="W350">
        <v>0.14566609999999999</v>
      </c>
      <c r="X350">
        <v>0.98904119999999995</v>
      </c>
      <c r="Y350">
        <v>9.6202389999999999E-2</v>
      </c>
      <c r="Z350">
        <v>-1.43152E-2</v>
      </c>
      <c r="AA350">
        <v>0.99525889999999995</v>
      </c>
      <c r="AB350">
        <v>17</v>
      </c>
      <c r="AC350">
        <v>0.55309999999997195</v>
      </c>
      <c r="AD350">
        <v>-0.24243149999999999</v>
      </c>
      <c r="AE350">
        <v>-7.7699999999992997E-2</v>
      </c>
      <c r="AF350">
        <v>6.2439883738418599E-2</v>
      </c>
      <c r="AG350">
        <v>-0.24243149999999999</v>
      </c>
      <c r="AH350">
        <v>0.46581907469203299</v>
      </c>
      <c r="AI350">
        <v>117.285945097667</v>
      </c>
      <c r="AJ350">
        <v>82.365397899033098</v>
      </c>
      <c r="AK350">
        <v>0.528828121056794</v>
      </c>
      <c r="AL350">
        <v>81.6241462654625</v>
      </c>
      <c r="AM350">
        <v>88.606532214141495</v>
      </c>
      <c r="AN350">
        <v>0.99999996740321995</v>
      </c>
    </row>
    <row r="351" spans="1:40" x14ac:dyDescent="0.25">
      <c r="A351" t="str">
        <f>"20190303162218037"</f>
        <v>20190303162218037</v>
      </c>
      <c r="B351" t="str">
        <f>"1551601338024254"</f>
        <v>1551601338024254</v>
      </c>
      <c r="C351" t="s">
        <v>40</v>
      </c>
      <c r="D351">
        <v>5.071288</v>
      </c>
      <c r="E351">
        <v>0.47994910000000002</v>
      </c>
      <c r="F351" t="s">
        <v>42</v>
      </c>
      <c r="G351">
        <v>-426.93290000000002</v>
      </c>
      <c r="H351">
        <v>0.86836589999999902</v>
      </c>
      <c r="I351">
        <v>367.51319999999998</v>
      </c>
      <c r="J351">
        <v>-427.48599999999999</v>
      </c>
      <c r="K351">
        <v>1.0710459999999999</v>
      </c>
      <c r="L351">
        <v>367.56760000000003</v>
      </c>
      <c r="M351">
        <v>0.99988060000000001</v>
      </c>
      <c r="N351">
        <v>-1.404155E-2</v>
      </c>
      <c r="O351">
        <v>-6.4645519999999897E-3</v>
      </c>
      <c r="P351">
        <v>0.9908074</v>
      </c>
      <c r="Q351">
        <v>0.13197220000000001</v>
      </c>
      <c r="R351">
        <v>-2.974065E-2</v>
      </c>
      <c r="S351">
        <v>3.1370239999999998</v>
      </c>
      <c r="T351">
        <v>-0.87557050000000003</v>
      </c>
      <c r="U351">
        <v>-0.2373962</v>
      </c>
      <c r="V351">
        <v>2.336558E-2</v>
      </c>
      <c r="W351">
        <v>0.1458689</v>
      </c>
      <c r="X351">
        <v>0.98902800000000002</v>
      </c>
      <c r="Y351">
        <v>6.6570439999999995E-2</v>
      </c>
      <c r="Z351">
        <v>-7.9019950000000002E-3</v>
      </c>
      <c r="AA351">
        <v>0.99775049999999998</v>
      </c>
      <c r="AB351">
        <v>17</v>
      </c>
      <c r="AC351">
        <v>0.55309999999997195</v>
      </c>
      <c r="AD351">
        <v>-0.2026801</v>
      </c>
      <c r="AE351">
        <v>-5.4400000000043698E-2</v>
      </c>
      <c r="AF351">
        <v>4.48572030967729E-2</v>
      </c>
      <c r="AG351">
        <v>-0.2026801</v>
      </c>
      <c r="AH351">
        <v>0.48847555487883099</v>
      </c>
      <c r="AI351">
        <v>112.44969000600599</v>
      </c>
      <c r="AJ351">
        <v>84.753186410575495</v>
      </c>
      <c r="AK351">
        <v>0.53075395365447497</v>
      </c>
      <c r="AL351">
        <v>81.612401806488194</v>
      </c>
      <c r="AM351">
        <v>88.646650916292501</v>
      </c>
      <c r="AN351">
        <v>1.0000000355499701</v>
      </c>
    </row>
    <row r="352" spans="1:40" x14ac:dyDescent="0.25">
      <c r="A352" t="str">
        <f>"20190303162218061"</f>
        <v>20190303162218061</v>
      </c>
      <c r="B352" t="str">
        <f>"1551601338054510"</f>
        <v>1551601338054510</v>
      </c>
      <c r="C352" t="s">
        <v>40</v>
      </c>
      <c r="D352">
        <v>5.7746230000000001</v>
      </c>
      <c r="E352">
        <v>0.46993479999999999</v>
      </c>
      <c r="F352" t="s">
        <v>43</v>
      </c>
      <c r="G352">
        <v>-416.59719999999999</v>
      </c>
      <c r="H352">
        <v>-0.05</v>
      </c>
      <c r="I352">
        <v>367.79640000000001</v>
      </c>
      <c r="J352">
        <v>-427.30200000000002</v>
      </c>
      <c r="K352">
        <v>1.071045</v>
      </c>
      <c r="L352">
        <v>367.56619999999998</v>
      </c>
      <c r="M352">
        <v>0.99987979999999999</v>
      </c>
      <c r="N352">
        <v>-1.403505E-2</v>
      </c>
      <c r="O352">
        <v>-6.6204169999999904E-3</v>
      </c>
      <c r="P352">
        <v>0.99081339999999996</v>
      </c>
      <c r="Q352">
        <v>0.1319535</v>
      </c>
      <c r="R352">
        <v>-2.9629539999999999E-2</v>
      </c>
      <c r="S352">
        <v>3.071869</v>
      </c>
      <c r="T352">
        <v>-0.31626270000000001</v>
      </c>
      <c r="U352">
        <v>6.4544679999999993E-2</v>
      </c>
      <c r="V352">
        <v>2.3099709999999999E-2</v>
      </c>
      <c r="W352">
        <v>0.14584440000000001</v>
      </c>
      <c r="X352">
        <v>0.98903779999999997</v>
      </c>
      <c r="Y352">
        <v>-2.743512E-2</v>
      </c>
      <c r="Z352">
        <v>2.1885810000000002E-3</v>
      </c>
      <c r="AA352">
        <v>0.99962119999999999</v>
      </c>
      <c r="AB352">
        <v>17</v>
      </c>
      <c r="AC352">
        <v>10.704799999999899</v>
      </c>
      <c r="AD352">
        <v>-1.1210450000000001</v>
      </c>
      <c r="AE352">
        <v>0.230200000000024</v>
      </c>
      <c r="AF352">
        <v>-0.29780760515652899</v>
      </c>
      <c r="AG352">
        <v>-1.1210450000000001</v>
      </c>
      <c r="AH352">
        <v>10.5869870640015</v>
      </c>
      <c r="AI352">
        <v>96.042093942601099</v>
      </c>
      <c r="AJ352">
        <v>91.611281886109197</v>
      </c>
      <c r="AK352">
        <v>10.6503392600916</v>
      </c>
      <c r="AL352">
        <v>81.613820238894704</v>
      </c>
      <c r="AM352">
        <v>88.662057896524004</v>
      </c>
      <c r="AN352">
        <v>0.99999997772114102</v>
      </c>
    </row>
    <row r="353" spans="1:40" x14ac:dyDescent="0.25">
      <c r="A353" t="str">
        <f>"20190303162218084"</f>
        <v>20190303162218084</v>
      </c>
      <c r="B353" t="str">
        <f>"1551601338075005"</f>
        <v>1551601338075005</v>
      </c>
      <c r="C353" t="s">
        <v>40</v>
      </c>
      <c r="D353">
        <v>5.7627449999999998</v>
      </c>
      <c r="E353">
        <v>0.46997220000000001</v>
      </c>
      <c r="F353" t="s">
        <v>43</v>
      </c>
      <c r="G353">
        <v>-399.3272</v>
      </c>
      <c r="H353">
        <v>-0.05</v>
      </c>
      <c r="I353">
        <v>368.90769999999998</v>
      </c>
      <c r="J353">
        <v>-427.13099999999997</v>
      </c>
      <c r="K353">
        <v>1.0710440000000001</v>
      </c>
      <c r="L353">
        <v>367.56490000000002</v>
      </c>
      <c r="M353">
        <v>0.99987879999999996</v>
      </c>
      <c r="N353">
        <v>-1.402924E-2</v>
      </c>
      <c r="O353">
        <v>-6.7650829999999999E-3</v>
      </c>
      <c r="P353">
        <v>0.99085179999999995</v>
      </c>
      <c r="Q353">
        <v>0.1316291</v>
      </c>
      <c r="R353">
        <v>-2.9786239999999999E-2</v>
      </c>
      <c r="S353">
        <v>3.0484619999999998</v>
      </c>
      <c r="T353">
        <v>-0.1221619</v>
      </c>
      <c r="U353">
        <v>0.14617920000000001</v>
      </c>
      <c r="V353">
        <v>2.3112540000000001E-2</v>
      </c>
      <c r="W353">
        <v>0.1455147</v>
      </c>
      <c r="X353">
        <v>0.98908609999999997</v>
      </c>
      <c r="Y353">
        <v>-5.4592290000000002E-2</v>
      </c>
      <c r="Z353">
        <v>1.65218299999999E-3</v>
      </c>
      <c r="AA353">
        <v>0.99850740000000004</v>
      </c>
      <c r="AB353">
        <v>17</v>
      </c>
      <c r="AC353">
        <v>27.803799999999899</v>
      </c>
      <c r="AD353">
        <v>-1.1210439999999999</v>
      </c>
      <c r="AE353">
        <v>1.34279999999995</v>
      </c>
      <c r="AF353">
        <v>-1.5284038503541399</v>
      </c>
      <c r="AG353">
        <v>-1.1210439999999999</v>
      </c>
      <c r="AH353">
        <v>27.749072243724399</v>
      </c>
      <c r="AI353">
        <v>92.309955746897899</v>
      </c>
      <c r="AJ353">
        <v>93.152634939536995</v>
      </c>
      <c r="AK353">
        <v>27.813733448912402</v>
      </c>
      <c r="AL353">
        <v>81.632914674060203</v>
      </c>
      <c r="AM353">
        <v>88.661380397590506</v>
      </c>
      <c r="AN353">
        <v>1.0000000153172699</v>
      </c>
    </row>
    <row r="354" spans="1:40" x14ac:dyDescent="0.25">
      <c r="A354" t="str">
        <f>"20190303162218105"</f>
        <v>20190303162218105</v>
      </c>
      <c r="B354" t="str">
        <f>"1551601338094526"</f>
        <v>1551601338094526</v>
      </c>
      <c r="C354" t="s">
        <v>40</v>
      </c>
      <c r="D354">
        <v>5.7555699999999996</v>
      </c>
      <c r="E354">
        <v>0.46988960000000002</v>
      </c>
      <c r="F354" t="s">
        <v>41</v>
      </c>
      <c r="G354">
        <v>-389.7466</v>
      </c>
      <c r="H354" s="1">
        <v>-1.4356589999999901E-7</v>
      </c>
      <c r="I354">
        <v>369.34840000000003</v>
      </c>
      <c r="J354">
        <v>-426.96449999999999</v>
      </c>
      <c r="K354">
        <v>1.0710470000000001</v>
      </c>
      <c r="L354">
        <v>367.56360000000001</v>
      </c>
      <c r="M354">
        <v>0.99987789999999999</v>
      </c>
      <c r="N354">
        <v>-1.402379E-2</v>
      </c>
      <c r="O354">
        <v>-6.9061749999999996E-3</v>
      </c>
      <c r="P354">
        <v>0.99079070000000002</v>
      </c>
      <c r="Q354">
        <v>0.13191240000000001</v>
      </c>
      <c r="R354">
        <v>-3.0550810000000001E-2</v>
      </c>
      <c r="S354">
        <v>3.0435789999999998</v>
      </c>
      <c r="T354">
        <v>-8.7196709999999997E-2</v>
      </c>
      <c r="U354">
        <v>0.14520259999999999</v>
      </c>
      <c r="V354">
        <v>2.373772E-2</v>
      </c>
      <c r="W354">
        <v>0.14579149999999999</v>
      </c>
      <c r="X354">
        <v>0.98903050000000003</v>
      </c>
      <c r="Y354">
        <v>-5.4517530000000002E-2</v>
      </c>
      <c r="Z354">
        <v>1.263892E-3</v>
      </c>
      <c r="AA354">
        <v>0.99851199999999996</v>
      </c>
      <c r="AB354">
        <v>17</v>
      </c>
      <c r="AC354">
        <v>37.217899999999901</v>
      </c>
      <c r="AD354">
        <v>-1.0710471435658999</v>
      </c>
      <c r="AE354">
        <v>1.7848000000000099</v>
      </c>
      <c r="AF354">
        <v>-2.0401303397298398</v>
      </c>
      <c r="AG354">
        <v>-1.0710471435658999</v>
      </c>
      <c r="AH354">
        <v>37.173969603161702</v>
      </c>
      <c r="AI354">
        <v>91.647856818556093</v>
      </c>
      <c r="AJ354">
        <v>93.141276467511702</v>
      </c>
      <c r="AK354">
        <v>37.245312320392998</v>
      </c>
      <c r="AL354">
        <v>81.616883996808397</v>
      </c>
      <c r="AM354">
        <v>88.625108016299606</v>
      </c>
      <c r="AN354">
        <v>0.99999998537664903</v>
      </c>
    </row>
    <row r="355" spans="1:40" x14ac:dyDescent="0.25">
      <c r="A355" t="str">
        <f>"20190303162218126"</f>
        <v>20190303162218126</v>
      </c>
      <c r="B355" t="str">
        <f>"1551601338114510"</f>
        <v>1551601338114510</v>
      </c>
      <c r="C355" t="s">
        <v>40</v>
      </c>
      <c r="D355">
        <v>5.7481650000000002</v>
      </c>
      <c r="E355">
        <v>0.47016910000000001</v>
      </c>
      <c r="F355" t="s">
        <v>41</v>
      </c>
      <c r="G355">
        <v>-381.39490000000001</v>
      </c>
      <c r="H355" s="1">
        <v>-3.6999209999999999E-6</v>
      </c>
      <c r="I355">
        <v>369.71409999999997</v>
      </c>
      <c r="J355">
        <v>-426.80059999999997</v>
      </c>
      <c r="K355">
        <v>1.0710500000000001</v>
      </c>
      <c r="L355">
        <v>367.56229999999999</v>
      </c>
      <c r="M355">
        <v>0.99987689999999996</v>
      </c>
      <c r="N355">
        <v>-1.4018569999999999E-2</v>
      </c>
      <c r="O355">
        <v>-7.0453579999999998E-3</v>
      </c>
      <c r="P355">
        <v>0.99072039999999995</v>
      </c>
      <c r="Q355">
        <v>0.13240089999999999</v>
      </c>
      <c r="R355">
        <v>-3.0708889999999999E-2</v>
      </c>
      <c r="S355">
        <v>3.0418090000000002</v>
      </c>
      <c r="T355">
        <v>-7.1493509999999996E-2</v>
      </c>
      <c r="U355">
        <v>0.14355470000000001</v>
      </c>
      <c r="V355">
        <v>2.3758419999999999E-2</v>
      </c>
      <c r="W355">
        <v>0.14627409999999999</v>
      </c>
      <c r="X355">
        <v>0.98895880000000003</v>
      </c>
      <c r="Y355">
        <v>-5.4154269999999997E-2</v>
      </c>
      <c r="Z355">
        <v>1.0826410000000001E-3</v>
      </c>
      <c r="AA355">
        <v>0.99853199999999998</v>
      </c>
      <c r="AB355">
        <v>17</v>
      </c>
      <c r="AC355">
        <v>45.405699999999896</v>
      </c>
      <c r="AD355">
        <v>-1.0710536999210001</v>
      </c>
      <c r="AE355">
        <v>2.1517999999999802</v>
      </c>
      <c r="AF355">
        <v>-2.4703059940007099</v>
      </c>
      <c r="AG355">
        <v>-1.0710536999210001</v>
      </c>
      <c r="AH355">
        <v>45.3642262268718</v>
      </c>
      <c r="AI355">
        <v>91.350507401955397</v>
      </c>
      <c r="AJ355">
        <v>93.116959437954804</v>
      </c>
      <c r="AK355">
        <v>45.444059995723499</v>
      </c>
      <c r="AL355">
        <v>81.588933890920501</v>
      </c>
      <c r="AM355">
        <v>88.623809801408001</v>
      </c>
      <c r="AN355">
        <v>1.00000004147457</v>
      </c>
    </row>
    <row r="356" spans="1:40" x14ac:dyDescent="0.25">
      <c r="A356" t="str">
        <f>"20190303162218149"</f>
        <v>20190303162218149</v>
      </c>
      <c r="B356" t="str">
        <f>"1551601338134987"</f>
        <v>1551601338134987</v>
      </c>
      <c r="C356" t="s">
        <v>40</v>
      </c>
      <c r="D356">
        <v>5.7980900000000002</v>
      </c>
      <c r="E356">
        <v>0.47037630000000002</v>
      </c>
      <c r="F356" t="s">
        <v>41</v>
      </c>
      <c r="G356">
        <v>-373.82080000000002</v>
      </c>
      <c r="H356" s="1">
        <v>-2.739149E-6</v>
      </c>
      <c r="I356">
        <v>370.0145</v>
      </c>
      <c r="J356">
        <v>-426.6234</v>
      </c>
      <c r="K356">
        <v>1.071051</v>
      </c>
      <c r="L356">
        <v>367.5609</v>
      </c>
      <c r="M356">
        <v>0.99987590000000004</v>
      </c>
      <c r="N356">
        <v>-1.4013090000000001E-2</v>
      </c>
      <c r="O356">
        <v>-7.1947959999999998E-3</v>
      </c>
      <c r="P356">
        <v>0.99067059999999996</v>
      </c>
      <c r="Q356">
        <v>0.13285339999999901</v>
      </c>
      <c r="R356">
        <v>-3.0360000000000002E-2</v>
      </c>
      <c r="S356">
        <v>3.04068</v>
      </c>
      <c r="T356">
        <v>-6.1471100000000001E-2</v>
      </c>
      <c r="U356">
        <v>0.14074710000000001</v>
      </c>
      <c r="V356">
        <v>2.3261589999999999E-2</v>
      </c>
      <c r="W356">
        <v>0.1467203</v>
      </c>
      <c r="X356">
        <v>0.98890449999999996</v>
      </c>
      <c r="Y356">
        <v>-5.3406540000000002E-2</v>
      </c>
      <c r="Z356">
        <v>9.5857289999999996E-4</v>
      </c>
      <c r="AA356">
        <v>0.99857240000000003</v>
      </c>
      <c r="AB356">
        <v>17</v>
      </c>
      <c r="AC356">
        <v>52.802599999999899</v>
      </c>
      <c r="AD356">
        <v>-1.071053739149</v>
      </c>
      <c r="AE356">
        <v>2.45359999999999</v>
      </c>
      <c r="AF356">
        <v>-2.8323149010141502</v>
      </c>
      <c r="AG356">
        <v>-1.071053739149</v>
      </c>
      <c r="AH356">
        <v>52.761916302847197</v>
      </c>
      <c r="AI356">
        <v>91.161258797791405</v>
      </c>
      <c r="AJ356">
        <v>93.072748155934207</v>
      </c>
      <c r="AK356">
        <v>52.848736747053003</v>
      </c>
      <c r="AL356">
        <v>81.563089578501504</v>
      </c>
      <c r="AM356">
        <v>88.652503657395499</v>
      </c>
      <c r="AN356">
        <v>1.00000002906083</v>
      </c>
    </row>
    <row r="357" spans="1:40" x14ac:dyDescent="0.25">
      <c r="A357" t="str">
        <f>"20190303162218173"</f>
        <v>20190303162218173</v>
      </c>
      <c r="B357" t="str">
        <f>"1551601338164268"</f>
        <v>1551601338164268</v>
      </c>
      <c r="C357" t="s">
        <v>40</v>
      </c>
      <c r="D357">
        <v>5.8113580000000002</v>
      </c>
      <c r="E357">
        <v>0.47070010000000001</v>
      </c>
      <c r="F357" t="s">
        <v>41</v>
      </c>
      <c r="G357">
        <v>-369.07240000000002</v>
      </c>
      <c r="H357" s="1">
        <v>-5.3950229999999996E-7</v>
      </c>
      <c r="I357">
        <v>370.21480000000003</v>
      </c>
      <c r="J357">
        <v>-426.44709999999998</v>
      </c>
      <c r="K357">
        <v>1.0710550000000001</v>
      </c>
      <c r="L357">
        <v>367.55939999999998</v>
      </c>
      <c r="M357">
        <v>0.99987510000000002</v>
      </c>
      <c r="N357">
        <v>-1.4007769999999999E-2</v>
      </c>
      <c r="O357">
        <v>-7.3426790000000004E-3</v>
      </c>
      <c r="P357">
        <v>0.99059629999999999</v>
      </c>
      <c r="Q357">
        <v>0.13352749999999999</v>
      </c>
      <c r="R357">
        <v>-2.9826020000000002E-2</v>
      </c>
      <c r="S357">
        <v>3.0401609999999999</v>
      </c>
      <c r="T357">
        <v>-5.6578759999999999E-2</v>
      </c>
      <c r="U357">
        <v>0.14019779999999901</v>
      </c>
      <c r="V357">
        <v>2.2581629999999998E-2</v>
      </c>
      <c r="W357">
        <v>0.14738870000000001</v>
      </c>
      <c r="X357">
        <v>0.9888209</v>
      </c>
      <c r="Y357">
        <v>-5.3384389999999997E-2</v>
      </c>
      <c r="Z357">
        <v>9.0439049999999999E-4</v>
      </c>
      <c r="AA357">
        <v>0.99857359999999995</v>
      </c>
      <c r="AB357">
        <v>17</v>
      </c>
      <c r="AC357">
        <v>57.374699999999898</v>
      </c>
      <c r="AD357">
        <v>-1.07105553950229</v>
      </c>
      <c r="AE357">
        <v>2.6554000000000402</v>
      </c>
      <c r="AF357">
        <v>-3.0755841696650901</v>
      </c>
      <c r="AG357">
        <v>-1.07105553950229</v>
      </c>
      <c r="AH357">
        <v>57.333716149499097</v>
      </c>
      <c r="AI357">
        <v>91.068686177217998</v>
      </c>
      <c r="AJ357">
        <v>93.070606013863596</v>
      </c>
      <c r="AK357">
        <v>57.426138521275497</v>
      </c>
      <c r="AL357">
        <v>81.524372471071402</v>
      </c>
      <c r="AM357">
        <v>88.691767900671707</v>
      </c>
      <c r="AN357">
        <v>1.00000006558897</v>
      </c>
    </row>
    <row r="358" spans="1:40" x14ac:dyDescent="0.25">
      <c r="A358" t="str">
        <f>"20190303162218195"</f>
        <v>20190303162218195</v>
      </c>
      <c r="B358" t="str">
        <f>"1551601338184764"</f>
        <v>1551601338184764</v>
      </c>
      <c r="C358" t="s">
        <v>40</v>
      </c>
      <c r="D358">
        <v>5.7394470000000002</v>
      </c>
      <c r="E358">
        <v>0.47091909999999998</v>
      </c>
      <c r="F358" t="s">
        <v>41</v>
      </c>
      <c r="G358">
        <v>-363.78570000000002</v>
      </c>
      <c r="H358" s="1">
        <v>-2.8658830000000001E-6</v>
      </c>
      <c r="I358">
        <v>370.43439999999998</v>
      </c>
      <c r="J358">
        <v>-426.27109999999999</v>
      </c>
      <c r="K358">
        <v>1.0710569999999999</v>
      </c>
      <c r="L358">
        <v>367.55799999999999</v>
      </c>
      <c r="M358">
        <v>0.99987409999999999</v>
      </c>
      <c r="N358">
        <v>-1.399943E-2</v>
      </c>
      <c r="O358">
        <v>-7.4875380000000002E-3</v>
      </c>
      <c r="P358">
        <v>0.99047459999999998</v>
      </c>
      <c r="Q358">
        <v>0.13451840000000001</v>
      </c>
      <c r="R358">
        <v>-2.941392E-2</v>
      </c>
      <c r="S358">
        <v>3.0396730000000001</v>
      </c>
      <c r="T358">
        <v>-5.1956420000000003E-2</v>
      </c>
      <c r="U358">
        <v>0.13946529999999999</v>
      </c>
      <c r="V358">
        <v>2.2026440000000001E-2</v>
      </c>
      <c r="W358">
        <v>0.14836959999999999</v>
      </c>
      <c r="X358">
        <v>0.98868670000000003</v>
      </c>
      <c r="Y358">
        <v>-5.3298409999999997E-2</v>
      </c>
      <c r="Z358">
        <v>8.5171809999999896E-4</v>
      </c>
      <c r="AA358">
        <v>0.99857830000000003</v>
      </c>
      <c r="AB358">
        <v>17</v>
      </c>
      <c r="AC358">
        <v>62.485399999999899</v>
      </c>
      <c r="AD358">
        <v>-1.071059865883</v>
      </c>
      <c r="AE358">
        <v>2.8763999999999301</v>
      </c>
      <c r="AF358">
        <v>-3.3432467409684099</v>
      </c>
      <c r="AG358">
        <v>-1.071059865883</v>
      </c>
      <c r="AH358">
        <v>62.4438008252394</v>
      </c>
      <c r="AI358">
        <v>90.981257556603893</v>
      </c>
      <c r="AJ358">
        <v>93.064695091330194</v>
      </c>
      <c r="AK358">
        <v>62.542407448941901</v>
      </c>
      <c r="AL358">
        <v>81.467546099003002</v>
      </c>
      <c r="AM358">
        <v>88.723748060555195</v>
      </c>
      <c r="AN358">
        <v>1.00000004651006</v>
      </c>
    </row>
    <row r="359" spans="1:40" x14ac:dyDescent="0.25">
      <c r="A359" t="str">
        <f>"20190303162218217"</f>
        <v>20190303162218217</v>
      </c>
      <c r="B359" t="str">
        <f>"1551601338204284"</f>
        <v>1551601338204284</v>
      </c>
      <c r="C359" t="s">
        <v>40</v>
      </c>
      <c r="D359">
        <v>5.7284829999999998</v>
      </c>
      <c r="E359">
        <v>0.47098780000000001</v>
      </c>
      <c r="F359" t="s">
        <v>41</v>
      </c>
      <c r="G359">
        <v>-358.10739999999998</v>
      </c>
      <c r="H359" s="1">
        <v>-1.079814E-6</v>
      </c>
      <c r="I359">
        <v>370.68959999999998</v>
      </c>
      <c r="J359">
        <v>-426.10230000000001</v>
      </c>
      <c r="K359">
        <v>1.0710519999999999</v>
      </c>
      <c r="L359">
        <v>367.55650000000003</v>
      </c>
      <c r="M359">
        <v>0.99987329999999996</v>
      </c>
      <c r="N359">
        <v>-1.3978590000000001E-2</v>
      </c>
      <c r="O359">
        <v>-7.621676E-3</v>
      </c>
      <c r="P359">
        <v>0.99043360000000003</v>
      </c>
      <c r="Q359">
        <v>0.13463339999999999</v>
      </c>
      <c r="R359">
        <v>-3.0254619999999999E-2</v>
      </c>
      <c r="S359">
        <v>3.0395509999999999</v>
      </c>
      <c r="T359">
        <v>-4.7760490000000003E-2</v>
      </c>
      <c r="U359">
        <v>0.13964840000000001</v>
      </c>
      <c r="V359">
        <v>2.2733420000000001E-2</v>
      </c>
      <c r="W359">
        <v>0.14846389999999901</v>
      </c>
      <c r="X359">
        <v>0.98865650000000005</v>
      </c>
      <c r="Y359">
        <v>-5.3495939999999999E-2</v>
      </c>
      <c r="Z359">
        <v>8.0741009999999998E-4</v>
      </c>
      <c r="AA359">
        <v>0.99856780000000001</v>
      </c>
      <c r="AB359">
        <v>17</v>
      </c>
      <c r="AC359">
        <v>67.994900000000001</v>
      </c>
      <c r="AD359">
        <v>-1.0710530798139899</v>
      </c>
      <c r="AE359">
        <v>3.13309999999995</v>
      </c>
      <c r="AF359">
        <v>-3.6503908574056898</v>
      </c>
      <c r="AG359">
        <v>-1.0710530798139899</v>
      </c>
      <c r="AH359">
        <v>67.952217996391298</v>
      </c>
      <c r="AI359">
        <v>90.901713109755505</v>
      </c>
      <c r="AJ359">
        <v>93.074971661226002</v>
      </c>
      <c r="AK359">
        <v>68.058625013591694</v>
      </c>
      <c r="AL359">
        <v>81.462082254225606</v>
      </c>
      <c r="AM359">
        <v>88.682758341109206</v>
      </c>
      <c r="AN359">
        <v>1.00000000649017</v>
      </c>
    </row>
    <row r="360" spans="1:40" x14ac:dyDescent="0.25">
      <c r="A360" t="str">
        <f>"20190303162218239"</f>
        <v>20190303162218239</v>
      </c>
      <c r="B360" t="str">
        <f>"1551601338234539"</f>
        <v>1551601338234539</v>
      </c>
      <c r="C360" t="s">
        <v>40</v>
      </c>
      <c r="D360">
        <v>5.6722720000000004</v>
      </c>
      <c r="E360">
        <v>0.4711745</v>
      </c>
      <c r="F360" t="s">
        <v>41</v>
      </c>
      <c r="G360">
        <v>-356.17970000000003</v>
      </c>
      <c r="H360" s="1">
        <v>-1.9076039999999999E-6</v>
      </c>
      <c r="I360">
        <v>370.69260000000003</v>
      </c>
      <c r="J360">
        <v>-425.93970000000002</v>
      </c>
      <c r="K360">
        <v>1.071042</v>
      </c>
      <c r="L360">
        <v>367.55509999999998</v>
      </c>
      <c r="M360">
        <v>0.99987309999999996</v>
      </c>
      <c r="N360">
        <v>-1.392145E-2</v>
      </c>
      <c r="O360">
        <v>-7.7452869999999896E-3</v>
      </c>
      <c r="P360">
        <v>0.99038329999999997</v>
      </c>
      <c r="Q360">
        <v>0.1348336</v>
      </c>
      <c r="R360">
        <v>-3.099524E-2</v>
      </c>
      <c r="S360">
        <v>3.0394589999999999</v>
      </c>
      <c r="T360">
        <v>-4.6557429999999997E-2</v>
      </c>
      <c r="U360">
        <v>0.136322</v>
      </c>
      <c r="V360">
        <v>2.3350289999999999E-2</v>
      </c>
      <c r="W360">
        <v>0.14860680000000001</v>
      </c>
      <c r="X360">
        <v>0.98862059999999996</v>
      </c>
      <c r="Y360">
        <v>-5.253087E-2</v>
      </c>
      <c r="Z360">
        <v>7.7880009999999999E-4</v>
      </c>
      <c r="AA360">
        <v>0.99861900000000003</v>
      </c>
      <c r="AB360">
        <v>17</v>
      </c>
      <c r="AC360">
        <v>69.759999999999906</v>
      </c>
      <c r="AD360">
        <v>-1.0710439076039999</v>
      </c>
      <c r="AE360">
        <v>3.1375000000000401</v>
      </c>
      <c r="AF360">
        <v>-3.67690447468717</v>
      </c>
      <c r="AG360">
        <v>-1.0710439076039999</v>
      </c>
      <c r="AH360">
        <v>69.717203177954502</v>
      </c>
      <c r="AI360">
        <v>90.878926823488797</v>
      </c>
      <c r="AJ360">
        <v>93.018998095470906</v>
      </c>
      <c r="AK360">
        <v>69.822311480816694</v>
      </c>
      <c r="AL360">
        <v>81.453802391870695</v>
      </c>
      <c r="AM360">
        <v>88.6469790648963</v>
      </c>
      <c r="AN360">
        <v>0.99999995389684004</v>
      </c>
    </row>
    <row r="361" spans="1:40" x14ac:dyDescent="0.25">
      <c r="A361" t="str">
        <f>"20190303162218263"</f>
        <v>20190303162218263</v>
      </c>
      <c r="B361" t="str">
        <f>"1551601338255036"</f>
        <v>1551601338255036</v>
      </c>
      <c r="C361" t="s">
        <v>40</v>
      </c>
      <c r="D361">
        <v>5.7297029999999998</v>
      </c>
      <c r="E361">
        <v>0.47133560000000002</v>
      </c>
      <c r="F361" t="s">
        <v>41</v>
      </c>
      <c r="G361">
        <v>-354.89879999999999</v>
      </c>
      <c r="H361" s="1">
        <v>-2.4461230000000002E-6</v>
      </c>
      <c r="I361">
        <v>370.65140000000002</v>
      </c>
      <c r="J361">
        <v>-425.75760000000002</v>
      </c>
      <c r="K361">
        <v>1.07101</v>
      </c>
      <c r="L361">
        <v>367.55360000000002</v>
      </c>
      <c r="M361">
        <v>0.99987420000000005</v>
      </c>
      <c r="N361">
        <v>-1.377867E-2</v>
      </c>
      <c r="O361">
        <v>-7.8744880000000007E-3</v>
      </c>
      <c r="P361">
        <v>0.9903883</v>
      </c>
      <c r="Q361">
        <v>0.13463020000000001</v>
      </c>
      <c r="R361">
        <v>-3.1720699999999998E-2</v>
      </c>
      <c r="S361">
        <v>3.03952</v>
      </c>
      <c r="T361">
        <v>-4.5825119999999997E-2</v>
      </c>
      <c r="U361">
        <v>0.13247679999999901</v>
      </c>
      <c r="V361">
        <v>2.3945500000000002E-2</v>
      </c>
      <c r="W361">
        <v>0.14826249999999999</v>
      </c>
      <c r="X361">
        <v>0.98865809999999998</v>
      </c>
      <c r="Y361">
        <v>-5.139867E-2</v>
      </c>
      <c r="Z361">
        <v>7.5178539999999996E-4</v>
      </c>
      <c r="AA361">
        <v>0.99867790000000001</v>
      </c>
      <c r="AB361">
        <v>17</v>
      </c>
      <c r="AC361">
        <v>70.858800000000002</v>
      </c>
      <c r="AD361">
        <v>-1.071012446123</v>
      </c>
      <c r="AE361">
        <v>3.0977999999999999</v>
      </c>
      <c r="AF361">
        <v>-3.6549002153660299</v>
      </c>
      <c r="AG361">
        <v>-1.071012446123</v>
      </c>
      <c r="AH361">
        <v>70.816059307190201</v>
      </c>
      <c r="AI361">
        <v>90.865315980224494</v>
      </c>
      <c r="AJ361">
        <v>92.954481216892304</v>
      </c>
      <c r="AK361">
        <v>70.918401131465899</v>
      </c>
      <c r="AL361">
        <v>81.473750681152694</v>
      </c>
      <c r="AM361">
        <v>88.612555839761896</v>
      </c>
      <c r="AN361">
        <v>0.99999999728605404</v>
      </c>
    </row>
    <row r="362" spans="1:40" x14ac:dyDescent="0.25">
      <c r="A362" t="str">
        <f>"20190303162218285"</f>
        <v>20190303162218285</v>
      </c>
      <c r="B362" t="str">
        <f>"1551601338274555"</f>
        <v>1551601338274555</v>
      </c>
      <c r="C362" t="s">
        <v>40</v>
      </c>
      <c r="D362">
        <v>5.7292449999999997</v>
      </c>
      <c r="E362">
        <v>0.47160829999999998</v>
      </c>
      <c r="F362" t="s">
        <v>41</v>
      </c>
      <c r="G362">
        <v>-355.7611</v>
      </c>
      <c r="H362" s="1">
        <v>-2.0414090000000001E-6</v>
      </c>
      <c r="I362">
        <v>370.52069999999998</v>
      </c>
      <c r="J362">
        <v>-425.59449999999998</v>
      </c>
      <c r="K362">
        <v>1.0709690000000001</v>
      </c>
      <c r="L362">
        <v>367.55220000000003</v>
      </c>
      <c r="M362">
        <v>0.99987610000000005</v>
      </c>
      <c r="N362">
        <v>-1.3568119999999999E-2</v>
      </c>
      <c r="O362">
        <v>-7.9809430000000008E-3</v>
      </c>
      <c r="P362">
        <v>0.990371</v>
      </c>
      <c r="Q362">
        <v>0.1346715</v>
      </c>
      <c r="R362">
        <v>-3.2076439999999998E-2</v>
      </c>
      <c r="S362">
        <v>3.03952</v>
      </c>
      <c r="T362">
        <v>-4.6507479999999997E-2</v>
      </c>
      <c r="U362">
        <v>0.12884519999999999</v>
      </c>
      <c r="V362">
        <v>2.4193949999999999E-2</v>
      </c>
      <c r="W362">
        <v>0.14809610000000001</v>
      </c>
      <c r="X362">
        <v>0.98867700000000003</v>
      </c>
      <c r="Y362">
        <v>-5.0314009999999999E-2</v>
      </c>
      <c r="Z362">
        <v>7.4008989999999996E-4</v>
      </c>
      <c r="AA362">
        <v>0.99873319999999999</v>
      </c>
      <c r="AB362">
        <v>17</v>
      </c>
      <c r="AC362">
        <v>69.833399999999898</v>
      </c>
      <c r="AD362">
        <v>-1.0709710414089999</v>
      </c>
      <c r="AE362">
        <v>2.9684999999999402</v>
      </c>
      <c r="AF362">
        <v>-3.52496557208406</v>
      </c>
      <c r="AG362">
        <v>-1.0709710414089999</v>
      </c>
      <c r="AH362">
        <v>69.791096962026799</v>
      </c>
      <c r="AI362">
        <v>90.878037572313104</v>
      </c>
      <c r="AJ362">
        <v>92.891402822826393</v>
      </c>
      <c r="AK362">
        <v>69.888264940681907</v>
      </c>
      <c r="AL362">
        <v>81.483391200854996</v>
      </c>
      <c r="AM362">
        <v>88.598192714330196</v>
      </c>
      <c r="AN362">
        <v>1.0000000061904</v>
      </c>
    </row>
    <row r="363" spans="1:40" x14ac:dyDescent="0.25">
      <c r="A363" t="str">
        <f>"20190303162218305"</f>
        <v>20190303162218305</v>
      </c>
      <c r="B363" t="str">
        <f>"1551601338294076"</f>
        <v>1551601338294076</v>
      </c>
      <c r="C363" t="s">
        <v>40</v>
      </c>
      <c r="D363">
        <v>6.1143099999999997</v>
      </c>
      <c r="E363">
        <v>0.47166960000000002</v>
      </c>
      <c r="F363" t="s">
        <v>41</v>
      </c>
      <c r="G363">
        <v>-354.50199999999899</v>
      </c>
      <c r="H363" s="1">
        <v>-2.5753409999999998E-6</v>
      </c>
      <c r="I363">
        <v>370.49720000000002</v>
      </c>
      <c r="J363">
        <v>-425.43349999999998</v>
      </c>
      <c r="K363">
        <v>1.0709280000000001</v>
      </c>
      <c r="L363">
        <v>367.55079999999998</v>
      </c>
      <c r="M363">
        <v>0.99987859999999995</v>
      </c>
      <c r="N363">
        <v>-1.3327520000000001E-2</v>
      </c>
      <c r="O363">
        <v>-8.0805489999999994E-3</v>
      </c>
      <c r="P363">
        <v>0.99033709999999997</v>
      </c>
      <c r="Q363">
        <v>0.13486489999999901</v>
      </c>
      <c r="R363">
        <v>-3.2314610000000001E-2</v>
      </c>
      <c r="S363">
        <v>3.0394899999999998</v>
      </c>
      <c r="T363">
        <v>-4.5788290000000002E-2</v>
      </c>
      <c r="U363">
        <v>0.12591550000000001</v>
      </c>
      <c r="V363">
        <v>2.4331439999999999E-2</v>
      </c>
      <c r="W363">
        <v>0.1480513</v>
      </c>
      <c r="X363">
        <v>0.98868029999999996</v>
      </c>
      <c r="Y363">
        <v>-4.9453440000000001E-2</v>
      </c>
      <c r="Z363">
        <v>7.160774E-4</v>
      </c>
      <c r="AA363">
        <v>0.9987762</v>
      </c>
      <c r="AB363">
        <v>17</v>
      </c>
      <c r="AC363">
        <v>70.9315</v>
      </c>
      <c r="AD363">
        <v>-1.0709305753409999</v>
      </c>
      <c r="AE363">
        <v>2.9464000000000401</v>
      </c>
      <c r="AF363">
        <v>-3.5187194028362501</v>
      </c>
      <c r="AG363">
        <v>-1.0709305753409999</v>
      </c>
      <c r="AH363">
        <v>70.8892416174847</v>
      </c>
      <c r="AI363">
        <v>90.864442901677407</v>
      </c>
      <c r="AJ363">
        <v>92.841650381186298</v>
      </c>
      <c r="AK363">
        <v>70.984595903866506</v>
      </c>
      <c r="AL363">
        <v>81.485986361501105</v>
      </c>
      <c r="AM363">
        <v>88.590234397286906</v>
      </c>
      <c r="AN363">
        <v>0.99999997100612603</v>
      </c>
    </row>
    <row r="364" spans="1:40" x14ac:dyDescent="0.25">
      <c r="A364" t="str">
        <f>"20190303162218328"</f>
        <v>20190303162218328</v>
      </c>
      <c r="B364" t="str">
        <f>"1551601338324838"</f>
        <v>1551601338324838</v>
      </c>
      <c r="C364" t="s">
        <v>40</v>
      </c>
      <c r="D364">
        <v>5.7476779999999996</v>
      </c>
      <c r="E364">
        <v>0.4721069</v>
      </c>
      <c r="F364" t="s">
        <v>41</v>
      </c>
      <c r="G364">
        <v>-352.36099999999999</v>
      </c>
      <c r="H364" s="1">
        <v>-3.5070940000000001E-6</v>
      </c>
      <c r="I364">
        <v>370.5471</v>
      </c>
      <c r="J364">
        <v>-425.25819999999999</v>
      </c>
      <c r="K364">
        <v>1.070883</v>
      </c>
      <c r="L364">
        <v>367.54919999999998</v>
      </c>
      <c r="M364">
        <v>0.99988129999999997</v>
      </c>
      <c r="N364">
        <v>-1.305684E-2</v>
      </c>
      <c r="O364">
        <v>-8.1825040000000002E-3</v>
      </c>
      <c r="P364">
        <v>0.99038060000000006</v>
      </c>
      <c r="Q364">
        <v>0.13460610000000001</v>
      </c>
      <c r="R364">
        <v>-3.2060379999999999E-2</v>
      </c>
      <c r="S364">
        <v>3.0393979999999998</v>
      </c>
      <c r="T364">
        <v>-4.454458E-2</v>
      </c>
      <c r="U364">
        <v>0.1246338</v>
      </c>
      <c r="V364">
        <v>2.3974160000000001E-2</v>
      </c>
      <c r="W364">
        <v>0.1475255</v>
      </c>
      <c r="X364">
        <v>0.98876770000000003</v>
      </c>
      <c r="Y364">
        <v>-4.9136630000000001E-2</v>
      </c>
      <c r="Z364">
        <v>6.9393579999999996E-4</v>
      </c>
      <c r="AA364">
        <v>0.99879180000000001</v>
      </c>
      <c r="AB364">
        <v>17</v>
      </c>
      <c r="AC364">
        <v>72.897199999999998</v>
      </c>
      <c r="AD364">
        <v>-1.0708865070939999</v>
      </c>
      <c r="AE364">
        <v>2.9979000000000098</v>
      </c>
      <c r="AF364">
        <v>-3.5935578835114899</v>
      </c>
      <c r="AG364">
        <v>-1.0708865070939999</v>
      </c>
      <c r="AH364">
        <v>72.854530807354394</v>
      </c>
      <c r="AI364">
        <v>90.841105831501295</v>
      </c>
      <c r="AJ364">
        <v>92.823832122539201</v>
      </c>
      <c r="AK364">
        <v>72.950963772475006</v>
      </c>
      <c r="AL364">
        <v>81.516447638304399</v>
      </c>
      <c r="AM364">
        <v>88.611049794477594</v>
      </c>
      <c r="AN364">
        <v>1.00000004903062</v>
      </c>
    </row>
    <row r="365" spans="1:40" x14ac:dyDescent="0.25">
      <c r="A365" t="str">
        <f>"20190303162218351"</f>
        <v>20190303162218351</v>
      </c>
      <c r="B365" t="str">
        <f>"1551601338344359"</f>
        <v>1551601338344359</v>
      </c>
      <c r="C365" t="s">
        <v>40</v>
      </c>
      <c r="D365">
        <v>5.689184</v>
      </c>
      <c r="E365">
        <v>0.4721069</v>
      </c>
      <c r="F365" t="s">
        <v>41</v>
      </c>
      <c r="G365">
        <v>-354.97269999999997</v>
      </c>
      <c r="H365" s="1">
        <v>-2.3400629999999999E-6</v>
      </c>
      <c r="I365">
        <v>370.37200000000001</v>
      </c>
      <c r="J365">
        <v>-425.08199999999999</v>
      </c>
      <c r="K365">
        <v>1.0708470000000001</v>
      </c>
      <c r="L365">
        <v>367.54770000000002</v>
      </c>
      <c r="M365">
        <v>0.99988390000000005</v>
      </c>
      <c r="N365">
        <v>-1.27913E-2</v>
      </c>
      <c r="O365">
        <v>-8.2779989999999994E-3</v>
      </c>
      <c r="P365">
        <v>0.99046149999999999</v>
      </c>
      <c r="Q365">
        <v>0.134045</v>
      </c>
      <c r="R365">
        <v>-3.1906549999999999E-2</v>
      </c>
      <c r="S365">
        <v>3.0394290000000002</v>
      </c>
      <c r="T365">
        <v>-4.6309349999999999E-2</v>
      </c>
      <c r="U365">
        <v>0.12207030000000001</v>
      </c>
      <c r="V365">
        <v>2.3723629999999999E-2</v>
      </c>
      <c r="W365">
        <v>0.146703799999999</v>
      </c>
      <c r="X365">
        <v>0.988896</v>
      </c>
      <c r="Y365">
        <v>-4.839019E-2</v>
      </c>
      <c r="Z365">
        <v>6.9835649999999997E-4</v>
      </c>
      <c r="AA365">
        <v>0.9988283</v>
      </c>
      <c r="AB365">
        <v>17</v>
      </c>
      <c r="AC365">
        <v>70.109300000000005</v>
      </c>
      <c r="AD365">
        <v>-1.0708493400629999</v>
      </c>
      <c r="AE365">
        <v>2.8242999999999299</v>
      </c>
      <c r="AF365">
        <v>-3.4038226189637402</v>
      </c>
      <c r="AG365">
        <v>-1.0708493400629999</v>
      </c>
      <c r="AH365">
        <v>70.0671961260214</v>
      </c>
      <c r="AI365">
        <v>90.874562158389196</v>
      </c>
      <c r="AJ365">
        <v>92.781208343028595</v>
      </c>
      <c r="AK365">
        <v>70.157998116343293</v>
      </c>
      <c r="AL365">
        <v>81.564045539457894</v>
      </c>
      <c r="AM365">
        <v>88.625736981258399</v>
      </c>
      <c r="AN365">
        <v>1.0000000571854</v>
      </c>
    </row>
    <row r="366" spans="1:40" x14ac:dyDescent="0.25">
      <c r="A366" t="str">
        <f>"20190303162218372"</f>
        <v>20190303162218372</v>
      </c>
      <c r="B366" t="str">
        <f>"1551601338364855"</f>
        <v>1551601338364855</v>
      </c>
      <c r="C366" t="s">
        <v>40</v>
      </c>
      <c r="D366">
        <v>5.6300129999999999</v>
      </c>
      <c r="E366">
        <v>0.48210930000000002</v>
      </c>
      <c r="F366" t="s">
        <v>41</v>
      </c>
      <c r="G366">
        <v>-357.48320000000001</v>
      </c>
      <c r="H366" s="1">
        <v>-1.2329179999999999E-6</v>
      </c>
      <c r="I366">
        <v>370.2586</v>
      </c>
      <c r="J366">
        <v>-424.91860000000003</v>
      </c>
      <c r="K366">
        <v>1.070811</v>
      </c>
      <c r="L366">
        <v>367.5462</v>
      </c>
      <c r="M366">
        <v>0.99988630000000001</v>
      </c>
      <c r="N366">
        <v>-1.2557779999999999E-2</v>
      </c>
      <c r="O366">
        <v>-8.3607660000000004E-3</v>
      </c>
      <c r="P366">
        <v>0.99049290000000001</v>
      </c>
      <c r="Q366">
        <v>0.13378709999999999</v>
      </c>
      <c r="R366">
        <v>-3.2013100000000003E-2</v>
      </c>
      <c r="S366">
        <v>3.039307</v>
      </c>
      <c r="T366">
        <v>-4.8146250000000002E-2</v>
      </c>
      <c r="U366">
        <v>0.1218872</v>
      </c>
      <c r="V366">
        <v>2.3747239999999999E-2</v>
      </c>
      <c r="W366">
        <v>0.14621509999999999</v>
      </c>
      <c r="X366">
        <v>0.98896770000000001</v>
      </c>
      <c r="Y366">
        <v>-4.8413810000000002E-2</v>
      </c>
      <c r="Z366">
        <v>7.148791E-4</v>
      </c>
      <c r="AA366">
        <v>0.99882709999999997</v>
      </c>
      <c r="AB366">
        <v>17</v>
      </c>
      <c r="AC366">
        <v>67.435400000000001</v>
      </c>
      <c r="AD366">
        <v>-1.0708122329180001</v>
      </c>
      <c r="AE366">
        <v>2.7124000000000001</v>
      </c>
      <c r="AF366">
        <v>-3.2753366557622199</v>
      </c>
      <c r="AG366">
        <v>-1.0708122329180001</v>
      </c>
      <c r="AH366">
        <v>67.393397634353803</v>
      </c>
      <c r="AI366">
        <v>90.909221828083901</v>
      </c>
      <c r="AJ366">
        <v>92.782400503519497</v>
      </c>
      <c r="AK366">
        <v>67.481438290457803</v>
      </c>
      <c r="AL366">
        <v>81.592350300905807</v>
      </c>
      <c r="AM366">
        <v>88.624469520523803</v>
      </c>
      <c r="AN366">
        <v>0.99999994925945701</v>
      </c>
    </row>
    <row r="367" spans="1:40" x14ac:dyDescent="0.25">
      <c r="A367" t="str">
        <f>"20190303162218387"</f>
        <v>20190303162218387</v>
      </c>
      <c r="B367" t="str">
        <f>"1551601338374615"</f>
        <v>1551601338374615</v>
      </c>
      <c r="C367" t="s">
        <v>40</v>
      </c>
      <c r="D367">
        <v>5.6313570000000004</v>
      </c>
      <c r="E367">
        <v>0.48202279999999997</v>
      </c>
      <c r="F367" t="s">
        <v>41</v>
      </c>
      <c r="G367">
        <v>-390.19740000000002</v>
      </c>
      <c r="H367" s="1">
        <v>-4.4707229999999998E-6</v>
      </c>
      <c r="I367">
        <v>368.02010000000001</v>
      </c>
      <c r="J367">
        <v>-424.81310000000002</v>
      </c>
      <c r="K367">
        <v>1.070794</v>
      </c>
      <c r="L367">
        <v>367.5453</v>
      </c>
      <c r="M367">
        <v>0.99988759999999999</v>
      </c>
      <c r="N367">
        <v>-1.241546E-2</v>
      </c>
      <c r="O367">
        <v>-8.4118439999999999E-3</v>
      </c>
      <c r="P367">
        <v>0.99053630000000004</v>
      </c>
      <c r="Q367">
        <v>0.13342989999999999</v>
      </c>
      <c r="R367">
        <v>-3.216931E-2</v>
      </c>
      <c r="S367">
        <v>3.0428160000000002</v>
      </c>
      <c r="T367">
        <v>-9.3841549999999996E-2</v>
      </c>
      <c r="U367">
        <v>4.1534420000000002E-2</v>
      </c>
      <c r="V367">
        <v>2.3852120000000001E-2</v>
      </c>
      <c r="W367">
        <v>0.14571799999999999</v>
      </c>
      <c r="X367">
        <v>0.98903859999999999</v>
      </c>
      <c r="Y367">
        <v>-2.2043819999999999E-2</v>
      </c>
      <c r="Z367">
        <v>6.3165379999999998E-4</v>
      </c>
      <c r="AA367">
        <v>0.9997568</v>
      </c>
      <c r="AB367">
        <v>17</v>
      </c>
      <c r="AC367">
        <v>34.615699999999997</v>
      </c>
      <c r="AD367">
        <v>-1.0707984707230001</v>
      </c>
      <c r="AE367">
        <v>0.47480000000001599</v>
      </c>
      <c r="AF367">
        <v>-0.76525535531025002</v>
      </c>
      <c r="AG367">
        <v>-1.0707984707230001</v>
      </c>
      <c r="AH367">
        <v>34.577399755057598</v>
      </c>
      <c r="AI367">
        <v>91.773344045498504</v>
      </c>
      <c r="AJ367">
        <v>91.2678439036752</v>
      </c>
      <c r="AK367">
        <v>34.602439205131098</v>
      </c>
      <c r="AL367">
        <v>81.621140866686801</v>
      </c>
      <c r="AM367">
        <v>88.618495824347306</v>
      </c>
      <c r="AN367">
        <v>1.0000000057212199</v>
      </c>
    </row>
    <row r="368" spans="1:40" x14ac:dyDescent="0.25">
      <c r="A368" t="str">
        <f>"20190303162218405"</f>
        <v>20190303162218405</v>
      </c>
      <c r="B368" t="str">
        <f>"1551601338394135"</f>
        <v>1551601338394135</v>
      </c>
      <c r="C368" t="s">
        <v>40</v>
      </c>
      <c r="D368">
        <v>5.3052190000000001</v>
      </c>
      <c r="E368">
        <v>0.48209299999999999</v>
      </c>
      <c r="F368" t="s">
        <v>41</v>
      </c>
      <c r="G368">
        <v>-387.71010000000001</v>
      </c>
      <c r="H368" s="1">
        <v>-1.2416070000000001E-6</v>
      </c>
      <c r="I368">
        <v>368.05520000000001</v>
      </c>
      <c r="J368">
        <v>-424.66699999999997</v>
      </c>
      <c r="K368">
        <v>1.0707739999999999</v>
      </c>
      <c r="L368">
        <v>367.54390000000001</v>
      </c>
      <c r="M368">
        <v>0.99988929999999998</v>
      </c>
      <c r="N368">
        <v>-1.223337E-2</v>
      </c>
      <c r="O368">
        <v>-8.4804619999999994E-3</v>
      </c>
      <c r="P368">
        <v>0.99062399999999995</v>
      </c>
      <c r="Q368">
        <v>0.13276379999999999</v>
      </c>
      <c r="R368">
        <v>-3.2222260000000003E-2</v>
      </c>
      <c r="S368">
        <v>3.0418699999999999</v>
      </c>
      <c r="T368">
        <v>-8.778822E-2</v>
      </c>
      <c r="U368">
        <v>4.1809079999999998E-2</v>
      </c>
      <c r="V368">
        <v>2.3836449999999999E-2</v>
      </c>
      <c r="W368">
        <v>0.14487249999999999</v>
      </c>
      <c r="X368">
        <v>0.98916320000000002</v>
      </c>
      <c r="Y368">
        <v>-2.2208700000000001E-2</v>
      </c>
      <c r="Z368">
        <v>5.9723869999999996E-4</v>
      </c>
      <c r="AA368">
        <v>0.99975320000000001</v>
      </c>
      <c r="AB368">
        <v>17</v>
      </c>
      <c r="AC368">
        <v>36.956899999999898</v>
      </c>
      <c r="AD368">
        <v>-1.070775241607</v>
      </c>
      <c r="AE368">
        <v>0.51130000000000497</v>
      </c>
      <c r="AF368">
        <v>-0.82402500995695505</v>
      </c>
      <c r="AG368">
        <v>-1.070775241607</v>
      </c>
      <c r="AH368">
        <v>36.9202469192279</v>
      </c>
      <c r="AI368">
        <v>91.660835240193094</v>
      </c>
      <c r="AJ368">
        <v>91.278575361077301</v>
      </c>
      <c r="AK368">
        <v>36.944961894848802</v>
      </c>
      <c r="AL368">
        <v>81.670104207752402</v>
      </c>
      <c r="AM368">
        <v>88.619576912065796</v>
      </c>
      <c r="AN368">
        <v>1.0000000269195399</v>
      </c>
    </row>
    <row r="369" spans="1:40" x14ac:dyDescent="0.25">
      <c r="A369" t="str">
        <f>"20190303162218429"</f>
        <v>20190303162218429</v>
      </c>
      <c r="B369" t="str">
        <f>"1551601338424898"</f>
        <v>1551601338424898</v>
      </c>
      <c r="C369" t="s">
        <v>40</v>
      </c>
      <c r="D369">
        <v>5.507155</v>
      </c>
      <c r="E369">
        <v>0.48194009999999998</v>
      </c>
      <c r="F369" t="s">
        <v>41</v>
      </c>
      <c r="G369">
        <v>-384.67410000000001</v>
      </c>
      <c r="H369" s="1">
        <v>-2.5378839999999999E-6</v>
      </c>
      <c r="I369">
        <v>368.08980000000003</v>
      </c>
      <c r="J369">
        <v>-424.48450000000003</v>
      </c>
      <c r="K369">
        <v>1.0707549999999999</v>
      </c>
      <c r="L369">
        <v>367.54230000000001</v>
      </c>
      <c r="M369">
        <v>0.99989110000000003</v>
      </c>
      <c r="N369">
        <v>-1.2032340000000001E-2</v>
      </c>
      <c r="O369">
        <v>-8.5661599999999997E-3</v>
      </c>
      <c r="P369">
        <v>0.99064140000000001</v>
      </c>
      <c r="Q369">
        <v>0.13268479999999999</v>
      </c>
      <c r="R369">
        <v>-3.2014180000000003E-2</v>
      </c>
      <c r="S369">
        <v>3.0406490000000002</v>
      </c>
      <c r="T369">
        <v>-8.1410650000000001E-2</v>
      </c>
      <c r="U369">
        <v>4.1503909999999998E-2</v>
      </c>
      <c r="V369">
        <v>2.3543789999999998E-2</v>
      </c>
      <c r="W369">
        <v>0.14459459999999999</v>
      </c>
      <c r="X369">
        <v>0.98921079999999995</v>
      </c>
      <c r="Y369">
        <v>-2.2201439999999999E-2</v>
      </c>
      <c r="Z369">
        <v>5.5699949999999895E-4</v>
      </c>
      <c r="AA369">
        <v>0.99975340000000001</v>
      </c>
      <c r="AB369">
        <v>17</v>
      </c>
      <c r="AC369">
        <v>39.810400000000001</v>
      </c>
      <c r="AD369">
        <v>-1.070757537884</v>
      </c>
      <c r="AE369">
        <v>0.54750000000001298</v>
      </c>
      <c r="AF369">
        <v>-0.88788460120757395</v>
      </c>
      <c r="AG369">
        <v>-1.070757537884</v>
      </c>
      <c r="AH369">
        <v>39.775479975862403</v>
      </c>
      <c r="AI369">
        <v>91.541648427101705</v>
      </c>
      <c r="AJ369">
        <v>91.278767552858397</v>
      </c>
      <c r="AK369">
        <v>39.799794824599701</v>
      </c>
      <c r="AL369">
        <v>81.6861955615921</v>
      </c>
      <c r="AM369">
        <v>88.636584665992402</v>
      </c>
      <c r="AN369">
        <v>0.99999995761668103</v>
      </c>
    </row>
    <row r="370" spans="1:40" x14ac:dyDescent="0.25">
      <c r="A370" t="str">
        <f>"20190303162218452"</f>
        <v>20190303162218452</v>
      </c>
      <c r="B370" t="str">
        <f>"1551601338444418"</f>
        <v>1551601338444418</v>
      </c>
      <c r="C370" t="s">
        <v>40</v>
      </c>
      <c r="D370">
        <v>5.5055889999999996</v>
      </c>
      <c r="E370">
        <v>0.48196299999999997</v>
      </c>
      <c r="F370" t="s">
        <v>41</v>
      </c>
      <c r="G370">
        <v>-380.31790000000001</v>
      </c>
      <c r="H370" s="1">
        <v>-4.3932910000000003E-6</v>
      </c>
      <c r="I370">
        <v>368.1653</v>
      </c>
      <c r="J370">
        <v>-424.31130000000002</v>
      </c>
      <c r="K370">
        <v>1.0707450000000001</v>
      </c>
      <c r="L370">
        <v>367.54070000000002</v>
      </c>
      <c r="M370">
        <v>0.99989229999999996</v>
      </c>
      <c r="N370">
        <v>-1.18633E-2</v>
      </c>
      <c r="O370">
        <v>-8.6484919999999903E-3</v>
      </c>
      <c r="P370">
        <v>0.9905967</v>
      </c>
      <c r="Q370">
        <v>0.13310739999999999</v>
      </c>
      <c r="R370">
        <v>-3.1636839999999999E-2</v>
      </c>
      <c r="S370">
        <v>3.0395810000000001</v>
      </c>
      <c r="T370">
        <v>-7.3690409999999998E-2</v>
      </c>
      <c r="U370">
        <v>4.2877199999999997E-2</v>
      </c>
      <c r="V370">
        <v>2.308586E-2</v>
      </c>
      <c r="W370">
        <v>0.1448499</v>
      </c>
      <c r="X370">
        <v>0.98918430000000002</v>
      </c>
      <c r="Y370">
        <v>-2.2741979999999998E-2</v>
      </c>
      <c r="Z370">
        <v>5.1759879999999905E-4</v>
      </c>
      <c r="AA370">
        <v>0.99974130000000005</v>
      </c>
      <c r="AB370">
        <v>17</v>
      </c>
      <c r="AC370">
        <v>43.993400000000001</v>
      </c>
      <c r="AD370">
        <v>-1.0707493932909999</v>
      </c>
      <c r="AE370">
        <v>0.62459999999998606</v>
      </c>
      <c r="AF370">
        <v>-1.00448503686478</v>
      </c>
      <c r="AG370">
        <v>-1.0707493932909999</v>
      </c>
      <c r="AH370">
        <v>43.9603162578005</v>
      </c>
      <c r="AI370">
        <v>91.394923841505502</v>
      </c>
      <c r="AJ370">
        <v>91.308970109081599</v>
      </c>
      <c r="AK370">
        <v>43.984825791838198</v>
      </c>
      <c r="AL370">
        <v>81.671412795702295</v>
      </c>
      <c r="AM370">
        <v>88.663057762357198</v>
      </c>
      <c r="AN370">
        <v>1.0000000149142101</v>
      </c>
    </row>
    <row r="371" spans="1:40" x14ac:dyDescent="0.25">
      <c r="A371" t="str">
        <f>"20190303162218474"</f>
        <v>20190303162218474</v>
      </c>
      <c r="B371" t="str">
        <f>"1551601338464913"</f>
        <v>1551601338464913</v>
      </c>
      <c r="C371" t="s">
        <v>40</v>
      </c>
      <c r="D371">
        <v>5.4453149999999999</v>
      </c>
      <c r="E371">
        <v>0.481881</v>
      </c>
      <c r="F371" t="s">
        <v>41</v>
      </c>
      <c r="G371">
        <v>-378.3648</v>
      </c>
      <c r="H371" s="1">
        <v>-9.3490750000000004E-7</v>
      </c>
      <c r="I371">
        <v>368.20080000000002</v>
      </c>
      <c r="J371">
        <v>-424.13670000000002</v>
      </c>
      <c r="K371">
        <v>1.070738</v>
      </c>
      <c r="L371">
        <v>367.53910000000002</v>
      </c>
      <c r="M371">
        <v>0.99989340000000004</v>
      </c>
      <c r="N371">
        <v>-1.170823E-2</v>
      </c>
      <c r="O371">
        <v>-8.7329490000000003E-3</v>
      </c>
      <c r="P371">
        <v>0.990645</v>
      </c>
      <c r="Q371">
        <v>0.1327226</v>
      </c>
      <c r="R371">
        <v>-3.1741220000000001E-2</v>
      </c>
      <c r="S371">
        <v>3.0394290000000002</v>
      </c>
      <c r="T371">
        <v>-7.08313E-2</v>
      </c>
      <c r="U371">
        <v>4.3670649999999998E-2</v>
      </c>
      <c r="V371">
        <v>2.3106439999999999E-2</v>
      </c>
      <c r="W371">
        <v>0.14431250000000001</v>
      </c>
      <c r="X371">
        <v>0.98926230000000004</v>
      </c>
      <c r="Y371">
        <v>-2.308866E-2</v>
      </c>
      <c r="Z371">
        <v>5.0542209999999998E-4</v>
      </c>
      <c r="AA371">
        <v>0.99973330000000005</v>
      </c>
      <c r="AB371">
        <v>17</v>
      </c>
      <c r="AC371">
        <v>45.771900000000002</v>
      </c>
      <c r="AD371">
        <v>-1.0707389349075001</v>
      </c>
      <c r="AE371">
        <v>0.66169999999999596</v>
      </c>
      <c r="AF371">
        <v>-1.0608453967194</v>
      </c>
      <c r="AG371">
        <v>-1.0707389349075001</v>
      </c>
      <c r="AH371">
        <v>45.739350675441401</v>
      </c>
      <c r="AI371">
        <v>91.340664727662499</v>
      </c>
      <c r="AJ371">
        <v>91.328638640296603</v>
      </c>
      <c r="AK371">
        <v>45.764178950719497</v>
      </c>
      <c r="AL371">
        <v>81.702529975089703</v>
      </c>
      <c r="AM371">
        <v>88.661971840940495</v>
      </c>
      <c r="AN371">
        <v>0.99999995171350498</v>
      </c>
    </row>
    <row r="372" spans="1:40" x14ac:dyDescent="0.25">
      <c r="A372" t="str">
        <f>"20190303162218498"</f>
        <v>20190303162218498</v>
      </c>
      <c r="B372" t="str">
        <f>"1551601338484436"</f>
        <v>1551601338484436</v>
      </c>
      <c r="C372" t="s">
        <v>40</v>
      </c>
      <c r="D372">
        <v>5.5057619999999998</v>
      </c>
      <c r="E372">
        <v>0.4819852</v>
      </c>
      <c r="F372" t="s">
        <v>41</v>
      </c>
      <c r="G372">
        <v>-376.4529</v>
      </c>
      <c r="H372" s="1">
        <v>-1.748304E-6</v>
      </c>
      <c r="I372">
        <v>368.23910000000001</v>
      </c>
      <c r="J372">
        <v>-423.96089999999998</v>
      </c>
      <c r="K372">
        <v>1.0707230000000001</v>
      </c>
      <c r="L372">
        <v>367.53750000000002</v>
      </c>
      <c r="M372">
        <v>0.99989439999999996</v>
      </c>
      <c r="N372">
        <v>-1.1554729999999999E-2</v>
      </c>
      <c r="O372">
        <v>-8.8196909999999993E-3</v>
      </c>
      <c r="P372">
        <v>0.99063270000000003</v>
      </c>
      <c r="Q372">
        <v>0.13280449999999999</v>
      </c>
      <c r="R372">
        <v>-3.1776319999999997E-2</v>
      </c>
      <c r="S372">
        <v>3.0388790000000001</v>
      </c>
      <c r="T372">
        <v>-6.8237899999999893E-2</v>
      </c>
      <c r="U372">
        <v>4.4616700000000002E-2</v>
      </c>
      <c r="V372">
        <v>2.305635E-2</v>
      </c>
      <c r="W372">
        <v>0.1442417</v>
      </c>
      <c r="X372">
        <v>0.98927379999999998</v>
      </c>
      <c r="Y372">
        <v>-2.3489650000000001E-2</v>
      </c>
      <c r="Z372">
        <v>4.9553930000000002E-4</v>
      </c>
      <c r="AA372">
        <v>0.99972399999999995</v>
      </c>
      <c r="AB372">
        <v>17</v>
      </c>
      <c r="AC372">
        <v>47.507999999999903</v>
      </c>
      <c r="AD372">
        <v>-1.0707247483040001</v>
      </c>
      <c r="AE372">
        <v>0.70159999999998401</v>
      </c>
      <c r="AF372">
        <v>-1.12003773836445</v>
      </c>
      <c r="AG372">
        <v>-1.0707247483040001</v>
      </c>
      <c r="AH372">
        <v>47.475853489047601</v>
      </c>
      <c r="AI372">
        <v>91.291615631755107</v>
      </c>
      <c r="AJ372">
        <v>91.351456138102805</v>
      </c>
      <c r="AK372">
        <v>47.501132623712301</v>
      </c>
      <c r="AL372">
        <v>81.706629454417893</v>
      </c>
      <c r="AM372">
        <v>88.664886874042693</v>
      </c>
      <c r="AN372">
        <v>0.99999995733032498</v>
      </c>
    </row>
    <row r="373" spans="1:40" x14ac:dyDescent="0.25">
      <c r="A373" t="str">
        <f>"20190303162218519"</f>
        <v>20190303162218519</v>
      </c>
      <c r="B373" t="str">
        <f>"1551601338504930"</f>
        <v>1551601338504930</v>
      </c>
      <c r="C373" t="s">
        <v>40</v>
      </c>
      <c r="D373">
        <v>5.3860419999999998</v>
      </c>
      <c r="E373">
        <v>0.4820064</v>
      </c>
      <c r="F373" t="s">
        <v>41</v>
      </c>
      <c r="G373">
        <v>-374.15589999999997</v>
      </c>
      <c r="H373" s="1">
        <v>-2.7314630000000001E-6</v>
      </c>
      <c r="I373">
        <v>368.25170000000003</v>
      </c>
      <c r="J373">
        <v>-423.79390000000001</v>
      </c>
      <c r="K373">
        <v>1.0707070000000001</v>
      </c>
      <c r="L373">
        <v>367.53590000000003</v>
      </c>
      <c r="M373">
        <v>0.9998956</v>
      </c>
      <c r="N373">
        <v>-1.1387899999999999E-2</v>
      </c>
      <c r="O373">
        <v>-8.9031500000000003E-3</v>
      </c>
      <c r="P373">
        <v>0.99063080000000003</v>
      </c>
      <c r="Q373">
        <v>0.13284570000000001</v>
      </c>
      <c r="R373">
        <v>-3.1666930000000003E-2</v>
      </c>
      <c r="S373">
        <v>3.0385439999999999</v>
      </c>
      <c r="T373">
        <v>-6.5323709999999993E-2</v>
      </c>
      <c r="U373">
        <v>4.3579100000000003E-2</v>
      </c>
      <c r="V373">
        <v>2.286498E-2</v>
      </c>
      <c r="W373">
        <v>0.14411760000000001</v>
      </c>
      <c r="X373">
        <v>0.98929639999999996</v>
      </c>
      <c r="Y373">
        <v>-2.32342E-2</v>
      </c>
      <c r="Z373">
        <v>4.7202810000000002E-4</v>
      </c>
      <c r="AA373">
        <v>0.99972989999999995</v>
      </c>
      <c r="AB373">
        <v>17</v>
      </c>
      <c r="AC373">
        <v>49.637999999999998</v>
      </c>
      <c r="AD373">
        <v>-1.0707097314630001</v>
      </c>
      <c r="AE373">
        <v>0.71580000000000099</v>
      </c>
      <c r="AF373">
        <v>-1.15719650011441</v>
      </c>
      <c r="AG373">
        <v>-1.0707097314630001</v>
      </c>
      <c r="AH373">
        <v>49.606582931478201</v>
      </c>
      <c r="AI373">
        <v>91.236145366847197</v>
      </c>
      <c r="AJ373">
        <v>91.336323707416696</v>
      </c>
      <c r="AK373">
        <v>49.631628959833201</v>
      </c>
      <c r="AL373">
        <v>81.713815532132699</v>
      </c>
      <c r="AM373">
        <v>88.675994720838403</v>
      </c>
      <c r="AN373">
        <v>1.00000002849655</v>
      </c>
    </row>
    <row r="374" spans="1:40" x14ac:dyDescent="0.25">
      <c r="A374" t="str">
        <f>"20190303162218540"</f>
        <v>20190303162218540</v>
      </c>
      <c r="B374" t="str">
        <f>"1551601338534716"</f>
        <v>1551601338534716</v>
      </c>
      <c r="C374" t="s">
        <v>40</v>
      </c>
      <c r="D374">
        <v>5.4411019999999999</v>
      </c>
      <c r="E374">
        <v>0.4821434</v>
      </c>
      <c r="F374" t="s">
        <v>41</v>
      </c>
      <c r="G374">
        <v>-371.62079999999997</v>
      </c>
      <c r="H374" s="1">
        <v>-3.8132460000000002E-6</v>
      </c>
      <c r="I374">
        <v>368.2842</v>
      </c>
      <c r="J374">
        <v>-423.62419999999997</v>
      </c>
      <c r="K374">
        <v>1.070673</v>
      </c>
      <c r="L374">
        <v>367.53429999999997</v>
      </c>
      <c r="M374">
        <v>0.99989709999999998</v>
      </c>
      <c r="N374">
        <v>-1.117274E-2</v>
      </c>
      <c r="O374">
        <v>-8.9896819999999902E-3</v>
      </c>
      <c r="P374">
        <v>0.99059299999999995</v>
      </c>
      <c r="Q374">
        <v>0.1331128</v>
      </c>
      <c r="R374">
        <v>-3.1726119999999997E-2</v>
      </c>
      <c r="S374">
        <v>3.038116</v>
      </c>
      <c r="T374">
        <v>-6.2348960000000002E-2</v>
      </c>
      <c r="U374">
        <v>4.3579100000000003E-2</v>
      </c>
      <c r="V374">
        <v>2.2839120000000001E-2</v>
      </c>
      <c r="W374">
        <v>0.14417240000000001</v>
      </c>
      <c r="X374">
        <v>0.98928899999999997</v>
      </c>
      <c r="Y374">
        <v>-2.3323409999999999E-2</v>
      </c>
      <c r="Z374">
        <v>4.5364070000000002E-4</v>
      </c>
      <c r="AA374">
        <v>0.99972780000000006</v>
      </c>
      <c r="AB374">
        <v>17</v>
      </c>
      <c r="AC374">
        <v>52.003399999999999</v>
      </c>
      <c r="AD374">
        <v>-1.0706768132460001</v>
      </c>
      <c r="AE374">
        <v>0.74990000000002499</v>
      </c>
      <c r="AF374">
        <v>-1.2168772234238401</v>
      </c>
      <c r="AG374">
        <v>-1.0706768132460001</v>
      </c>
      <c r="AH374">
        <v>51.972530536505197</v>
      </c>
      <c r="AI374">
        <v>91.179849914060796</v>
      </c>
      <c r="AJ374">
        <v>91.341269933140595</v>
      </c>
      <c r="AK374">
        <v>51.997798697476398</v>
      </c>
      <c r="AL374">
        <v>81.710642482135299</v>
      </c>
      <c r="AM374">
        <v>88.677481732754401</v>
      </c>
      <c r="AN374">
        <v>1.0000000159225599</v>
      </c>
    </row>
    <row r="375" spans="1:40" x14ac:dyDescent="0.25">
      <c r="A375" t="str">
        <f>"20190303162218563"</f>
        <v>20190303162218563</v>
      </c>
      <c r="B375" t="str">
        <f>"1551601338554236"</f>
        <v>1551601338554236</v>
      </c>
      <c r="C375" t="s">
        <v>40</v>
      </c>
      <c r="D375">
        <v>5.547644</v>
      </c>
      <c r="E375">
        <v>0.48222530000000002</v>
      </c>
      <c r="F375" t="s">
        <v>41</v>
      </c>
      <c r="G375">
        <v>-367.76429999999999</v>
      </c>
      <c r="H375" s="1">
        <v>-1.173958E-6</v>
      </c>
      <c r="I375">
        <v>368.30529999999999</v>
      </c>
      <c r="J375">
        <v>-423.44920000000002</v>
      </c>
      <c r="K375">
        <v>1.0706249999999999</v>
      </c>
      <c r="L375">
        <v>367.5326</v>
      </c>
      <c r="M375">
        <v>0.99989950000000005</v>
      </c>
      <c r="N375">
        <v>-1.08951E-2</v>
      </c>
      <c r="O375">
        <v>-9.0795900000000002E-3</v>
      </c>
      <c r="P375">
        <v>0.99048440000000004</v>
      </c>
      <c r="Q375">
        <v>0.1338742</v>
      </c>
      <c r="R375">
        <v>-3.1914150000000002E-2</v>
      </c>
      <c r="S375">
        <v>3.0376590000000001</v>
      </c>
      <c r="T375">
        <v>-5.8223129999999998E-2</v>
      </c>
      <c r="U375">
        <v>4.193115E-2</v>
      </c>
      <c r="V375">
        <v>2.2939370000000001E-2</v>
      </c>
      <c r="W375">
        <v>0.14465739999999999</v>
      </c>
      <c r="X375">
        <v>0.98921590000000004</v>
      </c>
      <c r="Y375">
        <v>-2.2874249999999999E-2</v>
      </c>
      <c r="Z375">
        <v>4.1891159999999999E-4</v>
      </c>
      <c r="AA375">
        <v>0.99973829999999997</v>
      </c>
      <c r="AB375">
        <v>17</v>
      </c>
      <c r="AC375">
        <v>55.684899999999999</v>
      </c>
      <c r="AD375">
        <v>-1.0706261739580001</v>
      </c>
      <c r="AE375">
        <v>0.77269999999998595</v>
      </c>
      <c r="AF375">
        <v>-1.2778219116437499</v>
      </c>
      <c r="AG375">
        <v>-1.0706261739580001</v>
      </c>
      <c r="AH375">
        <v>55.655018766824497</v>
      </c>
      <c r="AI375">
        <v>91.101762997884506</v>
      </c>
      <c r="AJ375">
        <v>91.315262187961594</v>
      </c>
      <c r="AK375">
        <v>55.679980093188099</v>
      </c>
      <c r="AL375">
        <v>81.682559823370298</v>
      </c>
      <c r="AM375">
        <v>88.671580624633094</v>
      </c>
      <c r="AN375">
        <v>1.0000000374417799</v>
      </c>
    </row>
    <row r="376" spans="1:40" x14ac:dyDescent="0.25">
      <c r="A376" t="str">
        <f>"20190303162218585"</f>
        <v>20190303162218585</v>
      </c>
      <c r="B376" t="str">
        <f>"1551601338574732"</f>
        <v>1551601338574732</v>
      </c>
      <c r="C376" t="s">
        <v>40</v>
      </c>
      <c r="D376">
        <v>5.0235539999999999</v>
      </c>
      <c r="E376">
        <v>0.48424070000000002</v>
      </c>
      <c r="F376" t="s">
        <v>41</v>
      </c>
      <c r="G376">
        <v>-365.32429999999999</v>
      </c>
      <c r="H376" s="1">
        <v>-2.2196190000000002E-6</v>
      </c>
      <c r="I376">
        <v>368.31150000000002</v>
      </c>
      <c r="J376">
        <v>-423.27839999999998</v>
      </c>
      <c r="K376">
        <v>1.07057</v>
      </c>
      <c r="L376">
        <v>367.53100000000001</v>
      </c>
      <c r="M376">
        <v>0.99990210000000002</v>
      </c>
      <c r="N376">
        <v>-1.058512E-2</v>
      </c>
      <c r="O376">
        <v>-9.167929E-3</v>
      </c>
      <c r="P376">
        <v>0.99039160000000004</v>
      </c>
      <c r="Q376">
        <v>0.13455149999999999</v>
      </c>
      <c r="R376">
        <v>-3.1948629999999999E-2</v>
      </c>
      <c r="S376">
        <v>3.0376889999999999</v>
      </c>
      <c r="T376">
        <v>-5.5952429999999997E-2</v>
      </c>
      <c r="U376">
        <v>4.0710450000000002E-2</v>
      </c>
      <c r="V376">
        <v>2.2887359999999999E-2</v>
      </c>
      <c r="W376">
        <v>0.14502679999999901</v>
      </c>
      <c r="X376">
        <v>0.98916300000000001</v>
      </c>
      <c r="Y376">
        <v>-2.2561330000000001E-2</v>
      </c>
      <c r="Z376">
        <v>3.9899679999999999E-4</v>
      </c>
      <c r="AA376">
        <v>0.99974540000000001</v>
      </c>
      <c r="AB376">
        <v>17</v>
      </c>
      <c r="AC376">
        <v>57.954099999999897</v>
      </c>
      <c r="AD376">
        <v>-1.070572219619</v>
      </c>
      <c r="AE376">
        <v>0.78050000000001696</v>
      </c>
      <c r="AF376">
        <v>-1.3113685419440599</v>
      </c>
      <c r="AG376">
        <v>-1.070572219619</v>
      </c>
      <c r="AH376">
        <v>57.924745337610503</v>
      </c>
      <c r="AI376">
        <v>91.058555870669807</v>
      </c>
      <c r="AJ376">
        <v>91.296907734769306</v>
      </c>
      <c r="AK376">
        <v>57.949477432995501</v>
      </c>
      <c r="AL376">
        <v>81.661169066817607</v>
      </c>
      <c r="AM376">
        <v>88.674520592197993</v>
      </c>
      <c r="AN376">
        <v>1.0000000222675001</v>
      </c>
    </row>
    <row r="377" spans="1:40" x14ac:dyDescent="0.25">
      <c r="A377" t="str">
        <f>"20190303162218606"</f>
        <v>20190303162218606</v>
      </c>
      <c r="B377" t="str">
        <f>"1551601338594253"</f>
        <v>1551601338594253</v>
      </c>
      <c r="C377" t="s">
        <v>40</v>
      </c>
      <c r="D377">
        <v>5.4759820000000001</v>
      </c>
      <c r="E377">
        <v>0.48573060000000001</v>
      </c>
      <c r="F377" t="s">
        <v>41</v>
      </c>
      <c r="G377">
        <v>-362.65449999999998</v>
      </c>
      <c r="H377" s="1">
        <v>-3.4161100000000001E-6</v>
      </c>
      <c r="I377">
        <v>368.0231</v>
      </c>
      <c r="J377">
        <v>-423.10700000000003</v>
      </c>
      <c r="K377">
        <v>1.0705260000000001</v>
      </c>
      <c r="L377">
        <v>367.52929999999998</v>
      </c>
      <c r="M377">
        <v>0.99990449999999997</v>
      </c>
      <c r="N377">
        <v>-1.0266340000000001E-2</v>
      </c>
      <c r="O377">
        <v>-9.2566269999999999E-3</v>
      </c>
      <c r="P377">
        <v>0.99022370000000004</v>
      </c>
      <c r="Q377">
        <v>0.1357207</v>
      </c>
      <c r="R377">
        <v>-3.2202340000000003E-2</v>
      </c>
      <c r="S377">
        <v>3.037201</v>
      </c>
      <c r="T377">
        <v>-5.3634639999999997E-2</v>
      </c>
      <c r="U377">
        <v>2.4658200000000002E-2</v>
      </c>
      <c r="V377">
        <v>2.3055289999999999E-2</v>
      </c>
      <c r="W377">
        <v>0.14587929999999999</v>
      </c>
      <c r="X377">
        <v>0.98903370000000002</v>
      </c>
      <c r="Y377">
        <v>-1.7370389999999999E-2</v>
      </c>
      <c r="Z377">
        <v>3.1095899999999998E-4</v>
      </c>
      <c r="AA377">
        <v>0.99984910000000005</v>
      </c>
      <c r="AB377">
        <v>18</v>
      </c>
      <c r="AC377">
        <v>60.452499999999901</v>
      </c>
      <c r="AD377">
        <v>-1.0705294161100001</v>
      </c>
      <c r="AE377">
        <v>0.493800000000021</v>
      </c>
      <c r="AF377">
        <v>-1.0530643381862199</v>
      </c>
      <c r="AG377">
        <v>-1.0705294161100001</v>
      </c>
      <c r="AH377">
        <v>60.426390438080702</v>
      </c>
      <c r="AI377">
        <v>91.014806473988799</v>
      </c>
      <c r="AJ377">
        <v>90.998405408890093</v>
      </c>
      <c r="AK377">
        <v>60.445046439774401</v>
      </c>
      <c r="AL377">
        <v>81.611799087033603</v>
      </c>
      <c r="AM377">
        <v>88.664624249977194</v>
      </c>
      <c r="AN377">
        <v>0.999999988150581</v>
      </c>
    </row>
    <row r="378" spans="1:40" x14ac:dyDescent="0.25">
      <c r="A378" t="str">
        <f>"20190303162218629"</f>
        <v>20190303162218629</v>
      </c>
      <c r="B378" t="str">
        <f>"1551601338625014"</f>
        <v>1551601338625014</v>
      </c>
      <c r="C378" t="s">
        <v>40</v>
      </c>
      <c r="D378">
        <v>5.4742639999999998</v>
      </c>
      <c r="E378">
        <v>0.48747879999999899</v>
      </c>
      <c r="F378" t="s">
        <v>41</v>
      </c>
      <c r="G378">
        <v>-356.91460000000001</v>
      </c>
      <c r="H378" s="1">
        <v>-1.629344E-6</v>
      </c>
      <c r="I378">
        <v>367.79329999999999</v>
      </c>
      <c r="J378">
        <v>-422.92329999999998</v>
      </c>
      <c r="K378">
        <v>1.0704819999999999</v>
      </c>
      <c r="L378">
        <v>367.52749999999997</v>
      </c>
      <c r="M378">
        <v>0.99990699999999999</v>
      </c>
      <c r="N378">
        <v>-9.9379570000000007E-3</v>
      </c>
      <c r="O378">
        <v>-9.3512860000000003E-3</v>
      </c>
      <c r="P378">
        <v>0.99016519999999997</v>
      </c>
      <c r="Q378">
        <v>0.1362698</v>
      </c>
      <c r="R378">
        <v>-3.1677499999999997E-2</v>
      </c>
      <c r="S378">
        <v>3.0367130000000002</v>
      </c>
      <c r="T378">
        <v>-4.911256E-2</v>
      </c>
      <c r="U378">
        <v>1.211548E-2</v>
      </c>
      <c r="V378">
        <v>2.2437470000000001E-2</v>
      </c>
      <c r="W378">
        <v>0.14610239999999999</v>
      </c>
      <c r="X378">
        <v>0.98901499999999998</v>
      </c>
      <c r="Y378">
        <v>-1.333814E-2</v>
      </c>
      <c r="Z378">
        <v>2.3243029999999999E-4</v>
      </c>
      <c r="AA378">
        <v>0.99991099999999999</v>
      </c>
      <c r="AB378">
        <v>18</v>
      </c>
      <c r="AC378">
        <v>66.008699999999905</v>
      </c>
      <c r="AD378">
        <v>-1.0704836293440001</v>
      </c>
      <c r="AE378">
        <v>0.26580000000001203</v>
      </c>
      <c r="AF378">
        <v>-0.88285283800397096</v>
      </c>
      <c r="AG378">
        <v>-1.0704836293440001</v>
      </c>
      <c r="AH378">
        <v>65.985973733895705</v>
      </c>
      <c r="AI378">
        <v>90.929338815497402</v>
      </c>
      <c r="AJ378">
        <v>90.766537503443601</v>
      </c>
      <c r="AK378">
        <v>66.000561315375506</v>
      </c>
      <c r="AL378">
        <v>81.5988781522545</v>
      </c>
      <c r="AM378">
        <v>88.700371736678406</v>
      </c>
      <c r="AN378">
        <v>1.0000000107853799</v>
      </c>
    </row>
    <row r="379" spans="1:40" x14ac:dyDescent="0.25">
      <c r="A379" t="str">
        <f>"20190303162218665"</f>
        <v>20190303162218665</v>
      </c>
      <c r="B379" t="str">
        <f>"1551601338654295"</f>
        <v>1551601338654295</v>
      </c>
      <c r="C379" t="s">
        <v>40</v>
      </c>
      <c r="D379">
        <v>5.4745530000000002</v>
      </c>
      <c r="E379">
        <v>0.48887570000000002</v>
      </c>
      <c r="F379" t="s">
        <v>41</v>
      </c>
      <c r="G379">
        <v>-353.20920000000001</v>
      </c>
      <c r="H379" s="1">
        <v>-3.2669699999999998E-6</v>
      </c>
      <c r="I379">
        <v>367.52249999999998</v>
      </c>
      <c r="J379">
        <v>-422.65539999999999</v>
      </c>
      <c r="K379">
        <v>1.0704359999999999</v>
      </c>
      <c r="L379">
        <v>367.52480000000003</v>
      </c>
      <c r="M379">
        <v>0.99990990000000002</v>
      </c>
      <c r="N379">
        <v>-9.5014959999999999E-3</v>
      </c>
      <c r="O379">
        <v>-9.4883970000000008E-3</v>
      </c>
      <c r="P379">
        <v>0.99021570000000003</v>
      </c>
      <c r="Q379">
        <v>0.13600590000000001</v>
      </c>
      <c r="R379">
        <v>-3.123335E-2</v>
      </c>
      <c r="S379">
        <v>3.0362239999999998</v>
      </c>
      <c r="T379">
        <v>-4.6622280000000002E-2</v>
      </c>
      <c r="U379">
        <v>-2.13623E-4</v>
      </c>
      <c r="V379">
        <v>2.1857250000000002E-2</v>
      </c>
      <c r="W379">
        <v>0.1454075</v>
      </c>
      <c r="X379">
        <v>0.98913039999999997</v>
      </c>
      <c r="Y379">
        <v>-9.416509E-3</v>
      </c>
      <c r="Z379">
        <v>1.7256570000000001E-4</v>
      </c>
      <c r="AA379">
        <v>0.9999557</v>
      </c>
      <c r="AB379">
        <v>18</v>
      </c>
      <c r="AC379">
        <v>69.446199999999905</v>
      </c>
      <c r="AD379">
        <v>-1.07043926697</v>
      </c>
      <c r="AE379">
        <v>-2.3000000000479299E-3</v>
      </c>
      <c r="AF379">
        <v>-0.65650694762488204</v>
      </c>
      <c r="AG379">
        <v>-1.07043926697</v>
      </c>
      <c r="AH379">
        <v>69.426600337111793</v>
      </c>
      <c r="AI379">
        <v>90.883293310792794</v>
      </c>
      <c r="AJ379">
        <v>90.541780182776094</v>
      </c>
      <c r="AK379">
        <v>69.437955586016599</v>
      </c>
      <c r="AL379">
        <v>81.6391228030501</v>
      </c>
      <c r="AM379">
        <v>88.7341159462039</v>
      </c>
      <c r="AN379">
        <v>1.00000001431898</v>
      </c>
    </row>
    <row r="380" spans="1:40" x14ac:dyDescent="0.25">
      <c r="A380" t="str">
        <f>"20190303162218687"</f>
        <v>20190303162218687</v>
      </c>
      <c r="B380" t="str">
        <f>"1551601338674790"</f>
        <v>1551601338674790</v>
      </c>
      <c r="C380" t="s">
        <v>40</v>
      </c>
      <c r="D380">
        <v>5.4680619999999998</v>
      </c>
      <c r="E380">
        <v>0.48964439999999998</v>
      </c>
      <c r="F380" t="s">
        <v>41</v>
      </c>
      <c r="G380">
        <v>-353.3845</v>
      </c>
      <c r="H380" s="1">
        <v>-3.2312629999999999E-6</v>
      </c>
      <c r="I380">
        <v>367.2998</v>
      </c>
      <c r="J380">
        <v>-422.47469999999998</v>
      </c>
      <c r="K380">
        <v>1.0704070000000001</v>
      </c>
      <c r="L380">
        <v>367.52300000000002</v>
      </c>
      <c r="M380">
        <v>0.99991129999999995</v>
      </c>
      <c r="N380">
        <v>-9.2470829999999997E-3</v>
      </c>
      <c r="O380">
        <v>-9.5800650000000005E-3</v>
      </c>
      <c r="P380">
        <v>0.99026199999999998</v>
      </c>
      <c r="Q380">
        <v>0.13560720000000001</v>
      </c>
      <c r="R380">
        <v>-3.1496389999999999E-2</v>
      </c>
      <c r="S380">
        <v>3.0357669999999999</v>
      </c>
      <c r="T380">
        <v>-4.6911479999999998E-2</v>
      </c>
      <c r="U380">
        <v>-9.8571779999999994E-3</v>
      </c>
      <c r="V380">
        <v>2.2029199999999999E-2</v>
      </c>
      <c r="W380">
        <v>0.14475789999999999</v>
      </c>
      <c r="X380">
        <v>0.98922189999999999</v>
      </c>
      <c r="Y380">
        <v>-6.3321849999999997E-3</v>
      </c>
      <c r="Z380">
        <v>1.3764299999999901E-4</v>
      </c>
      <c r="AA380">
        <v>0.99997990000000003</v>
      </c>
      <c r="AB380">
        <v>18</v>
      </c>
      <c r="AC380">
        <v>69.090199999999896</v>
      </c>
      <c r="AD380">
        <v>-1.0704102312629999</v>
      </c>
      <c r="AE380">
        <v>-0.22320000000001899</v>
      </c>
      <c r="AF380">
        <v>-0.438621903985777</v>
      </c>
      <c r="AG380">
        <v>-1.0704102312629999</v>
      </c>
      <c r="AH380">
        <v>69.072588150247</v>
      </c>
      <c r="AI380">
        <v>90.887817370004299</v>
      </c>
      <c r="AJ380">
        <v>90.363832408493707</v>
      </c>
      <c r="AK380">
        <v>69.082274144757903</v>
      </c>
      <c r="AL380">
        <v>81.676740461159994</v>
      </c>
      <c r="AM380">
        <v>88.724278544492606</v>
      </c>
      <c r="AN380">
        <v>1.00000005135232</v>
      </c>
    </row>
    <row r="381" spans="1:40" x14ac:dyDescent="0.25">
      <c r="A381" t="str">
        <f>"20190303162218708"</f>
        <v>20190303162218708</v>
      </c>
      <c r="B381" t="str">
        <f>"1551601338695287"</f>
        <v>1551601338695287</v>
      </c>
      <c r="C381" t="s">
        <v>40</v>
      </c>
      <c r="D381">
        <v>5.4632519999999998</v>
      </c>
      <c r="E381">
        <v>0.49033680000000002</v>
      </c>
      <c r="F381" t="s">
        <v>41</v>
      </c>
      <c r="G381">
        <v>-354.22669999999999</v>
      </c>
      <c r="H381" s="1">
        <v>-2.8962330000000002E-6</v>
      </c>
      <c r="I381">
        <v>367.15170000000001</v>
      </c>
      <c r="J381">
        <v>-422.30130000000003</v>
      </c>
      <c r="K381">
        <v>1.0703739999999999</v>
      </c>
      <c r="L381">
        <v>367.52120000000002</v>
      </c>
      <c r="M381">
        <v>0.99991260000000004</v>
      </c>
      <c r="N381">
        <v>-9.0315069999999994E-3</v>
      </c>
      <c r="O381">
        <v>-9.6681240000000002E-3</v>
      </c>
      <c r="P381">
        <v>0.99045499999999997</v>
      </c>
      <c r="Q381">
        <v>0.13415199999999999</v>
      </c>
      <c r="R381">
        <v>-3.1663730000000001E-2</v>
      </c>
      <c r="S381">
        <v>3.0354920000000001</v>
      </c>
      <c r="T381">
        <v>-4.760897E-2</v>
      </c>
      <c r="U381">
        <v>-1.6510009999999999E-2</v>
      </c>
      <c r="V381">
        <v>2.2107370000000001E-2</v>
      </c>
      <c r="W381">
        <v>0.1430912</v>
      </c>
      <c r="X381">
        <v>0.98946259999999997</v>
      </c>
      <c r="Y381">
        <v>-4.2286859999999997E-3</v>
      </c>
      <c r="Z381">
        <v>1.1656190000000001E-4</v>
      </c>
      <c r="AA381">
        <v>0.99999110000000002</v>
      </c>
      <c r="AB381">
        <v>18</v>
      </c>
      <c r="AC381">
        <v>68.074600000000004</v>
      </c>
      <c r="AD381">
        <v>-1.070376896233</v>
      </c>
      <c r="AE381">
        <v>-0.36950000000001598</v>
      </c>
      <c r="AF381">
        <v>-0.28862635166652201</v>
      </c>
      <c r="AG381">
        <v>-1.070376896233</v>
      </c>
      <c r="AH381">
        <v>68.058165022996207</v>
      </c>
      <c r="AI381">
        <v>90.901030339405693</v>
      </c>
      <c r="AJ381">
        <v>90.242982934703704</v>
      </c>
      <c r="AK381">
        <v>68.067193552902197</v>
      </c>
      <c r="AL381">
        <v>81.773239873545805</v>
      </c>
      <c r="AM381">
        <v>88.720064520085003</v>
      </c>
      <c r="AN381">
        <v>1.00000003206225</v>
      </c>
    </row>
    <row r="382" spans="1:40" x14ac:dyDescent="0.25">
      <c r="A382" t="str">
        <f>"20190303162218731"</f>
        <v>20190303162218731</v>
      </c>
      <c r="B382" t="str">
        <f>"1551601338724567"</f>
        <v>1551601338724567</v>
      </c>
      <c r="C382" t="s">
        <v>40</v>
      </c>
      <c r="D382">
        <v>5.469462</v>
      </c>
      <c r="E382">
        <v>0.49132179999999998</v>
      </c>
      <c r="F382" t="s">
        <v>41</v>
      </c>
      <c r="G382">
        <v>-359.15109999999999</v>
      </c>
      <c r="H382" s="1">
        <v>-9.5983229999999996E-7</v>
      </c>
      <c r="I382">
        <v>367.04239999999999</v>
      </c>
      <c r="J382">
        <v>-422.1182</v>
      </c>
      <c r="K382">
        <v>1.0703480000000001</v>
      </c>
      <c r="L382">
        <v>367.51929999999999</v>
      </c>
      <c r="M382">
        <v>0.99991339999999995</v>
      </c>
      <c r="N382">
        <v>-8.8335889999999993E-3</v>
      </c>
      <c r="O382">
        <v>-9.7602220000000007E-3</v>
      </c>
      <c r="P382">
        <v>0.99067459999999996</v>
      </c>
      <c r="Q382">
        <v>0.13250629999999999</v>
      </c>
      <c r="R382">
        <v>-3.171322E-2</v>
      </c>
      <c r="S382">
        <v>3.0351560000000002</v>
      </c>
      <c r="T382">
        <v>-5.1444770000000001E-2</v>
      </c>
      <c r="U382">
        <v>-2.3010249999999999E-2</v>
      </c>
      <c r="V382">
        <v>2.206342E-2</v>
      </c>
      <c r="W382">
        <v>0.1412514</v>
      </c>
      <c r="X382">
        <v>0.98972789999999999</v>
      </c>
      <c r="Y382">
        <v>-2.1788620000000002E-3</v>
      </c>
      <c r="Z382">
        <v>1.072861E-4</v>
      </c>
      <c r="AA382">
        <v>0.99999760000000004</v>
      </c>
      <c r="AB382">
        <v>18</v>
      </c>
      <c r="AC382">
        <v>62.967100000000002</v>
      </c>
      <c r="AD382">
        <v>-1.0703489598322999</v>
      </c>
      <c r="AE382">
        <v>-0.47689999999999999</v>
      </c>
      <c r="AF382">
        <v>-0.13767976027274301</v>
      </c>
      <c r="AG382">
        <v>-1.0703489598322999</v>
      </c>
      <c r="AH382">
        <v>62.950566789967802</v>
      </c>
      <c r="AI382">
        <v>90.974104375049194</v>
      </c>
      <c r="AJ382">
        <v>90.125311923502295</v>
      </c>
      <c r="AK382">
        <v>62.959816246479001</v>
      </c>
      <c r="AL382">
        <v>81.879734443733895</v>
      </c>
      <c r="AM382">
        <v>88.722950515528794</v>
      </c>
      <c r="AN382">
        <v>1.0000000342712301</v>
      </c>
    </row>
    <row r="383" spans="1:40" x14ac:dyDescent="0.25">
      <c r="A383" t="str">
        <f>"20190303162218751"</f>
        <v>20190303162218751</v>
      </c>
      <c r="B383" t="str">
        <f>"1551601338745063"</f>
        <v>1551601338745063</v>
      </c>
      <c r="C383" t="s">
        <v>40</v>
      </c>
      <c r="D383">
        <v>5.4669270000000001</v>
      </c>
      <c r="E383">
        <v>0.49183450000000001</v>
      </c>
      <c r="F383" t="s">
        <v>41</v>
      </c>
      <c r="G383">
        <v>-363.81560000000002</v>
      </c>
      <c r="H383" s="1">
        <v>-3.1122130000000002E-6</v>
      </c>
      <c r="I383">
        <v>366.92829999999998</v>
      </c>
      <c r="J383">
        <v>-421.94670000000002</v>
      </c>
      <c r="K383">
        <v>1.0703279999999999</v>
      </c>
      <c r="L383">
        <v>367.51749999999998</v>
      </c>
      <c r="M383">
        <v>0.99991410000000003</v>
      </c>
      <c r="N383">
        <v>-8.6724929999999999E-3</v>
      </c>
      <c r="O383">
        <v>-9.8467759999999998E-3</v>
      </c>
      <c r="P383">
        <v>0.9907975</v>
      </c>
      <c r="Q383">
        <v>0.13148660000000001</v>
      </c>
      <c r="R383">
        <v>-3.212098E-2</v>
      </c>
      <c r="S383">
        <v>3.034729</v>
      </c>
      <c r="T383">
        <v>-5.5713180000000001E-2</v>
      </c>
      <c r="U383">
        <v>-3.0761719999999999E-2</v>
      </c>
      <c r="V383">
        <v>2.2384190000000002E-2</v>
      </c>
      <c r="W383">
        <v>0.14007349999999999</v>
      </c>
      <c r="X383">
        <v>0.98988810000000005</v>
      </c>
      <c r="Y383">
        <v>2.8930010000000002E-4</v>
      </c>
      <c r="Z383" s="1">
        <v>9.1444289999999994E-5</v>
      </c>
      <c r="AA383">
        <v>0.99999990000000005</v>
      </c>
      <c r="AB383">
        <v>18</v>
      </c>
      <c r="AC383">
        <v>58.131100000000004</v>
      </c>
      <c r="AD383">
        <v>-1.0703311122129999</v>
      </c>
      <c r="AE383">
        <v>-0.58920000000000505</v>
      </c>
      <c r="AF383">
        <v>1.6740419309341201E-2</v>
      </c>
      <c r="AG383">
        <v>-1.0703311122129999</v>
      </c>
      <c r="AH383">
        <v>58.114383853906602</v>
      </c>
      <c r="AI383">
        <v>91.0551349964868</v>
      </c>
      <c r="AJ383">
        <v>89.983495388171207</v>
      </c>
      <c r="AK383">
        <v>58.124241927534896</v>
      </c>
      <c r="AL383">
        <v>81.9479009598478</v>
      </c>
      <c r="AM383">
        <v>88.704599964107103</v>
      </c>
      <c r="AN383">
        <v>1.0000000439429</v>
      </c>
    </row>
    <row r="384" spans="1:40" x14ac:dyDescent="0.25">
      <c r="A384" t="str">
        <f>"20190303162218774"</f>
        <v>20190303162218774</v>
      </c>
      <c r="B384" t="str">
        <f>"1551601338764582"</f>
        <v>1551601338764582</v>
      </c>
      <c r="C384" t="s">
        <v>40</v>
      </c>
      <c r="D384">
        <v>5.4666949999999996</v>
      </c>
      <c r="E384">
        <v>0.4922745</v>
      </c>
      <c r="F384" t="s">
        <v>41</v>
      </c>
      <c r="G384">
        <v>-366.16849999999999</v>
      </c>
      <c r="H384" s="1">
        <v>-2.1168129999999999E-6</v>
      </c>
      <c r="I384">
        <v>366.8494</v>
      </c>
      <c r="J384">
        <v>-421.77120000000002</v>
      </c>
      <c r="K384">
        <v>1.0703180000000001</v>
      </c>
      <c r="L384">
        <v>367.51569999999998</v>
      </c>
      <c r="M384">
        <v>0.99991430000000003</v>
      </c>
      <c r="N384">
        <v>-8.5288340000000008E-3</v>
      </c>
      <c r="O384">
        <v>-9.9350870000000004E-3</v>
      </c>
      <c r="P384">
        <v>0.99085659999999998</v>
      </c>
      <c r="Q384">
        <v>0.1311176</v>
      </c>
      <c r="R384">
        <v>-3.1805779999999999E-2</v>
      </c>
      <c r="S384">
        <v>3.034424</v>
      </c>
      <c r="T384">
        <v>-5.8227660000000001E-2</v>
      </c>
      <c r="U384">
        <v>-3.6346440000000001E-2</v>
      </c>
      <c r="V384">
        <v>2.198079E-2</v>
      </c>
      <c r="W384">
        <v>0.1395631</v>
      </c>
      <c r="X384">
        <v>0.98996919999999999</v>
      </c>
      <c r="Y384">
        <v>2.0418709999999998E-3</v>
      </c>
      <c r="Z384" s="1">
        <v>7.7586689999999898E-5</v>
      </c>
      <c r="AA384">
        <v>0.9999979</v>
      </c>
      <c r="AB384">
        <v>18</v>
      </c>
      <c r="AC384">
        <v>55.602699999999999</v>
      </c>
      <c r="AD384">
        <v>-1.0703201168130001</v>
      </c>
      <c r="AE384">
        <v>-0.66629999999997802</v>
      </c>
      <c r="AF384">
        <v>0.113787216459316</v>
      </c>
      <c r="AG384">
        <v>-1.0703201168130001</v>
      </c>
      <c r="AH384">
        <v>55.5859816661523</v>
      </c>
      <c r="AI384">
        <v>91.1031040170447</v>
      </c>
      <c r="AJ384">
        <v>89.882712907755305</v>
      </c>
      <c r="AK384">
        <v>55.596401776310202</v>
      </c>
      <c r="AL384">
        <v>81.977434600860306</v>
      </c>
      <c r="AM384">
        <v>88.728041642253601</v>
      </c>
      <c r="AN384">
        <v>1.00000001547963</v>
      </c>
    </row>
    <row r="385" spans="1:40" x14ac:dyDescent="0.25">
      <c r="A385" t="str">
        <f>"20190303162218795"</f>
        <v>20190303162218795</v>
      </c>
      <c r="B385" t="str">
        <f>"1551601338784103"</f>
        <v>1551601338784103</v>
      </c>
      <c r="C385" t="s">
        <v>40</v>
      </c>
      <c r="D385">
        <v>5.4648159999999999</v>
      </c>
      <c r="E385">
        <v>0.49274319999999999</v>
      </c>
      <c r="F385" t="s">
        <v>41</v>
      </c>
      <c r="G385">
        <v>-366.0643</v>
      </c>
      <c r="H385" s="1">
        <v>-2.171536E-6</v>
      </c>
      <c r="I385">
        <v>366.79289999999997</v>
      </c>
      <c r="J385">
        <v>-421.5926</v>
      </c>
      <c r="K385">
        <v>1.070316</v>
      </c>
      <c r="L385">
        <v>367.51389999999998</v>
      </c>
      <c r="M385">
        <v>0.99991450000000004</v>
      </c>
      <c r="N385">
        <v>-8.4016639999999997E-3</v>
      </c>
      <c r="O385">
        <v>-1.002574E-2</v>
      </c>
      <c r="P385">
        <v>0.99084729999999999</v>
      </c>
      <c r="Q385">
        <v>0.1313356</v>
      </c>
      <c r="R385">
        <v>-3.1194590000000001E-2</v>
      </c>
      <c r="S385">
        <v>3.034119</v>
      </c>
      <c r="T385">
        <v>-5.8295729999999997E-2</v>
      </c>
      <c r="U385">
        <v>-3.9367680000000002E-2</v>
      </c>
      <c r="V385">
        <v>2.127983E-2</v>
      </c>
      <c r="W385">
        <v>0.13965469999999999</v>
      </c>
      <c r="X385">
        <v>0.98997159999999995</v>
      </c>
      <c r="Y385">
        <v>2.9478080000000001E-3</v>
      </c>
      <c r="Z385" s="1">
        <v>6.7667699999999996E-5</v>
      </c>
      <c r="AA385">
        <v>0.99999559999999998</v>
      </c>
      <c r="AB385">
        <v>18</v>
      </c>
      <c r="AC385">
        <v>55.528300000000002</v>
      </c>
      <c r="AD385">
        <v>-1.070318171536</v>
      </c>
      <c r="AE385">
        <v>-0.72100000000000297</v>
      </c>
      <c r="AF385">
        <v>0.16417085890181901</v>
      </c>
      <c r="AG385">
        <v>-1.070318171536</v>
      </c>
      <c r="AH385">
        <v>55.512116730111899</v>
      </c>
      <c r="AI385">
        <v>91.104566931593496</v>
      </c>
      <c r="AJ385">
        <v>89.8305546524726</v>
      </c>
      <c r="AK385">
        <v>55.522676780904597</v>
      </c>
      <c r="AL385">
        <v>81.972134418364803</v>
      </c>
      <c r="AM385">
        <v>88.768594255605194</v>
      </c>
      <c r="AN385">
        <v>1.0000000176017301</v>
      </c>
    </row>
    <row r="386" spans="1:40" x14ac:dyDescent="0.25">
      <c r="A386" t="str">
        <f>"20190303162218821"</f>
        <v>20190303162218821</v>
      </c>
      <c r="B386" t="str">
        <f>"1551601338814359"</f>
        <v>1551601338814359</v>
      </c>
      <c r="C386" t="s">
        <v>40</v>
      </c>
      <c r="D386">
        <v>5.2844160000000002</v>
      </c>
      <c r="E386">
        <v>0.49342510000000001</v>
      </c>
      <c r="F386" t="s">
        <v>41</v>
      </c>
      <c r="G386">
        <v>-364.4092</v>
      </c>
      <c r="H386" s="1">
        <v>-2.892262E-6</v>
      </c>
      <c r="I386">
        <v>366.73270000000002</v>
      </c>
      <c r="J386">
        <v>-421.38600000000002</v>
      </c>
      <c r="K386">
        <v>1.0703069999999999</v>
      </c>
      <c r="L386">
        <v>367.51170000000002</v>
      </c>
      <c r="M386">
        <v>0.99991450000000004</v>
      </c>
      <c r="N386">
        <v>-8.2780849999999993E-3</v>
      </c>
      <c r="O386">
        <v>-1.0130480000000001E-2</v>
      </c>
      <c r="P386">
        <v>0.99065020000000004</v>
      </c>
      <c r="Q386">
        <v>0.13293969999999999</v>
      </c>
      <c r="R386">
        <v>-3.0649780000000001E-2</v>
      </c>
      <c r="S386">
        <v>3.0339360000000002</v>
      </c>
      <c r="T386">
        <v>-5.6787009999999999E-2</v>
      </c>
      <c r="U386">
        <v>-4.144287E-2</v>
      </c>
      <c r="V386">
        <v>2.0633769999999999E-2</v>
      </c>
      <c r="W386">
        <v>0.1411348</v>
      </c>
      <c r="X386">
        <v>0.98977539999999997</v>
      </c>
      <c r="Y386">
        <v>3.5275760000000001E-3</v>
      </c>
      <c r="Z386" s="1">
        <v>5.8114530000000003E-5</v>
      </c>
      <c r="AA386">
        <v>0.99999380000000004</v>
      </c>
      <c r="AB386">
        <v>18</v>
      </c>
      <c r="AC386">
        <v>56.976799999999898</v>
      </c>
      <c r="AD386">
        <v>-1.07030989226199</v>
      </c>
      <c r="AE386">
        <v>-0.77899999999999603</v>
      </c>
      <c r="AF386">
        <v>0.20166680855337901</v>
      </c>
      <c r="AG386">
        <v>-1.07030989226199</v>
      </c>
      <c r="AH386">
        <v>56.9616712811195</v>
      </c>
      <c r="AI386">
        <v>91.076454367031104</v>
      </c>
      <c r="AJ386">
        <v>89.797151163903905</v>
      </c>
      <c r="AK386">
        <v>56.972082881929602</v>
      </c>
      <c r="AL386">
        <v>81.886482972716806</v>
      </c>
      <c r="AM386">
        <v>88.805732373244098</v>
      </c>
      <c r="AN386">
        <v>1.0000000633402999</v>
      </c>
    </row>
    <row r="387" spans="1:40" x14ac:dyDescent="0.25">
      <c r="A387" t="str">
        <f>"20190303162218841"</f>
        <v>20190303162218841</v>
      </c>
      <c r="B387" t="str">
        <f>"1551601338834855"</f>
        <v>1551601338834855</v>
      </c>
      <c r="C387" t="s">
        <v>40</v>
      </c>
      <c r="D387">
        <v>5.4963100000000003</v>
      </c>
      <c r="E387">
        <v>0.51367619999999903</v>
      </c>
      <c r="F387" t="s">
        <v>41</v>
      </c>
      <c r="G387">
        <v>-358.173</v>
      </c>
      <c r="H387" s="1">
        <v>-1.4182179999999999E-6</v>
      </c>
      <c r="I387">
        <v>366.57060000000001</v>
      </c>
      <c r="J387">
        <v>-421.2115</v>
      </c>
      <c r="K387">
        <v>1.07029</v>
      </c>
      <c r="L387">
        <v>367.50979999999998</v>
      </c>
      <c r="M387">
        <v>0.99991419999999998</v>
      </c>
      <c r="N387">
        <v>-8.1953479999999999E-3</v>
      </c>
      <c r="O387">
        <v>-1.0218359999999999E-2</v>
      </c>
      <c r="P387">
        <v>0.99086370000000001</v>
      </c>
      <c r="Q387">
        <v>0.13139129999999999</v>
      </c>
      <c r="R387">
        <v>-3.042139E-2</v>
      </c>
      <c r="S387">
        <v>3.0338440000000002</v>
      </c>
      <c r="T387">
        <v>-5.1368240000000003E-2</v>
      </c>
      <c r="U387">
        <v>-4.5166020000000001E-2</v>
      </c>
      <c r="V387">
        <v>2.031614E-2</v>
      </c>
      <c r="W387">
        <v>0.13950650000000001</v>
      </c>
      <c r="X387">
        <v>0.99001269999999997</v>
      </c>
      <c r="Y387">
        <v>4.6667899999999997E-3</v>
      </c>
      <c r="Z387" s="1">
        <v>3.0617829999999999E-5</v>
      </c>
      <c r="AA387">
        <v>0.99998909999999996</v>
      </c>
      <c r="AB387">
        <v>18</v>
      </c>
      <c r="AC387">
        <v>63.038499999999999</v>
      </c>
      <c r="AD387">
        <v>-1.0702914182179999</v>
      </c>
      <c r="AE387">
        <v>-0.93919999999997095</v>
      </c>
      <c r="AF387">
        <v>0.29489424905876299</v>
      </c>
      <c r="AG387">
        <v>-1.0702914182179999</v>
      </c>
      <c r="AH387">
        <v>63.026641659507099</v>
      </c>
      <c r="AI387">
        <v>90.972868215969697</v>
      </c>
      <c r="AJ387">
        <v>89.731921737638999</v>
      </c>
      <c r="AK387">
        <v>63.0364184040777</v>
      </c>
      <c r="AL387">
        <v>81.980709274932806</v>
      </c>
      <c r="AM387">
        <v>88.824393139086695</v>
      </c>
      <c r="AN387">
        <v>0.99999997762401904</v>
      </c>
    </row>
    <row r="388" spans="1:40" x14ac:dyDescent="0.25">
      <c r="A388" t="str">
        <f>"20190303162218866"</f>
        <v>20190303162218866</v>
      </c>
      <c r="B388" t="str">
        <f>"1551601338854375"</f>
        <v>1551601338854375</v>
      </c>
      <c r="C388" t="s">
        <v>40</v>
      </c>
      <c r="D388">
        <v>5.4491899999999998</v>
      </c>
      <c r="E388">
        <v>0.52926870000000004</v>
      </c>
      <c r="F388" t="s">
        <v>43</v>
      </c>
      <c r="G388">
        <v>-401.60340000000002</v>
      </c>
      <c r="H388">
        <v>-0.05</v>
      </c>
      <c r="I388">
        <v>366.17970000000003</v>
      </c>
      <c r="J388">
        <v>-421.01889999999997</v>
      </c>
      <c r="K388">
        <v>1.070276</v>
      </c>
      <c r="L388">
        <v>367.50779999999997</v>
      </c>
      <c r="M388">
        <v>0.99991379999999996</v>
      </c>
      <c r="N388">
        <v>-8.1275240000000006E-3</v>
      </c>
      <c r="O388">
        <v>-1.0316550000000001E-2</v>
      </c>
      <c r="P388">
        <v>0.99143530000000002</v>
      </c>
      <c r="Q388">
        <v>0.12711649999999999</v>
      </c>
      <c r="R388">
        <v>-2.995863E-2</v>
      </c>
      <c r="S388">
        <v>3.0443730000000002</v>
      </c>
      <c r="T388">
        <v>-0.17393719999999999</v>
      </c>
      <c r="U388">
        <v>-0.20651249999999999</v>
      </c>
      <c r="V388">
        <v>1.9749559999999999E-2</v>
      </c>
      <c r="W388">
        <v>0.13516919999999999</v>
      </c>
      <c r="X388">
        <v>0.99062570000000005</v>
      </c>
      <c r="Y388">
        <v>5.7287829999999998E-2</v>
      </c>
      <c r="Z388">
        <v>-1.3621179999999901E-3</v>
      </c>
      <c r="AA388">
        <v>0.99835680000000004</v>
      </c>
      <c r="AB388">
        <v>18</v>
      </c>
      <c r="AC388">
        <v>19.415499999999899</v>
      </c>
      <c r="AD388">
        <v>-1.120276</v>
      </c>
      <c r="AE388">
        <v>-1.3280999999999401</v>
      </c>
      <c r="AF388">
        <v>1.1239970400749699</v>
      </c>
      <c r="AG388">
        <v>-1.120276</v>
      </c>
      <c r="AH388">
        <v>19.364000247869701</v>
      </c>
      <c r="AI388">
        <v>93.305521382333495</v>
      </c>
      <c r="AJ388">
        <v>86.677953750256705</v>
      </c>
      <c r="AK388">
        <v>19.4289189936489</v>
      </c>
      <c r="AL388">
        <v>82.2315961226318</v>
      </c>
      <c r="AM388">
        <v>88.857876842136903</v>
      </c>
      <c r="AN388">
        <v>1.00000001762466</v>
      </c>
    </row>
    <row r="389" spans="1:40" x14ac:dyDescent="0.25">
      <c r="A389" t="str">
        <f>"20190303162218889"</f>
        <v>20190303162218889</v>
      </c>
      <c r="B389" t="str">
        <f>"1551601338884631"</f>
        <v>1551601338884631</v>
      </c>
      <c r="C389" t="s">
        <v>40</v>
      </c>
      <c r="D389">
        <v>5.4199570000000001</v>
      </c>
      <c r="E389">
        <v>0.53068709999999997</v>
      </c>
      <c r="F389" t="s">
        <v>42</v>
      </c>
      <c r="G389">
        <v>-420.19310000000002</v>
      </c>
      <c r="H389">
        <v>0.89865309999999898</v>
      </c>
      <c r="I389">
        <v>367.41820000000001</v>
      </c>
      <c r="J389">
        <v>-420.83199999999999</v>
      </c>
      <c r="K389">
        <v>1.0702700000000001</v>
      </c>
      <c r="L389">
        <v>367.50569999999999</v>
      </c>
      <c r="M389">
        <v>0.99991319999999995</v>
      </c>
      <c r="N389">
        <v>-8.080472E-3</v>
      </c>
      <c r="O389">
        <v>-1.0411129999999999E-2</v>
      </c>
      <c r="P389">
        <v>0.99152439999999997</v>
      </c>
      <c r="Q389">
        <v>0.1263185</v>
      </c>
      <c r="R389">
        <v>-3.03825E-2</v>
      </c>
      <c r="S389">
        <v>3.098328</v>
      </c>
      <c r="T389">
        <v>-0.64396450000000005</v>
      </c>
      <c r="U389">
        <v>-0.33471679999999998</v>
      </c>
      <c r="V389">
        <v>2.0078809999999999E-2</v>
      </c>
      <c r="W389">
        <v>0.13432529999999901</v>
      </c>
      <c r="X389">
        <v>0.99073389999999995</v>
      </c>
      <c r="Y389">
        <v>9.5162079999999996E-2</v>
      </c>
      <c r="Z389">
        <v>-8.0954870000000002E-3</v>
      </c>
      <c r="AA389">
        <v>0.99542889999999995</v>
      </c>
      <c r="AB389">
        <v>19</v>
      </c>
      <c r="AC389">
        <v>0.63889999999997804</v>
      </c>
      <c r="AD389">
        <v>-0.17161689999999999</v>
      </c>
      <c r="AE389">
        <v>-8.7499999999977193E-2</v>
      </c>
      <c r="AF389">
        <v>7.5496371361826201E-2</v>
      </c>
      <c r="AG389">
        <v>-0.17161689999999999</v>
      </c>
      <c r="AH389">
        <v>0.59746142450081197</v>
      </c>
      <c r="AI389">
        <v>105.906350513259</v>
      </c>
      <c r="AJ389">
        <v>82.798164930731701</v>
      </c>
      <c r="AK389">
        <v>0.62618864267962604</v>
      </c>
      <c r="AL389">
        <v>82.280393332173404</v>
      </c>
      <c r="AM389">
        <v>88.838968160926896</v>
      </c>
      <c r="AN389">
        <v>1.00000005272015</v>
      </c>
    </row>
    <row r="390" spans="1:40" x14ac:dyDescent="0.25">
      <c r="A390" t="str">
        <f>"20190303162218910"</f>
        <v>20190303162218910</v>
      </c>
      <c r="B390" t="str">
        <f>"1551601338904151"</f>
        <v>1551601338904151</v>
      </c>
      <c r="C390" t="s">
        <v>40</v>
      </c>
      <c r="D390">
        <v>5.4275070000000003</v>
      </c>
      <c r="E390">
        <v>0.53075050000000001</v>
      </c>
      <c r="F390" t="s">
        <v>42</v>
      </c>
      <c r="G390">
        <v>-420.0514</v>
      </c>
      <c r="H390">
        <v>0.84422249999999999</v>
      </c>
      <c r="I390">
        <v>367.41750000000002</v>
      </c>
      <c r="J390">
        <v>-420.64760000000001</v>
      </c>
      <c r="K390">
        <v>1.0702659999999999</v>
      </c>
      <c r="L390">
        <v>367.50369999999998</v>
      </c>
      <c r="M390">
        <v>0.99991240000000003</v>
      </c>
      <c r="N390">
        <v>-8.0465129999999999E-3</v>
      </c>
      <c r="O390">
        <v>-1.0504339999999999E-2</v>
      </c>
      <c r="P390">
        <v>0.99142629999999998</v>
      </c>
      <c r="Q390">
        <v>0.1268444</v>
      </c>
      <c r="R390">
        <v>-3.1368689999999998E-2</v>
      </c>
      <c r="S390">
        <v>3.1303709999999998</v>
      </c>
      <c r="T390">
        <v>-0.9065204</v>
      </c>
      <c r="U390">
        <v>-0.35159299999999999</v>
      </c>
      <c r="V390">
        <v>2.0973729999999999E-2</v>
      </c>
      <c r="W390">
        <v>0.13481670000000001</v>
      </c>
      <c r="X390">
        <v>0.99064859999999999</v>
      </c>
      <c r="Y390">
        <v>9.7501089999999999E-2</v>
      </c>
      <c r="Z390">
        <v>-1.1305340000000001E-2</v>
      </c>
      <c r="AA390">
        <v>0.99517120000000003</v>
      </c>
      <c r="AB390">
        <v>19</v>
      </c>
      <c r="AC390">
        <v>0.59620000000001006</v>
      </c>
      <c r="AD390">
        <v>-0.22604349999999901</v>
      </c>
      <c r="AE390">
        <v>-8.6199999999962501E-2</v>
      </c>
      <c r="AF390">
        <v>7.0066680310062801E-2</v>
      </c>
      <c r="AG390">
        <v>-0.22604349999999901</v>
      </c>
      <c r="AH390">
        <v>0.52337875488100805</v>
      </c>
      <c r="AI390">
        <v>113.17449825579899</v>
      </c>
      <c r="AJ390">
        <v>82.374935642101093</v>
      </c>
      <c r="AK390">
        <v>0.57439561683800899</v>
      </c>
      <c r="AL390">
        <v>82.251979670428796</v>
      </c>
      <c r="AM390">
        <v>88.787131273006196</v>
      </c>
      <c r="AN390">
        <v>1.00000004431548</v>
      </c>
    </row>
    <row r="391" spans="1:40" x14ac:dyDescent="0.25">
      <c r="A391" t="str">
        <f>"20190303162218931"</f>
        <v>20190303162218931</v>
      </c>
      <c r="B391" t="str">
        <f>"1551601338924646"</f>
        <v>1551601338924646</v>
      </c>
      <c r="C391" t="s">
        <v>40</v>
      </c>
      <c r="D391">
        <v>5.4725979999999996</v>
      </c>
      <c r="E391">
        <v>0.53062109999999996</v>
      </c>
      <c r="F391" t="s">
        <v>42</v>
      </c>
      <c r="G391">
        <v>-419.88580000000002</v>
      </c>
      <c r="H391">
        <v>0.84006639999999999</v>
      </c>
      <c r="I391">
        <v>367.41739999999999</v>
      </c>
      <c r="J391">
        <v>-420.46409999999997</v>
      </c>
      <c r="K391">
        <v>1.070255</v>
      </c>
      <c r="L391">
        <v>367.5016</v>
      </c>
      <c r="M391">
        <v>0.99991169999999996</v>
      </c>
      <c r="N391">
        <v>-8.0207349999999993E-3</v>
      </c>
      <c r="O391">
        <v>-1.0597219999999999E-2</v>
      </c>
      <c r="P391">
        <v>0.99162399999999995</v>
      </c>
      <c r="Q391">
        <v>0.12516530000000001</v>
      </c>
      <c r="R391">
        <v>-3.1869750000000002E-2</v>
      </c>
      <c r="S391">
        <v>3.1359249999999999</v>
      </c>
      <c r="T391">
        <v>-0.94755860000000003</v>
      </c>
      <c r="U391">
        <v>-0.35531620000000003</v>
      </c>
      <c r="V391">
        <v>2.138029E-2</v>
      </c>
      <c r="W391">
        <v>0.1331137</v>
      </c>
      <c r="X391">
        <v>0.99087009999999998</v>
      </c>
      <c r="Y391">
        <v>9.8047229999999999E-2</v>
      </c>
      <c r="Z391">
        <v>-1.181015E-2</v>
      </c>
      <c r="AA391">
        <v>0.99511170000000004</v>
      </c>
      <c r="AB391">
        <v>19</v>
      </c>
      <c r="AC391">
        <v>0.57829999999995596</v>
      </c>
      <c r="AD391">
        <v>-0.23018859999999899</v>
      </c>
      <c r="AE391">
        <v>-8.4200000000009795E-2</v>
      </c>
      <c r="AF391">
        <v>6.7581462003620696E-2</v>
      </c>
      <c r="AG391">
        <v>-0.23018859999999899</v>
      </c>
      <c r="AH391">
        <v>0.50137212825434996</v>
      </c>
      <c r="AI391">
        <v>114.46564744686501</v>
      </c>
      <c r="AJ391">
        <v>82.323199513523903</v>
      </c>
      <c r="AK391">
        <v>0.55581296905236299</v>
      </c>
      <c r="AL391">
        <v>82.350441312151503</v>
      </c>
      <c r="AM391">
        <v>88.763904246160394</v>
      </c>
      <c r="AN391">
        <v>0.99999996450109097</v>
      </c>
    </row>
    <row r="392" spans="1:40" x14ac:dyDescent="0.25">
      <c r="A392" t="str">
        <f>"20190303162218954"</f>
        <v>20190303162218954</v>
      </c>
      <c r="B392" t="str">
        <f>"1551601338944167"</f>
        <v>1551601338944167</v>
      </c>
      <c r="C392" t="s">
        <v>40</v>
      </c>
      <c r="D392">
        <v>5.502192</v>
      </c>
      <c r="E392">
        <v>0.53065799999999996</v>
      </c>
      <c r="F392" t="s">
        <v>42</v>
      </c>
      <c r="G392">
        <v>-419.71839999999997</v>
      </c>
      <c r="H392">
        <v>0.83905169999999996</v>
      </c>
      <c r="I392">
        <v>367.41660000000002</v>
      </c>
      <c r="J392">
        <v>-420.27370000000002</v>
      </c>
      <c r="K392">
        <v>1.070244</v>
      </c>
      <c r="L392">
        <v>367.49950000000001</v>
      </c>
      <c r="M392">
        <v>0.99991099999999999</v>
      </c>
      <c r="N392">
        <v>-8.0002709999999998E-3</v>
      </c>
      <c r="O392">
        <v>-1.069322E-2</v>
      </c>
      <c r="P392">
        <v>0.99185279999999998</v>
      </c>
      <c r="Q392">
        <v>0.12330149999999999</v>
      </c>
      <c r="R392">
        <v>-3.2018150000000002E-2</v>
      </c>
      <c r="S392">
        <v>3.1366580000000002</v>
      </c>
      <c r="T392">
        <v>-0.97247110000000003</v>
      </c>
      <c r="U392">
        <v>-0.35610960000000003</v>
      </c>
      <c r="V392">
        <v>2.1430919999999999E-2</v>
      </c>
      <c r="W392">
        <v>0.1312315</v>
      </c>
      <c r="X392">
        <v>0.99112009999999995</v>
      </c>
      <c r="Y392">
        <v>9.7979369999999996E-2</v>
      </c>
      <c r="Z392">
        <v>-1.20524E-2</v>
      </c>
      <c r="AA392">
        <v>0.99511550000000004</v>
      </c>
      <c r="AB392">
        <v>19</v>
      </c>
      <c r="AC392">
        <v>0.55530000000004498</v>
      </c>
      <c r="AD392">
        <v>-0.23119229999999999</v>
      </c>
      <c r="AE392">
        <v>-8.2899999999995005E-2</v>
      </c>
      <c r="AF392">
        <v>6.5800174424560806E-2</v>
      </c>
      <c r="AG392">
        <v>-0.23119229999999999</v>
      </c>
      <c r="AH392">
        <v>0.47552554506028599</v>
      </c>
      <c r="AI392">
        <v>115.715185966546</v>
      </c>
      <c r="AJ392">
        <v>82.121805309767694</v>
      </c>
      <c r="AK392">
        <v>0.53282650697809197</v>
      </c>
      <c r="AL392">
        <v>82.459238387464794</v>
      </c>
      <c r="AM392">
        <v>88.761290431002493</v>
      </c>
      <c r="AN392">
        <v>1.00000002177415</v>
      </c>
    </row>
    <row r="393" spans="1:40" x14ac:dyDescent="0.25">
      <c r="A393" t="str">
        <f>"20190303162218977"</f>
        <v>20190303162218977</v>
      </c>
      <c r="B393" t="str">
        <f>"1551601338964664"</f>
        <v>1551601338964664</v>
      </c>
      <c r="C393" t="s">
        <v>40</v>
      </c>
      <c r="D393">
        <v>5.503234</v>
      </c>
      <c r="E393">
        <v>0.53094609999999998</v>
      </c>
      <c r="F393" t="s">
        <v>42</v>
      </c>
      <c r="G393">
        <v>-419.54860000000002</v>
      </c>
      <c r="H393">
        <v>0.84275900000000004</v>
      </c>
      <c r="I393">
        <v>367.41680000000002</v>
      </c>
      <c r="J393">
        <v>-420.08850000000001</v>
      </c>
      <c r="K393">
        <v>1.070233</v>
      </c>
      <c r="L393">
        <v>367.49740000000003</v>
      </c>
      <c r="M393">
        <v>0.99991010000000002</v>
      </c>
      <c r="N393">
        <v>-7.9852940000000004E-3</v>
      </c>
      <c r="O393">
        <v>-1.078746E-2</v>
      </c>
      <c r="P393">
        <v>0.99196220000000002</v>
      </c>
      <c r="Q393">
        <v>0.122546</v>
      </c>
      <c r="R393">
        <v>-3.1527109999999997E-2</v>
      </c>
      <c r="S393">
        <v>3.135437</v>
      </c>
      <c r="T393">
        <v>-0.98360170000000002</v>
      </c>
      <c r="U393">
        <v>-0.35656739999999998</v>
      </c>
      <c r="V393">
        <v>2.084505E-2</v>
      </c>
      <c r="W393">
        <v>0.13046240000000001</v>
      </c>
      <c r="X393">
        <v>0.99123410000000001</v>
      </c>
      <c r="Y393">
        <v>9.7981040000000005E-2</v>
      </c>
      <c r="Z393">
        <v>-1.215451E-2</v>
      </c>
      <c r="AA393">
        <v>0.99511400000000005</v>
      </c>
      <c r="AB393">
        <v>19</v>
      </c>
      <c r="AC393">
        <v>0.53989999999998795</v>
      </c>
      <c r="AD393">
        <v>-0.22747399999999901</v>
      </c>
      <c r="AE393">
        <v>-8.0600000000004002E-2</v>
      </c>
      <c r="AF393">
        <v>6.3708298779297803E-2</v>
      </c>
      <c r="AG393">
        <v>-0.22747399999999901</v>
      </c>
      <c r="AH393">
        <v>0.46073363255467897</v>
      </c>
      <c r="AI393">
        <v>116.061772084891</v>
      </c>
      <c r="AJ393">
        <v>82.127304357680501</v>
      </c>
      <c r="AK393">
        <v>0.51776311975302203</v>
      </c>
      <c r="AL393">
        <v>82.503686529302399</v>
      </c>
      <c r="AM393">
        <v>88.795282187485398</v>
      </c>
      <c r="AN393">
        <v>0.99999999746303603</v>
      </c>
    </row>
    <row r="394" spans="1:40" x14ac:dyDescent="0.25">
      <c r="A394" t="str">
        <f>"20190303162218998"</f>
        <v>20190303162218998</v>
      </c>
      <c r="B394" t="str">
        <f>"1551601338994919"</f>
        <v>1551601338994919</v>
      </c>
      <c r="C394" t="s">
        <v>40</v>
      </c>
      <c r="D394">
        <v>5.5317360000000004</v>
      </c>
      <c r="E394">
        <v>0.53163509999999903</v>
      </c>
      <c r="F394" t="s">
        <v>42</v>
      </c>
      <c r="G394">
        <v>-419.37830000000002</v>
      </c>
      <c r="H394">
        <v>0.84621209999999902</v>
      </c>
      <c r="I394">
        <v>367.41609999999997</v>
      </c>
      <c r="J394">
        <v>-419.9</v>
      </c>
      <c r="K394">
        <v>1.070241</v>
      </c>
      <c r="L394">
        <v>367.49529999999999</v>
      </c>
      <c r="M394">
        <v>0.99990900000000005</v>
      </c>
      <c r="N394">
        <v>-7.9740579999999991E-3</v>
      </c>
      <c r="O394">
        <v>-1.088254E-2</v>
      </c>
      <c r="P394">
        <v>0.99177219999999999</v>
      </c>
      <c r="Q394">
        <v>0.1241293</v>
      </c>
      <c r="R394">
        <v>-3.1300309999999998E-2</v>
      </c>
      <c r="S394">
        <v>3.135132</v>
      </c>
      <c r="T394">
        <v>-0.98896170000000005</v>
      </c>
      <c r="U394">
        <v>-0.35702509999999998</v>
      </c>
      <c r="V394">
        <v>2.0526539999999999E-2</v>
      </c>
      <c r="W394">
        <v>0.13203280000000001</v>
      </c>
      <c r="X394">
        <v>0.99103280000000005</v>
      </c>
      <c r="Y394">
        <v>9.7998710000000003E-2</v>
      </c>
      <c r="Z394">
        <v>-1.218992E-2</v>
      </c>
      <c r="AA394">
        <v>0.99511190000000005</v>
      </c>
      <c r="AB394">
        <v>19</v>
      </c>
      <c r="AC394">
        <v>0.52169999999995198</v>
      </c>
      <c r="AD394">
        <v>-0.2240289</v>
      </c>
      <c r="AE394">
        <v>-7.9200000000014301E-2</v>
      </c>
      <c r="AF394">
        <v>6.2290039948206199E-2</v>
      </c>
      <c r="AG394">
        <v>-0.2240289</v>
      </c>
      <c r="AH394">
        <v>0.442729778879771</v>
      </c>
      <c r="AI394">
        <v>116.61462649315</v>
      </c>
      <c r="AJ394">
        <v>81.991316207215107</v>
      </c>
      <c r="AK394">
        <v>0.50007864803337698</v>
      </c>
      <c r="AL394">
        <v>82.412924154164401</v>
      </c>
      <c r="AM394">
        <v>88.813443940532693</v>
      </c>
      <c r="AN394">
        <v>1.00000000489802</v>
      </c>
    </row>
    <row r="395" spans="1:40" x14ac:dyDescent="0.25">
      <c r="A395" t="str">
        <f>"20190303162219020"</f>
        <v>20190303162219020</v>
      </c>
      <c r="B395" t="str">
        <f>"1551601339014439"</f>
        <v>1551601339014439</v>
      </c>
      <c r="C395" t="s">
        <v>40</v>
      </c>
      <c r="D395">
        <v>5.5041010000000004</v>
      </c>
      <c r="E395">
        <v>0.5317191</v>
      </c>
      <c r="F395" t="s">
        <v>42</v>
      </c>
      <c r="G395">
        <v>-419.20639999999997</v>
      </c>
      <c r="H395">
        <v>0.85196970000000005</v>
      </c>
      <c r="I395">
        <v>367.41489999999999</v>
      </c>
      <c r="J395">
        <v>-419.71339999999998</v>
      </c>
      <c r="K395">
        <v>1.07024599999999</v>
      </c>
      <c r="L395">
        <v>367.49310000000003</v>
      </c>
      <c r="M395">
        <v>0.99990800000000002</v>
      </c>
      <c r="N395">
        <v>-7.9661079999999995E-3</v>
      </c>
      <c r="O395">
        <v>-1.0976690000000001E-2</v>
      </c>
      <c r="P395">
        <v>0.99140859999999997</v>
      </c>
      <c r="Q395">
        <v>0.12687480000000001</v>
      </c>
      <c r="R395">
        <v>-3.1808280000000001E-2</v>
      </c>
      <c r="S395">
        <v>3.1369929999999999</v>
      </c>
      <c r="T395">
        <v>-0.98718059999999996</v>
      </c>
      <c r="U395">
        <v>-0.36264039999999997</v>
      </c>
      <c r="V395">
        <v>2.094563E-2</v>
      </c>
      <c r="W395">
        <v>0.13476759999999999</v>
      </c>
      <c r="X395">
        <v>0.99065579999999998</v>
      </c>
      <c r="Y395">
        <v>9.9546159999999995E-2</v>
      </c>
      <c r="Z395">
        <v>-1.237687E-2</v>
      </c>
      <c r="AA395">
        <v>0.99495599999999995</v>
      </c>
      <c r="AB395">
        <v>19</v>
      </c>
      <c r="AC395">
        <v>0.507000000000005</v>
      </c>
      <c r="AD395">
        <v>-0.21827629999999901</v>
      </c>
      <c r="AE395">
        <v>-7.8200000000038003E-2</v>
      </c>
      <c r="AF395">
        <v>6.1496332639405099E-2</v>
      </c>
      <c r="AG395">
        <v>-0.21827629999999901</v>
      </c>
      <c r="AH395">
        <v>0.42998183940806101</v>
      </c>
      <c r="AI395">
        <v>116.680771321942</v>
      </c>
      <c r="AJ395">
        <v>81.860710360668406</v>
      </c>
      <c r="AK395">
        <v>0.48611801477678801</v>
      </c>
      <c r="AL395">
        <v>82.254818222231407</v>
      </c>
      <c r="AM395">
        <v>88.788764555803297</v>
      </c>
      <c r="AN395">
        <v>0.99999996974974703</v>
      </c>
    </row>
    <row r="396" spans="1:40" x14ac:dyDescent="0.25">
      <c r="A396" t="str">
        <f>"20190303162219042"</f>
        <v>20190303162219042</v>
      </c>
      <c r="B396" t="str">
        <f>"1551601339034936"</f>
        <v>1551601339034936</v>
      </c>
      <c r="C396" t="s">
        <v>40</v>
      </c>
      <c r="D396">
        <v>5.5351350000000004</v>
      </c>
      <c r="E396">
        <v>0.53165819999999997</v>
      </c>
      <c r="F396" t="s">
        <v>42</v>
      </c>
      <c r="G396">
        <v>-419.03390000000002</v>
      </c>
      <c r="H396">
        <v>0.85761149999999997</v>
      </c>
      <c r="I396">
        <v>367.41370000000001</v>
      </c>
      <c r="J396">
        <v>-419.52730000000003</v>
      </c>
      <c r="K396">
        <v>1.0702469999999999</v>
      </c>
      <c r="L396">
        <v>367.49099999999999</v>
      </c>
      <c r="M396">
        <v>0.99990699999999999</v>
      </c>
      <c r="N396">
        <v>-7.960679E-3</v>
      </c>
      <c r="O396">
        <v>-1.1070959999999999E-2</v>
      </c>
      <c r="P396">
        <v>0.9912839</v>
      </c>
      <c r="Q396">
        <v>0.1276043</v>
      </c>
      <c r="R396">
        <v>-3.2767589999999999E-2</v>
      </c>
      <c r="S396">
        <v>3.1400450000000002</v>
      </c>
      <c r="T396">
        <v>-0.98253460000000004</v>
      </c>
      <c r="U396">
        <v>-0.36505130000000002</v>
      </c>
      <c r="V396">
        <v>2.1812850000000002E-2</v>
      </c>
      <c r="W396">
        <v>0.13549040000000001</v>
      </c>
      <c r="X396">
        <v>0.99053849999999999</v>
      </c>
      <c r="Y396">
        <v>0.1001204</v>
      </c>
      <c r="Z396">
        <v>-1.2373530000000001E-2</v>
      </c>
      <c r="AA396">
        <v>0.99489839999999996</v>
      </c>
      <c r="AB396">
        <v>19</v>
      </c>
      <c r="AC396">
        <v>0.493400000000008</v>
      </c>
      <c r="AD396">
        <v>-0.21263550000000001</v>
      </c>
      <c r="AE396">
        <v>-7.7299999999979704E-2</v>
      </c>
      <c r="AF396">
        <v>6.0809351614254402E-2</v>
      </c>
      <c r="AG396">
        <v>-0.21263550000000001</v>
      </c>
      <c r="AH396">
        <v>0.41838251988015301</v>
      </c>
      <c r="AI396">
        <v>116.700003989523</v>
      </c>
      <c r="AJ396">
        <v>81.730314840648802</v>
      </c>
      <c r="AK396">
        <v>0.47323943838744298</v>
      </c>
      <c r="AL396">
        <v>82.213021586519204</v>
      </c>
      <c r="AM396">
        <v>88.738481863955499</v>
      </c>
      <c r="AN396">
        <v>0.99999998444976601</v>
      </c>
    </row>
    <row r="397" spans="1:40" x14ac:dyDescent="0.25">
      <c r="A397" t="str">
        <f>"20190303162219065"</f>
        <v>20190303162219065</v>
      </c>
      <c r="B397" t="str">
        <f>"1551601339054455"</f>
        <v>1551601339054455</v>
      </c>
      <c r="C397" t="s">
        <v>40</v>
      </c>
      <c r="D397">
        <v>5.5179640000000001</v>
      </c>
      <c r="E397">
        <v>0.53175399999999995</v>
      </c>
      <c r="F397" t="s">
        <v>42</v>
      </c>
      <c r="G397">
        <v>-418.86160000000001</v>
      </c>
      <c r="H397">
        <v>0.86146069999999997</v>
      </c>
      <c r="I397">
        <v>367.4128</v>
      </c>
      <c r="J397">
        <v>-419.33580000000001</v>
      </c>
      <c r="K397">
        <v>1.0702449999999999</v>
      </c>
      <c r="L397">
        <v>367.48869999999999</v>
      </c>
      <c r="M397">
        <v>0.99990610000000002</v>
      </c>
      <c r="N397">
        <v>-7.9574750000000003E-3</v>
      </c>
      <c r="O397">
        <v>-1.116822E-2</v>
      </c>
      <c r="P397">
        <v>0.99099800000000005</v>
      </c>
      <c r="Q397">
        <v>0.1297336</v>
      </c>
      <c r="R397">
        <v>-3.3050959999999997E-2</v>
      </c>
      <c r="S397">
        <v>3.141022</v>
      </c>
      <c r="T397">
        <v>-0.98503799999999997</v>
      </c>
      <c r="U397">
        <v>-0.36746220000000002</v>
      </c>
      <c r="V397">
        <v>2.200351E-2</v>
      </c>
      <c r="W397">
        <v>0.13761419999999999</v>
      </c>
      <c r="X397">
        <v>0.9902415</v>
      </c>
      <c r="Y397">
        <v>0.1006995</v>
      </c>
      <c r="Z397">
        <v>-1.24601E-2</v>
      </c>
      <c r="AA397">
        <v>0.99483880000000002</v>
      </c>
      <c r="AB397">
        <v>19</v>
      </c>
      <c r="AC397">
        <v>0.47419999999999601</v>
      </c>
      <c r="AD397">
        <v>-0.20878430000000001</v>
      </c>
      <c r="AE397">
        <v>-7.5899999999990003E-2</v>
      </c>
      <c r="AF397">
        <v>5.9376357792559099E-2</v>
      </c>
      <c r="AG397">
        <v>-0.20878430000000001</v>
      </c>
      <c r="AH397">
        <v>0.39950699250393801</v>
      </c>
      <c r="AI397">
        <v>117.33565541218</v>
      </c>
      <c r="AJ397">
        <v>81.546349774893201</v>
      </c>
      <c r="AK397">
        <v>0.454667211101418</v>
      </c>
      <c r="AL397">
        <v>82.090186493281607</v>
      </c>
      <c r="AM397">
        <v>88.727077354418498</v>
      </c>
      <c r="AN397">
        <v>1.0000000254081001</v>
      </c>
    </row>
    <row r="398" spans="1:40" x14ac:dyDescent="0.25">
      <c r="A398" t="str">
        <f>"20190303162219088"</f>
        <v>20190303162219088</v>
      </c>
      <c r="B398" t="str">
        <f>"1551601339084711"</f>
        <v>1551601339084711</v>
      </c>
      <c r="C398" t="s">
        <v>40</v>
      </c>
      <c r="D398">
        <v>5.5510679999999999</v>
      </c>
      <c r="E398">
        <v>0.53172929999999996</v>
      </c>
      <c r="F398" t="s">
        <v>42</v>
      </c>
      <c r="G398">
        <v>-418.53500000000003</v>
      </c>
      <c r="H398">
        <v>0.82063090000000005</v>
      </c>
      <c r="I398">
        <v>367.39429999999999</v>
      </c>
      <c r="J398">
        <v>-419.13529999999997</v>
      </c>
      <c r="K398">
        <v>1.070244</v>
      </c>
      <c r="L398">
        <v>367.4864</v>
      </c>
      <c r="M398">
        <v>0.99990480000000004</v>
      </c>
      <c r="N398">
        <v>-7.9562859999999999E-3</v>
      </c>
      <c r="O398">
        <v>-1.1269309999999999E-2</v>
      </c>
      <c r="P398">
        <v>0.99085109999999998</v>
      </c>
      <c r="Q398">
        <v>0.130994</v>
      </c>
      <c r="R398">
        <v>-3.2477850000000003E-2</v>
      </c>
      <c r="S398">
        <v>3.1432190000000002</v>
      </c>
      <c r="T398">
        <v>-0.97978960000000004</v>
      </c>
      <c r="U398">
        <v>-0.36923220000000001</v>
      </c>
      <c r="V398">
        <v>2.1332050000000002E-2</v>
      </c>
      <c r="W398">
        <v>0.1388723</v>
      </c>
      <c r="X398">
        <v>0.99008050000000003</v>
      </c>
      <c r="Y398">
        <v>0.1011073</v>
      </c>
      <c r="Z398">
        <v>-1.24245E-2</v>
      </c>
      <c r="AA398">
        <v>0.99479790000000001</v>
      </c>
      <c r="AB398">
        <v>19</v>
      </c>
      <c r="AC398">
        <v>0.60029999999994699</v>
      </c>
      <c r="AD398">
        <v>-0.24961309999999901</v>
      </c>
      <c r="AE398">
        <v>-9.2100000000016197E-2</v>
      </c>
      <c r="AF398">
        <v>7.2997817539954796E-2</v>
      </c>
      <c r="AG398">
        <v>-0.24961309999999901</v>
      </c>
      <c r="AH398">
        <v>0.51440412501558597</v>
      </c>
      <c r="AI398">
        <v>115.661201480565</v>
      </c>
      <c r="AJ398">
        <v>81.923225490729294</v>
      </c>
      <c r="AK398">
        <v>0.57640869605710898</v>
      </c>
      <c r="AL398">
        <v>82.017403502443699</v>
      </c>
      <c r="AM398">
        <v>88.765709094345297</v>
      </c>
      <c r="AN398">
        <v>0.99999998427237102</v>
      </c>
    </row>
    <row r="399" spans="1:40" x14ac:dyDescent="0.25">
      <c r="A399" t="str">
        <f>"20190303162219112"</f>
        <v>20190303162219112</v>
      </c>
      <c r="B399" t="str">
        <f>"1551601339105208"</f>
        <v>1551601339105208</v>
      </c>
      <c r="C399" t="s">
        <v>40</v>
      </c>
      <c r="D399">
        <v>5.5391430000000001</v>
      </c>
      <c r="E399">
        <v>0.53164009999999995</v>
      </c>
      <c r="F399" t="s">
        <v>42</v>
      </c>
      <c r="G399">
        <v>-418.3596</v>
      </c>
      <c r="H399">
        <v>0.82836169999999998</v>
      </c>
      <c r="I399">
        <v>367.3954</v>
      </c>
      <c r="J399">
        <v>-418.9359</v>
      </c>
      <c r="K399">
        <v>1.070241</v>
      </c>
      <c r="L399">
        <v>367.48399999999998</v>
      </c>
      <c r="M399">
        <v>0.99990389999999996</v>
      </c>
      <c r="N399">
        <v>-7.9568829999999997E-3</v>
      </c>
      <c r="O399">
        <v>-1.136993E-2</v>
      </c>
      <c r="P399">
        <v>0.99070709999999995</v>
      </c>
      <c r="Q399">
        <v>0.1322846</v>
      </c>
      <c r="R399">
        <v>-3.1631099999999898E-2</v>
      </c>
      <c r="S399">
        <v>3.1453250000000001</v>
      </c>
      <c r="T399">
        <v>-0.9806819</v>
      </c>
      <c r="U399">
        <v>-0.36688229999999999</v>
      </c>
      <c r="V399">
        <v>2.0387659999999998E-2</v>
      </c>
      <c r="W399">
        <v>0.1401628</v>
      </c>
      <c r="X399">
        <v>0.98991850000000003</v>
      </c>
      <c r="Y399">
        <v>0.1002405</v>
      </c>
      <c r="Z399">
        <v>-1.226292E-2</v>
      </c>
      <c r="AA399">
        <v>0.99488770000000004</v>
      </c>
      <c r="AB399">
        <v>19</v>
      </c>
      <c r="AC399">
        <v>0.57630000000000303</v>
      </c>
      <c r="AD399">
        <v>-0.24187929999999999</v>
      </c>
      <c r="AE399">
        <v>-8.8600000000042201E-2</v>
      </c>
      <c r="AF399">
        <v>6.9995991432425006E-2</v>
      </c>
      <c r="AG399">
        <v>-0.24187929999999999</v>
      </c>
      <c r="AH399">
        <v>0.49251365939728298</v>
      </c>
      <c r="AI399">
        <v>115.930225583538</v>
      </c>
      <c r="AJ399">
        <v>81.911298065091501</v>
      </c>
      <c r="AK399">
        <v>0.55314983438305498</v>
      </c>
      <c r="AL399">
        <v>81.942732722147596</v>
      </c>
      <c r="AM399">
        <v>88.820143522667905</v>
      </c>
      <c r="AN399">
        <v>0.99999995191318103</v>
      </c>
    </row>
    <row r="400" spans="1:40" x14ac:dyDescent="0.25">
      <c r="A400" t="str">
        <f>"20190303162219132"</f>
        <v>20190303162219132</v>
      </c>
      <c r="B400" t="str">
        <f>"1551601339124727"</f>
        <v>1551601339124727</v>
      </c>
      <c r="C400" t="s">
        <v>40</v>
      </c>
      <c r="D400">
        <v>5.5526580000000001</v>
      </c>
      <c r="E400">
        <v>0.53154009999999996</v>
      </c>
      <c r="F400" t="s">
        <v>42</v>
      </c>
      <c r="G400">
        <v>-418.18360000000001</v>
      </c>
      <c r="H400">
        <v>0.83589919999999995</v>
      </c>
      <c r="I400">
        <v>367.3965</v>
      </c>
      <c r="J400">
        <v>-418.75229999999999</v>
      </c>
      <c r="K400">
        <v>1.0702430000000001</v>
      </c>
      <c r="L400">
        <v>367.48180000000002</v>
      </c>
      <c r="M400">
        <v>0.99990270000000003</v>
      </c>
      <c r="N400">
        <v>-7.9602809999999996E-3</v>
      </c>
      <c r="O400">
        <v>-1.1462689999999999E-2</v>
      </c>
      <c r="P400">
        <v>0.99051389999999995</v>
      </c>
      <c r="Q400">
        <v>0.13370470000000001</v>
      </c>
      <c r="R400">
        <v>-3.1710950000000002E-2</v>
      </c>
      <c r="S400">
        <v>3.1474299999999999</v>
      </c>
      <c r="T400">
        <v>-0.98042669999999998</v>
      </c>
      <c r="U400">
        <v>-0.36355589999999999</v>
      </c>
      <c r="V400">
        <v>2.0378130000000001E-2</v>
      </c>
      <c r="W400">
        <v>0.14158419999999999</v>
      </c>
      <c r="X400">
        <v>0.9897165</v>
      </c>
      <c r="Y400">
        <v>9.9099980000000004E-2</v>
      </c>
      <c r="Z400">
        <v>-1.20483E-2</v>
      </c>
      <c r="AA400">
        <v>0.99500449999999996</v>
      </c>
      <c r="AB400">
        <v>19</v>
      </c>
      <c r="AC400">
        <v>0.568699999999978</v>
      </c>
      <c r="AD400">
        <v>-0.23434379999999999</v>
      </c>
      <c r="AE400">
        <v>-8.5300000000017903E-2</v>
      </c>
      <c r="AF400">
        <v>6.7556571261263396E-2</v>
      </c>
      <c r="AG400">
        <v>-0.23434379999999999</v>
      </c>
      <c r="AH400">
        <v>0.488515134877541</v>
      </c>
      <c r="AI400">
        <v>115.416325155975</v>
      </c>
      <c r="AJ400">
        <v>82.126525946603607</v>
      </c>
      <c r="AK400">
        <v>0.54601093754927699</v>
      </c>
      <c r="AL400">
        <v>81.860472975977899</v>
      </c>
      <c r="AM400">
        <v>88.820454251716001</v>
      </c>
      <c r="AN400">
        <v>1.00000005212209</v>
      </c>
    </row>
    <row r="401" spans="1:40" x14ac:dyDescent="0.25">
      <c r="A401" t="str">
        <f>"20190303162219154"</f>
        <v>20190303162219154</v>
      </c>
      <c r="B401" t="str">
        <f>"1551601339144247"</f>
        <v>1551601339144247</v>
      </c>
      <c r="C401" t="s">
        <v>40</v>
      </c>
      <c r="D401">
        <v>5.5521349999999998</v>
      </c>
      <c r="E401">
        <v>0.53143450000000003</v>
      </c>
      <c r="F401" t="s">
        <v>42</v>
      </c>
      <c r="G401">
        <v>-418.00880000000001</v>
      </c>
      <c r="H401">
        <v>0.83900399999999997</v>
      </c>
      <c r="I401">
        <v>367.39609999999999</v>
      </c>
      <c r="J401">
        <v>-418.5616</v>
      </c>
      <c r="K401">
        <v>1.0702469999999999</v>
      </c>
      <c r="L401">
        <v>367.4796</v>
      </c>
      <c r="M401">
        <v>0.9999015</v>
      </c>
      <c r="N401">
        <v>-7.969393E-3</v>
      </c>
      <c r="O401">
        <v>-1.1558570000000001E-2</v>
      </c>
      <c r="P401">
        <v>0.99047399999999997</v>
      </c>
      <c r="Q401">
        <v>0.13386439999999999</v>
      </c>
      <c r="R401">
        <v>-3.2272759999999998E-2</v>
      </c>
      <c r="S401">
        <v>3.149384</v>
      </c>
      <c r="T401">
        <v>-0.97946109999999997</v>
      </c>
      <c r="U401">
        <v>-0.36151119999999998</v>
      </c>
      <c r="V401">
        <v>2.0845599999999999E-2</v>
      </c>
      <c r="W401">
        <v>0.14175219999999999</v>
      </c>
      <c r="X401">
        <v>0.98968270000000003</v>
      </c>
      <c r="Y401">
        <v>9.8349409999999998E-2</v>
      </c>
      <c r="Z401">
        <v>-1.1886529999999999E-2</v>
      </c>
      <c r="AA401">
        <v>0.99508090000000005</v>
      </c>
      <c r="AB401">
        <v>19</v>
      </c>
      <c r="AC401">
        <v>0.55279999999998997</v>
      </c>
      <c r="AD401">
        <v>-0.231242999999999</v>
      </c>
      <c r="AE401">
        <v>-8.3500000000015007E-2</v>
      </c>
      <c r="AF401">
        <v>6.5840529120482494E-2</v>
      </c>
      <c r="AG401">
        <v>-0.231242999999999</v>
      </c>
      <c r="AH401">
        <v>0.47283483295871498</v>
      </c>
      <c r="AI401">
        <v>115.844766641799</v>
      </c>
      <c r="AJ401">
        <v>82.072744335535106</v>
      </c>
      <c r="AK401">
        <v>0.53045365450994997</v>
      </c>
      <c r="AL401">
        <v>81.850749080995598</v>
      </c>
      <c r="AM401">
        <v>88.793362435013293</v>
      </c>
      <c r="AN401">
        <v>1.00000003596174</v>
      </c>
    </row>
    <row r="402" spans="1:40" x14ac:dyDescent="0.25">
      <c r="A402" t="str">
        <f>"20190303162219177"</f>
        <v>20190303162219177</v>
      </c>
      <c r="B402" t="str">
        <f>"1551601339174504"</f>
        <v>1551601339174504</v>
      </c>
      <c r="C402" t="s">
        <v>40</v>
      </c>
      <c r="D402">
        <v>5.5616770000000004</v>
      </c>
      <c r="E402">
        <v>0.53135100000000002</v>
      </c>
      <c r="F402" t="s">
        <v>42</v>
      </c>
      <c r="G402">
        <v>-417.8331</v>
      </c>
      <c r="H402">
        <v>0.84292730000000005</v>
      </c>
      <c r="I402">
        <v>367.39550000000003</v>
      </c>
      <c r="J402">
        <v>-418.36</v>
      </c>
      <c r="K402">
        <v>1.0702419999999999</v>
      </c>
      <c r="L402">
        <v>367.47710000000001</v>
      </c>
      <c r="M402">
        <v>0.99990020000000002</v>
      </c>
      <c r="N402">
        <v>-7.9844900000000003E-3</v>
      </c>
      <c r="O402">
        <v>-1.1660200000000001E-2</v>
      </c>
      <c r="P402">
        <v>0.9904925</v>
      </c>
      <c r="Q402">
        <v>0.13375029999999999</v>
      </c>
      <c r="R402">
        <v>-3.2182780000000001E-2</v>
      </c>
      <c r="S402">
        <v>3.1498719999999998</v>
      </c>
      <c r="T402">
        <v>-0.98285719999999999</v>
      </c>
      <c r="U402">
        <v>-0.36291499999999999</v>
      </c>
      <c r="V402">
        <v>2.0654749999999999E-2</v>
      </c>
      <c r="W402">
        <v>0.141654</v>
      </c>
      <c r="X402">
        <v>0.98970069999999999</v>
      </c>
      <c r="Y402">
        <v>9.8632600000000001E-2</v>
      </c>
      <c r="Z402">
        <v>-1.1937410000000001E-2</v>
      </c>
      <c r="AA402">
        <v>0.9950523</v>
      </c>
      <c r="AB402">
        <v>19</v>
      </c>
      <c r="AC402">
        <v>0.52690000000001103</v>
      </c>
      <c r="AD402">
        <v>-0.22731469999999901</v>
      </c>
      <c r="AE402">
        <v>-8.1599999999980299E-2</v>
      </c>
      <c r="AF402">
        <v>6.3845711069781499E-2</v>
      </c>
      <c r="AG402">
        <v>-0.22731469999999901</v>
      </c>
      <c r="AH402">
        <v>0.44663413198949098</v>
      </c>
      <c r="AI402">
        <v>116.740286862161</v>
      </c>
      <c r="AJ402">
        <v>81.864764015928699</v>
      </c>
      <c r="AK402">
        <v>0.505203221996952</v>
      </c>
      <c r="AL402">
        <v>81.856432380561401</v>
      </c>
      <c r="AM402">
        <v>88.804428212691306</v>
      </c>
      <c r="AN402">
        <v>0.99999997499702598</v>
      </c>
    </row>
    <row r="403" spans="1:40" x14ac:dyDescent="0.25">
      <c r="A403" t="str">
        <f>"20190303162219200"</f>
        <v>20190303162219200</v>
      </c>
      <c r="B403" t="str">
        <f>"1551601339195000"</f>
        <v>1551601339195000</v>
      </c>
      <c r="C403" t="s">
        <v>40</v>
      </c>
      <c r="D403">
        <v>5.5534860000000004</v>
      </c>
      <c r="E403">
        <v>0.53129119999999996</v>
      </c>
      <c r="F403" t="s">
        <v>42</v>
      </c>
      <c r="G403">
        <v>-417.65589999999997</v>
      </c>
      <c r="H403">
        <v>0.849317199999999</v>
      </c>
      <c r="I403">
        <v>367.39550000000003</v>
      </c>
      <c r="J403">
        <v>-418.15789999999998</v>
      </c>
      <c r="K403">
        <v>1.0702370000000001</v>
      </c>
      <c r="L403">
        <v>367.47460000000001</v>
      </c>
      <c r="M403">
        <v>0.99989890000000003</v>
      </c>
      <c r="N403">
        <v>-8.0020909999999994E-3</v>
      </c>
      <c r="O403">
        <v>-1.176232E-2</v>
      </c>
      <c r="P403">
        <v>0.99061779999999999</v>
      </c>
      <c r="Q403">
        <v>0.132798</v>
      </c>
      <c r="R403">
        <v>-3.2272670000000003E-2</v>
      </c>
      <c r="S403">
        <v>3.1504819999999998</v>
      </c>
      <c r="T403">
        <v>-0.98842430000000003</v>
      </c>
      <c r="U403">
        <v>-0.36251830000000002</v>
      </c>
      <c r="V403">
        <v>2.0641860000000001E-2</v>
      </c>
      <c r="W403">
        <v>0.14071979999999901</v>
      </c>
      <c r="X403">
        <v>0.9898342</v>
      </c>
      <c r="Y403">
        <v>9.8358360000000006E-2</v>
      </c>
      <c r="Z403">
        <v>-1.192502E-2</v>
      </c>
      <c r="AA403">
        <v>0.99507959999999995</v>
      </c>
      <c r="AB403">
        <v>19</v>
      </c>
      <c r="AC403">
        <v>0.50200000000000899</v>
      </c>
      <c r="AD403">
        <v>-0.2209198</v>
      </c>
      <c r="AE403">
        <v>-7.9099999999982601E-2</v>
      </c>
      <c r="AF403">
        <v>6.15567884539414E-2</v>
      </c>
      <c r="AG403">
        <v>-0.2209198</v>
      </c>
      <c r="AH403">
        <v>0.422964753529399</v>
      </c>
      <c r="AI403">
        <v>117.33296786471</v>
      </c>
      <c r="AJ403">
        <v>81.719511703216696</v>
      </c>
      <c r="AK403">
        <v>0.48113821191523398</v>
      </c>
      <c r="AL403">
        <v>81.910499459564093</v>
      </c>
      <c r="AM403">
        <v>88.805335216988894</v>
      </c>
      <c r="AN403">
        <v>0.99999994599296804</v>
      </c>
    </row>
    <row r="404" spans="1:40" x14ac:dyDescent="0.25">
      <c r="A404" t="str">
        <f>"20190303162219224"</f>
        <v>20190303162219224</v>
      </c>
      <c r="B404" t="str">
        <f>"1551601339214519"</f>
        <v>1551601339214519</v>
      </c>
      <c r="C404" t="s">
        <v>40</v>
      </c>
      <c r="D404">
        <v>5.5705900000000002</v>
      </c>
      <c r="E404">
        <v>0.53124720000000003</v>
      </c>
      <c r="F404" t="s">
        <v>42</v>
      </c>
      <c r="G404">
        <v>-417.47809999999998</v>
      </c>
      <c r="H404">
        <v>0.8553518</v>
      </c>
      <c r="I404">
        <v>367.39609999999999</v>
      </c>
      <c r="J404">
        <v>-417.9599</v>
      </c>
      <c r="K404">
        <v>1.0702370000000001</v>
      </c>
      <c r="L404">
        <v>367.47219999999999</v>
      </c>
      <c r="M404">
        <v>0.99989760000000005</v>
      </c>
      <c r="N404">
        <v>-8.0194989999999994E-3</v>
      </c>
      <c r="O404">
        <v>-1.1862640000000001E-2</v>
      </c>
      <c r="P404">
        <v>0.99061549999999998</v>
      </c>
      <c r="Q404">
        <v>0.132711</v>
      </c>
      <c r="R404">
        <v>-3.2702469999999997E-2</v>
      </c>
      <c r="S404">
        <v>3.1500849999999998</v>
      </c>
      <c r="T404">
        <v>-0.99572749999999999</v>
      </c>
      <c r="U404">
        <v>-0.36242679999999999</v>
      </c>
      <c r="V404">
        <v>2.0972210000000002E-2</v>
      </c>
      <c r="W404">
        <v>0.14065</v>
      </c>
      <c r="X404">
        <v>0.98983719999999997</v>
      </c>
      <c r="Y404">
        <v>9.8194840000000005E-2</v>
      </c>
      <c r="Z404">
        <v>-1.1952269999999999E-2</v>
      </c>
      <c r="AA404">
        <v>0.99509539999999996</v>
      </c>
      <c r="AB404">
        <v>20</v>
      </c>
      <c r="AC404">
        <v>0.48180000000002099</v>
      </c>
      <c r="AD404">
        <v>-0.2148852</v>
      </c>
      <c r="AE404">
        <v>-7.6099999999996698E-2</v>
      </c>
      <c r="AF404">
        <v>5.8940042667294898E-2</v>
      </c>
      <c r="AG404">
        <v>-0.2148852</v>
      </c>
      <c r="AH404">
        <v>0.40421868717049803</v>
      </c>
      <c r="AI404">
        <v>117.746324499408</v>
      </c>
      <c r="AJ404">
        <v>81.704036975933306</v>
      </c>
      <c r="AK404">
        <v>0.46156508194024398</v>
      </c>
      <c r="AL404">
        <v>81.914539069254502</v>
      </c>
      <c r="AM404">
        <v>88.786225288819097</v>
      </c>
      <c r="AN404">
        <v>0.99999996929806101</v>
      </c>
    </row>
    <row r="405" spans="1:40" x14ac:dyDescent="0.25">
      <c r="A405" t="str">
        <f>"20190303162219243"</f>
        <v>20190303162219243</v>
      </c>
      <c r="B405" t="str">
        <f>"1551601339235016"</f>
        <v>1551601339235016</v>
      </c>
      <c r="C405" t="s">
        <v>40</v>
      </c>
      <c r="D405">
        <v>5.5675179999999997</v>
      </c>
      <c r="E405">
        <v>0.53132900000000005</v>
      </c>
      <c r="F405" t="s">
        <v>42</v>
      </c>
      <c r="G405">
        <v>-417.14370000000002</v>
      </c>
      <c r="H405">
        <v>0.81139090000000003</v>
      </c>
      <c r="I405">
        <v>367.37779999999998</v>
      </c>
      <c r="J405">
        <v>-417.77530000000002</v>
      </c>
      <c r="K405">
        <v>1.070241</v>
      </c>
      <c r="L405">
        <v>367.46980000000002</v>
      </c>
      <c r="M405">
        <v>0.99989640000000002</v>
      </c>
      <c r="N405">
        <v>-8.0353409999999997E-3</v>
      </c>
      <c r="O405">
        <v>-1.1955459999999999E-2</v>
      </c>
      <c r="P405">
        <v>0.99056330000000004</v>
      </c>
      <c r="Q405">
        <v>0.13303110000000001</v>
      </c>
      <c r="R405">
        <v>-3.298094E-2</v>
      </c>
      <c r="S405">
        <v>3.1502379999999999</v>
      </c>
      <c r="T405">
        <v>-0.99892809999999999</v>
      </c>
      <c r="U405">
        <v>-0.36343379999999997</v>
      </c>
      <c r="V405">
        <v>2.1159580000000001E-2</v>
      </c>
      <c r="W405">
        <v>0.1409852</v>
      </c>
      <c r="X405">
        <v>0.98978560000000004</v>
      </c>
      <c r="Y405">
        <v>9.83797E-2</v>
      </c>
      <c r="Z405">
        <v>-1.1989079999999999E-2</v>
      </c>
      <c r="AA405">
        <v>0.99507670000000004</v>
      </c>
      <c r="AB405">
        <v>20</v>
      </c>
      <c r="AC405">
        <v>0.63159999999999095</v>
      </c>
      <c r="AD405">
        <v>-0.25885010000000003</v>
      </c>
      <c r="AE405">
        <v>-9.2000000000041299E-2</v>
      </c>
      <c r="AF405">
        <v>7.2515312517332106E-2</v>
      </c>
      <c r="AG405">
        <v>-0.25885010000000003</v>
      </c>
      <c r="AH405">
        <v>0.54329715812063095</v>
      </c>
      <c r="AI405">
        <v>115.279254070059</v>
      </c>
      <c r="AJ405">
        <v>82.397513833176703</v>
      </c>
      <c r="AK405">
        <v>0.60616305301581197</v>
      </c>
      <c r="AL405">
        <v>81.895140835776104</v>
      </c>
      <c r="AM405">
        <v>88.775320642945005</v>
      </c>
      <c r="AN405">
        <v>1.0000000442060799</v>
      </c>
    </row>
    <row r="406" spans="1:40" x14ac:dyDescent="0.25">
      <c r="A406" t="str">
        <f>"20190303162219266"</f>
        <v>20190303162219266</v>
      </c>
      <c r="B406" t="str">
        <f>"1551601339254535"</f>
        <v>1551601339254535</v>
      </c>
      <c r="C406" t="s">
        <v>40</v>
      </c>
      <c r="D406">
        <v>5.5709819999999999</v>
      </c>
      <c r="E406">
        <v>0.53136830000000002</v>
      </c>
      <c r="F406" t="s">
        <v>42</v>
      </c>
      <c r="G406">
        <v>-416.96589999999998</v>
      </c>
      <c r="H406">
        <v>0.81385079999999999</v>
      </c>
      <c r="I406">
        <v>367.37569999999999</v>
      </c>
      <c r="J406">
        <v>-417.57979999999998</v>
      </c>
      <c r="K406">
        <v>1.0702469999999999</v>
      </c>
      <c r="L406">
        <v>367.4674</v>
      </c>
      <c r="M406">
        <v>0.99989499999999998</v>
      </c>
      <c r="N406">
        <v>-8.0517369999999998E-3</v>
      </c>
      <c r="O406">
        <v>-1.2054230000000001E-2</v>
      </c>
      <c r="P406">
        <v>0.99028470000000002</v>
      </c>
      <c r="Q406">
        <v>0.13505829999999999</v>
      </c>
      <c r="R406">
        <v>-3.309906E-2</v>
      </c>
      <c r="S406">
        <v>3.1505130000000001</v>
      </c>
      <c r="T406">
        <v>-0.99789640000000002</v>
      </c>
      <c r="U406">
        <v>-0.36486819999999998</v>
      </c>
      <c r="V406">
        <v>2.1183710000000001E-2</v>
      </c>
      <c r="W406">
        <v>0.14302609999999999</v>
      </c>
      <c r="X406">
        <v>0.98949219999999904</v>
      </c>
      <c r="Y406">
        <v>9.871576E-2</v>
      </c>
      <c r="Z406">
        <v>-1.2001070000000001E-2</v>
      </c>
      <c r="AA406">
        <v>0.99504329999999996</v>
      </c>
      <c r="AB406">
        <v>20</v>
      </c>
      <c r="AC406">
        <v>0.613900000000001</v>
      </c>
      <c r="AD406">
        <v>-0.25639619999999902</v>
      </c>
      <c r="AE406">
        <v>-9.1700000000003001E-2</v>
      </c>
      <c r="AF406">
        <v>7.2006798656678597E-2</v>
      </c>
      <c r="AG406">
        <v>-0.25639619999999902</v>
      </c>
      <c r="AH406">
        <v>0.52532660577613699</v>
      </c>
      <c r="AI406">
        <v>115.80602777898</v>
      </c>
      <c r="AJ406">
        <v>82.195074861651605</v>
      </c>
      <c r="AK406">
        <v>0.58897540964245698</v>
      </c>
      <c r="AL406">
        <v>81.777008446308102</v>
      </c>
      <c r="AM406">
        <v>88.773561027308304</v>
      </c>
      <c r="AN406">
        <v>1.0000000143557</v>
      </c>
    </row>
    <row r="407" spans="1:40" x14ac:dyDescent="0.25">
      <c r="A407" t="str">
        <f>"20190303162219290"</f>
        <v>20190303162219290</v>
      </c>
      <c r="B407" t="str">
        <f>"1551601339284791"</f>
        <v>1551601339284791</v>
      </c>
      <c r="C407" t="s">
        <v>40</v>
      </c>
      <c r="D407">
        <v>5.5774850000000002</v>
      </c>
      <c r="E407">
        <v>0.53147310000000003</v>
      </c>
      <c r="F407" t="s">
        <v>42</v>
      </c>
      <c r="G407">
        <v>-416.78590000000003</v>
      </c>
      <c r="H407">
        <v>0.820559499999999</v>
      </c>
      <c r="I407">
        <v>367.375</v>
      </c>
      <c r="J407">
        <v>-417.36579999999998</v>
      </c>
      <c r="K407">
        <v>1.070252</v>
      </c>
      <c r="L407">
        <v>367.46469999999999</v>
      </c>
      <c r="M407">
        <v>0.99989360000000005</v>
      </c>
      <c r="N407">
        <v>-8.0691180000000001E-3</v>
      </c>
      <c r="O407">
        <v>-1.2161470000000001E-2</v>
      </c>
      <c r="P407">
        <v>0.99009530000000001</v>
      </c>
      <c r="Q407">
        <v>0.1364165</v>
      </c>
      <c r="R407">
        <v>-3.3200970000000003E-2</v>
      </c>
      <c r="S407">
        <v>3.1524049999999999</v>
      </c>
      <c r="T407">
        <v>-0.99136480000000005</v>
      </c>
      <c r="U407">
        <v>-0.36602780000000001</v>
      </c>
      <c r="V407">
        <v>2.118219E-2</v>
      </c>
      <c r="W407">
        <v>0.14440020000000001</v>
      </c>
      <c r="X407">
        <v>0.98929259999999997</v>
      </c>
      <c r="Y407">
        <v>9.8954440000000005E-2</v>
      </c>
      <c r="Z407">
        <v>-1.192908E-2</v>
      </c>
      <c r="AA407">
        <v>0.99502040000000003</v>
      </c>
      <c r="AB407">
        <v>20</v>
      </c>
      <c r="AC407">
        <v>0.57989999999995201</v>
      </c>
      <c r="AD407">
        <v>-0.24969250000000001</v>
      </c>
      <c r="AE407">
        <v>-8.9699999999993396E-2</v>
      </c>
      <c r="AF407">
        <v>6.9971303008268496E-2</v>
      </c>
      <c r="AG407">
        <v>-0.24969250000000001</v>
      </c>
      <c r="AH407">
        <v>0.49188463272906702</v>
      </c>
      <c r="AI407">
        <v>116.682490478274</v>
      </c>
      <c r="AJ407">
        <v>81.903910009616297</v>
      </c>
      <c r="AK407">
        <v>0.55605109451914103</v>
      </c>
      <c r="AL407">
        <v>81.697452146861494</v>
      </c>
      <c r="AM407">
        <v>88.773401648017298</v>
      </c>
      <c r="AN407">
        <v>0.99999997567399701</v>
      </c>
    </row>
    <row r="408" spans="1:40" x14ac:dyDescent="0.25">
      <c r="A408" t="str">
        <f>"20190303162219312"</f>
        <v>20190303162219312</v>
      </c>
      <c r="B408" t="str">
        <f>"1551601339304312"</f>
        <v>1551601339304312</v>
      </c>
      <c r="C408" t="s">
        <v>40</v>
      </c>
      <c r="D408">
        <v>5.5540580000000004</v>
      </c>
      <c r="E408">
        <v>0.53167200000000003</v>
      </c>
      <c r="F408" t="s">
        <v>42</v>
      </c>
      <c r="G408">
        <v>-416.6035</v>
      </c>
      <c r="H408">
        <v>0.831624699999999</v>
      </c>
      <c r="I408">
        <v>367.37569999999999</v>
      </c>
      <c r="J408">
        <v>-417.16989999999998</v>
      </c>
      <c r="K408">
        <v>1.0702469999999999</v>
      </c>
      <c r="L408">
        <v>367.4622</v>
      </c>
      <c r="M408">
        <v>0.99989229999999996</v>
      </c>
      <c r="N408">
        <v>-8.0843530000000007E-3</v>
      </c>
      <c r="O408">
        <v>-1.226001E-2</v>
      </c>
      <c r="P408">
        <v>0.99002780000000001</v>
      </c>
      <c r="Q408">
        <v>0.13689870000000001</v>
      </c>
      <c r="R408">
        <v>-3.3225860000000003E-2</v>
      </c>
      <c r="S408">
        <v>3.153778</v>
      </c>
      <c r="T408">
        <v>-0.98724529999999999</v>
      </c>
      <c r="U408">
        <v>-0.36682130000000002</v>
      </c>
      <c r="V408">
        <v>2.1110629999999998E-2</v>
      </c>
      <c r="W408">
        <v>0.14489659999999999</v>
      </c>
      <c r="X408">
        <v>0.98922160000000003</v>
      </c>
      <c r="Y408">
        <v>9.908923E-2</v>
      </c>
      <c r="Z408">
        <v>-1.1871659999999999E-2</v>
      </c>
      <c r="AA408">
        <v>0.9950078</v>
      </c>
      <c r="AB408">
        <v>20</v>
      </c>
      <c r="AC408">
        <v>0.56639999999998702</v>
      </c>
      <c r="AD408">
        <v>-0.23862230000000001</v>
      </c>
      <c r="AE408">
        <v>-8.6500000000000896E-2</v>
      </c>
      <c r="AF408">
        <v>6.77911409469618E-2</v>
      </c>
      <c r="AG408">
        <v>-0.23862230000000001</v>
      </c>
      <c r="AH408">
        <v>0.48354866032883098</v>
      </c>
      <c r="AI408">
        <v>116.044861333504</v>
      </c>
      <c r="AJ408">
        <v>82.019427754141006</v>
      </c>
      <c r="AK408">
        <v>0.54346623423538298</v>
      </c>
      <c r="AL408">
        <v>81.668708668924197</v>
      </c>
      <c r="AM408">
        <v>88.777456504232404</v>
      </c>
      <c r="AN408">
        <v>1.00000002864855</v>
      </c>
    </row>
    <row r="409" spans="1:40" x14ac:dyDescent="0.25">
      <c r="A409" t="str">
        <f>"20190303162219333"</f>
        <v>20190303162219333</v>
      </c>
      <c r="B409" t="str">
        <f>"1551601339324807"</f>
        <v>1551601339324807</v>
      </c>
      <c r="C409" t="s">
        <v>40</v>
      </c>
      <c r="D409">
        <v>5.5491449999999896</v>
      </c>
      <c r="E409">
        <v>0.53178319999999901</v>
      </c>
      <c r="F409" t="s">
        <v>42</v>
      </c>
      <c r="G409">
        <v>-416.42290000000003</v>
      </c>
      <c r="H409">
        <v>0.83691659999999901</v>
      </c>
      <c r="I409">
        <v>367.375</v>
      </c>
      <c r="J409">
        <v>-416.97949999999997</v>
      </c>
      <c r="K409">
        <v>1.0702499999999999</v>
      </c>
      <c r="L409">
        <v>367.4597</v>
      </c>
      <c r="M409">
        <v>0.99989090000000003</v>
      </c>
      <c r="N409">
        <v>-8.0983989999999992E-3</v>
      </c>
      <c r="O409">
        <v>-1.2355669999999999E-2</v>
      </c>
      <c r="P409">
        <v>0.98987939999999996</v>
      </c>
      <c r="Q409">
        <v>0.1379032</v>
      </c>
      <c r="R409">
        <v>-3.3491880000000002E-2</v>
      </c>
      <c r="S409">
        <v>3.154175</v>
      </c>
      <c r="T409">
        <v>-0.98527359999999997</v>
      </c>
      <c r="U409">
        <v>-0.3671875</v>
      </c>
      <c r="V409">
        <v>2.128385E-2</v>
      </c>
      <c r="W409">
        <v>0.14591419999999999</v>
      </c>
      <c r="X409">
        <v>0.98906830000000001</v>
      </c>
      <c r="Y409">
        <v>9.9113900000000005E-2</v>
      </c>
      <c r="Z409">
        <v>-1.1824950000000001E-2</v>
      </c>
      <c r="AA409">
        <v>0.99500580000000005</v>
      </c>
      <c r="AB409">
        <v>20</v>
      </c>
      <c r="AC409">
        <v>0.55659999999994603</v>
      </c>
      <c r="AD409">
        <v>-0.2333334</v>
      </c>
      <c r="AE409">
        <v>-8.4699999999997999E-2</v>
      </c>
      <c r="AF409">
        <v>6.6409555022172898E-2</v>
      </c>
      <c r="AG409">
        <v>-0.2333334</v>
      </c>
      <c r="AH409">
        <v>0.47586833229334802</v>
      </c>
      <c r="AI409">
        <v>115.902404039858</v>
      </c>
      <c r="AJ409">
        <v>82.055427163100703</v>
      </c>
      <c r="AK409">
        <v>0.53413984520297197</v>
      </c>
      <c r="AL409">
        <v>81.609778182183106</v>
      </c>
      <c r="AM409">
        <v>88.767237212531896</v>
      </c>
      <c r="AN409">
        <v>1.0000000290486699</v>
      </c>
    </row>
    <row r="410" spans="1:40" x14ac:dyDescent="0.25">
      <c r="A410" t="str">
        <f>"20190303162219355"</f>
        <v>20190303162219355</v>
      </c>
      <c r="B410" t="str">
        <f>"1551601339344328"</f>
        <v>1551601339344328</v>
      </c>
      <c r="C410" t="s">
        <v>40</v>
      </c>
      <c r="D410">
        <v>5.6068639999999998</v>
      </c>
      <c r="E410">
        <v>0.53177700000000006</v>
      </c>
      <c r="F410" t="s">
        <v>42</v>
      </c>
      <c r="G410">
        <v>-416.24239999999998</v>
      </c>
      <c r="H410">
        <v>0.84075889999999998</v>
      </c>
      <c r="I410">
        <v>367.37299999999999</v>
      </c>
      <c r="J410">
        <v>-416.78559999999999</v>
      </c>
      <c r="K410">
        <v>1.070252</v>
      </c>
      <c r="L410">
        <v>367.45729999999998</v>
      </c>
      <c r="M410">
        <v>0.99988969999999999</v>
      </c>
      <c r="N410">
        <v>-8.1120140000000007E-3</v>
      </c>
      <c r="O410">
        <v>-1.2453240000000001E-2</v>
      </c>
      <c r="P410">
        <v>0.98977619999999999</v>
      </c>
      <c r="Q410">
        <v>0.13864309999999999</v>
      </c>
      <c r="R410">
        <v>-3.3487740000000002E-2</v>
      </c>
      <c r="S410">
        <v>3.1550600000000002</v>
      </c>
      <c r="T410">
        <v>-0.98222010000000004</v>
      </c>
      <c r="U410">
        <v>-0.36932369999999998</v>
      </c>
      <c r="V410">
        <v>2.1184789999999998E-2</v>
      </c>
      <c r="W410">
        <v>0.14666660000000001</v>
      </c>
      <c r="X410">
        <v>0.98895909999999998</v>
      </c>
      <c r="Y410">
        <v>9.965533E-2</v>
      </c>
      <c r="Z410">
        <v>-1.18444E-2</v>
      </c>
      <c r="AA410">
        <v>0.99495149999999999</v>
      </c>
      <c r="AB410">
        <v>20</v>
      </c>
      <c r="AC410">
        <v>0.54320000000001301</v>
      </c>
      <c r="AD410">
        <v>-0.22949310000000001</v>
      </c>
      <c r="AE410">
        <v>-8.4299999999927794E-2</v>
      </c>
      <c r="AF410">
        <v>6.6021456041277404E-2</v>
      </c>
      <c r="AG410">
        <v>-0.22949310000000001</v>
      </c>
      <c r="AH410">
        <v>0.46343371203885397</v>
      </c>
      <c r="AI410">
        <v>116.116480125276</v>
      </c>
      <c r="AJ410">
        <v>81.892114861778097</v>
      </c>
      <c r="AK410">
        <v>0.52134127120297302</v>
      </c>
      <c r="AL410">
        <v>81.566199714079403</v>
      </c>
      <c r="AM410">
        <v>88.772837573911602</v>
      </c>
      <c r="AN410">
        <v>0.99999999417785701</v>
      </c>
    </row>
    <row r="411" spans="1:40" x14ac:dyDescent="0.25">
      <c r="A411" t="str">
        <f>"20190303162219377"</f>
        <v>20190303162219377</v>
      </c>
      <c r="B411" t="str">
        <f>"1551601339374584"</f>
        <v>1551601339374584</v>
      </c>
      <c r="C411" t="s">
        <v>40</v>
      </c>
      <c r="D411">
        <v>5.5318909999999999</v>
      </c>
      <c r="E411">
        <v>0.50990210000000002</v>
      </c>
      <c r="F411" t="s">
        <v>42</v>
      </c>
      <c r="G411">
        <v>-416.06119999999999</v>
      </c>
      <c r="H411">
        <v>0.84495889999999996</v>
      </c>
      <c r="I411">
        <v>367.37240000000003</v>
      </c>
      <c r="J411">
        <v>-416.58679999999998</v>
      </c>
      <c r="K411">
        <v>1.0702469999999999</v>
      </c>
      <c r="L411">
        <v>367.4547</v>
      </c>
      <c r="M411">
        <v>0.9998882</v>
      </c>
      <c r="N411">
        <v>-8.1254359999999998E-3</v>
      </c>
      <c r="O411">
        <v>-1.255296E-2</v>
      </c>
      <c r="P411">
        <v>0.98978840000000001</v>
      </c>
      <c r="Q411">
        <v>0.138495799999999</v>
      </c>
      <c r="R411">
        <v>-3.3738310000000001E-2</v>
      </c>
      <c r="S411">
        <v>3.1560060000000001</v>
      </c>
      <c r="T411">
        <v>-0.98142390000000002</v>
      </c>
      <c r="U411">
        <v>-0.36880489999999999</v>
      </c>
      <c r="V411">
        <v>2.133645E-2</v>
      </c>
      <c r="W411">
        <v>0.1465331</v>
      </c>
      <c r="X411">
        <v>0.98897559999999995</v>
      </c>
      <c r="Y411">
        <v>9.9386290000000002E-2</v>
      </c>
      <c r="Z411">
        <v>-1.1762069999999999E-2</v>
      </c>
      <c r="AA411">
        <v>0.99497939999999996</v>
      </c>
      <c r="AB411">
        <v>20</v>
      </c>
      <c r="AC411">
        <v>0.52559999999999696</v>
      </c>
      <c r="AD411">
        <v>-0.22528809999999999</v>
      </c>
      <c r="AE411">
        <v>-8.2299999999975101E-2</v>
      </c>
      <c r="AF411">
        <v>6.4185294073511104E-2</v>
      </c>
      <c r="AG411">
        <v>-0.22528809999999999</v>
      </c>
      <c r="AH411">
        <v>0.44651877673185902</v>
      </c>
      <c r="AI411">
        <v>116.538007719056</v>
      </c>
      <c r="AJ411">
        <v>81.819993907288094</v>
      </c>
      <c r="AK411">
        <v>0.50423555799946196</v>
      </c>
      <c r="AL411">
        <v>81.573932000028293</v>
      </c>
      <c r="AM411">
        <v>88.764075758201201</v>
      </c>
      <c r="AN411">
        <v>0.99999996544478498</v>
      </c>
    </row>
    <row r="412" spans="1:40" x14ac:dyDescent="0.25">
      <c r="A412" t="str">
        <f>"20190303162219399"</f>
        <v>20190303162219399</v>
      </c>
      <c r="B412" t="str">
        <f>"1551601339395079"</f>
        <v>1551601339395079</v>
      </c>
      <c r="C412" t="s">
        <v>40</v>
      </c>
      <c r="D412">
        <v>9.2637719999999995</v>
      </c>
      <c r="E412">
        <v>0.47829729999999998</v>
      </c>
      <c r="F412" t="s">
        <v>42</v>
      </c>
      <c r="G412">
        <v>-415.8494</v>
      </c>
      <c r="H412">
        <v>0.91141340000000004</v>
      </c>
      <c r="I412">
        <v>367.40879999999999</v>
      </c>
      <c r="J412">
        <v>-416.37709999999998</v>
      </c>
      <c r="K412">
        <v>1.070244</v>
      </c>
      <c r="L412">
        <v>367.45190000000002</v>
      </c>
      <c r="M412">
        <v>0.99988670000000002</v>
      </c>
      <c r="N412">
        <v>-8.1391160000000001E-3</v>
      </c>
      <c r="O412">
        <v>-1.26578E-2</v>
      </c>
      <c r="P412">
        <v>0.98966019999999999</v>
      </c>
      <c r="Q412">
        <v>0.13945979999999999</v>
      </c>
      <c r="R412">
        <v>-3.3519189999999997E-2</v>
      </c>
      <c r="S412">
        <v>3.1184080000000001</v>
      </c>
      <c r="T412">
        <v>-0.67183979999999999</v>
      </c>
      <c r="U412">
        <v>-0.19216920000000001</v>
      </c>
      <c r="V412">
        <v>2.1015539999999999E-2</v>
      </c>
      <c r="W412">
        <v>0.14750940000000001</v>
      </c>
      <c r="X412">
        <v>0.98883739999999998</v>
      </c>
      <c r="Y412">
        <v>4.7996619999999997E-2</v>
      </c>
      <c r="Z412">
        <v>-2.7132509999999999E-3</v>
      </c>
      <c r="AA412">
        <v>0.99884379999999995</v>
      </c>
      <c r="AB412">
        <v>20</v>
      </c>
      <c r="AC412">
        <v>0.52769999999998096</v>
      </c>
      <c r="AD412">
        <v>-0.15883059999999899</v>
      </c>
      <c r="AE412">
        <v>-4.3100000000038101E-2</v>
      </c>
      <c r="AF412">
        <v>3.34101396816966E-2</v>
      </c>
      <c r="AG412">
        <v>-0.15883059999999899</v>
      </c>
      <c r="AH412">
        <v>0.48459347617274001</v>
      </c>
      <c r="AI412">
        <v>108.106931203983</v>
      </c>
      <c r="AJ412">
        <v>86.056002296966795</v>
      </c>
      <c r="AK412">
        <v>0.51105208548551095</v>
      </c>
      <c r="AL412">
        <v>81.517380225513705</v>
      </c>
      <c r="AM412">
        <v>88.7824889051073</v>
      </c>
      <c r="AN412">
        <v>1.0000000398243001</v>
      </c>
    </row>
    <row r="413" spans="1:40" x14ac:dyDescent="0.25">
      <c r="A413" t="str">
        <f>"20190303162219422"</f>
        <v>20190303162219422</v>
      </c>
      <c r="B413" t="str">
        <f>"1551601339414600"</f>
        <v>1551601339414600</v>
      </c>
      <c r="C413" t="s">
        <v>40</v>
      </c>
      <c r="D413">
        <v>5.3148710000000001</v>
      </c>
      <c r="E413">
        <v>0.47457559999999899</v>
      </c>
      <c r="F413" t="s">
        <v>42</v>
      </c>
      <c r="G413">
        <v>-415.62990000000002</v>
      </c>
      <c r="H413">
        <v>0.98101879999999997</v>
      </c>
      <c r="I413">
        <v>367.46710000000002</v>
      </c>
      <c r="J413">
        <v>-416.18079999999998</v>
      </c>
      <c r="K413">
        <v>1.0702430000000001</v>
      </c>
      <c r="L413">
        <v>367.44929999999999</v>
      </c>
      <c r="M413">
        <v>0.99988549999999998</v>
      </c>
      <c r="N413">
        <v>-8.1514659999999996E-3</v>
      </c>
      <c r="O413">
        <v>-1.275716E-2</v>
      </c>
      <c r="P413">
        <v>0.98964459999999999</v>
      </c>
      <c r="Q413">
        <v>0.13959589999999999</v>
      </c>
      <c r="R413">
        <v>-3.3416649999999999E-2</v>
      </c>
      <c r="S413">
        <v>3.0854490000000001</v>
      </c>
      <c r="T413">
        <v>-0.3686526</v>
      </c>
      <c r="U413">
        <v>6.4086909999999997E-2</v>
      </c>
      <c r="V413">
        <v>2.081496E-2</v>
      </c>
      <c r="W413">
        <v>0.14765710000000001</v>
      </c>
      <c r="X413">
        <v>0.98881949999999996</v>
      </c>
      <c r="Y413">
        <v>-3.3188420000000003E-2</v>
      </c>
      <c r="Z413">
        <v>3.5263099999999999E-3</v>
      </c>
      <c r="AA413">
        <v>0.99944290000000002</v>
      </c>
      <c r="AB413">
        <v>20</v>
      </c>
      <c r="AC413">
        <v>0.55089999999995598</v>
      </c>
      <c r="AD413">
        <v>-8.9224200000000004E-2</v>
      </c>
      <c r="AE413">
        <v>1.7800000000022399E-2</v>
      </c>
      <c r="AF413">
        <v>-2.4192758025634201E-2</v>
      </c>
      <c r="AG413">
        <v>-8.9224200000000004E-2</v>
      </c>
      <c r="AH413">
        <v>0.53656788856664595</v>
      </c>
      <c r="AI413">
        <v>99.431739117808604</v>
      </c>
      <c r="AJ413">
        <v>92.581602058040005</v>
      </c>
      <c r="AK413">
        <v>0.54447345798247704</v>
      </c>
      <c r="AL413">
        <v>81.508823113704906</v>
      </c>
      <c r="AM413">
        <v>88.794084005303304</v>
      </c>
      <c r="AN413">
        <v>0.99999994266022896</v>
      </c>
    </row>
    <row r="414" spans="1:40" x14ac:dyDescent="0.25">
      <c r="A414" t="str">
        <f>"20190303162219490"</f>
        <v>20190303162219490</v>
      </c>
      <c r="B414" t="str">
        <f>"1551601339484871"</f>
        <v>1551601339484871</v>
      </c>
      <c r="C414" t="s">
        <v>40</v>
      </c>
      <c r="D414">
        <v>6.7330539999999903</v>
      </c>
      <c r="E414">
        <v>0.46383459999999899</v>
      </c>
      <c r="F414" t="s">
        <v>42</v>
      </c>
      <c r="G414">
        <v>-415.46980000000002</v>
      </c>
      <c r="H414">
        <v>0.94303419999999905</v>
      </c>
      <c r="I414">
        <v>367.46980000000002</v>
      </c>
      <c r="J414">
        <v>-415.5557</v>
      </c>
      <c r="K414">
        <v>1.070219</v>
      </c>
      <c r="L414">
        <v>367.4409</v>
      </c>
      <c r="M414">
        <v>0.99988129999999997</v>
      </c>
      <c r="N414">
        <v>-8.1883310000000001E-3</v>
      </c>
      <c r="O414">
        <v>-1.30706E-2</v>
      </c>
      <c r="P414">
        <v>0.99017690000000003</v>
      </c>
      <c r="Q414">
        <v>0.136258399999999</v>
      </c>
      <c r="R414">
        <v>-3.136589E-2</v>
      </c>
      <c r="S414">
        <v>3.1130680000000002</v>
      </c>
      <c r="T414">
        <v>-0.55717209999999995</v>
      </c>
      <c r="U414">
        <v>9.0911870000000006E-2</v>
      </c>
      <c r="V414">
        <v>1.8446799999999999E-2</v>
      </c>
      <c r="W414">
        <v>0.1443615</v>
      </c>
      <c r="X414">
        <v>0.98935309999999999</v>
      </c>
      <c r="Y414">
        <v>-4.1377280000000002E-2</v>
      </c>
      <c r="Z414">
        <v>6.0580030000000002E-3</v>
      </c>
      <c r="AA414">
        <v>0.99912520000000005</v>
      </c>
      <c r="AB414">
        <v>20</v>
      </c>
      <c r="AC414">
        <v>8.5899999999980894E-2</v>
      </c>
      <c r="AD414">
        <v>-0.12718479999999999</v>
      </c>
      <c r="AE414">
        <v>2.8900000000021402E-2</v>
      </c>
      <c r="AF414">
        <v>-1.0110196094783501E-2</v>
      </c>
      <c r="AG414">
        <v>-0.12718479999999999</v>
      </c>
      <c r="AH414">
        <v>2.8799563826668699E-2</v>
      </c>
      <c r="AI414">
        <v>166.505000222821</v>
      </c>
      <c r="AJ414">
        <v>109.343817261545</v>
      </c>
      <c r="AK414">
        <v>0.130796040814396</v>
      </c>
      <c r="AL414">
        <v>81.699693525228199</v>
      </c>
      <c r="AM414">
        <v>88.931825925445906</v>
      </c>
      <c r="AN414">
        <v>1.00000004179604</v>
      </c>
    </row>
    <row r="415" spans="1:40" x14ac:dyDescent="0.25">
      <c r="A415" t="str">
        <f>"20190303162219512"</f>
        <v>20190303162219512</v>
      </c>
      <c r="B415" t="str">
        <f>"1551601339504391"</f>
        <v>1551601339504391</v>
      </c>
      <c r="C415" t="s">
        <v>40</v>
      </c>
      <c r="D415">
        <v>5.4563240000000004</v>
      </c>
      <c r="E415">
        <v>0.46179540000000002</v>
      </c>
      <c r="F415" t="s">
        <v>42</v>
      </c>
      <c r="G415">
        <v>-414.81099999999998</v>
      </c>
      <c r="H415">
        <v>0.77734539999999996</v>
      </c>
      <c r="I415">
        <v>367.48149999999998</v>
      </c>
      <c r="J415">
        <v>-415.36020000000002</v>
      </c>
      <c r="K415">
        <v>1.070211</v>
      </c>
      <c r="L415">
        <v>367.43830000000003</v>
      </c>
      <c r="M415">
        <v>0.99987979999999999</v>
      </c>
      <c r="N415">
        <v>-8.1993159999999999E-3</v>
      </c>
      <c r="O415">
        <v>-1.3169109999999999E-2</v>
      </c>
      <c r="P415">
        <v>0.99032659999999995</v>
      </c>
      <c r="Q415">
        <v>0.13527149999999999</v>
      </c>
      <c r="R415">
        <v>-3.0907670000000002E-2</v>
      </c>
      <c r="S415">
        <v>3.209076</v>
      </c>
      <c r="T415">
        <v>-1.2619670000000001</v>
      </c>
      <c r="U415">
        <v>0.1763306</v>
      </c>
      <c r="V415">
        <v>1.788899E-2</v>
      </c>
      <c r="W415">
        <v>0.14338619999999999</v>
      </c>
      <c r="X415">
        <v>0.98950510000000003</v>
      </c>
      <c r="Y415">
        <v>-6.2333079999999999E-2</v>
      </c>
      <c r="Z415">
        <v>1.695843E-2</v>
      </c>
      <c r="AA415">
        <v>0.99791129999999995</v>
      </c>
      <c r="AB415">
        <v>20</v>
      </c>
      <c r="AC415">
        <v>0.54920000000004099</v>
      </c>
      <c r="AD415">
        <v>-0.292865599999999</v>
      </c>
      <c r="AE415">
        <v>4.31999999999561E-2</v>
      </c>
      <c r="AF415">
        <v>-3.9317277707155103E-2</v>
      </c>
      <c r="AG415">
        <v>-0.292865599999999</v>
      </c>
      <c r="AH415">
        <v>0.42770668008806501</v>
      </c>
      <c r="AI415">
        <v>124.288503616702</v>
      </c>
      <c r="AJ415">
        <v>95.252199111272205</v>
      </c>
      <c r="AK415">
        <v>0.519854895313698</v>
      </c>
      <c r="AL415">
        <v>81.756161082868203</v>
      </c>
      <c r="AM415">
        <v>88.964278221325003</v>
      </c>
      <c r="AN415">
        <v>0.99999998061983397</v>
      </c>
    </row>
    <row r="416" spans="1:40" x14ac:dyDescent="0.25">
      <c r="A416" t="str">
        <f>"20190303162219534"</f>
        <v>20190303162219534</v>
      </c>
      <c r="B416" t="str">
        <f>"1551601339524888"</f>
        <v>1551601339524888</v>
      </c>
      <c r="C416" t="s">
        <v>40</v>
      </c>
      <c r="D416">
        <v>5.6458810000000001</v>
      </c>
      <c r="E416">
        <v>0.4876048</v>
      </c>
      <c r="F416" t="s">
        <v>42</v>
      </c>
      <c r="G416">
        <v>-414.61689999999999</v>
      </c>
      <c r="H416">
        <v>0.80066419999999905</v>
      </c>
      <c r="I416">
        <v>367.48329999999999</v>
      </c>
      <c r="J416">
        <v>-415.15480000000002</v>
      </c>
      <c r="K416">
        <v>1.0702039999999999</v>
      </c>
      <c r="L416">
        <v>367.43549999999999</v>
      </c>
      <c r="M416">
        <v>0.99987820000000005</v>
      </c>
      <c r="N416">
        <v>-8.2105960000000006E-3</v>
      </c>
      <c r="O416">
        <v>-1.327215E-2</v>
      </c>
      <c r="P416">
        <v>0.99054260000000005</v>
      </c>
      <c r="Q416">
        <v>0.13375139999999999</v>
      </c>
      <c r="R416">
        <v>-3.0592620000000001E-2</v>
      </c>
      <c r="S416">
        <v>3.1935120000000001</v>
      </c>
      <c r="T416">
        <v>-1.1580619999999999</v>
      </c>
      <c r="U416">
        <v>0.19406129999999999</v>
      </c>
      <c r="V416">
        <v>1.7468850000000001E-2</v>
      </c>
      <c r="W416">
        <v>0.1418797</v>
      </c>
      <c r="X416">
        <v>0.98972979999999999</v>
      </c>
      <c r="Y416">
        <v>-6.8629560000000006E-2</v>
      </c>
      <c r="Z416">
        <v>1.6895219999999999E-2</v>
      </c>
      <c r="AA416">
        <v>0.99749920000000003</v>
      </c>
      <c r="AB416">
        <v>20</v>
      </c>
      <c r="AC416">
        <v>0.53790000000003602</v>
      </c>
      <c r="AD416">
        <v>-0.2695398</v>
      </c>
      <c r="AE416">
        <v>4.7799999999995103E-2</v>
      </c>
      <c r="AF416">
        <v>-4.3978692697058501E-2</v>
      </c>
      <c r="AG416">
        <v>-0.2695398</v>
      </c>
      <c r="AH416">
        <v>0.430073762485712</v>
      </c>
      <c r="AI416">
        <v>121.942628413739</v>
      </c>
      <c r="AJ416">
        <v>95.838684907560804</v>
      </c>
      <c r="AK416">
        <v>0.50945978288182703</v>
      </c>
      <c r="AL416">
        <v>81.843369343966302</v>
      </c>
      <c r="AM416">
        <v>88.988827594603293</v>
      </c>
      <c r="AN416">
        <v>1.0000000435002201</v>
      </c>
    </row>
    <row r="417" spans="1:40" x14ac:dyDescent="0.25">
      <c r="A417" t="str">
        <f>"20190303162219556"</f>
        <v>20190303162219556</v>
      </c>
      <c r="B417" t="str">
        <f>"1551601339544408"</f>
        <v>1551601339544408</v>
      </c>
      <c r="C417" t="s">
        <v>40</v>
      </c>
      <c r="D417">
        <v>5.7569520000000001</v>
      </c>
      <c r="E417">
        <v>0.48693700000000001</v>
      </c>
      <c r="F417" t="s">
        <v>43</v>
      </c>
      <c r="G417">
        <v>-400.79239999999999</v>
      </c>
      <c r="H417">
        <v>-0.05</v>
      </c>
      <c r="I417">
        <v>367.43549999999999</v>
      </c>
      <c r="J417">
        <v>-414.9554</v>
      </c>
      <c r="K417">
        <v>1.0702039999999999</v>
      </c>
      <c r="L417">
        <v>367.43270000000001</v>
      </c>
      <c r="M417">
        <v>0.99987689999999996</v>
      </c>
      <c r="N417">
        <v>-8.2213470000000004E-3</v>
      </c>
      <c r="O417">
        <v>-1.337234E-2</v>
      </c>
      <c r="P417">
        <v>0.9907241</v>
      </c>
      <c r="Q417">
        <v>0.13247429999999999</v>
      </c>
      <c r="R417">
        <v>-3.027765E-2</v>
      </c>
      <c r="S417">
        <v>3.0609130000000002</v>
      </c>
      <c r="T417">
        <v>-0.23873720000000001</v>
      </c>
      <c r="U417">
        <v>0</v>
      </c>
      <c r="V417">
        <v>1.7052109999999999E-2</v>
      </c>
      <c r="W417">
        <v>0.14061460000000001</v>
      </c>
      <c r="X417">
        <v>0.98991759999999995</v>
      </c>
      <c r="Y417">
        <v>-1.3295639999999999E-2</v>
      </c>
      <c r="Z417">
        <v>1.5040429999999901E-3</v>
      </c>
      <c r="AA417">
        <v>0.99991050000000004</v>
      </c>
      <c r="AB417">
        <v>21</v>
      </c>
      <c r="AC417">
        <v>14.163</v>
      </c>
      <c r="AD417">
        <v>-1.120204</v>
      </c>
      <c r="AE417">
        <v>2.7999999999792601E-3</v>
      </c>
      <c r="AF417">
        <v>-0.19100369733050901</v>
      </c>
      <c r="AG417">
        <v>-1.120204</v>
      </c>
      <c r="AH417">
        <v>14.073653966274</v>
      </c>
      <c r="AI417">
        <v>94.550492566761903</v>
      </c>
      <c r="AJ417">
        <v>90.777554565149003</v>
      </c>
      <c r="AK417">
        <v>14.119457332930001</v>
      </c>
      <c r="AL417">
        <v>81.916588335692495</v>
      </c>
      <c r="AM417">
        <v>89.013132692782406</v>
      </c>
      <c r="AN417">
        <v>1.0000000474891799</v>
      </c>
    </row>
    <row r="418" spans="1:40" x14ac:dyDescent="0.25">
      <c r="A418" t="str">
        <f>"20190303162219579"</f>
        <v>20190303162219579</v>
      </c>
      <c r="B418" t="str">
        <f>"1551601339574664"</f>
        <v>1551601339574664</v>
      </c>
      <c r="C418" t="s">
        <v>40</v>
      </c>
      <c r="D418">
        <v>6.292745</v>
      </c>
      <c r="E418">
        <v>0.48416439999999999</v>
      </c>
      <c r="F418" t="s">
        <v>41</v>
      </c>
      <c r="G418">
        <v>-393.8843</v>
      </c>
      <c r="H418" s="1">
        <v>-2.9845960000000001E-6</v>
      </c>
      <c r="I418">
        <v>367.48160000000001</v>
      </c>
      <c r="J418">
        <v>-414.73700000000002</v>
      </c>
      <c r="K418">
        <v>1.0701989999999999</v>
      </c>
      <c r="L418">
        <v>367.42970000000003</v>
      </c>
      <c r="M418">
        <v>0.99987530000000002</v>
      </c>
      <c r="N418">
        <v>-8.2329459999999997E-3</v>
      </c>
      <c r="O418">
        <v>-1.348182E-2</v>
      </c>
      <c r="P418">
        <v>0.99078650000000001</v>
      </c>
      <c r="Q418">
        <v>0.13214409999999999</v>
      </c>
      <c r="R418">
        <v>-2.9672009999999999E-2</v>
      </c>
      <c r="S418">
        <v>3.04895</v>
      </c>
      <c r="T418">
        <v>-0.1548562</v>
      </c>
      <c r="U418">
        <v>7.0800780000000001E-3</v>
      </c>
      <c r="V418">
        <v>1.633714E-2</v>
      </c>
      <c r="W418">
        <v>0.14029639999999999</v>
      </c>
      <c r="X418">
        <v>0.98997469999999999</v>
      </c>
      <c r="Y418">
        <v>-1.5768339999999999E-2</v>
      </c>
      <c r="Z418">
        <v>1.038487E-3</v>
      </c>
      <c r="AA418">
        <v>0.99987510000000002</v>
      </c>
      <c r="AB418">
        <v>21</v>
      </c>
      <c r="AC418">
        <v>20.852699999999899</v>
      </c>
      <c r="AD418">
        <v>-1.07020198459599</v>
      </c>
      <c r="AE418">
        <v>5.1899999999989101E-2</v>
      </c>
      <c r="AF418">
        <v>-0.332162244898699</v>
      </c>
      <c r="AG418">
        <v>-1.07020198459599</v>
      </c>
      <c r="AH418">
        <v>20.795331520883298</v>
      </c>
      <c r="AI418">
        <v>92.945671201384897</v>
      </c>
      <c r="AJ418">
        <v>90.915103298348797</v>
      </c>
      <c r="AK418">
        <v>20.825500644839501</v>
      </c>
      <c r="AL418">
        <v>81.935001552986805</v>
      </c>
      <c r="AM418">
        <v>89.054557442596803</v>
      </c>
      <c r="AN418">
        <v>0.99999994431821304</v>
      </c>
    </row>
    <row r="419" spans="1:40" x14ac:dyDescent="0.25">
      <c r="A419" t="str">
        <f>"20190303162219601"</f>
        <v>20190303162219601</v>
      </c>
      <c r="B419" t="str">
        <f>"1551601339595160"</f>
        <v>1551601339595160</v>
      </c>
      <c r="C419" t="s">
        <v>40</v>
      </c>
      <c r="D419">
        <v>5.528346</v>
      </c>
      <c r="E419">
        <v>0.48093649999999999</v>
      </c>
      <c r="F419" t="s">
        <v>41</v>
      </c>
      <c r="G419">
        <v>-382.56439999999998</v>
      </c>
      <c r="H419" s="1">
        <v>-3.5007490000000001E-6</v>
      </c>
      <c r="I419">
        <v>367.76389999999998</v>
      </c>
      <c r="J419">
        <v>-414.52969999999999</v>
      </c>
      <c r="K419">
        <v>1.070198</v>
      </c>
      <c r="L419">
        <v>367.42669999999998</v>
      </c>
      <c r="M419">
        <v>0.99987380000000003</v>
      </c>
      <c r="N419">
        <v>-8.24393E-3</v>
      </c>
      <c r="O419">
        <v>-1.358582E-2</v>
      </c>
      <c r="P419">
        <v>0.99078840000000001</v>
      </c>
      <c r="Q419">
        <v>0.13217479999999901</v>
      </c>
      <c r="R419">
        <v>-2.9472600000000002E-2</v>
      </c>
      <c r="S419">
        <v>3.042389</v>
      </c>
      <c r="T419">
        <v>-0.101203</v>
      </c>
      <c r="U419">
        <v>3.1616209999999999E-2</v>
      </c>
      <c r="V419">
        <v>1.6034860000000001E-2</v>
      </c>
      <c r="W419">
        <v>0.1403374</v>
      </c>
      <c r="X419">
        <v>0.98997389999999996</v>
      </c>
      <c r="Y419">
        <v>-2.395514E-2</v>
      </c>
      <c r="Z419">
        <v>8.3689210000000003E-4</v>
      </c>
      <c r="AA419">
        <v>0.99971270000000001</v>
      </c>
      <c r="AB419">
        <v>21</v>
      </c>
      <c r="AC419">
        <v>31.965299999999999</v>
      </c>
      <c r="AD419">
        <v>-1.070201500749</v>
      </c>
      <c r="AE419">
        <v>0.337199999999995</v>
      </c>
      <c r="AF419">
        <v>-0.77059473717834603</v>
      </c>
      <c r="AG419">
        <v>-1.070201500749</v>
      </c>
      <c r="AH419">
        <v>31.921990452754599</v>
      </c>
      <c r="AI419">
        <v>91.919593124844098</v>
      </c>
      <c r="AJ419">
        <v>91.382847755871495</v>
      </c>
      <c r="AK419">
        <v>31.949219426567002</v>
      </c>
      <c r="AL419">
        <v>81.932629507665197</v>
      </c>
      <c r="AM419">
        <v>89.072046775702006</v>
      </c>
      <c r="AN419">
        <v>1.0000000126275901</v>
      </c>
    </row>
    <row r="420" spans="1:40" x14ac:dyDescent="0.25">
      <c r="A420" t="str">
        <f>"20190303162219615"</f>
        <v>20190303162219615</v>
      </c>
      <c r="B420" t="str">
        <f>"1551601339604919"</f>
        <v>1551601339604919</v>
      </c>
      <c r="C420" t="s">
        <v>40</v>
      </c>
      <c r="D420">
        <v>5.9311800000000003</v>
      </c>
      <c r="E420">
        <v>0.47850470000000001</v>
      </c>
      <c r="F420" t="s">
        <v>41</v>
      </c>
      <c r="G420">
        <v>-378.75869999999998</v>
      </c>
      <c r="H420" s="1">
        <v>-8.1070449999999899E-7</v>
      </c>
      <c r="I420">
        <v>368.1046</v>
      </c>
      <c r="J420">
        <v>-414.4067</v>
      </c>
      <c r="K420">
        <v>1.0702050000000001</v>
      </c>
      <c r="L420">
        <v>367.42500000000001</v>
      </c>
      <c r="M420">
        <v>0.99987280000000001</v>
      </c>
      <c r="N420">
        <v>-8.2502809999999999E-3</v>
      </c>
      <c r="O420">
        <v>-1.364772E-2</v>
      </c>
      <c r="P420">
        <v>0.99081770000000002</v>
      </c>
      <c r="Q420">
        <v>0.13199</v>
      </c>
      <c r="R420">
        <v>-2.930694E-2</v>
      </c>
      <c r="S420">
        <v>3.0417480000000001</v>
      </c>
      <c r="T420">
        <v>-9.1003180000000003E-2</v>
      </c>
      <c r="U420">
        <v>5.7647709999999998E-2</v>
      </c>
      <c r="V420">
        <v>1.5807499999999999E-2</v>
      </c>
      <c r="W420">
        <v>0.14015949999999999</v>
      </c>
      <c r="X420">
        <v>0.99000279999999996</v>
      </c>
      <c r="Y420">
        <v>-3.257094E-2</v>
      </c>
      <c r="Z420">
        <v>9.1710789999999999E-4</v>
      </c>
      <c r="AA420">
        <v>0.99946900000000005</v>
      </c>
      <c r="AB420">
        <v>21</v>
      </c>
      <c r="AC420">
        <v>35.648000000000003</v>
      </c>
      <c r="AD420">
        <v>-1.0702058107044901</v>
      </c>
      <c r="AE420">
        <v>0.67959999999999299</v>
      </c>
      <c r="AF420">
        <v>-1.16501755992732</v>
      </c>
      <c r="AG420">
        <v>-1.0702058107044901</v>
      </c>
      <c r="AH420">
        <v>35.603327166158202</v>
      </c>
      <c r="AI420">
        <v>91.720823612238206</v>
      </c>
      <c r="AJ420">
        <v>91.874172603692102</v>
      </c>
      <c r="AK420">
        <v>35.638455517778901</v>
      </c>
      <c r="AL420">
        <v>81.942924505183697</v>
      </c>
      <c r="AM420">
        <v>89.085228772055501</v>
      </c>
      <c r="AN420">
        <v>1.00000005325216</v>
      </c>
    </row>
    <row r="421" spans="1:40" x14ac:dyDescent="0.25">
      <c r="A421" t="str">
        <f>"20190303162219635"</f>
        <v>20190303162219635</v>
      </c>
      <c r="B421" t="str">
        <f>"1551601339624440"</f>
        <v>1551601339624440</v>
      </c>
      <c r="C421" t="s">
        <v>40</v>
      </c>
      <c r="D421">
        <v>5.8199829999999997</v>
      </c>
      <c r="E421">
        <v>0.4785182</v>
      </c>
      <c r="F421" t="s">
        <v>41</v>
      </c>
      <c r="G421">
        <v>-388.17450000000002</v>
      </c>
      <c r="H421" s="1">
        <v>-1.036094E-6</v>
      </c>
      <c r="I421">
        <v>368.09050000000002</v>
      </c>
      <c r="J421">
        <v>-414.2183</v>
      </c>
      <c r="K421">
        <v>1.0702050000000001</v>
      </c>
      <c r="L421">
        <v>367.42239999999998</v>
      </c>
      <c r="M421">
        <v>0.99987159999999997</v>
      </c>
      <c r="N421">
        <v>-8.2599430000000005E-3</v>
      </c>
      <c r="O421">
        <v>-1.374217E-2</v>
      </c>
      <c r="P421">
        <v>0.99080029999999997</v>
      </c>
      <c r="Q421">
        <v>0.1319717</v>
      </c>
      <c r="R421">
        <v>-2.9976619999999999E-2</v>
      </c>
      <c r="S421">
        <v>3.0466000000000002</v>
      </c>
      <c r="T421">
        <v>-0.12429320000000001</v>
      </c>
      <c r="U421">
        <v>7.7301030000000007E-2</v>
      </c>
      <c r="V421">
        <v>1.6383789999999999E-2</v>
      </c>
      <c r="W421">
        <v>0.14015089999999999</v>
      </c>
      <c r="X421">
        <v>0.98999459999999995</v>
      </c>
      <c r="Y421">
        <v>-3.9054220000000001E-2</v>
      </c>
      <c r="Z421">
        <v>1.404476E-3</v>
      </c>
      <c r="AA421">
        <v>0.99923609999999896</v>
      </c>
      <c r="AB421">
        <v>21</v>
      </c>
      <c r="AC421">
        <v>26.043799999999901</v>
      </c>
      <c r="AD421">
        <v>-1.07020603609399</v>
      </c>
      <c r="AE421">
        <v>0.668100000000038</v>
      </c>
      <c r="AF421">
        <v>-1.0242190370113</v>
      </c>
      <c r="AG421">
        <v>-1.07020603609399</v>
      </c>
      <c r="AH421">
        <v>25.9883041909168</v>
      </c>
      <c r="AI421">
        <v>92.356297592209799</v>
      </c>
      <c r="AJ421">
        <v>92.256902698743403</v>
      </c>
      <c r="AK421">
        <v>26.030488284223399</v>
      </c>
      <c r="AL421">
        <v>81.943421775193201</v>
      </c>
      <c r="AM421">
        <v>89.051877319432805</v>
      </c>
      <c r="AN421">
        <v>1.0000000056873599</v>
      </c>
    </row>
    <row r="422" spans="1:40" x14ac:dyDescent="0.25">
      <c r="A422" t="str">
        <f>"20190303162219657"</f>
        <v>20190303162219657</v>
      </c>
      <c r="B422" t="str">
        <f>"1551601339644936"</f>
        <v>1551601339644936</v>
      </c>
      <c r="C422" t="s">
        <v>40</v>
      </c>
      <c r="D422">
        <v>5.8290800000000003</v>
      </c>
      <c r="E422">
        <v>0.47887489999999999</v>
      </c>
      <c r="F422" t="s">
        <v>41</v>
      </c>
      <c r="G422">
        <v>-386.35129999999998</v>
      </c>
      <c r="H422" s="1">
        <v>-1.8146599999999999E-6</v>
      </c>
      <c r="I422">
        <v>368.11059999999998</v>
      </c>
      <c r="J422">
        <v>-414.00979999999998</v>
      </c>
      <c r="K422">
        <v>1.0702020000000001</v>
      </c>
      <c r="L422">
        <v>367.41930000000002</v>
      </c>
      <c r="M422">
        <v>0.99987000000000004</v>
      </c>
      <c r="N422">
        <v>-8.2704030000000008E-3</v>
      </c>
      <c r="O422">
        <v>-1.384665E-2</v>
      </c>
      <c r="P422">
        <v>0.9907743</v>
      </c>
      <c r="Q422">
        <v>0.13209849999999901</v>
      </c>
      <c r="R422">
        <v>-3.0273370000000001E-2</v>
      </c>
      <c r="S422">
        <v>3.045715</v>
      </c>
      <c r="T422">
        <v>-0.1169679</v>
      </c>
      <c r="U422">
        <v>7.5225829999999994E-2</v>
      </c>
      <c r="V422">
        <v>1.6577649999999999E-2</v>
      </c>
      <c r="W422">
        <v>0.14028740000000001</v>
      </c>
      <c r="X422">
        <v>0.98997210000000002</v>
      </c>
      <c r="Y422">
        <v>-3.8491150000000002E-2</v>
      </c>
      <c r="Z422">
        <v>1.315025E-3</v>
      </c>
      <c r="AA422">
        <v>0.99925810000000004</v>
      </c>
      <c r="AB422">
        <v>21</v>
      </c>
      <c r="AC422">
        <v>27.6585</v>
      </c>
      <c r="AD422">
        <v>-1.0702038146599999</v>
      </c>
      <c r="AE422">
        <v>0.69129999999995495</v>
      </c>
      <c r="AF422">
        <v>-1.0726194521983199</v>
      </c>
      <c r="AG422">
        <v>-1.0702038146599999</v>
      </c>
      <c r="AH422">
        <v>27.6049717249564</v>
      </c>
      <c r="AI422">
        <v>92.218488126680995</v>
      </c>
      <c r="AJ422">
        <v>92.225166806335096</v>
      </c>
      <c r="AK422">
        <v>27.646524422245001</v>
      </c>
      <c r="AL422">
        <v>81.935523353022802</v>
      </c>
      <c r="AM422">
        <v>89.040639011651294</v>
      </c>
      <c r="AN422">
        <v>1.0000000659283399</v>
      </c>
    </row>
    <row r="423" spans="1:40" x14ac:dyDescent="0.25">
      <c r="A423" t="str">
        <f>"20190303162219692"</f>
        <v>20190303162219692</v>
      </c>
      <c r="B423" t="str">
        <f>"1551601339684952"</f>
        <v>1551601339684952</v>
      </c>
      <c r="C423" t="s">
        <v>40</v>
      </c>
      <c r="D423">
        <v>4.9987300000000001</v>
      </c>
      <c r="E423">
        <v>0.47882409999999997</v>
      </c>
      <c r="F423" t="s">
        <v>41</v>
      </c>
      <c r="G423">
        <v>-384.90390000000002</v>
      </c>
      <c r="H423" s="1">
        <v>-2.4367919999999999E-6</v>
      </c>
      <c r="I423">
        <v>368.10390000000001</v>
      </c>
      <c r="J423">
        <v>-413.68599999999998</v>
      </c>
      <c r="K423">
        <v>1.070206</v>
      </c>
      <c r="L423">
        <v>367.41469999999998</v>
      </c>
      <c r="M423">
        <v>0.99986759999999997</v>
      </c>
      <c r="N423">
        <v>-8.2865950000000008E-3</v>
      </c>
      <c r="O423">
        <v>-1.400884E-2</v>
      </c>
      <c r="P423">
        <v>0.99079439999999996</v>
      </c>
      <c r="Q423">
        <v>0.13196250000000001</v>
      </c>
      <c r="R423">
        <v>-3.0206429999999999E-2</v>
      </c>
      <c r="S423">
        <v>3.0450740000000001</v>
      </c>
      <c r="T423">
        <v>-0.1119652</v>
      </c>
      <c r="U423">
        <v>7.1624759999999996E-2</v>
      </c>
      <c r="V423">
        <v>1.6349740000000001E-2</v>
      </c>
      <c r="W423">
        <v>0.14016799999999999</v>
      </c>
      <c r="X423">
        <v>0.98999269999999995</v>
      </c>
      <c r="Y423">
        <v>-3.7481449999999999E-2</v>
      </c>
      <c r="Z423">
        <v>1.2429590000000001E-3</v>
      </c>
      <c r="AA423">
        <v>0.99929650000000003</v>
      </c>
      <c r="AB423">
        <v>21</v>
      </c>
      <c r="AC423">
        <v>28.7820999999999</v>
      </c>
      <c r="AD423">
        <v>-1.070208436792</v>
      </c>
      <c r="AE423">
        <v>0.68920000000002801</v>
      </c>
      <c r="AF423">
        <v>-1.09084269807349</v>
      </c>
      <c r="AG423">
        <v>-1.070208436792</v>
      </c>
      <c r="AH423">
        <v>28.729921444747099</v>
      </c>
      <c r="AI423">
        <v>92.131784375147305</v>
      </c>
      <c r="AJ423">
        <v>92.174411593499698</v>
      </c>
      <c r="AK423">
        <v>28.770534755396199</v>
      </c>
      <c r="AL423">
        <v>81.942431912695099</v>
      </c>
      <c r="AM423">
        <v>89.053845603764401</v>
      </c>
      <c r="AN423">
        <v>0.999999964137678</v>
      </c>
    </row>
    <row r="424" spans="1:40" x14ac:dyDescent="0.25">
      <c r="A424" t="str">
        <f>"20190303162219714"</f>
        <v>20190303162219714</v>
      </c>
      <c r="B424" t="str">
        <f>"1551601339704472"</f>
        <v>1551601339704472</v>
      </c>
      <c r="C424" t="s">
        <v>40</v>
      </c>
      <c r="D424">
        <v>5.8300530000000004</v>
      </c>
      <c r="E424">
        <v>0.47903420000000002</v>
      </c>
      <c r="F424" t="s">
        <v>41</v>
      </c>
      <c r="G424">
        <v>-385.00619999999998</v>
      </c>
      <c r="H424" s="1">
        <v>-2.3957370000000002E-6</v>
      </c>
      <c r="I424">
        <v>368.08800000000002</v>
      </c>
      <c r="J424">
        <v>-413.47899999999998</v>
      </c>
      <c r="K424">
        <v>1.0702069999999999</v>
      </c>
      <c r="L424">
        <v>367.4117</v>
      </c>
      <c r="M424">
        <v>0.99986609999999998</v>
      </c>
      <c r="N424">
        <v>-8.2968680000000006E-3</v>
      </c>
      <c r="O424">
        <v>-1.411272E-2</v>
      </c>
      <c r="P424">
        <v>0.99085350000000005</v>
      </c>
      <c r="Q424">
        <v>0.1313645</v>
      </c>
      <c r="R424">
        <v>-3.0864450000000002E-2</v>
      </c>
      <c r="S424">
        <v>3.0451969999999999</v>
      </c>
      <c r="T424">
        <v>-0.11363330000000001</v>
      </c>
      <c r="U424">
        <v>7.1502689999999994E-2</v>
      </c>
      <c r="V424">
        <v>1.6904019999999999E-2</v>
      </c>
      <c r="W424">
        <v>0.13958010000000001</v>
      </c>
      <c r="X424">
        <v>0.99006649999999996</v>
      </c>
      <c r="Y424">
        <v>-3.7543130000000001E-2</v>
      </c>
      <c r="Z424">
        <v>1.2653009999999999E-3</v>
      </c>
      <c r="AA424">
        <v>0.99929420000000002</v>
      </c>
      <c r="AB424">
        <v>21</v>
      </c>
      <c r="AC424">
        <v>28.472799999999999</v>
      </c>
      <c r="AD424">
        <v>-1.07020939573699</v>
      </c>
      <c r="AE424">
        <v>0.67630000000002599</v>
      </c>
      <c r="AF424">
        <v>-1.0765549962149501</v>
      </c>
      <c r="AG424">
        <v>-1.07020939573699</v>
      </c>
      <c r="AH424">
        <v>28.420290236339302</v>
      </c>
      <c r="AI424">
        <v>92.154996988473101</v>
      </c>
      <c r="AJ424">
        <v>92.169315670286196</v>
      </c>
      <c r="AK424">
        <v>28.4608013929398</v>
      </c>
      <c r="AL424">
        <v>81.976450919020905</v>
      </c>
      <c r="AM424">
        <v>89.021848625547804</v>
      </c>
      <c r="AN424">
        <v>1.00000001231521</v>
      </c>
    </row>
    <row r="425" spans="1:40" x14ac:dyDescent="0.25">
      <c r="A425" t="str">
        <f>"20190303162219734"</f>
        <v>20190303162219734</v>
      </c>
      <c r="B425" t="str">
        <f>"1551601339724971"</f>
        <v>1551601339724971</v>
      </c>
      <c r="C425" t="s">
        <v>40</v>
      </c>
      <c r="D425">
        <v>5.8255589999999904</v>
      </c>
      <c r="E425">
        <v>0.47950710000000002</v>
      </c>
      <c r="F425" t="s">
        <v>41</v>
      </c>
      <c r="G425">
        <v>-385.30380000000002</v>
      </c>
      <c r="H425" s="1">
        <v>-2.2763390000000001E-6</v>
      </c>
      <c r="I425">
        <v>368.04129999999998</v>
      </c>
      <c r="J425">
        <v>-413.27949999999998</v>
      </c>
      <c r="K425">
        <v>1.0702</v>
      </c>
      <c r="L425">
        <v>367.40870000000001</v>
      </c>
      <c r="M425">
        <v>0.99986450000000004</v>
      </c>
      <c r="N425">
        <v>-8.3067269999999999E-3</v>
      </c>
      <c r="O425">
        <v>-1.421266E-2</v>
      </c>
      <c r="P425">
        <v>0.99091779999999996</v>
      </c>
      <c r="Q425">
        <v>0.13091739999999999</v>
      </c>
      <c r="R425">
        <v>-3.070239E-2</v>
      </c>
      <c r="S425">
        <v>3.0451350000000001</v>
      </c>
      <c r="T425">
        <v>-0.1156664</v>
      </c>
      <c r="U425">
        <v>6.8054199999999995E-2</v>
      </c>
      <c r="V425">
        <v>1.6641880000000001E-2</v>
      </c>
      <c r="W425">
        <v>0.13914379999999901</v>
      </c>
      <c r="X425">
        <v>0.99013229999999997</v>
      </c>
      <c r="Y425">
        <v>-3.6511929999999998E-2</v>
      </c>
      <c r="Z425">
        <v>1.2664200000000001E-3</v>
      </c>
      <c r="AA425">
        <v>0.99933240000000001</v>
      </c>
      <c r="AB425">
        <v>21</v>
      </c>
      <c r="AC425">
        <v>27.9756999999999</v>
      </c>
      <c r="AD425">
        <v>-1.070202276339</v>
      </c>
      <c r="AE425">
        <v>0.63259999999996797</v>
      </c>
      <c r="AF425">
        <v>-1.0286543399721999</v>
      </c>
      <c r="AG425">
        <v>-1.070202276339</v>
      </c>
      <c r="AH425">
        <v>27.9230405514853</v>
      </c>
      <c r="AI425">
        <v>92.193406241843206</v>
      </c>
      <c r="AJ425">
        <v>92.109759943657295</v>
      </c>
      <c r="AK425">
        <v>27.9624687090271</v>
      </c>
      <c r="AL425">
        <v>82.001694997560193</v>
      </c>
      <c r="AM425">
        <v>89.037078465577295</v>
      </c>
      <c r="AN425">
        <v>0.99999996037583105</v>
      </c>
    </row>
    <row r="426" spans="1:40" x14ac:dyDescent="0.25">
      <c r="A426" t="str">
        <f>"20190303162219758"</f>
        <v>20190303162219758</v>
      </c>
      <c r="B426" t="str">
        <f>"1551601339744489"</f>
        <v>1551601339744489</v>
      </c>
      <c r="C426" t="s">
        <v>40</v>
      </c>
      <c r="D426">
        <v>5.8173830000000004</v>
      </c>
      <c r="E426">
        <v>0.4798365</v>
      </c>
      <c r="F426" t="s">
        <v>41</v>
      </c>
      <c r="G426">
        <v>-385.39490000000001</v>
      </c>
      <c r="H426" s="1">
        <v>-2.2438789999999999E-6</v>
      </c>
      <c r="I426">
        <v>368.00389999999999</v>
      </c>
      <c r="J426">
        <v>-413.06299999999999</v>
      </c>
      <c r="K426">
        <v>1.0702039999999999</v>
      </c>
      <c r="L426">
        <v>367.40550000000002</v>
      </c>
      <c r="M426">
        <v>0.99986299999999995</v>
      </c>
      <c r="N426">
        <v>-8.3173629999999995E-3</v>
      </c>
      <c r="O426">
        <v>-1.43213E-2</v>
      </c>
      <c r="P426">
        <v>0.99100109999999997</v>
      </c>
      <c r="Q426">
        <v>0.13020470000000001</v>
      </c>
      <c r="R426">
        <v>-3.1046549999999999E-2</v>
      </c>
      <c r="S426">
        <v>3.0449519999999999</v>
      </c>
      <c r="T426">
        <v>-0.1168643</v>
      </c>
      <c r="U426">
        <v>6.5002439999999995E-2</v>
      </c>
      <c r="V426">
        <v>1.6876950000000002E-2</v>
      </c>
      <c r="W426">
        <v>0.1384426</v>
      </c>
      <c r="X426">
        <v>0.99022659999999996</v>
      </c>
      <c r="Y426">
        <v>-3.5620720000000002E-2</v>
      </c>
      <c r="Z426">
        <v>1.261769E-3</v>
      </c>
      <c r="AA426">
        <v>0.99936460000000005</v>
      </c>
      <c r="AB426">
        <v>21</v>
      </c>
      <c r="AC426">
        <v>27.668099999999999</v>
      </c>
      <c r="AD426">
        <v>-1.0702062438789901</v>
      </c>
      <c r="AE426">
        <v>0.59839999999996896</v>
      </c>
      <c r="AF426">
        <v>-0.993110283789854</v>
      </c>
      <c r="AG426">
        <v>-1.0702062438789901</v>
      </c>
      <c r="AH426">
        <v>27.615394574701899</v>
      </c>
      <c r="AI426">
        <v>92.217896180941594</v>
      </c>
      <c r="AJ426">
        <v>92.059594588351302</v>
      </c>
      <c r="AK426">
        <v>27.653962228886499</v>
      </c>
      <c r="AL426">
        <v>82.042263381079493</v>
      </c>
      <c r="AM426">
        <v>89.023572591799294</v>
      </c>
      <c r="AN426">
        <v>0.99999995214181003</v>
      </c>
    </row>
    <row r="427" spans="1:40" x14ac:dyDescent="0.25">
      <c r="A427" t="str">
        <f>"20190303162219780"</f>
        <v>20190303162219780</v>
      </c>
      <c r="B427" t="str">
        <f>"1551601339774744"</f>
        <v>1551601339774744</v>
      </c>
      <c r="C427" t="s">
        <v>40</v>
      </c>
      <c r="D427">
        <v>5.8306570000000004</v>
      </c>
      <c r="E427">
        <v>0.4802999</v>
      </c>
      <c r="F427" t="s">
        <v>41</v>
      </c>
      <c r="G427">
        <v>-386.12479999999999</v>
      </c>
      <c r="H427" s="1">
        <v>-1.9412600000000001E-6</v>
      </c>
      <c r="I427">
        <v>367.94490000000002</v>
      </c>
      <c r="J427">
        <v>-412.84539999999998</v>
      </c>
      <c r="K427">
        <v>1.0702130000000001</v>
      </c>
      <c r="L427">
        <v>367.40230000000003</v>
      </c>
      <c r="M427">
        <v>0.99986120000000001</v>
      </c>
      <c r="N427">
        <v>-8.3280190000000007E-3</v>
      </c>
      <c r="O427">
        <v>-1.4429829999999999E-2</v>
      </c>
      <c r="P427">
        <v>0.99075000000000002</v>
      </c>
      <c r="Q427">
        <v>0.13215279999999999</v>
      </c>
      <c r="R427">
        <v>-3.0820549999999999E-2</v>
      </c>
      <c r="S427">
        <v>3.0450740000000001</v>
      </c>
      <c r="T427">
        <v>-0.1209749</v>
      </c>
      <c r="U427">
        <v>6.097412E-2</v>
      </c>
      <c r="V427">
        <v>1.6547719999999998E-2</v>
      </c>
      <c r="W427">
        <v>0.14039879999999999</v>
      </c>
      <c r="X427">
        <v>0.98995670000000002</v>
      </c>
      <c r="Y427">
        <v>-3.4405270000000002E-2</v>
      </c>
      <c r="Z427">
        <v>1.2793069999999999E-3</v>
      </c>
      <c r="AA427">
        <v>0.99940720000000005</v>
      </c>
      <c r="AB427">
        <v>21</v>
      </c>
      <c r="AC427">
        <v>26.720599999999902</v>
      </c>
      <c r="AD427">
        <v>-1.0702149412599999</v>
      </c>
      <c r="AE427">
        <v>0.54259999999999298</v>
      </c>
      <c r="AF427">
        <v>-0.92664471082448796</v>
      </c>
      <c r="AG427">
        <v>-1.0702149412599999</v>
      </c>
      <c r="AH427">
        <v>26.667226827647301</v>
      </c>
      <c r="AI427">
        <v>92.296788663525206</v>
      </c>
      <c r="AJ427">
        <v>91.9901385993074</v>
      </c>
      <c r="AK427">
        <v>26.704775174447501</v>
      </c>
      <c r="AL427">
        <v>81.9290759326949</v>
      </c>
      <c r="AM427">
        <v>89.042355865931995</v>
      </c>
      <c r="AN427">
        <v>0.99999995897676297</v>
      </c>
    </row>
    <row r="428" spans="1:40" x14ac:dyDescent="0.25">
      <c r="A428" t="str">
        <f>"20190303162219803"</f>
        <v>20190303162219803</v>
      </c>
      <c r="B428" t="str">
        <f>"1551601339795240"</f>
        <v>1551601339795240</v>
      </c>
      <c r="C428" t="s">
        <v>40</v>
      </c>
      <c r="D428">
        <v>5.8313090000000001</v>
      </c>
      <c r="E428">
        <v>0.48044930000000002</v>
      </c>
      <c r="F428" t="s">
        <v>41</v>
      </c>
      <c r="G428">
        <v>-384.52699999999999</v>
      </c>
      <c r="H428" s="1">
        <v>-2.6270279999999999E-6</v>
      </c>
      <c r="I428">
        <v>367.94279999999998</v>
      </c>
      <c r="J428">
        <v>-412.6311</v>
      </c>
      <c r="K428">
        <v>1.070227</v>
      </c>
      <c r="L428">
        <v>367.39909999999998</v>
      </c>
      <c r="M428">
        <v>0.99985950000000001</v>
      </c>
      <c r="N428">
        <v>-8.3384459999999994E-3</v>
      </c>
      <c r="O428">
        <v>-1.453729E-2</v>
      </c>
      <c r="P428">
        <v>0.99037149999999996</v>
      </c>
      <c r="Q428">
        <v>0.1349379</v>
      </c>
      <c r="R428">
        <v>-3.0924420000000001E-2</v>
      </c>
      <c r="S428">
        <v>3.0451969999999999</v>
      </c>
      <c r="T428">
        <v>-0.1150849</v>
      </c>
      <c r="U428">
        <v>5.8135989999999999E-2</v>
      </c>
      <c r="V428">
        <v>1.6551090000000001E-2</v>
      </c>
      <c r="W428">
        <v>0.14319129999999899</v>
      </c>
      <c r="X428">
        <v>0.98955660000000001</v>
      </c>
      <c r="Y428">
        <v>-3.3585129999999998E-2</v>
      </c>
      <c r="Z428">
        <v>1.2024259999999999E-3</v>
      </c>
      <c r="AA428">
        <v>0.99943510000000002</v>
      </c>
      <c r="AB428">
        <v>21</v>
      </c>
      <c r="AC428">
        <v>28.104099999999999</v>
      </c>
      <c r="AD428">
        <v>-1.0702296270280001</v>
      </c>
      <c r="AE428">
        <v>0.54370000000000096</v>
      </c>
      <c r="AF428">
        <v>-0.95083587825336002</v>
      </c>
      <c r="AG428">
        <v>-1.0702296270280001</v>
      </c>
      <c r="AH428">
        <v>28.052560422111199</v>
      </c>
      <c r="AI428">
        <v>92.183571603829293</v>
      </c>
      <c r="AJ428">
        <v>91.941285699473298</v>
      </c>
      <c r="AK428">
        <v>28.089065960941799</v>
      </c>
      <c r="AL428">
        <v>81.767444424553005</v>
      </c>
      <c r="AM428">
        <v>89.041773671030498</v>
      </c>
      <c r="AN428">
        <v>0.999999975789718</v>
      </c>
    </row>
    <row r="429" spans="1:40" x14ac:dyDescent="0.25">
      <c r="A429" t="str">
        <f>"20190303162219825"</f>
        <v>20190303162219825</v>
      </c>
      <c r="B429" t="str">
        <f>"1551601339814760"</f>
        <v>1551601339814760</v>
      </c>
      <c r="C429" t="s">
        <v>40</v>
      </c>
      <c r="D429">
        <v>5.8900069999999998</v>
      </c>
      <c r="E429">
        <v>0.48063600000000001</v>
      </c>
      <c r="F429" t="s">
        <v>41</v>
      </c>
      <c r="G429">
        <v>-382.12139999999999</v>
      </c>
      <c r="H429" s="1">
        <v>-3.6526949999999998E-6</v>
      </c>
      <c r="I429">
        <v>367.9787</v>
      </c>
      <c r="J429">
        <v>-412.41640000000001</v>
      </c>
      <c r="K429">
        <v>1.070235</v>
      </c>
      <c r="L429">
        <v>367.39580000000001</v>
      </c>
      <c r="M429">
        <v>0.99985809999999997</v>
      </c>
      <c r="N429">
        <v>-8.3488590000000001E-3</v>
      </c>
      <c r="O429">
        <v>-1.464438E-2</v>
      </c>
      <c r="P429">
        <v>0.98996600000000001</v>
      </c>
      <c r="Q429">
        <v>0.13784109999999999</v>
      </c>
      <c r="R429">
        <v>-3.110628E-2</v>
      </c>
      <c r="S429">
        <v>3.0455320000000001</v>
      </c>
      <c r="T429">
        <v>-0.106832</v>
      </c>
      <c r="U429">
        <v>5.7861330000000002E-2</v>
      </c>
      <c r="V429">
        <v>1.663338E-2</v>
      </c>
      <c r="W429">
        <v>0.14610100000000001</v>
      </c>
      <c r="X429">
        <v>0.98912979999999995</v>
      </c>
      <c r="Y429">
        <v>-3.3604729999999999E-2</v>
      </c>
      <c r="Z429">
        <v>1.120787E-3</v>
      </c>
      <c r="AA429">
        <v>0.99943459999999995</v>
      </c>
      <c r="AB429">
        <v>21</v>
      </c>
      <c r="AC429">
        <v>30.295000000000002</v>
      </c>
      <c r="AD429">
        <v>-1.0702386526950001</v>
      </c>
      <c r="AE429">
        <v>0.58289999999999498</v>
      </c>
      <c r="AF429">
        <v>-1.0252253371197999</v>
      </c>
      <c r="AG429">
        <v>-1.0702386526950001</v>
      </c>
      <c r="AH429">
        <v>30.245481788672699</v>
      </c>
      <c r="AI429">
        <v>92.025407646959096</v>
      </c>
      <c r="AJ429">
        <v>91.941400803666397</v>
      </c>
      <c r="AK429">
        <v>30.2817711898516</v>
      </c>
      <c r="AL429">
        <v>81.598958860745796</v>
      </c>
      <c r="AM429">
        <v>89.036594939119894</v>
      </c>
      <c r="AN429">
        <v>0.99999996638963096</v>
      </c>
    </row>
    <row r="430" spans="1:40" x14ac:dyDescent="0.25">
      <c r="A430" t="str">
        <f>"20190303162219858"</f>
        <v>20190303162219858</v>
      </c>
      <c r="B430" t="str">
        <f>"1551601339845016"</f>
        <v>1551601339845016</v>
      </c>
      <c r="C430" t="s">
        <v>40</v>
      </c>
      <c r="D430">
        <v>5.8826720000000003</v>
      </c>
      <c r="E430">
        <v>0.48076970000000002</v>
      </c>
      <c r="F430" t="s">
        <v>41</v>
      </c>
      <c r="G430">
        <v>-379.74630000000002</v>
      </c>
      <c r="H430" s="1">
        <v>-5.0455959999999999E-7</v>
      </c>
      <c r="I430">
        <v>367.99209999999999</v>
      </c>
      <c r="J430">
        <v>-412.0992</v>
      </c>
      <c r="K430">
        <v>1.0702179999999999</v>
      </c>
      <c r="L430">
        <v>367.39100000000002</v>
      </c>
      <c r="M430">
        <v>0.99985559999999996</v>
      </c>
      <c r="N430">
        <v>-8.364135E-3</v>
      </c>
      <c r="O430">
        <v>-1.4802269999999999E-2</v>
      </c>
      <c r="P430">
        <v>0.99020339999999996</v>
      </c>
      <c r="Q430">
        <v>0.13598370000000001</v>
      </c>
      <c r="R430">
        <v>-3.1714569999999997E-2</v>
      </c>
      <c r="S430">
        <v>3.0460210000000001</v>
      </c>
      <c r="T430">
        <v>-9.9784020000000001E-2</v>
      </c>
      <c r="U430">
        <v>5.5603029999999998E-2</v>
      </c>
      <c r="V430">
        <v>1.7081389999999998E-2</v>
      </c>
      <c r="W430">
        <v>0.144261</v>
      </c>
      <c r="X430">
        <v>0.98939219999999894</v>
      </c>
      <c r="Y430">
        <v>-3.3022959999999997E-2</v>
      </c>
      <c r="Z430">
        <v>1.0398339999999999E-3</v>
      </c>
      <c r="AA430">
        <v>0.99945410000000001</v>
      </c>
      <c r="AB430">
        <v>21</v>
      </c>
      <c r="AC430">
        <v>32.352899999999899</v>
      </c>
      <c r="AD430">
        <v>-1.0702185045596</v>
      </c>
      <c r="AE430">
        <v>0.60110000000003005</v>
      </c>
      <c r="AF430">
        <v>-1.0787671450755301</v>
      </c>
      <c r="AG430">
        <v>-1.0702185045596</v>
      </c>
      <c r="AH430">
        <v>32.305119392628399</v>
      </c>
      <c r="AI430">
        <v>91.896370130622401</v>
      </c>
      <c r="AJ430">
        <v>91.912571342747199</v>
      </c>
      <c r="AK430">
        <v>32.340838659082003</v>
      </c>
      <c r="AL430">
        <v>81.705512044745504</v>
      </c>
      <c r="AM430">
        <v>89.010913634606993</v>
      </c>
      <c r="AN430">
        <v>0.99999996771308497</v>
      </c>
    </row>
    <row r="431" spans="1:40" x14ac:dyDescent="0.25">
      <c r="A431" t="str">
        <f>"20190303162219880"</f>
        <v>20190303162219880</v>
      </c>
      <c r="B431" t="str">
        <f>"1551601339874296"</f>
        <v>1551601339874296</v>
      </c>
      <c r="C431" t="s">
        <v>40</v>
      </c>
      <c r="D431">
        <v>5.8815249999999999</v>
      </c>
      <c r="E431">
        <v>0.48099130000000001</v>
      </c>
      <c r="F431" t="s">
        <v>41</v>
      </c>
      <c r="G431">
        <v>-381.6748</v>
      </c>
      <c r="H431" s="1">
        <v>-3.8563959999999999E-6</v>
      </c>
      <c r="I431">
        <v>367.91030000000001</v>
      </c>
      <c r="J431">
        <v>-411.88889999999998</v>
      </c>
      <c r="K431">
        <v>1.070209</v>
      </c>
      <c r="L431">
        <v>367.38780000000003</v>
      </c>
      <c r="M431">
        <v>0.99985380000000001</v>
      </c>
      <c r="N431">
        <v>-8.3742480000000008E-3</v>
      </c>
      <c r="O431">
        <v>-1.4904229999999999E-2</v>
      </c>
      <c r="P431">
        <v>0.99038289999999995</v>
      </c>
      <c r="Q431">
        <v>0.13451450000000001</v>
      </c>
      <c r="R431">
        <v>-3.2363040000000003E-2</v>
      </c>
      <c r="S431">
        <v>3.0460210000000001</v>
      </c>
      <c r="T431">
        <v>-0.1071481</v>
      </c>
      <c r="U431">
        <v>5.2001949999999998E-2</v>
      </c>
      <c r="V431">
        <v>1.7625709999999999E-2</v>
      </c>
      <c r="W431">
        <v>0.14280329999999999</v>
      </c>
      <c r="X431">
        <v>0.98959410000000003</v>
      </c>
      <c r="Y431">
        <v>-3.1940490000000002E-2</v>
      </c>
      <c r="Z431">
        <v>1.0946669999999999E-3</v>
      </c>
      <c r="AA431">
        <v>0.99948919999999997</v>
      </c>
      <c r="AB431">
        <v>21</v>
      </c>
      <c r="AC431">
        <v>30.214099999999899</v>
      </c>
      <c r="AD431">
        <v>-1.0702128563959901</v>
      </c>
      <c r="AE431">
        <v>0.52249999999997898</v>
      </c>
      <c r="AF431">
        <v>-0.97155707666589597</v>
      </c>
      <c r="AG431">
        <v>-1.0702128563959901</v>
      </c>
      <c r="AH431">
        <v>30.165120807830899</v>
      </c>
      <c r="AI431">
        <v>92.030863128663697</v>
      </c>
      <c r="AJ431">
        <v>91.844742605403596</v>
      </c>
      <c r="AK431">
        <v>30.199731655467499</v>
      </c>
      <c r="AL431">
        <v>81.789905938314803</v>
      </c>
      <c r="AM431">
        <v>88.979609897518301</v>
      </c>
      <c r="AN431">
        <v>0.99999996544935099</v>
      </c>
    </row>
    <row r="432" spans="1:40" x14ac:dyDescent="0.25">
      <c r="A432" t="str">
        <f>"20190303162219905"</f>
        <v>20190303162219905</v>
      </c>
      <c r="B432" t="str">
        <f>"1551601339894793"</f>
        <v>1551601339894793</v>
      </c>
      <c r="C432" t="s">
        <v>40</v>
      </c>
      <c r="D432">
        <v>5.8779750000000002</v>
      </c>
      <c r="E432">
        <v>0.48103319999999999</v>
      </c>
      <c r="F432" t="s">
        <v>41</v>
      </c>
      <c r="G432">
        <v>-383.07810000000001</v>
      </c>
      <c r="H432" s="1">
        <v>-3.265189E-6</v>
      </c>
      <c r="I432">
        <v>367.84949999999998</v>
      </c>
      <c r="J432">
        <v>-411.6499</v>
      </c>
      <c r="K432">
        <v>1.0702130000000001</v>
      </c>
      <c r="L432">
        <v>367.38400000000001</v>
      </c>
      <c r="M432">
        <v>0.99985219999999997</v>
      </c>
      <c r="N432">
        <v>-8.3857250000000001E-3</v>
      </c>
      <c r="O432">
        <v>-1.5008759999999999E-2</v>
      </c>
      <c r="P432">
        <v>0.9905022</v>
      </c>
      <c r="Q432">
        <v>0.1336262</v>
      </c>
      <c r="R432">
        <v>-3.2397370000000002E-2</v>
      </c>
      <c r="S432">
        <v>3.0461429999999998</v>
      </c>
      <c r="T432">
        <v>-0.11315210000000001</v>
      </c>
      <c r="U432">
        <v>4.8828129999999997E-2</v>
      </c>
      <c r="V432">
        <v>1.7552419999999999E-2</v>
      </c>
      <c r="W432">
        <v>0.14192729999999901</v>
      </c>
      <c r="X432">
        <v>0.98972139999999997</v>
      </c>
      <c r="Y432">
        <v>-3.100058E-2</v>
      </c>
      <c r="Z432">
        <v>1.1370550000000001E-3</v>
      </c>
      <c r="AA432">
        <v>0.99951869999999998</v>
      </c>
      <c r="AB432">
        <v>22</v>
      </c>
      <c r="AC432">
        <v>28.5718</v>
      </c>
      <c r="AD432">
        <v>-1.0702162651889999</v>
      </c>
      <c r="AE432">
        <v>0.465499999999963</v>
      </c>
      <c r="AF432">
        <v>-0.89303730141970294</v>
      </c>
      <c r="AG432">
        <v>-1.0702162651889999</v>
      </c>
      <c r="AH432">
        <v>28.5215885747633</v>
      </c>
      <c r="AI432">
        <v>92.147851173723595</v>
      </c>
      <c r="AJ432">
        <v>91.793397902585994</v>
      </c>
      <c r="AK432">
        <v>28.5556280495469</v>
      </c>
      <c r="AL432">
        <v>81.840613397754097</v>
      </c>
      <c r="AM432">
        <v>88.983982592747495</v>
      </c>
      <c r="AN432">
        <v>0.99999994777555101</v>
      </c>
    </row>
    <row r="433" spans="1:40" x14ac:dyDescent="0.25">
      <c r="A433" t="str">
        <f>"20190303162219927"</f>
        <v>20190303162219927</v>
      </c>
      <c r="B433" t="str">
        <f>"1551601339914312"</f>
        <v>1551601339914312</v>
      </c>
      <c r="C433" t="s">
        <v>40</v>
      </c>
      <c r="D433">
        <v>5.8778519999999999</v>
      </c>
      <c r="E433">
        <v>0.48111710000000002</v>
      </c>
      <c r="F433" t="s">
        <v>41</v>
      </c>
      <c r="G433">
        <v>-383.84120000000001</v>
      </c>
      <c r="H433" s="1">
        <v>-2.9415440000000001E-6</v>
      </c>
      <c r="I433">
        <v>367.82859999999999</v>
      </c>
      <c r="J433">
        <v>-411.4393</v>
      </c>
      <c r="K433">
        <v>1.0702290000000001</v>
      </c>
      <c r="L433">
        <v>367.38069999999999</v>
      </c>
      <c r="M433">
        <v>0.99985100000000005</v>
      </c>
      <c r="N433">
        <v>-8.3957379999999998E-3</v>
      </c>
      <c r="O433">
        <v>-1.507973E-2</v>
      </c>
      <c r="P433">
        <v>0.99055760000000004</v>
      </c>
      <c r="Q433">
        <v>0.13310859999999999</v>
      </c>
      <c r="R433">
        <v>-3.2830430000000001E-2</v>
      </c>
      <c r="S433">
        <v>3.0462039999999999</v>
      </c>
      <c r="T433">
        <v>-0.1172327</v>
      </c>
      <c r="U433">
        <v>4.8706050000000001E-2</v>
      </c>
      <c r="V433">
        <v>1.790984E-2</v>
      </c>
      <c r="W433">
        <v>0.14142089999999999</v>
      </c>
      <c r="X433">
        <v>0.98978750000000004</v>
      </c>
      <c r="Y433">
        <v>-3.1028759999999999E-2</v>
      </c>
      <c r="Z433">
        <v>1.180661E-3</v>
      </c>
      <c r="AA433">
        <v>0.99951780000000001</v>
      </c>
      <c r="AB433">
        <v>22</v>
      </c>
      <c r="AC433">
        <v>27.598099999999899</v>
      </c>
      <c r="AD433">
        <v>-1.070231941544</v>
      </c>
      <c r="AE433">
        <v>0.44790000000000402</v>
      </c>
      <c r="AF433">
        <v>-0.86273858491230904</v>
      </c>
      <c r="AG433">
        <v>-1.070231941544</v>
      </c>
      <c r="AH433">
        <v>27.546792609461701</v>
      </c>
      <c r="AI433">
        <v>92.223813970462203</v>
      </c>
      <c r="AJ433">
        <v>91.793861371631607</v>
      </c>
      <c r="AK433">
        <v>27.581071359599001</v>
      </c>
      <c r="AL433">
        <v>81.8699237590168</v>
      </c>
      <c r="AM433">
        <v>88.963367114339903</v>
      </c>
      <c r="AN433">
        <v>0.99999996424094195</v>
      </c>
    </row>
    <row r="434" spans="1:40" x14ac:dyDescent="0.25">
      <c r="A434" t="str">
        <f>"20190303162219947"</f>
        <v>20190303162219947</v>
      </c>
      <c r="B434" t="str">
        <f>"1551601339925049"</f>
        <v>1551601339925049</v>
      </c>
      <c r="C434" t="s">
        <v>40</v>
      </c>
      <c r="D434">
        <v>5.8783099999999999</v>
      </c>
      <c r="E434">
        <v>0.48116199999999998</v>
      </c>
      <c r="F434" t="s">
        <v>41</v>
      </c>
      <c r="G434">
        <v>-384.28719999999998</v>
      </c>
      <c r="H434" s="1">
        <v>-2.7548610000000001E-6</v>
      </c>
      <c r="I434">
        <v>367.8023</v>
      </c>
      <c r="J434">
        <v>-411.2355</v>
      </c>
      <c r="K434">
        <v>1.070244</v>
      </c>
      <c r="L434">
        <v>367.37759999999997</v>
      </c>
      <c r="M434">
        <v>0.99985040000000003</v>
      </c>
      <c r="N434">
        <v>-8.405348E-3</v>
      </c>
      <c r="O434">
        <v>-1.513051E-2</v>
      </c>
      <c r="P434">
        <v>0.99064759999999996</v>
      </c>
      <c r="Q434">
        <v>0.132131</v>
      </c>
      <c r="R434">
        <v>-3.4048250000000002E-2</v>
      </c>
      <c r="S434">
        <v>3.0463260000000001</v>
      </c>
      <c r="T434">
        <v>-0.120074</v>
      </c>
      <c r="U434">
        <v>4.7302249999999997E-2</v>
      </c>
      <c r="V434">
        <v>1.9070420000000001E-2</v>
      </c>
      <c r="W434">
        <v>0.140454</v>
      </c>
      <c r="X434">
        <v>0.98990350000000005</v>
      </c>
      <c r="Y434">
        <v>-3.0617100000000001E-2</v>
      </c>
      <c r="Z434">
        <v>1.20086E-3</v>
      </c>
      <c r="AA434">
        <v>0.99953049999999999</v>
      </c>
      <c r="AB434">
        <v>22</v>
      </c>
      <c r="AC434">
        <v>26.9483</v>
      </c>
      <c r="AD434">
        <v>-1.070246754861</v>
      </c>
      <c r="AE434">
        <v>0.424700000000029</v>
      </c>
      <c r="AF434">
        <v>-0.83109668886319699</v>
      </c>
      <c r="AG434">
        <v>-1.070246754861</v>
      </c>
      <c r="AH434">
        <v>26.896376563796299</v>
      </c>
      <c r="AI434">
        <v>92.277596050878699</v>
      </c>
      <c r="AJ434">
        <v>91.769873565126304</v>
      </c>
      <c r="AK434">
        <v>26.930488708600599</v>
      </c>
      <c r="AL434">
        <v>81.925881668198301</v>
      </c>
      <c r="AM434">
        <v>88.896337436307306</v>
      </c>
      <c r="AN434">
        <v>0.999999973173612</v>
      </c>
    </row>
    <row r="435" spans="1:40" x14ac:dyDescent="0.25">
      <c r="A435" t="str">
        <f>"20190303162219970"</f>
        <v>20190303162219970</v>
      </c>
      <c r="B435" t="str">
        <f>"1551601339965064"</f>
        <v>1551601339965064</v>
      </c>
      <c r="C435" t="s">
        <v>40</v>
      </c>
      <c r="D435">
        <v>5.887982</v>
      </c>
      <c r="E435">
        <v>0.48138209999999998</v>
      </c>
      <c r="F435" t="s">
        <v>41</v>
      </c>
      <c r="G435">
        <v>-384.89389999999997</v>
      </c>
      <c r="H435" s="1">
        <v>-2.502908E-6</v>
      </c>
      <c r="I435">
        <v>367.75540000000001</v>
      </c>
      <c r="J435">
        <v>-411.01130000000001</v>
      </c>
      <c r="K435">
        <v>1.070268</v>
      </c>
      <c r="L435">
        <v>367.3741</v>
      </c>
      <c r="M435">
        <v>0.99984969999999995</v>
      </c>
      <c r="N435">
        <v>-8.4158540000000004E-3</v>
      </c>
      <c r="O435">
        <v>-1.516314E-2</v>
      </c>
      <c r="P435">
        <v>0.99059989999999998</v>
      </c>
      <c r="Q435">
        <v>0.13206370000000001</v>
      </c>
      <c r="R435">
        <v>-3.565923E-2</v>
      </c>
      <c r="S435">
        <v>3.0463260000000001</v>
      </c>
      <c r="T435">
        <v>-0.1237702</v>
      </c>
      <c r="U435">
        <v>4.3701169999999998E-2</v>
      </c>
      <c r="V435">
        <v>2.0643109999999999E-2</v>
      </c>
      <c r="W435">
        <v>0.14039789999999999</v>
      </c>
      <c r="X435">
        <v>0.98987999999999998</v>
      </c>
      <c r="Y435">
        <v>-2.946731E-2</v>
      </c>
      <c r="Z435">
        <v>1.2106249999999999E-3</v>
      </c>
      <c r="AA435">
        <v>0.99956500000000004</v>
      </c>
      <c r="AB435">
        <v>22</v>
      </c>
      <c r="AC435">
        <v>26.1174</v>
      </c>
      <c r="AD435">
        <v>-1.070270502908</v>
      </c>
      <c r="AE435">
        <v>0.38130000000001002</v>
      </c>
      <c r="AF435">
        <v>-0.77598910648825203</v>
      </c>
      <c r="AG435">
        <v>-1.070270502908</v>
      </c>
      <c r="AH435">
        <v>26.064853963408801</v>
      </c>
      <c r="AI435">
        <v>92.350308229947899</v>
      </c>
      <c r="AJ435">
        <v>91.705276076334002</v>
      </c>
      <c r="AK435">
        <v>26.098357231377801</v>
      </c>
      <c r="AL435">
        <v>81.929128846576702</v>
      </c>
      <c r="AM435">
        <v>88.805318155525001</v>
      </c>
      <c r="AN435">
        <v>1.00000006135743</v>
      </c>
    </row>
    <row r="436" spans="1:40" x14ac:dyDescent="0.25">
      <c r="A436" t="str">
        <f>"20190303162219992"</f>
        <v>20190303162219992</v>
      </c>
      <c r="B436" t="str">
        <f>"1551601339984585"</f>
        <v>1551601339984585</v>
      </c>
      <c r="C436" t="s">
        <v>40</v>
      </c>
      <c r="D436">
        <v>5.8708349999999996</v>
      </c>
      <c r="E436">
        <v>0.50439230000000002</v>
      </c>
      <c r="F436" t="s">
        <v>41</v>
      </c>
      <c r="G436">
        <v>-384.68579999999997</v>
      </c>
      <c r="H436" s="1">
        <v>-2.601813E-6</v>
      </c>
      <c r="I436">
        <v>367.7011</v>
      </c>
      <c r="J436">
        <v>-410.79520000000002</v>
      </c>
      <c r="K436">
        <v>1.0703039999999999</v>
      </c>
      <c r="L436">
        <v>367.37090000000001</v>
      </c>
      <c r="M436">
        <v>0.99984960000000001</v>
      </c>
      <c r="N436">
        <v>-8.4259569999999995E-3</v>
      </c>
      <c r="O436">
        <v>-1.5160450000000001E-2</v>
      </c>
      <c r="P436">
        <v>0.99037779999999997</v>
      </c>
      <c r="Q436">
        <v>0.13333879999999901</v>
      </c>
      <c r="R436">
        <v>-3.7049949999999998E-2</v>
      </c>
      <c r="S436">
        <v>3.0463559999999998</v>
      </c>
      <c r="T436">
        <v>-0.1238503</v>
      </c>
      <c r="U436">
        <v>3.7841800000000002E-2</v>
      </c>
      <c r="V436">
        <v>2.203227E-2</v>
      </c>
      <c r="W436">
        <v>0.14168239999999999</v>
      </c>
      <c r="X436">
        <v>0.98966690000000002</v>
      </c>
      <c r="Y436">
        <v>-2.7544079999999999E-2</v>
      </c>
      <c r="Z436">
        <v>1.1641329999999999E-3</v>
      </c>
      <c r="AA436">
        <v>0.99961990000000001</v>
      </c>
      <c r="AB436">
        <v>22</v>
      </c>
      <c r="AC436">
        <v>26.109400000000001</v>
      </c>
      <c r="AD436">
        <v>-1.0703066018130001</v>
      </c>
      <c r="AE436">
        <v>0.33019999999999</v>
      </c>
      <c r="AF436">
        <v>-0.72478857451557299</v>
      </c>
      <c r="AG436">
        <v>-1.0703066018130001</v>
      </c>
      <c r="AH436">
        <v>26.057611762341999</v>
      </c>
      <c r="AI436">
        <v>92.351172121868203</v>
      </c>
      <c r="AJ436">
        <v>91.593262739530203</v>
      </c>
      <c r="AK436">
        <v>26.0896532260698</v>
      </c>
      <c r="AL436">
        <v>81.854788381585195</v>
      </c>
      <c r="AM436">
        <v>88.724674331849002</v>
      </c>
      <c r="AN436">
        <v>0.99999994817336002</v>
      </c>
    </row>
    <row r="437" spans="1:40" x14ac:dyDescent="0.25">
      <c r="A437" t="str">
        <f>"20190303162220014"</f>
        <v>20190303162220014</v>
      </c>
      <c r="B437" t="str">
        <f>"1551601340005080"</f>
        <v>1551601340005080</v>
      </c>
      <c r="C437" t="s">
        <v>40</v>
      </c>
      <c r="D437">
        <v>5.6174850000000003</v>
      </c>
      <c r="E437">
        <v>0.50926830000000001</v>
      </c>
      <c r="F437" t="s">
        <v>41</v>
      </c>
      <c r="G437">
        <v>-378.88810000000001</v>
      </c>
      <c r="H437" s="1">
        <v>-1.377503E-6</v>
      </c>
      <c r="I437">
        <v>365.80889999999999</v>
      </c>
      <c r="J437">
        <v>-410.57569999999998</v>
      </c>
      <c r="K437">
        <v>1.0703309999999999</v>
      </c>
      <c r="L437">
        <v>367.36759999999998</v>
      </c>
      <c r="M437">
        <v>0.99985049999999998</v>
      </c>
      <c r="N437">
        <v>-8.4362199999999995E-3</v>
      </c>
      <c r="O437">
        <v>-1.510187E-2</v>
      </c>
      <c r="P437">
        <v>0.99016099999999996</v>
      </c>
      <c r="Q437">
        <v>0.13466539999999999</v>
      </c>
      <c r="R437">
        <v>-3.8034199999999997E-2</v>
      </c>
      <c r="S437">
        <v>3.0372919999999999</v>
      </c>
      <c r="T437">
        <v>-0.1018839</v>
      </c>
      <c r="U437">
        <v>-0.1486816</v>
      </c>
      <c r="V437">
        <v>2.3066380000000001E-2</v>
      </c>
      <c r="W437">
        <v>0.14301949999999999</v>
      </c>
      <c r="X437">
        <v>0.98945110000000003</v>
      </c>
      <c r="Y437">
        <v>3.3784590000000003E-2</v>
      </c>
      <c r="Z437">
        <v>-3.3002949999999997E-4</v>
      </c>
      <c r="AA437">
        <v>0.99942909999999996</v>
      </c>
      <c r="AB437">
        <v>22</v>
      </c>
      <c r="AC437">
        <v>31.6875999999999</v>
      </c>
      <c r="AD437">
        <v>-1.070332377503</v>
      </c>
      <c r="AE437">
        <v>-1.55869999999998</v>
      </c>
      <c r="AF437">
        <v>1.0787354601212</v>
      </c>
      <c r="AG437">
        <v>-1.070332377503</v>
      </c>
      <c r="AH437">
        <v>31.671478529610901</v>
      </c>
      <c r="AI437">
        <v>91.934443860646596</v>
      </c>
      <c r="AJ437">
        <v>88.049251000431795</v>
      </c>
      <c r="AK437">
        <v>31.7079143723276</v>
      </c>
      <c r="AL437">
        <v>81.7773908818465</v>
      </c>
      <c r="AM437">
        <v>88.664545538571105</v>
      </c>
      <c r="AN437">
        <v>1.0000000572788801</v>
      </c>
    </row>
    <row r="438" spans="1:40" x14ac:dyDescent="0.25">
      <c r="A438" t="str">
        <f>"20190303162220037"</f>
        <v>20190303162220037</v>
      </c>
      <c r="B438" t="str">
        <f>"1551601340024640"</f>
        <v>1551601340024640</v>
      </c>
      <c r="C438" t="s">
        <v>40</v>
      </c>
      <c r="D438">
        <v>5.7454219999999996</v>
      </c>
      <c r="E438">
        <v>0.5103432</v>
      </c>
      <c r="F438" t="s">
        <v>41</v>
      </c>
      <c r="G438">
        <v>-374.935</v>
      </c>
      <c r="H438" s="1">
        <v>-2.9509910000000002E-6</v>
      </c>
      <c r="I438">
        <v>365.13</v>
      </c>
      <c r="J438">
        <v>-410.35059999999999</v>
      </c>
      <c r="K438">
        <v>1.0703769999999999</v>
      </c>
      <c r="L438">
        <v>367.36430000000001</v>
      </c>
      <c r="M438">
        <v>0.99985239999999997</v>
      </c>
      <c r="N438">
        <v>-8.446828E-3</v>
      </c>
      <c r="O438">
        <v>-1.4963860000000001E-2</v>
      </c>
      <c r="P438">
        <v>0.99026599999999998</v>
      </c>
      <c r="Q438">
        <v>0.13372529999999999</v>
      </c>
      <c r="R438">
        <v>-3.8615579999999997E-2</v>
      </c>
      <c r="S438">
        <v>3.0348510000000002</v>
      </c>
      <c r="T438">
        <v>-9.1139910000000005E-2</v>
      </c>
      <c r="U438">
        <v>-0.1905212</v>
      </c>
      <c r="V438">
        <v>2.3766280000000001E-2</v>
      </c>
      <c r="W438">
        <v>0.14209349999999901</v>
      </c>
      <c r="X438">
        <v>0.98956789999999994</v>
      </c>
      <c r="Y438">
        <v>4.768845E-2</v>
      </c>
      <c r="Z438">
        <v>-5.9437119999999997E-4</v>
      </c>
      <c r="AA438">
        <v>0.99886209999999997</v>
      </c>
      <c r="AB438">
        <v>22</v>
      </c>
      <c r="AC438">
        <v>35.415599999999898</v>
      </c>
      <c r="AD438">
        <v>-1.0703799509909999</v>
      </c>
      <c r="AE438">
        <v>-2.2343000000000202</v>
      </c>
      <c r="AF438">
        <v>1.7025278396071699</v>
      </c>
      <c r="AG438">
        <v>-1.0703799509909999</v>
      </c>
      <c r="AH438">
        <v>35.412849585421803</v>
      </c>
      <c r="AI438">
        <v>91.729284698756203</v>
      </c>
      <c r="AJ438">
        <v>87.247535593852504</v>
      </c>
      <c r="AK438">
        <v>35.469905977375099</v>
      </c>
      <c r="AL438">
        <v>81.830993883698795</v>
      </c>
      <c r="AM438">
        <v>88.624201720032502</v>
      </c>
      <c r="AN438">
        <v>1.0000000137588401</v>
      </c>
    </row>
    <row r="439" spans="1:40" x14ac:dyDescent="0.25">
      <c r="A439" t="str">
        <f>"20190303162220059"</f>
        <v>20190303162220059</v>
      </c>
      <c r="B439" t="str">
        <f>"1551601340045114"</f>
        <v>1551601340045114</v>
      </c>
      <c r="C439" t="s">
        <v>40</v>
      </c>
      <c r="D439">
        <v>5.6810219999999996</v>
      </c>
      <c r="E439">
        <v>0.51114789999999999</v>
      </c>
      <c r="F439" t="s">
        <v>41</v>
      </c>
      <c r="G439">
        <v>-378.71170000000001</v>
      </c>
      <c r="H439" s="1">
        <v>-1.5800910000000001E-6</v>
      </c>
      <c r="I439">
        <v>365.2731</v>
      </c>
      <c r="J439">
        <v>-410.13409999999999</v>
      </c>
      <c r="K439">
        <v>1.0704359999999999</v>
      </c>
      <c r="L439">
        <v>367.3612</v>
      </c>
      <c r="M439">
        <v>0.99985550000000001</v>
      </c>
      <c r="N439">
        <v>-8.4571750000000008E-3</v>
      </c>
      <c r="O439">
        <v>-1.4745279999999999E-2</v>
      </c>
      <c r="P439">
        <v>0.99018240000000002</v>
      </c>
      <c r="Q439">
        <v>0.134468</v>
      </c>
      <c r="R439">
        <v>-3.8176679999999998E-2</v>
      </c>
      <c r="S439">
        <v>3.0354920000000001</v>
      </c>
      <c r="T439">
        <v>-0.1026939</v>
      </c>
      <c r="U439">
        <v>-0.20062260000000001</v>
      </c>
      <c r="V439">
        <v>2.3524429999999999E-2</v>
      </c>
      <c r="W439">
        <v>0.14284910000000001</v>
      </c>
      <c r="X439">
        <v>0.98946489999999998</v>
      </c>
      <c r="Y439">
        <v>5.119576E-2</v>
      </c>
      <c r="Z439">
        <v>-7.0808890000000004E-4</v>
      </c>
      <c r="AA439">
        <v>0.99868840000000003</v>
      </c>
      <c r="AB439">
        <v>22</v>
      </c>
      <c r="AC439">
        <v>31.4223999999999</v>
      </c>
      <c r="AD439">
        <v>-1.070437580091</v>
      </c>
      <c r="AE439">
        <v>-2.0880999999999901</v>
      </c>
      <c r="AF439">
        <v>1.6226495056952901</v>
      </c>
      <c r="AG439">
        <v>-1.070437580091</v>
      </c>
      <c r="AH439">
        <v>31.413479340835298</v>
      </c>
      <c r="AI439">
        <v>91.949044505696605</v>
      </c>
      <c r="AJ439">
        <v>87.043039669775098</v>
      </c>
      <c r="AK439">
        <v>31.473568471469701</v>
      </c>
      <c r="AL439">
        <v>81.787255112354003</v>
      </c>
      <c r="AM439">
        <v>88.638055089300195</v>
      </c>
      <c r="AN439">
        <v>1.0000000262548201</v>
      </c>
    </row>
    <row r="440" spans="1:40" x14ac:dyDescent="0.25">
      <c r="A440" t="str">
        <f>"20190303162220082"</f>
        <v>20190303162220082</v>
      </c>
      <c r="B440" t="str">
        <f>"1551601340074395"</f>
        <v>1551601340074395</v>
      </c>
      <c r="C440" t="s">
        <v>40</v>
      </c>
      <c r="D440">
        <v>5.7972489999999999</v>
      </c>
      <c r="E440">
        <v>0.51183959999999995</v>
      </c>
      <c r="F440" t="s">
        <v>41</v>
      </c>
      <c r="G440">
        <v>-377.43650000000002</v>
      </c>
      <c r="H440" s="1">
        <v>-2.0487279999999999E-6</v>
      </c>
      <c r="I440">
        <v>365.14269999999999</v>
      </c>
      <c r="J440">
        <v>-409.91199999999998</v>
      </c>
      <c r="K440">
        <v>1.070511</v>
      </c>
      <c r="L440">
        <v>367.35829999999999</v>
      </c>
      <c r="M440">
        <v>0.99986010000000003</v>
      </c>
      <c r="N440">
        <v>-8.4679509999999996E-3</v>
      </c>
      <c r="O440">
        <v>-1.4428379999999999E-2</v>
      </c>
      <c r="P440">
        <v>0.99014990000000003</v>
      </c>
      <c r="Q440">
        <v>0.13500290000000001</v>
      </c>
      <c r="R440">
        <v>-3.7114439999999999E-2</v>
      </c>
      <c r="S440">
        <v>3.0352779999999999</v>
      </c>
      <c r="T440">
        <v>-9.9367259999999999E-2</v>
      </c>
      <c r="U440">
        <v>-0.20593259999999999</v>
      </c>
      <c r="V440">
        <v>2.27523E-2</v>
      </c>
      <c r="W440">
        <v>0.143398</v>
      </c>
      <c r="X440">
        <v>0.98940349999999999</v>
      </c>
      <c r="Y440">
        <v>5.3256369999999997E-2</v>
      </c>
      <c r="Z440">
        <v>-7.4675489999999995E-4</v>
      </c>
      <c r="AA440">
        <v>0.99858060000000004</v>
      </c>
      <c r="AB440">
        <v>22</v>
      </c>
      <c r="AC440">
        <v>32.475499999999897</v>
      </c>
      <c r="AD440">
        <v>-1.0705130487279999</v>
      </c>
      <c r="AE440">
        <v>-2.21559999999999</v>
      </c>
      <c r="AF440">
        <v>1.7448964893119501</v>
      </c>
      <c r="AG440">
        <v>-1.0705130487279999</v>
      </c>
      <c r="AH440">
        <v>32.468970364962303</v>
      </c>
      <c r="AI440">
        <v>91.885658388315306</v>
      </c>
      <c r="AJ440">
        <v>86.923859121437999</v>
      </c>
      <c r="AK440">
        <v>32.533439696821397</v>
      </c>
      <c r="AL440">
        <v>81.755477842182202</v>
      </c>
      <c r="AM440">
        <v>88.682659756634806</v>
      </c>
      <c r="AN440">
        <v>0.99999996968576899</v>
      </c>
    </row>
    <row r="441" spans="1:40" x14ac:dyDescent="0.25">
      <c r="A441" t="str">
        <f>"20190303162220172"</f>
        <v>20190303162220172</v>
      </c>
      <c r="B441" t="str">
        <f>"1551601340164694"</f>
        <v>1551601340164694</v>
      </c>
      <c r="C441" t="s">
        <v>40</v>
      </c>
      <c r="D441">
        <v>5.5586500000000001</v>
      </c>
      <c r="E441">
        <v>0.51185020000000003</v>
      </c>
      <c r="F441" t="s">
        <v>41</v>
      </c>
      <c r="G441">
        <v>-375.63839999999999</v>
      </c>
      <c r="H441" s="1">
        <v>-2.697822E-6</v>
      </c>
      <c r="I441">
        <v>365.00299999999999</v>
      </c>
      <c r="J441">
        <v>-409.01249999999999</v>
      </c>
      <c r="K441">
        <v>1.070654</v>
      </c>
      <c r="L441">
        <v>367.34840000000003</v>
      </c>
      <c r="M441">
        <v>0.99988790000000005</v>
      </c>
      <c r="N441">
        <v>-8.5112139999999996E-3</v>
      </c>
      <c r="O441">
        <v>-1.232711E-2</v>
      </c>
      <c r="P441">
        <v>0.99130580000000001</v>
      </c>
      <c r="Q441">
        <v>0.12793160000000001</v>
      </c>
      <c r="R441">
        <v>-3.0762970000000001E-2</v>
      </c>
      <c r="S441">
        <v>3.0349430000000002</v>
      </c>
      <c r="T441">
        <v>-9.4794149999999994E-2</v>
      </c>
      <c r="U441">
        <v>-0.2085571</v>
      </c>
      <c r="V441">
        <v>1.8411589999999999E-2</v>
      </c>
      <c r="W441">
        <v>0.1363838</v>
      </c>
      <c r="X441">
        <v>0.99048499999999995</v>
      </c>
      <c r="Y441">
        <v>5.622162E-2</v>
      </c>
      <c r="Z441">
        <v>-8.3674859999999999E-4</v>
      </c>
      <c r="AA441">
        <v>0.99841800000000003</v>
      </c>
      <c r="AB441">
        <v>22</v>
      </c>
      <c r="AC441">
        <v>33.374099999999999</v>
      </c>
      <c r="AD441">
        <v>-1.070656697822</v>
      </c>
      <c r="AE441">
        <v>-2.3453999999999802</v>
      </c>
      <c r="AF441">
        <v>1.9318223425404999</v>
      </c>
      <c r="AG441">
        <v>-1.070656697822</v>
      </c>
      <c r="AH441">
        <v>33.366306656046099</v>
      </c>
      <c r="AI441">
        <v>91.834803494460701</v>
      </c>
      <c r="AJ441">
        <v>86.686422625709795</v>
      </c>
      <c r="AK441">
        <v>33.439328091231602</v>
      </c>
      <c r="AL441">
        <v>82.161354298090004</v>
      </c>
      <c r="AM441">
        <v>88.935082383459701</v>
      </c>
      <c r="AN441">
        <v>1.00000003138688</v>
      </c>
    </row>
    <row r="442" spans="1:40" x14ac:dyDescent="0.25">
      <c r="A442" t="str">
        <f>"20190303162220195"</f>
        <v>20190303162220195</v>
      </c>
      <c r="B442" t="str">
        <f>"1551601340185190"</f>
        <v>1551601340185190</v>
      </c>
      <c r="C442" t="s">
        <v>40</v>
      </c>
      <c r="D442">
        <v>5.7306039999999996</v>
      </c>
      <c r="E442">
        <v>0.51195779999999902</v>
      </c>
      <c r="F442" t="s">
        <v>41</v>
      </c>
      <c r="G442">
        <v>-380.86110000000002</v>
      </c>
      <c r="H442" s="1">
        <v>-4.6202609999999996E-6</v>
      </c>
      <c r="I442">
        <v>365.572</v>
      </c>
      <c r="J442">
        <v>-408.7835</v>
      </c>
      <c r="K442">
        <v>1.070657</v>
      </c>
      <c r="L442">
        <v>367.34620000000001</v>
      </c>
      <c r="M442">
        <v>0.99989539999999999</v>
      </c>
      <c r="N442">
        <v>-8.523816E-3</v>
      </c>
      <c r="O442">
        <v>-1.168567E-2</v>
      </c>
      <c r="P442">
        <v>0.99139639999999996</v>
      </c>
      <c r="Q442">
        <v>0.1277141</v>
      </c>
      <c r="R442">
        <v>-2.867391E-2</v>
      </c>
      <c r="S442">
        <v>3.0353089999999998</v>
      </c>
      <c r="T442">
        <v>-0.11543929999999999</v>
      </c>
      <c r="U442">
        <v>-0.19152830000000001</v>
      </c>
      <c r="V442">
        <v>1.6956880000000001E-2</v>
      </c>
      <c r="W442">
        <v>0.1361783</v>
      </c>
      <c r="X442">
        <v>0.99053919999999995</v>
      </c>
      <c r="Y442">
        <v>5.1267510000000002E-2</v>
      </c>
      <c r="Z442">
        <v>-8.4811330000000005E-4</v>
      </c>
      <c r="AA442">
        <v>0.99868460000000003</v>
      </c>
      <c r="AB442">
        <v>22</v>
      </c>
      <c r="AC442">
        <v>27.9223999999999</v>
      </c>
      <c r="AD442">
        <v>-1.070661620261</v>
      </c>
      <c r="AE442">
        <v>-1.77420000000006</v>
      </c>
      <c r="AF442">
        <v>1.44565807668446</v>
      </c>
      <c r="AG442">
        <v>-1.070661620261</v>
      </c>
      <c r="AH442">
        <v>27.900370491702201</v>
      </c>
      <c r="AI442">
        <v>92.194674955180005</v>
      </c>
      <c r="AJ442">
        <v>87.033870990480494</v>
      </c>
      <c r="AK442">
        <v>27.958306764788698</v>
      </c>
      <c r="AL442">
        <v>82.173239108663196</v>
      </c>
      <c r="AM442">
        <v>89.019258634175998</v>
      </c>
      <c r="AN442">
        <v>0.99999998595343198</v>
      </c>
    </row>
    <row r="443" spans="1:40" x14ac:dyDescent="0.25">
      <c r="A443" t="str">
        <f>"20190303162220283"</f>
        <v>20190303162220283</v>
      </c>
      <c r="B443" t="str">
        <f>"1551601340274982"</f>
        <v>1551601340274982</v>
      </c>
      <c r="C443" t="s">
        <v>40</v>
      </c>
      <c r="D443">
        <v>5.7209949999999896</v>
      </c>
      <c r="E443">
        <v>0.51227210000000001</v>
      </c>
      <c r="F443" t="s">
        <v>41</v>
      </c>
      <c r="G443">
        <v>-381.43880000000001</v>
      </c>
      <c r="H443" s="1">
        <v>-4.3563920000000001E-6</v>
      </c>
      <c r="I443">
        <v>365.66230000000002</v>
      </c>
      <c r="J443">
        <v>-407.88729999999998</v>
      </c>
      <c r="K443">
        <v>1.0706389999999999</v>
      </c>
      <c r="L443">
        <v>367.33929999999998</v>
      </c>
      <c r="M443">
        <v>0.99992000000000003</v>
      </c>
      <c r="N443">
        <v>-8.6291609999999998E-3</v>
      </c>
      <c r="O443">
        <v>-9.2501010000000002E-3</v>
      </c>
      <c r="P443">
        <v>0.99144390000000004</v>
      </c>
      <c r="Q443">
        <v>0.12784960000000001</v>
      </c>
      <c r="R443">
        <v>-2.6331500000000001E-2</v>
      </c>
      <c r="S443">
        <v>3.0359189999999998</v>
      </c>
      <c r="T443">
        <v>-0.11886910000000001</v>
      </c>
      <c r="U443">
        <v>-0.1869507</v>
      </c>
      <c r="V443">
        <v>1.7043160000000002E-2</v>
      </c>
      <c r="W443">
        <v>0.13641679999999901</v>
      </c>
      <c r="X443">
        <v>0.99050490000000002</v>
      </c>
      <c r="Y443">
        <v>5.2183239999999999E-2</v>
      </c>
      <c r="Z443">
        <v>-9.6377110000000002E-4</v>
      </c>
      <c r="AA443">
        <v>0.99863710000000006</v>
      </c>
      <c r="AB443">
        <v>23</v>
      </c>
      <c r="AC443">
        <v>26.4484999999999</v>
      </c>
      <c r="AD443">
        <v>-1.0706433563919999</v>
      </c>
      <c r="AE443">
        <v>-1.6769999999999601</v>
      </c>
      <c r="AF443">
        <v>1.42993405985984</v>
      </c>
      <c r="AG443">
        <v>-1.0706433563919999</v>
      </c>
      <c r="AH443">
        <v>26.419761841232599</v>
      </c>
      <c r="AI443">
        <v>92.317215965809297</v>
      </c>
      <c r="AJ443">
        <v>86.901965766345995</v>
      </c>
      <c r="AK443">
        <v>26.480083163758898</v>
      </c>
      <c r="AL443">
        <v>82.159445331521496</v>
      </c>
      <c r="AM443">
        <v>89.014235279976603</v>
      </c>
      <c r="AN443">
        <v>0.99999998477451701</v>
      </c>
    </row>
    <row r="444" spans="1:40" x14ac:dyDescent="0.25">
      <c r="A444" t="str">
        <f>"20190303162220350"</f>
        <v>20190303162220350</v>
      </c>
      <c r="B444" t="str">
        <f>"1551601340344785"</f>
        <v>1551601340344785</v>
      </c>
      <c r="C444" t="s">
        <v>40</v>
      </c>
      <c r="D444">
        <v>5.5303719999999998</v>
      </c>
      <c r="E444">
        <v>0.5129669</v>
      </c>
      <c r="F444" t="s">
        <v>41</v>
      </c>
      <c r="G444">
        <v>-379.83350000000002</v>
      </c>
      <c r="H444" s="1">
        <v>-1.0972010000000001E-6</v>
      </c>
      <c r="I444">
        <v>365.65320000000003</v>
      </c>
      <c r="J444">
        <v>-407.21080000000001</v>
      </c>
      <c r="K444">
        <v>1.070597</v>
      </c>
      <c r="L444">
        <v>367.33519999999999</v>
      </c>
      <c r="M444">
        <v>0.99993140000000003</v>
      </c>
      <c r="N444">
        <v>-8.7892709999999995E-3</v>
      </c>
      <c r="O444">
        <v>-7.7441769999999997E-3</v>
      </c>
      <c r="P444">
        <v>0.9912976</v>
      </c>
      <c r="Q444">
        <v>0.12952559999999999</v>
      </c>
      <c r="R444">
        <v>-2.3501729999999998E-2</v>
      </c>
      <c r="S444">
        <v>3.0359500000000001</v>
      </c>
      <c r="T444">
        <v>-0.1158633</v>
      </c>
      <c r="U444">
        <v>-0.1824646</v>
      </c>
      <c r="V444">
        <v>1.5730729999999998E-2</v>
      </c>
      <c r="W444">
        <v>0.13824520000000001</v>
      </c>
      <c r="X444">
        <v>0.99027310000000002</v>
      </c>
      <c r="Y444">
        <v>5.2217449999999999E-2</v>
      </c>
      <c r="Z444">
        <v>-9.9777570000000003E-4</v>
      </c>
      <c r="AA444">
        <v>0.99863519999999995</v>
      </c>
      <c r="AB444">
        <v>23</v>
      </c>
      <c r="AC444">
        <v>27.377299999999899</v>
      </c>
      <c r="AD444">
        <v>-1.0705980972010001</v>
      </c>
      <c r="AE444">
        <v>-1.68199999999995</v>
      </c>
      <c r="AF444">
        <v>1.46769072399374</v>
      </c>
      <c r="AG444">
        <v>-1.0705980972010001</v>
      </c>
      <c r="AH444">
        <v>27.347841424315899</v>
      </c>
      <c r="AI444">
        <v>92.238620341536603</v>
      </c>
      <c r="AJ444">
        <v>86.928024863497996</v>
      </c>
      <c r="AK444">
        <v>27.4081142532016</v>
      </c>
      <c r="AL444">
        <v>82.053683778210797</v>
      </c>
      <c r="AM444">
        <v>89.089919096943802</v>
      </c>
      <c r="AN444">
        <v>1.0000000018864901</v>
      </c>
    </row>
    <row r="445" spans="1:40" x14ac:dyDescent="0.25">
      <c r="A445" t="str">
        <f>"20190303162220372"</f>
        <v>20190303162220372</v>
      </c>
      <c r="B445" t="str">
        <f>"1551601340364304"</f>
        <v>1551601340364304</v>
      </c>
      <c r="C445" t="s">
        <v>40</v>
      </c>
      <c r="D445">
        <v>5.5213720000000004</v>
      </c>
      <c r="E445">
        <v>0.51315900000000003</v>
      </c>
      <c r="F445" t="s">
        <v>41</v>
      </c>
      <c r="G445">
        <v>-376.26650000000001</v>
      </c>
      <c r="H445" s="1">
        <v>-2.3541239999999999E-6</v>
      </c>
      <c r="I445">
        <v>365.4914</v>
      </c>
      <c r="J445">
        <v>-406.99099999999999</v>
      </c>
      <c r="K445">
        <v>1.0705739999999999</v>
      </c>
      <c r="L445">
        <v>367.334</v>
      </c>
      <c r="M445">
        <v>0.99993399999999999</v>
      </c>
      <c r="N445">
        <v>-8.8607110000000003E-3</v>
      </c>
      <c r="O445">
        <v>-7.3324189999999997E-3</v>
      </c>
      <c r="P445">
        <v>0.99138970000000004</v>
      </c>
      <c r="Q445">
        <v>0.1290568</v>
      </c>
      <c r="R445">
        <v>-2.2160659999999999E-2</v>
      </c>
      <c r="S445">
        <v>3.035736</v>
      </c>
      <c r="T445">
        <v>-0.105029</v>
      </c>
      <c r="U445">
        <v>-0.1808777</v>
      </c>
      <c r="V445">
        <v>1.48072E-2</v>
      </c>
      <c r="W445">
        <v>0.13784660000000001</v>
      </c>
      <c r="X445">
        <v>0.99034290000000003</v>
      </c>
      <c r="Y445">
        <v>5.2119360000000003E-2</v>
      </c>
      <c r="Z445">
        <v>-9.4327229999999998E-4</v>
      </c>
      <c r="AA445">
        <v>0.99864039999999998</v>
      </c>
      <c r="AB445">
        <v>23</v>
      </c>
      <c r="AC445">
        <v>30.7244999999999</v>
      </c>
      <c r="AD445">
        <v>-1.0705763541240001</v>
      </c>
      <c r="AE445">
        <v>-1.8426</v>
      </c>
      <c r="AF445">
        <v>1.6153025810627799</v>
      </c>
      <c r="AG445">
        <v>-1.0705763541240001</v>
      </c>
      <c r="AH445">
        <v>30.700044920676099</v>
      </c>
      <c r="AI445">
        <v>91.994460693846904</v>
      </c>
      <c r="AJ445">
        <v>86.988123078834306</v>
      </c>
      <c r="AK445">
        <v>30.761145854631799</v>
      </c>
      <c r="AL445">
        <v>82.076742622023403</v>
      </c>
      <c r="AM445">
        <v>89.143400880966794</v>
      </c>
      <c r="AN445">
        <v>0.99999999894190394</v>
      </c>
    </row>
    <row r="446" spans="1:40" x14ac:dyDescent="0.25">
      <c r="A446" t="str">
        <f>"20190303162220395"</f>
        <v>20190303162220395</v>
      </c>
      <c r="B446" t="str">
        <f>"1551601340384801"</f>
        <v>1551601340384801</v>
      </c>
      <c r="C446" t="s">
        <v>40</v>
      </c>
      <c r="D446">
        <v>5.5407849999999996</v>
      </c>
      <c r="E446">
        <v>0.51328689999999999</v>
      </c>
      <c r="F446" t="s">
        <v>41</v>
      </c>
      <c r="G446">
        <v>-376.08859999999999</v>
      </c>
      <c r="H446" s="1">
        <v>-2.4070450000000002E-6</v>
      </c>
      <c r="I446">
        <v>365.52010000000001</v>
      </c>
      <c r="J446">
        <v>-406.75490000000002</v>
      </c>
      <c r="K446">
        <v>1.070549</v>
      </c>
      <c r="L446">
        <v>367.33280000000002</v>
      </c>
      <c r="M446">
        <v>0.99993600000000005</v>
      </c>
      <c r="N446">
        <v>-8.9419759999999904E-3</v>
      </c>
      <c r="O446">
        <v>-6.9429440000000004E-3</v>
      </c>
      <c r="P446">
        <v>0.99150959999999999</v>
      </c>
      <c r="Q446">
        <v>0.12844169999999999</v>
      </c>
      <c r="R446">
        <v>-2.0292830000000001E-2</v>
      </c>
      <c r="S446">
        <v>3.035736</v>
      </c>
      <c r="T446">
        <v>-0.1051691</v>
      </c>
      <c r="U446">
        <v>-0.17819209999999999</v>
      </c>
      <c r="V446">
        <v>1.3336590000000001E-2</v>
      </c>
      <c r="W446">
        <v>0.1373105</v>
      </c>
      <c r="X446">
        <v>0.99043829999999999</v>
      </c>
      <c r="Y446">
        <v>5.1628029999999998E-2</v>
      </c>
      <c r="Z446">
        <v>-9.4615900000000002E-4</v>
      </c>
      <c r="AA446">
        <v>0.9986659</v>
      </c>
      <c r="AB446">
        <v>23</v>
      </c>
      <c r="AC446">
        <v>30.6663</v>
      </c>
      <c r="AD446">
        <v>-1.070551407045</v>
      </c>
      <c r="AE446">
        <v>-1.8127</v>
      </c>
      <c r="AF446">
        <v>1.59779297731051</v>
      </c>
      <c r="AG446">
        <v>-1.070551407045</v>
      </c>
      <c r="AH446">
        <v>30.6409350828499</v>
      </c>
      <c r="AI446">
        <v>91.9983076058558</v>
      </c>
      <c r="AJ446">
        <v>87.014975170140502</v>
      </c>
      <c r="AK446">
        <v>30.701236546186401</v>
      </c>
      <c r="AL446">
        <v>82.107754042465402</v>
      </c>
      <c r="AM446">
        <v>89.228539382766996</v>
      </c>
      <c r="AN446">
        <v>1.00000003207498</v>
      </c>
    </row>
    <row r="447" spans="1:40" x14ac:dyDescent="0.25">
      <c r="A447" t="str">
        <f>"20190303162220417"</f>
        <v>20190303162220417</v>
      </c>
      <c r="B447" t="str">
        <f>"1551601340404322"</f>
        <v>1551601340404322</v>
      </c>
      <c r="C447" t="s">
        <v>40</v>
      </c>
      <c r="D447">
        <v>5.5400559999999999</v>
      </c>
      <c r="E447">
        <v>0.51342900000000002</v>
      </c>
      <c r="F447" t="s">
        <v>41</v>
      </c>
      <c r="G447">
        <v>-375.75099999999998</v>
      </c>
      <c r="H447" s="1">
        <v>-2.5252009999999998E-6</v>
      </c>
      <c r="I447">
        <v>365.55680000000001</v>
      </c>
      <c r="J447">
        <v>-406.52850000000001</v>
      </c>
      <c r="K447">
        <v>1.0705180000000001</v>
      </c>
      <c r="L447">
        <v>367.33159999999998</v>
      </c>
      <c r="M447">
        <v>0.99993750000000003</v>
      </c>
      <c r="N447">
        <v>-9.0178879999999999E-3</v>
      </c>
      <c r="O447">
        <v>-6.6223749999999998E-3</v>
      </c>
      <c r="P447">
        <v>0.99159419999999998</v>
      </c>
      <c r="Q447">
        <v>0.12810759999999999</v>
      </c>
      <c r="R447">
        <v>-1.8151830000000001E-2</v>
      </c>
      <c r="S447">
        <v>3.0357059999999998</v>
      </c>
      <c r="T447">
        <v>-0.10482130000000001</v>
      </c>
      <c r="U447">
        <v>-0.17388919999999999</v>
      </c>
      <c r="V447">
        <v>1.152534E-2</v>
      </c>
      <c r="W447">
        <v>0.13705030000000001</v>
      </c>
      <c r="X447">
        <v>0.99049710000000002</v>
      </c>
      <c r="Y447">
        <v>5.0538769999999997E-2</v>
      </c>
      <c r="Z447">
        <v>-9.3098029999999997E-4</v>
      </c>
      <c r="AA447">
        <v>0.99872169999999905</v>
      </c>
      <c r="AB447">
        <v>23</v>
      </c>
      <c r="AC447">
        <v>30.7775</v>
      </c>
      <c r="AD447">
        <v>-1.0705205252009999</v>
      </c>
      <c r="AE447">
        <v>-1.77479999999997</v>
      </c>
      <c r="AF447">
        <v>1.5690406860878501</v>
      </c>
      <c r="AG447">
        <v>-1.0705205252009999</v>
      </c>
      <c r="AH447">
        <v>30.751498227274599</v>
      </c>
      <c r="AI447">
        <v>91.991186236501306</v>
      </c>
      <c r="AJ447">
        <v>87.079117369626701</v>
      </c>
      <c r="AK447">
        <v>30.8101046102013</v>
      </c>
      <c r="AL447">
        <v>82.122804925924399</v>
      </c>
      <c r="AM447">
        <v>89.333341269617193</v>
      </c>
      <c r="AN447">
        <v>1.0000000616503</v>
      </c>
    </row>
    <row r="448" spans="1:40" x14ac:dyDescent="0.25">
      <c r="A448" t="str">
        <f>"20190303162220440"</f>
        <v>20190303162220440</v>
      </c>
      <c r="B448" t="str">
        <f>"1551601340434577"</f>
        <v>1551601340434577</v>
      </c>
      <c r="C448" t="s">
        <v>40</v>
      </c>
      <c r="D448">
        <v>5.5192829999999997</v>
      </c>
      <c r="E448">
        <v>0.51369880000000001</v>
      </c>
      <c r="F448" t="s">
        <v>41</v>
      </c>
      <c r="G448">
        <v>-375.29390000000001</v>
      </c>
      <c r="H448" s="1">
        <v>-2.714861E-6</v>
      </c>
      <c r="I448">
        <v>365.5933</v>
      </c>
      <c r="J448">
        <v>-406.2928</v>
      </c>
      <c r="K448">
        <v>1.0704899999999999</v>
      </c>
      <c r="L448">
        <v>367.3304</v>
      </c>
      <c r="M448">
        <v>0.99993869999999896</v>
      </c>
      <c r="N448">
        <v>-9.0916399999999998E-3</v>
      </c>
      <c r="O448">
        <v>-6.3440419999999898E-3</v>
      </c>
      <c r="P448">
        <v>0.99161790000000005</v>
      </c>
      <c r="Q448">
        <v>0.12812939999999901</v>
      </c>
      <c r="R448">
        <v>-1.665053E-2</v>
      </c>
      <c r="S448">
        <v>3.0357669999999999</v>
      </c>
      <c r="T448">
        <v>-0.10404620000000001</v>
      </c>
      <c r="U448">
        <v>-0.16894529999999999</v>
      </c>
      <c r="V448">
        <v>1.031281E-2</v>
      </c>
      <c r="W448">
        <v>0.13714379999999901</v>
      </c>
      <c r="X448">
        <v>0.99049750000000003</v>
      </c>
      <c r="Y448">
        <v>4.9195559999999999E-2</v>
      </c>
      <c r="Z448">
        <v>-9.0648200000000001E-4</v>
      </c>
      <c r="AA448">
        <v>0.99878880000000003</v>
      </c>
      <c r="AB448">
        <v>23</v>
      </c>
      <c r="AC448">
        <v>30.9988999999999</v>
      </c>
      <c r="AD448">
        <v>-1.0704927148609999</v>
      </c>
      <c r="AE448">
        <v>-1.7370999999999901</v>
      </c>
      <c r="AF448">
        <v>1.53856954879241</v>
      </c>
      <c r="AG448">
        <v>-1.0704927148609999</v>
      </c>
      <c r="AH448">
        <v>30.972476371194801</v>
      </c>
      <c r="AI448">
        <v>91.9770735121825</v>
      </c>
      <c r="AJ448">
        <v>87.156148018513306</v>
      </c>
      <c r="AK448">
        <v>31.029138619582401</v>
      </c>
      <c r="AL448">
        <v>82.117396506606894</v>
      </c>
      <c r="AM448">
        <v>89.403472358139993</v>
      </c>
      <c r="AN448">
        <v>1.00000003671739</v>
      </c>
    </row>
    <row r="449" spans="1:40" x14ac:dyDescent="0.25">
      <c r="A449" t="str">
        <f>"20190303162220461"</f>
        <v>20190303162220461</v>
      </c>
      <c r="B449" t="str">
        <f>"1551601340455073"</f>
        <v>1551601340455073</v>
      </c>
      <c r="C449" t="s">
        <v>40</v>
      </c>
      <c r="D449">
        <v>5.5184360000000003</v>
      </c>
      <c r="E449">
        <v>0.51387299999999903</v>
      </c>
      <c r="F449" t="s">
        <v>41</v>
      </c>
      <c r="G449">
        <v>-374.44220000000001</v>
      </c>
      <c r="H449" s="1">
        <v>-3.0818369999999998E-6</v>
      </c>
      <c r="I449">
        <v>365.58409999999998</v>
      </c>
      <c r="J449">
        <v>-406.0686</v>
      </c>
      <c r="K449">
        <v>1.07046</v>
      </c>
      <c r="L449">
        <v>367.32929999999999</v>
      </c>
      <c r="M449">
        <v>0.99993940000000003</v>
      </c>
      <c r="N449">
        <v>-9.1558200000000003E-3</v>
      </c>
      <c r="O449">
        <v>-6.1338490000000002E-3</v>
      </c>
      <c r="P449">
        <v>0.99168800000000001</v>
      </c>
      <c r="Q449">
        <v>0.12765770000000001</v>
      </c>
      <c r="R449">
        <v>-1.6081939999999999E-2</v>
      </c>
      <c r="S449">
        <v>3.0357669999999999</v>
      </c>
      <c r="T449">
        <v>-0.1020316</v>
      </c>
      <c r="U449">
        <v>-0.16644289999999901</v>
      </c>
      <c r="V449">
        <v>9.9650150000000007E-3</v>
      </c>
      <c r="W449">
        <v>0.1367352</v>
      </c>
      <c r="X449">
        <v>0.99055749999999998</v>
      </c>
      <c r="Y449">
        <v>4.8586150000000002E-2</v>
      </c>
      <c r="Z449">
        <v>-8.884931E-4</v>
      </c>
      <c r="AA449">
        <v>0.9988186</v>
      </c>
      <c r="AB449">
        <v>23</v>
      </c>
      <c r="AC449">
        <v>31.626399999999901</v>
      </c>
      <c r="AD449">
        <v>-1.070463081837</v>
      </c>
      <c r="AE449">
        <v>-1.7452000000000101</v>
      </c>
      <c r="AF449">
        <v>1.54939785151492</v>
      </c>
      <c r="AG449">
        <v>-1.070463081837</v>
      </c>
      <c r="AH449">
        <v>31.600417785994701</v>
      </c>
      <c r="AI449">
        <v>91.937824580531</v>
      </c>
      <c r="AJ449">
        <v>87.192982629675498</v>
      </c>
      <c r="AK449">
        <v>31.656483208993102</v>
      </c>
      <c r="AL449">
        <v>82.141029824378094</v>
      </c>
      <c r="AM449">
        <v>89.423623522525901</v>
      </c>
      <c r="AN449">
        <v>0.99999998862462003</v>
      </c>
    </row>
    <row r="450" spans="1:40" x14ac:dyDescent="0.25">
      <c r="A450" t="str">
        <f>"20190303162220484"</f>
        <v>20190303162220484</v>
      </c>
      <c r="B450" t="str">
        <f>"1551601340474596"</f>
        <v>1551601340474596</v>
      </c>
      <c r="C450" t="s">
        <v>40</v>
      </c>
      <c r="D450">
        <v>5.8295500000000002</v>
      </c>
      <c r="E450">
        <v>0.5137005</v>
      </c>
      <c r="F450" t="s">
        <v>41</v>
      </c>
      <c r="G450">
        <v>-374.3827</v>
      </c>
      <c r="H450" s="1">
        <v>-3.1048229999999999E-6</v>
      </c>
      <c r="I450">
        <v>365.5985</v>
      </c>
      <c r="J450">
        <v>-405.84160000000003</v>
      </c>
      <c r="K450">
        <v>1.0704279999999999</v>
      </c>
      <c r="L450">
        <v>367.32810000000001</v>
      </c>
      <c r="M450">
        <v>0.99993969999999999</v>
      </c>
      <c r="N450">
        <v>-9.2153089999999997E-3</v>
      </c>
      <c r="O450">
        <v>-5.9777750000000003E-3</v>
      </c>
      <c r="P450">
        <v>0.99164719999999995</v>
      </c>
      <c r="Q450">
        <v>0.12801660000000001</v>
      </c>
      <c r="R450">
        <v>-1.5725280000000001E-2</v>
      </c>
      <c r="S450">
        <v>3.0356450000000001</v>
      </c>
      <c r="T450">
        <v>-0.1025546</v>
      </c>
      <c r="U450">
        <v>-0.165802</v>
      </c>
      <c r="V450">
        <v>9.7761289999999997E-3</v>
      </c>
      <c r="W450">
        <v>0.13715179999999999</v>
      </c>
      <c r="X450">
        <v>0.99050179999999999</v>
      </c>
      <c r="Y450">
        <v>4.8533649999999998E-2</v>
      </c>
      <c r="Z450">
        <v>-8.9615750000000003E-4</v>
      </c>
      <c r="AA450">
        <v>0.99882110000000002</v>
      </c>
      <c r="AB450">
        <v>23</v>
      </c>
      <c r="AC450">
        <v>31.4589</v>
      </c>
      <c r="AD450">
        <v>-1.070431104823</v>
      </c>
      <c r="AE450">
        <v>-1.7296</v>
      </c>
      <c r="AF450">
        <v>1.53972957518888</v>
      </c>
      <c r="AG450">
        <v>-1.070431104823</v>
      </c>
      <c r="AH450">
        <v>31.432394984866001</v>
      </c>
      <c r="AI450">
        <v>91.948121496716993</v>
      </c>
      <c r="AJ450">
        <v>87.195582956217294</v>
      </c>
      <c r="AK450">
        <v>31.4882842403252</v>
      </c>
      <c r="AL450">
        <v>82.116933495315607</v>
      </c>
      <c r="AM450">
        <v>89.434516177093897</v>
      </c>
      <c r="AN450">
        <v>1.0000000023723501</v>
      </c>
    </row>
    <row r="451" spans="1:40" x14ac:dyDescent="0.25">
      <c r="A451" t="str">
        <f>"20190303162220507"</f>
        <v>20190303162220507</v>
      </c>
      <c r="B451" t="str">
        <f>"1551601340495088"</f>
        <v>1551601340495088</v>
      </c>
      <c r="C451" t="s">
        <v>40</v>
      </c>
      <c r="D451">
        <v>5.8218870000000003</v>
      </c>
      <c r="E451">
        <v>0.49204890000000001</v>
      </c>
      <c r="F451" t="s">
        <v>41</v>
      </c>
      <c r="G451">
        <v>-373.75290000000001</v>
      </c>
      <c r="H451" s="1">
        <v>-3.3748439999999998E-6</v>
      </c>
      <c r="I451">
        <v>365.59930000000003</v>
      </c>
      <c r="J451">
        <v>-405.5967</v>
      </c>
      <c r="K451">
        <v>1.0703959999999999</v>
      </c>
      <c r="L451">
        <v>367.32679999999999</v>
      </c>
      <c r="M451">
        <v>0.99993969999999999</v>
      </c>
      <c r="N451">
        <v>-9.2725910000000002E-3</v>
      </c>
      <c r="O451">
        <v>-5.8770330000000003E-3</v>
      </c>
      <c r="P451">
        <v>0.99158570000000001</v>
      </c>
      <c r="Q451">
        <v>0.1284806</v>
      </c>
      <c r="R451">
        <v>-1.583302E-2</v>
      </c>
      <c r="S451">
        <v>3.0357669999999999</v>
      </c>
      <c r="T451">
        <v>-0.1012686</v>
      </c>
      <c r="U451">
        <v>-0.16354369999999999</v>
      </c>
      <c r="V451">
        <v>9.9972080000000005E-3</v>
      </c>
      <c r="W451">
        <v>0.13767089999999901</v>
      </c>
      <c r="X451">
        <v>0.99042759999999996</v>
      </c>
      <c r="Y451">
        <v>4.7892320000000002E-2</v>
      </c>
      <c r="Z451">
        <v>-8.7889990000000002E-4</v>
      </c>
      <c r="AA451">
        <v>0.99885210000000002</v>
      </c>
      <c r="AB451">
        <v>23</v>
      </c>
      <c r="AC451">
        <v>31.843799999999899</v>
      </c>
      <c r="AD451">
        <v>-1.0703993748439999</v>
      </c>
      <c r="AE451">
        <v>-1.7274999999999601</v>
      </c>
      <c r="AF451">
        <v>1.5385816971573201</v>
      </c>
      <c r="AG451">
        <v>-1.0703993748439999</v>
      </c>
      <c r="AH451">
        <v>31.817557699878499</v>
      </c>
      <c r="AI451">
        <v>91.924558379281095</v>
      </c>
      <c r="AJ451">
        <v>87.231540419813399</v>
      </c>
      <c r="AK451">
        <v>31.872715078034901</v>
      </c>
      <c r="AL451">
        <v>82.086906608164796</v>
      </c>
      <c r="AM451">
        <v>89.421685771623402</v>
      </c>
      <c r="AN451">
        <v>1.00000002585818</v>
      </c>
    </row>
    <row r="452" spans="1:40" x14ac:dyDescent="0.25">
      <c r="A452" t="str">
        <f>"20190303162220530"</f>
        <v>20190303162220530</v>
      </c>
      <c r="B452" t="str">
        <f>"1551601340514609"</f>
        <v>1551601340514609</v>
      </c>
      <c r="C452" t="s">
        <v>40</v>
      </c>
      <c r="D452">
        <v>5.7083719999999998</v>
      </c>
      <c r="E452">
        <v>0.4914771</v>
      </c>
      <c r="F452" t="s">
        <v>41</v>
      </c>
      <c r="G452">
        <v>-356.63389999999998</v>
      </c>
      <c r="H452" s="1">
        <v>-1.805696E-6</v>
      </c>
      <c r="I452">
        <v>367.47789999999998</v>
      </c>
      <c r="J452">
        <v>-405.36880000000002</v>
      </c>
      <c r="K452">
        <v>1.0703720000000001</v>
      </c>
      <c r="L452">
        <v>367.32549999999998</v>
      </c>
      <c r="M452">
        <v>0.99993960000000004</v>
      </c>
      <c r="N452">
        <v>-9.3202730000000004E-3</v>
      </c>
      <c r="O452">
        <v>-5.8274140000000004E-3</v>
      </c>
      <c r="P452">
        <v>0.99137330000000001</v>
      </c>
      <c r="Q452">
        <v>0.1300423</v>
      </c>
      <c r="R452">
        <v>-1.6364420000000001E-2</v>
      </c>
      <c r="S452">
        <v>3.0342099999999999</v>
      </c>
      <c r="T452">
        <v>-6.6332100000000005E-2</v>
      </c>
      <c r="U452">
        <v>9.3688959999999998E-3</v>
      </c>
      <c r="V452">
        <v>1.0589670000000001E-2</v>
      </c>
      <c r="W452">
        <v>0.13927700000000001</v>
      </c>
      <c r="X452">
        <v>0.99019679999999999</v>
      </c>
      <c r="Y452">
        <v>-8.9118310000000003E-3</v>
      </c>
      <c r="Z452">
        <v>2.1200829999999999E-4</v>
      </c>
      <c r="AA452">
        <v>0.99996019999999997</v>
      </c>
      <c r="AB452">
        <v>23</v>
      </c>
      <c r="AC452">
        <v>48.734900000000003</v>
      </c>
      <c r="AD452">
        <v>-1.0703738056959999</v>
      </c>
      <c r="AE452">
        <v>0.15240000000000001</v>
      </c>
      <c r="AF452">
        <v>-0.43619777057268799</v>
      </c>
      <c r="AG452">
        <v>-1.0703738056959999</v>
      </c>
      <c r="AH452">
        <v>48.709687866165801</v>
      </c>
      <c r="AI452">
        <v>91.258796310389997</v>
      </c>
      <c r="AJ452">
        <v>90.513072950069301</v>
      </c>
      <c r="AK452">
        <v>48.723399518078203</v>
      </c>
      <c r="AL452">
        <v>81.993988180006099</v>
      </c>
      <c r="AM452">
        <v>89.387273047714899</v>
      </c>
      <c r="AN452">
        <v>0.99999996328497298</v>
      </c>
    </row>
    <row r="453" spans="1:40" x14ac:dyDescent="0.25">
      <c r="A453" t="str">
        <f>"20190303162220550"</f>
        <v>20190303162220550</v>
      </c>
      <c r="B453" t="str">
        <f>"1551601340535105"</f>
        <v>1551601340535105</v>
      </c>
      <c r="C453" t="s">
        <v>40</v>
      </c>
      <c r="D453">
        <v>5.7078259999999998</v>
      </c>
      <c r="E453">
        <v>0.49111490000000002</v>
      </c>
      <c r="F453" t="s">
        <v>41</v>
      </c>
      <c r="G453">
        <v>-356.73540000000003</v>
      </c>
      <c r="H453" s="1">
        <v>-1.7544310000000001E-6</v>
      </c>
      <c r="I453">
        <v>367.5215</v>
      </c>
      <c r="J453">
        <v>-405.14519999999999</v>
      </c>
      <c r="K453">
        <v>1.0703659999999999</v>
      </c>
      <c r="L453">
        <v>367.32420000000002</v>
      </c>
      <c r="M453">
        <v>0.99993929999999998</v>
      </c>
      <c r="N453">
        <v>-9.3622529999999992E-3</v>
      </c>
      <c r="O453">
        <v>-5.81177E-3</v>
      </c>
      <c r="P453">
        <v>0.9911489</v>
      </c>
      <c r="Q453">
        <v>0.1316147</v>
      </c>
      <c r="R453">
        <v>-1.7359900000000001E-2</v>
      </c>
      <c r="S453">
        <v>3.0350649999999999</v>
      </c>
      <c r="T453">
        <v>-6.6798570000000002E-2</v>
      </c>
      <c r="U453">
        <v>1.223755E-2</v>
      </c>
      <c r="V453">
        <v>1.1609339999999999E-2</v>
      </c>
      <c r="W453">
        <v>0.1408884</v>
      </c>
      <c r="X453">
        <v>0.98995739999999999</v>
      </c>
      <c r="Y453">
        <v>-9.8400729999999995E-3</v>
      </c>
      <c r="Z453">
        <v>2.278293E-4</v>
      </c>
      <c r="AA453">
        <v>0.99995149999999999</v>
      </c>
      <c r="AB453">
        <v>23</v>
      </c>
      <c r="AC453">
        <v>48.409799999999898</v>
      </c>
      <c r="AD453">
        <v>-1.070367754431</v>
      </c>
      <c r="AE453">
        <v>0.19729999999998399</v>
      </c>
      <c r="AF453">
        <v>-0.47842173209660199</v>
      </c>
      <c r="AG453">
        <v>-1.070367754431</v>
      </c>
      <c r="AH453">
        <v>48.384182135218602</v>
      </c>
      <c r="AI453">
        <v>91.2672438439849</v>
      </c>
      <c r="AJ453">
        <v>90.5665209487411</v>
      </c>
      <c r="AK453">
        <v>48.398384842652199</v>
      </c>
      <c r="AL453">
        <v>81.900742509073496</v>
      </c>
      <c r="AM453">
        <v>89.328116851195801</v>
      </c>
      <c r="AN453">
        <v>0.99999998592227701</v>
      </c>
    </row>
    <row r="454" spans="1:40" x14ac:dyDescent="0.25">
      <c r="A454" t="str">
        <f>"20190303162220574"</f>
        <v>20190303162220574</v>
      </c>
      <c r="B454" t="str">
        <f>"1551601340564385"</f>
        <v>1551601340564385</v>
      </c>
      <c r="C454" t="s">
        <v>40</v>
      </c>
      <c r="D454">
        <v>5.7636779999999996</v>
      </c>
      <c r="E454">
        <v>0.49153570000000002</v>
      </c>
      <c r="F454" t="s">
        <v>41</v>
      </c>
      <c r="G454">
        <v>-353.15839999999997</v>
      </c>
      <c r="H454" s="1">
        <v>-3.2875089999999999E-6</v>
      </c>
      <c r="I454">
        <v>367.52960000000002</v>
      </c>
      <c r="J454">
        <v>-404.90859999999998</v>
      </c>
      <c r="K454">
        <v>1.0703590000000001</v>
      </c>
      <c r="L454">
        <v>367.3229</v>
      </c>
      <c r="M454">
        <v>0.99993900000000002</v>
      </c>
      <c r="N454">
        <v>-9.4001999999999992E-3</v>
      </c>
      <c r="O454">
        <v>-5.82081E-3</v>
      </c>
      <c r="P454">
        <v>0.99094930000000003</v>
      </c>
      <c r="Q454">
        <v>0.13305249999999999</v>
      </c>
      <c r="R454">
        <v>-1.7799869999999999E-2</v>
      </c>
      <c r="S454">
        <v>3.035339</v>
      </c>
      <c r="T454">
        <v>-6.2495229999999999E-2</v>
      </c>
      <c r="U454">
        <v>1.1993409999999999E-2</v>
      </c>
      <c r="V454">
        <v>1.204644E-2</v>
      </c>
      <c r="W454">
        <v>0.1423616</v>
      </c>
      <c r="X454">
        <v>0.98974139999999999</v>
      </c>
      <c r="Y454">
        <v>-9.7688040000000007E-3</v>
      </c>
      <c r="Z454">
        <v>2.115954E-4</v>
      </c>
      <c r="AA454">
        <v>0.99995230000000002</v>
      </c>
      <c r="AB454">
        <v>23</v>
      </c>
      <c r="AC454">
        <v>51.7502</v>
      </c>
      <c r="AD454">
        <v>-1.070362287509</v>
      </c>
      <c r="AE454">
        <v>0.20670000000001201</v>
      </c>
      <c r="AF454">
        <v>-0.50772065398056399</v>
      </c>
      <c r="AG454">
        <v>-1.070362287509</v>
      </c>
      <c r="AH454">
        <v>51.725992144198301</v>
      </c>
      <c r="AI454">
        <v>91.185391234001898</v>
      </c>
      <c r="AJ454">
        <v>90.562373291519407</v>
      </c>
      <c r="AK454">
        <v>51.739556617646599</v>
      </c>
      <c r="AL454">
        <v>81.8154749287378</v>
      </c>
      <c r="AM454">
        <v>89.302670282883398</v>
      </c>
      <c r="AN454">
        <v>0.99999999037259601</v>
      </c>
    </row>
    <row r="455" spans="1:40" x14ac:dyDescent="0.25">
      <c r="A455" t="str">
        <f>"20190303162220595"</f>
        <v>20190303162220595</v>
      </c>
      <c r="B455" t="str">
        <f>"1551601340584885"</f>
        <v>1551601340584885</v>
      </c>
      <c r="C455" t="s">
        <v>40</v>
      </c>
      <c r="D455">
        <v>5.7630600000000003</v>
      </c>
      <c r="E455">
        <v>0.4918594</v>
      </c>
      <c r="F455" t="s">
        <v>41</v>
      </c>
      <c r="G455">
        <v>-353.89359999999999</v>
      </c>
      <c r="H455" s="1">
        <v>-2.9866980000000001E-6</v>
      </c>
      <c r="I455">
        <v>367.44740000000002</v>
      </c>
      <c r="J455">
        <v>-404.6841</v>
      </c>
      <c r="K455">
        <v>1.070354</v>
      </c>
      <c r="L455">
        <v>367.32150000000001</v>
      </c>
      <c r="M455">
        <v>0.99993840000000001</v>
      </c>
      <c r="N455">
        <v>-9.4278230000000001E-3</v>
      </c>
      <c r="O455">
        <v>-5.8481990000000001E-3</v>
      </c>
      <c r="P455">
        <v>0.99087539999999996</v>
      </c>
      <c r="Q455">
        <v>0.13358229999999999</v>
      </c>
      <c r="R455">
        <v>-1.794536E-2</v>
      </c>
      <c r="S455">
        <v>3.0360719999999999</v>
      </c>
      <c r="T455">
        <v>-6.3700679999999996E-2</v>
      </c>
      <c r="U455">
        <v>7.4157709999999998E-3</v>
      </c>
      <c r="V455">
        <v>1.216749E-2</v>
      </c>
      <c r="W455">
        <v>0.1429175</v>
      </c>
      <c r="X455">
        <v>0.98965979999999998</v>
      </c>
      <c r="Y455">
        <v>-8.2879129999999992E-3</v>
      </c>
      <c r="Z455">
        <v>1.935664E-4</v>
      </c>
      <c r="AA455">
        <v>0.99996560000000001</v>
      </c>
      <c r="AB455">
        <v>23</v>
      </c>
      <c r="AC455">
        <v>50.790500000000002</v>
      </c>
      <c r="AD455">
        <v>-1.0703569866980001</v>
      </c>
      <c r="AE455">
        <v>0.12590000000000101</v>
      </c>
      <c r="AF455">
        <v>-0.42275626629574098</v>
      </c>
      <c r="AG455">
        <v>-1.0703569866980001</v>
      </c>
      <c r="AH455">
        <v>50.766349243740798</v>
      </c>
      <c r="AI455">
        <v>91.207802581182506</v>
      </c>
      <c r="AJ455">
        <v>90.477119002916496</v>
      </c>
      <c r="AK455">
        <v>50.779391513458798</v>
      </c>
      <c r="AL455">
        <v>81.7832951506049</v>
      </c>
      <c r="AM455">
        <v>89.295605721133199</v>
      </c>
      <c r="AN455">
        <v>0.99999998967759496</v>
      </c>
    </row>
    <row r="456" spans="1:40" x14ac:dyDescent="0.25">
      <c r="A456" t="str">
        <f>"20190303162220608"</f>
        <v>20190303162220608</v>
      </c>
      <c r="B456" t="str">
        <f>"1551601340594641"</f>
        <v>1551601340594641</v>
      </c>
      <c r="C456" t="s">
        <v>40</v>
      </c>
      <c r="D456">
        <v>5.7665480000000002</v>
      </c>
      <c r="E456">
        <v>0.49189559999999999</v>
      </c>
      <c r="F456" t="s">
        <v>41</v>
      </c>
      <c r="G456">
        <v>-354.03500000000003</v>
      </c>
      <c r="H456" s="1">
        <v>-2.9341870000000001E-6</v>
      </c>
      <c r="I456">
        <v>367.40140000000002</v>
      </c>
      <c r="J456">
        <v>-404.54950000000002</v>
      </c>
      <c r="K456">
        <v>1.0703499999999999</v>
      </c>
      <c r="L456">
        <v>367.32069999999999</v>
      </c>
      <c r="M456">
        <v>0.99993829999999995</v>
      </c>
      <c r="N456">
        <v>-9.4410529999999996E-3</v>
      </c>
      <c r="O456">
        <v>-5.8714199999999996E-3</v>
      </c>
      <c r="P456">
        <v>0.99082820000000005</v>
      </c>
      <c r="Q456">
        <v>0.1339475</v>
      </c>
      <c r="R456">
        <v>-1.782593E-2</v>
      </c>
      <c r="S456">
        <v>3.0363769999999999</v>
      </c>
      <c r="T456">
        <v>-6.4167020000000005E-2</v>
      </c>
      <c r="U456">
        <v>4.7912600000000003E-3</v>
      </c>
      <c r="V456">
        <v>1.2026419999999999E-2</v>
      </c>
      <c r="W456">
        <v>0.1432956</v>
      </c>
      <c r="X456">
        <v>0.98960689999999996</v>
      </c>
      <c r="Y456">
        <v>-7.4467909999999899E-3</v>
      </c>
      <c r="Z456">
        <v>1.824707E-4</v>
      </c>
      <c r="AA456">
        <v>0.99997230000000004</v>
      </c>
      <c r="AB456">
        <v>23</v>
      </c>
      <c r="AC456">
        <v>50.514499999999998</v>
      </c>
      <c r="AD456">
        <v>-1.0703529341869999</v>
      </c>
      <c r="AE456">
        <v>8.0700000000035702E-2</v>
      </c>
      <c r="AF456">
        <v>-0.37713431884326598</v>
      </c>
      <c r="AG456">
        <v>-1.0703529341869999</v>
      </c>
      <c r="AH456">
        <v>50.490486468461299</v>
      </c>
      <c r="AI456">
        <v>91.214403262281806</v>
      </c>
      <c r="AJ456">
        <v>90.427957907480902</v>
      </c>
      <c r="AK456">
        <v>50.503238604272198</v>
      </c>
      <c r="AL456">
        <v>81.761406739221798</v>
      </c>
      <c r="AM456">
        <v>89.3037344531689</v>
      </c>
      <c r="AN456">
        <v>1.00000004014249</v>
      </c>
    </row>
    <row r="457" spans="1:40" x14ac:dyDescent="0.25">
      <c r="A457" t="str">
        <f>"20190303162220627"</f>
        <v>20190303162220627</v>
      </c>
      <c r="B457" t="str">
        <f>"1551601340615136"</f>
        <v>1551601340615136</v>
      </c>
      <c r="C457" t="s">
        <v>40</v>
      </c>
      <c r="D457">
        <v>5.7040309999999996</v>
      </c>
      <c r="E457">
        <v>0.4919905</v>
      </c>
      <c r="F457" t="s">
        <v>41</v>
      </c>
      <c r="G457">
        <v>-353.52300000000002</v>
      </c>
      <c r="H457" s="1">
        <v>-3.1537739999999999E-6</v>
      </c>
      <c r="I457">
        <v>367.40170000000001</v>
      </c>
      <c r="J457">
        <v>-404.34100000000001</v>
      </c>
      <c r="K457">
        <v>1.070344</v>
      </c>
      <c r="L457">
        <v>367.31950000000001</v>
      </c>
      <c r="M457">
        <v>0.99993779999999999</v>
      </c>
      <c r="N457">
        <v>-9.4577089999999999E-3</v>
      </c>
      <c r="O457">
        <v>-5.9151689999999996E-3</v>
      </c>
      <c r="P457">
        <v>0.99078540000000004</v>
      </c>
      <c r="Q457">
        <v>0.1342247</v>
      </c>
      <c r="R457">
        <v>-1.8114669999999999E-2</v>
      </c>
      <c r="S457">
        <v>3.0364689999999999</v>
      </c>
      <c r="T457">
        <v>-6.3694120000000007E-2</v>
      </c>
      <c r="U457">
        <v>4.8217770000000002E-3</v>
      </c>
      <c r="V457">
        <v>1.2273350000000001E-2</v>
      </c>
      <c r="W457">
        <v>0.14358859999999901</v>
      </c>
      <c r="X457">
        <v>0.98956140000000004</v>
      </c>
      <c r="Y457">
        <v>-7.5005660000000002E-3</v>
      </c>
      <c r="Z457">
        <v>1.8225699999999999E-4</v>
      </c>
      <c r="AA457">
        <v>0.99997190000000002</v>
      </c>
      <c r="AB457">
        <v>23</v>
      </c>
      <c r="AC457">
        <v>50.817999999999898</v>
      </c>
      <c r="AD457">
        <v>-1.0703471537739999</v>
      </c>
      <c r="AE457">
        <v>8.2200000000000203E-2</v>
      </c>
      <c r="AF457">
        <v>-0.38263931146750102</v>
      </c>
      <c r="AG457">
        <v>-1.0703471537739999</v>
      </c>
      <c r="AH457">
        <v>50.794091248234999</v>
      </c>
      <c r="AI457">
        <v>91.207139631012893</v>
      </c>
      <c r="AJ457">
        <v>90.431609314961094</v>
      </c>
      <c r="AK457">
        <v>50.806808221008097</v>
      </c>
      <c r="AL457">
        <v>81.744443678145402</v>
      </c>
      <c r="AM457">
        <v>89.289407306595507</v>
      </c>
      <c r="AN457">
        <v>1.0000000427700699</v>
      </c>
    </row>
    <row r="458" spans="1:40" x14ac:dyDescent="0.25">
      <c r="A458" t="str">
        <f>"20190303162220651"</f>
        <v>20190303162220651</v>
      </c>
      <c r="B458" t="str">
        <f>"1551601340644419"</f>
        <v>1551601340644419</v>
      </c>
      <c r="C458" t="s">
        <v>40</v>
      </c>
      <c r="D458">
        <v>5.7652720000000004</v>
      </c>
      <c r="E458">
        <v>0.49234600000000001</v>
      </c>
      <c r="F458" t="s">
        <v>41</v>
      </c>
      <c r="G458">
        <v>-355.52780000000001</v>
      </c>
      <c r="H458" s="1">
        <v>-2.298395E-6</v>
      </c>
      <c r="I458">
        <v>367.37529999999998</v>
      </c>
      <c r="J458">
        <v>-404.09859999999998</v>
      </c>
      <c r="K458">
        <v>1.070335</v>
      </c>
      <c r="L458">
        <v>367.31799999999998</v>
      </c>
      <c r="M458">
        <v>0.99993750000000003</v>
      </c>
      <c r="N458">
        <v>-9.4737129999999999E-3</v>
      </c>
      <c r="O458">
        <v>-5.9710700000000002E-3</v>
      </c>
      <c r="P458">
        <v>0.99074830000000003</v>
      </c>
      <c r="Q458">
        <v>0.13438889999999901</v>
      </c>
      <c r="R458">
        <v>-1.8911549999999999E-2</v>
      </c>
      <c r="S458">
        <v>3.0369570000000001</v>
      </c>
      <c r="T458">
        <v>-6.6592449999999997E-2</v>
      </c>
      <c r="U458">
        <v>3.479004E-3</v>
      </c>
      <c r="V458">
        <v>1.3016099999999999E-2</v>
      </c>
      <c r="W458">
        <v>0.143767899999999</v>
      </c>
      <c r="X458">
        <v>0.98952589999999996</v>
      </c>
      <c r="Y458">
        <v>-7.1139559999999899E-3</v>
      </c>
      <c r="Z458">
        <v>1.8603789999999999E-4</v>
      </c>
      <c r="AA458">
        <v>0.99997469999999999</v>
      </c>
      <c r="AB458">
        <v>23</v>
      </c>
      <c r="AC458">
        <v>48.570799999999899</v>
      </c>
      <c r="AD458">
        <v>-1.0703372983949999</v>
      </c>
      <c r="AE458">
        <v>5.7299999999941002E-2</v>
      </c>
      <c r="AF458">
        <v>-0.34716299475053802</v>
      </c>
      <c r="AG458">
        <v>-1.0703372983949999</v>
      </c>
      <c r="AH458">
        <v>48.546017321987698</v>
      </c>
      <c r="AI458">
        <v>91.263014184036606</v>
      </c>
      <c r="AJ458">
        <v>90.409727438748206</v>
      </c>
      <c r="AK458">
        <v>48.5590562295437</v>
      </c>
      <c r="AL458">
        <v>81.734063043034595</v>
      </c>
      <c r="AM458">
        <v>89.246381940906005</v>
      </c>
      <c r="AN458">
        <v>1.0000000673502101</v>
      </c>
    </row>
    <row r="459" spans="1:40" x14ac:dyDescent="0.25">
      <c r="A459" t="str">
        <f>"20190303162220664"</f>
        <v>20190303162220664</v>
      </c>
      <c r="B459" t="str">
        <f>"1551601340655153"</f>
        <v>1551601340655153</v>
      </c>
      <c r="C459" t="s">
        <v>40</v>
      </c>
      <c r="D459">
        <v>5.7663270000000004</v>
      </c>
      <c r="E459">
        <v>0.4923669</v>
      </c>
      <c r="F459" t="s">
        <v>41</v>
      </c>
      <c r="G459">
        <v>-358.27159999999998</v>
      </c>
      <c r="H459" s="1">
        <v>-1.191074E-6</v>
      </c>
      <c r="I459">
        <v>367.29809999999998</v>
      </c>
      <c r="J459">
        <v>-403.95749999999998</v>
      </c>
      <c r="K459">
        <v>1.070335</v>
      </c>
      <c r="L459">
        <v>367.31709999999998</v>
      </c>
      <c r="M459">
        <v>0.99993710000000002</v>
      </c>
      <c r="N459">
        <v>-9.4820770000000002E-3</v>
      </c>
      <c r="O459">
        <v>-6.0033150000000004E-3</v>
      </c>
      <c r="P459">
        <v>0.99072139999999997</v>
      </c>
      <c r="Q459">
        <v>0.1344909</v>
      </c>
      <c r="R459">
        <v>-1.9583989999999999E-2</v>
      </c>
      <c r="S459">
        <v>3.0376590000000001</v>
      </c>
      <c r="T459">
        <v>-7.0947529999999995E-2</v>
      </c>
      <c r="U459">
        <v>-1.3122559999999999E-3</v>
      </c>
      <c r="V459">
        <v>1.365736E-2</v>
      </c>
      <c r="W459">
        <v>0.1438779</v>
      </c>
      <c r="X459">
        <v>0.98950119999999997</v>
      </c>
      <c r="Y459">
        <v>-5.5688830000000002E-3</v>
      </c>
      <c r="Z459">
        <v>1.747052E-4</v>
      </c>
      <c r="AA459">
        <v>0.99998450000000005</v>
      </c>
      <c r="AB459">
        <v>23</v>
      </c>
      <c r="AC459">
        <v>45.685899999999997</v>
      </c>
      <c r="AD459">
        <v>-1.0703361910739999</v>
      </c>
      <c r="AE459">
        <v>-1.9000000000005401E-2</v>
      </c>
      <c r="AF459">
        <v>-0.25513946009559302</v>
      </c>
      <c r="AG459">
        <v>-1.0703361910739999</v>
      </c>
      <c r="AH459">
        <v>45.660128882639299</v>
      </c>
      <c r="AI459">
        <v>91.342824953972993</v>
      </c>
      <c r="AJ459">
        <v>90.320153763589502</v>
      </c>
      <c r="AK459">
        <v>45.673384867833597</v>
      </c>
      <c r="AL459">
        <v>81.727693726916698</v>
      </c>
      <c r="AM459">
        <v>89.209238550726994</v>
      </c>
      <c r="AN459">
        <v>0.99999999919600902</v>
      </c>
    </row>
    <row r="460" spans="1:40" x14ac:dyDescent="0.25">
      <c r="A460" t="str">
        <f>"20190303162220684"</f>
        <v>20190303162220684</v>
      </c>
      <c r="B460" t="str">
        <f>"1551601340674673"</f>
        <v>1551601340674673</v>
      </c>
      <c r="C460" t="s">
        <v>40</v>
      </c>
      <c r="D460">
        <v>5.7585739999999896</v>
      </c>
      <c r="E460">
        <v>0.4925156</v>
      </c>
      <c r="F460" t="s">
        <v>41</v>
      </c>
      <c r="G460">
        <v>-358.36799999999999</v>
      </c>
      <c r="H460" s="1">
        <v>-1.1664120000000001E-6</v>
      </c>
      <c r="I460">
        <v>367.26760000000002</v>
      </c>
      <c r="J460">
        <v>-403.75130000000001</v>
      </c>
      <c r="K460">
        <v>1.0703309999999999</v>
      </c>
      <c r="L460">
        <v>367.31580000000002</v>
      </c>
      <c r="M460">
        <v>0.99993670000000001</v>
      </c>
      <c r="N460">
        <v>-9.4932239999999998E-3</v>
      </c>
      <c r="O460">
        <v>-6.0498679999999999E-3</v>
      </c>
      <c r="P460">
        <v>0.99062709999999998</v>
      </c>
      <c r="Q460">
        <v>0.13499029999999901</v>
      </c>
      <c r="R460">
        <v>-2.0882609999999999E-2</v>
      </c>
      <c r="S460">
        <v>3.03775</v>
      </c>
      <c r="T460">
        <v>-7.1319099999999996E-2</v>
      </c>
      <c r="U460">
        <v>-3.2958979999999998E-3</v>
      </c>
      <c r="V460">
        <v>1.491075E-2</v>
      </c>
      <c r="W460">
        <v>0.14438699999999999</v>
      </c>
      <c r="X460">
        <v>0.98940899999999998</v>
      </c>
      <c r="Y460">
        <v>-4.9626660000000001E-3</v>
      </c>
      <c r="Z460">
        <v>1.6639509999999999E-4</v>
      </c>
      <c r="AA460">
        <v>0.99998770000000003</v>
      </c>
      <c r="AB460">
        <v>23</v>
      </c>
      <c r="AC460">
        <v>45.383299999999899</v>
      </c>
      <c r="AD460">
        <v>-1.070332166412</v>
      </c>
      <c r="AE460">
        <v>-4.8200000000008403E-2</v>
      </c>
      <c r="AF460">
        <v>-0.22625036769055801</v>
      </c>
      <c r="AG460">
        <v>-1.070332166412</v>
      </c>
      <c r="AH460">
        <v>45.357532353705999</v>
      </c>
      <c r="AI460">
        <v>91.351779316246805</v>
      </c>
      <c r="AJ460">
        <v>90.285797815611502</v>
      </c>
      <c r="AK460">
        <v>45.370723395079601</v>
      </c>
      <c r="AL460">
        <v>81.698217105376202</v>
      </c>
      <c r="AM460">
        <v>89.136597325832497</v>
      </c>
      <c r="AN460">
        <v>1.0000000527577699</v>
      </c>
    </row>
    <row r="461" spans="1:40" x14ac:dyDescent="0.25">
      <c r="A461" t="str">
        <f>"20190303162220709"</f>
        <v>20190303162220709</v>
      </c>
      <c r="B461" t="str">
        <f>"1551601340695169"</f>
        <v>1551601340695169</v>
      </c>
      <c r="C461" t="s">
        <v>40</v>
      </c>
      <c r="D461">
        <v>5.7598929999999999</v>
      </c>
      <c r="E461">
        <v>0.49257390000000001</v>
      </c>
      <c r="F461" t="s">
        <v>41</v>
      </c>
      <c r="G461">
        <v>-358.90910000000002</v>
      </c>
      <c r="H461" s="1">
        <v>-1.0032420000000001E-6</v>
      </c>
      <c r="I461">
        <v>367.18869999999998</v>
      </c>
      <c r="J461">
        <v>-403.49810000000002</v>
      </c>
      <c r="K461">
        <v>1.070343</v>
      </c>
      <c r="L461">
        <v>367.31420000000003</v>
      </c>
      <c r="M461">
        <v>0.99993620000000005</v>
      </c>
      <c r="N461">
        <v>-9.50522E-3</v>
      </c>
      <c r="O461">
        <v>-6.1049859999999997E-3</v>
      </c>
      <c r="P461">
        <v>0.99049469999999995</v>
      </c>
      <c r="Q461">
        <v>0.13569690000000001</v>
      </c>
      <c r="R461">
        <v>-2.251154E-2</v>
      </c>
      <c r="S461">
        <v>3.0380859999999998</v>
      </c>
      <c r="T461">
        <v>-7.2515609999999994E-2</v>
      </c>
      <c r="U461">
        <v>-8.6059569999999991E-3</v>
      </c>
      <c r="V461">
        <v>1.6485429999999999E-2</v>
      </c>
      <c r="W461">
        <v>0.14510419999999999</v>
      </c>
      <c r="X461">
        <v>0.98927900000000002</v>
      </c>
      <c r="Y461">
        <v>-3.2706789999999999E-3</v>
      </c>
      <c r="Z461">
        <v>1.4224689999999999E-4</v>
      </c>
      <c r="AA461">
        <v>0.99999459999999996</v>
      </c>
      <c r="AB461">
        <v>23</v>
      </c>
      <c r="AC461">
        <v>44.588999999999999</v>
      </c>
      <c r="AD461">
        <v>-1.070344003242</v>
      </c>
      <c r="AE461">
        <v>-0.12550000000004499</v>
      </c>
      <c r="AF461">
        <v>-0.14664535460202799</v>
      </c>
      <c r="AG461">
        <v>-1.070344003242</v>
      </c>
      <c r="AH461">
        <v>44.563256980526397</v>
      </c>
      <c r="AI461">
        <v>91.375888513885897</v>
      </c>
      <c r="AJ461">
        <v>90.188543884464195</v>
      </c>
      <c r="AK461">
        <v>44.576350387371797</v>
      </c>
      <c r="AL461">
        <v>81.6566865149493</v>
      </c>
      <c r="AM461">
        <v>89.0453065857197</v>
      </c>
      <c r="AN461">
        <v>0.99999996905046196</v>
      </c>
    </row>
    <row r="462" spans="1:40" x14ac:dyDescent="0.25">
      <c r="A462" t="str">
        <f>"20190303162220741"</f>
        <v>20190303162220741</v>
      </c>
      <c r="B462" t="str">
        <f>"1551601340735185"</f>
        <v>1551601340735185</v>
      </c>
      <c r="C462" t="s">
        <v>40</v>
      </c>
      <c r="D462">
        <v>5.8271610000000003</v>
      </c>
      <c r="E462">
        <v>0.4927397</v>
      </c>
      <c r="F462" t="s">
        <v>41</v>
      </c>
      <c r="G462">
        <v>-358.46910000000003</v>
      </c>
      <c r="H462" s="1">
        <v>-1.1742079999999999E-6</v>
      </c>
      <c r="I462">
        <v>367.10879999999997</v>
      </c>
      <c r="J462">
        <v>-403.15460000000002</v>
      </c>
      <c r="K462">
        <v>1.0703530000000001</v>
      </c>
      <c r="L462">
        <v>367.31200000000001</v>
      </c>
      <c r="M462">
        <v>0.99993569999999998</v>
      </c>
      <c r="N462">
        <v>-9.5200000000000007E-3</v>
      </c>
      <c r="O462">
        <v>-6.1797500000000003E-3</v>
      </c>
      <c r="P462">
        <v>0.99044339999999997</v>
      </c>
      <c r="Q462">
        <v>0.13597909999999999</v>
      </c>
      <c r="R462">
        <v>-2.3056980000000001E-2</v>
      </c>
      <c r="S462">
        <v>3.0383909999999998</v>
      </c>
      <c r="T462">
        <v>-7.2222830000000002E-2</v>
      </c>
      <c r="U462">
        <v>-1.3854979999999999E-2</v>
      </c>
      <c r="V462">
        <v>1.6955970000000001E-2</v>
      </c>
      <c r="W462">
        <v>0.14540049999999999</v>
      </c>
      <c r="X462">
        <v>0.98922759999999998</v>
      </c>
      <c r="Y462">
        <v>-1.6188589999999901E-3</v>
      </c>
      <c r="Z462">
        <v>1.149877E-4</v>
      </c>
      <c r="AA462">
        <v>0.99999870000000002</v>
      </c>
      <c r="AB462">
        <v>24</v>
      </c>
      <c r="AC462">
        <v>44.685499999999898</v>
      </c>
      <c r="AD462">
        <v>-1.0703541742080001</v>
      </c>
      <c r="AE462">
        <v>-0.20319999999998101</v>
      </c>
      <c r="AF462">
        <v>-7.29197458125843E-2</v>
      </c>
      <c r="AG462">
        <v>-1.0703541742080001</v>
      </c>
      <c r="AH462">
        <v>44.6602791918693</v>
      </c>
      <c r="AI462">
        <v>91.372919252857997</v>
      </c>
      <c r="AJ462">
        <v>90.093550466792806</v>
      </c>
      <c r="AK462">
        <v>44.673163228534499</v>
      </c>
      <c r="AL462">
        <v>81.639528292371594</v>
      </c>
      <c r="AM462">
        <v>89.018011231876599</v>
      </c>
      <c r="AN462">
        <v>1.00000002746032</v>
      </c>
    </row>
    <row r="463" spans="1:40" x14ac:dyDescent="0.25">
      <c r="A463" t="str">
        <f>"20190303162220763"</f>
        <v>20190303162220763</v>
      </c>
      <c r="B463" t="str">
        <f>"1551601340754708"</f>
        <v>1551601340754708</v>
      </c>
      <c r="C463" t="s">
        <v>40</v>
      </c>
      <c r="D463">
        <v>5.7647320000000004</v>
      </c>
      <c r="E463">
        <v>0.49274200000000001</v>
      </c>
      <c r="F463" t="s">
        <v>41</v>
      </c>
      <c r="G463">
        <v>-359.66199999999998</v>
      </c>
      <c r="H463" s="1">
        <v>-7.7748350000000004E-7</v>
      </c>
      <c r="I463">
        <v>367.07429999999999</v>
      </c>
      <c r="J463">
        <v>-402.91930000000002</v>
      </c>
      <c r="K463">
        <v>1.0703609999999999</v>
      </c>
      <c r="L463">
        <v>367.31049999999999</v>
      </c>
      <c r="M463">
        <v>0.99993529999999997</v>
      </c>
      <c r="N463">
        <v>-9.5294839999999995E-3</v>
      </c>
      <c r="O463">
        <v>-6.2292299999999997E-3</v>
      </c>
      <c r="P463">
        <v>0.99047160000000001</v>
      </c>
      <c r="Q463">
        <v>0.13583239999999999</v>
      </c>
      <c r="R463">
        <v>-2.2713420000000002E-2</v>
      </c>
      <c r="S463">
        <v>3.0388489999999999</v>
      </c>
      <c r="T463">
        <v>-7.4785950000000004E-2</v>
      </c>
      <c r="U463">
        <v>-1.6601560000000001E-2</v>
      </c>
      <c r="V463">
        <v>1.6561889999999999E-2</v>
      </c>
      <c r="W463">
        <v>0.14526410000000001</v>
      </c>
      <c r="X463">
        <v>0.98925430000000003</v>
      </c>
      <c r="Y463">
        <v>-7.654688E-4</v>
      </c>
      <c r="Z463">
        <v>1.069838E-4</v>
      </c>
      <c r="AA463">
        <v>0.99999970000000005</v>
      </c>
      <c r="AB463">
        <v>24</v>
      </c>
      <c r="AC463">
        <v>43.257300000000001</v>
      </c>
      <c r="AD463">
        <v>-1.0703617774834999</v>
      </c>
      <c r="AE463">
        <v>-0.236199999999996</v>
      </c>
      <c r="AF463">
        <v>-3.3256099276055898E-2</v>
      </c>
      <c r="AG463">
        <v>-1.0703617774834999</v>
      </c>
      <c r="AH463">
        <v>43.231463561812397</v>
      </c>
      <c r="AI463">
        <v>91.418288038507299</v>
      </c>
      <c r="AJ463">
        <v>90.044075161901702</v>
      </c>
      <c r="AK463">
        <v>43.244724788107398</v>
      </c>
      <c r="AL463">
        <v>81.647427175274899</v>
      </c>
      <c r="AM463">
        <v>89.040855566430395</v>
      </c>
      <c r="AN463">
        <v>1.00000001250883</v>
      </c>
    </row>
    <row r="464" spans="1:40" x14ac:dyDescent="0.25">
      <c r="A464" t="str">
        <f>"20190303162220784"</f>
        <v>20190303162220784</v>
      </c>
      <c r="B464" t="str">
        <f>"1551601340774225"</f>
        <v>1551601340774225</v>
      </c>
      <c r="C464" t="s">
        <v>40</v>
      </c>
      <c r="D464">
        <v>5.7636089999999998</v>
      </c>
      <c r="E464">
        <v>0.4927492</v>
      </c>
      <c r="F464" t="s">
        <v>41</v>
      </c>
      <c r="G464">
        <v>-360.23989999999998</v>
      </c>
      <c r="H464" s="1">
        <v>-4.6156600000000003E-6</v>
      </c>
      <c r="I464">
        <v>367.10039999999998</v>
      </c>
      <c r="J464">
        <v>-402.69159999999999</v>
      </c>
      <c r="K464">
        <v>1.070363</v>
      </c>
      <c r="L464">
        <v>367.30900000000003</v>
      </c>
      <c r="M464">
        <v>0.99993469999999995</v>
      </c>
      <c r="N464">
        <v>-9.5384230000000007E-3</v>
      </c>
      <c r="O464">
        <v>-6.2752579999999997E-3</v>
      </c>
      <c r="P464">
        <v>0.99045030000000001</v>
      </c>
      <c r="Q464">
        <v>0.13595989999999999</v>
      </c>
      <c r="R464">
        <v>-2.2865920000000001E-2</v>
      </c>
      <c r="S464">
        <v>3.0389710000000001</v>
      </c>
      <c r="T464">
        <v>-7.6214790000000004E-2</v>
      </c>
      <c r="U464">
        <v>-1.4953610000000001E-2</v>
      </c>
      <c r="V464">
        <v>1.666834E-2</v>
      </c>
      <c r="W464">
        <v>0.1454</v>
      </c>
      <c r="X464">
        <v>0.98923249999999996</v>
      </c>
      <c r="Y464">
        <v>-1.353663E-3</v>
      </c>
      <c r="Z464">
        <v>1.2092840000000001E-4</v>
      </c>
      <c r="AA464">
        <v>0.99999910000000003</v>
      </c>
      <c r="AB464">
        <v>24</v>
      </c>
      <c r="AC464">
        <v>42.451700000000002</v>
      </c>
      <c r="AD464">
        <v>-1.0703676156599999</v>
      </c>
      <c r="AE464">
        <v>-0.208600000000046</v>
      </c>
      <c r="AF464">
        <v>-5.7774899769145398E-2</v>
      </c>
      <c r="AG464">
        <v>-1.0703676156599999</v>
      </c>
      <c r="AH464">
        <v>42.425202632398502</v>
      </c>
      <c r="AI464">
        <v>91.445237240771206</v>
      </c>
      <c r="AJ464">
        <v>90.078025693853206</v>
      </c>
      <c r="AK464">
        <v>42.438742243046804</v>
      </c>
      <c r="AL464">
        <v>81.639556733047996</v>
      </c>
      <c r="AM464">
        <v>89.034670649277402</v>
      </c>
      <c r="AN464">
        <v>0.99999996630730204</v>
      </c>
    </row>
    <row r="465" spans="1:40" x14ac:dyDescent="0.25">
      <c r="A465" t="str">
        <f>"20190303162220807"</f>
        <v>20190303162220807</v>
      </c>
      <c r="B465" t="str">
        <f>"1551601340794721"</f>
        <v>1551601340794721</v>
      </c>
      <c r="C465" t="s">
        <v>40</v>
      </c>
      <c r="D465">
        <v>5.7617890000000003</v>
      </c>
      <c r="E465">
        <v>0.49266739999999998</v>
      </c>
      <c r="F465" t="s">
        <v>41</v>
      </c>
      <c r="G465">
        <v>-360.49549999999999</v>
      </c>
      <c r="H465" s="1">
        <v>-4.5065809999999999E-6</v>
      </c>
      <c r="I465">
        <v>367.09699999999998</v>
      </c>
      <c r="J465">
        <v>-402.44740000000002</v>
      </c>
      <c r="K465">
        <v>1.0703590000000001</v>
      </c>
      <c r="L465">
        <v>367.30739999999997</v>
      </c>
      <c r="M465">
        <v>0.9999344</v>
      </c>
      <c r="N465">
        <v>-9.5474930000000006E-3</v>
      </c>
      <c r="O465">
        <v>-6.3230810000000004E-3</v>
      </c>
      <c r="P465">
        <v>0.99051549999999999</v>
      </c>
      <c r="Q465">
        <v>0.1354291</v>
      </c>
      <c r="R465">
        <v>-2.319585E-2</v>
      </c>
      <c r="S465">
        <v>3.0391539999999999</v>
      </c>
      <c r="T465">
        <v>-7.7092530000000006E-2</v>
      </c>
      <c r="U465">
        <v>-1.525879E-2</v>
      </c>
      <c r="V465">
        <v>1.694967E-2</v>
      </c>
      <c r="W465">
        <v>0.1448787</v>
      </c>
      <c r="X465">
        <v>0.98930419999999997</v>
      </c>
      <c r="Y465">
        <v>-1.3013510000000001E-3</v>
      </c>
      <c r="Z465">
        <v>1.2271719999999901E-4</v>
      </c>
      <c r="AA465">
        <v>0.99999919999999998</v>
      </c>
      <c r="AB465">
        <v>24</v>
      </c>
      <c r="AC465">
        <v>41.951900000000002</v>
      </c>
      <c r="AD465">
        <v>-1.070363506581</v>
      </c>
      <c r="AE465">
        <v>-0.21039999999999201</v>
      </c>
      <c r="AF465">
        <v>-5.4845865115436598E-2</v>
      </c>
      <c r="AG465">
        <v>-1.070363506581</v>
      </c>
      <c r="AH465">
        <v>41.925100513053401</v>
      </c>
      <c r="AI465">
        <v>91.462463753389997</v>
      </c>
      <c r="AJ465">
        <v>90.074953542479307</v>
      </c>
      <c r="AK465">
        <v>41.938797540401303</v>
      </c>
      <c r="AL465">
        <v>81.669744663231995</v>
      </c>
      <c r="AM465">
        <v>89.018452009403305</v>
      </c>
      <c r="AN465">
        <v>0.99999996458221796</v>
      </c>
    </row>
    <row r="466" spans="1:40" x14ac:dyDescent="0.25">
      <c r="A466" t="str">
        <f>"20190303162220829"</f>
        <v>20190303162220829</v>
      </c>
      <c r="B466" t="str">
        <f>"1551601340824978"</f>
        <v>1551601340824978</v>
      </c>
      <c r="C466" t="s">
        <v>40</v>
      </c>
      <c r="D466">
        <v>5.8214290000000002</v>
      </c>
      <c r="E466">
        <v>0.49260700000000002</v>
      </c>
      <c r="F466" t="s">
        <v>41</v>
      </c>
      <c r="G466">
        <v>-361.95929999999998</v>
      </c>
      <c r="H466" s="1">
        <v>-3.8778740000000003E-6</v>
      </c>
      <c r="I466">
        <v>367.10120000000001</v>
      </c>
      <c r="J466">
        <v>-402.21010000000001</v>
      </c>
      <c r="K466">
        <v>1.0703590000000001</v>
      </c>
      <c r="L466">
        <v>367.30579999999998</v>
      </c>
      <c r="M466">
        <v>0.99993410000000005</v>
      </c>
      <c r="N466">
        <v>-9.55604E-3</v>
      </c>
      <c r="O466">
        <v>-6.3678140000000003E-3</v>
      </c>
      <c r="P466">
        <v>0.99053170000000001</v>
      </c>
      <c r="Q466">
        <v>0.13526859999999999</v>
      </c>
      <c r="R466">
        <v>-2.3443559999999999E-2</v>
      </c>
      <c r="S466">
        <v>3.039307</v>
      </c>
      <c r="T466">
        <v>-8.0348370000000002E-2</v>
      </c>
      <c r="U466">
        <v>-1.5472410000000001E-2</v>
      </c>
      <c r="V466">
        <v>1.7152540000000001E-2</v>
      </c>
      <c r="W466">
        <v>0.1447272</v>
      </c>
      <c r="X466">
        <v>0.98932290000000001</v>
      </c>
      <c r="Y466">
        <v>-1.275907E-3</v>
      </c>
      <c r="Z466">
        <v>1.304244E-4</v>
      </c>
      <c r="AA466">
        <v>0.99999919999999998</v>
      </c>
      <c r="AB466">
        <v>24</v>
      </c>
      <c r="AC466">
        <v>40.250799999999998</v>
      </c>
      <c r="AD466">
        <v>-1.070362877874</v>
      </c>
      <c r="AE466">
        <v>-0.20459999999997</v>
      </c>
      <c r="AF466">
        <v>-5.1688899843662997E-2</v>
      </c>
      <c r="AG466">
        <v>-1.070362877874</v>
      </c>
      <c r="AH466">
        <v>40.222843818269098</v>
      </c>
      <c r="AI466">
        <v>91.524326704994806</v>
      </c>
      <c r="AJ466">
        <v>90.073628662157006</v>
      </c>
      <c r="AK466">
        <v>40.237116115118901</v>
      </c>
      <c r="AL466">
        <v>81.678517616306607</v>
      </c>
      <c r="AM466">
        <v>89.006725007396099</v>
      </c>
      <c r="AN466">
        <v>0.99999998625635</v>
      </c>
    </row>
    <row r="467" spans="1:40" x14ac:dyDescent="0.25">
      <c r="A467" t="str">
        <f>"20190303162220852"</f>
        <v>20190303162220852</v>
      </c>
      <c r="B467" t="str">
        <f>"1551601340844496"</f>
        <v>1551601340844496</v>
      </c>
      <c r="C467" t="s">
        <v>40</v>
      </c>
      <c r="D467">
        <v>5.7256739999999997</v>
      </c>
      <c r="E467">
        <v>0.49179430000000002</v>
      </c>
      <c r="F467" t="s">
        <v>41</v>
      </c>
      <c r="G467">
        <v>-362.6857</v>
      </c>
      <c r="H467" s="1">
        <v>-3.5663620000000001E-6</v>
      </c>
      <c r="I467">
        <v>367.10059999999999</v>
      </c>
      <c r="J467">
        <v>-401.97059999999999</v>
      </c>
      <c r="K467">
        <v>1.0703609999999999</v>
      </c>
      <c r="L467">
        <v>367.30419999999998</v>
      </c>
      <c r="M467">
        <v>0.99993370000000004</v>
      </c>
      <c r="N467">
        <v>-9.5644719999999992E-3</v>
      </c>
      <c r="O467">
        <v>-6.4123110000000004E-3</v>
      </c>
      <c r="P467">
        <v>0.99053910000000001</v>
      </c>
      <c r="Q467">
        <v>0.13491989999999901</v>
      </c>
      <c r="R467">
        <v>-2.507879E-2</v>
      </c>
      <c r="S467">
        <v>3.0395509999999999</v>
      </c>
      <c r="T467">
        <v>-8.2314129999999999E-2</v>
      </c>
      <c r="U467">
        <v>-1.5777590000000001E-2</v>
      </c>
      <c r="V467">
        <v>1.8743260000000001E-2</v>
      </c>
      <c r="W467">
        <v>0.14438709999999999</v>
      </c>
      <c r="X467">
        <v>0.9893438</v>
      </c>
      <c r="Y467">
        <v>-1.220343E-3</v>
      </c>
      <c r="Z467">
        <v>1.346512E-4</v>
      </c>
      <c r="AA467">
        <v>0.99999919999999998</v>
      </c>
      <c r="AB467">
        <v>24</v>
      </c>
      <c r="AC467">
        <v>39.284899999999901</v>
      </c>
      <c r="AD467">
        <v>-1.0703645663620001</v>
      </c>
      <c r="AE467">
        <v>-0.20359999999999401</v>
      </c>
      <c r="AF467">
        <v>-4.8286860292491497E-2</v>
      </c>
      <c r="AG467">
        <v>-1.0703645663620001</v>
      </c>
      <c r="AH467">
        <v>39.256256541539898</v>
      </c>
      <c r="AI467">
        <v>91.5618436468026</v>
      </c>
      <c r="AJ467">
        <v>90.070476203008795</v>
      </c>
      <c r="AK467">
        <v>39.2708758443327</v>
      </c>
      <c r="AL467">
        <v>81.698211288056299</v>
      </c>
      <c r="AM467">
        <v>88.914653088262597</v>
      </c>
      <c r="AN467">
        <v>1.00000004952013</v>
      </c>
    </row>
    <row r="468" spans="1:40" x14ac:dyDescent="0.25">
      <c r="A468" t="str">
        <f>"20190303162220873"</f>
        <v>20190303162220873</v>
      </c>
      <c r="B468" t="str">
        <f>"1551601340864993"</f>
        <v>1551601340864993</v>
      </c>
      <c r="C468" t="s">
        <v>40</v>
      </c>
      <c r="D468">
        <v>5.7335140000000004</v>
      </c>
      <c r="E468">
        <v>0.4561191</v>
      </c>
      <c r="F468" t="s">
        <v>41</v>
      </c>
      <c r="G468">
        <v>-363.10879999999997</v>
      </c>
      <c r="H468" s="1">
        <v>-3.3798420000000001E-6</v>
      </c>
      <c r="I468">
        <v>367.12900000000002</v>
      </c>
      <c r="J468">
        <v>-401.74380000000002</v>
      </c>
      <c r="K468">
        <v>1.070352</v>
      </c>
      <c r="L468">
        <v>367.30270000000002</v>
      </c>
      <c r="M468">
        <v>0.99993350000000003</v>
      </c>
      <c r="N468">
        <v>-9.5722870000000005E-3</v>
      </c>
      <c r="O468">
        <v>-6.4547809999999997E-3</v>
      </c>
      <c r="P468">
        <v>0.99061659999999996</v>
      </c>
      <c r="Q468">
        <v>0.1341445</v>
      </c>
      <c r="R468">
        <v>-2.615495E-2</v>
      </c>
      <c r="S468">
        <v>3.0396730000000001</v>
      </c>
      <c r="T468">
        <v>-8.3721039999999997E-2</v>
      </c>
      <c r="U468">
        <v>-1.370239E-2</v>
      </c>
      <c r="V468">
        <v>1.977663E-2</v>
      </c>
      <c r="W468">
        <v>0.1436202</v>
      </c>
      <c r="X468">
        <v>0.98943530000000002</v>
      </c>
      <c r="Y468">
        <v>-1.945263E-3</v>
      </c>
      <c r="Z468">
        <v>1.5206209999999999E-4</v>
      </c>
      <c r="AA468">
        <v>0.9999981</v>
      </c>
      <c r="AB468">
        <v>24</v>
      </c>
      <c r="AC468">
        <v>38.634999999999998</v>
      </c>
      <c r="AD468">
        <v>-1.070355379842</v>
      </c>
      <c r="AE468">
        <v>-0.173699999999996</v>
      </c>
      <c r="AF468">
        <v>-7.5637419095465605E-2</v>
      </c>
      <c r="AG468">
        <v>-1.070355379842</v>
      </c>
      <c r="AH468">
        <v>38.605685975277098</v>
      </c>
      <c r="AI468">
        <v>91.588134495413598</v>
      </c>
      <c r="AJ468">
        <v>90.112255467889497</v>
      </c>
      <c r="AK468">
        <v>38.620595169935299</v>
      </c>
      <c r="AL468">
        <v>81.742614186875102</v>
      </c>
      <c r="AM468">
        <v>88.854936174030399</v>
      </c>
      <c r="AN468">
        <v>1.00000004491414</v>
      </c>
    </row>
    <row r="469" spans="1:40" x14ac:dyDescent="0.25">
      <c r="A469" t="str">
        <f>"20190303162220896"</f>
        <v>20190303162220896</v>
      </c>
      <c r="B469" t="str">
        <f>"1551601340884513"</f>
        <v>1551601340884513</v>
      </c>
      <c r="C469" t="s">
        <v>40</v>
      </c>
      <c r="D469">
        <v>5.5081530000000001</v>
      </c>
      <c r="E469">
        <v>0.45326329999999998</v>
      </c>
      <c r="F469" t="s">
        <v>41</v>
      </c>
      <c r="G469">
        <v>-373.5034</v>
      </c>
      <c r="H469" s="1">
        <v>-2.8126110000000001E-6</v>
      </c>
      <c r="I469">
        <v>369.77890000000002</v>
      </c>
      <c r="J469">
        <v>-401.50569999999999</v>
      </c>
      <c r="K469">
        <v>1.0703499999999999</v>
      </c>
      <c r="L469">
        <v>367.30110000000002</v>
      </c>
      <c r="M469">
        <v>0.99993319999999997</v>
      </c>
      <c r="N469">
        <v>-9.5803610000000008E-3</v>
      </c>
      <c r="O469">
        <v>-6.499398E-3</v>
      </c>
      <c r="P469">
        <v>0.99072190000000004</v>
      </c>
      <c r="Q469">
        <v>0.13321839999999999</v>
      </c>
      <c r="R469">
        <v>-2.690029E-2</v>
      </c>
      <c r="S469">
        <v>3.0511469999999998</v>
      </c>
      <c r="T469">
        <v>-0.115643</v>
      </c>
      <c r="U469">
        <v>0.267547599999999</v>
      </c>
      <c r="V469">
        <v>2.0476620000000001E-2</v>
      </c>
      <c r="W469">
        <v>0.14270279999999999</v>
      </c>
      <c r="X469">
        <v>0.98955369999999998</v>
      </c>
      <c r="Y469">
        <v>-9.373898E-2</v>
      </c>
      <c r="Z469">
        <v>2.4061519999999999E-3</v>
      </c>
      <c r="AA469">
        <v>0.99559390000000003</v>
      </c>
      <c r="AB469">
        <v>24</v>
      </c>
      <c r="AC469">
        <v>28.002299999999899</v>
      </c>
      <c r="AD469">
        <v>-1.070352812611</v>
      </c>
      <c r="AE469">
        <v>2.4777999999999998</v>
      </c>
      <c r="AF469">
        <v>-2.6559037926354301</v>
      </c>
      <c r="AG469">
        <v>-1.070352812611</v>
      </c>
      <c r="AH469">
        <v>27.945091444767101</v>
      </c>
      <c r="AI469">
        <v>92.183640329962699</v>
      </c>
      <c r="AJ469">
        <v>95.429088499400905</v>
      </c>
      <c r="AK469">
        <v>28.091415342691299</v>
      </c>
      <c r="AL469">
        <v>81.795723646715999</v>
      </c>
      <c r="AM469">
        <v>88.814560045647397</v>
      </c>
      <c r="AN469">
        <v>0.99999995313907597</v>
      </c>
    </row>
    <row r="470" spans="1:40" x14ac:dyDescent="0.25">
      <c r="A470" t="str">
        <f>"20190303162220920"</f>
        <v>20190303162220920</v>
      </c>
      <c r="B470" t="str">
        <f>"1551601340905009"</f>
        <v>1551601340905009</v>
      </c>
      <c r="C470" t="s">
        <v>40</v>
      </c>
      <c r="D470">
        <v>5.4943619999999997</v>
      </c>
      <c r="E470">
        <v>0.45293860000000002</v>
      </c>
      <c r="F470" t="s">
        <v>41</v>
      </c>
      <c r="G470">
        <v>-373.07429999999999</v>
      </c>
      <c r="H470" s="1">
        <v>-3.0510699999999999E-6</v>
      </c>
      <c r="I470">
        <v>369.98329999999999</v>
      </c>
      <c r="J470">
        <v>-401.24799999999999</v>
      </c>
      <c r="K470">
        <v>1.0703499999999999</v>
      </c>
      <c r="L470">
        <v>367.29939999999999</v>
      </c>
      <c r="M470">
        <v>0.99993259999999995</v>
      </c>
      <c r="N470">
        <v>-9.5890000000000003E-3</v>
      </c>
      <c r="O470">
        <v>-6.5479529999999996E-3</v>
      </c>
      <c r="P470">
        <v>0.99080250000000003</v>
      </c>
      <c r="Q470">
        <v>0.13244829999999999</v>
      </c>
      <c r="R470">
        <v>-2.7708440000000001E-2</v>
      </c>
      <c r="S470">
        <v>3.0513919999999999</v>
      </c>
      <c r="T470">
        <v>-0.1148753</v>
      </c>
      <c r="U470">
        <v>0.28787230000000003</v>
      </c>
      <c r="V470">
        <v>2.1236049999999999E-2</v>
      </c>
      <c r="W470">
        <v>0.1419425</v>
      </c>
      <c r="X470">
        <v>0.9896471</v>
      </c>
      <c r="Y470">
        <v>-0.1003505</v>
      </c>
      <c r="Z470">
        <v>2.5497779999999999E-3</v>
      </c>
      <c r="AA470">
        <v>0.99494890000000002</v>
      </c>
      <c r="AB470">
        <v>24</v>
      </c>
      <c r="AC470">
        <v>28.1737</v>
      </c>
      <c r="AD470">
        <v>-1.0703530510699999</v>
      </c>
      <c r="AE470">
        <v>2.6838999999999902</v>
      </c>
      <c r="AF470">
        <v>-2.8642341369986499</v>
      </c>
      <c r="AG470">
        <v>-1.0703530510699999</v>
      </c>
      <c r="AH470">
        <v>28.115306313713798</v>
      </c>
      <c r="AI470">
        <v>92.168988773507394</v>
      </c>
      <c r="AJ470">
        <v>95.816913597589902</v>
      </c>
      <c r="AK470">
        <v>28.281088061802699</v>
      </c>
      <c r="AL470">
        <v>81.839734129226102</v>
      </c>
      <c r="AM470">
        <v>88.770724089871095</v>
      </c>
      <c r="AN470">
        <v>1.00000001283213</v>
      </c>
    </row>
    <row r="471" spans="1:40" x14ac:dyDescent="0.25">
      <c r="A471" t="str">
        <f>"20190303162220943"</f>
        <v>20190303162220943</v>
      </c>
      <c r="B471" t="str">
        <f>"1551601340934289"</f>
        <v>1551601340934289</v>
      </c>
      <c r="C471" t="s">
        <v>40</v>
      </c>
      <c r="D471">
        <v>6.2654769999999997</v>
      </c>
      <c r="E471">
        <v>0.45273750000000001</v>
      </c>
      <c r="F471" t="s">
        <v>41</v>
      </c>
      <c r="G471">
        <v>-372.9468</v>
      </c>
      <c r="H471" s="1">
        <v>-3.1018410000000002E-6</v>
      </c>
      <c r="I471">
        <v>369.96850000000001</v>
      </c>
      <c r="J471">
        <v>-401.01350000000002</v>
      </c>
      <c r="K471">
        <v>1.070635</v>
      </c>
      <c r="L471">
        <v>367.2978</v>
      </c>
      <c r="M471">
        <v>0.99992170000000002</v>
      </c>
      <c r="N471">
        <v>-1.06286E-2</v>
      </c>
      <c r="O471">
        <v>-6.5887280000000003E-3</v>
      </c>
      <c r="P471">
        <v>0.99093710000000002</v>
      </c>
      <c r="Q471">
        <v>0.1313983</v>
      </c>
      <c r="R471">
        <v>-2.7902030000000001E-2</v>
      </c>
      <c r="S471">
        <v>3.0513309999999998</v>
      </c>
      <c r="T471">
        <v>-0.1154013</v>
      </c>
      <c r="U471">
        <v>0.2877808</v>
      </c>
      <c r="V471">
        <v>2.1387440000000001E-2</v>
      </c>
      <c r="W471">
        <v>0.14192260000000001</v>
      </c>
      <c r="X471">
        <v>0.98964669999999999</v>
      </c>
      <c r="Y471">
        <v>-0.1003608</v>
      </c>
      <c r="Z471">
        <v>2.6064439999999999E-3</v>
      </c>
      <c r="AA471">
        <v>0.99494769999999999</v>
      </c>
      <c r="AB471">
        <v>24</v>
      </c>
      <c r="AC471">
        <v>28.066700000000001</v>
      </c>
      <c r="AD471">
        <v>-1.0706381018410001</v>
      </c>
      <c r="AE471">
        <v>2.6707000000000098</v>
      </c>
      <c r="AF471">
        <v>-2.8514643144377798</v>
      </c>
      <c r="AG471">
        <v>-1.0706381018410001</v>
      </c>
      <c r="AH471">
        <v>28.0081034031566</v>
      </c>
      <c r="AI471">
        <v>92.177876508854695</v>
      </c>
      <c r="AJ471">
        <v>95.813170814115693</v>
      </c>
      <c r="AK471">
        <v>28.173231460440299</v>
      </c>
      <c r="AL471">
        <v>81.840886025991693</v>
      </c>
      <c r="AM471">
        <v>88.761962903728204</v>
      </c>
      <c r="AN471">
        <v>1.0000000189006999</v>
      </c>
    </row>
    <row r="472" spans="1:40" x14ac:dyDescent="0.25">
      <c r="A472" t="str">
        <f>"20190303162220964"</f>
        <v>20190303162220964</v>
      </c>
      <c r="B472" t="str">
        <f>"1551601340954785"</f>
        <v>1551601340954785</v>
      </c>
      <c r="C472" t="s">
        <v>40</v>
      </c>
      <c r="D472">
        <v>5.5915509999999999</v>
      </c>
      <c r="E472">
        <v>0.45299800000000001</v>
      </c>
      <c r="F472" t="s">
        <v>41</v>
      </c>
      <c r="G472">
        <v>-372.70890000000003</v>
      </c>
      <c r="H472" s="1">
        <v>-3.206512E-6</v>
      </c>
      <c r="I472">
        <v>369.97840000000002</v>
      </c>
      <c r="J472">
        <v>-400.79300000000001</v>
      </c>
      <c r="K472">
        <v>1.071318</v>
      </c>
      <c r="L472">
        <v>367.29629999999997</v>
      </c>
      <c r="M472">
        <v>0.99990610000000002</v>
      </c>
      <c r="N472">
        <v>-1.2001909999999999E-2</v>
      </c>
      <c r="O472">
        <v>-6.6267670000000004E-3</v>
      </c>
      <c r="P472">
        <v>0.99110500000000001</v>
      </c>
      <c r="Q472">
        <v>0.1300336</v>
      </c>
      <c r="R472">
        <v>-2.8328889999999999E-2</v>
      </c>
      <c r="S472">
        <v>3.0508730000000002</v>
      </c>
      <c r="T472">
        <v>-0.1154009</v>
      </c>
      <c r="U472">
        <v>0.28894039999999999</v>
      </c>
      <c r="V472">
        <v>2.1774689999999999E-2</v>
      </c>
      <c r="W472">
        <v>0.14191879999999901</v>
      </c>
      <c r="X472">
        <v>0.98963880000000004</v>
      </c>
      <c r="Y472">
        <v>-0.1007847</v>
      </c>
      <c r="Z472">
        <v>2.678344E-3</v>
      </c>
      <c r="AA472">
        <v>0.99490460000000003</v>
      </c>
      <c r="AB472">
        <v>24</v>
      </c>
      <c r="AC472">
        <v>28.0840999999999</v>
      </c>
      <c r="AD472">
        <v>-1.0713212065119999</v>
      </c>
      <c r="AE472">
        <v>2.6821000000000401</v>
      </c>
      <c r="AF472">
        <v>-2.8640312486040198</v>
      </c>
      <c r="AG472">
        <v>-1.0713212065119999</v>
      </c>
      <c r="AH472">
        <v>28.025294924996899</v>
      </c>
      <c r="AI472">
        <v>92.177844419281598</v>
      </c>
      <c r="AJ472">
        <v>95.835057078461205</v>
      </c>
      <c r="AK472">
        <v>28.191622155412698</v>
      </c>
      <c r="AL472">
        <v>81.841105974563206</v>
      </c>
      <c r="AM472">
        <v>88.739543591259306</v>
      </c>
      <c r="AN472">
        <v>1.0000000186917299</v>
      </c>
    </row>
    <row r="473" spans="1:40" x14ac:dyDescent="0.25">
      <c r="A473" t="str">
        <f>"20190303162220986"</f>
        <v>20190303162220986</v>
      </c>
      <c r="B473" t="str">
        <f>"1551601340974305"</f>
        <v>1551601340974305</v>
      </c>
      <c r="C473" t="s">
        <v>40</v>
      </c>
      <c r="D473">
        <v>5.6147489999999998</v>
      </c>
      <c r="E473">
        <v>0.45314379999999999</v>
      </c>
      <c r="F473" t="s">
        <v>41</v>
      </c>
      <c r="G473">
        <v>-373.2758</v>
      </c>
      <c r="H473" s="1">
        <v>-2.935227E-6</v>
      </c>
      <c r="I473">
        <v>369.87279999999998</v>
      </c>
      <c r="J473">
        <v>-400.55959999999999</v>
      </c>
      <c r="K473">
        <v>1.0721259999999999</v>
      </c>
      <c r="L473">
        <v>367.29469999999998</v>
      </c>
      <c r="M473">
        <v>0.99990429999999997</v>
      </c>
      <c r="N473">
        <v>-1.21198E-2</v>
      </c>
      <c r="O473">
        <v>-6.6688719999999898E-3</v>
      </c>
      <c r="P473">
        <v>0.99102349999999995</v>
      </c>
      <c r="Q473">
        <v>0.13065019999999999</v>
      </c>
      <c r="R473">
        <v>-2.8342369999999999E-2</v>
      </c>
      <c r="S473">
        <v>3.0506289999999998</v>
      </c>
      <c r="T473">
        <v>-0.11876929999999999</v>
      </c>
      <c r="U473">
        <v>0.28564450000000002</v>
      </c>
      <c r="V473">
        <v>2.1747800000000001E-2</v>
      </c>
      <c r="W473">
        <v>0.14265139999999901</v>
      </c>
      <c r="X473">
        <v>0.98953400000000002</v>
      </c>
      <c r="Y473">
        <v>-9.9764290000000005E-2</v>
      </c>
      <c r="Z473">
        <v>2.721649E-3</v>
      </c>
      <c r="AA473">
        <v>0.99500739999999999</v>
      </c>
      <c r="AB473">
        <v>23</v>
      </c>
      <c r="AC473">
        <v>27.2837999999999</v>
      </c>
      <c r="AD473">
        <v>-1.07212893522699</v>
      </c>
      <c r="AE473">
        <v>2.5781000000000001</v>
      </c>
      <c r="AF473">
        <v>-2.7557905540557699</v>
      </c>
      <c r="AG473">
        <v>-1.07212893522699</v>
      </c>
      <c r="AH473">
        <v>27.224332984441698</v>
      </c>
      <c r="AI473">
        <v>92.243761147149499</v>
      </c>
      <c r="AJ473">
        <v>95.780092597081406</v>
      </c>
      <c r="AK473">
        <v>27.384450852250701</v>
      </c>
      <c r="AL473">
        <v>81.798699171778907</v>
      </c>
      <c r="AM473">
        <v>88.740966367589607</v>
      </c>
      <c r="AN473">
        <v>0.99999996294139903</v>
      </c>
    </row>
    <row r="474" spans="1:40" x14ac:dyDescent="0.25">
      <c r="A474" t="str">
        <f>"20190303162221008"</f>
        <v>20190303162221008</v>
      </c>
      <c r="B474" t="str">
        <f>"1551601340994802"</f>
        <v>1551601340994802</v>
      </c>
      <c r="C474" t="s">
        <v>40</v>
      </c>
      <c r="D474">
        <v>5.6110319999999998</v>
      </c>
      <c r="E474">
        <v>0.45326569999999999</v>
      </c>
      <c r="F474" t="s">
        <v>41</v>
      </c>
      <c r="G474">
        <v>-372.51100000000002</v>
      </c>
      <c r="H474" s="1">
        <v>-3.2734939999999999E-6</v>
      </c>
      <c r="I474">
        <v>369.91109999999998</v>
      </c>
      <c r="J474">
        <v>-400.32420000000002</v>
      </c>
      <c r="K474">
        <v>1.072881</v>
      </c>
      <c r="L474">
        <v>367.29309999999998</v>
      </c>
      <c r="M474">
        <v>0.99992320000000001</v>
      </c>
      <c r="N474">
        <v>-1.042832E-2</v>
      </c>
      <c r="O474">
        <v>-6.7110859999999998E-3</v>
      </c>
      <c r="P474">
        <v>0.99073480000000003</v>
      </c>
      <c r="Q474">
        <v>0.1328809</v>
      </c>
      <c r="R474">
        <v>-2.8063580000000001E-2</v>
      </c>
      <c r="S474">
        <v>3.0506899999999999</v>
      </c>
      <c r="T474">
        <v>-0.11660959999999999</v>
      </c>
      <c r="U474">
        <v>0.28457640000000001</v>
      </c>
      <c r="V474">
        <v>2.1430350000000001E-2</v>
      </c>
      <c r="W474">
        <v>0.143205</v>
      </c>
      <c r="X474">
        <v>0.98946100000000003</v>
      </c>
      <c r="Y474">
        <v>-9.9465390000000001E-2</v>
      </c>
      <c r="Z474">
        <v>2.6022649999999999E-3</v>
      </c>
      <c r="AA474">
        <v>0.99503759999999997</v>
      </c>
      <c r="AB474">
        <v>23</v>
      </c>
      <c r="AC474">
        <v>27.813199999999998</v>
      </c>
      <c r="AD474">
        <v>-1.0728842734940001</v>
      </c>
      <c r="AE474">
        <v>2.6179999999999901</v>
      </c>
      <c r="AF474">
        <v>-2.8004774241688701</v>
      </c>
      <c r="AG474">
        <v>-1.0728842734940001</v>
      </c>
      <c r="AH474">
        <v>27.754067565275999</v>
      </c>
      <c r="AI474">
        <v>92.202597580436802</v>
      </c>
      <c r="AJ474">
        <v>95.761832245519201</v>
      </c>
      <c r="AK474">
        <v>27.915623240140899</v>
      </c>
      <c r="AL474">
        <v>81.766651509286007</v>
      </c>
      <c r="AM474">
        <v>88.759247037858302</v>
      </c>
      <c r="AN474">
        <v>1.0000000012235599</v>
      </c>
    </row>
    <row r="475" spans="1:40" x14ac:dyDescent="0.25">
      <c r="A475" t="str">
        <f>"20190303162221030"</f>
        <v>20190303162221030</v>
      </c>
      <c r="B475" t="str">
        <f>"1551601341025057"</f>
        <v>1551601341025057</v>
      </c>
      <c r="C475" t="s">
        <v>40</v>
      </c>
      <c r="D475">
        <v>5.6660180000000002</v>
      </c>
      <c r="E475">
        <v>0.45325559999999998</v>
      </c>
      <c r="F475" t="s">
        <v>41</v>
      </c>
      <c r="G475">
        <v>-370.32679999999999</v>
      </c>
      <c r="H475" s="1">
        <v>-4.247898E-6</v>
      </c>
      <c r="I475">
        <v>370.08460000000002</v>
      </c>
      <c r="J475">
        <v>-400.08449999999999</v>
      </c>
      <c r="K475">
        <v>1.073895</v>
      </c>
      <c r="L475">
        <v>367.29140000000001</v>
      </c>
      <c r="M475">
        <v>0.9999441</v>
      </c>
      <c r="N475">
        <v>-8.1480130000000008E-3</v>
      </c>
      <c r="O475">
        <v>-6.7540899999999999E-3</v>
      </c>
      <c r="P475">
        <v>0.99035329999999999</v>
      </c>
      <c r="Q475">
        <v>0.135798799999999</v>
      </c>
      <c r="R475">
        <v>-2.7555099999999999E-2</v>
      </c>
      <c r="S475">
        <v>3.0507200000000001</v>
      </c>
      <c r="T475">
        <v>-0.10911170000000001</v>
      </c>
      <c r="U475">
        <v>0.28390500000000002</v>
      </c>
      <c r="V475">
        <v>2.0882560000000001E-2</v>
      </c>
      <c r="W475">
        <v>0.14386280000000001</v>
      </c>
      <c r="X475">
        <v>0.98937730000000002</v>
      </c>
      <c r="Y475">
        <v>-9.9304439999999994E-2</v>
      </c>
      <c r="Z475">
        <v>2.3631559999999999E-3</v>
      </c>
      <c r="AA475">
        <v>0.99505429999999995</v>
      </c>
      <c r="AB475">
        <v>24</v>
      </c>
      <c r="AC475">
        <v>29.7577</v>
      </c>
      <c r="AD475">
        <v>-1.0738992478980001</v>
      </c>
      <c r="AE475">
        <v>2.7932000000000099</v>
      </c>
      <c r="AF475">
        <v>-2.9902687501245202</v>
      </c>
      <c r="AG475">
        <v>-1.0738992478980001</v>
      </c>
      <c r="AH475">
        <v>29.699813264799801</v>
      </c>
      <c r="AI475">
        <v>92.060416544712993</v>
      </c>
      <c r="AJ475">
        <v>95.749340754720905</v>
      </c>
      <c r="AK475">
        <v>29.8692797830243</v>
      </c>
      <c r="AL475">
        <v>81.728568113050301</v>
      </c>
      <c r="AM475">
        <v>88.790850644207396</v>
      </c>
      <c r="AN475">
        <v>1.00000001414564</v>
      </c>
    </row>
    <row r="476" spans="1:40" x14ac:dyDescent="0.25">
      <c r="A476" t="str">
        <f>"20190303162221054"</f>
        <v>20190303162221054</v>
      </c>
      <c r="B476" t="str">
        <f>"1551601341044578"</f>
        <v>1551601341044578</v>
      </c>
      <c r="C476" t="s">
        <v>40</v>
      </c>
      <c r="D476">
        <v>6.6063369999999999</v>
      </c>
      <c r="E476">
        <v>0.4533449</v>
      </c>
      <c r="F476" t="s">
        <v>41</v>
      </c>
      <c r="G476">
        <v>-366.54599999999999</v>
      </c>
      <c r="H476" s="1">
        <v>-1.681057E-6</v>
      </c>
      <c r="I476">
        <v>370.43180000000001</v>
      </c>
      <c r="J476">
        <v>-399.84010000000001</v>
      </c>
      <c r="K476">
        <v>1.0752630000000001</v>
      </c>
      <c r="L476">
        <v>367.28969999999998</v>
      </c>
      <c r="M476">
        <v>0.99995919999999905</v>
      </c>
      <c r="N476">
        <v>-5.9698449999999997E-3</v>
      </c>
      <c r="O476">
        <v>-6.8004320000000004E-3</v>
      </c>
      <c r="P476">
        <v>0.99005520000000002</v>
      </c>
      <c r="Q476">
        <v>0.13795370000000001</v>
      </c>
      <c r="R476">
        <v>-2.7566449999999999E-2</v>
      </c>
      <c r="S476">
        <v>3.0505369999999998</v>
      </c>
      <c r="T476">
        <v>-9.7677349999999996E-2</v>
      </c>
      <c r="U476">
        <v>0.28564450000000002</v>
      </c>
      <c r="V476">
        <v>2.0849630000000001E-2</v>
      </c>
      <c r="W476">
        <v>0.1438604</v>
      </c>
      <c r="X476">
        <v>0.98937830000000004</v>
      </c>
      <c r="Y476">
        <v>-9.993581E-2</v>
      </c>
      <c r="Z476">
        <v>2.0718400000000001E-3</v>
      </c>
      <c r="AA476">
        <v>0.99499170000000003</v>
      </c>
      <c r="AB476">
        <v>24</v>
      </c>
      <c r="AC476">
        <v>33.2941</v>
      </c>
      <c r="AD476">
        <v>-1.0752646810569999</v>
      </c>
      <c r="AE476">
        <v>3.1421000000000201</v>
      </c>
      <c r="AF476">
        <v>-3.3649668343628298</v>
      </c>
      <c r="AG476">
        <v>-1.0752646810569999</v>
      </c>
      <c r="AH476">
        <v>33.237600366322397</v>
      </c>
      <c r="AI476">
        <v>91.843504187253998</v>
      </c>
      <c r="AJ476">
        <v>95.780914445269104</v>
      </c>
      <c r="AK476">
        <v>33.424800284250701</v>
      </c>
      <c r="AL476">
        <v>81.728706710112704</v>
      </c>
      <c r="AM476">
        <v>88.792758023791293</v>
      </c>
      <c r="AN476">
        <v>0.99999997113509298</v>
      </c>
    </row>
    <row r="477" spans="1:40" x14ac:dyDescent="0.25">
      <c r="A477" t="str">
        <f>"20190303162221074"</f>
        <v>20190303162221074</v>
      </c>
      <c r="B477" t="str">
        <f>"1551601341065073"</f>
        <v>1551601341065073</v>
      </c>
      <c r="C477" t="s">
        <v>40</v>
      </c>
      <c r="D477">
        <v>5.3892889999999998</v>
      </c>
      <c r="E477">
        <v>0.45329269999999999</v>
      </c>
      <c r="F477" t="s">
        <v>41</v>
      </c>
      <c r="G477">
        <v>-363.57870000000003</v>
      </c>
      <c r="H477" s="1">
        <v>-3.0202089999999999E-6</v>
      </c>
      <c r="I477">
        <v>370.68049999999999</v>
      </c>
      <c r="J477">
        <v>-399.61410000000001</v>
      </c>
      <c r="K477">
        <v>1.0767180000000001</v>
      </c>
      <c r="L477">
        <v>367.28809999999999</v>
      </c>
      <c r="M477">
        <v>0.99996799999999997</v>
      </c>
      <c r="N477">
        <v>-4.1680859999999997E-3</v>
      </c>
      <c r="O477">
        <v>-6.8452519999999996E-3</v>
      </c>
      <c r="P477">
        <v>0.98981759999999996</v>
      </c>
      <c r="Q477">
        <v>0.1397331</v>
      </c>
      <c r="R477">
        <v>-2.7128059999999999E-2</v>
      </c>
      <c r="S477">
        <v>3.0506899999999999</v>
      </c>
      <c r="T477">
        <v>-9.046245E-2</v>
      </c>
      <c r="U477">
        <v>0.28527829999999998</v>
      </c>
      <c r="V477">
        <v>2.0367670000000001E-2</v>
      </c>
      <c r="W477">
        <v>0.1438557</v>
      </c>
      <c r="X477">
        <v>0.98938910000000002</v>
      </c>
      <c r="Y477">
        <v>-9.9868020000000002E-2</v>
      </c>
      <c r="Z477">
        <v>1.8598379999999999E-3</v>
      </c>
      <c r="AA477">
        <v>0.99499890000000002</v>
      </c>
      <c r="AB477">
        <v>24</v>
      </c>
      <c r="AC477">
        <v>36.035399999999903</v>
      </c>
      <c r="AD477">
        <v>-1.0767210202090001</v>
      </c>
      <c r="AE477">
        <v>3.3923999999999999</v>
      </c>
      <c r="AF477">
        <v>-3.63577656804009</v>
      </c>
      <c r="AG477">
        <v>-1.0767210202090001</v>
      </c>
      <c r="AH477">
        <v>35.979493847884399</v>
      </c>
      <c r="AI477">
        <v>91.705439669898098</v>
      </c>
      <c r="AJ477">
        <v>95.770228635513405</v>
      </c>
      <c r="AK477">
        <v>36.178753115026304</v>
      </c>
      <c r="AL477">
        <v>81.728979469342093</v>
      </c>
      <c r="AM477">
        <v>88.820669521655205</v>
      </c>
      <c r="AN477">
        <v>1.0000000478012601</v>
      </c>
    </row>
    <row r="478" spans="1:40" x14ac:dyDescent="0.25">
      <c r="A478" t="str">
        <f>"20190303162221097"</f>
        <v>20190303162221097</v>
      </c>
      <c r="B478" t="str">
        <f>"1551601341084593"</f>
        <v>1551601341084593</v>
      </c>
      <c r="C478" t="s">
        <v>40</v>
      </c>
      <c r="D478">
        <v>5.5123709999999999</v>
      </c>
      <c r="E478">
        <v>0.45322639999999997</v>
      </c>
      <c r="F478" t="s">
        <v>41</v>
      </c>
      <c r="G478">
        <v>-361.08879999999999</v>
      </c>
      <c r="H478" s="1">
        <v>-4.1332480000000001E-6</v>
      </c>
      <c r="I478">
        <v>370.90019999999998</v>
      </c>
      <c r="J478">
        <v>-399.37560000000002</v>
      </c>
      <c r="K478">
        <v>1.0783229999999999</v>
      </c>
      <c r="L478">
        <v>367.28640000000001</v>
      </c>
      <c r="M478">
        <v>0.99997340000000001</v>
      </c>
      <c r="N478">
        <v>-2.4125520000000001E-3</v>
      </c>
      <c r="O478">
        <v>-6.8938979999999999E-3</v>
      </c>
      <c r="P478">
        <v>0.9895003</v>
      </c>
      <c r="Q478">
        <v>0.1420112</v>
      </c>
      <c r="R478">
        <v>-2.687668E-2</v>
      </c>
      <c r="S478">
        <v>3.0507810000000002</v>
      </c>
      <c r="T478">
        <v>-8.5264439999999997E-2</v>
      </c>
      <c r="U478">
        <v>0.2860413</v>
      </c>
      <c r="V478">
        <v>2.0069469999999999E-2</v>
      </c>
      <c r="W478">
        <v>0.144396</v>
      </c>
      <c r="X478">
        <v>0.98931650000000004</v>
      </c>
      <c r="Y478">
        <v>-0.1001678</v>
      </c>
      <c r="Z478">
        <v>1.6931889999999999E-3</v>
      </c>
      <c r="AA478">
        <v>0.99496910000000005</v>
      </c>
      <c r="AB478">
        <v>24</v>
      </c>
      <c r="AC478">
        <v>38.286799999999999</v>
      </c>
      <c r="AD478">
        <v>-1.078327133248</v>
      </c>
      <c r="AE478">
        <v>3.6137999999999599</v>
      </c>
      <c r="AF478">
        <v>-3.8746138199504498</v>
      </c>
      <c r="AG478">
        <v>-1.078327133248</v>
      </c>
      <c r="AH478">
        <v>38.230918553041903</v>
      </c>
      <c r="AI478">
        <v>91.607405522771202</v>
      </c>
      <c r="AJ478">
        <v>95.787033148188797</v>
      </c>
      <c r="AK478">
        <v>38.441885425527403</v>
      </c>
      <c r="AL478">
        <v>81.697696066373894</v>
      </c>
      <c r="AM478">
        <v>88.837845898473404</v>
      </c>
      <c r="AN478">
        <v>1.0000000628071599</v>
      </c>
    </row>
    <row r="479" spans="1:40" x14ac:dyDescent="0.25">
      <c r="A479" t="str">
        <f>"20190303162221121"</f>
        <v>20190303162221121</v>
      </c>
      <c r="B479" t="str">
        <f>"1551601341114849"</f>
        <v>1551601341114849</v>
      </c>
      <c r="C479" t="s">
        <v>40</v>
      </c>
      <c r="D479">
        <v>5.5322230000000001</v>
      </c>
      <c r="E479">
        <v>0.43293480000000001</v>
      </c>
      <c r="F479" t="s">
        <v>41</v>
      </c>
      <c r="G479">
        <v>-356.97949999999997</v>
      </c>
      <c r="H479" s="1">
        <v>-1.72162999999999E-6</v>
      </c>
      <c r="I479">
        <v>371.28320000000002</v>
      </c>
      <c r="J479">
        <v>-399.1155</v>
      </c>
      <c r="K479">
        <v>1.0800540000000001</v>
      </c>
      <c r="L479">
        <v>367.28460000000001</v>
      </c>
      <c r="M479">
        <v>0.99997570000000002</v>
      </c>
      <c r="N479">
        <v>-6.4639999999999999E-4</v>
      </c>
      <c r="O479">
        <v>-6.9437240000000001E-3</v>
      </c>
      <c r="P479">
        <v>0.98924769999999895</v>
      </c>
      <c r="Q479">
        <v>0.1438313</v>
      </c>
      <c r="R479">
        <v>-2.649663E-2</v>
      </c>
      <c r="S479">
        <v>3.0507200000000001</v>
      </c>
      <c r="T479">
        <v>-7.7593330000000002E-2</v>
      </c>
      <c r="U479">
        <v>0.28759770000000001</v>
      </c>
      <c r="V479">
        <v>1.96419E-2</v>
      </c>
      <c r="W479">
        <v>0.14446870000000001</v>
      </c>
      <c r="X479">
        <v>0.98931440000000004</v>
      </c>
      <c r="Y479">
        <v>-0.1007315</v>
      </c>
      <c r="Z479">
        <v>1.4823460000000001E-3</v>
      </c>
      <c r="AA479">
        <v>0.99491260000000004</v>
      </c>
      <c r="AB479">
        <v>24</v>
      </c>
      <c r="AC479">
        <v>42.136000000000003</v>
      </c>
      <c r="AD479">
        <v>-1.08005572163</v>
      </c>
      <c r="AE479">
        <v>3.9986000000000002</v>
      </c>
      <c r="AF479">
        <v>-4.2882920197448096</v>
      </c>
      <c r="AG479">
        <v>-1.08005572163</v>
      </c>
      <c r="AH479">
        <v>42.079818032049502</v>
      </c>
      <c r="AI479">
        <v>91.462706056013602</v>
      </c>
      <c r="AJ479">
        <v>95.818840077457693</v>
      </c>
      <c r="AK479">
        <v>42.311547530418103</v>
      </c>
      <c r="AL479">
        <v>81.693485964385204</v>
      </c>
      <c r="AM479">
        <v>88.862596020521593</v>
      </c>
      <c r="AN479">
        <v>0.99999999578133003</v>
      </c>
    </row>
    <row r="480" spans="1:40" x14ac:dyDescent="0.25">
      <c r="A480" t="str">
        <f>"20190303162221145"</f>
        <v>20190303162221145</v>
      </c>
      <c r="B480" t="str">
        <f>"1551601341134369"</f>
        <v>1551601341134369</v>
      </c>
      <c r="C480" t="s">
        <v>40</v>
      </c>
      <c r="D480">
        <v>5.5025639999999996</v>
      </c>
      <c r="E480">
        <v>0.43187979999999998</v>
      </c>
      <c r="F480" t="s">
        <v>41</v>
      </c>
      <c r="G480">
        <v>-373.73689999999999</v>
      </c>
      <c r="H480" s="1">
        <v>-3.0417719999999999E-6</v>
      </c>
      <c r="I480">
        <v>371.01670000000001</v>
      </c>
      <c r="J480">
        <v>-398.8716</v>
      </c>
      <c r="K480">
        <v>1.0816049999999999</v>
      </c>
      <c r="L480">
        <v>367.28280000000001</v>
      </c>
      <c r="M480">
        <v>0.99997539999999996</v>
      </c>
      <c r="N480">
        <v>8.1718999999999997E-4</v>
      </c>
      <c r="O480">
        <v>-6.9887700000000001E-3</v>
      </c>
      <c r="P480">
        <v>0.98908359999999995</v>
      </c>
      <c r="Q480">
        <v>0.14498539999999999</v>
      </c>
      <c r="R480">
        <v>-2.6325950000000001E-2</v>
      </c>
      <c r="S480">
        <v>3.0636290000000002</v>
      </c>
      <c r="T480">
        <v>-0.130381</v>
      </c>
      <c r="U480">
        <v>0.45053100000000001</v>
      </c>
      <c r="V480">
        <v>1.942816E-2</v>
      </c>
      <c r="W480">
        <v>0.14417469999999999</v>
      </c>
      <c r="X480">
        <v>0.9893615</v>
      </c>
      <c r="Y480">
        <v>-0.15226529999999999</v>
      </c>
      <c r="Z480">
        <v>3.4601060000000001E-3</v>
      </c>
      <c r="AA480">
        <v>0.98833360000000003</v>
      </c>
      <c r="AB480">
        <v>24</v>
      </c>
      <c r="AC480">
        <v>25.134699999999999</v>
      </c>
      <c r="AD480">
        <v>-1.081608041772</v>
      </c>
      <c r="AE480">
        <v>3.7339000000000002</v>
      </c>
      <c r="AF480">
        <v>-3.9023990804628701</v>
      </c>
      <c r="AG480">
        <v>-1.081608041772</v>
      </c>
      <c r="AH480">
        <v>25.062582194415501</v>
      </c>
      <c r="AI480">
        <v>92.441753916415195</v>
      </c>
      <c r="AJ480">
        <v>98.850240943818406</v>
      </c>
      <c r="AK480">
        <v>25.387627317082099</v>
      </c>
      <c r="AL480">
        <v>81.710509074105502</v>
      </c>
      <c r="AM480">
        <v>88.875023414245703</v>
      </c>
      <c r="AN480">
        <v>0.99999998760166198</v>
      </c>
    </row>
    <row r="481" spans="1:40" x14ac:dyDescent="0.25">
      <c r="A481" t="str">
        <f>"20190303162221166"</f>
        <v>20190303162221166</v>
      </c>
      <c r="B481" t="str">
        <f>"1551601341154866"</f>
        <v>1551601341154866</v>
      </c>
      <c r="C481" t="s">
        <v>40</v>
      </c>
      <c r="D481">
        <v>5.4955949999999998</v>
      </c>
      <c r="E481">
        <v>0.431925</v>
      </c>
      <c r="F481" t="s">
        <v>41</v>
      </c>
      <c r="G481">
        <v>-370.86559999999997</v>
      </c>
      <c r="H481" s="1">
        <v>-4.313874E-6</v>
      </c>
      <c r="I481">
        <v>371.49020000000002</v>
      </c>
      <c r="J481">
        <v>-398.63029999999998</v>
      </c>
      <c r="K481">
        <v>1.0830900000000001</v>
      </c>
      <c r="L481">
        <v>367.28109999999998</v>
      </c>
      <c r="M481">
        <v>0.99997340000000001</v>
      </c>
      <c r="N481">
        <v>1.960177E-3</v>
      </c>
      <c r="O481">
        <v>-7.0327690000000003E-3</v>
      </c>
      <c r="P481">
        <v>0.98899729999999997</v>
      </c>
      <c r="Q481">
        <v>0.145542</v>
      </c>
      <c r="R481">
        <v>-2.6495379999999999E-2</v>
      </c>
      <c r="S481">
        <v>3.0626530000000001</v>
      </c>
      <c r="T481">
        <v>-0.1182812</v>
      </c>
      <c r="U481">
        <v>0.46011350000000001</v>
      </c>
      <c r="V481">
        <v>1.9554760000000001E-2</v>
      </c>
      <c r="W481">
        <v>0.1436009</v>
      </c>
      <c r="X481">
        <v>0.9894425</v>
      </c>
      <c r="Y481">
        <v>-0.1554044</v>
      </c>
      <c r="Z481">
        <v>3.113579E-3</v>
      </c>
      <c r="AA481">
        <v>0.987846</v>
      </c>
      <c r="AB481">
        <v>24</v>
      </c>
      <c r="AC481">
        <v>27.764700000000001</v>
      </c>
      <c r="AD481">
        <v>-1.0830943138739999</v>
      </c>
      <c r="AE481">
        <v>4.2091000000000296</v>
      </c>
      <c r="AF481">
        <v>-4.3977170660331204</v>
      </c>
      <c r="AG481">
        <v>-1.0830943138739999</v>
      </c>
      <c r="AH481">
        <v>27.693215987771399</v>
      </c>
      <c r="AI481">
        <v>92.212032936491397</v>
      </c>
      <c r="AJ481">
        <v>99.023295010223805</v>
      </c>
      <c r="AK481">
        <v>28.0611336269756</v>
      </c>
      <c r="AL481">
        <v>81.743731486882993</v>
      </c>
      <c r="AM481">
        <v>88.867787286655101</v>
      </c>
      <c r="AN481">
        <v>1.0000000339628501</v>
      </c>
    </row>
    <row r="482" spans="1:40" x14ac:dyDescent="0.25">
      <c r="A482" t="str">
        <f>"20190303162221188"</f>
        <v>20190303162221188</v>
      </c>
      <c r="B482" t="str">
        <f>"1551601341174386"</f>
        <v>1551601341174386</v>
      </c>
      <c r="C482" t="s">
        <v>40</v>
      </c>
      <c r="D482">
        <v>5.4879530000000001</v>
      </c>
      <c r="E482">
        <v>0.4318843</v>
      </c>
      <c r="F482" t="s">
        <v>41</v>
      </c>
      <c r="G482">
        <v>-369.6499</v>
      </c>
      <c r="H482" s="1">
        <v>-6.6743379999999996E-7</v>
      </c>
      <c r="I482">
        <v>371.62670000000003</v>
      </c>
      <c r="J482">
        <v>-398.40339999999998</v>
      </c>
      <c r="K482">
        <v>1.0846769999999999</v>
      </c>
      <c r="L482">
        <v>367.27949999999998</v>
      </c>
      <c r="M482">
        <v>0.9999728</v>
      </c>
      <c r="N482">
        <v>2.1452899999999998E-3</v>
      </c>
      <c r="O482">
        <v>-7.0768180000000003E-3</v>
      </c>
      <c r="P482">
        <v>0.98895420000000001</v>
      </c>
      <c r="Q482">
        <v>0.1457368</v>
      </c>
      <c r="R482">
        <v>-2.7027740000000001E-2</v>
      </c>
      <c r="S482">
        <v>3.0625</v>
      </c>
      <c r="T482">
        <v>-0.11445520000000001</v>
      </c>
      <c r="U482">
        <v>0.45922849999999998</v>
      </c>
      <c r="V482">
        <v>2.0043600000000002E-2</v>
      </c>
      <c r="W482">
        <v>0.143612299999999</v>
      </c>
      <c r="X482">
        <v>0.98943099999999995</v>
      </c>
      <c r="Y482">
        <v>-0.15518390000000001</v>
      </c>
      <c r="Z482">
        <v>2.9933529999999998E-3</v>
      </c>
      <c r="AA482">
        <v>0.98788109999999996</v>
      </c>
      <c r="AB482">
        <v>24</v>
      </c>
      <c r="AC482">
        <v>28.753499999999899</v>
      </c>
      <c r="AD482">
        <v>-1.0846776674337999</v>
      </c>
      <c r="AE482">
        <v>4.3472000000000399</v>
      </c>
      <c r="AF482">
        <v>-4.5442526834752996</v>
      </c>
      <c r="AG482">
        <v>-1.0846776674337999</v>
      </c>
      <c r="AH482">
        <v>28.6821116338871</v>
      </c>
      <c r="AI482">
        <v>92.139079348777003</v>
      </c>
      <c r="AJ482">
        <v>99.002830476980407</v>
      </c>
      <c r="AK482">
        <v>29.060115035427199</v>
      </c>
      <c r="AL482">
        <v>81.743070951931003</v>
      </c>
      <c r="AM482">
        <v>88.839477809302096</v>
      </c>
      <c r="AN482">
        <v>0.99999997118662398</v>
      </c>
    </row>
    <row r="483" spans="1:40" x14ac:dyDescent="0.25">
      <c r="A483" t="str">
        <f>"20190303162221210"</f>
        <v>20190303162221210</v>
      </c>
      <c r="B483" t="str">
        <f>"1551601341204642"</f>
        <v>1551601341204642</v>
      </c>
      <c r="C483" t="s">
        <v>40</v>
      </c>
      <c r="D483">
        <v>5.4346750000000004</v>
      </c>
      <c r="E483">
        <v>0.43216739999999998</v>
      </c>
      <c r="F483" t="s">
        <v>41</v>
      </c>
      <c r="G483">
        <v>-367.7971</v>
      </c>
      <c r="H483" s="1">
        <v>-1.5236439999999899E-6</v>
      </c>
      <c r="I483">
        <v>371.85739999999998</v>
      </c>
      <c r="J483">
        <v>-398.15519999999998</v>
      </c>
      <c r="K483">
        <v>1.0868530000000001</v>
      </c>
      <c r="L483">
        <v>367.27760000000001</v>
      </c>
      <c r="M483">
        <v>0.99997329999999995</v>
      </c>
      <c r="N483">
        <v>1.6162360000000001E-3</v>
      </c>
      <c r="O483">
        <v>-7.1265399999999998E-3</v>
      </c>
      <c r="P483">
        <v>0.9890137</v>
      </c>
      <c r="Q483">
        <v>0.1452263</v>
      </c>
      <c r="R483">
        <v>-2.759226E-2</v>
      </c>
      <c r="S483">
        <v>3.0620419999999999</v>
      </c>
      <c r="T483">
        <v>-0.10851760000000001</v>
      </c>
      <c r="U483">
        <v>0.45800780000000002</v>
      </c>
      <c r="V483">
        <v>2.0558320000000001E-2</v>
      </c>
      <c r="W483">
        <v>0.14362539999999999</v>
      </c>
      <c r="X483">
        <v>0.98941860000000004</v>
      </c>
      <c r="Y483">
        <v>-0.15487919999999999</v>
      </c>
      <c r="Z483">
        <v>2.8650849999999999E-3</v>
      </c>
      <c r="AA483">
        <v>0.98792930000000001</v>
      </c>
      <c r="AB483">
        <v>24</v>
      </c>
      <c r="AC483">
        <v>30.358099999999901</v>
      </c>
      <c r="AD483">
        <v>-1.0868545236439999</v>
      </c>
      <c r="AE483">
        <v>4.5797999999999703</v>
      </c>
      <c r="AF483">
        <v>-4.7900293291244598</v>
      </c>
      <c r="AG483">
        <v>-1.0868545236439999</v>
      </c>
      <c r="AH483">
        <v>30.286735558582901</v>
      </c>
      <c r="AI483">
        <v>92.029995397370897</v>
      </c>
      <c r="AJ483">
        <v>98.987231887080696</v>
      </c>
      <c r="AK483">
        <v>30.682437721357299</v>
      </c>
      <c r="AL483">
        <v>81.7423130288349</v>
      </c>
      <c r="AM483">
        <v>88.8096691326095</v>
      </c>
      <c r="AN483">
        <v>1.00000003303617</v>
      </c>
    </row>
    <row r="484" spans="1:40" x14ac:dyDescent="0.25">
      <c r="A484" t="str">
        <f>"20190303162221233"</f>
        <v>20190303162221233</v>
      </c>
      <c r="B484" t="str">
        <f>"1551601341225137"</f>
        <v>1551601341225137</v>
      </c>
      <c r="C484" t="s">
        <v>40</v>
      </c>
      <c r="D484">
        <v>5.4331610000000001</v>
      </c>
      <c r="E484">
        <v>0.4323941</v>
      </c>
      <c r="F484" t="s">
        <v>41</v>
      </c>
      <c r="G484">
        <v>-366.74299999999999</v>
      </c>
      <c r="H484" s="1">
        <v>-1.9964169999999999E-6</v>
      </c>
      <c r="I484">
        <v>371.93459999999999</v>
      </c>
      <c r="J484">
        <v>-397.9067</v>
      </c>
      <c r="K484">
        <v>1.089224</v>
      </c>
      <c r="L484">
        <v>367.2758</v>
      </c>
      <c r="M484">
        <v>0.99997340000000001</v>
      </c>
      <c r="N484">
        <v>1.3037890000000001E-3</v>
      </c>
      <c r="O484">
        <v>-7.1769929999999996E-3</v>
      </c>
      <c r="P484">
        <v>0.98908499999999999</v>
      </c>
      <c r="Q484">
        <v>0.1447755</v>
      </c>
      <c r="R484">
        <v>-2.7404999999999999E-2</v>
      </c>
      <c r="S484">
        <v>3.0615540000000001</v>
      </c>
      <c r="T484">
        <v>-0.1059287</v>
      </c>
      <c r="U484">
        <v>0.45388790000000001</v>
      </c>
      <c r="V484">
        <v>2.032109E-2</v>
      </c>
      <c r="W484">
        <v>0.1434839</v>
      </c>
      <c r="X484">
        <v>0.98944399999999999</v>
      </c>
      <c r="Y484">
        <v>-0.15365580000000001</v>
      </c>
      <c r="Z484">
        <v>2.798484E-3</v>
      </c>
      <c r="AA484">
        <v>0.98812049999999996</v>
      </c>
      <c r="AB484">
        <v>24</v>
      </c>
      <c r="AC484">
        <v>31.163699999999899</v>
      </c>
      <c r="AD484">
        <v>-1.0892259964169999</v>
      </c>
      <c r="AE484">
        <v>4.6587999999999798</v>
      </c>
      <c r="AF484">
        <v>-4.8765148115313899</v>
      </c>
      <c r="AG484">
        <v>-1.0892259964169999</v>
      </c>
      <c r="AH484">
        <v>31.092308343425</v>
      </c>
      <c r="AI484">
        <v>91.982154240833196</v>
      </c>
      <c r="AJ484">
        <v>98.913649962799795</v>
      </c>
      <c r="AK484">
        <v>31.491243991004499</v>
      </c>
      <c r="AL484">
        <v>81.750504980989206</v>
      </c>
      <c r="AM484">
        <v>88.823431109511603</v>
      </c>
      <c r="AN484">
        <v>1.00000000269699</v>
      </c>
    </row>
    <row r="485" spans="1:40" x14ac:dyDescent="0.25">
      <c r="A485" t="str">
        <f>"20190303162221254"</f>
        <v>20190303162221254</v>
      </c>
      <c r="B485" t="str">
        <f>"1551601341244661"</f>
        <v>1551601341244661</v>
      </c>
      <c r="C485" t="s">
        <v>40</v>
      </c>
      <c r="D485">
        <v>5.4442919999999999</v>
      </c>
      <c r="E485">
        <v>0.4325794</v>
      </c>
      <c r="F485" t="s">
        <v>41</v>
      </c>
      <c r="G485">
        <v>-366.21940000000001</v>
      </c>
      <c r="H485" s="1">
        <v>-2.227467E-6</v>
      </c>
      <c r="I485">
        <v>371.9588</v>
      </c>
      <c r="J485">
        <v>-397.67950000000002</v>
      </c>
      <c r="K485">
        <v>1.091466</v>
      </c>
      <c r="L485">
        <v>367.27420000000001</v>
      </c>
      <c r="M485">
        <v>0.99997320000000001</v>
      </c>
      <c r="N485">
        <v>1.329645E-3</v>
      </c>
      <c r="O485">
        <v>-7.2224269999999896E-3</v>
      </c>
      <c r="P485">
        <v>0.98911170000000004</v>
      </c>
      <c r="Q485">
        <v>0.14468449999999999</v>
      </c>
      <c r="R485">
        <v>-2.6921E-2</v>
      </c>
      <c r="S485">
        <v>3.061096</v>
      </c>
      <c r="T485">
        <v>-0.1052225</v>
      </c>
      <c r="U485">
        <v>0.45239259999999898</v>
      </c>
      <c r="V485">
        <v>1.979187E-2</v>
      </c>
      <c r="W485">
        <v>0.14336679999999999</v>
      </c>
      <c r="X485">
        <v>0.98947169999999895</v>
      </c>
      <c r="Y485">
        <v>-0.1532512</v>
      </c>
      <c r="Z485">
        <v>2.7729149999999999E-3</v>
      </c>
      <c r="AA485">
        <v>0.98818340000000005</v>
      </c>
      <c r="AB485">
        <v>24</v>
      </c>
      <c r="AC485">
        <v>31.460100000000001</v>
      </c>
      <c r="AD485">
        <v>-1.091468227467</v>
      </c>
      <c r="AE485">
        <v>4.6845999999999801</v>
      </c>
      <c r="AF485">
        <v>-4.90591931284394</v>
      </c>
      <c r="AG485">
        <v>-1.091468227467</v>
      </c>
      <c r="AH485">
        <v>31.388483890177401</v>
      </c>
      <c r="AI485">
        <v>91.967667643013499</v>
      </c>
      <c r="AJ485">
        <v>98.883276177719495</v>
      </c>
      <c r="AK485">
        <v>31.788303951604998</v>
      </c>
      <c r="AL485">
        <v>81.757284396560195</v>
      </c>
      <c r="AM485">
        <v>88.854096160616507</v>
      </c>
      <c r="AN485">
        <v>1.0000000012806101</v>
      </c>
    </row>
    <row r="486" spans="1:40" x14ac:dyDescent="0.25">
      <c r="A486" t="str">
        <f>"20190303162221275"</f>
        <v>20190303162221275</v>
      </c>
      <c r="B486" t="str">
        <f>"1551601341265154"</f>
        <v>1551601341265154</v>
      </c>
      <c r="C486" t="s">
        <v>40</v>
      </c>
      <c r="D486">
        <v>5.4104260000000002</v>
      </c>
      <c r="E486">
        <v>0.43266559999999998</v>
      </c>
      <c r="F486" t="s">
        <v>41</v>
      </c>
      <c r="G486">
        <v>-365.18290000000002</v>
      </c>
      <c r="H486" s="1">
        <v>-2.7044229999999999E-6</v>
      </c>
      <c r="I486">
        <v>372.08019999999999</v>
      </c>
      <c r="J486">
        <v>-397.4461</v>
      </c>
      <c r="K486">
        <v>1.0939160000000001</v>
      </c>
      <c r="L486">
        <v>367.27249999999998</v>
      </c>
      <c r="M486">
        <v>0.999973</v>
      </c>
      <c r="N486">
        <v>1.203371E-3</v>
      </c>
      <c r="O486">
        <v>-7.2658640000000004E-3</v>
      </c>
      <c r="P486">
        <v>0.98913600000000002</v>
      </c>
      <c r="Q486">
        <v>0.1446202</v>
      </c>
      <c r="R486">
        <v>-2.6371140000000001E-2</v>
      </c>
      <c r="S486">
        <v>3.060333</v>
      </c>
      <c r="T486">
        <v>-0.10278760000000001</v>
      </c>
      <c r="U486">
        <v>0.45260620000000001</v>
      </c>
      <c r="V486">
        <v>1.9199109999999998E-2</v>
      </c>
      <c r="W486">
        <v>0.1434272</v>
      </c>
      <c r="X486">
        <v>0.98947459999999998</v>
      </c>
      <c r="Y486">
        <v>-0.15340100000000001</v>
      </c>
      <c r="Z486">
        <v>2.7200509999999998E-3</v>
      </c>
      <c r="AA486">
        <v>0.98816029999999999</v>
      </c>
      <c r="AB486">
        <v>24</v>
      </c>
      <c r="AC486">
        <v>32.263199999999898</v>
      </c>
      <c r="AD486">
        <v>-1.0939187044230001</v>
      </c>
      <c r="AE486">
        <v>4.8077000000000103</v>
      </c>
      <c r="AF486">
        <v>-5.0363291543038304</v>
      </c>
      <c r="AG486">
        <v>-1.0939187044230001</v>
      </c>
      <c r="AH486">
        <v>32.191212424063799</v>
      </c>
      <c r="AI486">
        <v>91.922897786090601</v>
      </c>
      <c r="AJ486">
        <v>98.891869139441894</v>
      </c>
      <c r="AK486">
        <v>32.6011568324435</v>
      </c>
      <c r="AL486">
        <v>81.753787381171094</v>
      </c>
      <c r="AM486">
        <v>88.888410116929506</v>
      </c>
      <c r="AN486">
        <v>0.99999997578489497</v>
      </c>
    </row>
    <row r="487" spans="1:40" x14ac:dyDescent="0.25">
      <c r="A487" t="str">
        <f>"20190303162221298"</f>
        <v>20190303162221298</v>
      </c>
      <c r="B487" t="str">
        <f>"1551601341284673"</f>
        <v>1551601341284673</v>
      </c>
      <c r="C487" t="s">
        <v>40</v>
      </c>
      <c r="D487">
        <v>5.415375</v>
      </c>
      <c r="E487">
        <v>0.43279800000000002</v>
      </c>
      <c r="F487" t="s">
        <v>41</v>
      </c>
      <c r="G487">
        <v>-364.22750000000002</v>
      </c>
      <c r="H487" s="1">
        <v>-3.145391E-6</v>
      </c>
      <c r="I487">
        <v>372.197</v>
      </c>
      <c r="J487">
        <v>-397.18920000000003</v>
      </c>
      <c r="K487">
        <v>1.096757</v>
      </c>
      <c r="L487">
        <v>367.2706</v>
      </c>
      <c r="M487">
        <v>0.99997309999999995</v>
      </c>
      <c r="N487">
        <v>6.072095E-4</v>
      </c>
      <c r="O487">
        <v>-7.3108089999999997E-3</v>
      </c>
      <c r="P487">
        <v>0.98922359999999998</v>
      </c>
      <c r="Q487">
        <v>0.14402529999999999</v>
      </c>
      <c r="R487">
        <v>-2.633313E-2</v>
      </c>
      <c r="S487">
        <v>3.0598139999999998</v>
      </c>
      <c r="T487">
        <v>-0.100762</v>
      </c>
      <c r="U487">
        <v>0.4536133</v>
      </c>
      <c r="V487">
        <v>1.9116350000000001E-2</v>
      </c>
      <c r="W487">
        <v>0.14342249999999901</v>
      </c>
      <c r="X487">
        <v>0.98947689999999999</v>
      </c>
      <c r="Y487">
        <v>-0.1537897</v>
      </c>
      <c r="Z487">
        <v>2.7146380000000001E-3</v>
      </c>
      <c r="AA487">
        <v>0.98809990000000003</v>
      </c>
      <c r="AB487">
        <v>25</v>
      </c>
      <c r="AC487">
        <v>32.9617</v>
      </c>
      <c r="AD487">
        <v>-1.0967601453910001</v>
      </c>
      <c r="AE487">
        <v>4.9263999999999397</v>
      </c>
      <c r="AF487">
        <v>-5.1616552493532604</v>
      </c>
      <c r="AG487">
        <v>-1.0967601453910001</v>
      </c>
      <c r="AH487">
        <v>32.889185694784601</v>
      </c>
      <c r="AI487">
        <v>91.886863618353999</v>
      </c>
      <c r="AJ487">
        <v>98.919291950752694</v>
      </c>
      <c r="AK487">
        <v>33.3098199243964</v>
      </c>
      <c r="AL487">
        <v>81.754059619105902</v>
      </c>
      <c r="AM487">
        <v>88.893203132157097</v>
      </c>
      <c r="AN487">
        <v>0.99999999198859102</v>
      </c>
    </row>
    <row r="488" spans="1:40" x14ac:dyDescent="0.25">
      <c r="A488" t="str">
        <f>"20190303162221322"</f>
        <v>20190303162221322</v>
      </c>
      <c r="B488" t="str">
        <f>"1551601341314930"</f>
        <v>1551601341314930</v>
      </c>
      <c r="C488" t="s">
        <v>40</v>
      </c>
      <c r="D488">
        <v>5.4385810000000001</v>
      </c>
      <c r="E488">
        <v>0.43293019999999999</v>
      </c>
      <c r="F488" t="s">
        <v>41</v>
      </c>
      <c r="G488">
        <v>-364.0324</v>
      </c>
      <c r="H488" s="1">
        <v>-3.2226689999999999E-6</v>
      </c>
      <c r="I488">
        <v>372.173</v>
      </c>
      <c r="J488">
        <v>-396.92919999999998</v>
      </c>
      <c r="K488">
        <v>1.099626</v>
      </c>
      <c r="L488">
        <v>367.26859999999999</v>
      </c>
      <c r="M488">
        <v>0.99997309999999995</v>
      </c>
      <c r="N488">
        <v>-3.3065690000000001E-4</v>
      </c>
      <c r="O488">
        <v>-7.3496619999999999E-3</v>
      </c>
      <c r="P488">
        <v>0.98928740000000004</v>
      </c>
      <c r="Q488">
        <v>0.14350099999999999</v>
      </c>
      <c r="R488">
        <v>-2.6795599999999999E-2</v>
      </c>
      <c r="S488">
        <v>3.0594480000000002</v>
      </c>
      <c r="T488">
        <v>-0.1012001</v>
      </c>
      <c r="U488">
        <v>0.45236209999999999</v>
      </c>
      <c r="V488">
        <v>1.9541530000000001E-2</v>
      </c>
      <c r="W488">
        <v>0.14382600000000001</v>
      </c>
      <c r="X488">
        <v>0.98941000000000001</v>
      </c>
      <c r="Y488">
        <v>-0.153447</v>
      </c>
      <c r="Z488">
        <v>2.7883130000000002E-3</v>
      </c>
      <c r="AA488">
        <v>0.9881529</v>
      </c>
      <c r="AB488">
        <v>25</v>
      </c>
      <c r="AC488">
        <v>32.896799999999899</v>
      </c>
      <c r="AD488">
        <v>-1.0996292226690001</v>
      </c>
      <c r="AE488">
        <v>4.9044000000000096</v>
      </c>
      <c r="AF488">
        <v>-5.1404291479400301</v>
      </c>
      <c r="AG488">
        <v>-1.0996292226690001</v>
      </c>
      <c r="AH488">
        <v>32.823987695439101</v>
      </c>
      <c r="AI488">
        <v>91.895647986507598</v>
      </c>
      <c r="AJ488">
        <v>98.900561979704506</v>
      </c>
      <c r="AK488">
        <v>33.242252698676701</v>
      </c>
      <c r="AL488">
        <v>81.7306983788217</v>
      </c>
      <c r="AM488">
        <v>88.8685159431746</v>
      </c>
      <c r="AN488">
        <v>0.99999996888537002</v>
      </c>
    </row>
    <row r="489" spans="1:40" x14ac:dyDescent="0.25">
      <c r="A489" t="str">
        <f>"20190303162221346"</f>
        <v>20190303162221346</v>
      </c>
      <c r="B489" t="str">
        <f>"1551601341334410"</f>
        <v>1551601341334410</v>
      </c>
      <c r="C489" t="s">
        <v>40</v>
      </c>
      <c r="D489">
        <v>5.4319329999999999</v>
      </c>
      <c r="E489">
        <v>0.43309160000000002</v>
      </c>
      <c r="F489" t="s">
        <v>41</v>
      </c>
      <c r="G489">
        <v>-363.22919999999999</v>
      </c>
      <c r="H489" s="1">
        <v>-3.5805159999999999E-6</v>
      </c>
      <c r="I489">
        <v>372.22289999999998</v>
      </c>
      <c r="J489">
        <v>-396.67869999999999</v>
      </c>
      <c r="K489">
        <v>1.1022190000000001</v>
      </c>
      <c r="L489">
        <v>367.26670000000001</v>
      </c>
      <c r="M489">
        <v>0.99997199999999997</v>
      </c>
      <c r="N489">
        <v>-1.2648819999999999E-3</v>
      </c>
      <c r="O489">
        <v>-7.3912149999999996E-3</v>
      </c>
      <c r="P489">
        <v>0.98941049999999997</v>
      </c>
      <c r="Q489">
        <v>0.14259289999999999</v>
      </c>
      <c r="R489">
        <v>-2.7102350000000001E-2</v>
      </c>
      <c r="S489">
        <v>3.0591430000000002</v>
      </c>
      <c r="T489">
        <v>-9.9819660000000004E-2</v>
      </c>
      <c r="U489">
        <v>0.44973750000000001</v>
      </c>
      <c r="V489">
        <v>1.980604E-2</v>
      </c>
      <c r="W489">
        <v>0.143842</v>
      </c>
      <c r="X489">
        <v>0.98940249999999996</v>
      </c>
      <c r="Y489">
        <v>-0.15267320000000001</v>
      </c>
      <c r="Z489">
        <v>2.8045520000000001E-3</v>
      </c>
      <c r="AA489">
        <v>0.9882727</v>
      </c>
      <c r="AB489">
        <v>25</v>
      </c>
      <c r="AC489">
        <v>33.4495</v>
      </c>
      <c r="AD489">
        <v>-1.102222580516</v>
      </c>
      <c r="AE489">
        <v>4.95619999999996</v>
      </c>
      <c r="AF489">
        <v>-5.1977746123213704</v>
      </c>
      <c r="AG489">
        <v>-1.102222580516</v>
      </c>
      <c r="AH489">
        <v>33.376491510104998</v>
      </c>
      <c r="AI489">
        <v>91.868932881054405</v>
      </c>
      <c r="AJ489">
        <v>98.851662909455399</v>
      </c>
      <c r="AK489">
        <v>33.796774122119999</v>
      </c>
      <c r="AL489">
        <v>81.729772719296093</v>
      </c>
      <c r="AM489">
        <v>88.853195787295107</v>
      </c>
      <c r="AN489">
        <v>1.0000000535953599</v>
      </c>
    </row>
    <row r="490" spans="1:40" x14ac:dyDescent="0.25">
      <c r="A490" t="str">
        <f>"20190303162221365"</f>
        <v>20190303162221365</v>
      </c>
      <c r="B490" t="str">
        <f>"1551601341354906"</f>
        <v>1551601341354906</v>
      </c>
      <c r="C490" t="s">
        <v>40</v>
      </c>
      <c r="D490">
        <v>5.4276200000000001</v>
      </c>
      <c r="E490">
        <v>0.4332375</v>
      </c>
      <c r="F490" t="s">
        <v>41</v>
      </c>
      <c r="G490">
        <v>-363.75170000000003</v>
      </c>
      <c r="H490" s="1">
        <v>-3.319264E-6</v>
      </c>
      <c r="I490">
        <v>372.08339999999998</v>
      </c>
      <c r="J490">
        <v>-396.4452</v>
      </c>
      <c r="K490">
        <v>1.1044419999999999</v>
      </c>
      <c r="L490">
        <v>367.26499999999999</v>
      </c>
      <c r="M490">
        <v>0.99997029999999998</v>
      </c>
      <c r="N490">
        <v>-2.0651620000000002E-3</v>
      </c>
      <c r="O490">
        <v>-7.4400730000000002E-3</v>
      </c>
      <c r="P490">
        <v>0.98957969999999895</v>
      </c>
      <c r="Q490">
        <v>0.14140999999999901</v>
      </c>
      <c r="R490">
        <v>-2.7118690000000001E-2</v>
      </c>
      <c r="S490">
        <v>3.0591430000000002</v>
      </c>
      <c r="T490">
        <v>-0.1024036</v>
      </c>
      <c r="U490">
        <v>0.44750980000000001</v>
      </c>
      <c r="V490">
        <v>1.9771259999999999E-2</v>
      </c>
      <c r="W490">
        <v>0.14345179999999999</v>
      </c>
      <c r="X490">
        <v>0.9894598</v>
      </c>
      <c r="Y490">
        <v>-0.15201099999999901</v>
      </c>
      <c r="Z490">
        <v>2.9203509999999998E-3</v>
      </c>
      <c r="AA490">
        <v>0.98837450000000004</v>
      </c>
      <c r="AB490">
        <v>25</v>
      </c>
      <c r="AC490">
        <v>32.693499999999901</v>
      </c>
      <c r="AD490">
        <v>-1.104445319264</v>
      </c>
      <c r="AE490">
        <v>4.8183999999999898</v>
      </c>
      <c r="AF490">
        <v>-5.0558620171979403</v>
      </c>
      <c r="AG490">
        <v>-1.104445319264</v>
      </c>
      <c r="AH490">
        <v>32.620310581416902</v>
      </c>
      <c r="AI490">
        <v>91.916293730903405</v>
      </c>
      <c r="AJ490">
        <v>98.810242216886806</v>
      </c>
      <c r="AK490">
        <v>33.028263693816697</v>
      </c>
      <c r="AL490">
        <v>81.752363451010794</v>
      </c>
      <c r="AM490">
        <v>88.8552753511227</v>
      </c>
      <c r="AN490">
        <v>1.00000000873063</v>
      </c>
    </row>
    <row r="491" spans="1:40" x14ac:dyDescent="0.25">
      <c r="A491" t="str">
        <f>"20190303162221388"</f>
        <v>20190303162221388</v>
      </c>
      <c r="B491" t="str">
        <f>"1551601341374426"</f>
        <v>1551601341374426</v>
      </c>
      <c r="C491" t="s">
        <v>40</v>
      </c>
      <c r="D491">
        <v>5.4231410000000002</v>
      </c>
      <c r="E491">
        <v>0.43341540000000001</v>
      </c>
      <c r="F491" t="s">
        <v>41</v>
      </c>
      <c r="G491">
        <v>-364.55509999999998</v>
      </c>
      <c r="H491" s="1">
        <v>-2.9293559999999999E-6</v>
      </c>
      <c r="I491">
        <v>371.91340000000002</v>
      </c>
      <c r="J491">
        <v>-396.20260000000002</v>
      </c>
      <c r="K491">
        <v>1.1065259999999999</v>
      </c>
      <c r="L491">
        <v>367.26310000000001</v>
      </c>
      <c r="M491">
        <v>0.99996810000000003</v>
      </c>
      <c r="N491">
        <v>-2.834877E-3</v>
      </c>
      <c r="O491">
        <v>-7.4900380000000001E-3</v>
      </c>
      <c r="P491">
        <v>0.98968230000000001</v>
      </c>
      <c r="Q491">
        <v>0.14079820000000001</v>
      </c>
      <c r="R491">
        <v>-2.6555829999999999E-2</v>
      </c>
      <c r="S491">
        <v>3.0589599999999999</v>
      </c>
      <c r="T491">
        <v>-0.1059403</v>
      </c>
      <c r="U491">
        <v>0.44589230000000002</v>
      </c>
      <c r="V491">
        <v>1.9157299999999999E-2</v>
      </c>
      <c r="W491">
        <v>0.143601799999999</v>
      </c>
      <c r="X491">
        <v>0.9894501</v>
      </c>
      <c r="Y491">
        <v>-0.1515492</v>
      </c>
      <c r="Z491">
        <v>3.062614E-3</v>
      </c>
      <c r="AA491">
        <v>0.98844500000000002</v>
      </c>
      <c r="AB491">
        <v>25</v>
      </c>
      <c r="AC491">
        <v>31.647500000000001</v>
      </c>
      <c r="AD491">
        <v>-1.1065289293559999</v>
      </c>
      <c r="AE491">
        <v>4.6503000000000103</v>
      </c>
      <c r="AF491">
        <v>-4.8813701221426404</v>
      </c>
      <c r="AG491">
        <v>-1.1065289293559999</v>
      </c>
      <c r="AH491">
        <v>31.573997974685199</v>
      </c>
      <c r="AI491">
        <v>91.983595845632806</v>
      </c>
      <c r="AJ491">
        <v>98.788404245732806</v>
      </c>
      <c r="AK491">
        <v>31.968258142199002</v>
      </c>
      <c r="AL491">
        <v>81.743679013036399</v>
      </c>
      <c r="AM491">
        <v>88.890802768953606</v>
      </c>
      <c r="AN491">
        <v>0.99999998974826998</v>
      </c>
    </row>
    <row r="492" spans="1:40" x14ac:dyDescent="0.25">
      <c r="A492" t="str">
        <f>"20190303162221411"</f>
        <v>20190303162221411</v>
      </c>
      <c r="B492" t="str">
        <f>"1551601341404682"</f>
        <v>1551601341404682</v>
      </c>
      <c r="C492" t="s">
        <v>40</v>
      </c>
      <c r="D492">
        <v>5.4226159999999997</v>
      </c>
      <c r="E492">
        <v>0.44142330000000002</v>
      </c>
      <c r="F492" t="s">
        <v>41</v>
      </c>
      <c r="G492">
        <v>-364.98829999999998</v>
      </c>
      <c r="H492" s="1">
        <v>-2.7182480000000001E-6</v>
      </c>
      <c r="I492">
        <v>371.8184</v>
      </c>
      <c r="J492">
        <v>-395.947</v>
      </c>
      <c r="K492">
        <v>1.108503</v>
      </c>
      <c r="L492">
        <v>367.2611</v>
      </c>
      <c r="M492">
        <v>0.9999652</v>
      </c>
      <c r="N492">
        <v>-3.5956949999999999E-3</v>
      </c>
      <c r="O492">
        <v>-7.5395710000000001E-3</v>
      </c>
      <c r="P492">
        <v>0.98975380000000002</v>
      </c>
      <c r="Q492">
        <v>0.14047279999999901</v>
      </c>
      <c r="R492">
        <v>-2.5592589999999998E-2</v>
      </c>
      <c r="S492">
        <v>3.0586850000000001</v>
      </c>
      <c r="T492">
        <v>-0.1084282</v>
      </c>
      <c r="U492">
        <v>0.44638060000000002</v>
      </c>
      <c r="V492">
        <v>1.8144529999999999E-2</v>
      </c>
      <c r="W492">
        <v>0.144029399999999</v>
      </c>
      <c r="X492">
        <v>0.98940709999999998</v>
      </c>
      <c r="Y492">
        <v>-0.1517588</v>
      </c>
      <c r="Z492">
        <v>3.1881019999999999E-3</v>
      </c>
      <c r="AA492">
        <v>0.98841239999999997</v>
      </c>
      <c r="AB492">
        <v>25</v>
      </c>
      <c r="AC492">
        <v>30.958699999999901</v>
      </c>
      <c r="AD492">
        <v>-1.108505718248</v>
      </c>
      <c r="AE492">
        <v>4.5572999999999899</v>
      </c>
      <c r="AF492">
        <v>-4.7845832241710902</v>
      </c>
      <c r="AG492">
        <v>-1.108505718248</v>
      </c>
      <c r="AH492">
        <v>30.8847033445013</v>
      </c>
      <c r="AI492">
        <v>92.031352322218396</v>
      </c>
      <c r="AJ492">
        <v>98.806120900442494</v>
      </c>
      <c r="AK492">
        <v>31.272766462758899</v>
      </c>
      <c r="AL492">
        <v>81.718922484531902</v>
      </c>
      <c r="AM492">
        <v>88.949382443141602</v>
      </c>
      <c r="AN492">
        <v>1.0000000507818401</v>
      </c>
    </row>
    <row r="493" spans="1:40" x14ac:dyDescent="0.25">
      <c r="A493" t="str">
        <f>"20190303162221432"</f>
        <v>20190303162221432</v>
      </c>
      <c r="B493" t="str">
        <f>"1551601341425180"</f>
        <v>1551601341425180</v>
      </c>
      <c r="C493" t="s">
        <v>40</v>
      </c>
      <c r="D493">
        <v>5.406104</v>
      </c>
      <c r="E493">
        <v>0.44143890000000002</v>
      </c>
      <c r="F493" t="s">
        <v>41</v>
      </c>
      <c r="G493">
        <v>-358.81990000000002</v>
      </c>
      <c r="H493" s="1">
        <v>-1.1088699999999999E-6</v>
      </c>
      <c r="I493">
        <v>371.94760000000002</v>
      </c>
      <c r="J493">
        <v>-395.70249999999999</v>
      </c>
      <c r="K493">
        <v>1.1101730000000001</v>
      </c>
      <c r="L493">
        <v>367.25920000000002</v>
      </c>
      <c r="M493">
        <v>0.99996229999999997</v>
      </c>
      <c r="N493">
        <v>-4.2678839999999996E-3</v>
      </c>
      <c r="O493">
        <v>-7.5834819999999999E-3</v>
      </c>
      <c r="P493">
        <v>0.98983520000000003</v>
      </c>
      <c r="Q493">
        <v>0.14000509999999999</v>
      </c>
      <c r="R493">
        <v>-2.500687E-2</v>
      </c>
      <c r="S493">
        <v>3.0539550000000002</v>
      </c>
      <c r="T493">
        <v>-9.1181869999999998E-2</v>
      </c>
      <c r="U493">
        <v>0.38549800000000001</v>
      </c>
      <c r="V493">
        <v>1.7515099999999999E-2</v>
      </c>
      <c r="W493">
        <v>0.1442271</v>
      </c>
      <c r="X493">
        <v>0.98938959999999998</v>
      </c>
      <c r="Y493">
        <v>-0.13268650000000001</v>
      </c>
      <c r="Z493">
        <v>2.4501560000000002E-3</v>
      </c>
      <c r="AA493">
        <v>0.99115500000000001</v>
      </c>
      <c r="AB493">
        <v>25</v>
      </c>
      <c r="AC493">
        <v>36.882599999999897</v>
      </c>
      <c r="AD493">
        <v>-1.1101741088699999</v>
      </c>
      <c r="AE493">
        <v>4.6883999999999997</v>
      </c>
      <c r="AF493">
        <v>-4.9635406480232902</v>
      </c>
      <c r="AG493">
        <v>-1.1101741088699999</v>
      </c>
      <c r="AH493">
        <v>36.813161522053399</v>
      </c>
      <c r="AI493">
        <v>91.711863870848504</v>
      </c>
      <c r="AJ493">
        <v>97.678915362782504</v>
      </c>
      <c r="AK493">
        <v>37.162858926156098</v>
      </c>
      <c r="AL493">
        <v>81.707475234123507</v>
      </c>
      <c r="AM493">
        <v>88.985802465603101</v>
      </c>
      <c r="AN493">
        <v>1.00000000784529</v>
      </c>
    </row>
    <row r="494" spans="1:40" x14ac:dyDescent="0.25">
      <c r="A494" t="str">
        <f>"20190303162221454"</f>
        <v>20190303162221454</v>
      </c>
      <c r="B494" t="str">
        <f>"1551601341444699"</f>
        <v>1551601341444699</v>
      </c>
      <c r="C494" t="s">
        <v>40</v>
      </c>
      <c r="D494">
        <v>5.4036489999999997</v>
      </c>
      <c r="E494">
        <v>0.43700129999999998</v>
      </c>
      <c r="F494" t="s">
        <v>41</v>
      </c>
      <c r="G494">
        <v>-358.4479</v>
      </c>
      <c r="H494" s="1">
        <v>-1.2777690000000001E-6</v>
      </c>
      <c r="I494">
        <v>371.98259999999999</v>
      </c>
      <c r="J494">
        <v>-395.45960000000002</v>
      </c>
      <c r="K494">
        <v>1.1116349999999999</v>
      </c>
      <c r="L494">
        <v>367.25740000000002</v>
      </c>
      <c r="M494">
        <v>0.99995919999999905</v>
      </c>
      <c r="N494">
        <v>-4.8699449999999997E-3</v>
      </c>
      <c r="O494">
        <v>-7.6257769999999898E-3</v>
      </c>
      <c r="P494">
        <v>0.98993920000000002</v>
      </c>
      <c r="Q494">
        <v>0.13938349999999999</v>
      </c>
      <c r="R494">
        <v>-2.4345470000000001E-2</v>
      </c>
      <c r="S494">
        <v>3.0534970000000001</v>
      </c>
      <c r="T494">
        <v>-9.0993169999999998E-2</v>
      </c>
      <c r="U494">
        <v>0.38714599999999999</v>
      </c>
      <c r="V494">
        <v>1.6811699999999999E-2</v>
      </c>
      <c r="W494">
        <v>0.14420160000000001</v>
      </c>
      <c r="X494">
        <v>0.98940550000000005</v>
      </c>
      <c r="Y494">
        <v>-0.13327220000000001</v>
      </c>
      <c r="Z494">
        <v>2.4926129999999999E-3</v>
      </c>
      <c r="AA494">
        <v>0.99107639999999997</v>
      </c>
      <c r="AB494">
        <v>25</v>
      </c>
      <c r="AC494">
        <v>37.011699999999998</v>
      </c>
      <c r="AD494">
        <v>-1.1116362777690001</v>
      </c>
      <c r="AE494">
        <v>4.7251999999999699</v>
      </c>
      <c r="AF494">
        <v>-5.0028682499047097</v>
      </c>
      <c r="AG494">
        <v>-1.1116362777690001</v>
      </c>
      <c r="AH494">
        <v>36.941799867716099</v>
      </c>
      <c r="AI494">
        <v>91.7080170133693</v>
      </c>
      <c r="AJ494">
        <v>97.712399359374402</v>
      </c>
      <c r="AK494">
        <v>37.295589597247897</v>
      </c>
      <c r="AL494">
        <v>81.708951554074204</v>
      </c>
      <c r="AM494">
        <v>89.026539906226702</v>
      </c>
      <c r="AN494">
        <v>0.99999998906484999</v>
      </c>
    </row>
    <row r="495" spans="1:40" x14ac:dyDescent="0.25">
      <c r="A495" t="str">
        <f>"20190303162221469"</f>
        <v>20190303162221469</v>
      </c>
      <c r="B495" t="str">
        <f>"1551601341465194"</f>
        <v>1551601341465194</v>
      </c>
      <c r="C495" t="s">
        <v>40</v>
      </c>
      <c r="D495">
        <v>5.3956929999999996</v>
      </c>
      <c r="E495">
        <v>0.43737130000000002</v>
      </c>
      <c r="F495" t="s">
        <v>41</v>
      </c>
      <c r="G495">
        <v>-370.48970000000003</v>
      </c>
      <c r="H495" s="1">
        <v>-4.3039609999999998E-6</v>
      </c>
      <c r="I495">
        <v>370.71319999999997</v>
      </c>
      <c r="J495">
        <v>-395.30329999999998</v>
      </c>
      <c r="K495">
        <v>1.112476</v>
      </c>
      <c r="L495">
        <v>367.2561</v>
      </c>
      <c r="M495">
        <v>0.99995719999999999</v>
      </c>
      <c r="N495">
        <v>-5.2231489999999998E-3</v>
      </c>
      <c r="O495">
        <v>-7.65291199999999E-3</v>
      </c>
      <c r="P495">
        <v>0.99000659999999896</v>
      </c>
      <c r="Q495">
        <v>0.1389407</v>
      </c>
      <c r="R495">
        <v>-2.4139560000000001E-2</v>
      </c>
      <c r="S495">
        <v>3.0600890000000001</v>
      </c>
      <c r="T495">
        <v>-0.13623209999999999</v>
      </c>
      <c r="U495">
        <v>0.42352289999999998</v>
      </c>
      <c r="V495">
        <v>1.6578570000000001E-2</v>
      </c>
      <c r="W495">
        <v>0.1441086</v>
      </c>
      <c r="X495">
        <v>0.98942300000000005</v>
      </c>
      <c r="Y495">
        <v>-0.1445091</v>
      </c>
      <c r="Z495">
        <v>3.8784729999999999E-3</v>
      </c>
      <c r="AA495">
        <v>0.98949589999999998</v>
      </c>
      <c r="AB495">
        <v>25</v>
      </c>
      <c r="AC495">
        <v>24.813599999999902</v>
      </c>
      <c r="AD495">
        <v>-1.1124803039610001</v>
      </c>
      <c r="AE495">
        <v>3.4570999999999601</v>
      </c>
      <c r="AF495">
        <v>-3.6397209374641801</v>
      </c>
      <c r="AG495">
        <v>-1.1124803039610001</v>
      </c>
      <c r="AH495">
        <v>24.7376392096964</v>
      </c>
      <c r="AI495">
        <v>92.547532442349606</v>
      </c>
      <c r="AJ495">
        <v>98.370041277983404</v>
      </c>
      <c r="AK495">
        <v>25.0287030147074</v>
      </c>
      <c r="AL495">
        <v>81.714336439855998</v>
      </c>
      <c r="AM495">
        <v>89.040053434092599</v>
      </c>
      <c r="AN495">
        <v>1.0000000052531</v>
      </c>
    </row>
    <row r="496" spans="1:40" x14ac:dyDescent="0.25">
      <c r="A496" t="str">
        <f>"20190303162221488"</f>
        <v>20190303162221488</v>
      </c>
      <c r="B496" t="str">
        <f>"1551601341474955"</f>
        <v>1551601341474955</v>
      </c>
      <c r="C496" t="s">
        <v>40</v>
      </c>
      <c r="D496">
        <v>5.4229859999999999</v>
      </c>
      <c r="E496">
        <v>0.43740689999999999</v>
      </c>
      <c r="F496" t="s">
        <v>41</v>
      </c>
      <c r="G496">
        <v>-370.59269999999998</v>
      </c>
      <c r="H496" s="1">
        <v>-4.259038E-6</v>
      </c>
      <c r="I496">
        <v>370.6576</v>
      </c>
      <c r="J496">
        <v>-395.07889999999998</v>
      </c>
      <c r="K496">
        <v>1.113556</v>
      </c>
      <c r="L496">
        <v>367.25439999999998</v>
      </c>
      <c r="M496">
        <v>0.99995429999999996</v>
      </c>
      <c r="N496">
        <v>-5.6848819999999996E-3</v>
      </c>
      <c r="O496">
        <v>-7.6925769999999999E-3</v>
      </c>
      <c r="P496">
        <v>0.99008770000000001</v>
      </c>
      <c r="Q496">
        <v>0.13836660000000001</v>
      </c>
      <c r="R496">
        <v>-2.4111779999999999E-2</v>
      </c>
      <c r="S496">
        <v>3.0598450000000001</v>
      </c>
      <c r="T496">
        <v>-0.13775499999999999</v>
      </c>
      <c r="U496">
        <v>0.42120360000000001</v>
      </c>
      <c r="V496">
        <v>1.651097E-2</v>
      </c>
      <c r="W496">
        <v>0.1439916</v>
      </c>
      <c r="X496">
        <v>0.98944120000000002</v>
      </c>
      <c r="Y496">
        <v>-0.143818899999999</v>
      </c>
      <c r="Z496">
        <v>3.9325949999999997E-3</v>
      </c>
      <c r="AA496">
        <v>0.98959620000000004</v>
      </c>
      <c r="AB496">
        <v>25</v>
      </c>
      <c r="AC496">
        <v>24.4862</v>
      </c>
      <c r="AD496">
        <v>-1.113560259038</v>
      </c>
      <c r="AE496">
        <v>3.40320000000002</v>
      </c>
      <c r="AF496">
        <v>-3.5841920987939502</v>
      </c>
      <c r="AG496">
        <v>-1.113560259038</v>
      </c>
      <c r="AH496">
        <v>24.409768992708301</v>
      </c>
      <c r="AI496">
        <v>92.584318413276605</v>
      </c>
      <c r="AJ496">
        <v>98.3532955196508</v>
      </c>
      <c r="AK496">
        <v>24.6966247031644</v>
      </c>
      <c r="AL496">
        <v>81.721110993795904</v>
      </c>
      <c r="AM496">
        <v>89.043984521456494</v>
      </c>
      <c r="AN496">
        <v>1.00000004062916</v>
      </c>
    </row>
    <row r="497" spans="1:40" x14ac:dyDescent="0.25">
      <c r="A497" t="str">
        <f>"20190303162221511"</f>
        <v>20190303162221511</v>
      </c>
      <c r="B497" t="str">
        <f>"1551601341505210"</f>
        <v>1551601341505210</v>
      </c>
      <c r="C497" t="s">
        <v>40</v>
      </c>
      <c r="D497">
        <v>5.420191</v>
      </c>
      <c r="E497">
        <v>0.43744509999999998</v>
      </c>
      <c r="F497" t="s">
        <v>41</v>
      </c>
      <c r="G497">
        <v>-370.54469999999998</v>
      </c>
      <c r="H497" s="1">
        <v>-4.2707609999999998E-6</v>
      </c>
      <c r="I497">
        <v>370.63150000000002</v>
      </c>
      <c r="J497">
        <v>-394.83460000000002</v>
      </c>
      <c r="K497">
        <v>1.114576</v>
      </c>
      <c r="L497">
        <v>367.2525</v>
      </c>
      <c r="M497">
        <v>0.99995129999999999</v>
      </c>
      <c r="N497">
        <v>-6.1344700000000004E-3</v>
      </c>
      <c r="O497">
        <v>-7.7377890000000001E-3</v>
      </c>
      <c r="P497">
        <v>0.99008689999999999</v>
      </c>
      <c r="Q497">
        <v>0.13840429999999901</v>
      </c>
      <c r="R497">
        <v>-2.3924009999999999E-2</v>
      </c>
      <c r="S497">
        <v>3.0596619999999999</v>
      </c>
      <c r="T497">
        <v>-0.13887169999999999</v>
      </c>
      <c r="U497">
        <v>0.42117310000000002</v>
      </c>
      <c r="V497">
        <v>1.6278560000000001E-2</v>
      </c>
      <c r="W497">
        <v>0.14447479999999999</v>
      </c>
      <c r="X497">
        <v>0.98937459999999999</v>
      </c>
      <c r="Y497">
        <v>-0.14385789999999901</v>
      </c>
      <c r="Z497">
        <v>3.9935140000000001E-3</v>
      </c>
      <c r="AA497">
        <v>0.98959030000000003</v>
      </c>
      <c r="AB497">
        <v>25</v>
      </c>
      <c r="AC497">
        <v>24.289899999999999</v>
      </c>
      <c r="AD497">
        <v>-1.114580270761</v>
      </c>
      <c r="AE497">
        <v>3.3790000000000102</v>
      </c>
      <c r="AF497">
        <v>-3.5594999683583599</v>
      </c>
      <c r="AG497">
        <v>-1.114580270761</v>
      </c>
      <c r="AH497">
        <v>24.213011826511799</v>
      </c>
      <c r="AI497">
        <v>92.607608195464394</v>
      </c>
      <c r="AJ497">
        <v>98.363020775530401</v>
      </c>
      <c r="AK497">
        <v>24.498617734792902</v>
      </c>
      <c r="AL497">
        <v>81.693133034461596</v>
      </c>
      <c r="AM497">
        <v>89.057375604813998</v>
      </c>
      <c r="AN497">
        <v>1.0000000292379301</v>
      </c>
    </row>
    <row r="498" spans="1:40" x14ac:dyDescent="0.25">
      <c r="A498" t="str">
        <f>"20190303162221534"</f>
        <v>20190303162221534</v>
      </c>
      <c r="B498" t="str">
        <f>"1551601341524730"</f>
        <v>1551601341524730</v>
      </c>
      <c r="C498" t="s">
        <v>40</v>
      </c>
      <c r="D498">
        <v>5.4023709999999996</v>
      </c>
      <c r="E498">
        <v>0.43758200000000003</v>
      </c>
      <c r="F498" t="s">
        <v>41</v>
      </c>
      <c r="G498">
        <v>-370.303</v>
      </c>
      <c r="H498" s="1">
        <v>-4.3526429999999998E-6</v>
      </c>
      <c r="I498">
        <v>370.62950000000001</v>
      </c>
      <c r="J498">
        <v>-394.57080000000002</v>
      </c>
      <c r="K498">
        <v>1.115521</v>
      </c>
      <c r="L498">
        <v>367.25029999999998</v>
      </c>
      <c r="M498">
        <v>0.99994819999999995</v>
      </c>
      <c r="N498">
        <v>-6.5657789999999999E-3</v>
      </c>
      <c r="O498">
        <v>-7.7868549999999996E-3</v>
      </c>
      <c r="P498">
        <v>0.99009669999999905</v>
      </c>
      <c r="Q498">
        <v>0.138300799999999</v>
      </c>
      <c r="R498">
        <v>-2.4118609999999999E-2</v>
      </c>
      <c r="S498">
        <v>3.059631</v>
      </c>
      <c r="T498">
        <v>-0.13901269999999999</v>
      </c>
      <c r="U498">
        <v>0.42120360000000001</v>
      </c>
      <c r="V498">
        <v>1.642449E-2</v>
      </c>
      <c r="W498">
        <v>0.1447975</v>
      </c>
      <c r="X498">
        <v>0.98932500000000001</v>
      </c>
      <c r="Y498">
        <v>-0.14391579999999901</v>
      </c>
      <c r="Z498">
        <v>4.0284639999999998E-3</v>
      </c>
      <c r="AA498">
        <v>0.98958170000000001</v>
      </c>
      <c r="AB498">
        <v>25</v>
      </c>
      <c r="AC498">
        <v>24.267799999999902</v>
      </c>
      <c r="AD498">
        <v>-1.115525352643</v>
      </c>
      <c r="AE498">
        <v>3.37920000000002</v>
      </c>
      <c r="AF498">
        <v>-3.5606908354631899</v>
      </c>
      <c r="AG498">
        <v>-1.115525352643</v>
      </c>
      <c r="AH498">
        <v>24.190607959800499</v>
      </c>
      <c r="AI498">
        <v>92.612160278202097</v>
      </c>
      <c r="AJ498">
        <v>98.373417194531598</v>
      </c>
      <c r="AK498">
        <v>24.476691555496298</v>
      </c>
      <c r="AL498">
        <v>81.674447107346893</v>
      </c>
      <c r="AM498">
        <v>89.048879271055597</v>
      </c>
      <c r="AN498">
        <v>1.0000000177515</v>
      </c>
    </row>
    <row r="499" spans="1:40" x14ac:dyDescent="0.25">
      <c r="A499" t="str">
        <f>"20190303162221556"</f>
        <v>20190303162221556</v>
      </c>
      <c r="B499" t="str">
        <f>"1551601341545226"</f>
        <v>1551601341545226</v>
      </c>
      <c r="C499" t="s">
        <v>40</v>
      </c>
      <c r="D499">
        <v>5.3667040000000004</v>
      </c>
      <c r="E499">
        <v>0.43771510000000002</v>
      </c>
      <c r="F499" t="s">
        <v>41</v>
      </c>
      <c r="G499">
        <v>-370.02710000000002</v>
      </c>
      <c r="H499" s="1">
        <v>-4.4442380000000004E-6</v>
      </c>
      <c r="I499">
        <v>370.61649999999997</v>
      </c>
      <c r="J499">
        <v>-394.32049999999998</v>
      </c>
      <c r="K499">
        <v>1.116277</v>
      </c>
      <c r="L499">
        <v>367.2484</v>
      </c>
      <c r="M499">
        <v>0.99994550000000004</v>
      </c>
      <c r="N499">
        <v>-6.9279769999999897E-3</v>
      </c>
      <c r="O499">
        <v>-7.8332669999999997E-3</v>
      </c>
      <c r="P499">
        <v>0.9901742</v>
      </c>
      <c r="Q499">
        <v>0.1376916</v>
      </c>
      <c r="R499">
        <v>-2.4420330000000001E-2</v>
      </c>
      <c r="S499">
        <v>3.0596619999999999</v>
      </c>
      <c r="T499">
        <v>-0.1390632</v>
      </c>
      <c r="U499">
        <v>0.4196472</v>
      </c>
      <c r="V499">
        <v>1.6679610000000001E-2</v>
      </c>
      <c r="W499">
        <v>0.14454739999999999</v>
      </c>
      <c r="X499">
        <v>0.9893573</v>
      </c>
      <c r="Y499">
        <v>-0.1434657</v>
      </c>
      <c r="Z499">
        <v>4.0432749999999998E-3</v>
      </c>
      <c r="AA499">
        <v>0.98964700000000005</v>
      </c>
      <c r="AB499">
        <v>25</v>
      </c>
      <c r="AC499">
        <v>24.293399999999899</v>
      </c>
      <c r="AD499">
        <v>-1.116281444238</v>
      </c>
      <c r="AE499">
        <v>3.3680999999999699</v>
      </c>
      <c r="AF499">
        <v>-3.5509418143742399</v>
      </c>
      <c r="AG499">
        <v>-1.116281444238</v>
      </c>
      <c r="AH499">
        <v>24.216105129389199</v>
      </c>
      <c r="AI499">
        <v>92.611389013361602</v>
      </c>
      <c r="AJ499">
        <v>98.342146080521303</v>
      </c>
      <c r="AK499">
        <v>24.500510600178401</v>
      </c>
      <c r="AL499">
        <v>81.688929103987903</v>
      </c>
      <c r="AM499">
        <v>89.034139911020404</v>
      </c>
      <c r="AN499">
        <v>1.0000000136499001</v>
      </c>
    </row>
    <row r="500" spans="1:40" x14ac:dyDescent="0.25">
      <c r="A500" t="str">
        <f>"20190303162221578"</f>
        <v>20190303162221578</v>
      </c>
      <c r="B500" t="str">
        <f>"1551601341564747"</f>
        <v>1551601341564747</v>
      </c>
      <c r="C500" t="s">
        <v>40</v>
      </c>
      <c r="D500">
        <v>5.401948</v>
      </c>
      <c r="E500">
        <v>0.43760559999999998</v>
      </c>
      <c r="F500" t="s">
        <v>41</v>
      </c>
      <c r="G500">
        <v>-369.99509999999998</v>
      </c>
      <c r="H500" s="1">
        <v>-4.4470790000000002E-6</v>
      </c>
      <c r="I500">
        <v>370.5711</v>
      </c>
      <c r="J500">
        <v>-394.07769999999999</v>
      </c>
      <c r="K500">
        <v>1.1169089999999999</v>
      </c>
      <c r="L500">
        <v>367.24639999999999</v>
      </c>
      <c r="M500">
        <v>0.99994280000000002</v>
      </c>
      <c r="N500">
        <v>-7.2395999999999997E-3</v>
      </c>
      <c r="O500">
        <v>-7.8778919999999992E-3</v>
      </c>
      <c r="P500">
        <v>0.99012370000000005</v>
      </c>
      <c r="Q500">
        <v>0.13793469999999999</v>
      </c>
      <c r="R500">
        <v>-2.5084160000000001E-2</v>
      </c>
      <c r="S500">
        <v>3.0596009999999998</v>
      </c>
      <c r="T500">
        <v>-0.14040320000000001</v>
      </c>
      <c r="U500">
        <v>0.41793819999999998</v>
      </c>
      <c r="V500">
        <v>1.7299709999999999E-2</v>
      </c>
      <c r="W500">
        <v>0.14509849999999999</v>
      </c>
      <c r="X500">
        <v>0.98926599999999998</v>
      </c>
      <c r="Y500">
        <v>-0.14296629999999999</v>
      </c>
      <c r="Z500">
        <v>4.0866419999999997E-3</v>
      </c>
      <c r="AA500">
        <v>0.98971909999999996</v>
      </c>
      <c r="AB500">
        <v>25</v>
      </c>
      <c r="AC500">
        <v>24.082599999999999</v>
      </c>
      <c r="AD500">
        <v>-1.1169134470790001</v>
      </c>
      <c r="AE500">
        <v>3.3247</v>
      </c>
      <c r="AF500">
        <v>-3.5069197460674499</v>
      </c>
      <c r="AG500">
        <v>-1.1169134470790001</v>
      </c>
      <c r="AH500">
        <v>24.0049922445432</v>
      </c>
      <c r="AI500">
        <v>92.636017425493804</v>
      </c>
      <c r="AJ500">
        <v>98.311615226708497</v>
      </c>
      <c r="AK500">
        <v>24.285502556344198</v>
      </c>
      <c r="AL500">
        <v>81.657017162722795</v>
      </c>
      <c r="AM500">
        <v>88.998146758585506</v>
      </c>
      <c r="AN500">
        <v>1.00000003671216</v>
      </c>
    </row>
    <row r="501" spans="1:40" x14ac:dyDescent="0.25">
      <c r="A501" t="str">
        <f>"20190303162221600"</f>
        <v>20190303162221600</v>
      </c>
      <c r="B501" t="str">
        <f>"1551601341595003"</f>
        <v>1551601341595003</v>
      </c>
      <c r="C501" t="s">
        <v>40</v>
      </c>
      <c r="D501">
        <v>5.3927899999999998</v>
      </c>
      <c r="E501">
        <v>0.43756859999999997</v>
      </c>
      <c r="F501" t="s">
        <v>41</v>
      </c>
      <c r="G501">
        <v>-369.54700000000003</v>
      </c>
      <c r="H501" s="1">
        <v>-4.3504340000000001E-7</v>
      </c>
      <c r="I501">
        <v>370.58730000000003</v>
      </c>
      <c r="J501">
        <v>-393.82690000000002</v>
      </c>
      <c r="K501">
        <v>1.117469</v>
      </c>
      <c r="L501">
        <v>367.24439999999998</v>
      </c>
      <c r="M501">
        <v>0.99994019999999995</v>
      </c>
      <c r="N501">
        <v>-7.52566E-3</v>
      </c>
      <c r="O501">
        <v>-7.9236619999999997E-3</v>
      </c>
      <c r="P501">
        <v>0.99008960000000001</v>
      </c>
      <c r="Q501">
        <v>0.13805899999999999</v>
      </c>
      <c r="R501">
        <v>-2.5733369999999998E-2</v>
      </c>
      <c r="S501">
        <v>3.0599370000000001</v>
      </c>
      <c r="T501">
        <v>-0.13932169999999999</v>
      </c>
      <c r="U501">
        <v>0.41674800000000001</v>
      </c>
      <c r="V501">
        <v>1.790402E-2</v>
      </c>
      <c r="W501">
        <v>0.14550569999999999</v>
      </c>
      <c r="X501">
        <v>0.98919539999999995</v>
      </c>
      <c r="Y501">
        <v>-0.1426212</v>
      </c>
      <c r="Z501">
        <v>4.0693719999999999E-3</v>
      </c>
      <c r="AA501">
        <v>0.98976900000000001</v>
      </c>
      <c r="AB501">
        <v>25</v>
      </c>
      <c r="AC501">
        <v>24.279900000000001</v>
      </c>
      <c r="AD501">
        <v>-1.1174694350434</v>
      </c>
      <c r="AE501">
        <v>3.3429000000000402</v>
      </c>
      <c r="AF501">
        <v>-3.52785238155748</v>
      </c>
      <c r="AG501">
        <v>-1.1174694350434</v>
      </c>
      <c r="AH501">
        <v>24.202336093497401</v>
      </c>
      <c r="AI501">
        <v>92.615974994777702</v>
      </c>
      <c r="AJ501">
        <v>98.293308612490307</v>
      </c>
      <c r="AK501">
        <v>24.483618048542699</v>
      </c>
      <c r="AL501">
        <v>81.633435762976404</v>
      </c>
      <c r="AM501">
        <v>88.963083748610401</v>
      </c>
      <c r="AN501">
        <v>1.0000000010229</v>
      </c>
    </row>
    <row r="502" spans="1:40" x14ac:dyDescent="0.25">
      <c r="A502" t="str">
        <f>"20190303162221622"</f>
        <v>20190303162221622</v>
      </c>
      <c r="B502" t="str">
        <f>"1551601341614523"</f>
        <v>1551601341614523</v>
      </c>
      <c r="C502" t="s">
        <v>40</v>
      </c>
      <c r="D502">
        <v>5.5289710000000003</v>
      </c>
      <c r="E502">
        <v>0.43770019999999998</v>
      </c>
      <c r="F502" t="s">
        <v>41</v>
      </c>
      <c r="G502">
        <v>-369.18860000000001</v>
      </c>
      <c r="H502" s="1">
        <v>-5.8920380000000003E-7</v>
      </c>
      <c r="I502">
        <v>370.58879999999999</v>
      </c>
      <c r="J502">
        <v>-393.5779</v>
      </c>
      <c r="K502">
        <v>1.1179460000000001</v>
      </c>
      <c r="L502">
        <v>367.24239999999998</v>
      </c>
      <c r="M502">
        <v>0.99993799999999999</v>
      </c>
      <c r="N502">
        <v>-7.7772600000000002E-3</v>
      </c>
      <c r="O502">
        <v>-7.9690980000000008E-3</v>
      </c>
      <c r="P502">
        <v>0.98999519999999996</v>
      </c>
      <c r="Q502">
        <v>0.1386802</v>
      </c>
      <c r="R502">
        <v>-2.602409E-2</v>
      </c>
      <c r="S502">
        <v>3.060181</v>
      </c>
      <c r="T502">
        <v>-0.1387939</v>
      </c>
      <c r="U502">
        <v>0.41540529999999998</v>
      </c>
      <c r="V502">
        <v>1.8150619999999999E-2</v>
      </c>
      <c r="W502">
        <v>0.14637510000000001</v>
      </c>
      <c r="X502">
        <v>0.98906260000000001</v>
      </c>
      <c r="Y502">
        <v>-0.1422302</v>
      </c>
      <c r="Z502">
        <v>4.0629919999999996E-3</v>
      </c>
      <c r="AA502">
        <v>0.98982519999999996</v>
      </c>
      <c r="AB502">
        <v>25</v>
      </c>
      <c r="AC502">
        <v>24.389299999999899</v>
      </c>
      <c r="AD502">
        <v>-1.1179465892038001</v>
      </c>
      <c r="AE502">
        <v>3.3464000000000098</v>
      </c>
      <c r="AF502">
        <v>-3.5333735979164098</v>
      </c>
      <c r="AG502">
        <v>-1.1179465892038001</v>
      </c>
      <c r="AH502">
        <v>24.311719815238298</v>
      </c>
      <c r="AI502">
        <v>92.605490841412703</v>
      </c>
      <c r="AJ502">
        <v>98.269253948478294</v>
      </c>
      <c r="AK502">
        <v>24.5925650133006</v>
      </c>
      <c r="AL502">
        <v>81.5830834543994</v>
      </c>
      <c r="AM502">
        <v>88.948663913852897</v>
      </c>
      <c r="AN502">
        <v>0.99999997081257597</v>
      </c>
    </row>
    <row r="503" spans="1:40" x14ac:dyDescent="0.25">
      <c r="A503" t="str">
        <f>"20190303162221645"</f>
        <v>20190303162221645</v>
      </c>
      <c r="B503" t="str">
        <f>"1551601341634600"</f>
        <v>1551601341634600</v>
      </c>
      <c r="C503" t="s">
        <v>40</v>
      </c>
      <c r="D503">
        <v>5.4217519999999997</v>
      </c>
      <c r="E503">
        <v>0.43764890000000001</v>
      </c>
      <c r="F503" t="s">
        <v>41</v>
      </c>
      <c r="G503">
        <v>-368.70639999999997</v>
      </c>
      <c r="H503" s="1">
        <v>-7.9984069999999904E-7</v>
      </c>
      <c r="I503">
        <v>370.60300000000001</v>
      </c>
      <c r="J503">
        <v>-393.32889999999998</v>
      </c>
      <c r="K503">
        <v>1.118331</v>
      </c>
      <c r="L503">
        <v>367.24029999999999</v>
      </c>
      <c r="M503">
        <v>0.99993600000000005</v>
      </c>
      <c r="N503">
        <v>-7.9985469999999999E-3</v>
      </c>
      <c r="O503">
        <v>-8.01468199999999E-3</v>
      </c>
      <c r="P503">
        <v>0.98989000000000005</v>
      </c>
      <c r="Q503">
        <v>0.13943410000000001</v>
      </c>
      <c r="R503">
        <v>-2.600423E-2</v>
      </c>
      <c r="S503">
        <v>3.0604550000000001</v>
      </c>
      <c r="T503">
        <v>-0.13756370000000001</v>
      </c>
      <c r="U503">
        <v>0.41354370000000001</v>
      </c>
      <c r="V503">
        <v>1.808659E-2</v>
      </c>
      <c r="W503">
        <v>0.14734620000000001</v>
      </c>
      <c r="X503">
        <v>0.98891960000000001</v>
      </c>
      <c r="Y503">
        <v>-0.1416751</v>
      </c>
      <c r="Z503">
        <v>4.0322860000000004E-3</v>
      </c>
      <c r="AA503">
        <v>0.98990500000000003</v>
      </c>
      <c r="AB503">
        <v>25</v>
      </c>
      <c r="AC503">
        <v>24.622499999999999</v>
      </c>
      <c r="AD503">
        <v>-1.1183317998407001</v>
      </c>
      <c r="AE503">
        <v>3.36270000000001</v>
      </c>
      <c r="AF503">
        <v>-3.5527450422196099</v>
      </c>
      <c r="AG503">
        <v>-1.1183317998407001</v>
      </c>
      <c r="AH503">
        <v>24.545050539154701</v>
      </c>
      <c r="AI503">
        <v>92.581861116141198</v>
      </c>
      <c r="AJ503">
        <v>98.236012444866702</v>
      </c>
      <c r="AK503">
        <v>24.8260381317521</v>
      </c>
      <c r="AL503">
        <v>81.526833873074807</v>
      </c>
      <c r="AM503">
        <v>88.952220431862202</v>
      </c>
      <c r="AN503">
        <v>1.00000000132821</v>
      </c>
    </row>
    <row r="504" spans="1:40" x14ac:dyDescent="0.25">
      <c r="A504" t="str">
        <f>"20190303162221659"</f>
        <v>20190303162221659</v>
      </c>
      <c r="B504" t="str">
        <f>"1551601341655096"</f>
        <v>1551601341655096</v>
      </c>
      <c r="C504" t="s">
        <v>40</v>
      </c>
      <c r="D504">
        <v>5.4339430000000002</v>
      </c>
      <c r="E504">
        <v>0.4380233</v>
      </c>
      <c r="F504" t="s">
        <v>41</v>
      </c>
      <c r="G504">
        <v>-367.80579999999998</v>
      </c>
      <c r="H504" s="1">
        <v>-1.209536E-6</v>
      </c>
      <c r="I504">
        <v>370.69069999999999</v>
      </c>
      <c r="J504">
        <v>-393.16419999999999</v>
      </c>
      <c r="K504">
        <v>1.1185529999999999</v>
      </c>
      <c r="L504">
        <v>367.23899999999998</v>
      </c>
      <c r="M504">
        <v>0.99993460000000001</v>
      </c>
      <c r="N504">
        <v>-8.1307329999999994E-3</v>
      </c>
      <c r="O504">
        <v>-8.044664E-3</v>
      </c>
      <c r="P504">
        <v>0.98984870000000003</v>
      </c>
      <c r="Q504">
        <v>0.13980119999999999</v>
      </c>
      <c r="R504">
        <v>-2.5595969999999999E-2</v>
      </c>
      <c r="S504">
        <v>3.060333</v>
      </c>
      <c r="T504">
        <v>-0.1340925</v>
      </c>
      <c r="U504">
        <v>0.41372680000000001</v>
      </c>
      <c r="V504">
        <v>1.7649080000000001E-2</v>
      </c>
      <c r="W504">
        <v>0.14784430000000001</v>
      </c>
      <c r="X504">
        <v>0.98885319999999999</v>
      </c>
      <c r="Y504">
        <v>-0.1417757</v>
      </c>
      <c r="Z504">
        <v>3.9555170000000004E-3</v>
      </c>
      <c r="AA504">
        <v>0.98989090000000002</v>
      </c>
      <c r="AB504">
        <v>25</v>
      </c>
      <c r="AC504">
        <v>25.3584</v>
      </c>
      <c r="AD504">
        <v>-1.1185542095359999</v>
      </c>
      <c r="AE504">
        <v>3.4516999999999598</v>
      </c>
      <c r="AF504">
        <v>-3.6486249445244598</v>
      </c>
      <c r="AG504">
        <v>-1.1185542095359999</v>
      </c>
      <c r="AH504">
        <v>25.2815158649849</v>
      </c>
      <c r="AI504">
        <v>92.507395576643603</v>
      </c>
      <c r="AJ504">
        <v>98.212217104772293</v>
      </c>
      <c r="AK504">
        <v>25.567922714545301</v>
      </c>
      <c r="AL504">
        <v>81.497979143628896</v>
      </c>
      <c r="AM504">
        <v>88.977491864700795</v>
      </c>
      <c r="AN504">
        <v>1.00000003910878</v>
      </c>
    </row>
    <row r="505" spans="1:40" x14ac:dyDescent="0.25">
      <c r="A505" t="str">
        <f>"20190303162221678"</f>
        <v>20190303162221678</v>
      </c>
      <c r="B505" t="str">
        <f>"1551601341664857"</f>
        <v>1551601341664857</v>
      </c>
      <c r="C505" t="s">
        <v>40</v>
      </c>
      <c r="D505">
        <v>5.6138130000000004</v>
      </c>
      <c r="E505">
        <v>0.43784060000000002</v>
      </c>
      <c r="F505" t="s">
        <v>41</v>
      </c>
      <c r="G505">
        <v>-344.416</v>
      </c>
      <c r="H505" s="1">
        <v>-3.7394620000000002E-6</v>
      </c>
      <c r="I505">
        <v>373.82330000000002</v>
      </c>
      <c r="J505">
        <v>-392.9504</v>
      </c>
      <c r="K505">
        <v>1.1188089999999999</v>
      </c>
      <c r="L505">
        <v>367.23719999999997</v>
      </c>
      <c r="M505">
        <v>0.99993310000000002</v>
      </c>
      <c r="N505">
        <v>-8.2879970000000001E-3</v>
      </c>
      <c r="O505">
        <v>-8.0837019999999999E-3</v>
      </c>
      <c r="P505">
        <v>0.98985959999999995</v>
      </c>
      <c r="Q505">
        <v>0.13978589999999999</v>
      </c>
      <c r="R505">
        <v>-2.5262690000000001E-2</v>
      </c>
      <c r="S505">
        <v>3.051361</v>
      </c>
      <c r="T505">
        <v>-7.0015309999999997E-2</v>
      </c>
      <c r="U505">
        <v>0.4121399</v>
      </c>
      <c r="V505">
        <v>1.72772E-2</v>
      </c>
      <c r="W505">
        <v>0.14798430000000001</v>
      </c>
      <c r="X505">
        <v>0.98883880000000002</v>
      </c>
      <c r="Y505">
        <v>-0.14180799999999999</v>
      </c>
      <c r="Z505">
        <v>2.327759E-3</v>
      </c>
      <c r="AA505">
        <v>0.98989150000000004</v>
      </c>
      <c r="AB505">
        <v>25</v>
      </c>
      <c r="AC505">
        <v>48.534399999999998</v>
      </c>
      <c r="AD505">
        <v>-1.118812739462</v>
      </c>
      <c r="AE505">
        <v>6.58610000000004</v>
      </c>
      <c r="AF505">
        <v>-6.9745966134572503</v>
      </c>
      <c r="AG505">
        <v>-1.118812739462</v>
      </c>
      <c r="AH505">
        <v>48.454289519225199</v>
      </c>
      <c r="AI505">
        <v>91.309239374639901</v>
      </c>
      <c r="AJ505">
        <v>98.190995233213698</v>
      </c>
      <c r="AK505">
        <v>48.966467226861802</v>
      </c>
      <c r="AL505">
        <v>81.489868300176497</v>
      </c>
      <c r="AM505">
        <v>88.999017911156699</v>
      </c>
      <c r="AN505">
        <v>1.00000001353588</v>
      </c>
    </row>
    <row r="506" spans="1:40" x14ac:dyDescent="0.25">
      <c r="A506" t="str">
        <f>"20190303162221700"</f>
        <v>20190303162221700</v>
      </c>
      <c r="B506" t="str">
        <f>"1551601341695112"</f>
        <v>1551601341695112</v>
      </c>
      <c r="C506" t="s">
        <v>40</v>
      </c>
      <c r="D506">
        <v>5.4533610000000001</v>
      </c>
      <c r="E506">
        <v>0.4363514</v>
      </c>
      <c r="F506" t="s">
        <v>41</v>
      </c>
      <c r="G506">
        <v>-344.45870000000002</v>
      </c>
      <c r="H506" s="1">
        <v>-3.71968E-6</v>
      </c>
      <c r="I506">
        <v>373.82479999999998</v>
      </c>
      <c r="J506">
        <v>-392.69260000000003</v>
      </c>
      <c r="K506">
        <v>1.119073</v>
      </c>
      <c r="L506">
        <v>367.23509999999999</v>
      </c>
      <c r="M506">
        <v>0.99993129999999997</v>
      </c>
      <c r="N506">
        <v>-8.4582169999999901E-3</v>
      </c>
      <c r="O506">
        <v>-8.131147E-3</v>
      </c>
      <c r="P506">
        <v>0.9898766</v>
      </c>
      <c r="Q506">
        <v>0.13980200000000001</v>
      </c>
      <c r="R506">
        <v>-2.4497080000000001E-2</v>
      </c>
      <c r="S506">
        <v>3.0512999999999999</v>
      </c>
      <c r="T506">
        <v>-7.0400359999999995E-2</v>
      </c>
      <c r="U506">
        <v>0.41452030000000001</v>
      </c>
      <c r="V506">
        <v>1.6464599999999999E-2</v>
      </c>
      <c r="W506">
        <v>0.1481692</v>
      </c>
      <c r="X506">
        <v>0.98882499999999995</v>
      </c>
      <c r="Y506">
        <v>-0.14261489999999999</v>
      </c>
      <c r="Z506">
        <v>2.3617949999999999E-3</v>
      </c>
      <c r="AA506">
        <v>0.98977539999999997</v>
      </c>
      <c r="AB506">
        <v>25</v>
      </c>
      <c r="AC506">
        <v>48.233899999999998</v>
      </c>
      <c r="AD506">
        <v>-1.11907671968</v>
      </c>
      <c r="AE506">
        <v>6.5896999999999899</v>
      </c>
      <c r="AF506">
        <v>-6.9780056951295402</v>
      </c>
      <c r="AG506">
        <v>-1.11907671968</v>
      </c>
      <c r="AH506">
        <v>48.153276215691797</v>
      </c>
      <c r="AI506">
        <v>91.317550611392306</v>
      </c>
      <c r="AJ506">
        <v>98.245470095358698</v>
      </c>
      <c r="AK506">
        <v>48.6691165575306</v>
      </c>
      <c r="AL506">
        <v>81.479156427216594</v>
      </c>
      <c r="AM506">
        <v>89.046074961663606</v>
      </c>
      <c r="AN506">
        <v>1.00000003775339</v>
      </c>
    </row>
    <row r="507" spans="1:40" x14ac:dyDescent="0.25">
      <c r="A507" t="str">
        <f>"20190303162221724"</f>
        <v>20190303162221724</v>
      </c>
      <c r="B507" t="str">
        <f>"1551601341714632"</f>
        <v>1551601341714632</v>
      </c>
      <c r="C507" t="s">
        <v>40</v>
      </c>
      <c r="D507">
        <v>5.4372179999999997</v>
      </c>
      <c r="E507">
        <v>0.4360617</v>
      </c>
      <c r="F507" t="s">
        <v>41</v>
      </c>
      <c r="G507">
        <v>-366.6121</v>
      </c>
      <c r="H507" s="1">
        <v>-1.773314E-6</v>
      </c>
      <c r="I507">
        <v>370.88499999999999</v>
      </c>
      <c r="J507">
        <v>-392.43329999999997</v>
      </c>
      <c r="K507">
        <v>1.119299</v>
      </c>
      <c r="L507">
        <v>367.23289999999997</v>
      </c>
      <c r="M507">
        <v>0.99992970000000003</v>
      </c>
      <c r="N507">
        <v>-8.60906E-3</v>
      </c>
      <c r="O507">
        <v>-8.1788829999999996E-3</v>
      </c>
      <c r="P507">
        <v>0.98995520000000004</v>
      </c>
      <c r="Q507">
        <v>0.13929339999999901</v>
      </c>
      <c r="R507">
        <v>-2.4219029999999999E-2</v>
      </c>
      <c r="S507">
        <v>3.0598139999999998</v>
      </c>
      <c r="T507">
        <v>-0.131291299999999</v>
      </c>
      <c r="U507">
        <v>0.42822270000000001</v>
      </c>
      <c r="V507">
        <v>1.613852E-2</v>
      </c>
      <c r="W507">
        <v>0.14781029999999901</v>
      </c>
      <c r="X507">
        <v>0.98888399999999999</v>
      </c>
      <c r="Y507">
        <v>-0.14653150000000001</v>
      </c>
      <c r="Z507">
        <v>4.0402950000000002E-3</v>
      </c>
      <c r="AA507">
        <v>0.98919769999999896</v>
      </c>
      <c r="AB507">
        <v>25</v>
      </c>
      <c r="AC507">
        <v>25.821199999999902</v>
      </c>
      <c r="AD507">
        <v>-1.1193007733139999</v>
      </c>
      <c r="AE507">
        <v>3.6521000000000101</v>
      </c>
      <c r="AF507">
        <v>-3.8560705108591899</v>
      </c>
      <c r="AG507">
        <v>-1.1193007733139999</v>
      </c>
      <c r="AH507">
        <v>25.743041051852</v>
      </c>
      <c r="AI507">
        <v>92.462202638576898</v>
      </c>
      <c r="AJ507">
        <v>98.519042288665005</v>
      </c>
      <c r="AK507">
        <v>26.054294782304101</v>
      </c>
      <c r="AL507">
        <v>81.499948086569901</v>
      </c>
      <c r="AM507">
        <v>89.065019755074303</v>
      </c>
      <c r="AN507">
        <v>0.99999995103493899</v>
      </c>
    </row>
    <row r="508" spans="1:40" x14ac:dyDescent="0.25">
      <c r="A508" t="str">
        <f>"20190303162221757"</f>
        <v>20190303162221757</v>
      </c>
      <c r="B508" t="str">
        <f>"1551601341744465"</f>
        <v>1551601341744465</v>
      </c>
      <c r="C508" t="s">
        <v>40</v>
      </c>
      <c r="D508">
        <v>5.4604160000000004</v>
      </c>
      <c r="E508">
        <v>0.43598569999999998</v>
      </c>
      <c r="F508" t="s">
        <v>41</v>
      </c>
      <c r="G508">
        <v>-366.80500000000001</v>
      </c>
      <c r="H508" s="1">
        <v>-1.68164E-6</v>
      </c>
      <c r="I508">
        <v>370.85149999999999</v>
      </c>
      <c r="J508">
        <v>-392.05189999999999</v>
      </c>
      <c r="K508">
        <v>1.1195489999999999</v>
      </c>
      <c r="L508">
        <v>367.22969999999998</v>
      </c>
      <c r="M508">
        <v>0.99992740000000002</v>
      </c>
      <c r="N508">
        <v>-8.7984440000000008E-3</v>
      </c>
      <c r="O508">
        <v>-8.2487359999999996E-3</v>
      </c>
      <c r="P508">
        <v>0.99010620000000005</v>
      </c>
      <c r="Q508">
        <v>0.13810359999999999</v>
      </c>
      <c r="R508">
        <v>-2.4852699999999998E-2</v>
      </c>
      <c r="S508">
        <v>3.0598139999999998</v>
      </c>
      <c r="T508">
        <v>-0.1336348</v>
      </c>
      <c r="U508">
        <v>0.43203740000000002</v>
      </c>
      <c r="V508">
        <v>1.670174E-2</v>
      </c>
      <c r="W508">
        <v>0.146809</v>
      </c>
      <c r="X508">
        <v>0.98902389999999996</v>
      </c>
      <c r="Y508">
        <v>-0.1478023</v>
      </c>
      <c r="Z508">
        <v>4.1501150000000002E-3</v>
      </c>
      <c r="AA508">
        <v>0.9890082</v>
      </c>
      <c r="AB508">
        <v>25</v>
      </c>
      <c r="AC508">
        <v>25.246899999999901</v>
      </c>
      <c r="AD508">
        <v>-1.1195506816399901</v>
      </c>
      <c r="AE508">
        <v>3.6217999999999999</v>
      </c>
      <c r="AF508">
        <v>-3.8225746862036099</v>
      </c>
      <c r="AG508">
        <v>-1.1195506816399901</v>
      </c>
      <c r="AH508">
        <v>25.167672846524599</v>
      </c>
      <c r="AI508">
        <v>92.518205307560706</v>
      </c>
      <c r="AJ508">
        <v>98.636323744630403</v>
      </c>
      <c r="AK508">
        <v>25.480918889829301</v>
      </c>
      <c r="AL508">
        <v>81.557952009252503</v>
      </c>
      <c r="AM508">
        <v>89.032532719005403</v>
      </c>
      <c r="AN508">
        <v>1.0000000526856101</v>
      </c>
    </row>
    <row r="509" spans="1:40" x14ac:dyDescent="0.25">
      <c r="A509" t="str">
        <f>"20190303162221778"</f>
        <v>20190303162221778</v>
      </c>
      <c r="B509" t="str">
        <f>"1551601341764961"</f>
        <v>1551601341764961</v>
      </c>
      <c r="C509" t="s">
        <v>40</v>
      </c>
      <c r="D509">
        <v>5.4765579999999998</v>
      </c>
      <c r="E509">
        <v>0.4359381</v>
      </c>
      <c r="F509" t="s">
        <v>41</v>
      </c>
      <c r="G509">
        <v>-366.95370000000003</v>
      </c>
      <c r="H509" s="1">
        <v>-1.5931879999999999E-6</v>
      </c>
      <c r="I509">
        <v>370.75889999999998</v>
      </c>
      <c r="J509">
        <v>-391.80529999999999</v>
      </c>
      <c r="K509">
        <v>1.1196820000000001</v>
      </c>
      <c r="L509">
        <v>367.2276</v>
      </c>
      <c r="M509">
        <v>0.99992610000000004</v>
      </c>
      <c r="N509">
        <v>-8.904749E-3</v>
      </c>
      <c r="O509">
        <v>-8.293557E-3</v>
      </c>
      <c r="P509">
        <v>0.99023879999999997</v>
      </c>
      <c r="Q509">
        <v>0.13703989999999999</v>
      </c>
      <c r="R509">
        <v>-2.5452369999999998E-2</v>
      </c>
      <c r="S509">
        <v>3.0598450000000001</v>
      </c>
      <c r="T509">
        <v>-0.13648950000000001</v>
      </c>
      <c r="U509">
        <v>0.43026730000000002</v>
      </c>
      <c r="V509">
        <v>1.7255670000000001E-2</v>
      </c>
      <c r="W509">
        <v>0.14585139999999999</v>
      </c>
      <c r="X509">
        <v>0.98915600000000004</v>
      </c>
      <c r="Y509">
        <v>-0.14727770000000001</v>
      </c>
      <c r="Z509">
        <v>4.2210030000000001E-3</v>
      </c>
      <c r="AA509">
        <v>0.98908620000000003</v>
      </c>
      <c r="AB509">
        <v>25</v>
      </c>
      <c r="AC509">
        <v>24.851599999999902</v>
      </c>
      <c r="AD509">
        <v>-1.119683593188</v>
      </c>
      <c r="AE509">
        <v>3.5312999999999799</v>
      </c>
      <c r="AF509">
        <v>-3.7298732982684601</v>
      </c>
      <c r="AG509">
        <v>-1.119683593188</v>
      </c>
      <c r="AH509">
        <v>24.772166408198501</v>
      </c>
      <c r="AI509">
        <v>92.559158353725707</v>
      </c>
      <c r="AJ509">
        <v>98.562540501101907</v>
      </c>
      <c r="AK509">
        <v>25.076400753008201</v>
      </c>
      <c r="AL509">
        <v>81.613414942923697</v>
      </c>
      <c r="AM509">
        <v>89.000585560061793</v>
      </c>
      <c r="AN509">
        <v>0.99999999068255396</v>
      </c>
    </row>
    <row r="510" spans="1:40" x14ac:dyDescent="0.25">
      <c r="A510" t="str">
        <f>"20190303162221801"</f>
        <v>20190303162221801</v>
      </c>
      <c r="B510" t="str">
        <f>"1551601341795218"</f>
        <v>1551601341795218</v>
      </c>
      <c r="C510" t="s">
        <v>40</v>
      </c>
      <c r="D510">
        <v>5.4939289999999996</v>
      </c>
      <c r="E510">
        <v>0.43586609999999998</v>
      </c>
      <c r="F510" t="s">
        <v>41</v>
      </c>
      <c r="G510">
        <v>-367.7697</v>
      </c>
      <c r="H510" s="1">
        <v>-1.199356E-6</v>
      </c>
      <c r="I510">
        <v>370.59440000000001</v>
      </c>
      <c r="J510">
        <v>-391.55189999999999</v>
      </c>
      <c r="K510">
        <v>1.1197900000000001</v>
      </c>
      <c r="L510">
        <v>367.22550000000001</v>
      </c>
      <c r="M510">
        <v>0.99992479999999995</v>
      </c>
      <c r="N510">
        <v>-9.0019809999999992E-3</v>
      </c>
      <c r="O510">
        <v>-8.3397719999999901E-3</v>
      </c>
      <c r="P510">
        <v>0.99026910000000001</v>
      </c>
      <c r="Q510">
        <v>0.13675989999999999</v>
      </c>
      <c r="R510">
        <v>-2.5775070000000001E-2</v>
      </c>
      <c r="S510">
        <v>3.0603030000000002</v>
      </c>
      <c r="T510">
        <v>-0.1425622</v>
      </c>
      <c r="U510">
        <v>0.42868040000000002</v>
      </c>
      <c r="V510">
        <v>1.753265E-2</v>
      </c>
      <c r="W510">
        <v>0.1456684</v>
      </c>
      <c r="X510">
        <v>0.98917809999999995</v>
      </c>
      <c r="Y510">
        <v>-0.14678540000000001</v>
      </c>
      <c r="Z510">
        <v>4.3766400000000002E-3</v>
      </c>
      <c r="AA510">
        <v>0.98915869999999995</v>
      </c>
      <c r="AB510">
        <v>25</v>
      </c>
      <c r="AC510">
        <v>23.7821999999999</v>
      </c>
      <c r="AD510">
        <v>-1.1197911993559999</v>
      </c>
      <c r="AE510">
        <v>3.3688999999999898</v>
      </c>
      <c r="AF510">
        <v>-3.5593929569243601</v>
      </c>
      <c r="AG510">
        <v>-1.1197911993559999</v>
      </c>
      <c r="AH510">
        <v>23.701762243857399</v>
      </c>
      <c r="AI510">
        <v>92.6749802439261</v>
      </c>
      <c r="AJ510">
        <v>98.540526120267998</v>
      </c>
      <c r="AK510">
        <v>23.993681335224501</v>
      </c>
      <c r="AL510">
        <v>81.624013297603199</v>
      </c>
      <c r="AM510">
        <v>88.984569438498298</v>
      </c>
      <c r="AN510">
        <v>0.99999999504709602</v>
      </c>
    </row>
    <row r="511" spans="1:40" x14ac:dyDescent="0.25">
      <c r="A511" t="str">
        <f>"20190303162221825"</f>
        <v>20190303162221825</v>
      </c>
      <c r="B511" t="str">
        <f>"1551601341814737"</f>
        <v>1551601341814737</v>
      </c>
      <c r="C511" t="s">
        <v>40</v>
      </c>
      <c r="D511">
        <v>5.5149359999999996</v>
      </c>
      <c r="E511">
        <v>0.43557079999999998</v>
      </c>
      <c r="F511" t="s">
        <v>41</v>
      </c>
      <c r="G511">
        <v>-367.88029999999998</v>
      </c>
      <c r="H511" s="1">
        <v>-1.1367540000000001E-6</v>
      </c>
      <c r="I511">
        <v>370.53739999999999</v>
      </c>
      <c r="J511">
        <v>-391.27949999999998</v>
      </c>
      <c r="K511">
        <v>1.119885</v>
      </c>
      <c r="L511">
        <v>367.22309999999999</v>
      </c>
      <c r="M511">
        <v>0.99992360000000002</v>
      </c>
      <c r="N511">
        <v>-9.0941849999999994E-3</v>
      </c>
      <c r="O511">
        <v>-8.3901380000000001E-3</v>
      </c>
      <c r="P511">
        <v>0.99031539999999996</v>
      </c>
      <c r="Q511">
        <v>0.13640539999999901</v>
      </c>
      <c r="R511">
        <v>-2.5869699999999999E-2</v>
      </c>
      <c r="S511">
        <v>3.060638</v>
      </c>
      <c r="T511">
        <v>-0.14478389999999999</v>
      </c>
      <c r="U511">
        <v>0.42822270000000001</v>
      </c>
      <c r="V511">
        <v>1.7576990000000001E-2</v>
      </c>
      <c r="W511">
        <v>0.14540520000000001</v>
      </c>
      <c r="X511">
        <v>0.98921599999999998</v>
      </c>
      <c r="Y511">
        <v>-0.14666949999999901</v>
      </c>
      <c r="Z511">
        <v>4.4399189999999996E-3</v>
      </c>
      <c r="AA511">
        <v>0.98917560000000004</v>
      </c>
      <c r="AB511">
        <v>26</v>
      </c>
      <c r="AC511">
        <v>23.3992</v>
      </c>
      <c r="AD511">
        <v>-1.1198861367540001</v>
      </c>
      <c r="AE511">
        <v>3.3142999999999998</v>
      </c>
      <c r="AF511">
        <v>-3.5026486351210999</v>
      </c>
      <c r="AG511">
        <v>-1.1198861367540001</v>
      </c>
      <c r="AH511">
        <v>23.318206002791399</v>
      </c>
      <c r="AI511">
        <v>92.719130464989803</v>
      </c>
      <c r="AJ511">
        <v>98.542582843933005</v>
      </c>
      <c r="AK511">
        <v>23.6063852296158</v>
      </c>
      <c r="AL511">
        <v>81.639255530685602</v>
      </c>
      <c r="AM511">
        <v>88.982040953028203</v>
      </c>
      <c r="AN511">
        <v>0.99999995871024905</v>
      </c>
    </row>
    <row r="512" spans="1:40" x14ac:dyDescent="0.25">
      <c r="A512" t="str">
        <f>"20190303162221845"</f>
        <v>20190303162221845</v>
      </c>
      <c r="B512" t="str">
        <f>"1551601341835011"</f>
        <v>1551601341835011</v>
      </c>
      <c r="C512" t="s">
        <v>40</v>
      </c>
      <c r="D512">
        <v>5.5153549999999996</v>
      </c>
      <c r="E512">
        <v>0.43540509999999899</v>
      </c>
      <c r="F512" t="s">
        <v>41</v>
      </c>
      <c r="G512">
        <v>-367.82819999999998</v>
      </c>
      <c r="H512" s="1">
        <v>-1.1550989999999999E-6</v>
      </c>
      <c r="I512">
        <v>370.52229999999997</v>
      </c>
      <c r="J512">
        <v>-391.0462</v>
      </c>
      <c r="K512">
        <v>1.1199490000000001</v>
      </c>
      <c r="L512">
        <v>367.22120000000001</v>
      </c>
      <c r="M512">
        <v>0.99992250000000005</v>
      </c>
      <c r="N512">
        <v>-9.1643669999999997E-3</v>
      </c>
      <c r="O512">
        <v>-8.4324240000000009E-3</v>
      </c>
      <c r="P512">
        <v>0.99032240000000005</v>
      </c>
      <c r="Q512">
        <v>0.13642939999999901</v>
      </c>
      <c r="R512">
        <v>-2.5471420000000002E-2</v>
      </c>
      <c r="S512">
        <v>3.06073</v>
      </c>
      <c r="T512">
        <v>-0.1461605</v>
      </c>
      <c r="U512">
        <v>0.43060300000000001</v>
      </c>
      <c r="V512">
        <v>1.713692E-2</v>
      </c>
      <c r="W512">
        <v>0.14549909999999999</v>
      </c>
      <c r="X512">
        <v>0.98920989999999998</v>
      </c>
      <c r="Y512">
        <v>-0.1474569</v>
      </c>
      <c r="Z512">
        <v>4.504704E-3</v>
      </c>
      <c r="AA512">
        <v>0.9890582</v>
      </c>
      <c r="AB512">
        <v>26</v>
      </c>
      <c r="AC512">
        <v>23.218</v>
      </c>
      <c r="AD512">
        <v>-1.1199501550990001</v>
      </c>
      <c r="AE512">
        <v>3.30109999999996</v>
      </c>
      <c r="AF512">
        <v>-3.4888181292293798</v>
      </c>
      <c r="AG512">
        <v>-1.1199501550990001</v>
      </c>
      <c r="AH512">
        <v>23.136570884197699</v>
      </c>
      <c r="AI512">
        <v>92.7403670214496</v>
      </c>
      <c r="AJ512">
        <v>98.575160335068006</v>
      </c>
      <c r="AK512">
        <v>23.424923747330499</v>
      </c>
      <c r="AL512">
        <v>81.633817503884401</v>
      </c>
      <c r="AM512">
        <v>89.007516016196803</v>
      </c>
      <c r="AN512">
        <v>0.99999994419295102</v>
      </c>
    </row>
    <row r="513" spans="1:40" x14ac:dyDescent="0.25">
      <c r="A513" t="str">
        <f>"20190303162221868"</f>
        <v>20190303162221868</v>
      </c>
      <c r="B513" t="str">
        <f>"1551601341854532"</f>
        <v>1551601341854532</v>
      </c>
      <c r="C513" t="s">
        <v>40</v>
      </c>
      <c r="D513">
        <v>5.5417589999999999</v>
      </c>
      <c r="E513">
        <v>0.43524209999999902</v>
      </c>
      <c r="F513" t="s">
        <v>41</v>
      </c>
      <c r="G513">
        <v>-367.5444</v>
      </c>
      <c r="H513" s="1">
        <v>-1.28352E-6</v>
      </c>
      <c r="I513">
        <v>370.54739999999998</v>
      </c>
      <c r="J513">
        <v>-390.78399999999999</v>
      </c>
      <c r="K513">
        <v>1.1200159999999999</v>
      </c>
      <c r="L513">
        <v>367.21890000000002</v>
      </c>
      <c r="M513">
        <v>0.99992139999999996</v>
      </c>
      <c r="N513">
        <v>-9.2344139999999998E-3</v>
      </c>
      <c r="O513">
        <v>-8.4799560000000003E-3</v>
      </c>
      <c r="P513">
        <v>0.99025819999999998</v>
      </c>
      <c r="Q513">
        <v>0.13688</v>
      </c>
      <c r="R513">
        <v>-2.5547630000000002E-2</v>
      </c>
      <c r="S513">
        <v>3.0605470000000001</v>
      </c>
      <c r="T513">
        <v>-0.14584620000000001</v>
      </c>
      <c r="U513">
        <v>0.43316650000000001</v>
      </c>
      <c r="V513">
        <v>1.7166589999999999E-2</v>
      </c>
      <c r="W513">
        <v>0.14601800000000001</v>
      </c>
      <c r="X513">
        <v>0.98913300000000004</v>
      </c>
      <c r="Y513">
        <v>-0.1483237</v>
      </c>
      <c r="Z513">
        <v>4.5273559999999997E-3</v>
      </c>
      <c r="AA513">
        <v>0.98892849999999999</v>
      </c>
      <c r="AB513">
        <v>26</v>
      </c>
      <c r="AC513">
        <v>23.239599999999999</v>
      </c>
      <c r="AD513">
        <v>-1.12001728352</v>
      </c>
      <c r="AE513">
        <v>3.32849999999996</v>
      </c>
      <c r="AF513">
        <v>-3.5174537557683299</v>
      </c>
      <c r="AG513">
        <v>-1.12001728352</v>
      </c>
      <c r="AH513">
        <v>23.157830240893102</v>
      </c>
      <c r="AI513">
        <v>92.7375748636087</v>
      </c>
      <c r="AJ513">
        <v>98.636668678644796</v>
      </c>
      <c r="AK513">
        <v>23.450203007764699</v>
      </c>
      <c r="AL513">
        <v>81.603766415537294</v>
      </c>
      <c r="AM513">
        <v>89.005720745457197</v>
      </c>
      <c r="AN513">
        <v>1.00000001991261</v>
      </c>
    </row>
    <row r="514" spans="1:40" x14ac:dyDescent="0.25">
      <c r="A514" t="str">
        <f>"20190303162221890"</f>
        <v>20190303162221890</v>
      </c>
      <c r="B514" t="str">
        <f>"1551601341884787"</f>
        <v>1551601341884787</v>
      </c>
      <c r="C514" t="s">
        <v>40</v>
      </c>
      <c r="D514">
        <v>5.5438199999999904</v>
      </c>
      <c r="E514">
        <v>0.43702770000000002</v>
      </c>
      <c r="F514" t="s">
        <v>41</v>
      </c>
      <c r="G514">
        <v>-367.17239999999998</v>
      </c>
      <c r="H514" s="1">
        <v>-1.448898E-6</v>
      </c>
      <c r="I514">
        <v>370.56920000000002</v>
      </c>
      <c r="J514">
        <v>-390.5206</v>
      </c>
      <c r="K514">
        <v>1.1200779999999999</v>
      </c>
      <c r="L514">
        <v>367.21660000000003</v>
      </c>
      <c r="M514">
        <v>0.99992040000000004</v>
      </c>
      <c r="N514">
        <v>-9.2970229999999997E-3</v>
      </c>
      <c r="O514">
        <v>-8.528051E-3</v>
      </c>
      <c r="P514">
        <v>0.99021210000000004</v>
      </c>
      <c r="Q514">
        <v>0.13709759999999999</v>
      </c>
      <c r="R514">
        <v>-2.6159640000000001E-2</v>
      </c>
      <c r="S514">
        <v>3.0607600000000001</v>
      </c>
      <c r="T514">
        <v>-0.1451868</v>
      </c>
      <c r="U514">
        <v>0.43429570000000001</v>
      </c>
      <c r="V514">
        <v>1.773156E-2</v>
      </c>
      <c r="W514">
        <v>0.14629719999999999</v>
      </c>
      <c r="X514">
        <v>0.98908169999999995</v>
      </c>
      <c r="Y514">
        <v>-0.1487203</v>
      </c>
      <c r="Z514">
        <v>4.5264880000000004E-3</v>
      </c>
      <c r="AA514">
        <v>0.988869</v>
      </c>
      <c r="AB514">
        <v>26</v>
      </c>
      <c r="AC514">
        <v>23.348199999999999</v>
      </c>
      <c r="AD514">
        <v>-1.1200794488979999</v>
      </c>
      <c r="AE514">
        <v>3.35259999999999</v>
      </c>
      <c r="AF514">
        <v>-3.5436108325945801</v>
      </c>
      <c r="AG514">
        <v>-1.1200794488979999</v>
      </c>
      <c r="AH514">
        <v>23.266295315872199</v>
      </c>
      <c r="AI514">
        <v>92.724814540671602</v>
      </c>
      <c r="AJ514">
        <v>98.659973183061396</v>
      </c>
      <c r="AK514">
        <v>23.561244734311</v>
      </c>
      <c r="AL514">
        <v>81.587595140597202</v>
      </c>
      <c r="AM514">
        <v>88.972951642078897</v>
      </c>
      <c r="AN514">
        <v>0.99999994411138005</v>
      </c>
    </row>
    <row r="515" spans="1:40" x14ac:dyDescent="0.25">
      <c r="A515" t="str">
        <f>"20190303162221912"</f>
        <v>20190303162221912</v>
      </c>
      <c r="B515" t="str">
        <f>"1551601341905283"</f>
        <v>1551601341905283</v>
      </c>
      <c r="C515" t="s">
        <v>40</v>
      </c>
      <c r="D515">
        <v>5.534287</v>
      </c>
      <c r="E515">
        <v>0.4341004</v>
      </c>
      <c r="F515" t="s">
        <v>41</v>
      </c>
      <c r="G515">
        <v>-348.82220000000001</v>
      </c>
      <c r="H515" s="1">
        <v>-1.4205560000000001E-6</v>
      </c>
      <c r="I515">
        <v>372.93619999999999</v>
      </c>
      <c r="J515">
        <v>-390.27350000000001</v>
      </c>
      <c r="K515">
        <v>1.120128</v>
      </c>
      <c r="L515">
        <v>367.21440000000001</v>
      </c>
      <c r="M515">
        <v>0.99991969999999997</v>
      </c>
      <c r="N515">
        <v>-9.3493440000000008E-3</v>
      </c>
      <c r="O515">
        <v>-8.5732359999999997E-3</v>
      </c>
      <c r="P515">
        <v>0.99009469999999999</v>
      </c>
      <c r="Q515">
        <v>0.13781170000000001</v>
      </c>
      <c r="R515">
        <v>-2.685094E-2</v>
      </c>
      <c r="S515">
        <v>3.052063</v>
      </c>
      <c r="T515">
        <v>-8.1982970000000002E-2</v>
      </c>
      <c r="U515">
        <v>0.41864010000000001</v>
      </c>
      <c r="V515">
        <v>1.8378970000000001E-2</v>
      </c>
      <c r="W515">
        <v>0.14706179999999999</v>
      </c>
      <c r="X515">
        <v>0.98895650000000002</v>
      </c>
      <c r="Y515">
        <v>-0.14431250000000001</v>
      </c>
      <c r="Z515">
        <v>2.7562279999999999E-3</v>
      </c>
      <c r="AA515">
        <v>0.98952839999999997</v>
      </c>
      <c r="AB515">
        <v>26</v>
      </c>
      <c r="AC515">
        <v>41.451300000000003</v>
      </c>
      <c r="AD515">
        <v>-1.120129420556</v>
      </c>
      <c r="AE515">
        <v>5.7217999999999698</v>
      </c>
      <c r="AF515">
        <v>-6.0726254507017199</v>
      </c>
      <c r="AG515">
        <v>-1.120129420556</v>
      </c>
      <c r="AH515">
        <v>41.371074459081399</v>
      </c>
      <c r="AI515">
        <v>91.534480230979597</v>
      </c>
      <c r="AJ515">
        <v>98.350491125751603</v>
      </c>
      <c r="AK515">
        <v>41.829382874746798</v>
      </c>
      <c r="AL515">
        <v>81.543307903614206</v>
      </c>
      <c r="AM515">
        <v>88.935326065604201</v>
      </c>
      <c r="AN515">
        <v>0.99999995922487395</v>
      </c>
    </row>
    <row r="516" spans="1:40" x14ac:dyDescent="0.25">
      <c r="A516" t="str">
        <f>"20190303162221936"</f>
        <v>20190303162221936</v>
      </c>
      <c r="B516" t="str">
        <f>"1551601341924803"</f>
        <v>1551601341924803</v>
      </c>
      <c r="C516" t="s">
        <v>40</v>
      </c>
      <c r="D516">
        <v>5.4374520000000004</v>
      </c>
      <c r="E516">
        <v>0.4342317</v>
      </c>
      <c r="F516" t="s">
        <v>41</v>
      </c>
      <c r="G516">
        <v>-367.97710000000001</v>
      </c>
      <c r="H516" s="1">
        <v>-1.0615370000000001E-6</v>
      </c>
      <c r="I516">
        <v>370.41070000000002</v>
      </c>
      <c r="J516">
        <v>-390.00229999999999</v>
      </c>
      <c r="K516">
        <v>1.1201639999999999</v>
      </c>
      <c r="L516">
        <v>367.21199999999999</v>
      </c>
      <c r="M516">
        <v>0.99991870000000005</v>
      </c>
      <c r="N516">
        <v>-9.4006030000000004E-3</v>
      </c>
      <c r="O516">
        <v>-8.6229480000000001E-3</v>
      </c>
      <c r="P516">
        <v>0.99003149999999995</v>
      </c>
      <c r="Q516">
        <v>0.138244799999999</v>
      </c>
      <c r="R516">
        <v>-2.6952170000000001E-2</v>
      </c>
      <c r="S516">
        <v>3.0633539999999999</v>
      </c>
      <c r="T516">
        <v>-0.15389610000000001</v>
      </c>
      <c r="U516">
        <v>0.43914789999999998</v>
      </c>
      <c r="V516">
        <v>1.8431469999999998E-2</v>
      </c>
      <c r="W516">
        <v>0.147544799999999</v>
      </c>
      <c r="X516">
        <v>0.98888359999999997</v>
      </c>
      <c r="Y516">
        <v>-0.15020729999999999</v>
      </c>
      <c r="Z516">
        <v>4.8118570000000001E-3</v>
      </c>
      <c r="AA516">
        <v>0.98864280000000004</v>
      </c>
      <c r="AB516">
        <v>26</v>
      </c>
      <c r="AC516">
        <v>22.025199999999899</v>
      </c>
      <c r="AD516">
        <v>-1.120165061537</v>
      </c>
      <c r="AE516">
        <v>3.1987000000000299</v>
      </c>
      <c r="AF516">
        <v>-3.3799497061512001</v>
      </c>
      <c r="AG516">
        <v>-1.120165061537</v>
      </c>
      <c r="AH516">
        <v>21.941217391287601</v>
      </c>
      <c r="AI516">
        <v>92.8885709570053</v>
      </c>
      <c r="AJ516">
        <v>98.757329490533607</v>
      </c>
      <c r="AK516">
        <v>22.228266922838198</v>
      </c>
      <c r="AL516">
        <v>81.515329010999494</v>
      </c>
      <c r="AM516">
        <v>88.932206807045404</v>
      </c>
      <c r="AN516">
        <v>0.99999998072118002</v>
      </c>
    </row>
    <row r="517" spans="1:40" x14ac:dyDescent="0.25">
      <c r="A517" t="str">
        <f>"20190303162221958"</f>
        <v>20190303162221958</v>
      </c>
      <c r="B517" t="str">
        <f>"1551601341944868"</f>
        <v>1551601341944868</v>
      </c>
      <c r="C517" t="s">
        <v>40</v>
      </c>
      <c r="D517">
        <v>5.5805749999999996</v>
      </c>
      <c r="E517">
        <v>0.43635499999999999</v>
      </c>
      <c r="F517" t="s">
        <v>41</v>
      </c>
      <c r="G517">
        <v>-368.06959999999998</v>
      </c>
      <c r="H517" s="1">
        <v>-1.003984E-6</v>
      </c>
      <c r="I517">
        <v>370.34370000000001</v>
      </c>
      <c r="J517">
        <v>-389.7407</v>
      </c>
      <c r="K517">
        <v>1.1201939999999999</v>
      </c>
      <c r="L517">
        <v>367.2097</v>
      </c>
      <c r="M517">
        <v>0.99991779999999997</v>
      </c>
      <c r="N517">
        <v>-9.444816E-3</v>
      </c>
      <c r="O517">
        <v>-8.6710769999999993E-3</v>
      </c>
      <c r="P517">
        <v>0.98994590000000005</v>
      </c>
      <c r="Q517">
        <v>0.13888049999999999</v>
      </c>
      <c r="R517">
        <v>-2.6825020000000002E-2</v>
      </c>
      <c r="S517">
        <v>3.0639949999999998</v>
      </c>
      <c r="T517">
        <v>-0.1564865</v>
      </c>
      <c r="U517">
        <v>0.4375</v>
      </c>
      <c r="V517">
        <v>1.8257510000000001E-2</v>
      </c>
      <c r="W517">
        <v>0.14822389999999999</v>
      </c>
      <c r="X517">
        <v>0.98878529999999998</v>
      </c>
      <c r="Y517">
        <v>-0.1496982</v>
      </c>
      <c r="Z517">
        <v>4.8710419999999999E-3</v>
      </c>
      <c r="AA517">
        <v>0.98871980000000004</v>
      </c>
      <c r="AB517">
        <v>26</v>
      </c>
      <c r="AC517">
        <v>21.671099999999999</v>
      </c>
      <c r="AD517">
        <v>-1.1201950039839901</v>
      </c>
      <c r="AE517">
        <v>3.1340000000000101</v>
      </c>
      <c r="AF517">
        <v>-3.3131312140264901</v>
      </c>
      <c r="AG517">
        <v>-1.1201950039839901</v>
      </c>
      <c r="AH517">
        <v>21.586612454641699</v>
      </c>
      <c r="AI517">
        <v>92.936266411766397</v>
      </c>
      <c r="AJ517">
        <v>98.725713637458895</v>
      </c>
      <c r="AK517">
        <v>21.868093482404898</v>
      </c>
      <c r="AL517">
        <v>81.4759871626799</v>
      </c>
      <c r="AM517">
        <v>88.942177429101605</v>
      </c>
      <c r="AN517">
        <v>1.00000001534934</v>
      </c>
    </row>
    <row r="518" spans="1:40" x14ac:dyDescent="0.25">
      <c r="A518" t="str">
        <f>"20190303162221980"</f>
        <v>20190303162221980</v>
      </c>
      <c r="B518" t="str">
        <f>"1551601341975124"</f>
        <v>1551601341975124</v>
      </c>
      <c r="C518" t="s">
        <v>40</v>
      </c>
      <c r="D518">
        <v>5.8468970000000002</v>
      </c>
      <c r="E518">
        <v>0.43431199999999998</v>
      </c>
      <c r="F518" t="s">
        <v>41</v>
      </c>
      <c r="G518">
        <v>-346.55250000000001</v>
      </c>
      <c r="H518" s="1">
        <v>-2.5575200000000002E-6</v>
      </c>
      <c r="I518">
        <v>373.17680000000001</v>
      </c>
      <c r="J518">
        <v>-389.49630000000002</v>
      </c>
      <c r="K518">
        <v>1.1202179999999999</v>
      </c>
      <c r="L518">
        <v>367.20760000000001</v>
      </c>
      <c r="M518">
        <v>0.99991719999999895</v>
      </c>
      <c r="N518">
        <v>-9.4820519999999995E-3</v>
      </c>
      <c r="O518">
        <v>-8.7158400000000007E-3</v>
      </c>
      <c r="P518">
        <v>0.98991359999999995</v>
      </c>
      <c r="Q518">
        <v>0.13913010000000001</v>
      </c>
      <c r="R518">
        <v>-2.6721519999999999E-2</v>
      </c>
      <c r="S518">
        <v>3.0529790000000001</v>
      </c>
      <c r="T518">
        <v>-7.9186679999999995E-2</v>
      </c>
      <c r="U518">
        <v>0.42181400000000002</v>
      </c>
      <c r="V518">
        <v>1.8110250000000001E-2</v>
      </c>
      <c r="W518">
        <v>0.14851010000000001</v>
      </c>
      <c r="X518">
        <v>0.98874499999999999</v>
      </c>
      <c r="Y518">
        <v>-0.14542659999999999</v>
      </c>
      <c r="Z518">
        <v>2.7124359999999999E-3</v>
      </c>
      <c r="AA518">
        <v>0.9893653</v>
      </c>
      <c r="AB518">
        <v>26</v>
      </c>
      <c r="AC518">
        <v>42.943800000000003</v>
      </c>
      <c r="AD518">
        <v>-1.1202205575199999</v>
      </c>
      <c r="AE518">
        <v>5.9691999999999998</v>
      </c>
      <c r="AF518">
        <v>-6.3390495689898998</v>
      </c>
      <c r="AG518">
        <v>-1.1202205575199999</v>
      </c>
      <c r="AH518">
        <v>42.861526808911499</v>
      </c>
      <c r="AI518">
        <v>91.481028036058902</v>
      </c>
      <c r="AJ518">
        <v>98.412833321836999</v>
      </c>
      <c r="AK518">
        <v>43.342230260181999</v>
      </c>
      <c r="AL518">
        <v>81.459405055541893</v>
      </c>
      <c r="AM518">
        <v>88.950664858271196</v>
      </c>
      <c r="AN518">
        <v>0.99999995299103495</v>
      </c>
    </row>
    <row r="519" spans="1:40" x14ac:dyDescent="0.25">
      <c r="A519" t="str">
        <f>"20190303162222003"</f>
        <v>20190303162222003</v>
      </c>
      <c r="B519" t="str">
        <f>"1551601341994644"</f>
        <v>1551601341994644</v>
      </c>
      <c r="C519" t="s">
        <v>40</v>
      </c>
      <c r="D519">
        <v>5.7195070000000001</v>
      </c>
      <c r="E519">
        <v>0.47397119999999998</v>
      </c>
      <c r="F519" t="s">
        <v>41</v>
      </c>
      <c r="G519">
        <v>-370.25060000000002</v>
      </c>
      <c r="H519" s="1">
        <v>-4.2516339999999998E-6</v>
      </c>
      <c r="I519">
        <v>369.95949999999999</v>
      </c>
      <c r="J519">
        <v>-389.22969999999998</v>
      </c>
      <c r="K519">
        <v>1.120241</v>
      </c>
      <c r="L519">
        <v>367.20519999999999</v>
      </c>
      <c r="M519">
        <v>0.99991640000000004</v>
      </c>
      <c r="N519">
        <v>-9.5186400000000001E-3</v>
      </c>
      <c r="O519">
        <v>-8.7644139999999999E-3</v>
      </c>
      <c r="P519">
        <v>0.98994839999999995</v>
      </c>
      <c r="Q519">
        <v>0.1388973</v>
      </c>
      <c r="R519">
        <v>-2.6642550000000001E-2</v>
      </c>
      <c r="S519">
        <v>3.0674739999999998</v>
      </c>
      <c r="T519">
        <v>-0.17854600000000001</v>
      </c>
      <c r="U519">
        <v>0.4386292</v>
      </c>
      <c r="V519">
        <v>1.798284E-2</v>
      </c>
      <c r="W519">
        <v>0.14831349999999999</v>
      </c>
      <c r="X519">
        <v>0.98877689999999996</v>
      </c>
      <c r="Y519">
        <v>-0.14992449999999999</v>
      </c>
      <c r="Z519">
        <v>5.4797070000000003E-3</v>
      </c>
      <c r="AA519">
        <v>0.98868230000000001</v>
      </c>
      <c r="AB519">
        <v>26</v>
      </c>
      <c r="AC519">
        <v>18.979099999999899</v>
      </c>
      <c r="AD519">
        <v>-1.120245251634</v>
      </c>
      <c r="AE519">
        <v>2.7543000000000002</v>
      </c>
      <c r="AF519">
        <v>-2.9106110744446201</v>
      </c>
      <c r="AG519">
        <v>-1.120245251634</v>
      </c>
      <c r="AH519">
        <v>18.889776005035099</v>
      </c>
      <c r="AI519">
        <v>93.3544174872968</v>
      </c>
      <c r="AJ519">
        <v>98.759470807694996</v>
      </c>
      <c r="AK519">
        <v>19.1455019200565</v>
      </c>
      <c r="AL519">
        <v>81.4707961020938</v>
      </c>
      <c r="AM519">
        <v>88.958079160356306</v>
      </c>
      <c r="AN519">
        <v>1.00000001739516</v>
      </c>
    </row>
    <row r="520" spans="1:40" x14ac:dyDescent="0.25">
      <c r="A520" t="str">
        <f>"20190303162222024"</f>
        <v>20190303162222024</v>
      </c>
      <c r="B520" t="str">
        <f>"1551601342015140"</f>
        <v>1551601342015140</v>
      </c>
      <c r="C520" t="s">
        <v>40</v>
      </c>
      <c r="D520">
        <v>5.7700069999999997</v>
      </c>
      <c r="E520">
        <v>0.47855029999999998</v>
      </c>
      <c r="F520" t="s">
        <v>41</v>
      </c>
      <c r="G520">
        <v>-354.99720000000002</v>
      </c>
      <c r="H520" s="1">
        <v>-2.3103300000000001E-6</v>
      </c>
      <c r="I520">
        <v>368.59129999999999</v>
      </c>
      <c r="J520">
        <v>-388.98140000000001</v>
      </c>
      <c r="K520">
        <v>1.1202570000000001</v>
      </c>
      <c r="L520">
        <v>367.2029</v>
      </c>
      <c r="M520">
        <v>0.99991569999999996</v>
      </c>
      <c r="N520">
        <v>-9.549129E-3</v>
      </c>
      <c r="O520">
        <v>-8.8102149999999997E-3</v>
      </c>
      <c r="P520">
        <v>0.99004389999999998</v>
      </c>
      <c r="Q520">
        <v>0.13811989999999999</v>
      </c>
      <c r="R520">
        <v>-2.7131740000000001E-2</v>
      </c>
      <c r="S520">
        <v>3.0477910000000001</v>
      </c>
      <c r="T520">
        <v>-9.9737290000000006E-2</v>
      </c>
      <c r="U520">
        <v>0.1234131</v>
      </c>
      <c r="V520">
        <v>1.8425589999999999E-2</v>
      </c>
      <c r="W520">
        <v>0.147567899999999</v>
      </c>
      <c r="X520">
        <v>0.98888030000000005</v>
      </c>
      <c r="Y520">
        <v>-4.9224950000000003E-2</v>
      </c>
      <c r="Z520">
        <v>1.244141E-3</v>
      </c>
      <c r="AA520">
        <v>0.99878690000000003</v>
      </c>
      <c r="AB520">
        <v>26</v>
      </c>
      <c r="AC520">
        <v>33.984199999999902</v>
      </c>
      <c r="AD520">
        <v>-1.12025931032999</v>
      </c>
      <c r="AE520">
        <v>1.3883999999999801</v>
      </c>
      <c r="AF520">
        <v>-1.68593889413056</v>
      </c>
      <c r="AG520">
        <v>-1.12025931032999</v>
      </c>
      <c r="AH520">
        <v>33.933836075459503</v>
      </c>
      <c r="AI520">
        <v>91.8884938606774</v>
      </c>
      <c r="AJ520">
        <v>92.844294405064801</v>
      </c>
      <c r="AK520">
        <v>33.994155404617501</v>
      </c>
      <c r="AL520">
        <v>81.513991145558194</v>
      </c>
      <c r="AM520">
        <v>88.932543813779503</v>
      </c>
      <c r="AN520">
        <v>1.00000001760267</v>
      </c>
    </row>
    <row r="521" spans="1:40" x14ac:dyDescent="0.25">
      <c r="A521" t="str">
        <f>"20190303162222046"</f>
        <v>20190303162222046</v>
      </c>
      <c r="B521" t="str">
        <f>"1551601342034683"</f>
        <v>1551601342034683</v>
      </c>
      <c r="C521" t="s">
        <v>40</v>
      </c>
      <c r="D521">
        <v>5.7670309999999896</v>
      </c>
      <c r="E521">
        <v>0.48053750000000001</v>
      </c>
      <c r="F521" t="s">
        <v>41</v>
      </c>
      <c r="G521">
        <v>-358.45850000000002</v>
      </c>
      <c r="H521" s="1">
        <v>-9.2644869999999998E-7</v>
      </c>
      <c r="I521">
        <v>368.05369999999999</v>
      </c>
      <c r="J521">
        <v>-388.72219999999999</v>
      </c>
      <c r="K521">
        <v>1.12026</v>
      </c>
      <c r="L521">
        <v>367.20060000000001</v>
      </c>
      <c r="M521">
        <v>0.99991490000000005</v>
      </c>
      <c r="N521">
        <v>-9.5778819999999994E-3</v>
      </c>
      <c r="O521">
        <v>-8.8574410000000006E-3</v>
      </c>
      <c r="P521">
        <v>0.99012230000000001</v>
      </c>
      <c r="Q521">
        <v>0.13748560000000001</v>
      </c>
      <c r="R521">
        <v>-2.7490870000000001E-2</v>
      </c>
      <c r="S521">
        <v>3.0481259999999999</v>
      </c>
      <c r="T521">
        <v>-0.11187229999999999</v>
      </c>
      <c r="U521">
        <v>8.4960939999999999E-2</v>
      </c>
      <c r="V521">
        <v>1.8737259999999999E-2</v>
      </c>
      <c r="W521">
        <v>0.14696229999999999</v>
      </c>
      <c r="X521">
        <v>0.98896459999999997</v>
      </c>
      <c r="Y521">
        <v>-3.6681289999999998E-2</v>
      </c>
      <c r="Z521">
        <v>1.0886800000000001E-3</v>
      </c>
      <c r="AA521">
        <v>0.99932639999999995</v>
      </c>
      <c r="AB521">
        <v>26</v>
      </c>
      <c r="AC521">
        <v>30.263699999999901</v>
      </c>
      <c r="AD521">
        <v>-1.1202609264487</v>
      </c>
      <c r="AE521">
        <v>0.85309999999998298</v>
      </c>
      <c r="AF521">
        <v>-1.1196048641648999</v>
      </c>
      <c r="AG521">
        <v>-1.1202609264487</v>
      </c>
      <c r="AH521">
        <v>30.2135893023977</v>
      </c>
      <c r="AI521">
        <v>92.121987857707694</v>
      </c>
      <c r="AJ521">
        <v>92.122200530302095</v>
      </c>
      <c r="AK521">
        <v>30.2550735931868</v>
      </c>
      <c r="AL521">
        <v>81.5490717296328</v>
      </c>
      <c r="AM521">
        <v>88.914584517794793</v>
      </c>
      <c r="AN521">
        <v>0.99999999129337802</v>
      </c>
    </row>
    <row r="522" spans="1:40" x14ac:dyDescent="0.25">
      <c r="A522" t="str">
        <f>"20190303162222069"</f>
        <v>20190303162222069</v>
      </c>
      <c r="B522" t="str">
        <f>"1551601342064921"</f>
        <v>1551601342064921</v>
      </c>
      <c r="C522" t="s">
        <v>40</v>
      </c>
      <c r="D522">
        <v>5.4541740000000001</v>
      </c>
      <c r="E522">
        <v>0.48163689999999998</v>
      </c>
      <c r="F522" t="s">
        <v>41</v>
      </c>
      <c r="G522">
        <v>-359.9615</v>
      </c>
      <c r="H522" s="1">
        <v>-4.6035879999999999E-6</v>
      </c>
      <c r="I522">
        <v>367.84179999999998</v>
      </c>
      <c r="J522">
        <v>-388.45080000000002</v>
      </c>
      <c r="K522">
        <v>1.120276</v>
      </c>
      <c r="L522">
        <v>367.19819999999999</v>
      </c>
      <c r="M522">
        <v>0.99991419999999998</v>
      </c>
      <c r="N522">
        <v>-9.605443E-3</v>
      </c>
      <c r="O522">
        <v>-8.9070469999999995E-3</v>
      </c>
      <c r="P522">
        <v>0.99019089999999998</v>
      </c>
      <c r="Q522">
        <v>0.1369127</v>
      </c>
      <c r="R522">
        <v>-2.7872250000000001E-2</v>
      </c>
      <c r="S522">
        <v>3.0483090000000002</v>
      </c>
      <c r="T522">
        <v>-0.11873499999999999</v>
      </c>
      <c r="U522">
        <v>6.7962649999999999E-2</v>
      </c>
      <c r="V522">
        <v>1.9068950000000001E-2</v>
      </c>
      <c r="W522">
        <v>0.14641750000000001</v>
      </c>
      <c r="X522">
        <v>0.98903909999999995</v>
      </c>
      <c r="Y522">
        <v>-3.1160730000000001E-2</v>
      </c>
      <c r="Z522">
        <v>1.0175640000000001E-3</v>
      </c>
      <c r="AA522">
        <v>0.99951389999999996</v>
      </c>
      <c r="AB522">
        <v>26</v>
      </c>
      <c r="AC522">
        <v>28.4893</v>
      </c>
      <c r="AD522">
        <v>-1.120280603588</v>
      </c>
      <c r="AE522">
        <v>0.64359999999999196</v>
      </c>
      <c r="AF522">
        <v>-0.89595700736625306</v>
      </c>
      <c r="AG522">
        <v>-1.120280603588</v>
      </c>
      <c r="AH522">
        <v>28.4384853006441</v>
      </c>
      <c r="AI522">
        <v>92.254775388097798</v>
      </c>
      <c r="AJ522">
        <v>91.804511749552901</v>
      </c>
      <c r="AK522">
        <v>28.474641591858099</v>
      </c>
      <c r="AL522">
        <v>81.580628116153406</v>
      </c>
      <c r="AM522">
        <v>88.895458223194893</v>
      </c>
      <c r="AN522">
        <v>1.00000002524458</v>
      </c>
    </row>
    <row r="523" spans="1:40" x14ac:dyDescent="0.25">
      <c r="A523" t="str">
        <f>"20190303162222091"</f>
        <v>20190303162222091</v>
      </c>
      <c r="B523" t="str">
        <f>"1551601342084441"</f>
        <v>1551601342084441</v>
      </c>
      <c r="C523" t="s">
        <v>40</v>
      </c>
      <c r="D523">
        <v>5.7004330000000003</v>
      </c>
      <c r="E523">
        <v>0.48193130000000001</v>
      </c>
      <c r="F523" t="s">
        <v>41</v>
      </c>
      <c r="G523">
        <v>-359.70909999999998</v>
      </c>
      <c r="H523" s="1">
        <v>-5.8261260000000001E-7</v>
      </c>
      <c r="I523">
        <v>367.74630000000002</v>
      </c>
      <c r="J523">
        <v>-388.19819999999999</v>
      </c>
      <c r="K523">
        <v>1.120282</v>
      </c>
      <c r="L523">
        <v>367.19580000000002</v>
      </c>
      <c r="M523">
        <v>0.99991370000000002</v>
      </c>
      <c r="N523">
        <v>-9.6287879999999992E-3</v>
      </c>
      <c r="O523">
        <v>-8.9530570000000004E-3</v>
      </c>
      <c r="P523">
        <v>0.99023589999999995</v>
      </c>
      <c r="Q523">
        <v>0.1365487</v>
      </c>
      <c r="R523">
        <v>-2.805736E-2</v>
      </c>
      <c r="S523">
        <v>3.0477599999999998</v>
      </c>
      <c r="T523">
        <v>-0.1187935</v>
      </c>
      <c r="U523">
        <v>5.8135989999999999E-2</v>
      </c>
      <c r="V523">
        <v>1.920823E-2</v>
      </c>
      <c r="W523">
        <v>0.1460765</v>
      </c>
      <c r="X523">
        <v>0.98908680000000004</v>
      </c>
      <c r="Y523">
        <v>-2.7992240000000002E-2</v>
      </c>
      <c r="Z523">
        <v>9.4274970000000002E-4</v>
      </c>
      <c r="AA523">
        <v>0.99960769999999999</v>
      </c>
      <c r="AB523">
        <v>26</v>
      </c>
      <c r="AC523">
        <v>28.489100000000001</v>
      </c>
      <c r="AD523">
        <v>-1.1202825826125999</v>
      </c>
      <c r="AE523">
        <v>0.55049999999999899</v>
      </c>
      <c r="AF523">
        <v>-0.80431100650675103</v>
      </c>
      <c r="AG523">
        <v>-1.1202825826125999</v>
      </c>
      <c r="AH523">
        <v>28.439069862010999</v>
      </c>
      <c r="AI523">
        <v>92.254949908866195</v>
      </c>
      <c r="AJ523">
        <v>91.620001824841594</v>
      </c>
      <c r="AK523">
        <v>28.472489246225699</v>
      </c>
      <c r="AL523">
        <v>81.600378106242403</v>
      </c>
      <c r="AM523">
        <v>88.887446291573298</v>
      </c>
      <c r="AN523">
        <v>0.99999999894311098</v>
      </c>
    </row>
    <row r="524" spans="1:40" x14ac:dyDescent="0.25">
      <c r="A524" t="str">
        <f>"20190303162222113"</f>
        <v>20190303162222113</v>
      </c>
      <c r="B524" t="str">
        <f>"1551601342104944"</f>
        <v>1551601342104944</v>
      </c>
      <c r="C524" t="s">
        <v>40</v>
      </c>
      <c r="D524">
        <v>5.7634639999999999</v>
      </c>
      <c r="E524">
        <v>0.48226449999999998</v>
      </c>
      <c r="F524" t="s">
        <v>41</v>
      </c>
      <c r="G524">
        <v>-359.8408</v>
      </c>
      <c r="H524" s="1">
        <v>-5.4695719999999998E-7</v>
      </c>
      <c r="I524">
        <v>367.71199999999999</v>
      </c>
      <c r="J524">
        <v>-387.9359</v>
      </c>
      <c r="K524">
        <v>1.1202859999999999</v>
      </c>
      <c r="L524">
        <v>367.19349999999997</v>
      </c>
      <c r="M524">
        <v>0.99991300000000005</v>
      </c>
      <c r="N524">
        <v>-9.6508300000000009E-3</v>
      </c>
      <c r="O524">
        <v>-9.0009670000000003E-3</v>
      </c>
      <c r="P524">
        <v>0.99022849999999996</v>
      </c>
      <c r="Q524">
        <v>0.13654459999999999</v>
      </c>
      <c r="R524">
        <v>-2.834122E-2</v>
      </c>
      <c r="S524">
        <v>3.0477599999999998</v>
      </c>
      <c r="T524">
        <v>-0.12040389999999999</v>
      </c>
      <c r="U524">
        <v>5.5480960000000003E-2</v>
      </c>
      <c r="V524">
        <v>1.9444699999999999E-2</v>
      </c>
      <c r="W524">
        <v>0.14609440000000001</v>
      </c>
      <c r="X524">
        <v>0.9890795</v>
      </c>
      <c r="Y524">
        <v>-2.716961E-2</v>
      </c>
      <c r="Z524">
        <v>9.3619570000000004E-4</v>
      </c>
      <c r="AA524">
        <v>0.99963040000000003</v>
      </c>
      <c r="AB524">
        <v>26</v>
      </c>
      <c r="AC524">
        <v>28.095099999999999</v>
      </c>
      <c r="AD524">
        <v>-1.1202865469572001</v>
      </c>
      <c r="AE524">
        <v>0.51850000000001695</v>
      </c>
      <c r="AF524">
        <v>-0.77014969758677099</v>
      </c>
      <c r="AG524">
        <v>-1.1202865469572001</v>
      </c>
      <c r="AH524">
        <v>28.044718641166199</v>
      </c>
      <c r="AI524">
        <v>92.286684769844996</v>
      </c>
      <c r="AJ524">
        <v>91.573032001785705</v>
      </c>
      <c r="AK524">
        <v>28.077649762153602</v>
      </c>
      <c r="AL524">
        <v>81.599341091620303</v>
      </c>
      <c r="AM524">
        <v>88.8737449849462</v>
      </c>
      <c r="AN524">
        <v>0.999999963694849</v>
      </c>
    </row>
    <row r="525" spans="1:40" x14ac:dyDescent="0.25">
      <c r="A525" t="str">
        <f>"20190303162222136"</f>
        <v>20190303162222136</v>
      </c>
      <c r="B525" t="str">
        <f>"1551601342124456"</f>
        <v>1551601342124456</v>
      </c>
      <c r="C525" t="s">
        <v>40</v>
      </c>
      <c r="D525">
        <v>5.7627040000000003</v>
      </c>
      <c r="E525">
        <v>0.48253420000000002</v>
      </c>
      <c r="F525" t="s">
        <v>41</v>
      </c>
      <c r="G525">
        <v>-359.67559999999997</v>
      </c>
      <c r="H525" s="1">
        <v>-6.1157780000000004E-7</v>
      </c>
      <c r="I525">
        <v>367.68040000000002</v>
      </c>
      <c r="J525">
        <v>-387.67450000000002</v>
      </c>
      <c r="K525">
        <v>1.120296</v>
      </c>
      <c r="L525">
        <v>367.19099999999997</v>
      </c>
      <c r="M525">
        <v>0.99991240000000003</v>
      </c>
      <c r="N525">
        <v>-9.6709810000000004E-3</v>
      </c>
      <c r="O525">
        <v>-9.0483920000000006E-3</v>
      </c>
      <c r="P525">
        <v>0.99021130000000002</v>
      </c>
      <c r="Q525">
        <v>0.13657729999999901</v>
      </c>
      <c r="R525">
        <v>-2.8782459999999999E-2</v>
      </c>
      <c r="S525">
        <v>3.0477599999999998</v>
      </c>
      <c r="T525">
        <v>-0.1208181</v>
      </c>
      <c r="U525">
        <v>5.2520749999999998E-2</v>
      </c>
      <c r="V525">
        <v>1.9839119999999998E-2</v>
      </c>
      <c r="W525">
        <v>0.14614679999999999</v>
      </c>
      <c r="X525">
        <v>0.98906400000000005</v>
      </c>
      <c r="Y525">
        <v>-2.6247079999999999E-2</v>
      </c>
      <c r="Z525">
        <v>9.1804080000000001E-4</v>
      </c>
      <c r="AA525">
        <v>0.99965510000000002</v>
      </c>
      <c r="AB525">
        <v>26</v>
      </c>
      <c r="AC525">
        <v>27.998899999999999</v>
      </c>
      <c r="AD525">
        <v>-1.1202966115777999</v>
      </c>
      <c r="AE525">
        <v>0.48940000000004602</v>
      </c>
      <c r="AF525">
        <v>-0.741549968700698</v>
      </c>
      <c r="AG525">
        <v>-1.1202966115777999</v>
      </c>
      <c r="AH525">
        <v>27.948593909488299</v>
      </c>
      <c r="AI525">
        <v>92.294619093895307</v>
      </c>
      <c r="AJ525">
        <v>91.519851684771695</v>
      </c>
      <c r="AK525">
        <v>27.980866004673199</v>
      </c>
      <c r="AL525">
        <v>81.596306838903899</v>
      </c>
      <c r="AM525">
        <v>88.850887875079806</v>
      </c>
      <c r="AN525">
        <v>1.0000000369643001</v>
      </c>
    </row>
    <row r="526" spans="1:40" x14ac:dyDescent="0.25">
      <c r="A526" t="str">
        <f>"20190303162222160"</f>
        <v>20190303162222160</v>
      </c>
      <c r="B526" t="str">
        <f>"1551601342144482"</f>
        <v>1551601342144482</v>
      </c>
      <c r="C526" t="s">
        <v>40</v>
      </c>
      <c r="D526">
        <v>5.7590979999999998</v>
      </c>
      <c r="E526">
        <v>0.48266619999999999</v>
      </c>
      <c r="F526" t="s">
        <v>41</v>
      </c>
      <c r="G526">
        <v>-359.55489999999998</v>
      </c>
      <c r="H526" s="1">
        <v>-6.6224730000000004E-7</v>
      </c>
      <c r="I526">
        <v>367.64429999999999</v>
      </c>
      <c r="J526">
        <v>-387.40199999999999</v>
      </c>
      <c r="K526">
        <v>1.120304</v>
      </c>
      <c r="L526">
        <v>367.18849999999998</v>
      </c>
      <c r="M526">
        <v>0.99991169999999996</v>
      </c>
      <c r="N526">
        <v>-9.6903960000000004E-3</v>
      </c>
      <c r="O526">
        <v>-9.0986709999999991E-3</v>
      </c>
      <c r="P526">
        <v>0.99020059999999999</v>
      </c>
      <c r="Q526">
        <v>0.13661329999999999</v>
      </c>
      <c r="R526">
        <v>-2.897959E-2</v>
      </c>
      <c r="S526">
        <v>3.0478209999999999</v>
      </c>
      <c r="T526">
        <v>-0.12142600000000001</v>
      </c>
      <c r="U526">
        <v>4.9133299999999998E-2</v>
      </c>
      <c r="V526">
        <v>1.9986400000000001E-2</v>
      </c>
      <c r="W526">
        <v>0.146202</v>
      </c>
      <c r="X526">
        <v>0.98905279999999995</v>
      </c>
      <c r="Y526">
        <v>-2.5186980000000001E-2</v>
      </c>
      <c r="Z526">
        <v>8.9779360000000002E-4</v>
      </c>
      <c r="AA526">
        <v>0.99968239999999997</v>
      </c>
      <c r="AB526">
        <v>26</v>
      </c>
      <c r="AC526">
        <v>27.847100000000001</v>
      </c>
      <c r="AD526">
        <v>-1.1203046622473001</v>
      </c>
      <c r="AE526">
        <v>0.45580000000000997</v>
      </c>
      <c r="AF526">
        <v>-0.70801899607353203</v>
      </c>
      <c r="AG526">
        <v>-1.1203046622473001</v>
      </c>
      <c r="AH526">
        <v>27.7968227568768</v>
      </c>
      <c r="AI526">
        <v>92.307214379181602</v>
      </c>
      <c r="AJ526">
        <v>91.459077935112305</v>
      </c>
      <c r="AK526">
        <v>27.828397884396399</v>
      </c>
      <c r="AL526">
        <v>81.593109129273898</v>
      </c>
      <c r="AM526">
        <v>88.842346399967695</v>
      </c>
      <c r="AN526">
        <v>0.99999996108839895</v>
      </c>
    </row>
    <row r="527" spans="1:40" x14ac:dyDescent="0.25">
      <c r="A527" t="str">
        <f>"20190303162222182"</f>
        <v>20190303162222182</v>
      </c>
      <c r="B527" t="str">
        <f>"1551601342174739"</f>
        <v>1551601342174739</v>
      </c>
      <c r="C527" t="s">
        <v>40</v>
      </c>
      <c r="D527">
        <v>5.8227690000000001</v>
      </c>
      <c r="E527">
        <v>0.48284769999999999</v>
      </c>
      <c r="F527" t="s">
        <v>41</v>
      </c>
      <c r="G527">
        <v>-359.43790000000001</v>
      </c>
      <c r="H527" s="1">
        <v>-7.0773799999999895E-7</v>
      </c>
      <c r="I527">
        <v>367.62299999999999</v>
      </c>
      <c r="J527">
        <v>-387.13400000000001</v>
      </c>
      <c r="K527">
        <v>1.1203099999999999</v>
      </c>
      <c r="L527">
        <v>367.18599999999998</v>
      </c>
      <c r="M527">
        <v>0.9999112</v>
      </c>
      <c r="N527">
        <v>-9.7080900000000008E-3</v>
      </c>
      <c r="O527">
        <v>-9.1479899999999999E-3</v>
      </c>
      <c r="P527">
        <v>0.99021400000000004</v>
      </c>
      <c r="Q527">
        <v>0.13632420000000001</v>
      </c>
      <c r="R527">
        <v>-2.988056E-2</v>
      </c>
      <c r="S527">
        <v>3.047882</v>
      </c>
      <c r="T527">
        <v>-0.12210459999999999</v>
      </c>
      <c r="U527">
        <v>4.7363280000000001E-2</v>
      </c>
      <c r="V527">
        <v>2.0838140000000002E-2</v>
      </c>
      <c r="W527">
        <v>0.1459307</v>
      </c>
      <c r="X527">
        <v>0.98907529999999999</v>
      </c>
      <c r="Y527">
        <v>-2.4655739999999999E-2</v>
      </c>
      <c r="Z527">
        <v>8.9094559999999996E-4</v>
      </c>
      <c r="AA527">
        <v>0.99969560000000002</v>
      </c>
      <c r="AB527">
        <v>26</v>
      </c>
      <c r="AC527">
        <v>27.696100000000001</v>
      </c>
      <c r="AD527">
        <v>-1.1203107077379999</v>
      </c>
      <c r="AE527">
        <v>0.437000000000068</v>
      </c>
      <c r="AF527">
        <v>-0.68922980965755898</v>
      </c>
      <c r="AG527">
        <v>-1.1203107077379999</v>
      </c>
      <c r="AH527">
        <v>27.645720106157999</v>
      </c>
      <c r="AI527">
        <v>92.319855178789197</v>
      </c>
      <c r="AJ527">
        <v>91.428133559768497</v>
      </c>
      <c r="AK527">
        <v>27.676993586739599</v>
      </c>
      <c r="AL527">
        <v>81.608822100817505</v>
      </c>
      <c r="AM527">
        <v>88.793053603154405</v>
      </c>
      <c r="AN527">
        <v>0.99999997317561895</v>
      </c>
    </row>
    <row r="528" spans="1:40" x14ac:dyDescent="0.25">
      <c r="A528" t="str">
        <f>"20190303162222204"</f>
        <v>20190303162222204</v>
      </c>
      <c r="B528" t="str">
        <f>"1551601342195235"</f>
        <v>1551601342195235</v>
      </c>
      <c r="C528" t="s">
        <v>40</v>
      </c>
      <c r="D528">
        <v>5.8237290000000002</v>
      </c>
      <c r="E528">
        <v>0.48279460000000002</v>
      </c>
      <c r="F528" t="s">
        <v>41</v>
      </c>
      <c r="G528">
        <v>-359.41379999999998</v>
      </c>
      <c r="H528" s="1">
        <v>-7.2659169999999896E-7</v>
      </c>
      <c r="I528">
        <v>367.5829</v>
      </c>
      <c r="J528">
        <v>-386.87329999999997</v>
      </c>
      <c r="K528">
        <v>1.120314</v>
      </c>
      <c r="L528">
        <v>367.18360000000001</v>
      </c>
      <c r="M528">
        <v>0.99991050000000004</v>
      </c>
      <c r="N528">
        <v>-9.7240639999999993E-3</v>
      </c>
      <c r="O528">
        <v>-9.1956320000000005E-3</v>
      </c>
      <c r="P528">
        <v>0.99024120000000004</v>
      </c>
      <c r="Q528">
        <v>0.1359977</v>
      </c>
      <c r="R528">
        <v>-3.044966E-2</v>
      </c>
      <c r="S528">
        <v>3.047882</v>
      </c>
      <c r="T528">
        <v>-0.12317980000000001</v>
      </c>
      <c r="U528">
        <v>4.3640140000000001E-2</v>
      </c>
      <c r="V528">
        <v>2.1359900000000001E-2</v>
      </c>
      <c r="W528">
        <v>0.14562030000000001</v>
      </c>
      <c r="X528">
        <v>0.98910989999999999</v>
      </c>
      <c r="Y528">
        <v>-2.3483130000000001E-2</v>
      </c>
      <c r="Z528">
        <v>8.7064170000000004E-4</v>
      </c>
      <c r="AA528">
        <v>0.9997239</v>
      </c>
      <c r="AB528">
        <v>26</v>
      </c>
      <c r="AC528">
        <v>27.459499999999899</v>
      </c>
      <c r="AD528">
        <v>-1.1203147265916999</v>
      </c>
      <c r="AE528">
        <v>0.399299999999982</v>
      </c>
      <c r="AF528">
        <v>-0.65071957461935304</v>
      </c>
      <c r="AG528">
        <v>-1.1203147265916999</v>
      </c>
      <c r="AH528">
        <v>27.409053010423399</v>
      </c>
      <c r="AI528">
        <v>92.339940124306906</v>
      </c>
      <c r="AJ528">
        <v>91.360006230024496</v>
      </c>
      <c r="AK528">
        <v>27.439656119922699</v>
      </c>
      <c r="AL528">
        <v>81.626798595833705</v>
      </c>
      <c r="AM528">
        <v>88.7628857718516</v>
      </c>
      <c r="AN528">
        <v>0.99999995568905398</v>
      </c>
    </row>
    <row r="529" spans="1:40" x14ac:dyDescent="0.25">
      <c r="A529" t="str">
        <f>"20190303162222227"</f>
        <v>20190303162222227</v>
      </c>
      <c r="B529" t="str">
        <f>"1551601342214755"</f>
        <v>1551601342214755</v>
      </c>
      <c r="C529" t="s">
        <v>40</v>
      </c>
      <c r="D529">
        <v>5.7624510000000004</v>
      </c>
      <c r="E529">
        <v>0.48268699999999998</v>
      </c>
      <c r="F529" t="s">
        <v>41</v>
      </c>
      <c r="G529">
        <v>-359.5258</v>
      </c>
      <c r="H529" s="1">
        <v>-6.9349569999999998E-7</v>
      </c>
      <c r="I529">
        <v>367.5641</v>
      </c>
      <c r="J529">
        <v>-386.6157</v>
      </c>
      <c r="K529">
        <v>1.1203160000000001</v>
      </c>
      <c r="L529">
        <v>367.18110000000001</v>
      </c>
      <c r="M529">
        <v>0.99990990000000002</v>
      </c>
      <c r="N529">
        <v>-9.7388219999999994E-3</v>
      </c>
      <c r="O529">
        <v>-9.2427940000000004E-3</v>
      </c>
      <c r="P529">
        <v>0.99027719999999997</v>
      </c>
      <c r="Q529">
        <v>0.13569709999999999</v>
      </c>
      <c r="R529">
        <v>-3.0621599999999999E-2</v>
      </c>
      <c r="S529">
        <v>3.0480649999999998</v>
      </c>
      <c r="T529">
        <v>-0.1248662</v>
      </c>
      <c r="U529">
        <v>4.2419430000000001E-2</v>
      </c>
      <c r="V529">
        <v>2.1484900000000001E-2</v>
      </c>
      <c r="W529">
        <v>0.14533489999999999</v>
      </c>
      <c r="X529">
        <v>0.98914919999999995</v>
      </c>
      <c r="Y529">
        <v>-2.3128719999999998E-2</v>
      </c>
      <c r="Z529">
        <v>8.7469139999999995E-4</v>
      </c>
      <c r="AA529">
        <v>0.99973210000000001</v>
      </c>
      <c r="AB529">
        <v>26</v>
      </c>
      <c r="AC529">
        <v>27.0899</v>
      </c>
      <c r="AD529">
        <v>-1.1203166934956901</v>
      </c>
      <c r="AE529">
        <v>0.38299999999998102</v>
      </c>
      <c r="AF529">
        <v>-0.63230067399149803</v>
      </c>
      <c r="AG529">
        <v>-1.1203166934956901</v>
      </c>
      <c r="AH529">
        <v>27.038967652359901</v>
      </c>
      <c r="AI529">
        <v>92.371954849009697</v>
      </c>
      <c r="AJ529">
        <v>91.339605818615595</v>
      </c>
      <c r="AK529">
        <v>27.0695527362648</v>
      </c>
      <c r="AL529">
        <v>81.643326908307102</v>
      </c>
      <c r="AM529">
        <v>88.755697764975693</v>
      </c>
      <c r="AN529">
        <v>0.99999998697332904</v>
      </c>
    </row>
    <row r="530" spans="1:40" x14ac:dyDescent="0.25">
      <c r="A530" t="str">
        <f>"20190303162222247"</f>
        <v>20190303162222247</v>
      </c>
      <c r="B530" t="str">
        <f>"1551601342235251"</f>
        <v>1551601342235251</v>
      </c>
      <c r="C530" t="s">
        <v>40</v>
      </c>
      <c r="D530">
        <v>5.9820609999999999</v>
      </c>
      <c r="E530">
        <v>0.48276859999999999</v>
      </c>
      <c r="F530" t="s">
        <v>41</v>
      </c>
      <c r="G530">
        <v>-359.7586</v>
      </c>
      <c r="H530" s="1">
        <v>-6.1608520000000001E-7</v>
      </c>
      <c r="I530">
        <v>367.5573</v>
      </c>
      <c r="J530">
        <v>-386.36599999999999</v>
      </c>
      <c r="K530">
        <v>1.1203129999999999</v>
      </c>
      <c r="L530">
        <v>367.17880000000002</v>
      </c>
      <c r="M530">
        <v>0.9999093</v>
      </c>
      <c r="N530">
        <v>-9.7522830000000005E-3</v>
      </c>
      <c r="O530">
        <v>-9.288279E-3</v>
      </c>
      <c r="P530">
        <v>0.99030410000000002</v>
      </c>
      <c r="Q530">
        <v>0.1354117</v>
      </c>
      <c r="R530">
        <v>-3.1013209999999999E-2</v>
      </c>
      <c r="S530">
        <v>3.0481569999999998</v>
      </c>
      <c r="T530">
        <v>-0.1271504</v>
      </c>
      <c r="U530">
        <v>4.2694089999999997E-2</v>
      </c>
      <c r="V530">
        <v>2.1831110000000001E-2</v>
      </c>
      <c r="W530">
        <v>0.14506269999999999</v>
      </c>
      <c r="X530">
        <v>0.98918159999999999</v>
      </c>
      <c r="Y530">
        <v>-2.3262660000000001E-2</v>
      </c>
      <c r="Z530">
        <v>8.9517009999999996E-4</v>
      </c>
      <c r="AA530">
        <v>0.99972899999999998</v>
      </c>
      <c r="AB530">
        <v>26</v>
      </c>
      <c r="AC530">
        <v>26.607399999999899</v>
      </c>
      <c r="AD530">
        <v>-1.1203136160852001</v>
      </c>
      <c r="AE530">
        <v>0.37849999999997402</v>
      </c>
      <c r="AF530">
        <v>-0.62452540850912697</v>
      </c>
      <c r="AG530">
        <v>-1.1203136160852001</v>
      </c>
      <c r="AH530">
        <v>26.5556664028779</v>
      </c>
      <c r="AI530">
        <v>92.415058574091702</v>
      </c>
      <c r="AJ530">
        <v>91.347210606248694</v>
      </c>
      <c r="AK530">
        <v>26.586623566846502</v>
      </c>
      <c r="AL530">
        <v>81.659090069842506</v>
      </c>
      <c r="AM530">
        <v>88.735694800713404</v>
      </c>
      <c r="AN530">
        <v>1.0000000110368401</v>
      </c>
    </row>
    <row r="531" spans="1:40" x14ac:dyDescent="0.25">
      <c r="A531" t="str">
        <f>"20190303162222270"</f>
        <v>20190303162222270</v>
      </c>
      <c r="B531" t="str">
        <f>"1551601342264531"</f>
        <v>1551601342264531</v>
      </c>
      <c r="C531" t="s">
        <v>40</v>
      </c>
      <c r="D531">
        <v>5.5906379999999896</v>
      </c>
      <c r="E531">
        <v>0.50352240000000004</v>
      </c>
      <c r="F531" t="s">
        <v>41</v>
      </c>
      <c r="G531">
        <v>-359.83159999999998</v>
      </c>
      <c r="H531" s="1">
        <v>-5.9723499999999999E-7</v>
      </c>
      <c r="I531">
        <v>367.53469999999999</v>
      </c>
      <c r="J531">
        <v>-386.09809999999999</v>
      </c>
      <c r="K531">
        <v>1.1203069999999999</v>
      </c>
      <c r="L531">
        <v>367.17619999999999</v>
      </c>
      <c r="M531">
        <v>0.99990880000000004</v>
      </c>
      <c r="N531">
        <v>-9.7659470000000005E-3</v>
      </c>
      <c r="O531">
        <v>-9.3367490000000001E-3</v>
      </c>
      <c r="P531">
        <v>0.99034909999999998</v>
      </c>
      <c r="Q531">
        <v>0.13507549999999999</v>
      </c>
      <c r="R531">
        <v>-3.103823E-2</v>
      </c>
      <c r="S531">
        <v>3.0482480000000001</v>
      </c>
      <c r="T531">
        <v>-0.12870009999999901</v>
      </c>
      <c r="U531">
        <v>4.0893550000000001E-2</v>
      </c>
      <c r="V531">
        <v>2.180781E-2</v>
      </c>
      <c r="W531">
        <v>0.14474039999999999</v>
      </c>
      <c r="X531">
        <v>0.98922929999999998</v>
      </c>
      <c r="Y531">
        <v>-2.2720150000000001E-2</v>
      </c>
      <c r="Z531">
        <v>8.9327619999999999E-4</v>
      </c>
      <c r="AA531">
        <v>0.99974149999999995</v>
      </c>
      <c r="AB531">
        <v>26</v>
      </c>
      <c r="AC531">
        <v>26.266500000000001</v>
      </c>
      <c r="AD531">
        <v>-1.1203075972349901</v>
      </c>
      <c r="AE531">
        <v>0.35849999999999199</v>
      </c>
      <c r="AF531">
        <v>-0.60264366700236804</v>
      </c>
      <c r="AG531">
        <v>-1.1203075972349901</v>
      </c>
      <c r="AH531">
        <v>26.2143284989676</v>
      </c>
      <c r="AI531">
        <v>92.446484078247195</v>
      </c>
      <c r="AJ531">
        <v>91.316946103304005</v>
      </c>
      <c r="AK531">
        <v>26.2451764549904</v>
      </c>
      <c r="AL531">
        <v>81.677753261488505</v>
      </c>
      <c r="AM531">
        <v>88.737104615680394</v>
      </c>
      <c r="AN531">
        <v>0.999999985973822</v>
      </c>
    </row>
    <row r="532" spans="1:40" x14ac:dyDescent="0.25">
      <c r="A532" t="str">
        <f>"20190303162222292"</f>
        <v>20190303162222292</v>
      </c>
      <c r="B532" t="str">
        <f>"1551601342285028"</f>
        <v>1551601342285028</v>
      </c>
      <c r="C532" t="s">
        <v>40</v>
      </c>
      <c r="D532">
        <v>5.747757</v>
      </c>
      <c r="E532">
        <v>0.51387479999999996</v>
      </c>
      <c r="F532" t="s">
        <v>41</v>
      </c>
      <c r="G532">
        <v>-363.85520000000002</v>
      </c>
      <c r="H532" s="1">
        <v>-3.2130340000000001E-6</v>
      </c>
      <c r="I532">
        <v>366.26409999999998</v>
      </c>
      <c r="J532">
        <v>-385.83229999999998</v>
      </c>
      <c r="K532">
        <v>1.120306</v>
      </c>
      <c r="L532">
        <v>367.1737</v>
      </c>
      <c r="M532">
        <v>0.99990820000000002</v>
      </c>
      <c r="N532">
        <v>-9.778686E-3</v>
      </c>
      <c r="O532">
        <v>-9.3853289999999995E-3</v>
      </c>
      <c r="P532">
        <v>0.99046100000000004</v>
      </c>
      <c r="Q532">
        <v>0.13419489999999901</v>
      </c>
      <c r="R532">
        <v>-3.1290249999999999E-2</v>
      </c>
      <c r="S532">
        <v>3.0462340000000001</v>
      </c>
      <c r="T532">
        <v>-0.1534295</v>
      </c>
      <c r="U532">
        <v>-0.1249084</v>
      </c>
      <c r="V532">
        <v>2.201067E-2</v>
      </c>
      <c r="W532">
        <v>0.14387359999999999</v>
      </c>
      <c r="X532">
        <v>0.98935130000000004</v>
      </c>
      <c r="Y532">
        <v>3.1550099999999998E-2</v>
      </c>
      <c r="Z532">
        <v>-5.6766290000000001E-4</v>
      </c>
      <c r="AA532">
        <v>0.999502</v>
      </c>
      <c r="AB532">
        <v>26</v>
      </c>
      <c r="AC532">
        <v>21.977099999999901</v>
      </c>
      <c r="AD532">
        <v>-1.120309213034</v>
      </c>
      <c r="AE532">
        <v>-0.90960000000001096</v>
      </c>
      <c r="AF532">
        <v>0.70146807072190198</v>
      </c>
      <c r="AG532">
        <v>-1.120309213034</v>
      </c>
      <c r="AH532">
        <v>21.92778574311</v>
      </c>
      <c r="AI532">
        <v>92.923254264730403</v>
      </c>
      <c r="AJ532">
        <v>88.167737551865301</v>
      </c>
      <c r="AK532">
        <v>21.967588346989601</v>
      </c>
      <c r="AL532">
        <v>81.727943017193297</v>
      </c>
      <c r="AM532">
        <v>88.725517931287698</v>
      </c>
      <c r="AN532">
        <v>1.00000003859124</v>
      </c>
    </row>
    <row r="533" spans="1:40" x14ac:dyDescent="0.25">
      <c r="A533" t="str">
        <f>"20190303162222305"</f>
        <v>20190303162222305</v>
      </c>
      <c r="B533" t="str">
        <f>"1551601342294788"</f>
        <v>1551601342294788</v>
      </c>
      <c r="C533" t="s">
        <v>40</v>
      </c>
      <c r="D533">
        <v>5.7429629999999996</v>
      </c>
      <c r="E533">
        <v>0.51405199999999995</v>
      </c>
      <c r="F533" t="s">
        <v>41</v>
      </c>
      <c r="G533">
        <v>-369.72609999999997</v>
      </c>
      <c r="H533" s="1">
        <v>-1.0219689999999999E-6</v>
      </c>
      <c r="I533">
        <v>366.07330000000002</v>
      </c>
      <c r="J533">
        <v>-385.678</v>
      </c>
      <c r="K533">
        <v>1.1203080000000001</v>
      </c>
      <c r="L533">
        <v>367.17219999999998</v>
      </c>
      <c r="M533">
        <v>0.99990789999999996</v>
      </c>
      <c r="N533">
        <v>-9.785775E-3</v>
      </c>
      <c r="O533">
        <v>-9.4136140000000007E-3</v>
      </c>
      <c r="P533">
        <v>0.99049140000000002</v>
      </c>
      <c r="Q533">
        <v>0.13397699999999901</v>
      </c>
      <c r="R533">
        <v>-3.1259330000000002E-2</v>
      </c>
      <c r="S533">
        <v>3.051056</v>
      </c>
      <c r="T533">
        <v>-0.21222260000000001</v>
      </c>
      <c r="U533">
        <v>-0.20843510000000001</v>
      </c>
      <c r="V533">
        <v>2.1951459999999999E-2</v>
      </c>
      <c r="W533">
        <v>0.1436627</v>
      </c>
      <c r="X533">
        <v>0.98938320000000002</v>
      </c>
      <c r="Y533">
        <v>5.8617460000000003E-2</v>
      </c>
      <c r="Z533">
        <v>-1.760104E-3</v>
      </c>
      <c r="AA533">
        <v>0.99827900000000003</v>
      </c>
      <c r="AB533">
        <v>26</v>
      </c>
      <c r="AC533">
        <v>15.9519</v>
      </c>
      <c r="AD533">
        <v>-1.120309021969</v>
      </c>
      <c r="AE533">
        <v>-1.09889999999995</v>
      </c>
      <c r="AF533">
        <v>0.94404476470432397</v>
      </c>
      <c r="AG533">
        <v>-1.120309021969</v>
      </c>
      <c r="AH533">
        <v>15.883565508526701</v>
      </c>
      <c r="AI533">
        <v>94.027454320294297</v>
      </c>
      <c r="AJ533">
        <v>86.5986085698149</v>
      </c>
      <c r="AK533">
        <v>15.9509863671852</v>
      </c>
      <c r="AL533">
        <v>81.740153036390495</v>
      </c>
      <c r="AM533">
        <v>88.728986205254401</v>
      </c>
      <c r="AN533">
        <v>0.99999997720483003</v>
      </c>
    </row>
    <row r="534" spans="1:40" x14ac:dyDescent="0.25">
      <c r="A534" t="str">
        <f>"20190303162222326"</f>
        <v>20190303162222326</v>
      </c>
      <c r="B534" t="str">
        <f>"1551601342315283"</f>
        <v>1551601342315283</v>
      </c>
      <c r="C534" t="s">
        <v>40</v>
      </c>
      <c r="D534">
        <v>5.5718139999999998</v>
      </c>
      <c r="E534">
        <v>0.5142198</v>
      </c>
      <c r="F534" t="s">
        <v>41</v>
      </c>
      <c r="G534">
        <v>-368.07650000000001</v>
      </c>
      <c r="H534" s="1">
        <v>-1.613719E-6</v>
      </c>
      <c r="I534">
        <v>365.95909999999998</v>
      </c>
      <c r="J534">
        <v>-385.44099999999997</v>
      </c>
      <c r="K534">
        <v>1.1203080000000001</v>
      </c>
      <c r="L534">
        <v>367.16989999999998</v>
      </c>
      <c r="M534">
        <v>0.9999074</v>
      </c>
      <c r="N534">
        <v>-9.796351E-3</v>
      </c>
      <c r="O534">
        <v>-9.4570580000000008E-3</v>
      </c>
      <c r="P534">
        <v>0.99055499999999996</v>
      </c>
      <c r="Q534">
        <v>0.1335095</v>
      </c>
      <c r="R534">
        <v>-3.1241140000000001E-2</v>
      </c>
      <c r="S534">
        <v>3.0484010000000001</v>
      </c>
      <c r="T534">
        <v>-0.19402520000000001</v>
      </c>
      <c r="U534">
        <v>-0.21008299999999999</v>
      </c>
      <c r="V534">
        <v>2.188959E-2</v>
      </c>
      <c r="W534">
        <v>0.1432068</v>
      </c>
      <c r="X534">
        <v>0.98945070000000002</v>
      </c>
      <c r="Y534">
        <v>5.9190520000000003E-2</v>
      </c>
      <c r="Z534">
        <v>-1.662087E-3</v>
      </c>
      <c r="AA534">
        <v>0.9982453</v>
      </c>
      <c r="AB534">
        <v>26</v>
      </c>
      <c r="AC534">
        <v>17.3644999999999</v>
      </c>
      <c r="AD534">
        <v>-1.1203096137190001</v>
      </c>
      <c r="AE534">
        <v>-1.2108000000000001</v>
      </c>
      <c r="AF534">
        <v>1.04220374653891</v>
      </c>
      <c r="AG534">
        <v>-1.1203096137190001</v>
      </c>
      <c r="AH534">
        <v>17.303497690642899</v>
      </c>
      <c r="AI534">
        <v>93.697744622935801</v>
      </c>
      <c r="AJ534">
        <v>86.5531926041579</v>
      </c>
      <c r="AK534">
        <v>17.3710193889126</v>
      </c>
      <c r="AL534">
        <v>81.766547414741197</v>
      </c>
      <c r="AM534">
        <v>88.732653812092593</v>
      </c>
      <c r="AN534">
        <v>1.0000000147235399</v>
      </c>
    </row>
    <row r="535" spans="1:40" x14ac:dyDescent="0.25">
      <c r="A535" t="str">
        <f>"20190303162222350"</f>
        <v>20190303162222350</v>
      </c>
      <c r="B535" t="str">
        <f>"1551601342334803"</f>
        <v>1551601342334803</v>
      </c>
      <c r="C535" t="s">
        <v>40</v>
      </c>
      <c r="D535">
        <v>5.6084420000000001</v>
      </c>
      <c r="E535">
        <v>0.51453479999999996</v>
      </c>
      <c r="F535" t="s">
        <v>41</v>
      </c>
      <c r="G535">
        <v>-365.69839999999999</v>
      </c>
      <c r="H535" s="1">
        <v>-2.5046659999999998E-6</v>
      </c>
      <c r="I535">
        <v>365.8</v>
      </c>
      <c r="J535">
        <v>-385.15559999999999</v>
      </c>
      <c r="K535">
        <v>1.1203110000000001</v>
      </c>
      <c r="L535">
        <v>367.16719999999998</v>
      </c>
      <c r="M535">
        <v>0.99990670000000004</v>
      </c>
      <c r="N535">
        <v>-9.8085359999999996E-3</v>
      </c>
      <c r="O535">
        <v>-9.5090929999999997E-3</v>
      </c>
      <c r="P535">
        <v>0.99057039999999996</v>
      </c>
      <c r="Q535">
        <v>0.133405</v>
      </c>
      <c r="R535">
        <v>-3.1204599999999999E-2</v>
      </c>
      <c r="S535">
        <v>3.045258</v>
      </c>
      <c r="T535">
        <v>-0.17280470000000001</v>
      </c>
      <c r="U535">
        <v>-0.21130370000000001</v>
      </c>
      <c r="V535">
        <v>2.1801149999999998E-2</v>
      </c>
      <c r="W535">
        <v>0.1431144</v>
      </c>
      <c r="X535">
        <v>0.98946599999999996</v>
      </c>
      <c r="Y535">
        <v>5.9629849999999998E-2</v>
      </c>
      <c r="Z535">
        <v>-1.5361909999999999E-3</v>
      </c>
      <c r="AA535">
        <v>0.99821939999999998</v>
      </c>
      <c r="AB535">
        <v>26</v>
      </c>
      <c r="AC535">
        <v>19.4572</v>
      </c>
      <c r="AD535">
        <v>-1.120313504666</v>
      </c>
      <c r="AE535">
        <v>-1.36719999999996</v>
      </c>
      <c r="AF535">
        <v>1.17822202950067</v>
      </c>
      <c r="AG535">
        <v>-1.120313504666</v>
      </c>
      <c r="AH535">
        <v>19.4053039935717</v>
      </c>
      <c r="AI535">
        <v>93.298091280688297</v>
      </c>
      <c r="AJ535">
        <v>86.525466554051604</v>
      </c>
      <c r="AK535">
        <v>19.473292802771301</v>
      </c>
      <c r="AL535">
        <v>81.771896467856706</v>
      </c>
      <c r="AM535">
        <v>88.737792092803005</v>
      </c>
      <c r="AN535">
        <v>0.99999999339234102</v>
      </c>
    </row>
    <row r="536" spans="1:40" x14ac:dyDescent="0.25">
      <c r="A536" t="str">
        <f>"20190303162222373"</f>
        <v>20190303162222373</v>
      </c>
      <c r="B536" t="str">
        <f>"1551601342365059"</f>
        <v>1551601342365059</v>
      </c>
      <c r="C536" t="s">
        <v>40</v>
      </c>
      <c r="D536">
        <v>5.619383</v>
      </c>
      <c r="E536">
        <v>0.51449609999999901</v>
      </c>
      <c r="F536" t="s">
        <v>41</v>
      </c>
      <c r="G536">
        <v>-364.75990000000002</v>
      </c>
      <c r="H536" s="1">
        <v>-2.9188470000000001E-6</v>
      </c>
      <c r="I536">
        <v>365.73469999999998</v>
      </c>
      <c r="J536">
        <v>-384.87709999999998</v>
      </c>
      <c r="K536">
        <v>1.12032</v>
      </c>
      <c r="L536">
        <v>367.16449999999998</v>
      </c>
      <c r="M536">
        <v>0.99990619999999997</v>
      </c>
      <c r="N536">
        <v>-9.819955E-3</v>
      </c>
      <c r="O536">
        <v>-9.5602910000000003E-3</v>
      </c>
      <c r="P536">
        <v>0.99046900000000004</v>
      </c>
      <c r="Q536">
        <v>0.13413520000000001</v>
      </c>
      <c r="R536">
        <v>-3.1287799999999998E-2</v>
      </c>
      <c r="S536">
        <v>3.0443730000000002</v>
      </c>
      <c r="T536">
        <v>-0.16722329999999999</v>
      </c>
      <c r="U536">
        <v>-0.2138062</v>
      </c>
      <c r="V536">
        <v>2.183483E-2</v>
      </c>
      <c r="W536">
        <v>0.14385479999999901</v>
      </c>
      <c r="X536">
        <v>0.98935790000000001</v>
      </c>
      <c r="Y536">
        <v>6.04197E-2</v>
      </c>
      <c r="Z536">
        <v>-1.523071E-3</v>
      </c>
      <c r="AA536">
        <v>0.9981719</v>
      </c>
      <c r="AB536">
        <v>27</v>
      </c>
      <c r="AC536">
        <v>20.117199999999901</v>
      </c>
      <c r="AD536">
        <v>-1.1203229188470001</v>
      </c>
      <c r="AE536">
        <v>-1.4298</v>
      </c>
      <c r="AF536">
        <v>1.2335925353410599</v>
      </c>
      <c r="AG536">
        <v>-1.1203229188470001</v>
      </c>
      <c r="AH536">
        <v>20.068025261215102</v>
      </c>
      <c r="AI536">
        <v>93.189285317422602</v>
      </c>
      <c r="AJ536">
        <v>86.482423046343001</v>
      </c>
      <c r="AK536">
        <v>20.137092934942501</v>
      </c>
      <c r="AL536">
        <v>81.729031252596698</v>
      </c>
      <c r="AM536">
        <v>88.735704694124095</v>
      </c>
      <c r="AN536">
        <v>1.0000000087882801</v>
      </c>
    </row>
    <row r="537" spans="1:40" x14ac:dyDescent="0.25">
      <c r="A537" t="str">
        <f>"20190303162222393"</f>
        <v>20190303162222393</v>
      </c>
      <c r="B537" t="str">
        <f>"1551601342384579"</f>
        <v>1551601342384579</v>
      </c>
      <c r="C537" t="s">
        <v>40</v>
      </c>
      <c r="D537">
        <v>5.5999369999999997</v>
      </c>
      <c r="E537">
        <v>0.51439690000000005</v>
      </c>
      <c r="F537" t="s">
        <v>41</v>
      </c>
      <c r="G537">
        <v>-363.69869999999997</v>
      </c>
      <c r="H537" s="1">
        <v>-3.3846070000000002E-6</v>
      </c>
      <c r="I537">
        <v>365.67529999999999</v>
      </c>
      <c r="J537">
        <v>-384.6361</v>
      </c>
      <c r="K537">
        <v>1.120325</v>
      </c>
      <c r="L537">
        <v>367.16210000000001</v>
      </c>
      <c r="M537">
        <v>0.99990570000000001</v>
      </c>
      <c r="N537">
        <v>-9.8295220000000003E-3</v>
      </c>
      <c r="O537">
        <v>-9.6040899999999992E-3</v>
      </c>
      <c r="P537">
        <v>0.99031720000000001</v>
      </c>
      <c r="Q537">
        <v>0.1352815</v>
      </c>
      <c r="R537">
        <v>-3.1167759999999999E-2</v>
      </c>
      <c r="S537">
        <v>3.0439150000000001</v>
      </c>
      <c r="T537">
        <v>-0.16102049999999901</v>
      </c>
      <c r="U537">
        <v>-0.21401980000000001</v>
      </c>
      <c r="V537">
        <v>2.167318E-2</v>
      </c>
      <c r="W537">
        <v>0.1450089</v>
      </c>
      <c r="X537">
        <v>0.98919299999999999</v>
      </c>
      <c r="Y537">
        <v>6.0462439999999999E-2</v>
      </c>
      <c r="Z537">
        <v>-1.481125E-3</v>
      </c>
      <c r="AA537">
        <v>0.99816939999999998</v>
      </c>
      <c r="AB537">
        <v>27</v>
      </c>
      <c r="AC537">
        <v>20.9374</v>
      </c>
      <c r="AD537">
        <v>-1.120328384607</v>
      </c>
      <c r="AE537">
        <v>-1.4868000000000099</v>
      </c>
      <c r="AF537">
        <v>1.2819849515155399</v>
      </c>
      <c r="AG537">
        <v>-1.120328384607</v>
      </c>
      <c r="AH537">
        <v>20.8911996416021</v>
      </c>
      <c r="AI537">
        <v>93.063897169730495</v>
      </c>
      <c r="AJ537">
        <v>86.488457449584999</v>
      </c>
      <c r="AK537">
        <v>20.960459049613998</v>
      </c>
      <c r="AL537">
        <v>81.662205847521307</v>
      </c>
      <c r="AM537">
        <v>88.744852525685303</v>
      </c>
      <c r="AN537">
        <v>1.0000000495297501</v>
      </c>
    </row>
    <row r="538" spans="1:40" x14ac:dyDescent="0.25">
      <c r="A538" t="str">
        <f>"20190303162222438"</f>
        <v>20190303162222438</v>
      </c>
      <c r="B538" t="str">
        <f>"1551601342424595"</f>
        <v>1551601342424595</v>
      </c>
      <c r="C538" t="s">
        <v>40</v>
      </c>
      <c r="D538">
        <v>5.6073440000000003</v>
      </c>
      <c r="E538">
        <v>0.51446890000000001</v>
      </c>
      <c r="F538" t="s">
        <v>41</v>
      </c>
      <c r="G538">
        <v>-362.75229999999999</v>
      </c>
      <c r="H538" s="1">
        <v>-3.7978599999999998E-6</v>
      </c>
      <c r="I538">
        <v>365.63440000000003</v>
      </c>
      <c r="J538">
        <v>-384.10939999999999</v>
      </c>
      <c r="K538">
        <v>1.120341</v>
      </c>
      <c r="L538">
        <v>367.15699999999998</v>
      </c>
      <c r="M538">
        <v>0.99990449999999997</v>
      </c>
      <c r="N538">
        <v>-9.8495089999999993E-3</v>
      </c>
      <c r="O538">
        <v>-9.6999129999999992E-3</v>
      </c>
      <c r="P538">
        <v>0.990089</v>
      </c>
      <c r="Q538">
        <v>0.1367661</v>
      </c>
      <c r="R538">
        <v>-3.1922190000000003E-2</v>
      </c>
      <c r="S538">
        <v>3.0439150000000001</v>
      </c>
      <c r="T538">
        <v>-0.1558312</v>
      </c>
      <c r="U538">
        <v>-0.21249390000000001</v>
      </c>
      <c r="V538">
        <v>2.233514E-2</v>
      </c>
      <c r="W538">
        <v>0.14651140000000001</v>
      </c>
      <c r="X538">
        <v>0.98895679999999997</v>
      </c>
      <c r="Y538">
        <v>5.9874950000000003E-2</v>
      </c>
      <c r="Z538">
        <v>-1.4250109999999999E-3</v>
      </c>
      <c r="AA538">
        <v>0.99820489999999995</v>
      </c>
      <c r="AB538">
        <v>27</v>
      </c>
      <c r="AC538">
        <v>21.357099999999999</v>
      </c>
      <c r="AD538">
        <v>-1.1203447978600001</v>
      </c>
      <c r="AE538">
        <v>-1.52259999999995</v>
      </c>
      <c r="AF538">
        <v>1.3117648352111799</v>
      </c>
      <c r="AG538">
        <v>-1.1203447978600001</v>
      </c>
      <c r="AH538">
        <v>21.312513491984198</v>
      </c>
      <c r="AI538">
        <v>93.003451005612803</v>
      </c>
      <c r="AJ538">
        <v>86.477942568420701</v>
      </c>
      <c r="AK538">
        <v>21.382215292036499</v>
      </c>
      <c r="AL538">
        <v>81.575189181359605</v>
      </c>
      <c r="AM538">
        <v>88.7062207909363</v>
      </c>
      <c r="AN538">
        <v>1.0000000005375</v>
      </c>
    </row>
    <row r="539" spans="1:40" x14ac:dyDescent="0.25">
      <c r="A539" t="str">
        <f>"20190303162222450"</f>
        <v>20190303162222450</v>
      </c>
      <c r="B539" t="str">
        <f>"1551601342445092"</f>
        <v>1551601342445092</v>
      </c>
      <c r="C539" t="s">
        <v>40</v>
      </c>
      <c r="D539">
        <v>5.6293550000000003</v>
      </c>
      <c r="E539">
        <v>0.51440730000000001</v>
      </c>
      <c r="F539" t="s">
        <v>41</v>
      </c>
      <c r="G539">
        <v>-361.12439999999998</v>
      </c>
      <c r="H539" s="1">
        <v>-4.5155100000000001E-6</v>
      </c>
      <c r="I539">
        <v>365.5258</v>
      </c>
      <c r="J539">
        <v>-383.95670000000001</v>
      </c>
      <c r="K539">
        <v>1.120349</v>
      </c>
      <c r="L539">
        <v>367.15539999999999</v>
      </c>
      <c r="M539">
        <v>0.99990429999999997</v>
      </c>
      <c r="N539">
        <v>-9.8551100000000003E-3</v>
      </c>
      <c r="O539">
        <v>-9.7278339999999994E-3</v>
      </c>
      <c r="P539">
        <v>0.98995759999999999</v>
      </c>
      <c r="Q539">
        <v>0.1376378</v>
      </c>
      <c r="R539">
        <v>-3.2252000000000003E-2</v>
      </c>
      <c r="S539">
        <v>3.0435490000000001</v>
      </c>
      <c r="T539">
        <v>-0.14834929999999999</v>
      </c>
      <c r="U539">
        <v>-0.2159729</v>
      </c>
      <c r="V539">
        <v>2.2638499999999999E-2</v>
      </c>
      <c r="W539">
        <v>0.14738679999999901</v>
      </c>
      <c r="X539">
        <v>0.98881980000000003</v>
      </c>
      <c r="Y539">
        <v>6.099628E-2</v>
      </c>
      <c r="Z539">
        <v>-1.4074440000000001E-3</v>
      </c>
      <c r="AA539">
        <v>0.99813700000000005</v>
      </c>
      <c r="AB539">
        <v>27</v>
      </c>
      <c r="AC539">
        <v>22.8323</v>
      </c>
      <c r="AD539">
        <v>-1.12035351551</v>
      </c>
      <c r="AE539">
        <v>-1.62959999999998</v>
      </c>
      <c r="AF539">
        <v>1.40403987572656</v>
      </c>
      <c r="AG539">
        <v>-1.12035351551</v>
      </c>
      <c r="AH539">
        <v>22.7924724274122</v>
      </c>
      <c r="AI539">
        <v>92.808767155654607</v>
      </c>
      <c r="AJ539">
        <v>86.474975007473006</v>
      </c>
      <c r="AK539">
        <v>22.8631432512394</v>
      </c>
      <c r="AL539">
        <v>81.524481835784499</v>
      </c>
      <c r="AM539">
        <v>88.688472915280201</v>
      </c>
      <c r="AN539">
        <v>0.99999998368426402</v>
      </c>
    </row>
    <row r="540" spans="1:40" x14ac:dyDescent="0.25">
      <c r="A540" t="str">
        <f>"20190303162222471"</f>
        <v>20190303162222471</v>
      </c>
      <c r="B540" t="str">
        <f>"1551601342464611"</f>
        <v>1551601342464611</v>
      </c>
      <c r="C540" t="s">
        <v>40</v>
      </c>
      <c r="D540">
        <v>5.6272769999999896</v>
      </c>
      <c r="E540">
        <v>0.51421349999999999</v>
      </c>
      <c r="F540" t="s">
        <v>41</v>
      </c>
      <c r="G540">
        <v>-360.46249999999998</v>
      </c>
      <c r="H540" s="1">
        <v>-4.8066930000000001E-6</v>
      </c>
      <c r="I540">
        <v>365.48509999999999</v>
      </c>
      <c r="J540">
        <v>-383.71300000000002</v>
      </c>
      <c r="K540">
        <v>1.12036</v>
      </c>
      <c r="L540">
        <v>367.15300000000002</v>
      </c>
      <c r="M540">
        <v>0.99990369999999995</v>
      </c>
      <c r="N540">
        <v>-9.8638979999999994E-3</v>
      </c>
      <c r="O540">
        <v>-9.7722220000000005E-3</v>
      </c>
      <c r="P540">
        <v>0.98960689999999996</v>
      </c>
      <c r="Q540">
        <v>0.1399523</v>
      </c>
      <c r="R540">
        <v>-3.3046350000000002E-2</v>
      </c>
      <c r="S540">
        <v>3.0435789999999998</v>
      </c>
      <c r="T540">
        <v>-0.14513619999999999</v>
      </c>
      <c r="U540">
        <v>-0.2163696</v>
      </c>
      <c r="V540">
        <v>2.3392389999999999E-2</v>
      </c>
      <c r="W540">
        <v>0.1497068</v>
      </c>
      <c r="X540">
        <v>0.98845369999999999</v>
      </c>
      <c r="Y540">
        <v>6.1083610000000003E-2</v>
      </c>
      <c r="Z540">
        <v>-1.3867510000000001E-3</v>
      </c>
      <c r="AA540">
        <v>0.99813169999999996</v>
      </c>
      <c r="AB540">
        <v>27</v>
      </c>
      <c r="AC540">
        <v>23.250499999999999</v>
      </c>
      <c r="AD540">
        <v>-1.1203648066930001</v>
      </c>
      <c r="AE540">
        <v>-1.6679000000000299</v>
      </c>
      <c r="AF540">
        <v>1.4372800548543401</v>
      </c>
      <c r="AG540">
        <v>-1.1203648066930001</v>
      </c>
      <c r="AH540">
        <v>23.2120680747542</v>
      </c>
      <c r="AI540">
        <v>92.758047060659607</v>
      </c>
      <c r="AJ540">
        <v>86.456796604000104</v>
      </c>
      <c r="AK540">
        <v>23.2834940583062</v>
      </c>
      <c r="AL540">
        <v>81.390064625759393</v>
      </c>
      <c r="AM540">
        <v>88.644311727241103</v>
      </c>
      <c r="AN540">
        <v>1.00000002345992</v>
      </c>
    </row>
    <row r="541" spans="1:40" x14ac:dyDescent="0.25">
      <c r="A541" t="str">
        <f>"20190303162222485"</f>
        <v>20190303162222485</v>
      </c>
      <c r="B541" t="str">
        <f>"1551601342475348"</f>
        <v>1551601342475348</v>
      </c>
      <c r="C541" t="s">
        <v>40</v>
      </c>
      <c r="D541">
        <v>5.8651650000000002</v>
      </c>
      <c r="E541">
        <v>0.51428660000000004</v>
      </c>
      <c r="F541" t="s">
        <v>41</v>
      </c>
      <c r="G541">
        <v>-359.1069</v>
      </c>
      <c r="H541" s="1">
        <v>-1.4126020000000001E-6</v>
      </c>
      <c r="I541">
        <v>365.3972</v>
      </c>
      <c r="J541">
        <v>-383.54509999999999</v>
      </c>
      <c r="K541">
        <v>1.120363</v>
      </c>
      <c r="L541">
        <v>367.15129999999999</v>
      </c>
      <c r="M541">
        <v>0.99990330000000005</v>
      </c>
      <c r="N541">
        <v>-9.8698620000000001E-3</v>
      </c>
      <c r="O541">
        <v>-9.8030070000000007E-3</v>
      </c>
      <c r="P541">
        <v>0.98941480000000004</v>
      </c>
      <c r="Q541">
        <v>0.14121110000000001</v>
      </c>
      <c r="R541">
        <v>-3.3432759999999999E-2</v>
      </c>
      <c r="S541">
        <v>3.0438230000000002</v>
      </c>
      <c r="T541">
        <v>-0.13859060000000001</v>
      </c>
      <c r="U541">
        <v>-0.21719359999999999</v>
      </c>
      <c r="V541">
        <v>2.3750790000000001E-2</v>
      </c>
      <c r="W541">
        <v>0.1509693</v>
      </c>
      <c r="X541">
        <v>0.9882531</v>
      </c>
      <c r="Y541">
        <v>6.132174E-2</v>
      </c>
      <c r="Z541">
        <v>-1.3478489999999999E-3</v>
      </c>
      <c r="AA541">
        <v>0.99811709999999998</v>
      </c>
      <c r="AB541">
        <v>27</v>
      </c>
      <c r="AC541">
        <v>24.438199999999899</v>
      </c>
      <c r="AD541">
        <v>-1.120364412602</v>
      </c>
      <c r="AE541">
        <v>-1.75409999999999</v>
      </c>
      <c r="AF541">
        <v>1.51127616771163</v>
      </c>
      <c r="AG541">
        <v>-1.120364412602</v>
      </c>
      <c r="AH541">
        <v>24.403195478004999</v>
      </c>
      <c r="AI541">
        <v>92.623616336879294</v>
      </c>
      <c r="AJ541">
        <v>86.456230403171205</v>
      </c>
      <c r="AK541">
        <v>24.475602579095799</v>
      </c>
      <c r="AL541">
        <v>81.316897005192104</v>
      </c>
      <c r="AM541">
        <v>88.623269566135605</v>
      </c>
      <c r="AN541">
        <v>1.0000000096138599</v>
      </c>
    </row>
    <row r="542" spans="1:40" x14ac:dyDescent="0.25">
      <c r="A542" t="str">
        <f>"20190303162222504"</f>
        <v>20190303162222504</v>
      </c>
      <c r="B542" t="str">
        <f>"1551601342494867"</f>
        <v>1551601342494867</v>
      </c>
      <c r="C542" t="s">
        <v>40</v>
      </c>
      <c r="D542">
        <v>5.6112590000000004</v>
      </c>
      <c r="E542">
        <v>0.51425290000000001</v>
      </c>
      <c r="F542" t="s">
        <v>41</v>
      </c>
      <c r="G542">
        <v>-358.33300000000003</v>
      </c>
      <c r="H542" s="1">
        <v>-1.691468E-6</v>
      </c>
      <c r="I542">
        <v>365.339</v>
      </c>
      <c r="J542">
        <v>-383.31110000000001</v>
      </c>
      <c r="K542">
        <v>1.1203689999999999</v>
      </c>
      <c r="L542">
        <v>367.149</v>
      </c>
      <c r="M542">
        <v>0.99990290000000004</v>
      </c>
      <c r="N542">
        <v>-9.8780640000000006E-3</v>
      </c>
      <c r="O542">
        <v>-9.8457249999999996E-3</v>
      </c>
      <c r="P542">
        <v>0.9893246</v>
      </c>
      <c r="Q542">
        <v>0.1417022</v>
      </c>
      <c r="R542">
        <v>-3.4023119999999997E-2</v>
      </c>
      <c r="S542">
        <v>3.044006</v>
      </c>
      <c r="T542">
        <v>-0.13526740000000001</v>
      </c>
      <c r="U542">
        <v>-0.21881100000000001</v>
      </c>
      <c r="V542">
        <v>2.429972E-2</v>
      </c>
      <c r="W542">
        <v>0.1514675</v>
      </c>
      <c r="X542">
        <v>0.98816349999999997</v>
      </c>
      <c r="Y542">
        <v>6.1804860000000003E-2</v>
      </c>
      <c r="Z542">
        <v>-1.337029E-3</v>
      </c>
      <c r="AA542">
        <v>0.99808730000000001</v>
      </c>
      <c r="AB542">
        <v>27</v>
      </c>
      <c r="AC542">
        <v>24.978099999999898</v>
      </c>
      <c r="AD542">
        <v>-1.1203706914680001</v>
      </c>
      <c r="AE542">
        <v>-1.81</v>
      </c>
      <c r="AF542">
        <v>1.56084894080578</v>
      </c>
      <c r="AG542">
        <v>-1.1203706914680001</v>
      </c>
      <c r="AH542">
        <v>24.944786744940998</v>
      </c>
      <c r="AI542">
        <v>92.566642655315206</v>
      </c>
      <c r="AJ542">
        <v>86.419547831594301</v>
      </c>
      <c r="AK542">
        <v>25.018670341425</v>
      </c>
      <c r="AL542">
        <v>81.288020014702397</v>
      </c>
      <c r="AM542">
        <v>88.591335479986697</v>
      </c>
      <c r="AN542">
        <v>0.99999999134028905</v>
      </c>
    </row>
    <row r="543" spans="1:40" x14ac:dyDescent="0.25">
      <c r="A543" t="str">
        <f>"20190303162222562"</f>
        <v>20190303162222562</v>
      </c>
      <c r="B543" t="str">
        <f>"1551601342554403"</f>
        <v>1551601342554403</v>
      </c>
      <c r="C543" t="s">
        <v>40</v>
      </c>
      <c r="D543">
        <v>5.6526319999999997</v>
      </c>
      <c r="E543">
        <v>0.51430759999999998</v>
      </c>
      <c r="F543" t="s">
        <v>41</v>
      </c>
      <c r="G543">
        <v>-357.90989999999999</v>
      </c>
      <c r="H543" s="1">
        <v>-1.843178E-6</v>
      </c>
      <c r="I543">
        <v>365.3098</v>
      </c>
      <c r="J543">
        <v>-382.61900000000003</v>
      </c>
      <c r="K543">
        <v>1.120371</v>
      </c>
      <c r="L543">
        <v>367.142</v>
      </c>
      <c r="M543">
        <v>0.99990140000000005</v>
      </c>
      <c r="N543">
        <v>-9.9014099999999994E-3</v>
      </c>
      <c r="O543">
        <v>-9.9706580000000003E-3</v>
      </c>
      <c r="P543">
        <v>0.98912829999999996</v>
      </c>
      <c r="Q543">
        <v>0.14312720000000001</v>
      </c>
      <c r="R543">
        <v>-3.3767329999999998E-2</v>
      </c>
      <c r="S543">
        <v>3.0440369999999999</v>
      </c>
      <c r="T543">
        <v>-0.1342632</v>
      </c>
      <c r="U543">
        <v>-0.22039790000000001</v>
      </c>
      <c r="V543">
        <v>2.392242E-2</v>
      </c>
      <c r="W543">
        <v>0.1529134</v>
      </c>
      <c r="X543">
        <v>0.98794999999999999</v>
      </c>
      <c r="Y543">
        <v>6.2197530000000001E-2</v>
      </c>
      <c r="Z543">
        <v>-1.337357E-3</v>
      </c>
      <c r="AA543">
        <v>0.99806300000000003</v>
      </c>
      <c r="AB543">
        <v>27</v>
      </c>
      <c r="AC543">
        <v>24.709099999999999</v>
      </c>
      <c r="AD543">
        <v>-1.120372843178</v>
      </c>
      <c r="AE543">
        <v>-1.8322000000000001</v>
      </c>
      <c r="AF543">
        <v>1.5824951544564301</v>
      </c>
      <c r="AG543">
        <v>-1.120372843178</v>
      </c>
      <c r="AH543">
        <v>24.675686351699799</v>
      </c>
      <c r="AI543">
        <v>92.594345105779396</v>
      </c>
      <c r="AJ543">
        <v>86.330546085138195</v>
      </c>
      <c r="AK543">
        <v>24.751747880686601</v>
      </c>
      <c r="AL543">
        <v>81.204199674267301</v>
      </c>
      <c r="AM543">
        <v>88.612899527366693</v>
      </c>
      <c r="AN543">
        <v>0.99999999628910796</v>
      </c>
    </row>
    <row r="544" spans="1:40" x14ac:dyDescent="0.25">
      <c r="A544" t="str">
        <f>"20190303162222585"</f>
        <v>20190303162222585</v>
      </c>
      <c r="B544" t="str">
        <f>"1551601342574899"</f>
        <v>1551601342574899</v>
      </c>
      <c r="C544" t="s">
        <v>40</v>
      </c>
      <c r="D544">
        <v>5.5066699999999997</v>
      </c>
      <c r="E544">
        <v>0.51427959999999995</v>
      </c>
      <c r="F544" t="s">
        <v>41</v>
      </c>
      <c r="G544">
        <v>-356.35660000000001</v>
      </c>
      <c r="H544" s="1">
        <v>-2.3885929999999999E-6</v>
      </c>
      <c r="I544">
        <v>365.24669999999998</v>
      </c>
      <c r="J544">
        <v>-382.34160000000003</v>
      </c>
      <c r="K544">
        <v>1.1203780000000001</v>
      </c>
      <c r="L544">
        <v>367.13929999999999</v>
      </c>
      <c r="M544">
        <v>0.99990080000000003</v>
      </c>
      <c r="N544">
        <v>-9.9104919999999999E-3</v>
      </c>
      <c r="O544">
        <v>-1.0021250000000001E-2</v>
      </c>
      <c r="P544">
        <v>0.98904440000000005</v>
      </c>
      <c r="Q544">
        <v>0.1438217</v>
      </c>
      <c r="R544">
        <v>-3.3271460000000003E-2</v>
      </c>
      <c r="S544">
        <v>3.0442499999999999</v>
      </c>
      <c r="T544">
        <v>-0.12986929999999999</v>
      </c>
      <c r="U544">
        <v>-0.219696</v>
      </c>
      <c r="V544">
        <v>2.3377709999999999E-2</v>
      </c>
      <c r="W544">
        <v>0.15361639999999999</v>
      </c>
      <c r="X544">
        <v>0.98785400000000001</v>
      </c>
      <c r="Y544">
        <v>6.1917220000000002E-2</v>
      </c>
      <c r="Z544">
        <v>-1.2982359999999999E-3</v>
      </c>
      <c r="AA544">
        <v>0.99808039999999998</v>
      </c>
      <c r="AB544">
        <v>27</v>
      </c>
      <c r="AC544">
        <v>25.984999999999999</v>
      </c>
      <c r="AD544">
        <v>-1.1203803885929999</v>
      </c>
      <c r="AE544">
        <v>-1.8926000000000101</v>
      </c>
      <c r="AF544">
        <v>1.6290775012572001</v>
      </c>
      <c r="AG544">
        <v>-1.1203803885929999</v>
      </c>
      <c r="AH544">
        <v>25.954666408837099</v>
      </c>
      <c r="AI544">
        <v>92.466893548358797</v>
      </c>
      <c r="AJ544">
        <v>86.4084693086958</v>
      </c>
      <c r="AK544">
        <v>26.029864658009</v>
      </c>
      <c r="AL544">
        <v>81.163439376039406</v>
      </c>
      <c r="AM544">
        <v>88.644339999019394</v>
      </c>
      <c r="AN544">
        <v>1.0000000204949</v>
      </c>
    </row>
    <row r="545" spans="1:40" x14ac:dyDescent="0.25">
      <c r="A545" t="str">
        <f>"20190303162222605"</f>
        <v>20190303162222605</v>
      </c>
      <c r="B545" t="str">
        <f>"1551601342594419"</f>
        <v>1551601342594419</v>
      </c>
      <c r="C545" t="s">
        <v>40</v>
      </c>
      <c r="D545">
        <v>5.7917670000000001</v>
      </c>
      <c r="E545">
        <v>0.51423649999999999</v>
      </c>
      <c r="F545" t="s">
        <v>41</v>
      </c>
      <c r="G545">
        <v>-355.77260000000001</v>
      </c>
      <c r="H545" s="1">
        <v>-2.5905279999999999E-6</v>
      </c>
      <c r="I545">
        <v>365.23469999999998</v>
      </c>
      <c r="J545">
        <v>-382.10129999999998</v>
      </c>
      <c r="K545">
        <v>1.1203909999999999</v>
      </c>
      <c r="L545">
        <v>367.13670000000002</v>
      </c>
      <c r="M545">
        <v>0.99990009999999996</v>
      </c>
      <c r="N545">
        <v>-9.9182200000000002E-3</v>
      </c>
      <c r="O545">
        <v>-1.00648E-2</v>
      </c>
      <c r="P545">
        <v>0.98880539999999995</v>
      </c>
      <c r="Q545">
        <v>0.1457367</v>
      </c>
      <c r="R545">
        <v>-3.20159E-2</v>
      </c>
      <c r="S545">
        <v>3.0445250000000001</v>
      </c>
      <c r="T545">
        <v>-0.128383199999999</v>
      </c>
      <c r="U545">
        <v>-0.21823119999999999</v>
      </c>
      <c r="V545">
        <v>2.2081610000000002E-2</v>
      </c>
      <c r="W545">
        <v>0.1555366</v>
      </c>
      <c r="X545">
        <v>0.98758330000000005</v>
      </c>
      <c r="Y545">
        <v>6.1391389999999997E-2</v>
      </c>
      <c r="Z545">
        <v>-1.273206E-3</v>
      </c>
      <c r="AA545">
        <v>0.99811300000000003</v>
      </c>
      <c r="AB545">
        <v>27</v>
      </c>
      <c r="AC545">
        <v>26.328699999999898</v>
      </c>
      <c r="AD545">
        <v>-1.12039359052799</v>
      </c>
      <c r="AE545">
        <v>-1.9020000000000401</v>
      </c>
      <c r="AF545">
        <v>1.6339540173504199</v>
      </c>
      <c r="AG545">
        <v>-1.12039359052799</v>
      </c>
      <c r="AH545">
        <v>26.299133941674398</v>
      </c>
      <c r="AI545">
        <v>92.434746140989901</v>
      </c>
      <c r="AJ545">
        <v>86.4448073120614</v>
      </c>
      <c r="AK545">
        <v>26.373652261502301</v>
      </c>
      <c r="AL545">
        <v>81.052081416386599</v>
      </c>
      <c r="AM545">
        <v>88.719123455789997</v>
      </c>
      <c r="AN545">
        <v>1.0000000029393199</v>
      </c>
    </row>
    <row r="546" spans="1:40" x14ac:dyDescent="0.25">
      <c r="A546" t="str">
        <f>"20190303162222617"</f>
        <v>20190303162222617</v>
      </c>
      <c r="B546" t="str">
        <f>"1551601342605156"</f>
        <v>1551601342605156</v>
      </c>
      <c r="C546" t="s">
        <v>40</v>
      </c>
      <c r="D546">
        <v>5.8596849999999998</v>
      </c>
      <c r="E546">
        <v>0.51430580000000004</v>
      </c>
      <c r="F546" t="s">
        <v>41</v>
      </c>
      <c r="G546">
        <v>-354.3673</v>
      </c>
      <c r="H546" s="1">
        <v>-3.1842890000000001E-6</v>
      </c>
      <c r="I546">
        <v>365.18779999999998</v>
      </c>
      <c r="J546">
        <v>-381.93619999999999</v>
      </c>
      <c r="K546">
        <v>1.1203970000000001</v>
      </c>
      <c r="L546">
        <v>367.13510000000002</v>
      </c>
      <c r="M546">
        <v>0.99989989999999995</v>
      </c>
      <c r="N546">
        <v>-9.9233389999999998E-3</v>
      </c>
      <c r="O546">
        <v>-1.009498E-2</v>
      </c>
      <c r="P546">
        <v>0.98868009999999995</v>
      </c>
      <c r="Q546">
        <v>0.14670069999999999</v>
      </c>
      <c r="R546">
        <v>-3.14785E-2</v>
      </c>
      <c r="S546">
        <v>3.045166</v>
      </c>
      <c r="T546">
        <v>-0.1230178</v>
      </c>
      <c r="U546">
        <v>-0.21398929999999999</v>
      </c>
      <c r="V546">
        <v>2.1515739999999998E-2</v>
      </c>
      <c r="W546">
        <v>0.15650449999999999</v>
      </c>
      <c r="X546">
        <v>0.98744290000000001</v>
      </c>
      <c r="Y546">
        <v>5.99687E-2</v>
      </c>
      <c r="Z546">
        <v>-1.200315E-3</v>
      </c>
      <c r="AA546">
        <v>0.99819950000000002</v>
      </c>
      <c r="AB546">
        <v>27</v>
      </c>
      <c r="AC546">
        <v>27.5688999999999</v>
      </c>
      <c r="AD546">
        <v>-1.1204001842889999</v>
      </c>
      <c r="AE546">
        <v>-1.94730000000004</v>
      </c>
      <c r="AF546">
        <v>1.66614143848465</v>
      </c>
      <c r="AG546">
        <v>-1.1204001842889999</v>
      </c>
      <c r="AH546">
        <v>27.541891355367099</v>
      </c>
      <c r="AI546">
        <v>92.325253446161</v>
      </c>
      <c r="AJ546">
        <v>86.538121742146899</v>
      </c>
      <c r="AK546">
        <v>27.614979690320901</v>
      </c>
      <c r="AL546">
        <v>80.995937551850403</v>
      </c>
      <c r="AM546">
        <v>88.751759665693299</v>
      </c>
      <c r="AN546">
        <v>1.0000000331742001</v>
      </c>
    </row>
    <row r="547" spans="1:40" x14ac:dyDescent="0.25">
      <c r="A547" t="str">
        <f>"20190303162222632"</f>
        <v>20190303162222632</v>
      </c>
      <c r="B547" t="str">
        <f>"1551601342624676"</f>
        <v>1551601342624676</v>
      </c>
      <c r="C547" t="s">
        <v>40</v>
      </c>
      <c r="D547">
        <v>5.8652829999999998</v>
      </c>
      <c r="E547">
        <v>0.51434139999999995</v>
      </c>
      <c r="F547" t="s">
        <v>41</v>
      </c>
      <c r="G547">
        <v>-353.62569999999999</v>
      </c>
      <c r="H547" s="1">
        <v>-3.5083310000000002E-6</v>
      </c>
      <c r="I547">
        <v>365.15449999999998</v>
      </c>
      <c r="J547">
        <v>-381.76760000000002</v>
      </c>
      <c r="K547">
        <v>1.1204019999999999</v>
      </c>
      <c r="L547">
        <v>367.13330000000002</v>
      </c>
      <c r="M547">
        <v>0.9998996</v>
      </c>
      <c r="N547">
        <v>-9.9286500000000007E-3</v>
      </c>
      <c r="O547">
        <v>-1.0126E-2</v>
      </c>
      <c r="P547">
        <v>0.9886047</v>
      </c>
      <c r="Q547">
        <v>0.14733479999999999</v>
      </c>
      <c r="R547">
        <v>-3.0878800000000001E-2</v>
      </c>
      <c r="S547">
        <v>3.04541</v>
      </c>
      <c r="T547">
        <v>-0.120522699999999</v>
      </c>
      <c r="U547">
        <v>-0.21304319999999999</v>
      </c>
      <c r="V547">
        <v>2.0886399999999999E-2</v>
      </c>
      <c r="W547">
        <v>0.15714310000000001</v>
      </c>
      <c r="X547">
        <v>0.98735490000000004</v>
      </c>
      <c r="Y547">
        <v>5.9625860000000003E-2</v>
      </c>
      <c r="Z547">
        <v>-1.1748139999999999E-3</v>
      </c>
      <c r="AA547">
        <v>0.99822010000000005</v>
      </c>
      <c r="AB547">
        <v>27</v>
      </c>
      <c r="AC547">
        <v>28.1419</v>
      </c>
      <c r="AD547">
        <v>-1.1204055083310001</v>
      </c>
      <c r="AE547">
        <v>-1.9788000000000301</v>
      </c>
      <c r="AF547">
        <v>1.6910524389988999</v>
      </c>
      <c r="AG547">
        <v>-1.1204055083310001</v>
      </c>
      <c r="AH547">
        <v>28.116149043693898</v>
      </c>
      <c r="AI547">
        <v>92.277870520835194</v>
      </c>
      <c r="AJ547">
        <v>86.558078110085503</v>
      </c>
      <c r="AK547">
        <v>28.189232055906601</v>
      </c>
      <c r="AL547">
        <v>80.958889279109101</v>
      </c>
      <c r="AM547">
        <v>88.788151946064204</v>
      </c>
      <c r="AN547">
        <v>0.99999994706828799</v>
      </c>
    </row>
    <row r="548" spans="1:40" x14ac:dyDescent="0.25">
      <c r="A548" t="str">
        <f>"20190303162222650"</f>
        <v>20190303162222650</v>
      </c>
      <c r="B548" t="str">
        <f>"1551601342645171"</f>
        <v>1551601342645171</v>
      </c>
      <c r="C548" t="s">
        <v>40</v>
      </c>
      <c r="D548">
        <v>5.8520760000000003</v>
      </c>
      <c r="E548">
        <v>0.51440829999999904</v>
      </c>
      <c r="F548" t="s">
        <v>41</v>
      </c>
      <c r="G548">
        <v>-353.31790000000001</v>
      </c>
      <c r="H548" s="1">
        <v>-3.6397940000000001E-6</v>
      </c>
      <c r="I548">
        <v>365.15789999999998</v>
      </c>
      <c r="J548">
        <v>-381.55309999999997</v>
      </c>
      <c r="K548">
        <v>1.120406</v>
      </c>
      <c r="L548">
        <v>367.1311</v>
      </c>
      <c r="M548">
        <v>0.99989899999999998</v>
      </c>
      <c r="N548">
        <v>-9.9353419999999998E-3</v>
      </c>
      <c r="O548">
        <v>-1.016537E-2</v>
      </c>
      <c r="P548">
        <v>0.9885853</v>
      </c>
      <c r="Q548">
        <v>0.14769280000000001</v>
      </c>
      <c r="R548">
        <v>-2.9761260000000001E-2</v>
      </c>
      <c r="S548">
        <v>3.0458370000000001</v>
      </c>
      <c r="T548">
        <v>-0.119950399999999</v>
      </c>
      <c r="U548">
        <v>-0.2114868</v>
      </c>
      <c r="V548">
        <v>1.973016E-2</v>
      </c>
      <c r="W548">
        <v>0.1575076</v>
      </c>
      <c r="X548">
        <v>0.98732070000000005</v>
      </c>
      <c r="Y548">
        <v>5.9070169999999998E-2</v>
      </c>
      <c r="Z548">
        <v>-1.156444E-3</v>
      </c>
      <c r="AA548">
        <v>0.99825319999999995</v>
      </c>
      <c r="AB548">
        <v>27</v>
      </c>
      <c r="AC548">
        <v>28.235199999999899</v>
      </c>
      <c r="AD548">
        <v>-1.120409639794</v>
      </c>
      <c r="AE548">
        <v>-1.97320000000002</v>
      </c>
      <c r="AF548">
        <v>1.68342477496139</v>
      </c>
      <c r="AG548">
        <v>-1.120409639794</v>
      </c>
      <c r="AH548">
        <v>28.209597153337601</v>
      </c>
      <c r="AI548">
        <v>92.270404622276899</v>
      </c>
      <c r="AJ548">
        <v>86.584889793209598</v>
      </c>
      <c r="AK548">
        <v>28.281983811032202</v>
      </c>
      <c r="AL548">
        <v>80.937742496080901</v>
      </c>
      <c r="AM548">
        <v>88.855180030278007</v>
      </c>
      <c r="AN548">
        <v>1.0000000439599299</v>
      </c>
    </row>
    <row r="549" spans="1:40" x14ac:dyDescent="0.25">
      <c r="A549" t="str">
        <f>"20190303162222672"</f>
        <v>20190303162222672</v>
      </c>
      <c r="B549" t="str">
        <f>"1551601342664691"</f>
        <v>1551601342664691</v>
      </c>
      <c r="C549" t="s">
        <v>40</v>
      </c>
      <c r="D549">
        <v>5.8521450000000002</v>
      </c>
      <c r="E549">
        <v>0.51453749999999998</v>
      </c>
      <c r="F549" t="s">
        <v>41</v>
      </c>
      <c r="G549">
        <v>-352.9194</v>
      </c>
      <c r="H549" s="1">
        <v>-3.8084269999999999E-6</v>
      </c>
      <c r="I549">
        <v>365.17090000000002</v>
      </c>
      <c r="J549">
        <v>-381.28309999999999</v>
      </c>
      <c r="K549">
        <v>1.1203989999999999</v>
      </c>
      <c r="L549">
        <v>367.1284</v>
      </c>
      <c r="M549">
        <v>0.99989850000000002</v>
      </c>
      <c r="N549">
        <v>-9.9435549999999998E-3</v>
      </c>
      <c r="O549">
        <v>-1.0214529999999999E-2</v>
      </c>
      <c r="P549">
        <v>0.98869530000000005</v>
      </c>
      <c r="Q549">
        <v>0.147087</v>
      </c>
      <c r="R549">
        <v>-2.9115680000000001E-2</v>
      </c>
      <c r="S549">
        <v>3.046173</v>
      </c>
      <c r="T549">
        <v>-0.1191933</v>
      </c>
      <c r="U549">
        <v>-0.20852660000000001</v>
      </c>
      <c r="V549">
        <v>1.9034490000000001E-2</v>
      </c>
      <c r="W549">
        <v>0.15691099999999999</v>
      </c>
      <c r="X549">
        <v>0.98742929999999995</v>
      </c>
      <c r="Y549">
        <v>5.8049539999999997E-2</v>
      </c>
      <c r="Z549">
        <v>-1.1254489999999999E-3</v>
      </c>
      <c r="AA549">
        <v>0.99831309999999995</v>
      </c>
      <c r="AB549">
        <v>27</v>
      </c>
      <c r="AC549">
        <v>28.363699999999898</v>
      </c>
      <c r="AD549">
        <v>-1.1204028084269999</v>
      </c>
      <c r="AE549">
        <v>-1.95749999999998</v>
      </c>
      <c r="AF549">
        <v>1.6650759225075</v>
      </c>
      <c r="AG549">
        <v>-1.1204028084269999</v>
      </c>
      <c r="AH549">
        <v>28.338208083897001</v>
      </c>
      <c r="AI549">
        <v>92.260219848325804</v>
      </c>
      <c r="AJ549">
        <v>86.6373222846495</v>
      </c>
      <c r="AK549">
        <v>28.409185445681</v>
      </c>
      <c r="AL549">
        <v>80.972355142637795</v>
      </c>
      <c r="AM549">
        <v>88.895656746828394</v>
      </c>
      <c r="AN549">
        <v>0.999999998114525</v>
      </c>
    </row>
    <row r="550" spans="1:40" x14ac:dyDescent="0.25">
      <c r="A550" t="str">
        <f>"20190303162222695"</f>
        <v>20190303162222695</v>
      </c>
      <c r="B550" t="str">
        <f>"1551601342685187"</f>
        <v>1551601342685187</v>
      </c>
      <c r="C550" t="s">
        <v>40</v>
      </c>
      <c r="D550">
        <v>6.3901789999999998</v>
      </c>
      <c r="E550">
        <v>0.5146828</v>
      </c>
      <c r="F550" t="s">
        <v>41</v>
      </c>
      <c r="G550">
        <v>-353.21809999999999</v>
      </c>
      <c r="H550" s="1">
        <v>-3.6723949999999998E-6</v>
      </c>
      <c r="I550">
        <v>365.21530000000001</v>
      </c>
      <c r="J550">
        <v>-381.00940000000003</v>
      </c>
      <c r="K550">
        <v>1.1203909999999999</v>
      </c>
      <c r="L550">
        <v>367.12549999999999</v>
      </c>
      <c r="M550">
        <v>0.99989799999999995</v>
      </c>
      <c r="N550">
        <v>-9.9519120000000003E-3</v>
      </c>
      <c r="O550">
        <v>-1.026404E-2</v>
      </c>
      <c r="P550">
        <v>0.98891289999999998</v>
      </c>
      <c r="Q550">
        <v>0.14571889999999901</v>
      </c>
      <c r="R550">
        <v>-2.8594250000000002E-2</v>
      </c>
      <c r="S550">
        <v>3.0462950000000002</v>
      </c>
      <c r="T550">
        <v>-0.121613</v>
      </c>
      <c r="U550">
        <v>-0.20764160000000001</v>
      </c>
      <c r="V550">
        <v>1.8462059999999999E-2</v>
      </c>
      <c r="W550">
        <v>0.1555531</v>
      </c>
      <c r="X550">
        <v>0.98765499999999995</v>
      </c>
      <c r="Y550">
        <v>5.7707229999999998E-2</v>
      </c>
      <c r="Z550">
        <v>-1.1306549999999999E-3</v>
      </c>
      <c r="AA550">
        <v>0.99833289999999997</v>
      </c>
      <c r="AB550">
        <v>27</v>
      </c>
      <c r="AC550">
        <v>27.7913</v>
      </c>
      <c r="AD550">
        <v>-1.120394672395</v>
      </c>
      <c r="AE550">
        <v>-1.9101999999999699</v>
      </c>
      <c r="AF550">
        <v>1.6222101576502099</v>
      </c>
      <c r="AG550">
        <v>-1.120394672395</v>
      </c>
      <c r="AH550">
        <v>27.764530684125099</v>
      </c>
      <c r="AI550">
        <v>92.306898758778701</v>
      </c>
      <c r="AJ550">
        <v>86.656156458731104</v>
      </c>
      <c r="AK550">
        <v>27.8344393535641</v>
      </c>
      <c r="AL550">
        <v>81.051124422722495</v>
      </c>
      <c r="AM550">
        <v>88.929104860407307</v>
      </c>
      <c r="AN550">
        <v>1.0000000068020201</v>
      </c>
    </row>
    <row r="551" spans="1:40" x14ac:dyDescent="0.25">
      <c r="A551" t="str">
        <f>"20190303162222728"</f>
        <v>20190303162222728</v>
      </c>
      <c r="B551" t="str">
        <f>"1551601342714468"</f>
        <v>1551601342714468</v>
      </c>
      <c r="C551" t="s">
        <v>40</v>
      </c>
      <c r="D551">
        <v>5.6918030000000002</v>
      </c>
      <c r="E551">
        <v>0.51477989999999996</v>
      </c>
      <c r="F551" t="s">
        <v>41</v>
      </c>
      <c r="G551">
        <v>-353.98360000000002</v>
      </c>
      <c r="H551" s="1">
        <v>-3.3317359999999999E-6</v>
      </c>
      <c r="I551">
        <v>365.28460000000001</v>
      </c>
      <c r="J551">
        <v>-380.61270000000002</v>
      </c>
      <c r="K551">
        <v>1.1203780000000001</v>
      </c>
      <c r="L551">
        <v>367.12130000000002</v>
      </c>
      <c r="M551">
        <v>0.99989709999999998</v>
      </c>
      <c r="N551">
        <v>-9.9638959999999999E-3</v>
      </c>
      <c r="O551">
        <v>-1.0336100000000001E-2</v>
      </c>
      <c r="P551">
        <v>0.98941860000000004</v>
      </c>
      <c r="Q551">
        <v>0.14270459999999999</v>
      </c>
      <c r="R551">
        <v>-2.6199859999999998E-2</v>
      </c>
      <c r="S551">
        <v>3.0462340000000001</v>
      </c>
      <c r="T551">
        <v>-0.12628519999999999</v>
      </c>
      <c r="U551">
        <v>-0.20748900000000001</v>
      </c>
      <c r="V551">
        <v>1.5991129999999999E-2</v>
      </c>
      <c r="W551">
        <v>0.1525562</v>
      </c>
      <c r="X551">
        <v>0.98816539999999997</v>
      </c>
      <c r="Y551">
        <v>5.7583469999999998E-2</v>
      </c>
      <c r="Z551">
        <v>-1.154148E-3</v>
      </c>
      <c r="AA551">
        <v>0.99834000000000001</v>
      </c>
      <c r="AB551">
        <v>27</v>
      </c>
      <c r="AC551">
        <v>26.629099999999902</v>
      </c>
      <c r="AD551">
        <v>-1.1203813317360001</v>
      </c>
      <c r="AE551">
        <v>-1.8367</v>
      </c>
      <c r="AF551">
        <v>1.5586012663119899</v>
      </c>
      <c r="AG551">
        <v>-1.1203813317360001</v>
      </c>
      <c r="AH551">
        <v>26.599798986473498</v>
      </c>
      <c r="AI551">
        <v>92.407743024017407</v>
      </c>
      <c r="AJ551">
        <v>86.646618087775295</v>
      </c>
      <c r="AK551">
        <v>26.6689669533082</v>
      </c>
      <c r="AL551">
        <v>81.2249085935415</v>
      </c>
      <c r="AM551">
        <v>89.072883657381794</v>
      </c>
      <c r="AN551">
        <v>0.99999998407713797</v>
      </c>
    </row>
    <row r="552" spans="1:40" x14ac:dyDescent="0.25">
      <c r="A552" t="str">
        <f>"20190303162222750"</f>
        <v>20190303162222750</v>
      </c>
      <c r="B552" t="str">
        <f>"1551601342744724"</f>
        <v>1551601342744724</v>
      </c>
      <c r="C552" t="s">
        <v>40</v>
      </c>
      <c r="D552">
        <v>5.8280810000000001</v>
      </c>
      <c r="E552">
        <v>0.47269149999999999</v>
      </c>
      <c r="F552" t="s">
        <v>41</v>
      </c>
      <c r="G552">
        <v>-355.5915</v>
      </c>
      <c r="H552" s="1">
        <v>-2.6089640000000002E-6</v>
      </c>
      <c r="I552">
        <v>365.47050000000002</v>
      </c>
      <c r="J552">
        <v>-380.33499999999998</v>
      </c>
      <c r="K552">
        <v>1.120398</v>
      </c>
      <c r="L552">
        <v>367.11840000000001</v>
      </c>
      <c r="M552">
        <v>0.99989649999999997</v>
      </c>
      <c r="N552">
        <v>-9.9719950000000009E-3</v>
      </c>
      <c r="O552">
        <v>-1.0386329999999999E-2</v>
      </c>
      <c r="P552">
        <v>0.9891567</v>
      </c>
      <c r="Q552">
        <v>0.14515</v>
      </c>
      <c r="R552">
        <v>-2.2377459999999998E-2</v>
      </c>
      <c r="S552">
        <v>3.0464479999999998</v>
      </c>
      <c r="T552">
        <v>-0.13641099999999901</v>
      </c>
      <c r="U552">
        <v>-0.2009888</v>
      </c>
      <c r="V552">
        <v>1.2122310000000001E-2</v>
      </c>
      <c r="W552">
        <v>0.15500720000000001</v>
      </c>
      <c r="X552">
        <v>0.98783900000000002</v>
      </c>
      <c r="Y552">
        <v>5.5402439999999997E-2</v>
      </c>
      <c r="Z552">
        <v>-1.154272E-3</v>
      </c>
      <c r="AA552">
        <v>0.99846349999999995</v>
      </c>
      <c r="AB552">
        <v>27</v>
      </c>
      <c r="AC552">
        <v>24.743499999999901</v>
      </c>
      <c r="AD552">
        <v>-1.120400608964</v>
      </c>
      <c r="AE552">
        <v>-1.6478999999999899</v>
      </c>
      <c r="AF552">
        <v>1.3879709753742799</v>
      </c>
      <c r="AG552">
        <v>-1.120400608964</v>
      </c>
      <c r="AH552">
        <v>24.708844055331902</v>
      </c>
      <c r="AI552">
        <v>92.592167017054393</v>
      </c>
      <c r="AJ552">
        <v>86.784900489614799</v>
      </c>
      <c r="AK552">
        <v>24.7731454503412</v>
      </c>
      <c r="AL552">
        <v>81.082786495839201</v>
      </c>
      <c r="AM552">
        <v>89.296927597049702</v>
      </c>
      <c r="AN552">
        <v>1.00000003618628</v>
      </c>
    </row>
    <row r="553" spans="1:40" x14ac:dyDescent="0.25">
      <c r="A553" t="str">
        <f>"20190303162222774"</f>
        <v>20190303162222774</v>
      </c>
      <c r="B553" t="str">
        <f>"1551601342765219"</f>
        <v>1551601342765219</v>
      </c>
      <c r="C553" t="s">
        <v>40</v>
      </c>
      <c r="D553">
        <v>5.6876959999999999</v>
      </c>
      <c r="E553">
        <v>0.42010340000000002</v>
      </c>
      <c r="F553" t="s">
        <v>41</v>
      </c>
      <c r="G553">
        <v>-354.84620000000001</v>
      </c>
      <c r="H553" s="1">
        <v>-2.4207010000000002E-6</v>
      </c>
      <c r="I553">
        <v>368.33440000000002</v>
      </c>
      <c r="J553">
        <v>-380.04790000000003</v>
      </c>
      <c r="K553">
        <v>1.1204179999999999</v>
      </c>
      <c r="L553">
        <v>367.11540000000002</v>
      </c>
      <c r="M553">
        <v>0.9998958</v>
      </c>
      <c r="N553">
        <v>-9.9802129999999999E-3</v>
      </c>
      <c r="O553">
        <v>-1.0438589999999999E-2</v>
      </c>
      <c r="P553">
        <v>0.98864529999999995</v>
      </c>
      <c r="Q553">
        <v>0.14949699999999999</v>
      </c>
      <c r="R553">
        <v>-1.5215070000000001E-2</v>
      </c>
      <c r="S553">
        <v>3.0559080000000001</v>
      </c>
      <c r="T553">
        <v>-0.13432669999999999</v>
      </c>
      <c r="U553">
        <v>0.14578250000000001</v>
      </c>
      <c r="V553">
        <v>4.9144319999999998E-3</v>
      </c>
      <c r="W553">
        <v>0.15935650000000001</v>
      </c>
      <c r="X553">
        <v>0.9872088</v>
      </c>
      <c r="Y553">
        <v>-5.8000959999999997E-2</v>
      </c>
      <c r="Z553">
        <v>1.9174960000000001E-3</v>
      </c>
      <c r="AA553">
        <v>0.9983147</v>
      </c>
      <c r="AB553">
        <v>27</v>
      </c>
      <c r="AC553">
        <v>25.201699999999999</v>
      </c>
      <c r="AD553">
        <v>-1.120420420701</v>
      </c>
      <c r="AE553">
        <v>1.2189999999999901</v>
      </c>
      <c r="AF553">
        <v>-1.4791002154330699</v>
      </c>
      <c r="AG553">
        <v>-1.120420420701</v>
      </c>
      <c r="AH553">
        <v>25.1380315338589</v>
      </c>
      <c r="AI553">
        <v>92.547625348709701</v>
      </c>
      <c r="AJ553">
        <v>93.367352132528694</v>
      </c>
      <c r="AK553">
        <v>25.2064219746417</v>
      </c>
      <c r="AL553">
        <v>80.830452190072094</v>
      </c>
      <c r="AM553">
        <v>89.714777779155895</v>
      </c>
      <c r="AN553">
        <v>0.99999993026578304</v>
      </c>
    </row>
    <row r="554" spans="1:40" x14ac:dyDescent="0.25">
      <c r="A554" t="str">
        <f>"20190303162222797"</f>
        <v>20190303162222797</v>
      </c>
      <c r="B554" t="str">
        <f>"1551601342784739"</f>
        <v>1551601342784739</v>
      </c>
      <c r="C554" t="s">
        <v>40</v>
      </c>
      <c r="D554">
        <v>5.7362070000000003</v>
      </c>
      <c r="E554">
        <v>0.36083680000000001</v>
      </c>
      <c r="F554" t="s">
        <v>41</v>
      </c>
      <c r="G554">
        <v>-362.01949999999999</v>
      </c>
      <c r="H554" s="1">
        <v>-3.6567839999999999E-6</v>
      </c>
      <c r="I554">
        <v>370.55900000000003</v>
      </c>
      <c r="J554">
        <v>-379.7774</v>
      </c>
      <c r="K554">
        <v>1.1204229999999999</v>
      </c>
      <c r="L554">
        <v>367.11250000000001</v>
      </c>
      <c r="M554">
        <v>0.99989499999999998</v>
      </c>
      <c r="N554">
        <v>-9.9922050000000005E-3</v>
      </c>
      <c r="O554">
        <v>-1.048776E-2</v>
      </c>
      <c r="P554">
        <v>0.98862689999999998</v>
      </c>
      <c r="Q554">
        <v>0.1501171</v>
      </c>
      <c r="R554">
        <v>-9.0366060000000008E-3</v>
      </c>
      <c r="S554">
        <v>3.072327</v>
      </c>
      <c r="T554">
        <v>-0.19093599999999999</v>
      </c>
      <c r="U554">
        <v>0.58685299999999996</v>
      </c>
      <c r="V554">
        <v>-1.311654E-3</v>
      </c>
      <c r="W554">
        <v>0.15998870000000001</v>
      </c>
      <c r="X554">
        <v>0.98711800000000005</v>
      </c>
      <c r="Y554">
        <v>-0.1974698</v>
      </c>
      <c r="Z554">
        <v>7.6136540000000001E-3</v>
      </c>
      <c r="AA554">
        <v>0.98027940000000002</v>
      </c>
      <c r="AB554">
        <v>27</v>
      </c>
      <c r="AC554">
        <v>17.757899999999999</v>
      </c>
      <c r="AD554">
        <v>-1.120426656784</v>
      </c>
      <c r="AE554">
        <v>3.4465000000000101</v>
      </c>
      <c r="AF554">
        <v>-3.6186775989602298</v>
      </c>
      <c r="AG554">
        <v>-1.120426656784</v>
      </c>
      <c r="AH554">
        <v>17.653051009427202</v>
      </c>
      <c r="AI554">
        <v>93.557865005402405</v>
      </c>
      <c r="AJ554">
        <v>101.584509943215</v>
      </c>
      <c r="AK554">
        <v>18.054927122530501</v>
      </c>
      <c r="AL554">
        <v>80.7937599046261</v>
      </c>
      <c r="AM554">
        <v>90.076132938666902</v>
      </c>
      <c r="AN554">
        <v>1.00000002524395</v>
      </c>
    </row>
    <row r="555" spans="1:40" x14ac:dyDescent="0.25">
      <c r="A555" t="str">
        <f>"20190303162222819"</f>
        <v>20190303162222819</v>
      </c>
      <c r="B555" t="str">
        <f>"1551601342814996"</f>
        <v>1551601342814996</v>
      </c>
      <c r="C555" t="s">
        <v>40</v>
      </c>
      <c r="D555">
        <v>5.7050910000000004</v>
      </c>
      <c r="E555">
        <v>0.35372629999999999</v>
      </c>
      <c r="F555" t="s">
        <v>41</v>
      </c>
      <c r="G555">
        <v>-369.7758</v>
      </c>
      <c r="H555" s="1">
        <v>-3.3830260000000001E-7</v>
      </c>
      <c r="I555">
        <v>370.59269999999998</v>
      </c>
      <c r="J555">
        <v>-379.4973</v>
      </c>
      <c r="K555">
        <v>1.1204240000000001</v>
      </c>
      <c r="L555">
        <v>367.1096</v>
      </c>
      <c r="M555">
        <v>0.99989439999999996</v>
      </c>
      <c r="N555">
        <v>-1.0013289999999999E-2</v>
      </c>
      <c r="O555">
        <v>-1.053901E-2</v>
      </c>
      <c r="P555">
        <v>0.98858840000000003</v>
      </c>
      <c r="Q555">
        <v>0.15058589999999999</v>
      </c>
      <c r="R555">
        <v>-4.1083439999999999E-3</v>
      </c>
      <c r="S555">
        <v>3.0970759999999999</v>
      </c>
      <c r="T555">
        <v>-0.34694449999999999</v>
      </c>
      <c r="U555">
        <v>1.0776669999999999</v>
      </c>
      <c r="V555">
        <v>-6.2905869999999899E-3</v>
      </c>
      <c r="W555">
        <v>0.16047819999999999</v>
      </c>
      <c r="X555">
        <v>0.98701939999999999</v>
      </c>
      <c r="Y555">
        <v>-0.336458799999999</v>
      </c>
      <c r="Z555">
        <v>2.103462E-2</v>
      </c>
      <c r="AA555">
        <v>0.94146319999999994</v>
      </c>
      <c r="AB555">
        <v>27</v>
      </c>
      <c r="AC555">
        <v>9.72149999999999</v>
      </c>
      <c r="AD555">
        <v>-1.1204243383026</v>
      </c>
      <c r="AE555">
        <v>3.4830999999999701</v>
      </c>
      <c r="AF555">
        <v>-3.5436511281266001</v>
      </c>
      <c r="AG555">
        <v>-1.1204243383026</v>
      </c>
      <c r="AH555">
        <v>9.5715741128803007</v>
      </c>
      <c r="AI555">
        <v>96.264597339528294</v>
      </c>
      <c r="AJ555">
        <v>110.315891596518</v>
      </c>
      <c r="AK555">
        <v>10.267806241553901</v>
      </c>
      <c r="AL555">
        <v>80.765346819878403</v>
      </c>
      <c r="AM555">
        <v>90.365159191234994</v>
      </c>
      <c r="AN555">
        <v>1.0000000600682</v>
      </c>
    </row>
    <row r="556" spans="1:40" x14ac:dyDescent="0.25">
      <c r="A556" t="str">
        <f>"20190303162222841"</f>
        <v>20190303162222841</v>
      </c>
      <c r="B556" t="str">
        <f>"1551601342834515"</f>
        <v>1551601342834515</v>
      </c>
      <c r="C556" t="s">
        <v>40</v>
      </c>
      <c r="D556">
        <v>5.7029129999999997</v>
      </c>
      <c r="E556">
        <v>0.3541687</v>
      </c>
      <c r="F556" t="s">
        <v>41</v>
      </c>
      <c r="G556">
        <v>-369.67599999999999</v>
      </c>
      <c r="H556" s="1">
        <v>-4.2524039999999998E-7</v>
      </c>
      <c r="I556">
        <v>370.75850000000003</v>
      </c>
      <c r="J556">
        <v>-379.2296</v>
      </c>
      <c r="K556">
        <v>1.12042</v>
      </c>
      <c r="L556">
        <v>367.10669999999999</v>
      </c>
      <c r="M556">
        <v>0.99989349999999999</v>
      </c>
      <c r="N556">
        <v>-1.004205E-2</v>
      </c>
      <c r="O556">
        <v>-1.058767E-2</v>
      </c>
      <c r="P556">
        <v>0.98866699999999996</v>
      </c>
      <c r="Q556">
        <v>0.15012510000000001</v>
      </c>
      <c r="R556">
        <v>-3.2695480000000002E-4</v>
      </c>
      <c r="S556">
        <v>3.0931700000000002</v>
      </c>
      <c r="T556">
        <v>-0.35286859999999998</v>
      </c>
      <c r="U556">
        <v>1.1492309999999999</v>
      </c>
      <c r="V556">
        <v>-1.012044E-2</v>
      </c>
      <c r="W556">
        <v>0.16004660000000001</v>
      </c>
      <c r="X556">
        <v>0.98705759999999998</v>
      </c>
      <c r="Y556">
        <v>-0.35590270000000002</v>
      </c>
      <c r="Z556">
        <v>2.250073E-2</v>
      </c>
      <c r="AA556">
        <v>0.93425210000000003</v>
      </c>
      <c r="AB556">
        <v>27</v>
      </c>
      <c r="AC556">
        <v>9.5536000000000101</v>
      </c>
      <c r="AD556">
        <v>-1.12042042524039</v>
      </c>
      <c r="AE556">
        <v>3.6518000000000299</v>
      </c>
      <c r="AF556">
        <v>-3.7082496742189499</v>
      </c>
      <c r="AG556">
        <v>-1.12042042524039</v>
      </c>
      <c r="AH556">
        <v>9.4015742657839301</v>
      </c>
      <c r="AI556">
        <v>96.326075976360301</v>
      </c>
      <c r="AJ556">
        <v>111.52569370253001</v>
      </c>
      <c r="AK556">
        <v>10.168385134852601</v>
      </c>
      <c r="AL556">
        <v>80.7903991393339</v>
      </c>
      <c r="AM556">
        <v>90.587441077931402</v>
      </c>
      <c r="AN556">
        <v>1.00000002159755</v>
      </c>
    </row>
    <row r="557" spans="1:40" x14ac:dyDescent="0.25">
      <c r="A557" t="str">
        <f>"20190303162222863"</f>
        <v>20190303162222863</v>
      </c>
      <c r="B557" t="str">
        <f>"1551601342855012"</f>
        <v>1551601342855012</v>
      </c>
      <c r="C557" t="s">
        <v>40</v>
      </c>
      <c r="D557">
        <v>5.7099970000000004</v>
      </c>
      <c r="E557">
        <v>0.35477579999999997</v>
      </c>
      <c r="F557" t="s">
        <v>41</v>
      </c>
      <c r="G557">
        <v>-369.3997</v>
      </c>
      <c r="H557" s="1">
        <v>-5.5258929999999995E-7</v>
      </c>
      <c r="I557">
        <v>370.79160000000002</v>
      </c>
      <c r="J557">
        <v>-378.9606</v>
      </c>
      <c r="K557">
        <v>1.1204000000000001</v>
      </c>
      <c r="L557">
        <v>367.10379999999998</v>
      </c>
      <c r="M557">
        <v>0.99989269999999997</v>
      </c>
      <c r="N557">
        <v>-1.0080469999999999E-2</v>
      </c>
      <c r="O557">
        <v>-1.0637209999999999E-2</v>
      </c>
      <c r="P557">
        <v>0.98916559999999998</v>
      </c>
      <c r="Q557">
        <v>0.14672689999999999</v>
      </c>
      <c r="R557">
        <v>4.7783349999999999E-3</v>
      </c>
      <c r="S557">
        <v>3.0881959999999999</v>
      </c>
      <c r="T557">
        <v>-0.35199279999999999</v>
      </c>
      <c r="U557">
        <v>1.1576839999999999</v>
      </c>
      <c r="V557">
        <v>-1.528004E-2</v>
      </c>
      <c r="W557">
        <v>0.156692</v>
      </c>
      <c r="X557">
        <v>0.98752930000000005</v>
      </c>
      <c r="Y557">
        <v>-0.35867130000000003</v>
      </c>
      <c r="Z557">
        <v>2.265037E-2</v>
      </c>
      <c r="AA557">
        <v>0.93318909999999999</v>
      </c>
      <c r="AB557">
        <v>27</v>
      </c>
      <c r="AC557">
        <v>9.5609000000000002</v>
      </c>
      <c r="AD557">
        <v>-1.1204005525892999</v>
      </c>
      <c r="AE557">
        <v>3.6878000000000299</v>
      </c>
      <c r="AF557">
        <v>-3.7445356246776398</v>
      </c>
      <c r="AG557">
        <v>-1.1204005525892999</v>
      </c>
      <c r="AH557">
        <v>9.4086580513490592</v>
      </c>
      <c r="AI557">
        <v>96.313601668706298</v>
      </c>
      <c r="AJ557">
        <v>111.70197584359801</v>
      </c>
      <c r="AK557">
        <v>10.1882133256983</v>
      </c>
      <c r="AL557">
        <v>80.9850600067616</v>
      </c>
      <c r="AM557">
        <v>90.886466806989105</v>
      </c>
      <c r="AN557">
        <v>0.99999999042244503</v>
      </c>
    </row>
    <row r="558" spans="1:40" x14ac:dyDescent="0.25">
      <c r="A558" t="str">
        <f>"20190303162222884"</f>
        <v>20190303162222884</v>
      </c>
      <c r="B558" t="str">
        <f>"1551601342874532"</f>
        <v>1551601342874532</v>
      </c>
      <c r="C558" t="s">
        <v>40</v>
      </c>
      <c r="D558">
        <v>5.7228329999999996</v>
      </c>
      <c r="E558">
        <v>0.35555819999999999</v>
      </c>
      <c r="F558" t="s">
        <v>41</v>
      </c>
      <c r="G558">
        <v>-369.43540000000002</v>
      </c>
      <c r="H558" s="1">
        <v>-5.1699429999999995E-7</v>
      </c>
      <c r="I558">
        <v>370.71539999999999</v>
      </c>
      <c r="J558">
        <v>-378.70519999999999</v>
      </c>
      <c r="K558">
        <v>1.1204130000000001</v>
      </c>
      <c r="L558">
        <v>367.10109999999997</v>
      </c>
      <c r="M558">
        <v>0.99989170000000005</v>
      </c>
      <c r="N558">
        <v>-1.012651E-2</v>
      </c>
      <c r="O558">
        <v>-1.0683460000000001E-2</v>
      </c>
      <c r="P558">
        <v>0.98959609999999998</v>
      </c>
      <c r="Q558">
        <v>0.1435911</v>
      </c>
      <c r="R558">
        <v>9.001261E-3</v>
      </c>
      <c r="S558">
        <v>3.0809630000000001</v>
      </c>
      <c r="T558">
        <v>-0.36239359999999998</v>
      </c>
      <c r="U558">
        <v>1.1681820000000001</v>
      </c>
      <c r="V558">
        <v>-1.955339E-2</v>
      </c>
      <c r="W558">
        <v>0.1536061</v>
      </c>
      <c r="X558">
        <v>0.98793869999999895</v>
      </c>
      <c r="Y558">
        <v>-0.36205330000000002</v>
      </c>
      <c r="Z558">
        <v>2.3522129999999999E-2</v>
      </c>
      <c r="AA558">
        <v>0.93186060000000004</v>
      </c>
      <c r="AB558">
        <v>27</v>
      </c>
      <c r="AC558">
        <v>9.2697999999999698</v>
      </c>
      <c r="AD558">
        <v>-1.1204135169942999</v>
      </c>
      <c r="AE558">
        <v>3.6143000000000098</v>
      </c>
      <c r="AF558">
        <v>-3.66663555496589</v>
      </c>
      <c r="AG558">
        <v>-1.1204135169942999</v>
      </c>
      <c r="AH558">
        <v>9.1150671432779795</v>
      </c>
      <c r="AI558">
        <v>96.505800230413001</v>
      </c>
      <c r="AJ558">
        <v>111.912997182076</v>
      </c>
      <c r="AK558">
        <v>9.8885788548440807</v>
      </c>
      <c r="AL558">
        <v>81.1640366242179</v>
      </c>
      <c r="AM558">
        <v>91.133856249308195</v>
      </c>
      <c r="AN558">
        <v>1.0000000219876899</v>
      </c>
    </row>
    <row r="559" spans="1:40" x14ac:dyDescent="0.25">
      <c r="A559" t="str">
        <f>"20190303162222906"</f>
        <v>20190303162222906</v>
      </c>
      <c r="B559" t="str">
        <f>"1551601342895029"</f>
        <v>1551601342895029</v>
      </c>
      <c r="C559" t="s">
        <v>40</v>
      </c>
      <c r="D559">
        <v>5.6820209999999998</v>
      </c>
      <c r="E559">
        <v>0.35615049999999998</v>
      </c>
      <c r="F559" t="s">
        <v>41</v>
      </c>
      <c r="G559">
        <v>-369.4855</v>
      </c>
      <c r="H559" s="1">
        <v>-4.6910529999999999E-7</v>
      </c>
      <c r="I559">
        <v>370.61619999999999</v>
      </c>
      <c r="J559">
        <v>-378.42970000000003</v>
      </c>
      <c r="K559">
        <v>1.1204270000000001</v>
      </c>
      <c r="L559">
        <v>367.09809999999999</v>
      </c>
      <c r="M559">
        <v>0.99989059999999996</v>
      </c>
      <c r="N559">
        <v>-1.0183930000000001E-2</v>
      </c>
      <c r="O559">
        <v>-1.0733110000000001E-2</v>
      </c>
      <c r="P559">
        <v>0.98946710000000004</v>
      </c>
      <c r="Q559">
        <v>0.14427909999999999</v>
      </c>
      <c r="R559">
        <v>1.177458E-2</v>
      </c>
      <c r="S559">
        <v>3.075043</v>
      </c>
      <c r="T559">
        <v>-0.3736873</v>
      </c>
      <c r="U559">
        <v>1.1723939999999999</v>
      </c>
      <c r="V559">
        <v>-2.2374370000000001E-2</v>
      </c>
      <c r="W559">
        <v>0.1543495</v>
      </c>
      <c r="X559">
        <v>0.9877629</v>
      </c>
      <c r="Y559">
        <v>-0.36364010000000002</v>
      </c>
      <c r="Z559">
        <v>2.434745E-2</v>
      </c>
      <c r="AA559">
        <v>0.93122130000000003</v>
      </c>
      <c r="AB559">
        <v>27</v>
      </c>
      <c r="AC559">
        <v>8.9442000000000199</v>
      </c>
      <c r="AD559">
        <v>-1.1204274691053</v>
      </c>
      <c r="AE559">
        <v>3.5181</v>
      </c>
      <c r="AF559">
        <v>-3.5654480515162899</v>
      </c>
      <c r="AG559">
        <v>-1.1204274691053</v>
      </c>
      <c r="AH559">
        <v>8.7865165979715201</v>
      </c>
      <c r="AI559">
        <v>96.738769134807995</v>
      </c>
      <c r="AJ559">
        <v>112.086640177508</v>
      </c>
      <c r="AK559">
        <v>9.54833239094744</v>
      </c>
      <c r="AL559">
        <v>81.120928328946803</v>
      </c>
      <c r="AM559">
        <v>91.2976168504551</v>
      </c>
      <c r="AN559">
        <v>0.99999996359977705</v>
      </c>
    </row>
    <row r="560" spans="1:40" x14ac:dyDescent="0.25">
      <c r="A560" t="str">
        <f>"20190303162222928"</f>
        <v>20190303162222928</v>
      </c>
      <c r="B560" t="str">
        <f>"1551601342925283"</f>
        <v>1551601342925283</v>
      </c>
      <c r="C560" t="s">
        <v>40</v>
      </c>
      <c r="D560">
        <v>5.6929869999999996</v>
      </c>
      <c r="E560">
        <v>0.35715340000000001</v>
      </c>
      <c r="F560" t="s">
        <v>41</v>
      </c>
      <c r="G560">
        <v>-369.2842</v>
      </c>
      <c r="H560" s="1">
        <v>-5.5129580000000003E-7</v>
      </c>
      <c r="I560">
        <v>370.60059999999999</v>
      </c>
      <c r="J560">
        <v>-378.16050000000001</v>
      </c>
      <c r="K560">
        <v>1.120433</v>
      </c>
      <c r="L560">
        <v>367.09519999999998</v>
      </c>
      <c r="M560">
        <v>0.99988929999999998</v>
      </c>
      <c r="N560">
        <v>-1.0254289999999999E-2</v>
      </c>
      <c r="O560">
        <v>-1.078175E-2</v>
      </c>
      <c r="P560">
        <v>0.98978719999999998</v>
      </c>
      <c r="Q560">
        <v>0.14195179999999999</v>
      </c>
      <c r="R560">
        <v>1.30749E-2</v>
      </c>
      <c r="S560">
        <v>3.0728149999999999</v>
      </c>
      <c r="T560">
        <v>-0.37645299999999998</v>
      </c>
      <c r="U560">
        <v>1.1768190000000001</v>
      </c>
      <c r="V560">
        <v>-2.3726509999999999E-2</v>
      </c>
      <c r="W560">
        <v>0.152094799999999</v>
      </c>
      <c r="X560">
        <v>0.98808110000000005</v>
      </c>
      <c r="Y560">
        <v>-0.36502889999999999</v>
      </c>
      <c r="Z560">
        <v>2.4630539999999999E-2</v>
      </c>
      <c r="AA560">
        <v>0.93067029999999995</v>
      </c>
      <c r="AB560">
        <v>27</v>
      </c>
      <c r="AC560">
        <v>8.8763000000000094</v>
      </c>
      <c r="AD560">
        <v>-1.1204335512957999</v>
      </c>
      <c r="AE560">
        <v>3.5053999999999998</v>
      </c>
      <c r="AF560">
        <v>-3.5519443805339801</v>
      </c>
      <c r="AG560">
        <v>-1.1204335512957999</v>
      </c>
      <c r="AH560">
        <v>8.71782383364841</v>
      </c>
      <c r="AI560">
        <v>96.787541537147206</v>
      </c>
      <c r="AJ560">
        <v>112.16768944779101</v>
      </c>
      <c r="AK560">
        <v>9.4800913824606408</v>
      </c>
      <c r="AL560">
        <v>81.251657308248099</v>
      </c>
      <c r="AM560">
        <v>91.3755628854245</v>
      </c>
      <c r="AN560">
        <v>1.00000001782051</v>
      </c>
    </row>
    <row r="561" spans="1:40" x14ac:dyDescent="0.25">
      <c r="A561" t="str">
        <f>"20190303162222950"</f>
        <v>20190303162222950</v>
      </c>
      <c r="B561" t="str">
        <f>"1551601342944804"</f>
        <v>1551601342944804</v>
      </c>
      <c r="C561" t="s">
        <v>40</v>
      </c>
      <c r="D561">
        <v>5.7092269999999896</v>
      </c>
      <c r="E561">
        <v>0.35788690000000001</v>
      </c>
      <c r="F561" t="s">
        <v>41</v>
      </c>
      <c r="G561">
        <v>-369.20769999999999</v>
      </c>
      <c r="H561" s="1">
        <v>-5.6179219999999898E-7</v>
      </c>
      <c r="I561">
        <v>370.51670000000001</v>
      </c>
      <c r="J561">
        <v>-377.88619999999997</v>
      </c>
      <c r="K561">
        <v>1.1204350000000001</v>
      </c>
      <c r="L561">
        <v>367.09219999999999</v>
      </c>
      <c r="M561">
        <v>0.99988779999999999</v>
      </c>
      <c r="N561">
        <v>-1.034442E-2</v>
      </c>
      <c r="O561">
        <v>-1.0831449999999999E-2</v>
      </c>
      <c r="P561">
        <v>0.99017679999999997</v>
      </c>
      <c r="Q561">
        <v>0.1391742</v>
      </c>
      <c r="R561">
        <v>1.3436490000000001E-2</v>
      </c>
      <c r="S561">
        <v>3.070557</v>
      </c>
      <c r="T561">
        <v>-0.38427289999999997</v>
      </c>
      <c r="U561">
        <v>1.173492</v>
      </c>
      <c r="V561">
        <v>-2.414169E-2</v>
      </c>
      <c r="W561">
        <v>0.14941070000000001</v>
      </c>
      <c r="X561">
        <v>0.98848040000000004</v>
      </c>
      <c r="Y561">
        <v>-0.36431550000000001</v>
      </c>
      <c r="Z561">
        <v>2.5095820000000001E-2</v>
      </c>
      <c r="AA561">
        <v>0.93093740000000003</v>
      </c>
      <c r="AB561">
        <v>27</v>
      </c>
      <c r="AC561">
        <v>8.6784999999999801</v>
      </c>
      <c r="AD561">
        <v>-1.1204355617921999</v>
      </c>
      <c r="AE561">
        <v>3.4245000000000201</v>
      </c>
      <c r="AF561">
        <v>-3.46828393304077</v>
      </c>
      <c r="AG561">
        <v>-1.1204355617921999</v>
      </c>
      <c r="AH561">
        <v>8.51804601532241</v>
      </c>
      <c r="AI561">
        <v>96.945846699514604</v>
      </c>
      <c r="AJ561">
        <v>112.154627621491</v>
      </c>
      <c r="AK561">
        <v>9.2650675770588702</v>
      </c>
      <c r="AL561">
        <v>81.4072221633608</v>
      </c>
      <c r="AM561">
        <v>91.399058618843299</v>
      </c>
      <c r="AN561">
        <v>0.99999993982735103</v>
      </c>
    </row>
    <row r="562" spans="1:40" x14ac:dyDescent="0.25">
      <c r="A562" t="str">
        <f>"20190303162222974"</f>
        <v>20190303162222974</v>
      </c>
      <c r="B562" t="str">
        <f>"1551601342965299"</f>
        <v>1551601342965299</v>
      </c>
      <c r="C562" t="s">
        <v>40</v>
      </c>
      <c r="D562">
        <v>5.6931260000000004</v>
      </c>
      <c r="E562">
        <v>0.35844549999999997</v>
      </c>
      <c r="F562" t="s">
        <v>41</v>
      </c>
      <c r="G562">
        <v>-369.1592</v>
      </c>
      <c r="H562" s="1">
        <v>-5.5446920000000002E-7</v>
      </c>
      <c r="I562">
        <v>370.41090000000003</v>
      </c>
      <c r="J562">
        <v>-377.6003</v>
      </c>
      <c r="K562">
        <v>1.1204339999999999</v>
      </c>
      <c r="L562">
        <v>367.08909999999997</v>
      </c>
      <c r="M562">
        <v>0.9998861</v>
      </c>
      <c r="N562">
        <v>-1.0455829999999999E-2</v>
      </c>
      <c r="O562">
        <v>-1.088329E-2</v>
      </c>
      <c r="P562">
        <v>0.990394</v>
      </c>
      <c r="Q562">
        <v>0.13751559999999999</v>
      </c>
      <c r="R562">
        <v>1.4460000000000001E-2</v>
      </c>
      <c r="S562">
        <v>3.0693359999999998</v>
      </c>
      <c r="T562">
        <v>-0.39405970000000001</v>
      </c>
      <c r="U562">
        <v>1.1672359999999999</v>
      </c>
      <c r="V562">
        <v>-2.521897E-2</v>
      </c>
      <c r="W562">
        <v>0.147865</v>
      </c>
      <c r="X562">
        <v>0.98868599999999995</v>
      </c>
      <c r="Y562">
        <v>-0.36269869999999998</v>
      </c>
      <c r="Z562">
        <v>2.5617529999999999E-2</v>
      </c>
      <c r="AA562">
        <v>0.93155429999999995</v>
      </c>
      <c r="AB562">
        <v>27</v>
      </c>
      <c r="AC562">
        <v>8.4411000000000005</v>
      </c>
      <c r="AD562">
        <v>-1.12043455446919</v>
      </c>
      <c r="AE562">
        <v>3.3218000000000498</v>
      </c>
      <c r="AF562">
        <v>-3.3621813452678402</v>
      </c>
      <c r="AG562">
        <v>-1.12043455446919</v>
      </c>
      <c r="AH562">
        <v>8.2781533822926594</v>
      </c>
      <c r="AI562">
        <v>97.147584487939895</v>
      </c>
      <c r="AJ562">
        <v>112.10458578967</v>
      </c>
      <c r="AK562">
        <v>9.0048576007663197</v>
      </c>
      <c r="AL562">
        <v>81.496779868129593</v>
      </c>
      <c r="AM562">
        <v>91.461158841421096</v>
      </c>
      <c r="AN562">
        <v>1.0000000306344199</v>
      </c>
    </row>
    <row r="563" spans="1:40" x14ac:dyDescent="0.25">
      <c r="A563" t="str">
        <f>"20190303162222996"</f>
        <v>20190303162222996</v>
      </c>
      <c r="B563" t="str">
        <f>"1551601342984820"</f>
        <v>1551601342984820</v>
      </c>
      <c r="C563" t="s">
        <v>40</v>
      </c>
      <c r="D563">
        <v>5.6659090000000001</v>
      </c>
      <c r="E563">
        <v>0.358956099999999</v>
      </c>
      <c r="F563" t="s">
        <v>41</v>
      </c>
      <c r="G563">
        <v>-368.98200000000003</v>
      </c>
      <c r="H563" s="1">
        <v>-6.1819869999999895E-7</v>
      </c>
      <c r="I563">
        <v>370.36470000000003</v>
      </c>
      <c r="J563">
        <v>-377.32249999999999</v>
      </c>
      <c r="K563">
        <v>1.1204400000000001</v>
      </c>
      <c r="L563">
        <v>367.08600000000001</v>
      </c>
      <c r="M563">
        <v>0.99988429999999995</v>
      </c>
      <c r="N563">
        <v>-1.057605E-2</v>
      </c>
      <c r="O563">
        <v>-1.093352E-2</v>
      </c>
      <c r="P563">
        <v>0.99075000000000002</v>
      </c>
      <c r="Q563">
        <v>0.13476679999999999</v>
      </c>
      <c r="R563">
        <v>1.588989E-2</v>
      </c>
      <c r="S563">
        <v>3.0674130000000002</v>
      </c>
      <c r="T563">
        <v>-0.39877760000000001</v>
      </c>
      <c r="U563">
        <v>1.165894</v>
      </c>
      <c r="V563">
        <v>-2.6702699999999999E-2</v>
      </c>
      <c r="W563">
        <v>0.1452386</v>
      </c>
      <c r="X563">
        <v>0.98903629999999998</v>
      </c>
      <c r="Y563">
        <v>-0.36251080000000002</v>
      </c>
      <c r="Z563">
        <v>2.5930120000000001E-2</v>
      </c>
      <c r="AA563">
        <v>0.93161879999999997</v>
      </c>
      <c r="AB563">
        <v>27</v>
      </c>
      <c r="AC563">
        <v>8.3405000000000094</v>
      </c>
      <c r="AD563">
        <v>-1.1204406181986999</v>
      </c>
      <c r="AE563">
        <v>3.2787000000000099</v>
      </c>
      <c r="AF563">
        <v>-3.31783890427814</v>
      </c>
      <c r="AG563">
        <v>-1.1204406181986999</v>
      </c>
      <c r="AH563">
        <v>8.1763469942970399</v>
      </c>
      <c r="AI563">
        <v>97.236596260429494</v>
      </c>
      <c r="AJ563">
        <v>112.086575906417</v>
      </c>
      <c r="AK563">
        <v>8.8947227244474192</v>
      </c>
      <c r="AL563">
        <v>81.648904142554102</v>
      </c>
      <c r="AM563">
        <v>91.546536190236907</v>
      </c>
      <c r="AN563">
        <v>1.0000000439174599</v>
      </c>
    </row>
    <row r="564" spans="1:40" x14ac:dyDescent="0.25">
      <c r="A564" t="str">
        <f>"20190303162223018"</f>
        <v>20190303162223018</v>
      </c>
      <c r="B564" t="str">
        <f>"1551601343005316"</f>
        <v>1551601343005316</v>
      </c>
      <c r="C564" t="s">
        <v>40</v>
      </c>
      <c r="D564">
        <v>5.6658839999999904</v>
      </c>
      <c r="E564">
        <v>0.35938009999999998</v>
      </c>
      <c r="F564" t="s">
        <v>41</v>
      </c>
      <c r="G564">
        <v>-368.87139999999999</v>
      </c>
      <c r="H564" s="1">
        <v>-6.4887279999999995E-7</v>
      </c>
      <c r="I564">
        <v>370.30180000000001</v>
      </c>
      <c r="J564">
        <v>-377.05099999999999</v>
      </c>
      <c r="K564">
        <v>1.1204430000000001</v>
      </c>
      <c r="L564">
        <v>367.08300000000003</v>
      </c>
      <c r="M564">
        <v>0.99988250000000001</v>
      </c>
      <c r="N564">
        <v>-1.069866E-2</v>
      </c>
      <c r="O564">
        <v>-1.098317E-2</v>
      </c>
      <c r="P564">
        <v>0.99126139999999996</v>
      </c>
      <c r="Q564">
        <v>0.13088820000000001</v>
      </c>
      <c r="R564">
        <v>1.641281E-2</v>
      </c>
      <c r="S564">
        <v>3.064575</v>
      </c>
      <c r="T564">
        <v>-0.40629569999999998</v>
      </c>
      <c r="U564">
        <v>1.1661379999999999</v>
      </c>
      <c r="V564">
        <v>-2.72803E-2</v>
      </c>
      <c r="W564">
        <v>0.14148740000000001</v>
      </c>
      <c r="X564">
        <v>0.98956409999999995</v>
      </c>
      <c r="Y564">
        <v>-0.36278939999999998</v>
      </c>
      <c r="Z564">
        <v>2.6448159999999998E-2</v>
      </c>
      <c r="AA564">
        <v>0.93149579999999998</v>
      </c>
      <c r="AB564">
        <v>27</v>
      </c>
      <c r="AC564">
        <v>8.17959999999999</v>
      </c>
      <c r="AD564">
        <v>-1.1204436488728</v>
      </c>
      <c r="AE564">
        <v>3.2187999999999799</v>
      </c>
      <c r="AF564">
        <v>-3.2555540362158299</v>
      </c>
      <c r="AG564">
        <v>-1.1204436488728</v>
      </c>
      <c r="AH564">
        <v>8.0135511294289792</v>
      </c>
      <c r="AI564">
        <v>97.380823590685196</v>
      </c>
      <c r="AJ564">
        <v>112.10974838103699</v>
      </c>
      <c r="AK564">
        <v>8.7218706569745201</v>
      </c>
      <c r="AL564">
        <v>81.866075210455904</v>
      </c>
      <c r="AM564">
        <v>91.579129907337403</v>
      </c>
      <c r="AN564">
        <v>1.00000000356782</v>
      </c>
    </row>
    <row r="565" spans="1:40" x14ac:dyDescent="0.25">
      <c r="A565" t="str">
        <f>"20190303162223040"</f>
        <v>20190303162223040</v>
      </c>
      <c r="B565" t="str">
        <f>"1551601343034596"</f>
        <v>1551601343034596</v>
      </c>
      <c r="C565" t="s">
        <v>40</v>
      </c>
      <c r="D565">
        <v>5.7867119999999996</v>
      </c>
      <c r="E565">
        <v>0.36159859999999999</v>
      </c>
      <c r="F565" t="s">
        <v>41</v>
      </c>
      <c r="G565">
        <v>-368.79079999999999</v>
      </c>
      <c r="H565" s="1">
        <v>-6.6159290000000002E-7</v>
      </c>
      <c r="I565">
        <v>370.21960000000001</v>
      </c>
      <c r="J565">
        <v>-376.78809999999999</v>
      </c>
      <c r="K565">
        <v>1.1204559999999999</v>
      </c>
      <c r="L565">
        <v>367.08</v>
      </c>
      <c r="M565">
        <v>0.99988069999999896</v>
      </c>
      <c r="N565">
        <v>-1.082259E-2</v>
      </c>
      <c r="O565">
        <v>-1.103141E-2</v>
      </c>
      <c r="P565">
        <v>0.99158630000000003</v>
      </c>
      <c r="Q565">
        <v>0.12863730000000001</v>
      </c>
      <c r="R565">
        <v>1.447183E-2</v>
      </c>
      <c r="S565">
        <v>3.0620419999999999</v>
      </c>
      <c r="T565">
        <v>-0.41534159999999998</v>
      </c>
      <c r="U565">
        <v>1.16275</v>
      </c>
      <c r="V565">
        <v>-2.5391569999999999E-2</v>
      </c>
      <c r="W565">
        <v>0.1393624</v>
      </c>
      <c r="X565">
        <v>0.98991580000000001</v>
      </c>
      <c r="Y565">
        <v>-0.36205349999999997</v>
      </c>
      <c r="Z565">
        <v>2.6989989999999998E-2</v>
      </c>
      <c r="AA565">
        <v>0.93176650000000005</v>
      </c>
      <c r="AB565">
        <v>27</v>
      </c>
      <c r="AC565">
        <v>7.9972999999999903</v>
      </c>
      <c r="AD565">
        <v>-1.1204566615928999</v>
      </c>
      <c r="AE565">
        <v>3.1396000000000299</v>
      </c>
      <c r="AF565">
        <v>-3.1736581684543199</v>
      </c>
      <c r="AG565">
        <v>-1.1204566615928999</v>
      </c>
      <c r="AH565">
        <v>7.8290214703019601</v>
      </c>
      <c r="AI565">
        <v>97.555193110369402</v>
      </c>
      <c r="AJ565">
        <v>112.066205922216</v>
      </c>
      <c r="AK565">
        <v>8.5218018331309402</v>
      </c>
      <c r="AL565">
        <v>81.989046829214004</v>
      </c>
      <c r="AM565">
        <v>91.469327857223405</v>
      </c>
      <c r="AN565">
        <v>0.99999995072523096</v>
      </c>
    </row>
    <row r="566" spans="1:40" x14ac:dyDescent="0.25">
      <c r="A566" t="str">
        <f>"20190303162223063"</f>
        <v>20190303162223063</v>
      </c>
      <c r="B566" t="str">
        <f>"1551601343055092"</f>
        <v>1551601343055092</v>
      </c>
      <c r="C566" t="s">
        <v>40</v>
      </c>
      <c r="D566">
        <v>5.613918</v>
      </c>
      <c r="E566">
        <v>0.42979260000000002</v>
      </c>
      <c r="F566" t="s">
        <v>41</v>
      </c>
      <c r="G566">
        <v>-368.41860000000003</v>
      </c>
      <c r="H566" s="1">
        <v>-8.142578E-7</v>
      </c>
      <c r="I566">
        <v>370.19330000000002</v>
      </c>
      <c r="J566">
        <v>-376.50170000000003</v>
      </c>
      <c r="K566">
        <v>1.1204750000000001</v>
      </c>
      <c r="L566">
        <v>367.07679999999999</v>
      </c>
      <c r="M566">
        <v>0.9998785</v>
      </c>
      <c r="N566">
        <v>-1.096461E-2</v>
      </c>
      <c r="O566">
        <v>-1.1086439999999999E-2</v>
      </c>
      <c r="P566">
        <v>0.99165230000000004</v>
      </c>
      <c r="Q566">
        <v>0.12839320000000001</v>
      </c>
      <c r="R566">
        <v>1.1886000000000001E-2</v>
      </c>
      <c r="S566">
        <v>3.0620120000000002</v>
      </c>
      <c r="T566">
        <v>-0.40992139999999999</v>
      </c>
      <c r="U566">
        <v>1.139038</v>
      </c>
      <c r="V566">
        <v>-2.2860330000000002E-2</v>
      </c>
      <c r="W566">
        <v>0.13925950000000001</v>
      </c>
      <c r="X566">
        <v>0.98999199999999998</v>
      </c>
      <c r="Y566">
        <v>-0.35589769999999998</v>
      </c>
      <c r="Z566">
        <v>2.6294660000000001E-2</v>
      </c>
      <c r="AA566">
        <v>0.93415490000000001</v>
      </c>
      <c r="AB566">
        <v>27</v>
      </c>
      <c r="AC566">
        <v>8.0831</v>
      </c>
      <c r="AD566">
        <v>-1.1204758142578</v>
      </c>
      <c r="AE566">
        <v>3.11650000000003</v>
      </c>
      <c r="AF566">
        <v>-3.1531783701192602</v>
      </c>
      <c r="AG566">
        <v>-1.1204758142578</v>
      </c>
      <c r="AH566">
        <v>7.9156327577302603</v>
      </c>
      <c r="AI566">
        <v>97.491566312313196</v>
      </c>
      <c r="AJ566">
        <v>111.71977776152499</v>
      </c>
      <c r="AK566">
        <v>8.5939072510341301</v>
      </c>
      <c r="AL566">
        <v>81.995000870873895</v>
      </c>
      <c r="AM566">
        <v>91.322806346291898</v>
      </c>
      <c r="AN566">
        <v>0.99999998154597902</v>
      </c>
    </row>
    <row r="567" spans="1:40" x14ac:dyDescent="0.25">
      <c r="A567" t="str">
        <f>"20190303162223085"</f>
        <v>20190303162223085</v>
      </c>
      <c r="B567" t="str">
        <f>"1551601343074612"</f>
        <v>1551601343074612</v>
      </c>
      <c r="C567" t="s">
        <v>40</v>
      </c>
      <c r="D567">
        <v>5.5520050000000003</v>
      </c>
      <c r="E567">
        <v>0.43511509999999998</v>
      </c>
      <c r="F567" t="s">
        <v>41</v>
      </c>
      <c r="G567">
        <v>-362.5566</v>
      </c>
      <c r="H567" s="1">
        <v>-3.216691E-6</v>
      </c>
      <c r="I567">
        <v>369.77109999999999</v>
      </c>
      <c r="J567">
        <v>-376.24209999999999</v>
      </c>
      <c r="K567">
        <v>1.1204889999999901</v>
      </c>
      <c r="L567">
        <v>367.07389999999998</v>
      </c>
      <c r="M567">
        <v>0.99987649999999995</v>
      </c>
      <c r="N567">
        <v>-1.10975E-2</v>
      </c>
      <c r="O567">
        <v>-1.1138459999999999E-2</v>
      </c>
      <c r="P567">
        <v>0.99168369999999995</v>
      </c>
      <c r="Q567">
        <v>0.1282893</v>
      </c>
      <c r="R567">
        <v>1.0286E-2</v>
      </c>
      <c r="S567">
        <v>3.0499269999999998</v>
      </c>
      <c r="T567">
        <v>-0.24505840000000001</v>
      </c>
      <c r="U567">
        <v>0.5892944</v>
      </c>
      <c r="V567">
        <v>-2.131185E-2</v>
      </c>
      <c r="W567">
        <v>0.13928779999999999</v>
      </c>
      <c r="X567">
        <v>0.99002259999999997</v>
      </c>
      <c r="Y567">
        <v>-0.19989660000000001</v>
      </c>
      <c r="Z567">
        <v>9.8293570000000004E-3</v>
      </c>
      <c r="AA567">
        <v>0.97976770000000002</v>
      </c>
      <c r="AB567">
        <v>27</v>
      </c>
      <c r="AC567">
        <v>13.6854999999999</v>
      </c>
      <c r="AD567">
        <v>-1.1204922166910001</v>
      </c>
      <c r="AE567">
        <v>2.6972</v>
      </c>
      <c r="AF567">
        <v>-2.83120826520376</v>
      </c>
      <c r="AG567">
        <v>-1.1204922166910001</v>
      </c>
      <c r="AH567">
        <v>13.5670611866343</v>
      </c>
      <c r="AI567">
        <v>94.622169177080096</v>
      </c>
      <c r="AJ567">
        <v>101.78746126137401</v>
      </c>
      <c r="AK567">
        <v>13.9045457419688</v>
      </c>
      <c r="AL567">
        <v>81.993363730298597</v>
      </c>
      <c r="AM567">
        <v>91.233194572267195</v>
      </c>
      <c r="AN567">
        <v>1.0000000173450101</v>
      </c>
    </row>
    <row r="568" spans="1:40" x14ac:dyDescent="0.25">
      <c r="A568" t="str">
        <f>"20190303162223106"</f>
        <v>20190303162223106</v>
      </c>
      <c r="B568" t="str">
        <f>"1551601343095108"</f>
        <v>1551601343095108</v>
      </c>
      <c r="C568" t="s">
        <v>40</v>
      </c>
      <c r="D568">
        <v>5.4960329999999997</v>
      </c>
      <c r="E568">
        <v>0.4369652</v>
      </c>
      <c r="F568" t="s">
        <v>41</v>
      </c>
      <c r="G568">
        <v>-360.79590000000002</v>
      </c>
      <c r="H568" s="1">
        <v>-3.9851859999999996E-6</v>
      </c>
      <c r="I568">
        <v>369.82040000000001</v>
      </c>
      <c r="J568">
        <v>-375.97199999999998</v>
      </c>
      <c r="K568">
        <v>1.1204989999999999</v>
      </c>
      <c r="L568">
        <v>367.07069999999999</v>
      </c>
      <c r="M568">
        <v>0.99987440000000005</v>
      </c>
      <c r="N568">
        <v>-1.1233750000000001E-2</v>
      </c>
      <c r="O568">
        <v>-1.1189050000000001E-2</v>
      </c>
      <c r="P568">
        <v>0.99181189999999997</v>
      </c>
      <c r="Q568">
        <v>0.12739639999999999</v>
      </c>
      <c r="R568">
        <v>8.9047369999999994E-3</v>
      </c>
      <c r="S568">
        <v>3.0481569999999998</v>
      </c>
      <c r="T568">
        <v>-0.2211167</v>
      </c>
      <c r="U568">
        <v>0.54202269999999997</v>
      </c>
      <c r="V568">
        <v>-1.998223E-2</v>
      </c>
      <c r="W568">
        <v>0.1385313</v>
      </c>
      <c r="X568">
        <v>0.99015640000000005</v>
      </c>
      <c r="Y568">
        <v>-0.18551110000000001</v>
      </c>
      <c r="Z568">
        <v>8.3992870000000001E-3</v>
      </c>
      <c r="AA568">
        <v>0.98260630000000004</v>
      </c>
      <c r="AB568">
        <v>27</v>
      </c>
      <c r="AC568">
        <v>15.1760999999999</v>
      </c>
      <c r="AD568">
        <v>-1.120502985186</v>
      </c>
      <c r="AE568">
        <v>2.74970000000001</v>
      </c>
      <c r="AF568">
        <v>-2.9040170007303598</v>
      </c>
      <c r="AG568">
        <v>-1.120502985186</v>
      </c>
      <c r="AH568">
        <v>15.0648675425316</v>
      </c>
      <c r="AI568">
        <v>94.177122444833302</v>
      </c>
      <c r="AJ568">
        <v>100.910930912952</v>
      </c>
      <c r="AK568">
        <v>15.383077577466899</v>
      </c>
      <c r="AL568">
        <v>82.037131809696305</v>
      </c>
      <c r="AM568">
        <v>91.156122462596599</v>
      </c>
      <c r="AN568">
        <v>0.99999995352821003</v>
      </c>
    </row>
    <row r="569" spans="1:40" x14ac:dyDescent="0.25">
      <c r="A569" t="str">
        <f>"20190303162223132"</f>
        <v>20190303162223132</v>
      </c>
      <c r="B569" t="str">
        <f>"1551601343124388"</f>
        <v>1551601343124388</v>
      </c>
      <c r="C569" t="s">
        <v>40</v>
      </c>
      <c r="D569">
        <v>5.4246919999999896</v>
      </c>
      <c r="E569">
        <v>0.43691809999999998</v>
      </c>
      <c r="F569" t="s">
        <v>41</v>
      </c>
      <c r="G569">
        <v>-359.90949999999998</v>
      </c>
      <c r="H569" s="1">
        <v>-7.6662169999999996E-8</v>
      </c>
      <c r="I569">
        <v>369.82490000000001</v>
      </c>
      <c r="J569">
        <v>-375.65989999999999</v>
      </c>
      <c r="K569">
        <v>1.1205130000000001</v>
      </c>
      <c r="L569">
        <v>367.06720000000001</v>
      </c>
      <c r="M569">
        <v>0.99987199999999998</v>
      </c>
      <c r="N569">
        <v>-1.138866E-2</v>
      </c>
      <c r="O569">
        <v>-1.124416E-2</v>
      </c>
      <c r="P569">
        <v>0.9921008</v>
      </c>
      <c r="Q569">
        <v>0.12520580000000001</v>
      </c>
      <c r="R569">
        <v>7.7240499999999997E-3</v>
      </c>
      <c r="S569">
        <v>3.0473629999999998</v>
      </c>
      <c r="T569">
        <v>-0.21257880000000001</v>
      </c>
      <c r="U569">
        <v>0.52252200000000004</v>
      </c>
      <c r="V569">
        <v>-1.8860120000000001E-2</v>
      </c>
      <c r="W569">
        <v>0.1364976</v>
      </c>
      <c r="X569">
        <v>0.99046089999999998</v>
      </c>
      <c r="Y569">
        <v>-0.17955929999999901</v>
      </c>
      <c r="Z569">
        <v>7.8924019999999998E-3</v>
      </c>
      <c r="AA569">
        <v>0.98371549999999996</v>
      </c>
      <c r="AB569">
        <v>27</v>
      </c>
      <c r="AC569">
        <v>15.750400000000001</v>
      </c>
      <c r="AD569">
        <v>-1.12051307666216</v>
      </c>
      <c r="AE569">
        <v>2.7576999999999998</v>
      </c>
      <c r="AF569">
        <v>-2.9202966409135902</v>
      </c>
      <c r="AG569">
        <v>-1.12051307666216</v>
      </c>
      <c r="AH569">
        <v>15.641584130579099</v>
      </c>
      <c r="AI569">
        <v>94.028118768260796</v>
      </c>
      <c r="AJ569">
        <v>100.575414563582</v>
      </c>
      <c r="AK569">
        <v>15.951264405679099</v>
      </c>
      <c r="AL569">
        <v>82.154772607806294</v>
      </c>
      <c r="AM569">
        <v>91.090880720721998</v>
      </c>
      <c r="AN569">
        <v>1.0000000466804899</v>
      </c>
    </row>
    <row r="570" spans="1:40" x14ac:dyDescent="0.25">
      <c r="A570" t="str">
        <f>"20190303162223152"</f>
        <v>20190303162223152</v>
      </c>
      <c r="B570" t="str">
        <f>"1551601343144884"</f>
        <v>1551601343144884</v>
      </c>
      <c r="C570" t="s">
        <v>40</v>
      </c>
      <c r="D570">
        <v>5.4057909999999998</v>
      </c>
      <c r="E570">
        <v>0.4365868</v>
      </c>
      <c r="F570" t="s">
        <v>41</v>
      </c>
      <c r="G570">
        <v>-359.6259</v>
      </c>
      <c r="H570" s="1">
        <v>-1.9234059999999999E-7</v>
      </c>
      <c r="I570">
        <v>369.80239999999998</v>
      </c>
      <c r="J570">
        <v>-375.4101</v>
      </c>
      <c r="K570">
        <v>1.120528</v>
      </c>
      <c r="L570">
        <v>367.0643</v>
      </c>
      <c r="M570">
        <v>0.99987000000000004</v>
      </c>
      <c r="N570">
        <v>-1.151836E-2</v>
      </c>
      <c r="O570">
        <v>-1.1284000000000001E-2</v>
      </c>
      <c r="P570">
        <v>0.99217650000000002</v>
      </c>
      <c r="Q570">
        <v>0.12468079999999999</v>
      </c>
      <c r="R570">
        <v>6.3581979999999998E-3</v>
      </c>
      <c r="S570">
        <v>3.0467219999999999</v>
      </c>
      <c r="T570">
        <v>-0.21291450000000001</v>
      </c>
      <c r="U570">
        <v>0.51974489999999995</v>
      </c>
      <c r="V570">
        <v>-1.7534879999999999E-2</v>
      </c>
      <c r="W570">
        <v>0.13610169999999999</v>
      </c>
      <c r="X570">
        <v>0.99053970000000002</v>
      </c>
      <c r="Y570">
        <v>-0.17876129999999901</v>
      </c>
      <c r="Z570">
        <v>7.8856350000000002E-3</v>
      </c>
      <c r="AA570">
        <v>0.98386090000000004</v>
      </c>
      <c r="AB570">
        <v>27</v>
      </c>
      <c r="AC570">
        <v>15.784199999999901</v>
      </c>
      <c r="AD570">
        <v>-1.1205281923406001</v>
      </c>
      <c r="AE570">
        <v>2.73809999999997</v>
      </c>
      <c r="AF570">
        <v>-2.90184929408059</v>
      </c>
      <c r="AG570">
        <v>-1.1205281923406001</v>
      </c>
      <c r="AH570">
        <v>15.6756044263729</v>
      </c>
      <c r="AI570">
        <v>94.020598479454094</v>
      </c>
      <c r="AJ570">
        <v>100.487800245587</v>
      </c>
      <c r="AK570">
        <v>15.9812667485249</v>
      </c>
      <c r="AL570">
        <v>82.177669487430904</v>
      </c>
      <c r="AM570">
        <v>91.014163987541195</v>
      </c>
      <c r="AN570">
        <v>1.00000002101779</v>
      </c>
    </row>
    <row r="571" spans="1:40" x14ac:dyDescent="0.25">
      <c r="A571" t="str">
        <f>"20190303162223176"</f>
        <v>20190303162223176</v>
      </c>
      <c r="B571" t="str">
        <f>"1551601343164403"</f>
        <v>1551601343164403</v>
      </c>
      <c r="C571" t="s">
        <v>40</v>
      </c>
      <c r="D571">
        <v>5.346482</v>
      </c>
      <c r="E571">
        <v>0.436558</v>
      </c>
      <c r="F571" t="s">
        <v>41</v>
      </c>
      <c r="G571">
        <v>-359.18150000000003</v>
      </c>
      <c r="H571" s="1">
        <v>-3.8940820000000003E-7</v>
      </c>
      <c r="I571">
        <v>369.82670000000002</v>
      </c>
      <c r="J571">
        <v>-375.12400000000002</v>
      </c>
      <c r="K571">
        <v>1.1205590000000001</v>
      </c>
      <c r="L571">
        <v>367.06099999999998</v>
      </c>
      <c r="M571">
        <v>0.99986759999999997</v>
      </c>
      <c r="N571">
        <v>-1.168552E-2</v>
      </c>
      <c r="O571">
        <v>-1.1329880000000001E-2</v>
      </c>
      <c r="P571">
        <v>0.99198969999999997</v>
      </c>
      <c r="Q571">
        <v>0.1262009</v>
      </c>
      <c r="R571">
        <v>5.4518839999999997E-3</v>
      </c>
      <c r="S571">
        <v>3.046783</v>
      </c>
      <c r="T571">
        <v>-0.2103691</v>
      </c>
      <c r="U571">
        <v>0.51861570000000001</v>
      </c>
      <c r="V571">
        <v>-1.667273E-2</v>
      </c>
      <c r="W571">
        <v>0.1377852</v>
      </c>
      <c r="X571">
        <v>0.99032180000000003</v>
      </c>
      <c r="Y571">
        <v>-0.17846020000000001</v>
      </c>
      <c r="Z571">
        <v>7.8061629999999996E-3</v>
      </c>
      <c r="AA571">
        <v>0.98391620000000002</v>
      </c>
      <c r="AB571">
        <v>27</v>
      </c>
      <c r="AC571">
        <v>15.9424999999999</v>
      </c>
      <c r="AD571">
        <v>-1.1205593894082</v>
      </c>
      <c r="AE571">
        <v>2.76570000000003</v>
      </c>
      <c r="AF571">
        <v>-2.93209903342242</v>
      </c>
      <c r="AG571">
        <v>-1.1205593894082</v>
      </c>
      <c r="AH571">
        <v>15.8341985216693</v>
      </c>
      <c r="AI571">
        <v>93.980529076134999</v>
      </c>
      <c r="AJ571">
        <v>100.490917417899</v>
      </c>
      <c r="AK571">
        <v>16.142326378518799</v>
      </c>
      <c r="AL571">
        <v>82.080294518743699</v>
      </c>
      <c r="AM571">
        <v>90.964521656304001</v>
      </c>
      <c r="AN571">
        <v>1.00000000440996</v>
      </c>
    </row>
    <row r="572" spans="1:40" x14ac:dyDescent="0.25">
      <c r="A572" t="str">
        <f>"20190303162223198"</f>
        <v>20190303162223198</v>
      </c>
      <c r="B572" t="str">
        <f>"1551601343184900"</f>
        <v>1551601343184900</v>
      </c>
      <c r="C572" t="s">
        <v>40</v>
      </c>
      <c r="D572">
        <v>5.3319900000000002</v>
      </c>
      <c r="E572">
        <v>0.4365581</v>
      </c>
      <c r="F572" t="s">
        <v>41</v>
      </c>
      <c r="G572">
        <v>-358.0299</v>
      </c>
      <c r="H572" s="1">
        <v>-9.1786100000000002E-7</v>
      </c>
      <c r="I572">
        <v>369.95600000000002</v>
      </c>
      <c r="J572">
        <v>-374.84800000000001</v>
      </c>
      <c r="K572">
        <v>1.1205969999999901</v>
      </c>
      <c r="L572">
        <v>367.05779999999999</v>
      </c>
      <c r="M572">
        <v>0.9998648</v>
      </c>
      <c r="N572">
        <v>-1.187379E-2</v>
      </c>
      <c r="O572">
        <v>-1.1380990000000001E-2</v>
      </c>
      <c r="P572">
        <v>0.99189340000000004</v>
      </c>
      <c r="Q572">
        <v>0.12700319999999901</v>
      </c>
      <c r="R572">
        <v>4.2211280000000002E-3</v>
      </c>
      <c r="S572">
        <v>3.046783</v>
      </c>
      <c r="T572">
        <v>-0.19972309999999999</v>
      </c>
      <c r="U572">
        <v>0.51599119999999998</v>
      </c>
      <c r="V572">
        <v>-1.5492850000000001E-2</v>
      </c>
      <c r="W572">
        <v>0.13877220000000001</v>
      </c>
      <c r="X572">
        <v>0.9902031</v>
      </c>
      <c r="Y572">
        <v>-0.1777338</v>
      </c>
      <c r="Z572">
        <v>7.448273E-3</v>
      </c>
      <c r="AA572">
        <v>0.98405039999999999</v>
      </c>
      <c r="AB572">
        <v>27</v>
      </c>
      <c r="AC572">
        <v>16.818100000000001</v>
      </c>
      <c r="AD572">
        <v>-1.1205979178609999</v>
      </c>
      <c r="AE572">
        <v>2.8981999999999699</v>
      </c>
      <c r="AF572">
        <v>-3.0761692254413702</v>
      </c>
      <c r="AG572">
        <v>-1.1205979178609999</v>
      </c>
      <c r="AH572">
        <v>16.711968889287402</v>
      </c>
      <c r="AI572">
        <v>93.7729497815467</v>
      </c>
      <c r="AJ572">
        <v>100.42967826548799</v>
      </c>
      <c r="AK572">
        <v>17.029634786265198</v>
      </c>
      <c r="AL572">
        <v>82.023194736074402</v>
      </c>
      <c r="AM572">
        <v>90.896384280710194</v>
      </c>
      <c r="AN572">
        <v>0.99999996557178505</v>
      </c>
    </row>
    <row r="573" spans="1:40" x14ac:dyDescent="0.25">
      <c r="A573" t="str">
        <f>"20190303162223221"</f>
        <v>20190303162223221</v>
      </c>
      <c r="B573" t="str">
        <f>"1551601343215156"</f>
        <v>1551601343215156</v>
      </c>
      <c r="C573" t="s">
        <v>40</v>
      </c>
      <c r="D573">
        <v>5.3369730000000004</v>
      </c>
      <c r="E573">
        <v>0.4364441</v>
      </c>
      <c r="F573" t="s">
        <v>41</v>
      </c>
      <c r="G573">
        <v>-357.12699999999899</v>
      </c>
      <c r="H573" s="1">
        <v>-1.3278659999999999E-6</v>
      </c>
      <c r="I573">
        <v>370.04109999999997</v>
      </c>
      <c r="J573">
        <v>-374.5652</v>
      </c>
      <c r="K573">
        <v>1.120628</v>
      </c>
      <c r="L573">
        <v>367.05450000000002</v>
      </c>
      <c r="M573">
        <v>0.99986160000000002</v>
      </c>
      <c r="N573">
        <v>-1.209209E-2</v>
      </c>
      <c r="O573">
        <v>-1.143624E-2</v>
      </c>
      <c r="P573">
        <v>0.9920177</v>
      </c>
      <c r="Q573">
        <v>0.12605379999999999</v>
      </c>
      <c r="R573">
        <v>3.3657470000000001E-3</v>
      </c>
      <c r="S573">
        <v>3.0469360000000001</v>
      </c>
      <c r="T573">
        <v>-0.19267319999999999</v>
      </c>
      <c r="U573">
        <v>0.51293949999999999</v>
      </c>
      <c r="V573">
        <v>-1.469498E-2</v>
      </c>
      <c r="W573">
        <v>0.13804069999999999</v>
      </c>
      <c r="X573">
        <v>0.99031749999999996</v>
      </c>
      <c r="Y573">
        <v>-0.17685200000000001</v>
      </c>
      <c r="Z573">
        <v>7.2055299999999999E-3</v>
      </c>
      <c r="AA573">
        <v>0.98421110000000001</v>
      </c>
      <c r="AB573">
        <v>27</v>
      </c>
      <c r="AC573">
        <v>17.438199999999998</v>
      </c>
      <c r="AD573">
        <v>-1.120629327866</v>
      </c>
      <c r="AE573">
        <v>2.98659999999995</v>
      </c>
      <c r="AF573">
        <v>-3.1731160008207602</v>
      </c>
      <c r="AG573">
        <v>-1.120629327866</v>
      </c>
      <c r="AH573">
        <v>17.333359399756802</v>
      </c>
      <c r="AI573">
        <v>93.638811565147094</v>
      </c>
      <c r="AJ573">
        <v>100.373933311222</v>
      </c>
      <c r="AK573">
        <v>17.657004936462901</v>
      </c>
      <c r="AL573">
        <v>82.065513889419407</v>
      </c>
      <c r="AM573">
        <v>90.850129929360307</v>
      </c>
      <c r="AN573">
        <v>0.99999996404996905</v>
      </c>
    </row>
    <row r="574" spans="1:40" x14ac:dyDescent="0.25">
      <c r="A574" t="str">
        <f>"20190303162223244"</f>
        <v>20190303162223244</v>
      </c>
      <c r="B574" t="str">
        <f>"1551601343234676"</f>
        <v>1551601343234676</v>
      </c>
      <c r="C574" t="s">
        <v>40</v>
      </c>
      <c r="D574">
        <v>5.3237819999999996</v>
      </c>
      <c r="E574">
        <v>0.43640970000000001</v>
      </c>
      <c r="F574" t="s">
        <v>41</v>
      </c>
      <c r="G574">
        <v>-356.70870000000002</v>
      </c>
      <c r="H574" s="1">
        <v>-1.5098830000000001E-6</v>
      </c>
      <c r="I574">
        <v>370.05079999999998</v>
      </c>
      <c r="J574">
        <v>-374.29730000000001</v>
      </c>
      <c r="K574">
        <v>1.1206609999999999</v>
      </c>
      <c r="L574">
        <v>367.0514</v>
      </c>
      <c r="M574">
        <v>0.99985829999999998</v>
      </c>
      <c r="N574">
        <v>-1.2315990000000001E-2</v>
      </c>
      <c r="O574">
        <v>-1.148718E-2</v>
      </c>
      <c r="P574">
        <v>0.9920755</v>
      </c>
      <c r="Q574">
        <v>0.1256254</v>
      </c>
      <c r="R574">
        <v>2.1279820000000001E-3</v>
      </c>
      <c r="S574">
        <v>3.0466609999999998</v>
      </c>
      <c r="T574">
        <v>-0.1911998</v>
      </c>
      <c r="U574">
        <v>0.51123050000000003</v>
      </c>
      <c r="V574">
        <v>-1.3509149999999999E-2</v>
      </c>
      <c r="W574">
        <v>0.1378347</v>
      </c>
      <c r="X574">
        <v>0.99036310000000005</v>
      </c>
      <c r="Y574">
        <v>-0.1763856</v>
      </c>
      <c r="Z574">
        <v>7.1610390000000001E-3</v>
      </c>
      <c r="AA574">
        <v>0.98429509999999998</v>
      </c>
      <c r="AB574">
        <v>27</v>
      </c>
      <c r="AC574">
        <v>17.5885999999999</v>
      </c>
      <c r="AD574">
        <v>-1.1206625098829901</v>
      </c>
      <c r="AE574">
        <v>2.9993999999999699</v>
      </c>
      <c r="AF574">
        <v>-3.1886817043137401</v>
      </c>
      <c r="AG574">
        <v>-1.1206625098829901</v>
      </c>
      <c r="AH574">
        <v>17.4840091416444</v>
      </c>
      <c r="AI574">
        <v>93.608084846652702</v>
      </c>
      <c r="AJ574">
        <v>100.335838572463</v>
      </c>
      <c r="AK574">
        <v>17.807699209543902</v>
      </c>
      <c r="AL574">
        <v>82.077430907704098</v>
      </c>
      <c r="AM574">
        <v>90.781500521429194</v>
      </c>
      <c r="AN574">
        <v>0.99999998574971105</v>
      </c>
    </row>
    <row r="575" spans="1:40" x14ac:dyDescent="0.25">
      <c r="A575" t="str">
        <f>"20190303162223265"</f>
        <v>20190303162223265</v>
      </c>
      <c r="B575" t="str">
        <f>"1551601343255276"</f>
        <v>1551601343255276</v>
      </c>
      <c r="C575" t="s">
        <v>40</v>
      </c>
      <c r="D575">
        <v>5.3412220000000001</v>
      </c>
      <c r="E575">
        <v>0.43624239999999997</v>
      </c>
      <c r="F575" t="s">
        <v>41</v>
      </c>
      <c r="G575">
        <v>-356.34140000000002</v>
      </c>
      <c r="H575" s="1">
        <v>-1.6658950000000001E-6</v>
      </c>
      <c r="I575">
        <v>370.04500000000002</v>
      </c>
      <c r="J575">
        <v>-374.03879999999998</v>
      </c>
      <c r="K575">
        <v>1.1206910000000001</v>
      </c>
      <c r="L575">
        <v>367.04840000000002</v>
      </c>
      <c r="M575">
        <v>0.99985480000000004</v>
      </c>
      <c r="N575">
        <v>-1.254576E-2</v>
      </c>
      <c r="O575">
        <v>-1.153296E-2</v>
      </c>
      <c r="P575">
        <v>0.9922202</v>
      </c>
      <c r="Q575">
        <v>0.1244967</v>
      </c>
      <c r="R575">
        <v>-1.477832E-4</v>
      </c>
      <c r="S575">
        <v>3.0469970000000002</v>
      </c>
      <c r="T575">
        <v>-0.19016849999999999</v>
      </c>
      <c r="U575">
        <v>0.50799559999999999</v>
      </c>
      <c r="V575">
        <v>-1.1280139999999999E-2</v>
      </c>
      <c r="W575">
        <v>0.13693549999999999</v>
      </c>
      <c r="X575">
        <v>0.99051579999999995</v>
      </c>
      <c r="Y575">
        <v>-0.17540159999999999</v>
      </c>
      <c r="Z575">
        <v>7.1107610000000002E-3</v>
      </c>
      <c r="AA575">
        <v>0.98447130000000005</v>
      </c>
      <c r="AB575">
        <v>27</v>
      </c>
      <c r="AC575">
        <v>17.697399999999899</v>
      </c>
      <c r="AD575">
        <v>-1.1206926658949901</v>
      </c>
      <c r="AE575">
        <v>2.9965999999999999</v>
      </c>
      <c r="AF575">
        <v>-3.1880919324149199</v>
      </c>
      <c r="AG575">
        <v>-1.1206926658949901</v>
      </c>
      <c r="AH575">
        <v>17.593076944906802</v>
      </c>
      <c r="AI575">
        <v>93.5866041920154</v>
      </c>
      <c r="AJ575">
        <v>100.27127079742</v>
      </c>
      <c r="AK575">
        <v>17.914693371931602</v>
      </c>
      <c r="AL575">
        <v>82.129445082112596</v>
      </c>
      <c r="AM575">
        <v>90.652464581354195</v>
      </c>
      <c r="AN575">
        <v>1.00000006138415</v>
      </c>
    </row>
    <row r="576" spans="1:40" x14ac:dyDescent="0.25">
      <c r="A576" t="str">
        <f>"20190303162223278"</f>
        <v>20190303162223278</v>
      </c>
      <c r="B576" t="str">
        <f>"1551601343265036"</f>
        <v>1551601343265036</v>
      </c>
      <c r="C576" t="s">
        <v>40</v>
      </c>
      <c r="D576">
        <v>5.3687420000000001</v>
      </c>
      <c r="E576">
        <v>0.43630459999999899</v>
      </c>
      <c r="F576" t="s">
        <v>41</v>
      </c>
      <c r="G576">
        <v>-356.21159999999998</v>
      </c>
      <c r="H576" s="1">
        <v>-1.7068889999999901E-6</v>
      </c>
      <c r="I576">
        <v>369.98970000000003</v>
      </c>
      <c r="J576">
        <v>-373.86250000000001</v>
      </c>
      <c r="K576">
        <v>1.1207069999999999</v>
      </c>
      <c r="L576">
        <v>367.04629999999997</v>
      </c>
      <c r="M576">
        <v>0.99985239999999997</v>
      </c>
      <c r="N576">
        <v>-1.2705040000000001E-2</v>
      </c>
      <c r="O576">
        <v>-1.156283E-2</v>
      </c>
      <c r="P576">
        <v>0.99231199999999997</v>
      </c>
      <c r="Q576">
        <v>0.12375319999999999</v>
      </c>
      <c r="R576">
        <v>-1.5161129999999999E-3</v>
      </c>
      <c r="S576">
        <v>3.0476380000000001</v>
      </c>
      <c r="T576">
        <v>-0.19158600000000001</v>
      </c>
      <c r="U576">
        <v>0.50283809999999995</v>
      </c>
      <c r="V576">
        <v>-9.9423940000000002E-3</v>
      </c>
      <c r="W576">
        <v>0.13635120000000001</v>
      </c>
      <c r="X576">
        <v>0.99061069999999996</v>
      </c>
      <c r="Y576">
        <v>-0.17377310000000001</v>
      </c>
      <c r="Z576">
        <v>7.1084149999999999E-3</v>
      </c>
      <c r="AA576">
        <v>0.98475999999999997</v>
      </c>
      <c r="AB576">
        <v>27</v>
      </c>
      <c r="AC576">
        <v>17.6509</v>
      </c>
      <c r="AD576">
        <v>-1.12070870688899</v>
      </c>
      <c r="AE576">
        <v>2.9434000000000502</v>
      </c>
      <c r="AF576">
        <v>-3.1350175789477102</v>
      </c>
      <c r="AG576">
        <v>-1.12070870688899</v>
      </c>
      <c r="AH576">
        <v>17.546859128636399</v>
      </c>
      <c r="AI576">
        <v>93.597670591510607</v>
      </c>
      <c r="AJ576">
        <v>100.12989243538</v>
      </c>
      <c r="AK576">
        <v>17.859915691464501</v>
      </c>
      <c r="AL576">
        <v>82.163239742414603</v>
      </c>
      <c r="AM576">
        <v>90.575037285252094</v>
      </c>
      <c r="AN576">
        <v>1.0000000299471901</v>
      </c>
    </row>
    <row r="577" spans="1:40" x14ac:dyDescent="0.25">
      <c r="A577" t="str">
        <f>"20190303162223298"</f>
        <v>20190303162223298</v>
      </c>
      <c r="B577" t="str">
        <f>"1551601343284558"</f>
        <v>1551601343284558</v>
      </c>
      <c r="C577" t="s">
        <v>40</v>
      </c>
      <c r="D577">
        <v>5.4924299999999997</v>
      </c>
      <c r="E577">
        <v>0.46888770000000002</v>
      </c>
      <c r="F577" t="s">
        <v>41</v>
      </c>
      <c r="G577">
        <v>-356.17770000000002</v>
      </c>
      <c r="H577" s="1">
        <v>-1.7074189999999901E-6</v>
      </c>
      <c r="I577">
        <v>369.93709999999999</v>
      </c>
      <c r="J577">
        <v>-373.6318</v>
      </c>
      <c r="K577">
        <v>1.1207370000000001</v>
      </c>
      <c r="L577">
        <v>367.04349999999999</v>
      </c>
      <c r="M577">
        <v>0.99984930000000005</v>
      </c>
      <c r="N577">
        <v>-1.291372E-2</v>
      </c>
      <c r="O577">
        <v>-1.160186E-2</v>
      </c>
      <c r="P577">
        <v>0.99230450000000003</v>
      </c>
      <c r="Q577">
        <v>0.1237438</v>
      </c>
      <c r="R577">
        <v>-4.426574E-3</v>
      </c>
      <c r="S577">
        <v>3.0480960000000001</v>
      </c>
      <c r="T577">
        <v>-0.19316069999999999</v>
      </c>
      <c r="U577">
        <v>0.4982605</v>
      </c>
      <c r="V577">
        <v>-7.070214E-3</v>
      </c>
      <c r="W577">
        <v>0.13654859999999999</v>
      </c>
      <c r="X577">
        <v>0.99060820000000005</v>
      </c>
      <c r="Y577">
        <v>-0.17234349999999901</v>
      </c>
      <c r="Z577">
        <v>7.1220719999999897E-3</v>
      </c>
      <c r="AA577">
        <v>0.98501119999999998</v>
      </c>
      <c r="AB577">
        <v>27</v>
      </c>
      <c r="AC577">
        <v>17.454099999999901</v>
      </c>
      <c r="AD577">
        <v>-1.1207387074190001</v>
      </c>
      <c r="AE577">
        <v>2.89359999999999</v>
      </c>
      <c r="AF577">
        <v>-3.0835487166268898</v>
      </c>
      <c r="AG577">
        <v>-1.1207387074190001</v>
      </c>
      <c r="AH577">
        <v>17.349731544736699</v>
      </c>
      <c r="AI577">
        <v>93.639122274789997</v>
      </c>
      <c r="AJ577">
        <v>100.077883316445</v>
      </c>
      <c r="AK577">
        <v>17.657222675510202</v>
      </c>
      <c r="AL577">
        <v>82.151822986269806</v>
      </c>
      <c r="AM577">
        <v>90.408927105732701</v>
      </c>
      <c r="AN577">
        <v>1.0000000569976</v>
      </c>
    </row>
    <row r="578" spans="1:40" x14ac:dyDescent="0.25">
      <c r="A578" t="str">
        <f>"20190303162223309"</f>
        <v>20190303162223309</v>
      </c>
      <c r="B578" t="str">
        <f>"1551601343305053"</f>
        <v>1551601343305053</v>
      </c>
      <c r="C578" t="s">
        <v>40</v>
      </c>
      <c r="D578">
        <v>5.4945029999999999</v>
      </c>
      <c r="E578">
        <v>0.48101969999999999</v>
      </c>
      <c r="F578" t="s">
        <v>41</v>
      </c>
      <c r="G578">
        <v>-328.15010000000001</v>
      </c>
      <c r="H578" s="1">
        <v>-1.010947E-6</v>
      </c>
      <c r="I578">
        <v>370.49970000000002</v>
      </c>
      <c r="J578">
        <v>-373.4862</v>
      </c>
      <c r="K578">
        <v>1.1207560000000001</v>
      </c>
      <c r="L578">
        <v>367.04180000000002</v>
      </c>
      <c r="M578">
        <v>0.99984740000000005</v>
      </c>
      <c r="N578">
        <v>-1.30437E-2</v>
      </c>
      <c r="O578">
        <v>-1.162679E-2</v>
      </c>
      <c r="P578">
        <v>0.99218050000000002</v>
      </c>
      <c r="Q578">
        <v>0.1246826</v>
      </c>
      <c r="R578">
        <v>-5.692084E-3</v>
      </c>
      <c r="S578">
        <v>3.03363</v>
      </c>
      <c r="T578">
        <v>-7.4753169999999994E-2</v>
      </c>
      <c r="U578">
        <v>0.23052980000000001</v>
      </c>
      <c r="V578">
        <v>-5.8279819999999998E-3</v>
      </c>
      <c r="W578">
        <v>0.13761419999999999</v>
      </c>
      <c r="X578">
        <v>0.99046869999999998</v>
      </c>
      <c r="Y578">
        <v>-8.7320980000000006E-2</v>
      </c>
      <c r="Z578">
        <v>1.779271E-3</v>
      </c>
      <c r="AA578">
        <v>0.99617860000000003</v>
      </c>
      <c r="AB578">
        <v>27</v>
      </c>
      <c r="AC578">
        <v>45.336099999999902</v>
      </c>
      <c r="AD578">
        <v>-1.12075701094699</v>
      </c>
      <c r="AE578">
        <v>3.4578999999999902</v>
      </c>
      <c r="AF578">
        <v>-3.9824046559909401</v>
      </c>
      <c r="AG578">
        <v>-1.12075701094699</v>
      </c>
      <c r="AH578">
        <v>45.265324299813201</v>
      </c>
      <c r="AI578">
        <v>91.412882670337794</v>
      </c>
      <c r="AJ578">
        <v>95.027888016564404</v>
      </c>
      <c r="AK578">
        <v>45.453990221859499</v>
      </c>
      <c r="AL578">
        <v>82.090185809794605</v>
      </c>
      <c r="AM578">
        <v>90.337128187986806</v>
      </c>
      <c r="AN578">
        <v>0.99999993954775901</v>
      </c>
    </row>
    <row r="579" spans="1:40" x14ac:dyDescent="0.25">
      <c r="A579" t="str">
        <f>"20190303162223324"</f>
        <v>20190303162223324</v>
      </c>
      <c r="B579" t="str">
        <f>"1551601343314812"</f>
        <v>1551601343314812</v>
      </c>
      <c r="C579" t="s">
        <v>40</v>
      </c>
      <c r="D579">
        <v>5.4845189999999997</v>
      </c>
      <c r="E579">
        <v>0.48337530000000001</v>
      </c>
      <c r="F579" t="s">
        <v>41</v>
      </c>
      <c r="G579">
        <v>-328.39</v>
      </c>
      <c r="H579" s="1">
        <v>-7.8670169999999899E-7</v>
      </c>
      <c r="I579">
        <v>368.97559999999999</v>
      </c>
      <c r="J579">
        <v>-373.31670000000003</v>
      </c>
      <c r="K579">
        <v>1.120773</v>
      </c>
      <c r="L579">
        <v>367.03980000000001</v>
      </c>
      <c r="M579">
        <v>0.99984499999999998</v>
      </c>
      <c r="N579">
        <v>-1.319305E-2</v>
      </c>
      <c r="O579">
        <v>-1.1656379999999999E-2</v>
      </c>
      <c r="P579">
        <v>0.99210679999999996</v>
      </c>
      <c r="Q579">
        <v>0.12518580000000001</v>
      </c>
      <c r="R579">
        <v>-7.2531039999999998E-3</v>
      </c>
      <c r="S579">
        <v>3.0338440000000002</v>
      </c>
      <c r="T579">
        <v>-7.5398560000000003E-2</v>
      </c>
      <c r="U579">
        <v>0.1300964</v>
      </c>
      <c r="V579">
        <v>-4.2954660000000004E-3</v>
      </c>
      <c r="W579">
        <v>0.138265</v>
      </c>
      <c r="X579">
        <v>0.99038590000000004</v>
      </c>
      <c r="Y579">
        <v>-5.445962E-2</v>
      </c>
      <c r="Z579">
        <v>1.171648E-3</v>
      </c>
      <c r="AA579">
        <v>0.99851529999999999</v>
      </c>
      <c r="AB579">
        <v>27</v>
      </c>
      <c r="AC579">
        <v>44.926699999999997</v>
      </c>
      <c r="AD579">
        <v>-1.1207737867017</v>
      </c>
      <c r="AE579">
        <v>1.93579999999997</v>
      </c>
      <c r="AF579">
        <v>-2.4578699507531399</v>
      </c>
      <c r="AG579">
        <v>-1.1207737867017</v>
      </c>
      <c r="AH579">
        <v>44.873206270697501</v>
      </c>
      <c r="AI579">
        <v>91.428607685846899</v>
      </c>
      <c r="AJ579">
        <v>93.135166987445004</v>
      </c>
      <c r="AK579">
        <v>44.954442490018003</v>
      </c>
      <c r="AL579">
        <v>82.052537875220594</v>
      </c>
      <c r="AM579">
        <v>90.248499629947602</v>
      </c>
      <c r="AN579">
        <v>0.99999994608598197</v>
      </c>
    </row>
    <row r="580" spans="1:40" x14ac:dyDescent="0.25">
      <c r="A580" t="str">
        <f>"20190303162223343"</f>
        <v>20190303162223343</v>
      </c>
      <c r="B580" t="str">
        <f>"1551601343334332"</f>
        <v>1551601343334332</v>
      </c>
      <c r="C580" t="s">
        <v>40</v>
      </c>
      <c r="D580">
        <v>5.4781620000000002</v>
      </c>
      <c r="E580">
        <v>0.48638419999999999</v>
      </c>
      <c r="F580" t="s">
        <v>41</v>
      </c>
      <c r="G580">
        <v>-329.80149999999998</v>
      </c>
      <c r="H580" s="1">
        <v>-3.3445620000000002E-7</v>
      </c>
      <c r="I580">
        <v>368.56099999999998</v>
      </c>
      <c r="J580">
        <v>-373.08460000000002</v>
      </c>
      <c r="K580">
        <v>1.1207819999999999</v>
      </c>
      <c r="L580">
        <v>367.03710000000001</v>
      </c>
      <c r="M580">
        <v>0.99984200000000001</v>
      </c>
      <c r="N580">
        <v>-1.3387909999999999E-2</v>
      </c>
      <c r="O580">
        <v>-1.1697849999999999E-2</v>
      </c>
      <c r="P580">
        <v>0.99223360000000005</v>
      </c>
      <c r="Q580">
        <v>0.1239329</v>
      </c>
      <c r="R580">
        <v>-1.0642749999999999E-2</v>
      </c>
      <c r="S580">
        <v>3.0344850000000001</v>
      </c>
      <c r="T580">
        <v>-7.8155760000000005E-2</v>
      </c>
      <c r="U580">
        <v>0.1060791</v>
      </c>
      <c r="V580">
        <v>-9.4873259999999997E-4</v>
      </c>
      <c r="W580">
        <v>0.13720660000000001</v>
      </c>
      <c r="X580">
        <v>0.99054200000000003</v>
      </c>
      <c r="Y580">
        <v>-4.6601530000000002E-2</v>
      </c>
      <c r="Z580">
        <v>1.05659E-3</v>
      </c>
      <c r="AA580">
        <v>0.99891300000000005</v>
      </c>
      <c r="AB580">
        <v>27</v>
      </c>
      <c r="AC580">
        <v>43.283099999999997</v>
      </c>
      <c r="AD580">
        <v>-1.1207823344562</v>
      </c>
      <c r="AE580">
        <v>1.5238999999999601</v>
      </c>
      <c r="AF580">
        <v>-2.02880163057337</v>
      </c>
      <c r="AG580">
        <v>-1.1207823344562</v>
      </c>
      <c r="AH580">
        <v>43.233357446471899</v>
      </c>
      <c r="AI580">
        <v>91.483372553653496</v>
      </c>
      <c r="AJ580">
        <v>92.686734599459101</v>
      </c>
      <c r="AK580">
        <v>43.295443007224897</v>
      </c>
      <c r="AL580">
        <v>82.113763721114495</v>
      </c>
      <c r="AM580">
        <v>90.054877387575999</v>
      </c>
      <c r="AN580">
        <v>1.00000000247055</v>
      </c>
    </row>
    <row r="581" spans="1:40" x14ac:dyDescent="0.25">
      <c r="A581" t="str">
        <f>"20190303162223363"</f>
        <v>20190303162223363</v>
      </c>
      <c r="B581" t="str">
        <f>"1551601343354828"</f>
        <v>1551601343354828</v>
      </c>
      <c r="C581" t="s">
        <v>40</v>
      </c>
      <c r="D581">
        <v>5.2217659999999997</v>
      </c>
      <c r="E581">
        <v>0.48750100000000002</v>
      </c>
      <c r="F581" t="s">
        <v>41</v>
      </c>
      <c r="G581">
        <v>-331.55579999999998</v>
      </c>
      <c r="H581" s="1">
        <v>-3.886822E-6</v>
      </c>
      <c r="I581">
        <v>368.02690000000001</v>
      </c>
      <c r="J581">
        <v>-372.83640000000003</v>
      </c>
      <c r="K581">
        <v>1.1207959999999999</v>
      </c>
      <c r="L581">
        <v>367.03410000000002</v>
      </c>
      <c r="M581">
        <v>0.99983889999999997</v>
      </c>
      <c r="N581">
        <v>-1.3580439999999999E-2</v>
      </c>
      <c r="O581">
        <v>-1.174266E-2</v>
      </c>
      <c r="P581">
        <v>0.99237839999999999</v>
      </c>
      <c r="Q581">
        <v>0.12234829999999999</v>
      </c>
      <c r="R581">
        <v>-1.469854E-2</v>
      </c>
      <c r="S581">
        <v>3.0344540000000002</v>
      </c>
      <c r="T581">
        <v>-8.1894040000000001E-2</v>
      </c>
      <c r="U581">
        <v>7.2326660000000001E-2</v>
      </c>
      <c r="V581">
        <v>3.06069E-3</v>
      </c>
      <c r="W581">
        <v>0.13581499999999999</v>
      </c>
      <c r="X581">
        <v>0.99072950000000004</v>
      </c>
      <c r="Y581">
        <v>-3.5546639999999997E-2</v>
      </c>
      <c r="Z581">
        <v>8.7836960000000003E-4</v>
      </c>
      <c r="AA581">
        <v>0.99936769999999997</v>
      </c>
      <c r="AB581">
        <v>27</v>
      </c>
      <c r="AC581">
        <v>41.2806</v>
      </c>
      <c r="AD581">
        <v>-1.1207998868219999</v>
      </c>
      <c r="AE581">
        <v>0.99279999999998803</v>
      </c>
      <c r="AF581">
        <v>-1.47643251441293</v>
      </c>
      <c r="AG581">
        <v>-1.1207998868219999</v>
      </c>
      <c r="AH581">
        <v>41.235714183055798</v>
      </c>
      <c r="AI581">
        <v>91.555937736048605</v>
      </c>
      <c r="AJ581">
        <v>92.050582422601707</v>
      </c>
      <c r="AK581">
        <v>41.2773566200961</v>
      </c>
      <c r="AL581">
        <v>82.194250075967801</v>
      </c>
      <c r="AM581">
        <v>89.822995013764796</v>
      </c>
      <c r="AN581">
        <v>1.00000001210926</v>
      </c>
    </row>
    <row r="582" spans="1:40" x14ac:dyDescent="0.25">
      <c r="A582" t="str">
        <f>"20190303162223378"</f>
        <v>20190303162223378</v>
      </c>
      <c r="B582" t="str">
        <f>"1551601343364587"</f>
        <v>1551601343364587</v>
      </c>
      <c r="C582" t="s">
        <v>40</v>
      </c>
      <c r="D582">
        <v>5.428426</v>
      </c>
      <c r="E582">
        <v>0.48791810000000002</v>
      </c>
      <c r="F582" t="s">
        <v>41</v>
      </c>
      <c r="G582">
        <v>-334.36900000000003</v>
      </c>
      <c r="H582" s="1">
        <v>-2.7410819999999998E-6</v>
      </c>
      <c r="I582">
        <v>367.68239999999997</v>
      </c>
      <c r="J582">
        <v>-372.66800000000001</v>
      </c>
      <c r="K582">
        <v>1.1208049999999901</v>
      </c>
      <c r="L582">
        <v>367.03199999999998</v>
      </c>
      <c r="M582">
        <v>0.99983690000000003</v>
      </c>
      <c r="N582">
        <v>-1.3699950000000001E-2</v>
      </c>
      <c r="O582">
        <v>-1.1773270000000001E-2</v>
      </c>
      <c r="P582">
        <v>0.99240030000000001</v>
      </c>
      <c r="Q582">
        <v>0.1219413</v>
      </c>
      <c r="R582">
        <v>-1.649604E-2</v>
      </c>
      <c r="S582">
        <v>3.034729</v>
      </c>
      <c r="T582">
        <v>-8.8420509999999994E-2</v>
      </c>
      <c r="U582">
        <v>5.1147459999999999E-2</v>
      </c>
      <c r="V582">
        <v>4.8273350000000003E-3</v>
      </c>
      <c r="W582">
        <v>0.135526799999999</v>
      </c>
      <c r="X582">
        <v>0.99076189999999997</v>
      </c>
      <c r="Y582">
        <v>-2.8603940000000001E-2</v>
      </c>
      <c r="Z582">
        <v>7.9427179999999901E-4</v>
      </c>
      <c r="AA582">
        <v>0.99959050000000005</v>
      </c>
      <c r="AB582">
        <v>27</v>
      </c>
      <c r="AC582">
        <v>38.2989999999999</v>
      </c>
      <c r="AD582">
        <v>-1.1208077410820001</v>
      </c>
      <c r="AE582">
        <v>0.65039999999998999</v>
      </c>
      <c r="AF582">
        <v>-1.1003595748420401</v>
      </c>
      <c r="AG582">
        <v>-1.1208077410820001</v>
      </c>
      <c r="AH582">
        <v>38.255933303286199</v>
      </c>
      <c r="AI582">
        <v>91.677456501892607</v>
      </c>
      <c r="AJ582">
        <v>91.647550496060902</v>
      </c>
      <c r="AK582">
        <v>38.288163106786698</v>
      </c>
      <c r="AL582">
        <v>82.210916565996897</v>
      </c>
      <c r="AM582">
        <v>89.720837334244706</v>
      </c>
      <c r="AN582">
        <v>0.99999997958652498</v>
      </c>
    </row>
    <row r="583" spans="1:40" x14ac:dyDescent="0.25">
      <c r="A583" t="str">
        <f>"20190303162223399"</f>
        <v>20190303162223399</v>
      </c>
      <c r="B583" t="str">
        <f>"1551601343385083"</f>
        <v>1551601343385083</v>
      </c>
      <c r="C583" t="s">
        <v>40</v>
      </c>
      <c r="D583">
        <v>5.534071</v>
      </c>
      <c r="E583">
        <v>0.48822969999999999</v>
      </c>
      <c r="F583" t="s">
        <v>41</v>
      </c>
      <c r="G583">
        <v>-335.08620000000002</v>
      </c>
      <c r="H583" s="1">
        <v>-2.4547009999999998E-6</v>
      </c>
      <c r="I583">
        <v>367.56220000000002</v>
      </c>
      <c r="J583">
        <v>-372.41320000000002</v>
      </c>
      <c r="K583">
        <v>1.1208149999999999</v>
      </c>
      <c r="L583">
        <v>367.029</v>
      </c>
      <c r="M583">
        <v>0.99983390000000005</v>
      </c>
      <c r="N583">
        <v>-1.3866899999999901E-2</v>
      </c>
      <c r="O583">
        <v>-1.1819710000000001E-2</v>
      </c>
      <c r="P583">
        <v>0.99241670000000004</v>
      </c>
      <c r="Q583">
        <v>0.1212603</v>
      </c>
      <c r="R583">
        <v>-2.0120249999999999E-2</v>
      </c>
      <c r="S583">
        <v>3.0348820000000001</v>
      </c>
      <c r="T583">
        <v>-9.0509530000000005E-2</v>
      </c>
      <c r="U583">
        <v>4.2816159999999999E-2</v>
      </c>
      <c r="V583">
        <v>8.4048590000000006E-3</v>
      </c>
      <c r="W583">
        <v>0.13501179999999999</v>
      </c>
      <c r="X583">
        <v>0.99080840000000003</v>
      </c>
      <c r="Y583">
        <v>-2.590692E-2</v>
      </c>
      <c r="Z583">
        <v>7.5443069999999997E-4</v>
      </c>
      <c r="AA583">
        <v>0.99966410000000006</v>
      </c>
      <c r="AB583">
        <v>27</v>
      </c>
      <c r="AC583">
        <v>37.326999999999998</v>
      </c>
      <c r="AD583">
        <v>-1.1208174547009999</v>
      </c>
      <c r="AE583">
        <v>0.53320000000002199</v>
      </c>
      <c r="AF583">
        <v>-0.97352195705024702</v>
      </c>
      <c r="AG583">
        <v>-1.1208174547009999</v>
      </c>
      <c r="AH583">
        <v>37.284479557388899</v>
      </c>
      <c r="AI583">
        <v>91.721276974122503</v>
      </c>
      <c r="AJ583">
        <v>91.495690143467399</v>
      </c>
      <c r="AK583">
        <v>37.314024074508097</v>
      </c>
      <c r="AL583">
        <v>82.240698216567793</v>
      </c>
      <c r="AM583">
        <v>89.513981312867301</v>
      </c>
      <c r="AN583">
        <v>1.0000000566523</v>
      </c>
    </row>
    <row r="584" spans="1:40" x14ac:dyDescent="0.25">
      <c r="A584" t="str">
        <f>"20190303162223421"</f>
        <v>20190303162223421</v>
      </c>
      <c r="B584" t="str">
        <f>"1551601343415339"</f>
        <v>1551601343415339</v>
      </c>
      <c r="C584" t="s">
        <v>40</v>
      </c>
      <c r="D584">
        <v>5.4788169999999896</v>
      </c>
      <c r="E584">
        <v>0.48850670000000002</v>
      </c>
      <c r="F584" t="s">
        <v>41</v>
      </c>
      <c r="G584">
        <v>-336.17840000000001</v>
      </c>
      <c r="H584" s="1">
        <v>-2.017025E-6</v>
      </c>
      <c r="I584">
        <v>367.38810000000001</v>
      </c>
      <c r="J584">
        <v>-372.15390000000002</v>
      </c>
      <c r="K584">
        <v>1.1208260000000001</v>
      </c>
      <c r="L584">
        <v>367.0258</v>
      </c>
      <c r="M584">
        <v>0.99983140000000004</v>
      </c>
      <c r="N584">
        <v>-1.401819E-2</v>
      </c>
      <c r="O584">
        <v>-1.1866659999999999E-2</v>
      </c>
      <c r="P584">
        <v>0.99237869999999995</v>
      </c>
      <c r="Q584">
        <v>0.1209778</v>
      </c>
      <c r="R584">
        <v>-2.34281E-2</v>
      </c>
      <c r="S584">
        <v>3.0349430000000002</v>
      </c>
      <c r="T584">
        <v>-9.3876719999999997E-2</v>
      </c>
      <c r="U584">
        <v>3.0090329999999998E-2</v>
      </c>
      <c r="V584">
        <v>1.1666269999999999E-2</v>
      </c>
      <c r="W584">
        <v>0.1348791</v>
      </c>
      <c r="X584">
        <v>0.99079340000000005</v>
      </c>
      <c r="Y584">
        <v>-2.1763859999999999E-2</v>
      </c>
      <c r="Z584">
        <v>6.8974929999999904E-4</v>
      </c>
      <c r="AA584">
        <v>0.99976290000000001</v>
      </c>
      <c r="AB584">
        <v>27</v>
      </c>
      <c r="AC584">
        <v>35.975499999999997</v>
      </c>
      <c r="AD584">
        <v>-1.120828017025</v>
      </c>
      <c r="AE584">
        <v>0.36230000000000401</v>
      </c>
      <c r="AF584">
        <v>-0.78846018649620897</v>
      </c>
      <c r="AG584">
        <v>-1.120828017025</v>
      </c>
      <c r="AH584">
        <v>35.933790980841501</v>
      </c>
      <c r="AI584">
        <v>91.786131117600803</v>
      </c>
      <c r="AJ584">
        <v>91.256983800421196</v>
      </c>
      <c r="AK584">
        <v>35.959911834767396</v>
      </c>
      <c r="AL584">
        <v>82.248371248337705</v>
      </c>
      <c r="AM584">
        <v>89.325392008786693</v>
      </c>
      <c r="AN584">
        <v>1.0000000174780399</v>
      </c>
    </row>
    <row r="585" spans="1:40" x14ac:dyDescent="0.25">
      <c r="A585" t="str">
        <f>"20190303162223443"</f>
        <v>20190303162223443</v>
      </c>
      <c r="B585" t="str">
        <f>"1551601343434860"</f>
        <v>1551601343434860</v>
      </c>
      <c r="C585" t="s">
        <v>40</v>
      </c>
      <c r="D585">
        <v>5.3433789999999997</v>
      </c>
      <c r="E585">
        <v>0.50696790000000003</v>
      </c>
      <c r="F585" t="s">
        <v>41</v>
      </c>
      <c r="G585">
        <v>-337.41820000000001</v>
      </c>
      <c r="H585" s="1">
        <v>-1.5127459999999999E-6</v>
      </c>
      <c r="I585">
        <v>367.23250000000002</v>
      </c>
      <c r="J585">
        <v>-371.88350000000003</v>
      </c>
      <c r="K585">
        <v>1.120833</v>
      </c>
      <c r="L585">
        <v>367.02260000000001</v>
      </c>
      <c r="M585">
        <v>0.99982890000000002</v>
      </c>
      <c r="N585">
        <v>-1.415712E-2</v>
      </c>
      <c r="O585">
        <v>-1.191567E-2</v>
      </c>
      <c r="P585">
        <v>0.99215969999999998</v>
      </c>
      <c r="Q585">
        <v>0.1220888</v>
      </c>
      <c r="R585">
        <v>-2.67177E-2</v>
      </c>
      <c r="S585">
        <v>3.035431</v>
      </c>
      <c r="T585">
        <v>-9.7945089999999999E-2</v>
      </c>
      <c r="U585">
        <v>1.8066410000000001E-2</v>
      </c>
      <c r="V585">
        <v>1.490965E-2</v>
      </c>
      <c r="W585">
        <v>0.13612439999999901</v>
      </c>
      <c r="X585">
        <v>0.99057949999999995</v>
      </c>
      <c r="Y585">
        <v>-1.7852650000000001E-2</v>
      </c>
      <c r="Z585">
        <v>6.3008059999999997E-4</v>
      </c>
      <c r="AA585">
        <v>0.99984039999999996</v>
      </c>
      <c r="AB585">
        <v>27</v>
      </c>
      <c r="AC585">
        <v>34.465299999999999</v>
      </c>
      <c r="AD585">
        <v>-1.120834512746</v>
      </c>
      <c r="AE585">
        <v>0.209900000000004</v>
      </c>
      <c r="AF585">
        <v>-0.61994772049695301</v>
      </c>
      <c r="AG585">
        <v>-1.120834512746</v>
      </c>
      <c r="AH585">
        <v>34.423946127995897</v>
      </c>
      <c r="AI585">
        <v>91.8645743595265</v>
      </c>
      <c r="AJ585">
        <v>91.031739603416199</v>
      </c>
      <c r="AK585">
        <v>34.447767303618903</v>
      </c>
      <c r="AL585">
        <v>82.176356079350597</v>
      </c>
      <c r="AM585">
        <v>89.137681005835304</v>
      </c>
      <c r="AN585">
        <v>0.99999994787936397</v>
      </c>
    </row>
    <row r="586" spans="1:40" x14ac:dyDescent="0.25">
      <c r="A586" t="str">
        <f>"20190303162223457"</f>
        <v>20190303162223457</v>
      </c>
      <c r="B586" t="str">
        <f>"1551601343444620"</f>
        <v>1551601343444620</v>
      </c>
      <c r="C586" t="s">
        <v>40</v>
      </c>
      <c r="D586">
        <v>5.3469949999999997</v>
      </c>
      <c r="E586">
        <v>0.50696790000000003</v>
      </c>
      <c r="F586" t="s">
        <v>42</v>
      </c>
      <c r="G586">
        <v>-370.93310000000002</v>
      </c>
      <c r="H586">
        <v>1.018867</v>
      </c>
      <c r="I586">
        <v>366.9787</v>
      </c>
      <c r="J586">
        <v>-371.71550000000002</v>
      </c>
      <c r="K586">
        <v>1.120838</v>
      </c>
      <c r="L586">
        <v>367.02050000000003</v>
      </c>
      <c r="M586">
        <v>0.99982749999999998</v>
      </c>
      <c r="N586">
        <v>-1.4232750000000001E-2</v>
      </c>
      <c r="O586">
        <v>-1.194636E-2</v>
      </c>
      <c r="P586">
        <v>0.99207540000000005</v>
      </c>
      <c r="Q586">
        <v>0.122381</v>
      </c>
      <c r="R586">
        <v>-2.8446470000000001E-2</v>
      </c>
      <c r="S586">
        <v>3.060333</v>
      </c>
      <c r="T586">
        <v>-0.32855869999999998</v>
      </c>
      <c r="U586">
        <v>-0.14019779999999901</v>
      </c>
      <c r="V586">
        <v>1.6608939999999999E-2</v>
      </c>
      <c r="W586">
        <v>0.13649049999999999</v>
      </c>
      <c r="X586">
        <v>0.99050210000000005</v>
      </c>
      <c r="Y586">
        <v>3.365771E-2</v>
      </c>
      <c r="Z586">
        <v>-9.3250029999999995E-4</v>
      </c>
      <c r="AA586">
        <v>0.99943300000000002</v>
      </c>
      <c r="AB586">
        <v>27</v>
      </c>
      <c r="AC586">
        <v>0.78239999999999499</v>
      </c>
      <c r="AD586">
        <v>-0.10197100000000001</v>
      </c>
      <c r="AE586">
        <v>-4.1800000000023298E-2</v>
      </c>
      <c r="AF586">
        <v>3.1908773630229897E-2</v>
      </c>
      <c r="AG586">
        <v>-0.10197100000000001</v>
      </c>
      <c r="AH586">
        <v>0.76980474064756199</v>
      </c>
      <c r="AI586">
        <v>97.539268914650407</v>
      </c>
      <c r="AJ586">
        <v>87.626421373512002</v>
      </c>
      <c r="AK586">
        <v>0.777184401155251</v>
      </c>
      <c r="AL586">
        <v>82.155182580943702</v>
      </c>
      <c r="AM586">
        <v>89.039342784637597</v>
      </c>
      <c r="AN586">
        <v>0.99999996179129103</v>
      </c>
    </row>
    <row r="587" spans="1:40" x14ac:dyDescent="0.25">
      <c r="A587" t="str">
        <f>"20190303162223475"</f>
        <v>20190303162223475</v>
      </c>
      <c r="B587" t="str">
        <f>"1551601343465117"</f>
        <v>1551601343465117</v>
      </c>
      <c r="C587" t="s">
        <v>40</v>
      </c>
      <c r="D587">
        <v>5.3476499999999998</v>
      </c>
      <c r="E587">
        <v>0.52123050000000004</v>
      </c>
      <c r="F587" t="s">
        <v>42</v>
      </c>
      <c r="G587">
        <v>-370.92450000000002</v>
      </c>
      <c r="H587">
        <v>1.0361990000000001</v>
      </c>
      <c r="I587">
        <v>366.9828</v>
      </c>
      <c r="J587">
        <v>-371.49360000000001</v>
      </c>
      <c r="K587">
        <v>1.1208530000000001</v>
      </c>
      <c r="L587">
        <v>367.01780000000002</v>
      </c>
      <c r="M587">
        <v>0.99982570000000004</v>
      </c>
      <c r="N587">
        <v>-1.43242E-2</v>
      </c>
      <c r="O587">
        <v>-1.198635E-2</v>
      </c>
      <c r="P587">
        <v>0.9918051</v>
      </c>
      <c r="Q587">
        <v>0.12365859999999999</v>
      </c>
      <c r="R587">
        <v>-3.211779E-2</v>
      </c>
      <c r="S587">
        <v>3.0602420000000001</v>
      </c>
      <c r="T587">
        <v>-0.32775799999999999</v>
      </c>
      <c r="U587">
        <v>-0.1448364</v>
      </c>
      <c r="V587">
        <v>2.0243520000000001E-2</v>
      </c>
      <c r="W587">
        <v>0.13785510000000001</v>
      </c>
      <c r="X587">
        <v>0.9902455</v>
      </c>
      <c r="Y587">
        <v>3.5121840000000001E-2</v>
      </c>
      <c r="Z587">
        <v>-1.01884E-3</v>
      </c>
      <c r="AA587">
        <v>0.99938249999999995</v>
      </c>
      <c r="AB587">
        <v>27</v>
      </c>
      <c r="AC587">
        <v>0.56909999999999095</v>
      </c>
      <c r="AD587">
        <v>-8.4654000000000201E-2</v>
      </c>
      <c r="AE587">
        <v>-3.5000000000024997E-2</v>
      </c>
      <c r="AF587">
        <v>2.7567669677334899E-2</v>
      </c>
      <c r="AG587">
        <v>-8.4654000000000201E-2</v>
      </c>
      <c r="AH587">
        <v>0.55719618430158502</v>
      </c>
      <c r="AI587">
        <v>98.628405450138203</v>
      </c>
      <c r="AJ587">
        <v>87.167560980695299</v>
      </c>
      <c r="AK587">
        <v>0.56426400197751803</v>
      </c>
      <c r="AL587">
        <v>82.076250838133205</v>
      </c>
      <c r="AM587">
        <v>88.828869483215897</v>
      </c>
      <c r="AN587">
        <v>0.99999998948412505</v>
      </c>
    </row>
    <row r="588" spans="1:40" x14ac:dyDescent="0.25">
      <c r="A588" t="str">
        <f>"20190303162223499"</f>
        <v>20190303162223499</v>
      </c>
      <c r="B588" t="str">
        <f>"1551601343495371"</f>
        <v>1551601343495371</v>
      </c>
      <c r="C588" t="s">
        <v>40</v>
      </c>
      <c r="D588">
        <v>5.3522619999999996</v>
      </c>
      <c r="E588">
        <v>0.51904459999999997</v>
      </c>
      <c r="F588" t="s">
        <v>42</v>
      </c>
      <c r="G588">
        <v>-370.73500000000001</v>
      </c>
      <c r="H588">
        <v>0.93791100000000005</v>
      </c>
      <c r="I588">
        <v>366.95150000000001</v>
      </c>
      <c r="J588">
        <v>-371.21370000000002</v>
      </c>
      <c r="K588">
        <v>1.120871</v>
      </c>
      <c r="L588">
        <v>367.01429999999999</v>
      </c>
      <c r="M588">
        <v>0.99982349999999998</v>
      </c>
      <c r="N588">
        <v>-1.442543E-2</v>
      </c>
      <c r="O588">
        <v>-1.203678E-2</v>
      </c>
      <c r="P588">
        <v>0.99134180000000005</v>
      </c>
      <c r="Q588">
        <v>0.12638469999999999</v>
      </c>
      <c r="R588">
        <v>-3.5616250000000002E-2</v>
      </c>
      <c r="S588">
        <v>3.1094970000000002</v>
      </c>
      <c r="T588">
        <v>-0.74993259999999995</v>
      </c>
      <c r="U588">
        <v>-0.2715149</v>
      </c>
      <c r="V588">
        <v>2.3697579999999999E-2</v>
      </c>
      <c r="W588">
        <v>0.14067399999999999</v>
      </c>
      <c r="X588">
        <v>0.98977230000000005</v>
      </c>
      <c r="Y588">
        <v>7.3082910000000001E-2</v>
      </c>
      <c r="Z588">
        <v>-6.5232609999999998E-3</v>
      </c>
      <c r="AA588">
        <v>0.99730459999999999</v>
      </c>
      <c r="AB588">
        <v>27</v>
      </c>
      <c r="AC588">
        <v>0.47870000000000301</v>
      </c>
      <c r="AD588">
        <v>-0.18295999999999901</v>
      </c>
      <c r="AE588">
        <v>-6.2799999999981496E-2</v>
      </c>
      <c r="AF588">
        <v>4.9871030420126E-2</v>
      </c>
      <c r="AG588">
        <v>-0.18295999999999901</v>
      </c>
      <c r="AH588">
        <v>0.41921869799138001</v>
      </c>
      <c r="AI588">
        <v>113.430709585058</v>
      </c>
      <c r="AJ588">
        <v>83.215871201346999</v>
      </c>
      <c r="AK588">
        <v>0.46011498347777402</v>
      </c>
      <c r="AL588">
        <v>81.913150230018601</v>
      </c>
      <c r="AM588">
        <v>88.628460339434298</v>
      </c>
      <c r="AN588">
        <v>0.99999997771057203</v>
      </c>
    </row>
    <row r="589" spans="1:40" x14ac:dyDescent="0.25">
      <c r="A589" t="str">
        <f>"20190303162223512"</f>
        <v>20190303162223512</v>
      </c>
      <c r="B589" t="str">
        <f>"1551601343505132"</f>
        <v>1551601343505132</v>
      </c>
      <c r="C589" t="s">
        <v>40</v>
      </c>
      <c r="D589">
        <v>5.3874510000000004</v>
      </c>
      <c r="E589">
        <v>0.51845479999999999</v>
      </c>
      <c r="F589" t="s">
        <v>42</v>
      </c>
      <c r="G589">
        <v>-370.49599999999998</v>
      </c>
      <c r="H589">
        <v>0.93925210000000003</v>
      </c>
      <c r="I589">
        <v>366.95319999999998</v>
      </c>
      <c r="J589">
        <v>-371.05070000000001</v>
      </c>
      <c r="K589">
        <v>1.1208849999999999</v>
      </c>
      <c r="L589">
        <v>367.01229999999998</v>
      </c>
      <c r="M589">
        <v>0.99982249999999995</v>
      </c>
      <c r="N589">
        <v>-1.447684E-2</v>
      </c>
      <c r="O589">
        <v>-1.206576E-2</v>
      </c>
      <c r="P589">
        <v>0.99116579999999999</v>
      </c>
      <c r="Q589">
        <v>0.12744130000000001</v>
      </c>
      <c r="R589">
        <v>-3.6729879999999999E-2</v>
      </c>
      <c r="S589">
        <v>3.1172789999999999</v>
      </c>
      <c r="T589">
        <v>-0.78881789999999996</v>
      </c>
      <c r="U589">
        <v>-0.26428220000000002</v>
      </c>
      <c r="V589">
        <v>2.4784440000000001E-2</v>
      </c>
      <c r="W589">
        <v>0.14177909999999999</v>
      </c>
      <c r="X589">
        <v>0.98958800000000002</v>
      </c>
      <c r="Y589">
        <v>7.0447019999999999E-2</v>
      </c>
      <c r="Z589">
        <v>-6.4506989999999998E-3</v>
      </c>
      <c r="AA589">
        <v>0.99749460000000001</v>
      </c>
      <c r="AB589">
        <v>27</v>
      </c>
      <c r="AC589">
        <v>0.55470000000002495</v>
      </c>
      <c r="AD589">
        <v>-0.18163290000000001</v>
      </c>
      <c r="AE589">
        <v>-5.9100000000000798E-2</v>
      </c>
      <c r="AF589">
        <v>4.7379178466752402E-2</v>
      </c>
      <c r="AG589">
        <v>-0.18163290000000001</v>
      </c>
      <c r="AH589">
        <v>0.50213820012796295</v>
      </c>
      <c r="AI589">
        <v>109.80493510835799</v>
      </c>
      <c r="AJ589">
        <v>84.609823031571807</v>
      </c>
      <c r="AK589">
        <v>0.53607655138267696</v>
      </c>
      <c r="AL589">
        <v>81.849191769086204</v>
      </c>
      <c r="AM589">
        <v>88.565315052483896</v>
      </c>
      <c r="AN589">
        <v>0.99999999570346099</v>
      </c>
    </row>
    <row r="590" spans="1:40" x14ac:dyDescent="0.25">
      <c r="A590" t="str">
        <f>"20190303162223527"</f>
        <v>20190303162223527</v>
      </c>
      <c r="B590" t="str">
        <f>"1551601343514892"</f>
        <v>1551601343514892</v>
      </c>
      <c r="C590" t="s">
        <v>40</v>
      </c>
      <c r="D590">
        <v>5.3848599999999998</v>
      </c>
      <c r="E590">
        <v>0.51804719999999904</v>
      </c>
      <c r="F590" t="s">
        <v>42</v>
      </c>
      <c r="G590">
        <v>-370.26659999999998</v>
      </c>
      <c r="H590">
        <v>0.92226509999999995</v>
      </c>
      <c r="I590">
        <v>366.9461</v>
      </c>
      <c r="J590">
        <v>-370.89019999999999</v>
      </c>
      <c r="K590">
        <v>1.120895</v>
      </c>
      <c r="L590">
        <v>367.01029999999997</v>
      </c>
      <c r="M590">
        <v>0.99982150000000003</v>
      </c>
      <c r="N590">
        <v>-1.4523980000000001E-2</v>
      </c>
      <c r="O590">
        <v>-1.209374E-2</v>
      </c>
      <c r="P590">
        <v>0.99106640000000001</v>
      </c>
      <c r="Q590">
        <v>0.12779679999999999</v>
      </c>
      <c r="R590">
        <v>-3.8153399999999997E-2</v>
      </c>
      <c r="S590">
        <v>3.1185610000000001</v>
      </c>
      <c r="T590">
        <v>-0.78995609999999905</v>
      </c>
      <c r="U590">
        <v>-0.26303100000000001</v>
      </c>
      <c r="V590">
        <v>2.618119E-2</v>
      </c>
      <c r="W590">
        <v>0.1421799</v>
      </c>
      <c r="X590">
        <v>0.9894946</v>
      </c>
      <c r="Y590">
        <v>6.9998350000000001E-2</v>
      </c>
      <c r="Z590">
        <v>-6.3930849999999997E-3</v>
      </c>
      <c r="AA590">
        <v>0.99752660000000004</v>
      </c>
      <c r="AB590">
        <v>27</v>
      </c>
      <c r="AC590">
        <v>0.62360000000001004</v>
      </c>
      <c r="AD590">
        <v>-0.1986299</v>
      </c>
      <c r="AE590">
        <v>-6.41999999999711E-2</v>
      </c>
      <c r="AF590">
        <v>5.1484255842232297E-2</v>
      </c>
      <c r="AG590">
        <v>-0.1986299</v>
      </c>
      <c r="AH590">
        <v>0.56737144420765595</v>
      </c>
      <c r="AI590">
        <v>109.22138798981899</v>
      </c>
      <c r="AJ590">
        <v>84.815082767938407</v>
      </c>
      <c r="AK590">
        <v>0.60333640821346102</v>
      </c>
      <c r="AL590">
        <v>81.825993223631201</v>
      </c>
      <c r="AM590">
        <v>88.484355774700106</v>
      </c>
      <c r="AN590">
        <v>1.00000007105149</v>
      </c>
    </row>
    <row r="591" spans="1:40" x14ac:dyDescent="0.25">
      <c r="A591" t="str">
        <f>"20190303162223543"</f>
        <v>20190303162223543</v>
      </c>
      <c r="B591" t="str">
        <f>"1551601343535388"</f>
        <v>1551601343535388</v>
      </c>
      <c r="C591" t="s">
        <v>40</v>
      </c>
      <c r="D591">
        <v>5.3862059999999996</v>
      </c>
      <c r="E591">
        <v>0.51709159999999998</v>
      </c>
      <c r="F591" t="s">
        <v>42</v>
      </c>
      <c r="G591">
        <v>-370.03739999999999</v>
      </c>
      <c r="H591">
        <v>0.90505619999999998</v>
      </c>
      <c r="I591">
        <v>366.93799999999999</v>
      </c>
      <c r="J591">
        <v>-370.69709999999998</v>
      </c>
      <c r="K591">
        <v>1.1209039999999999</v>
      </c>
      <c r="L591">
        <v>367.00799999999998</v>
      </c>
      <c r="M591">
        <v>0.99982020000000005</v>
      </c>
      <c r="N591">
        <v>-1.457518E-2</v>
      </c>
      <c r="O591">
        <v>-1.212687E-2</v>
      </c>
      <c r="P591">
        <v>0.99090730000000005</v>
      </c>
      <c r="Q591">
        <v>0.12857169999999901</v>
      </c>
      <c r="R591">
        <v>-3.9649259999999999E-2</v>
      </c>
      <c r="S591">
        <v>3.1186829999999999</v>
      </c>
      <c r="T591">
        <v>-0.78939749999999997</v>
      </c>
      <c r="U591">
        <v>-0.2637024</v>
      </c>
      <c r="V591">
        <v>2.764575E-2</v>
      </c>
      <c r="W591">
        <v>0.143003399999999</v>
      </c>
      <c r="X591">
        <v>0.98933599999999999</v>
      </c>
      <c r="Y591">
        <v>7.0172620000000005E-2</v>
      </c>
      <c r="Z591">
        <v>-6.4065479999999998E-3</v>
      </c>
      <c r="AA591">
        <v>0.99751429999999996</v>
      </c>
      <c r="AB591">
        <v>27</v>
      </c>
      <c r="AC591">
        <v>0.65969999999998596</v>
      </c>
      <c r="AD591">
        <v>-0.21584780000000001</v>
      </c>
      <c r="AE591">
        <v>-6.9999999999993096E-2</v>
      </c>
      <c r="AF591">
        <v>5.6059353368776599E-2</v>
      </c>
      <c r="AG591">
        <v>-0.21584780000000001</v>
      </c>
      <c r="AH591">
        <v>0.59727207083298905</v>
      </c>
      <c r="AI591">
        <v>109.789137954667</v>
      </c>
      <c r="AJ591">
        <v>84.637984755148096</v>
      </c>
      <c r="AK591">
        <v>0.63754752800249503</v>
      </c>
      <c r="AL591">
        <v>81.778322370615797</v>
      </c>
      <c r="AM591">
        <v>88.399358051008093</v>
      </c>
      <c r="AN591">
        <v>0.99999999040031096</v>
      </c>
    </row>
    <row r="592" spans="1:40" x14ac:dyDescent="0.25">
      <c r="A592" t="str">
        <f>"20190303162223566"</f>
        <v>20190303162223566</v>
      </c>
      <c r="B592" t="str">
        <f>"1551601343554908"</f>
        <v>1551601343554908</v>
      </c>
      <c r="C592" t="s">
        <v>40</v>
      </c>
      <c r="D592">
        <v>5.5780059999999896</v>
      </c>
      <c r="E592">
        <v>0.51633099999999998</v>
      </c>
      <c r="F592" t="s">
        <v>42</v>
      </c>
      <c r="G592">
        <v>-369.80509999999998</v>
      </c>
      <c r="H592">
        <v>0.8947271</v>
      </c>
      <c r="I592">
        <v>366.93369999999999</v>
      </c>
      <c r="J592">
        <v>-370.4212</v>
      </c>
      <c r="K592">
        <v>1.1209100000000001</v>
      </c>
      <c r="L592">
        <v>367.00450000000001</v>
      </c>
      <c r="M592">
        <v>0.99981880000000001</v>
      </c>
      <c r="N592">
        <v>-1.463715E-2</v>
      </c>
      <c r="O592">
        <v>-1.2171990000000001E-2</v>
      </c>
      <c r="P592">
        <v>0.99095599999999995</v>
      </c>
      <c r="Q592">
        <v>0.12783610000000001</v>
      </c>
      <c r="R592">
        <v>-4.0797600000000003E-2</v>
      </c>
      <c r="S592">
        <v>3.119812</v>
      </c>
      <c r="T592">
        <v>-0.791045199999999</v>
      </c>
      <c r="U592">
        <v>-0.26013180000000002</v>
      </c>
      <c r="V592">
        <v>2.8747789999999999E-2</v>
      </c>
      <c r="W592">
        <v>0.1423304</v>
      </c>
      <c r="X592">
        <v>0.98940159999999999</v>
      </c>
      <c r="Y592">
        <v>6.8996569999999993E-2</v>
      </c>
      <c r="Z592">
        <v>-6.2534340000000004E-3</v>
      </c>
      <c r="AA592">
        <v>0.99759730000000002</v>
      </c>
      <c r="AB592">
        <v>27</v>
      </c>
      <c r="AC592">
        <v>0.61610000000001697</v>
      </c>
      <c r="AD592">
        <v>-0.22618289999999999</v>
      </c>
      <c r="AE592">
        <v>-7.0800000000019694E-2</v>
      </c>
      <c r="AF592">
        <v>5.5863748652596502E-2</v>
      </c>
      <c r="AG592">
        <v>-0.22618289999999999</v>
      </c>
      <c r="AH592">
        <v>0.54448800399619401</v>
      </c>
      <c r="AI592">
        <v>112.452150273736</v>
      </c>
      <c r="AJ592">
        <v>84.142026094669802</v>
      </c>
      <c r="AK592">
        <v>0.59223867584082202</v>
      </c>
      <c r="AL592">
        <v>81.817280632834098</v>
      </c>
      <c r="AM592">
        <v>88.335697303468095</v>
      </c>
      <c r="AN592">
        <v>0.99999995213830095</v>
      </c>
    </row>
    <row r="593" spans="1:40" x14ac:dyDescent="0.25">
      <c r="A593" t="str">
        <f>"20190303162223590"</f>
        <v>20190303162223590</v>
      </c>
      <c r="B593" t="str">
        <f>"1551601343585164"</f>
        <v>1551601343585164</v>
      </c>
      <c r="C593" t="s">
        <v>40</v>
      </c>
      <c r="D593">
        <v>5.4937909999999999</v>
      </c>
      <c r="E593">
        <v>0.51689189999999996</v>
      </c>
      <c r="F593" t="s">
        <v>42</v>
      </c>
      <c r="G593">
        <v>-369.565</v>
      </c>
      <c r="H593">
        <v>0.90272770000000002</v>
      </c>
      <c r="I593">
        <v>366.9341</v>
      </c>
      <c r="J593">
        <v>-370.14479999999998</v>
      </c>
      <c r="K593">
        <v>1.1209100000000001</v>
      </c>
      <c r="L593">
        <v>367.00110000000001</v>
      </c>
      <c r="M593">
        <v>0.99981750000000003</v>
      </c>
      <c r="N593">
        <v>-1.4689860000000001E-2</v>
      </c>
      <c r="O593">
        <v>-1.221621E-2</v>
      </c>
      <c r="P593">
        <v>0.99108600000000002</v>
      </c>
      <c r="Q593">
        <v>0.12658620000000001</v>
      </c>
      <c r="R593">
        <v>-4.1530249999999998E-2</v>
      </c>
      <c r="S593">
        <v>3.119415</v>
      </c>
      <c r="T593">
        <v>-0.7949579</v>
      </c>
      <c r="U593">
        <v>-0.25555420000000001</v>
      </c>
      <c r="V593">
        <v>2.9434249999999999E-2</v>
      </c>
      <c r="W593">
        <v>0.14113429999999999</v>
      </c>
      <c r="X593">
        <v>0.98955280000000001</v>
      </c>
      <c r="Y593">
        <v>6.7539450000000001E-2</v>
      </c>
      <c r="Z593">
        <v>-6.0798450000000004E-3</v>
      </c>
      <c r="AA593">
        <v>0.99769810000000003</v>
      </c>
      <c r="AB593">
        <v>26</v>
      </c>
      <c r="AC593">
        <v>0.579799999999977</v>
      </c>
      <c r="AD593">
        <v>-0.2181823</v>
      </c>
      <c r="AE593">
        <v>-6.7000000000007207E-2</v>
      </c>
      <c r="AF593">
        <v>5.2565726412969201E-2</v>
      </c>
      <c r="AG593">
        <v>-0.2181823</v>
      </c>
      <c r="AH593">
        <v>0.50939262335604496</v>
      </c>
      <c r="AI593">
        <v>113.07672259285199</v>
      </c>
      <c r="AJ593">
        <v>84.108333584549101</v>
      </c>
      <c r="AK593">
        <v>0.55663948508542505</v>
      </c>
      <c r="AL593">
        <v>81.886511432488604</v>
      </c>
      <c r="AM593">
        <v>88.296239282200204</v>
      </c>
      <c r="AN593">
        <v>1.0000000048486899</v>
      </c>
    </row>
    <row r="594" spans="1:40" x14ac:dyDescent="0.25">
      <c r="A594" t="str">
        <f>"20190303162223612"</f>
        <v>20190303162223612</v>
      </c>
      <c r="B594" t="str">
        <f>"1551601343604686"</f>
        <v>1551601343604686</v>
      </c>
      <c r="C594" t="s">
        <v>40</v>
      </c>
      <c r="D594">
        <v>5.4273660000000001</v>
      </c>
      <c r="E594">
        <v>0.52789339999999996</v>
      </c>
      <c r="F594" t="s">
        <v>42</v>
      </c>
      <c r="G594">
        <v>-369.32569999999998</v>
      </c>
      <c r="H594">
        <v>0.91014969999999995</v>
      </c>
      <c r="I594">
        <v>366.93259999999998</v>
      </c>
      <c r="J594">
        <v>-369.88549999999998</v>
      </c>
      <c r="K594">
        <v>1.1209199999999999</v>
      </c>
      <c r="L594">
        <v>366.99790000000002</v>
      </c>
      <c r="M594">
        <v>0.99981640000000005</v>
      </c>
      <c r="N594">
        <v>-1.4731869999999999E-2</v>
      </c>
      <c r="O594">
        <v>-1.225559E-2</v>
      </c>
      <c r="P594">
        <v>0.99103030000000003</v>
      </c>
      <c r="Q594">
        <v>0.12698090000000001</v>
      </c>
      <c r="R594">
        <v>-4.165253E-2</v>
      </c>
      <c r="S594">
        <v>3.1185299999999998</v>
      </c>
      <c r="T594">
        <v>-0.80242569999999902</v>
      </c>
      <c r="U594">
        <v>-0.26034550000000001</v>
      </c>
      <c r="V594">
        <v>2.9517740000000001E-2</v>
      </c>
      <c r="W594">
        <v>0.14157</v>
      </c>
      <c r="X594">
        <v>0.98948809999999998</v>
      </c>
      <c r="Y594">
        <v>6.8962399999999993E-2</v>
      </c>
      <c r="Z594">
        <v>-6.3133449999999997E-3</v>
      </c>
      <c r="AA594">
        <v>0.99759929999999997</v>
      </c>
      <c r="AB594">
        <v>26</v>
      </c>
      <c r="AC594">
        <v>0.55979999999999497</v>
      </c>
      <c r="AD594">
        <v>-0.21077029999999999</v>
      </c>
      <c r="AE594">
        <v>-6.5300000000036107E-2</v>
      </c>
      <c r="AF594">
        <v>5.1264047489589203E-2</v>
      </c>
      <c r="AG594">
        <v>-0.21077029999999999</v>
      </c>
      <c r="AH594">
        <v>0.49177962099547801</v>
      </c>
      <c r="AI594">
        <v>113.087441584782</v>
      </c>
      <c r="AJ594">
        <v>84.048872072847502</v>
      </c>
      <c r="AK594">
        <v>0.53749355117392905</v>
      </c>
      <c r="AL594">
        <v>81.861294681181406</v>
      </c>
      <c r="AM594">
        <v>88.291297785904504</v>
      </c>
      <c r="AN594">
        <v>1.00000003095815</v>
      </c>
    </row>
    <row r="595" spans="1:40" x14ac:dyDescent="0.25">
      <c r="A595" t="str">
        <f>"20190303162223632"</f>
        <v>20190303162223632</v>
      </c>
      <c r="B595" t="str">
        <f>"1551601343625180"</f>
        <v>1551601343625180</v>
      </c>
      <c r="C595" t="s">
        <v>40</v>
      </c>
      <c r="D595">
        <v>5.3791769999999897</v>
      </c>
      <c r="E595">
        <v>0.5282829</v>
      </c>
      <c r="F595" t="s">
        <v>42</v>
      </c>
      <c r="G595">
        <v>-369.10759999999999</v>
      </c>
      <c r="H595">
        <v>0.86940720000000005</v>
      </c>
      <c r="I595">
        <v>366.91140000000001</v>
      </c>
      <c r="J595">
        <v>-369.62900000000002</v>
      </c>
      <c r="K595">
        <v>1.1209249999999999</v>
      </c>
      <c r="L595">
        <v>366.99470000000002</v>
      </c>
      <c r="M595">
        <v>0.99981549999999997</v>
      </c>
      <c r="N595">
        <v>-1.476714E-2</v>
      </c>
      <c r="O595">
        <v>-1.2292290000000001E-2</v>
      </c>
      <c r="P595">
        <v>0.99098770000000003</v>
      </c>
      <c r="Q595">
        <v>0.12729960000000001</v>
      </c>
      <c r="R595">
        <v>-4.1695709999999997E-2</v>
      </c>
      <c r="S595">
        <v>3.1427309999999999</v>
      </c>
      <c r="T595">
        <v>-1.0161230000000001</v>
      </c>
      <c r="U595">
        <v>-0.34786990000000001</v>
      </c>
      <c r="V595">
        <v>2.9524470000000001E-2</v>
      </c>
      <c r="W595">
        <v>0.1419231</v>
      </c>
      <c r="X595">
        <v>0.98943729999999996</v>
      </c>
      <c r="Y595">
        <v>9.3422660000000005E-2</v>
      </c>
      <c r="Z595">
        <v>-1.170847E-2</v>
      </c>
      <c r="AA595">
        <v>0.99555769999999999</v>
      </c>
      <c r="AB595">
        <v>26</v>
      </c>
      <c r="AC595">
        <v>0.52140000000002795</v>
      </c>
      <c r="AD595">
        <v>-0.25151779999999901</v>
      </c>
      <c r="AE595">
        <v>-8.3300000000008298E-2</v>
      </c>
      <c r="AF595">
        <v>6.2664693638434493E-2</v>
      </c>
      <c r="AG595">
        <v>-0.25151779999999901</v>
      </c>
      <c r="AH595">
        <v>0.425773331108385</v>
      </c>
      <c r="AI595">
        <v>120.3035407096</v>
      </c>
      <c r="AJ595">
        <v>81.627400418044104</v>
      </c>
      <c r="AK595">
        <v>0.49846865200207902</v>
      </c>
      <c r="AL595">
        <v>81.840857058343502</v>
      </c>
      <c r="AM595">
        <v>88.290820738748593</v>
      </c>
      <c r="AN595">
        <v>1.00000001563684</v>
      </c>
    </row>
    <row r="596" spans="1:40" x14ac:dyDescent="0.25">
      <c r="A596" t="str">
        <f>"20190303162223655"</f>
        <v>20190303162223655</v>
      </c>
      <c r="B596" t="str">
        <f>"1551601343644701"</f>
        <v>1551601343644701</v>
      </c>
      <c r="C596" t="s">
        <v>40</v>
      </c>
      <c r="D596">
        <v>5.4198079999999997</v>
      </c>
      <c r="E596">
        <v>0.52881129999999998</v>
      </c>
      <c r="F596" t="s">
        <v>42</v>
      </c>
      <c r="G596">
        <v>-368.87220000000002</v>
      </c>
      <c r="H596">
        <v>0.87019000000000002</v>
      </c>
      <c r="I596">
        <v>366.91</v>
      </c>
      <c r="J596">
        <v>-369.37450000000001</v>
      </c>
      <c r="K596">
        <v>1.1209260000000001</v>
      </c>
      <c r="L596">
        <v>366.99149999999997</v>
      </c>
      <c r="M596">
        <v>0.9998146</v>
      </c>
      <c r="N596">
        <v>-1.479664E-2</v>
      </c>
      <c r="O596">
        <v>-1.232609E-2</v>
      </c>
      <c r="P596">
        <v>0.99105350000000003</v>
      </c>
      <c r="Q596">
        <v>0.12657460000000001</v>
      </c>
      <c r="R596">
        <v>-4.2331580000000001E-2</v>
      </c>
      <c r="S596">
        <v>3.1463930000000002</v>
      </c>
      <c r="T596">
        <v>-1.0424310000000001</v>
      </c>
      <c r="U596">
        <v>-0.3510742</v>
      </c>
      <c r="V596">
        <v>3.0125409999999998E-2</v>
      </c>
      <c r="W596">
        <v>0.14122879999999999</v>
      </c>
      <c r="X596">
        <v>0.98951849999999997</v>
      </c>
      <c r="Y596">
        <v>9.4025689999999995E-2</v>
      </c>
      <c r="Z596">
        <v>-1.205558E-2</v>
      </c>
      <c r="AA596">
        <v>0.99549670000000001</v>
      </c>
      <c r="AB596">
        <v>26</v>
      </c>
      <c r="AC596">
        <v>0.50229999999999098</v>
      </c>
      <c r="AD596">
        <v>-0.25073600000000001</v>
      </c>
      <c r="AE596">
        <v>-8.14999999999486E-2</v>
      </c>
      <c r="AF596">
        <v>6.0591126552446001E-2</v>
      </c>
      <c r="AG596">
        <v>-0.25073600000000001</v>
      </c>
      <c r="AH596">
        <v>0.40495063601164399</v>
      </c>
      <c r="AI596">
        <v>121.48163222479999</v>
      </c>
      <c r="AJ596">
        <v>81.490195021810194</v>
      </c>
      <c r="AK596">
        <v>0.48013002813730499</v>
      </c>
      <c r="AL596">
        <v>81.881042062767307</v>
      </c>
      <c r="AM596">
        <v>88.256196454155798</v>
      </c>
      <c r="AN596">
        <v>0.99999998805967805</v>
      </c>
    </row>
    <row r="597" spans="1:40" x14ac:dyDescent="0.25">
      <c r="A597" t="str">
        <f>"20190303162223669"</f>
        <v>20190303162223669</v>
      </c>
      <c r="B597" t="str">
        <f>"1551601343665196"</f>
        <v>1551601343665196</v>
      </c>
      <c r="C597" t="s">
        <v>40</v>
      </c>
      <c r="D597">
        <v>5.4294890000000002</v>
      </c>
      <c r="E597">
        <v>0.52895249999999905</v>
      </c>
      <c r="F597" t="s">
        <v>42</v>
      </c>
      <c r="G597">
        <v>-368.63639999999998</v>
      </c>
      <c r="H597">
        <v>0.87306240000000002</v>
      </c>
      <c r="I597">
        <v>366.90719999999999</v>
      </c>
      <c r="J597">
        <v>-369.21519999999998</v>
      </c>
      <c r="K597">
        <v>1.120919</v>
      </c>
      <c r="L597">
        <v>366.98950000000002</v>
      </c>
      <c r="M597">
        <v>0.99981419999999999</v>
      </c>
      <c r="N597">
        <v>-1.481268E-2</v>
      </c>
      <c r="O597">
        <v>-1.234586E-2</v>
      </c>
      <c r="P597">
        <v>0.99107089999999998</v>
      </c>
      <c r="Q597">
        <v>0.12642200000000001</v>
      </c>
      <c r="R597">
        <v>-4.2384119999999997E-2</v>
      </c>
      <c r="S597">
        <v>3.1467900000000002</v>
      </c>
      <c r="T597">
        <v>-1.05671</v>
      </c>
      <c r="U597">
        <v>-0.3577881</v>
      </c>
      <c r="V597">
        <v>3.0157710000000001E-2</v>
      </c>
      <c r="W597">
        <v>0.141092299999999</v>
      </c>
      <c r="X597">
        <v>0.989537</v>
      </c>
      <c r="Y597">
        <v>9.5867889999999997E-2</v>
      </c>
      <c r="Z597">
        <v>-1.250749E-2</v>
      </c>
      <c r="AA597">
        <v>0.99531550000000002</v>
      </c>
      <c r="AB597">
        <v>26</v>
      </c>
      <c r="AC597">
        <v>0.57880000000000098</v>
      </c>
      <c r="AD597">
        <v>-0.24785660000000001</v>
      </c>
      <c r="AE597">
        <v>-8.2300000000032E-2</v>
      </c>
      <c r="AF597">
        <v>6.3697931719264203E-2</v>
      </c>
      <c r="AG597">
        <v>-0.24785660000000001</v>
      </c>
      <c r="AH597">
        <v>0.491439476720613</v>
      </c>
      <c r="AI597">
        <v>116.57258050259701</v>
      </c>
      <c r="AJ597">
        <v>82.614780761591405</v>
      </c>
      <c r="AK597">
        <v>0.55407858643725105</v>
      </c>
      <c r="AL597">
        <v>81.888942134755993</v>
      </c>
      <c r="AM597">
        <v>88.254360547328801</v>
      </c>
      <c r="AN597">
        <v>0.999999999480367</v>
      </c>
    </row>
    <row r="598" spans="1:40" x14ac:dyDescent="0.25">
      <c r="A598" t="str">
        <f>"20190303162223688"</f>
        <v>20190303162223688</v>
      </c>
      <c r="B598" t="str">
        <f>"1551601343684716"</f>
        <v>1551601343684716</v>
      </c>
      <c r="C598" t="s">
        <v>40</v>
      </c>
      <c r="D598">
        <v>5.445678</v>
      </c>
      <c r="E598">
        <v>0.52927919999999995</v>
      </c>
      <c r="F598" t="s">
        <v>42</v>
      </c>
      <c r="G598">
        <v>-368.41160000000002</v>
      </c>
      <c r="H598">
        <v>0.84976890000000005</v>
      </c>
      <c r="I598">
        <v>366.89760000000001</v>
      </c>
      <c r="J598">
        <v>-368.97710000000001</v>
      </c>
      <c r="K598">
        <v>1.120919</v>
      </c>
      <c r="L598">
        <v>366.98660000000001</v>
      </c>
      <c r="M598">
        <v>0.99981339999999996</v>
      </c>
      <c r="N598">
        <v>-1.483349E-2</v>
      </c>
      <c r="O598">
        <v>-1.2373759999999999E-2</v>
      </c>
      <c r="P598">
        <v>0.99150819999999995</v>
      </c>
      <c r="Q598">
        <v>0.12289750000000001</v>
      </c>
      <c r="R598">
        <v>-4.2519880000000003E-2</v>
      </c>
      <c r="S598">
        <v>3.1470639999999999</v>
      </c>
      <c r="T598">
        <v>-1.0617749999999999</v>
      </c>
      <c r="U598">
        <v>-0.35943599999999998</v>
      </c>
      <c r="V598">
        <v>3.0259399999999999E-2</v>
      </c>
      <c r="W598">
        <v>0.1375953</v>
      </c>
      <c r="X598">
        <v>0.99002619999999997</v>
      </c>
      <c r="Y598">
        <v>9.6279580000000003E-2</v>
      </c>
      <c r="Z598">
        <v>-1.262216E-2</v>
      </c>
      <c r="AA598">
        <v>0.99527429999999995</v>
      </c>
      <c r="AB598">
        <v>26</v>
      </c>
      <c r="AC598">
        <v>0.56549999999998501</v>
      </c>
      <c r="AD598">
        <v>-0.27115009999999901</v>
      </c>
      <c r="AE598">
        <v>-8.8999999999998594E-2</v>
      </c>
      <c r="AF598">
        <v>6.6970213108656598E-2</v>
      </c>
      <c r="AG598">
        <v>-0.27115009999999901</v>
      </c>
      <c r="AH598">
        <v>0.46274151802248797</v>
      </c>
      <c r="AI598">
        <v>120.11041652236101</v>
      </c>
      <c r="AJ598">
        <v>81.765051695722903</v>
      </c>
      <c r="AK598">
        <v>0.54049708479841496</v>
      </c>
      <c r="AL598">
        <v>82.091279480231194</v>
      </c>
      <c r="AM598">
        <v>88.249342953435402</v>
      </c>
      <c r="AN598">
        <v>0.99999998727844397</v>
      </c>
    </row>
    <row r="599" spans="1:40" x14ac:dyDescent="0.25">
      <c r="A599" t="str">
        <f>"20190303162223703"</f>
        <v>20190303162223703</v>
      </c>
      <c r="B599" t="str">
        <f>"1551601343695452"</f>
        <v>1551601343695452</v>
      </c>
      <c r="C599" t="s">
        <v>40</v>
      </c>
      <c r="D599">
        <v>5.4390749999999999</v>
      </c>
      <c r="E599">
        <v>0.52941110000000002</v>
      </c>
      <c r="F599" t="s">
        <v>42</v>
      </c>
      <c r="G599">
        <v>-368.17770000000002</v>
      </c>
      <c r="H599">
        <v>0.8501263</v>
      </c>
      <c r="I599">
        <v>366.89400000000001</v>
      </c>
      <c r="J599">
        <v>-368.81470000000002</v>
      </c>
      <c r="K599">
        <v>1.1209199999999999</v>
      </c>
      <c r="L599">
        <v>366.98450000000003</v>
      </c>
      <c r="M599">
        <v>0.99981299999999995</v>
      </c>
      <c r="N599">
        <v>-1.4846140000000001E-2</v>
      </c>
      <c r="O599">
        <v>-1.239232E-2</v>
      </c>
      <c r="P599">
        <v>0.99150859999999996</v>
      </c>
      <c r="Q599">
        <v>0.12290909999999999</v>
      </c>
      <c r="R599">
        <v>-4.2474119999999997E-2</v>
      </c>
      <c r="S599">
        <v>3.1420590000000002</v>
      </c>
      <c r="T599">
        <v>-1.0642130000000001</v>
      </c>
      <c r="U599">
        <v>-0.36233520000000002</v>
      </c>
      <c r="V599">
        <v>3.019498E-2</v>
      </c>
      <c r="W599">
        <v>0.13761989999999999</v>
      </c>
      <c r="X599">
        <v>0.99002469999999998</v>
      </c>
      <c r="Y599">
        <v>9.7255270000000005E-2</v>
      </c>
      <c r="Z599">
        <v>-1.28275E-2</v>
      </c>
      <c r="AA599">
        <v>0.99517679999999997</v>
      </c>
      <c r="AB599">
        <v>26</v>
      </c>
      <c r="AC599">
        <v>0.63700000000000001</v>
      </c>
      <c r="AD599">
        <v>-0.27079369999999903</v>
      </c>
      <c r="AE599">
        <v>-9.0500000000019995E-2</v>
      </c>
      <c r="AF599">
        <v>7.01685346283729E-2</v>
      </c>
      <c r="AG599">
        <v>-0.27079369999999903</v>
      </c>
      <c r="AH599">
        <v>0.54205282894305395</v>
      </c>
      <c r="AI599">
        <v>116.355510563934</v>
      </c>
      <c r="AJ599">
        <v>82.624100228600298</v>
      </c>
      <c r="AK599">
        <v>0.60997878698914598</v>
      </c>
      <c r="AL599">
        <v>82.089856091491896</v>
      </c>
      <c r="AM599">
        <v>88.253065014377498</v>
      </c>
      <c r="AN599">
        <v>0.99999994015164795</v>
      </c>
    </row>
    <row r="600" spans="1:40" x14ac:dyDescent="0.25">
      <c r="A600" t="str">
        <f>"20190303162223733"</f>
        <v>20190303162223733</v>
      </c>
      <c r="B600" t="str">
        <f>"1551601343724732"</f>
        <v>1551601343724732</v>
      </c>
      <c r="C600" t="s">
        <v>40</v>
      </c>
      <c r="D600">
        <v>5.4098480000000002</v>
      </c>
      <c r="E600">
        <v>0.52977839999999998</v>
      </c>
      <c r="F600" t="s">
        <v>42</v>
      </c>
      <c r="G600">
        <v>-367.95249999999999</v>
      </c>
      <c r="H600">
        <v>0.83009120000000003</v>
      </c>
      <c r="I600">
        <v>366.8845</v>
      </c>
      <c r="J600">
        <v>-368.45960000000002</v>
      </c>
      <c r="K600">
        <v>1.1209519999999999</v>
      </c>
      <c r="L600">
        <v>366.98009999999999</v>
      </c>
      <c r="M600">
        <v>0.99981220000000004</v>
      </c>
      <c r="N600">
        <v>-1.4867790000000001E-2</v>
      </c>
      <c r="O600">
        <v>-1.2431319999999999E-2</v>
      </c>
      <c r="P600">
        <v>0.99087239999999999</v>
      </c>
      <c r="Q600">
        <v>0.12833849999999999</v>
      </c>
      <c r="R600">
        <v>-4.1242849999999998E-2</v>
      </c>
      <c r="S600">
        <v>3.1414789999999999</v>
      </c>
      <c r="T600">
        <v>-1.059679</v>
      </c>
      <c r="U600">
        <v>-0.36331180000000002</v>
      </c>
      <c r="V600">
        <v>2.8933170000000001E-2</v>
      </c>
      <c r="W600">
        <v>0.14306050000000001</v>
      </c>
      <c r="X600">
        <v>0.98929100000000003</v>
      </c>
      <c r="Y600">
        <v>9.7564990000000004E-2</v>
      </c>
      <c r="Z600">
        <v>-1.2823380000000001E-2</v>
      </c>
      <c r="AA600">
        <v>0.99514650000000004</v>
      </c>
      <c r="AB600">
        <v>26</v>
      </c>
      <c r="AC600">
        <v>0.50710000000003597</v>
      </c>
      <c r="AD600">
        <v>-0.29086079999999898</v>
      </c>
      <c r="AE600">
        <v>-9.5599999999990304E-2</v>
      </c>
      <c r="AF600">
        <v>6.7760534945769599E-2</v>
      </c>
      <c r="AG600">
        <v>-0.29086079999999898</v>
      </c>
      <c r="AH600">
        <v>0.38570975307329802</v>
      </c>
      <c r="AI600">
        <v>126.601951922872</v>
      </c>
      <c r="AJ600">
        <v>80.036093001136805</v>
      </c>
      <c r="AK600">
        <v>0.48781503532449799</v>
      </c>
      <c r="AL600">
        <v>81.775017360632106</v>
      </c>
      <c r="AM600">
        <v>88.3247839922183</v>
      </c>
      <c r="AN600">
        <v>1.0000000588337401</v>
      </c>
    </row>
    <row r="601" spans="1:40" x14ac:dyDescent="0.25">
      <c r="A601" t="str">
        <f>"20190303162223754"</f>
        <v>20190303162223754</v>
      </c>
      <c r="B601" t="str">
        <f>"1551601343745145"</f>
        <v>1551601343745145</v>
      </c>
      <c r="C601" t="s">
        <v>40</v>
      </c>
      <c r="D601">
        <v>5.4304589999999999</v>
      </c>
      <c r="E601">
        <v>0.52977989999999997</v>
      </c>
      <c r="F601" t="s">
        <v>42</v>
      </c>
      <c r="G601">
        <v>-367.70240000000001</v>
      </c>
      <c r="H601">
        <v>0.87259439999999999</v>
      </c>
      <c r="I601">
        <v>366.89229999999998</v>
      </c>
      <c r="J601">
        <v>-368.21129999999999</v>
      </c>
      <c r="K601">
        <v>1.120938</v>
      </c>
      <c r="L601">
        <v>366.97699999999998</v>
      </c>
      <c r="M601">
        <v>0.99981169999999997</v>
      </c>
      <c r="N601">
        <v>-1.4879989999999999E-2</v>
      </c>
      <c r="O601">
        <v>-1.24575E-2</v>
      </c>
      <c r="P601">
        <v>0.99077340000000003</v>
      </c>
      <c r="Q601">
        <v>0.12932859999999999</v>
      </c>
      <c r="R601">
        <v>-4.0527069999999998E-2</v>
      </c>
      <c r="S601">
        <v>3.146118</v>
      </c>
      <c r="T601">
        <v>-1.0318719999999999</v>
      </c>
      <c r="U601">
        <v>-0.36386109999999999</v>
      </c>
      <c r="V601">
        <v>2.8192519999999999E-2</v>
      </c>
      <c r="W601">
        <v>0.14406099999999999</v>
      </c>
      <c r="X601">
        <v>0.98916720000000002</v>
      </c>
      <c r="Y601">
        <v>9.7788319999999998E-2</v>
      </c>
      <c r="Z601">
        <v>-1.253991E-2</v>
      </c>
      <c r="AA601">
        <v>0.99512820000000002</v>
      </c>
      <c r="AB601">
        <v>26</v>
      </c>
      <c r="AC601">
        <v>0.50889999999998203</v>
      </c>
      <c r="AD601">
        <v>-0.2483436</v>
      </c>
      <c r="AE601">
        <v>-8.4699999999997999E-2</v>
      </c>
      <c r="AF601">
        <v>6.3612463622121806E-2</v>
      </c>
      <c r="AG601">
        <v>-0.2483436</v>
      </c>
      <c r="AH601">
        <v>0.41398486196339002</v>
      </c>
      <c r="AI601">
        <v>120.664834706745</v>
      </c>
      <c r="AJ601">
        <v>81.264318129608199</v>
      </c>
      <c r="AK601">
        <v>0.486933830334146</v>
      </c>
      <c r="AL601">
        <v>81.717093015059206</v>
      </c>
      <c r="AM601">
        <v>88.367439561153603</v>
      </c>
      <c r="AN601">
        <v>1.0000000697303899</v>
      </c>
    </row>
    <row r="602" spans="1:40" x14ac:dyDescent="0.25">
      <c r="A602" t="str">
        <f>"20190303162223777"</f>
        <v>20190303162223777</v>
      </c>
      <c r="B602" t="str">
        <f>"1551601343764665"</f>
        <v>1551601343764665</v>
      </c>
      <c r="C602" t="s">
        <v>40</v>
      </c>
      <c r="D602">
        <v>5.4404560000000002</v>
      </c>
      <c r="E602">
        <v>0.52989649999999999</v>
      </c>
      <c r="F602" t="s">
        <v>42</v>
      </c>
      <c r="G602">
        <v>-367.46749999999997</v>
      </c>
      <c r="H602">
        <v>0.87879959999999901</v>
      </c>
      <c r="I602">
        <v>366.89120000000003</v>
      </c>
      <c r="J602">
        <v>-367.95069999999998</v>
      </c>
      <c r="K602">
        <v>1.120933</v>
      </c>
      <c r="L602">
        <v>366.97370000000001</v>
      </c>
      <c r="M602">
        <v>0.99981140000000002</v>
      </c>
      <c r="N602">
        <v>-1.4890199999999999E-2</v>
      </c>
      <c r="O602">
        <v>-1.248427E-2</v>
      </c>
      <c r="P602">
        <v>0.99119080000000004</v>
      </c>
      <c r="Q602">
        <v>0.12635769999999999</v>
      </c>
      <c r="R602">
        <v>-3.9687430000000003E-2</v>
      </c>
      <c r="S602">
        <v>3.146881</v>
      </c>
      <c r="T602">
        <v>-1.02443</v>
      </c>
      <c r="U602">
        <v>-0.36178589999999999</v>
      </c>
      <c r="V602">
        <v>2.7320980000000002E-2</v>
      </c>
      <c r="W602">
        <v>0.1411065</v>
      </c>
      <c r="X602">
        <v>0.98961730000000003</v>
      </c>
      <c r="Y602">
        <v>9.7185579999999994E-2</v>
      </c>
      <c r="Z602">
        <v>-1.2350399999999999E-2</v>
      </c>
      <c r="AA602">
        <v>0.99518969999999995</v>
      </c>
      <c r="AB602">
        <v>26</v>
      </c>
      <c r="AC602">
        <v>0.48320000000001001</v>
      </c>
      <c r="AD602">
        <v>-0.2421334</v>
      </c>
      <c r="AE602">
        <v>-8.2499999999981796E-2</v>
      </c>
      <c r="AF602">
        <v>6.1463798115997399E-2</v>
      </c>
      <c r="AG602">
        <v>-0.2421334</v>
      </c>
      <c r="AH602">
        <v>0.38922454205183499</v>
      </c>
      <c r="AI602">
        <v>121.569788265762</v>
      </c>
      <c r="AJ602">
        <v>81.026326155030901</v>
      </c>
      <c r="AK602">
        <v>0.46249554161079798</v>
      </c>
      <c r="AL602">
        <v>81.888119830027307</v>
      </c>
      <c r="AM602">
        <v>88.418601485757193</v>
      </c>
      <c r="AN602">
        <v>0.99999994037484796</v>
      </c>
    </row>
    <row r="603" spans="1:40" x14ac:dyDescent="0.25">
      <c r="A603" t="str">
        <f>"20190303162223802"</f>
        <v>20190303162223802</v>
      </c>
      <c r="B603" t="str">
        <f>"1551601343794922"</f>
        <v>1551601343794922</v>
      </c>
      <c r="C603" t="s">
        <v>40</v>
      </c>
      <c r="D603">
        <v>5.3933910000000003</v>
      </c>
      <c r="E603">
        <v>0.52989659999999905</v>
      </c>
      <c r="F603" t="s">
        <v>42</v>
      </c>
      <c r="G603">
        <v>-367.23270000000002</v>
      </c>
      <c r="H603">
        <v>0.885712099999999</v>
      </c>
      <c r="I603">
        <v>366.89109999999999</v>
      </c>
      <c r="J603">
        <v>-367.66719999999998</v>
      </c>
      <c r="K603">
        <v>1.120935</v>
      </c>
      <c r="L603">
        <v>366.9701</v>
      </c>
      <c r="M603">
        <v>0.9998108</v>
      </c>
      <c r="N603">
        <v>-1.4898679999999999E-2</v>
      </c>
      <c r="O603">
        <v>-1.25133E-2</v>
      </c>
      <c r="P603">
        <v>0.99116439999999995</v>
      </c>
      <c r="Q603">
        <v>0.12679509999999999</v>
      </c>
      <c r="R603">
        <v>-3.8940219999999998E-2</v>
      </c>
      <c r="S603">
        <v>3.1435550000000001</v>
      </c>
      <c r="T603">
        <v>-1.029792</v>
      </c>
      <c r="U603">
        <v>-0.36029050000000001</v>
      </c>
      <c r="V603">
        <v>2.6545260000000001E-2</v>
      </c>
      <c r="W603">
        <v>0.14155209999999999</v>
      </c>
      <c r="X603">
        <v>0.98957479999999998</v>
      </c>
      <c r="Y603">
        <v>9.6776899999999999E-2</v>
      </c>
      <c r="Z603">
        <v>-1.234273E-2</v>
      </c>
      <c r="AA603">
        <v>0.99522949999999999</v>
      </c>
      <c r="AB603">
        <v>26</v>
      </c>
      <c r="AC603">
        <v>0.43449999999995698</v>
      </c>
      <c r="AD603">
        <v>-0.23522290000000001</v>
      </c>
      <c r="AE603">
        <v>-7.9000000000007703E-2</v>
      </c>
      <c r="AF603">
        <v>5.7300260152359103E-2</v>
      </c>
      <c r="AG603">
        <v>-0.23522290000000001</v>
      </c>
      <c r="AH603">
        <v>0.33921912877422</v>
      </c>
      <c r="AI603">
        <v>124.361922141367</v>
      </c>
      <c r="AJ603">
        <v>80.412211044513995</v>
      </c>
      <c r="AK603">
        <v>0.416752624256019</v>
      </c>
      <c r="AL603">
        <v>81.862330179312806</v>
      </c>
      <c r="AM603">
        <v>88.463414071481694</v>
      </c>
      <c r="AN603">
        <v>0.99999996631895804</v>
      </c>
    </row>
    <row r="604" spans="1:40" x14ac:dyDescent="0.25">
      <c r="A604" t="str">
        <f>"20190303162223826"</f>
        <v>20190303162223826</v>
      </c>
      <c r="B604" t="str">
        <f>"1551601343815417"</f>
        <v>1551601343815417</v>
      </c>
      <c r="C604" t="s">
        <v>40</v>
      </c>
      <c r="D604">
        <v>5.4218840000000004</v>
      </c>
      <c r="E604">
        <v>0.52999099999999999</v>
      </c>
      <c r="F604" t="s">
        <v>42</v>
      </c>
      <c r="G604">
        <v>-366.99450000000002</v>
      </c>
      <c r="H604">
        <v>0.90141610000000005</v>
      </c>
      <c r="I604">
        <v>366.89319999999998</v>
      </c>
      <c r="J604">
        <v>-367.40159999999997</v>
      </c>
      <c r="K604">
        <v>1.120954</v>
      </c>
      <c r="L604">
        <v>366.96679999999998</v>
      </c>
      <c r="M604">
        <v>0.99981030000000004</v>
      </c>
      <c r="N604">
        <v>-1.490447E-2</v>
      </c>
      <c r="O604">
        <v>-1.2540279999999999E-2</v>
      </c>
      <c r="P604">
        <v>0.9908825</v>
      </c>
      <c r="Q604">
        <v>0.1292219</v>
      </c>
      <c r="R604">
        <v>-3.8126640000000003E-2</v>
      </c>
      <c r="S604">
        <v>3.1438600000000001</v>
      </c>
      <c r="T604">
        <v>-1.0259180000000001</v>
      </c>
      <c r="U604">
        <v>-0.35928339999999998</v>
      </c>
      <c r="V604">
        <v>2.5708689999999999E-2</v>
      </c>
      <c r="W604">
        <v>0.14397979999999999</v>
      </c>
      <c r="X604">
        <v>0.98924659999999998</v>
      </c>
      <c r="Y604">
        <v>9.6475430000000001E-2</v>
      </c>
      <c r="Z604">
        <v>-1.2243E-2</v>
      </c>
      <c r="AA604">
        <v>0.99526009999999998</v>
      </c>
      <c r="AB604">
        <v>26</v>
      </c>
      <c r="AC604">
        <v>0.407099999999957</v>
      </c>
      <c r="AD604">
        <v>-0.21953789999999901</v>
      </c>
      <c r="AE604">
        <v>-7.3599999999999E-2</v>
      </c>
      <c r="AF604">
        <v>5.3439401832234598E-2</v>
      </c>
      <c r="AG604">
        <v>-0.21953789999999901</v>
      </c>
      <c r="AH604">
        <v>0.31834247737491</v>
      </c>
      <c r="AI604">
        <v>124.220089753124</v>
      </c>
      <c r="AJ604">
        <v>80.470739651488898</v>
      </c>
      <c r="AK604">
        <v>0.390377499487089</v>
      </c>
      <c r="AL604">
        <v>81.721793677574198</v>
      </c>
      <c r="AM604">
        <v>88.511323713710098</v>
      </c>
      <c r="AN604">
        <v>0.99999997758055703</v>
      </c>
    </row>
    <row r="605" spans="1:40" x14ac:dyDescent="0.25">
      <c r="A605" t="str">
        <f>"20190303162223845"</f>
        <v>20190303162223845</v>
      </c>
      <c r="B605" t="str">
        <f>"1551601343834941"</f>
        <v>1551601343834941</v>
      </c>
      <c r="C605" t="s">
        <v>40</v>
      </c>
      <c r="D605">
        <v>5.4255060000000004</v>
      </c>
      <c r="E605">
        <v>0.53009329999999999</v>
      </c>
      <c r="F605" t="s">
        <v>42</v>
      </c>
      <c r="G605">
        <v>-366.5548</v>
      </c>
      <c r="H605">
        <v>0.84730409999999901</v>
      </c>
      <c r="I605">
        <v>366.86989999999997</v>
      </c>
      <c r="J605">
        <v>-367.1653</v>
      </c>
      <c r="K605">
        <v>1.1209629999999999</v>
      </c>
      <c r="L605">
        <v>366.96379999999999</v>
      </c>
      <c r="M605">
        <v>0.99980999999999998</v>
      </c>
      <c r="N605">
        <v>-1.490821E-2</v>
      </c>
      <c r="O605">
        <v>-1.2565099999999999E-2</v>
      </c>
      <c r="P605">
        <v>0.99077479999999996</v>
      </c>
      <c r="Q605">
        <v>0.13004930000000001</v>
      </c>
      <c r="R605">
        <v>-3.8118329999999999E-2</v>
      </c>
      <c r="S605">
        <v>3.1463930000000002</v>
      </c>
      <c r="T605">
        <v>-1.016885</v>
      </c>
      <c r="U605">
        <v>-0.35830689999999998</v>
      </c>
      <c r="V605">
        <v>2.567711E-2</v>
      </c>
      <c r="W605">
        <v>0.144809299999999</v>
      </c>
      <c r="X605">
        <v>0.98912639999999996</v>
      </c>
      <c r="Y605">
        <v>9.6156220000000001E-2</v>
      </c>
      <c r="Z605">
        <v>-1.2079690000000001E-2</v>
      </c>
      <c r="AA605">
        <v>0.99529299999999998</v>
      </c>
      <c r="AB605">
        <v>26</v>
      </c>
      <c r="AC605">
        <v>0.61050000000000104</v>
      </c>
      <c r="AD605">
        <v>-0.27365889999999998</v>
      </c>
      <c r="AE605">
        <v>-9.3900000000019204E-2</v>
      </c>
      <c r="AF605">
        <v>7.2073575066912698E-2</v>
      </c>
      <c r="AG605">
        <v>-0.27365889999999998</v>
      </c>
      <c r="AH605">
        <v>0.51127477642249797</v>
      </c>
      <c r="AI605">
        <v>117.923943876468</v>
      </c>
      <c r="AJ605">
        <v>81.975979561717693</v>
      </c>
      <c r="AK605">
        <v>0.58436777013967001</v>
      </c>
      <c r="AL605">
        <v>81.673764012703501</v>
      </c>
      <c r="AM605">
        <v>88.512970947420598</v>
      </c>
      <c r="AN605">
        <v>1.0000000412607</v>
      </c>
    </row>
    <row r="606" spans="1:40" x14ac:dyDescent="0.25">
      <c r="A606" t="str">
        <f>"20190303162223866"</f>
        <v>20190303162223866</v>
      </c>
      <c r="B606" t="str">
        <f>"1551601343855094"</f>
        <v>1551601343855094</v>
      </c>
      <c r="C606" t="s">
        <v>40</v>
      </c>
      <c r="D606">
        <v>5.3917289999999998</v>
      </c>
      <c r="E606">
        <v>0.53010800000000002</v>
      </c>
      <c r="F606" t="s">
        <v>42</v>
      </c>
      <c r="G606">
        <v>-366.32350000000002</v>
      </c>
      <c r="H606">
        <v>0.84985569999999899</v>
      </c>
      <c r="I606">
        <v>366.86720000000003</v>
      </c>
      <c r="J606">
        <v>-366.91090000000003</v>
      </c>
      <c r="K606">
        <v>1.1209690000000001</v>
      </c>
      <c r="L606">
        <v>366.96050000000002</v>
      </c>
      <c r="M606">
        <v>0.99980959999999997</v>
      </c>
      <c r="N606">
        <v>-1.4910959999999999E-2</v>
      </c>
      <c r="O606">
        <v>-1.2591700000000001E-2</v>
      </c>
      <c r="P606">
        <v>0.990846</v>
      </c>
      <c r="Q606">
        <v>0.12949479999999999</v>
      </c>
      <c r="R606">
        <v>-3.8154170000000001E-2</v>
      </c>
      <c r="S606">
        <v>3.1470950000000002</v>
      </c>
      <c r="T606">
        <v>-1.0136039999999999</v>
      </c>
      <c r="U606">
        <v>-0.35989379999999999</v>
      </c>
      <c r="V606">
        <v>2.568546E-2</v>
      </c>
      <c r="W606">
        <v>0.14425869999999999</v>
      </c>
      <c r="X606">
        <v>0.98920660000000005</v>
      </c>
      <c r="Y606">
        <v>9.6607310000000002E-2</v>
      </c>
      <c r="Z606">
        <v>-1.210902E-2</v>
      </c>
      <c r="AA606">
        <v>0.99524889999999999</v>
      </c>
      <c r="AB606">
        <v>26</v>
      </c>
      <c r="AC606">
        <v>0.58740000000000203</v>
      </c>
      <c r="AD606">
        <v>-0.2711133</v>
      </c>
      <c r="AE606">
        <v>-9.3299999999999203E-2</v>
      </c>
      <c r="AF606">
        <v>7.1118167513101294E-2</v>
      </c>
      <c r="AG606">
        <v>-0.2711133</v>
      </c>
      <c r="AH606">
        <v>0.48727930635421401</v>
      </c>
      <c r="AI606">
        <v>118.834935040861</v>
      </c>
      <c r="AJ606">
        <v>81.696338298972705</v>
      </c>
      <c r="AK606">
        <v>0.56213996263239996</v>
      </c>
      <c r="AL606">
        <v>81.705645541470304</v>
      </c>
      <c r="AM606">
        <v>88.512608140164403</v>
      </c>
      <c r="AN606">
        <v>1.00000000643233</v>
      </c>
    </row>
    <row r="607" spans="1:40" x14ac:dyDescent="0.25">
      <c r="A607" t="str">
        <f>"20190303162223890"</f>
        <v>20190303162223890</v>
      </c>
      <c r="B607" t="str">
        <f>"1551601343885349"</f>
        <v>1551601343885349</v>
      </c>
      <c r="C607" t="s">
        <v>40</v>
      </c>
      <c r="D607">
        <v>5.46089</v>
      </c>
      <c r="E607">
        <v>0.5301534</v>
      </c>
      <c r="F607" t="s">
        <v>42</v>
      </c>
      <c r="G607">
        <v>-366.09100000000001</v>
      </c>
      <c r="H607">
        <v>0.85649249999999899</v>
      </c>
      <c r="I607">
        <v>366.86630000000002</v>
      </c>
      <c r="J607">
        <v>-366.65600000000001</v>
      </c>
      <c r="K607">
        <v>1.1209789999999999</v>
      </c>
      <c r="L607">
        <v>366.95729999999998</v>
      </c>
      <c r="M607">
        <v>0.99980919999999895</v>
      </c>
      <c r="N607">
        <v>-1.491253E-2</v>
      </c>
      <c r="O607">
        <v>-1.261806E-2</v>
      </c>
      <c r="P607">
        <v>0.9907049</v>
      </c>
      <c r="Q607">
        <v>0.13068379999999999</v>
      </c>
      <c r="R607">
        <v>-3.7757890000000002E-2</v>
      </c>
      <c r="S607">
        <v>3.1464840000000001</v>
      </c>
      <c r="T607">
        <v>-1.015058</v>
      </c>
      <c r="U607">
        <v>-0.36132809999999999</v>
      </c>
      <c r="V607">
        <v>2.526523E-2</v>
      </c>
      <c r="W607">
        <v>0.1454472</v>
      </c>
      <c r="X607">
        <v>0.98904340000000002</v>
      </c>
      <c r="Y607">
        <v>9.7016770000000002E-2</v>
      </c>
      <c r="Z607">
        <v>-1.2185720000000001E-2</v>
      </c>
      <c r="AA607">
        <v>0.99520810000000004</v>
      </c>
      <c r="AB607">
        <v>26</v>
      </c>
      <c r="AC607">
        <v>0.56499999999999695</v>
      </c>
      <c r="AD607">
        <v>-0.26448650000000001</v>
      </c>
      <c r="AE607">
        <v>-9.09999999999513E-2</v>
      </c>
      <c r="AF607">
        <v>6.9102847447738994E-2</v>
      </c>
      <c r="AG607">
        <v>-0.26448650000000001</v>
      </c>
      <c r="AH607">
        <v>0.46646875072536498</v>
      </c>
      <c r="AI607">
        <v>119.28703303077199</v>
      </c>
      <c r="AJ607">
        <v>81.573467769458702</v>
      </c>
      <c r="AK607">
        <v>0.54066755738708605</v>
      </c>
      <c r="AL607">
        <v>81.636823880138806</v>
      </c>
      <c r="AM607">
        <v>88.536690812546397</v>
      </c>
      <c r="AN607">
        <v>1.0000000334591701</v>
      </c>
    </row>
    <row r="608" spans="1:40" x14ac:dyDescent="0.25">
      <c r="A608" t="str">
        <f>"20190303162223912"</f>
        <v>20190303162223912</v>
      </c>
      <c r="B608" t="str">
        <f>"1551601343904870"</f>
        <v>1551601343904870</v>
      </c>
      <c r="C608" t="s">
        <v>40</v>
      </c>
      <c r="D608">
        <v>5.4257019999999896</v>
      </c>
      <c r="E608">
        <v>0.53018069999999995</v>
      </c>
      <c r="F608" t="s">
        <v>42</v>
      </c>
      <c r="G608">
        <v>-365.85820000000001</v>
      </c>
      <c r="H608">
        <v>0.8648382</v>
      </c>
      <c r="I608">
        <v>366.86529999999999</v>
      </c>
      <c r="J608">
        <v>-366.39400000000001</v>
      </c>
      <c r="K608">
        <v>1.1209929999999999</v>
      </c>
      <c r="L608">
        <v>366.95400000000001</v>
      </c>
      <c r="M608">
        <v>0.99980899999999995</v>
      </c>
      <c r="N608">
        <v>-1.491309E-2</v>
      </c>
      <c r="O608">
        <v>-1.2645709999999999E-2</v>
      </c>
      <c r="P608">
        <v>0.99039520000000003</v>
      </c>
      <c r="Q608">
        <v>0.13308149999999999</v>
      </c>
      <c r="R608">
        <v>-3.7512120000000003E-2</v>
      </c>
      <c r="S608">
        <v>3.1476440000000001</v>
      </c>
      <c r="T608">
        <v>-1.01054</v>
      </c>
      <c r="U608">
        <v>-0.36196899999999999</v>
      </c>
      <c r="V608">
        <v>2.4996129999999998E-2</v>
      </c>
      <c r="W608">
        <v>0.14784050000000001</v>
      </c>
      <c r="X608">
        <v>0.98869530000000005</v>
      </c>
      <c r="Y608">
        <v>9.7181580000000004E-2</v>
      </c>
      <c r="Z608">
        <v>-1.2152639999999999E-2</v>
      </c>
      <c r="AA608">
        <v>0.99519250000000004</v>
      </c>
      <c r="AB608">
        <v>26</v>
      </c>
      <c r="AC608">
        <v>0.53579999999999395</v>
      </c>
      <c r="AD608">
        <v>-0.25615480000000002</v>
      </c>
      <c r="AE608">
        <v>-8.8700000000017099E-2</v>
      </c>
      <c r="AF608">
        <v>6.70094630702191E-2</v>
      </c>
      <c r="AG608">
        <v>-0.25615480000000002</v>
      </c>
      <c r="AH608">
        <v>0.43917811284152902</v>
      </c>
      <c r="AI608">
        <v>119.96716900101499</v>
      </c>
      <c r="AJ608">
        <v>81.324761618131305</v>
      </c>
      <c r="AK608">
        <v>0.51281864679733102</v>
      </c>
      <c r="AL608">
        <v>81.498199021155898</v>
      </c>
      <c r="AM608">
        <v>88.551760352046003</v>
      </c>
      <c r="AN608">
        <v>1.00000000809865</v>
      </c>
    </row>
    <row r="609" spans="1:40" x14ac:dyDescent="0.25">
      <c r="A609" t="str">
        <f>"20190303162223945"</f>
        <v>20190303162223945</v>
      </c>
      <c r="B609" t="str">
        <f>"1551601343935125"</f>
        <v>1551601343935125</v>
      </c>
      <c r="C609" t="s">
        <v>40</v>
      </c>
      <c r="D609">
        <v>5.365424</v>
      </c>
      <c r="E609">
        <v>0.50595210000000002</v>
      </c>
      <c r="F609" t="s">
        <v>42</v>
      </c>
      <c r="G609">
        <v>-365.62470000000002</v>
      </c>
      <c r="H609">
        <v>0.87606810000000002</v>
      </c>
      <c r="I609">
        <v>366.86529999999999</v>
      </c>
      <c r="J609">
        <v>-366.02339999999998</v>
      </c>
      <c r="K609">
        <v>1.121003</v>
      </c>
      <c r="L609">
        <v>366.94920000000002</v>
      </c>
      <c r="M609">
        <v>0.99980840000000004</v>
      </c>
      <c r="N609">
        <v>-1.491235E-2</v>
      </c>
      <c r="O609">
        <v>-1.2684330000000001E-2</v>
      </c>
      <c r="P609">
        <v>0.98999740000000003</v>
      </c>
      <c r="Q609">
        <v>0.13632179999999999</v>
      </c>
      <c r="R609">
        <v>-3.6355110000000003E-2</v>
      </c>
      <c r="S609">
        <v>3.1501160000000001</v>
      </c>
      <c r="T609">
        <v>-1.0030190000000001</v>
      </c>
      <c r="U609">
        <v>-0.36315920000000002</v>
      </c>
      <c r="V609">
        <v>2.3806419999999998E-2</v>
      </c>
      <c r="W609">
        <v>0.1510734</v>
      </c>
      <c r="X609">
        <v>0.9882358</v>
      </c>
      <c r="Y609">
        <v>9.7481719999999994E-2</v>
      </c>
      <c r="Z609">
        <v>-1.210166E-2</v>
      </c>
      <c r="AA609">
        <v>0.99516369999999998</v>
      </c>
      <c r="AB609">
        <v>26</v>
      </c>
      <c r="AC609">
        <v>0.39869999999996197</v>
      </c>
      <c r="AD609">
        <v>-0.24493490000000001</v>
      </c>
      <c r="AE609">
        <v>-8.3900000000028202E-2</v>
      </c>
      <c r="AF609">
        <v>5.79075302951918E-2</v>
      </c>
      <c r="AG609">
        <v>-0.24493490000000001</v>
      </c>
      <c r="AH609">
        <v>0.29361802497183997</v>
      </c>
      <c r="AI609">
        <v>129.29794854611899</v>
      </c>
      <c r="AJ609">
        <v>78.843270659802698</v>
      </c>
      <c r="AK609">
        <v>0.38672720603968702</v>
      </c>
      <c r="AL609">
        <v>81.310862851421504</v>
      </c>
      <c r="AM609">
        <v>88.620022033328397</v>
      </c>
      <c r="AN609">
        <v>0.99999995711120704</v>
      </c>
    </row>
    <row r="610" spans="1:40" x14ac:dyDescent="0.25">
      <c r="A610" t="str">
        <f>"20190303162223967"</f>
        <v>20190303162223967</v>
      </c>
      <c r="B610" t="str">
        <f>"1551601343955028"</f>
        <v>1551601343955028</v>
      </c>
      <c r="C610" t="s">
        <v>40</v>
      </c>
      <c r="D610">
        <v>5.6379890000000001</v>
      </c>
      <c r="E610">
        <v>0.48553930000000001</v>
      </c>
      <c r="F610" t="s">
        <v>42</v>
      </c>
      <c r="G610">
        <v>-365.1318</v>
      </c>
      <c r="H610">
        <v>0.95326440000000001</v>
      </c>
      <c r="I610">
        <v>366.90190000000001</v>
      </c>
      <c r="J610">
        <v>-365.7595</v>
      </c>
      <c r="K610">
        <v>1.121011</v>
      </c>
      <c r="L610">
        <v>366.94589999999999</v>
      </c>
      <c r="M610">
        <v>0.99980800000000003</v>
      </c>
      <c r="N610">
        <v>-1.491077E-2</v>
      </c>
      <c r="O610">
        <v>-1.271197E-2</v>
      </c>
      <c r="P610">
        <v>0.98986700000000005</v>
      </c>
      <c r="Q610">
        <v>0.13764870000000001</v>
      </c>
      <c r="R610">
        <v>-3.4877070000000003E-2</v>
      </c>
      <c r="S610">
        <v>3.1047060000000002</v>
      </c>
      <c r="T610">
        <v>-0.58408959999999999</v>
      </c>
      <c r="U610">
        <v>-0.1647034</v>
      </c>
      <c r="V610">
        <v>2.2302679999999998E-2</v>
      </c>
      <c r="W610">
        <v>0.1523969</v>
      </c>
      <c r="X610">
        <v>0.98806769999999999</v>
      </c>
      <c r="Y610">
        <v>3.9712949999999997E-2</v>
      </c>
      <c r="Z610">
        <v>-1.8187489999999999E-3</v>
      </c>
      <c r="AA610">
        <v>0.99920949999999997</v>
      </c>
      <c r="AB610">
        <v>26</v>
      </c>
      <c r="AC610">
        <v>0.62770000000000403</v>
      </c>
      <c r="AD610">
        <v>-0.167746599999999</v>
      </c>
      <c r="AE610">
        <v>-4.3999999999982699E-2</v>
      </c>
      <c r="AF610">
        <v>3.3626484086005597E-2</v>
      </c>
      <c r="AG610">
        <v>-0.167746599999999</v>
      </c>
      <c r="AH610">
        <v>0.58652543400366997</v>
      </c>
      <c r="AI610">
        <v>105.935722554007</v>
      </c>
      <c r="AJ610">
        <v>86.718729080897702</v>
      </c>
      <c r="AK610">
        <v>0.610967877205291</v>
      </c>
      <c r="AL610">
        <v>81.234143958127007</v>
      </c>
      <c r="AM610">
        <v>88.706938317625003</v>
      </c>
      <c r="AN610">
        <v>1.0000000022240401</v>
      </c>
    </row>
    <row r="611" spans="1:40" x14ac:dyDescent="0.25">
      <c r="A611" t="str">
        <f>"20190303162223991"</f>
        <v>20190303162223991</v>
      </c>
      <c r="B611" t="str">
        <f>"1551601343985284"</f>
        <v>1551601343985284</v>
      </c>
      <c r="C611" t="s">
        <v>40</v>
      </c>
      <c r="D611">
        <v>5.6040239999999999</v>
      </c>
      <c r="E611">
        <v>0.48725160000000001</v>
      </c>
      <c r="F611" t="s">
        <v>41</v>
      </c>
      <c r="G611">
        <v>-335.7989</v>
      </c>
      <c r="H611" s="1">
        <v>-2.2479250000000002E-6</v>
      </c>
      <c r="I611">
        <v>367.0043</v>
      </c>
      <c r="J611">
        <v>-365.5027</v>
      </c>
      <c r="K611">
        <v>1.1210180000000001</v>
      </c>
      <c r="L611">
        <v>366.94260000000003</v>
      </c>
      <c r="M611">
        <v>0.99980780000000002</v>
      </c>
      <c r="N611">
        <v>-1.4908630000000001E-2</v>
      </c>
      <c r="O611">
        <v>-1.273902E-2</v>
      </c>
      <c r="P611">
        <v>0.98968389999999995</v>
      </c>
      <c r="Q611">
        <v>0.13921449999999999</v>
      </c>
      <c r="R611">
        <v>-3.3842329999999997E-2</v>
      </c>
      <c r="S611">
        <v>3.0468139999999999</v>
      </c>
      <c r="T611">
        <v>-0.114</v>
      </c>
      <c r="U611">
        <v>5.9509280000000003E-3</v>
      </c>
      <c r="V611">
        <v>2.124378E-2</v>
      </c>
      <c r="W611">
        <v>0.15395710000000001</v>
      </c>
      <c r="X611">
        <v>0.98784910000000004</v>
      </c>
      <c r="Y611">
        <v>-1.4675819999999999E-2</v>
      </c>
      <c r="Z611">
        <v>6.7049220000000003E-4</v>
      </c>
      <c r="AA611">
        <v>0.99989209999999995</v>
      </c>
      <c r="AB611">
        <v>26</v>
      </c>
      <c r="AC611">
        <v>29.703800000000001</v>
      </c>
      <c r="AD611">
        <v>-1.121020247925</v>
      </c>
      <c r="AE611">
        <v>6.1699999999973401E-2</v>
      </c>
      <c r="AF611">
        <v>-0.43950832780822302</v>
      </c>
      <c r="AG611">
        <v>-1.121020247925</v>
      </c>
      <c r="AH611">
        <v>29.658360717977001</v>
      </c>
      <c r="AI611">
        <v>92.164385506189205</v>
      </c>
      <c r="AJ611">
        <v>90.8490060989527</v>
      </c>
      <c r="AK611">
        <v>29.682793238576998</v>
      </c>
      <c r="AL611">
        <v>81.143683201776696</v>
      </c>
      <c r="AM611">
        <v>88.768039216495296</v>
      </c>
      <c r="AN611">
        <v>0.99999996559995297</v>
      </c>
    </row>
    <row r="612" spans="1:40" x14ac:dyDescent="0.25">
      <c r="A612" t="str">
        <f>"20190303162224013"</f>
        <v>20190303162224013</v>
      </c>
      <c r="B612" t="str">
        <f>"1551601344004803"</f>
        <v>1551601344004803</v>
      </c>
      <c r="C612" t="s">
        <v>40</v>
      </c>
      <c r="D612">
        <v>5.6596359999999999</v>
      </c>
      <c r="E612">
        <v>0.48778280000000002</v>
      </c>
      <c r="F612" t="s">
        <v>41</v>
      </c>
      <c r="G612">
        <v>-330.42989999999998</v>
      </c>
      <c r="H612" s="1">
        <v>-4.5712759999999999E-6</v>
      </c>
      <c r="I612">
        <v>366.89120000000003</v>
      </c>
      <c r="J612">
        <v>-365.23750000000001</v>
      </c>
      <c r="K612">
        <v>1.12101299999999</v>
      </c>
      <c r="L612">
        <v>366.93920000000003</v>
      </c>
      <c r="M612">
        <v>0.99980740000000001</v>
      </c>
      <c r="N612">
        <v>-1.490582E-2</v>
      </c>
      <c r="O612">
        <v>-1.276712E-2</v>
      </c>
      <c r="P612">
        <v>0.98973789999999995</v>
      </c>
      <c r="Q612">
        <v>0.139270799999999</v>
      </c>
      <c r="R612">
        <v>-3.1978140000000002E-2</v>
      </c>
      <c r="S612">
        <v>3.0447690000000001</v>
      </c>
      <c r="T612">
        <v>-9.7318769999999999E-2</v>
      </c>
      <c r="U612">
        <v>-4.4555659999999898E-3</v>
      </c>
      <c r="V612">
        <v>1.935127E-2</v>
      </c>
      <c r="W612">
        <v>0.15401129999999999</v>
      </c>
      <c r="X612">
        <v>0.98787959999999997</v>
      </c>
      <c r="Y612">
        <v>-1.129498E-2</v>
      </c>
      <c r="Z612">
        <v>4.8234269999999999E-4</v>
      </c>
      <c r="AA612">
        <v>0.99993609999999999</v>
      </c>
      <c r="AB612">
        <v>25</v>
      </c>
      <c r="AC612">
        <v>34.807600000000001</v>
      </c>
      <c r="AD612">
        <v>-1.12101757127599</v>
      </c>
      <c r="AE612">
        <v>-4.8000000000001798E-2</v>
      </c>
      <c r="AF612">
        <v>-0.39603531084563998</v>
      </c>
      <c r="AG612">
        <v>-1.12101757127599</v>
      </c>
      <c r="AH612">
        <v>34.769311497472003</v>
      </c>
      <c r="AI612">
        <v>91.846547109383906</v>
      </c>
      <c r="AJ612">
        <v>90.652591887159403</v>
      </c>
      <c r="AK612">
        <v>34.789632742683402</v>
      </c>
      <c r="AL612">
        <v>81.140540844338204</v>
      </c>
      <c r="AM612">
        <v>88.877794098600006</v>
      </c>
      <c r="AN612">
        <v>1.0000000281372301</v>
      </c>
    </row>
    <row r="613" spans="1:40" x14ac:dyDescent="0.25">
      <c r="A613" t="str">
        <f>"20190303162224036"</f>
        <v>20190303162224036</v>
      </c>
      <c r="B613" t="str">
        <f>"1551601344025299"</f>
        <v>1551601344025299</v>
      </c>
      <c r="C613" t="s">
        <v>40</v>
      </c>
      <c r="D613">
        <v>5.6531710000000004</v>
      </c>
      <c r="E613">
        <v>0.48804049999999999</v>
      </c>
      <c r="F613" t="s">
        <v>41</v>
      </c>
      <c r="G613">
        <v>-335.75830000000002</v>
      </c>
      <c r="H613" s="1">
        <v>-2.2827639999999998E-6</v>
      </c>
      <c r="I613">
        <v>366.90609999999998</v>
      </c>
      <c r="J613">
        <v>-364.99169999999998</v>
      </c>
      <c r="K613">
        <v>1.1210119999999999</v>
      </c>
      <c r="L613">
        <v>366.93599999999998</v>
      </c>
      <c r="M613">
        <v>0.99980720000000001</v>
      </c>
      <c r="N613">
        <v>-1.4902779999999999E-2</v>
      </c>
      <c r="O613">
        <v>-1.279273E-2</v>
      </c>
      <c r="P613">
        <v>0.98994420000000005</v>
      </c>
      <c r="Q613">
        <v>0.13832340000000001</v>
      </c>
      <c r="R613">
        <v>-2.9619429999999999E-2</v>
      </c>
      <c r="S613">
        <v>3.047272</v>
      </c>
      <c r="T613">
        <v>-0.1158793</v>
      </c>
      <c r="U613">
        <v>-3.4179689999999999E-3</v>
      </c>
      <c r="V613">
        <v>1.696452E-2</v>
      </c>
      <c r="W613">
        <v>0.15306420000000001</v>
      </c>
      <c r="X613">
        <v>0.98807060000000002</v>
      </c>
      <c r="Y613">
        <v>-1.165744E-2</v>
      </c>
      <c r="Z613">
        <v>6.0414780000000003E-4</v>
      </c>
      <c r="AA613">
        <v>0.99993189999999998</v>
      </c>
      <c r="AB613">
        <v>25</v>
      </c>
      <c r="AC613">
        <v>29.2333999999999</v>
      </c>
      <c r="AD613">
        <v>-1.1210142827639999</v>
      </c>
      <c r="AE613">
        <v>-2.98999999999978E-2</v>
      </c>
      <c r="AF613">
        <v>-0.343613659811081</v>
      </c>
      <c r="AG613">
        <v>-1.1210142827639999</v>
      </c>
      <c r="AH613">
        <v>29.188468375685002</v>
      </c>
      <c r="AI613">
        <v>92.199272351158001</v>
      </c>
      <c r="AJ613">
        <v>90.674468520889704</v>
      </c>
      <c r="AK613">
        <v>29.212008309729899</v>
      </c>
      <c r="AL613">
        <v>81.195456378458601</v>
      </c>
      <c r="AM613">
        <v>89.016365931677896</v>
      </c>
      <c r="AN613">
        <v>0.99999997742241498</v>
      </c>
    </row>
    <row r="614" spans="1:40" x14ac:dyDescent="0.25">
      <c r="A614" t="str">
        <f>"20190303162224056"</f>
        <v>20190303162224056</v>
      </c>
      <c r="B614" t="str">
        <f>"1551601344044820"</f>
        <v>1551601344044820</v>
      </c>
      <c r="C614" t="s">
        <v>40</v>
      </c>
      <c r="D614">
        <v>5.7103419999999998</v>
      </c>
      <c r="E614">
        <v>0.48872009999999999</v>
      </c>
      <c r="F614" t="s">
        <v>41</v>
      </c>
      <c r="G614">
        <v>-338.9896</v>
      </c>
      <c r="H614" s="1">
        <v>-1.0411089999999999E-6</v>
      </c>
      <c r="I614">
        <v>366.94349999999997</v>
      </c>
      <c r="J614">
        <v>-364.74979999999999</v>
      </c>
      <c r="K614">
        <v>1.121014</v>
      </c>
      <c r="L614">
        <v>366.93299999999999</v>
      </c>
      <c r="M614">
        <v>0.999807</v>
      </c>
      <c r="N614">
        <v>-1.489942E-2</v>
      </c>
      <c r="O614">
        <v>-1.281641E-2</v>
      </c>
      <c r="P614">
        <v>0.98964019999999997</v>
      </c>
      <c r="Q614">
        <v>0.140795899999999</v>
      </c>
      <c r="R614">
        <v>-2.80919E-2</v>
      </c>
      <c r="S614">
        <v>3.0488590000000002</v>
      </c>
      <c r="T614">
        <v>-0.131442899999999</v>
      </c>
      <c r="U614">
        <v>8.8500979999999905E-4</v>
      </c>
      <c r="V614">
        <v>1.541754E-2</v>
      </c>
      <c r="W614">
        <v>0.15552820000000001</v>
      </c>
      <c r="X614">
        <v>0.98771109999999895</v>
      </c>
      <c r="Y614">
        <v>-1.308663E-2</v>
      </c>
      <c r="Z614">
        <v>7.4088539999999997E-4</v>
      </c>
      <c r="AA614">
        <v>0.99991410000000003</v>
      </c>
      <c r="AB614">
        <v>25</v>
      </c>
      <c r="AC614">
        <v>25.760200000000001</v>
      </c>
      <c r="AD614">
        <v>-1.1210150411090001</v>
      </c>
      <c r="AE614">
        <v>1.04999999999222E-2</v>
      </c>
      <c r="AF614">
        <v>-0.34004506340014001</v>
      </c>
      <c r="AG614">
        <v>-1.1210150411090001</v>
      </c>
      <c r="AH614">
        <v>25.709262061104202</v>
      </c>
      <c r="AI614">
        <v>92.496499674622001</v>
      </c>
      <c r="AJ614">
        <v>90.757781802944507</v>
      </c>
      <c r="AK614">
        <v>25.735937152046102</v>
      </c>
      <c r="AL614">
        <v>81.052568326471501</v>
      </c>
      <c r="AM614">
        <v>89.105722069169005</v>
      </c>
      <c r="AN614">
        <v>0.99999996929905</v>
      </c>
    </row>
    <row r="615" spans="1:40" x14ac:dyDescent="0.25">
      <c r="A615" t="str">
        <f>"20190303162224079"</f>
        <v>20190303162224079</v>
      </c>
      <c r="B615" t="str">
        <f>"1551601344065316"</f>
        <v>1551601344065316</v>
      </c>
      <c r="C615" t="s">
        <v>40</v>
      </c>
      <c r="D615">
        <v>5.656409</v>
      </c>
      <c r="E615">
        <v>0.489255</v>
      </c>
      <c r="F615" t="s">
        <v>41</v>
      </c>
      <c r="G615">
        <v>-339.58030000000002</v>
      </c>
      <c r="H615" s="1">
        <v>-8.4245939999999998E-7</v>
      </c>
      <c r="I615">
        <v>366.93459999999999</v>
      </c>
      <c r="J615">
        <v>-364.49340000000001</v>
      </c>
      <c r="K615">
        <v>1.1210290000000001</v>
      </c>
      <c r="L615">
        <v>366.92959999999999</v>
      </c>
      <c r="M615">
        <v>0.99980659999999999</v>
      </c>
      <c r="N615">
        <v>-1.4895479999999999E-2</v>
      </c>
      <c r="O615">
        <v>-1.2839110000000001E-2</v>
      </c>
      <c r="P615">
        <v>0.98916870000000001</v>
      </c>
      <c r="Q615">
        <v>0.14416970000000001</v>
      </c>
      <c r="R615">
        <v>-2.7578160000000001E-2</v>
      </c>
      <c r="S615">
        <v>3.050751</v>
      </c>
      <c r="T615">
        <v>-0.1358752</v>
      </c>
      <c r="U615">
        <v>2.13623E-4</v>
      </c>
      <c r="V615">
        <v>1.48868E-2</v>
      </c>
      <c r="W615">
        <v>0.1588909</v>
      </c>
      <c r="X615">
        <v>0.9871839</v>
      </c>
      <c r="Y615">
        <v>-1.2887859999999999E-2</v>
      </c>
      <c r="Z615">
        <v>7.6325459999999998E-4</v>
      </c>
      <c r="AA615">
        <v>0.99991669999999999</v>
      </c>
      <c r="AB615">
        <v>25</v>
      </c>
      <c r="AC615">
        <v>24.913099999999901</v>
      </c>
      <c r="AD615">
        <v>-1.1210298424593901</v>
      </c>
      <c r="AE615">
        <v>4.9999999999954499E-3</v>
      </c>
      <c r="AF615">
        <v>-0.324240599590704</v>
      </c>
      <c r="AG615">
        <v>-1.1210298424593901</v>
      </c>
      <c r="AH615">
        <v>24.8606444397406</v>
      </c>
      <c r="AI615">
        <v>92.581644528077405</v>
      </c>
      <c r="AJ615">
        <v>90.747227799789201</v>
      </c>
      <c r="AK615">
        <v>24.888018841067201</v>
      </c>
      <c r="AL615">
        <v>80.857473978345993</v>
      </c>
      <c r="AM615">
        <v>89.136041255125093</v>
      </c>
      <c r="AN615">
        <v>0.99999999366812997</v>
      </c>
    </row>
    <row r="616" spans="1:40" x14ac:dyDescent="0.25">
      <c r="A616" t="str">
        <f>"20190303162224101"</f>
        <v>20190303162224101</v>
      </c>
      <c r="B616" t="str">
        <f>"1551601344094596"</f>
        <v>1551601344094596</v>
      </c>
      <c r="C616" t="s">
        <v>40</v>
      </c>
      <c r="D616">
        <v>5.7677649999999998</v>
      </c>
      <c r="E616">
        <v>0.4901643</v>
      </c>
      <c r="F616" t="s">
        <v>41</v>
      </c>
      <c r="G616">
        <v>-338.67689999999999</v>
      </c>
      <c r="H616" s="1">
        <v>-1.1584490000000001E-6</v>
      </c>
      <c r="I616">
        <v>366.9024</v>
      </c>
      <c r="J616">
        <v>-364.24630000000002</v>
      </c>
      <c r="K616">
        <v>1.1210420000000001</v>
      </c>
      <c r="L616">
        <v>366.92649999999998</v>
      </c>
      <c r="M616">
        <v>0.99980650000000004</v>
      </c>
      <c r="N616">
        <v>-1.4891420000000001E-2</v>
      </c>
      <c r="O616">
        <v>-1.285738E-2</v>
      </c>
      <c r="P616">
        <v>0.98873699999999998</v>
      </c>
      <c r="Q616">
        <v>0.1470504</v>
      </c>
      <c r="R616">
        <v>-2.7843920000000001E-2</v>
      </c>
      <c r="S616">
        <v>3.0520939999999999</v>
      </c>
      <c r="T616">
        <v>-0.1325305</v>
      </c>
      <c r="U616">
        <v>-3.2043459999999998E-3</v>
      </c>
      <c r="V616">
        <v>1.5139059999999999E-2</v>
      </c>
      <c r="W616">
        <v>0.16176099999999999</v>
      </c>
      <c r="X616">
        <v>0.98671379999999997</v>
      </c>
      <c r="Y616">
        <v>-1.178885E-2</v>
      </c>
      <c r="Z616">
        <v>7.1027600000000003E-4</v>
      </c>
      <c r="AA616">
        <v>0.99993030000000005</v>
      </c>
      <c r="AB616">
        <v>25</v>
      </c>
      <c r="AC616">
        <v>25.569400000000002</v>
      </c>
      <c r="AD616">
        <v>-1.1210431584489999</v>
      </c>
      <c r="AE616">
        <v>-2.4099999999975801E-2</v>
      </c>
      <c r="AF616">
        <v>-0.304109359902628</v>
      </c>
      <c r="AG616">
        <v>-1.1210431584489999</v>
      </c>
      <c r="AH616">
        <v>25.518543606416401</v>
      </c>
      <c r="AI616">
        <v>92.5152382908108</v>
      </c>
      <c r="AJ616">
        <v>90.682772430679194</v>
      </c>
      <c r="AK616">
        <v>25.5449660022961</v>
      </c>
      <c r="AL616">
        <v>80.690873940076102</v>
      </c>
      <c r="AM616">
        <v>89.120985041778297</v>
      </c>
      <c r="AN616">
        <v>0.99999996768456101</v>
      </c>
    </row>
    <row r="617" spans="1:40" x14ac:dyDescent="0.25">
      <c r="A617" t="str">
        <f>"20190303162224124"</f>
        <v>20190303162224124</v>
      </c>
      <c r="B617" t="str">
        <f>"1551601344115091"</f>
        <v>1551601344115091</v>
      </c>
      <c r="C617" t="s">
        <v>40</v>
      </c>
      <c r="D617">
        <v>5.4202979999999998</v>
      </c>
      <c r="E617">
        <v>0.4905562</v>
      </c>
      <c r="F617" t="s">
        <v>41</v>
      </c>
      <c r="G617">
        <v>-338.65550000000002</v>
      </c>
      <c r="H617" s="1">
        <v>-1.186301E-6</v>
      </c>
      <c r="I617">
        <v>366.82510000000002</v>
      </c>
      <c r="J617">
        <v>-363.99079999999998</v>
      </c>
      <c r="K617">
        <v>1.1210580000000001</v>
      </c>
      <c r="L617">
        <v>366.92320000000001</v>
      </c>
      <c r="M617">
        <v>0.99980630000000004</v>
      </c>
      <c r="N617">
        <v>-1.488694E-2</v>
      </c>
      <c r="O617">
        <v>-1.287025E-2</v>
      </c>
      <c r="P617">
        <v>0.98834270000000002</v>
      </c>
      <c r="Q617">
        <v>0.14950179999999999</v>
      </c>
      <c r="R617">
        <v>-2.877445E-2</v>
      </c>
      <c r="S617">
        <v>3.0537109999999998</v>
      </c>
      <c r="T617">
        <v>-0.1337719</v>
      </c>
      <c r="U617">
        <v>-1.208496E-2</v>
      </c>
      <c r="V617">
        <v>1.6059999999999901E-2</v>
      </c>
      <c r="W617">
        <v>0.16420179999999901</v>
      </c>
      <c r="X617">
        <v>0.98629599999999995</v>
      </c>
      <c r="Y617">
        <v>-8.8976590000000005E-3</v>
      </c>
      <c r="Z617">
        <v>6.3302659999999995E-4</v>
      </c>
      <c r="AA617">
        <v>0.99996019999999997</v>
      </c>
      <c r="AB617">
        <v>25</v>
      </c>
      <c r="AC617">
        <v>25.335299999999901</v>
      </c>
      <c r="AD617">
        <v>-1.121059186301</v>
      </c>
      <c r="AE617">
        <v>-9.8099999999988002E-2</v>
      </c>
      <c r="AF617">
        <v>-0.22757035777085599</v>
      </c>
      <c r="AG617">
        <v>-1.121059186301</v>
      </c>
      <c r="AH617">
        <v>25.284957521351298</v>
      </c>
      <c r="AI617">
        <v>92.538557749229597</v>
      </c>
      <c r="AJ617">
        <v>90.515661099399594</v>
      </c>
      <c r="AK617">
        <v>25.3108205877143</v>
      </c>
      <c r="AL617">
        <v>80.549131225723002</v>
      </c>
      <c r="AM617">
        <v>89.067127001396798</v>
      </c>
      <c r="AN617">
        <v>0.99999997716961897</v>
      </c>
    </row>
    <row r="618" spans="1:40" x14ac:dyDescent="0.25">
      <c r="A618" t="str">
        <f>"20190303162224146"</f>
        <v>20190303162224146</v>
      </c>
      <c r="B618" t="str">
        <f>"1551601344134612"</f>
        <v>1551601344134612</v>
      </c>
      <c r="C618" t="s">
        <v>40</v>
      </c>
      <c r="D618">
        <v>5.4077669999999998</v>
      </c>
      <c r="E618">
        <v>0.49086239999999998</v>
      </c>
      <c r="F618" t="s">
        <v>41</v>
      </c>
      <c r="G618">
        <v>-337.53210000000001</v>
      </c>
      <c r="H618" s="1">
        <v>-1.5854290000000001E-6</v>
      </c>
      <c r="I618">
        <v>366.76179999999999</v>
      </c>
      <c r="J618">
        <v>-363.7389</v>
      </c>
      <c r="K618">
        <v>1.1210629999999999</v>
      </c>
      <c r="L618">
        <v>366.91989999999998</v>
      </c>
      <c r="M618">
        <v>0.99980650000000004</v>
      </c>
      <c r="N618">
        <v>-1.488227E-2</v>
      </c>
      <c r="O618">
        <v>-1.287729E-2</v>
      </c>
      <c r="P618">
        <v>0.98814060000000004</v>
      </c>
      <c r="Q618">
        <v>0.1505282</v>
      </c>
      <c r="R618">
        <v>-3.0327739999999999E-2</v>
      </c>
      <c r="S618">
        <v>3.0544129999999998</v>
      </c>
      <c r="T618">
        <v>-0.12941559999999999</v>
      </c>
      <c r="U618">
        <v>-1.8615719999999999E-2</v>
      </c>
      <c r="V618">
        <v>1.7607169999999998E-2</v>
      </c>
      <c r="W618">
        <v>0.16522100000000001</v>
      </c>
      <c r="X618">
        <v>0.98609939999999996</v>
      </c>
      <c r="Y618">
        <v>-6.7713269999999997E-3</v>
      </c>
      <c r="Z618">
        <v>5.4754809999999995E-4</v>
      </c>
      <c r="AA618">
        <v>0.99997689999999995</v>
      </c>
      <c r="AB618">
        <v>25</v>
      </c>
      <c r="AC618">
        <v>26.206799999999902</v>
      </c>
      <c r="AD618">
        <v>-1.121064585429</v>
      </c>
      <c r="AE618">
        <v>-0.15809999999999</v>
      </c>
      <c r="AF618">
        <v>-0.17909527664889399</v>
      </c>
      <c r="AG618">
        <v>-1.121064585429</v>
      </c>
      <c r="AH618">
        <v>26.158795796980002</v>
      </c>
      <c r="AI618">
        <v>92.453915939876694</v>
      </c>
      <c r="AJ618">
        <v>90.392267413055606</v>
      </c>
      <c r="AK618">
        <v>26.183419533569701</v>
      </c>
      <c r="AL618">
        <v>80.489927041864803</v>
      </c>
      <c r="AM618">
        <v>88.977071335495793</v>
      </c>
      <c r="AN618">
        <v>1.00000000897838</v>
      </c>
    </row>
    <row r="619" spans="1:40" x14ac:dyDescent="0.25">
      <c r="A619" t="str">
        <f>"20190303162224169"</f>
        <v>20190303162224169</v>
      </c>
      <c r="B619" t="str">
        <f>"1551601344154640"</f>
        <v>1551601344154640</v>
      </c>
      <c r="C619" t="s">
        <v>40</v>
      </c>
      <c r="D619">
        <v>5.4939559999999998</v>
      </c>
      <c r="E619">
        <v>0.49096269999999997</v>
      </c>
      <c r="F619" t="s">
        <v>41</v>
      </c>
      <c r="G619">
        <v>-337.32780000000002</v>
      </c>
      <c r="H619" s="1">
        <v>-1.674898E-6</v>
      </c>
      <c r="I619">
        <v>366.68689999999998</v>
      </c>
      <c r="J619">
        <v>-363.48570000000001</v>
      </c>
      <c r="K619">
        <v>1.121065</v>
      </c>
      <c r="L619">
        <v>366.91660000000002</v>
      </c>
      <c r="M619">
        <v>0.99980650000000004</v>
      </c>
      <c r="N619">
        <v>-1.487696E-2</v>
      </c>
      <c r="O619">
        <v>-1.2880890000000001E-2</v>
      </c>
      <c r="P619">
        <v>0.98803169999999996</v>
      </c>
      <c r="Q619">
        <v>0.1510611</v>
      </c>
      <c r="R619">
        <v>-3.1209959999999998E-2</v>
      </c>
      <c r="S619">
        <v>3.0549620000000002</v>
      </c>
      <c r="T619">
        <v>-0.1296726</v>
      </c>
      <c r="U619">
        <v>-2.6947019999999999E-2</v>
      </c>
      <c r="V619">
        <v>1.8485850000000002E-2</v>
      </c>
      <c r="W619">
        <v>0.16574720000000001</v>
      </c>
      <c r="X619">
        <v>0.98599499999999995</v>
      </c>
      <c r="Y619">
        <v>-4.0523269999999997E-3</v>
      </c>
      <c r="Z619">
        <v>4.710146E-4</v>
      </c>
      <c r="AA619">
        <v>0.99999170000000004</v>
      </c>
      <c r="AB619">
        <v>25</v>
      </c>
      <c r="AC619">
        <v>26.157899999999898</v>
      </c>
      <c r="AD619">
        <v>-1.121066674898</v>
      </c>
      <c r="AE619">
        <v>-0.22970000000003599</v>
      </c>
      <c r="AF619">
        <v>-0.107096640679581</v>
      </c>
      <c r="AG619">
        <v>-1.121066674898</v>
      </c>
      <c r="AH619">
        <v>26.110732500645401</v>
      </c>
      <c r="AI619">
        <v>92.458468914429503</v>
      </c>
      <c r="AJ619">
        <v>90.235004939086906</v>
      </c>
      <c r="AK619">
        <v>26.135007401955601</v>
      </c>
      <c r="AL619">
        <v>80.459356428362995</v>
      </c>
      <c r="AM619">
        <v>88.925920402920397</v>
      </c>
      <c r="AN619">
        <v>1.0000000004915299</v>
      </c>
    </row>
    <row r="620" spans="1:40" x14ac:dyDescent="0.25">
      <c r="A620" t="str">
        <f>"20190303162224192"</f>
        <v>20190303162224192</v>
      </c>
      <c r="B620" t="str">
        <f>"1551601344184895"</f>
        <v>1551601344184895</v>
      </c>
      <c r="C620" t="s">
        <v>40</v>
      </c>
      <c r="D620">
        <v>5.762499</v>
      </c>
      <c r="E620">
        <v>0.49172379999999999</v>
      </c>
      <c r="F620" t="s">
        <v>41</v>
      </c>
      <c r="G620">
        <v>-337.3227</v>
      </c>
      <c r="H620" s="1">
        <v>-1.685393E-6</v>
      </c>
      <c r="I620">
        <v>366.65390000000002</v>
      </c>
      <c r="J620">
        <v>-363.23020000000002</v>
      </c>
      <c r="K620">
        <v>1.121067</v>
      </c>
      <c r="L620">
        <v>366.91329999999999</v>
      </c>
      <c r="M620">
        <v>0.99980650000000004</v>
      </c>
      <c r="N620">
        <v>-1.486965E-2</v>
      </c>
      <c r="O620">
        <v>-1.288127E-2</v>
      </c>
      <c r="P620">
        <v>0.98797440000000003</v>
      </c>
      <c r="Q620">
        <v>0.15128239999999901</v>
      </c>
      <c r="R620">
        <v>-3.1937979999999998E-2</v>
      </c>
      <c r="S620">
        <v>3.0553889999999999</v>
      </c>
      <c r="T620">
        <v>-0.13092100000000001</v>
      </c>
      <c r="U620">
        <v>-3.067017E-2</v>
      </c>
      <c r="V620">
        <v>1.9213210000000001E-2</v>
      </c>
      <c r="W620">
        <v>0.16596069999999999</v>
      </c>
      <c r="X620">
        <v>0.98594519999999997</v>
      </c>
      <c r="Y620">
        <v>-2.8367850000000001E-3</v>
      </c>
      <c r="Z620">
        <v>4.420227E-4</v>
      </c>
      <c r="AA620">
        <v>0.99999590000000005</v>
      </c>
      <c r="AB620">
        <v>25</v>
      </c>
      <c r="AC620">
        <v>25.907499999999999</v>
      </c>
      <c r="AD620">
        <v>-1.1210686853929901</v>
      </c>
      <c r="AE620">
        <v>-0.25939999999997099</v>
      </c>
      <c r="AF620">
        <v>-7.4240917682426799E-2</v>
      </c>
      <c r="AG620">
        <v>-1.1210686853929901</v>
      </c>
      <c r="AH620">
        <v>25.860274254576201</v>
      </c>
      <c r="AI620">
        <v>92.482264771252503</v>
      </c>
      <c r="AJ620">
        <v>90.164487024483407</v>
      </c>
      <c r="AK620">
        <v>25.884669038508498</v>
      </c>
      <c r="AL620">
        <v>80.446952164147604</v>
      </c>
      <c r="AM620">
        <v>88.883612872921404</v>
      </c>
      <c r="AN620">
        <v>1.0000000193930101</v>
      </c>
    </row>
    <row r="621" spans="1:40" x14ac:dyDescent="0.25">
      <c r="A621" t="str">
        <f>"20190303162224215"</f>
        <v>20190303162224215</v>
      </c>
      <c r="B621" t="str">
        <f>"1551601344205391"</f>
        <v>1551601344205391</v>
      </c>
      <c r="C621" t="s">
        <v>40</v>
      </c>
      <c r="D621">
        <v>5.7492260000000002</v>
      </c>
      <c r="E621">
        <v>0.49172379999999999</v>
      </c>
      <c r="F621" t="s">
        <v>41</v>
      </c>
      <c r="G621">
        <v>-338.67149999999998</v>
      </c>
      <c r="H621" s="1">
        <v>-1.242339E-6</v>
      </c>
      <c r="I621">
        <v>366.59399999999999</v>
      </c>
      <c r="J621">
        <v>-362.98059999999998</v>
      </c>
      <c r="K621">
        <v>1.121068</v>
      </c>
      <c r="L621">
        <v>366.9101</v>
      </c>
      <c r="M621">
        <v>0.99980670000000005</v>
      </c>
      <c r="N621">
        <v>-1.48608E-2</v>
      </c>
      <c r="O621">
        <v>-1.2879760000000001E-2</v>
      </c>
      <c r="P621">
        <v>0.98799320000000002</v>
      </c>
      <c r="Q621">
        <v>0.15088370000000001</v>
      </c>
      <c r="R621">
        <v>-3.3220739999999999E-2</v>
      </c>
      <c r="S621">
        <v>3.0566409999999999</v>
      </c>
      <c r="T621">
        <v>-0.13953070000000001</v>
      </c>
      <c r="U621">
        <v>-3.9733890000000001E-2</v>
      </c>
      <c r="V621">
        <v>2.049699E-2</v>
      </c>
      <c r="W621">
        <v>0.16555400000000001</v>
      </c>
      <c r="X621">
        <v>0.98598770000000002</v>
      </c>
      <c r="Y621">
        <v>1.228573E-4</v>
      </c>
      <c r="Z621">
        <v>3.9252180000000001E-4</v>
      </c>
      <c r="AA621">
        <v>0.99999990000000005</v>
      </c>
      <c r="AB621">
        <v>25</v>
      </c>
      <c r="AC621">
        <v>24.309100000000001</v>
      </c>
      <c r="AD621">
        <v>-1.1210692423389901</v>
      </c>
      <c r="AE621">
        <v>-0.31610000000000499</v>
      </c>
      <c r="AF621">
        <v>2.9376022451118502E-3</v>
      </c>
      <c r="AG621">
        <v>-1.1210692423389901</v>
      </c>
      <c r="AH621">
        <v>24.259568333802999</v>
      </c>
      <c r="AI621">
        <v>92.6458373248078</v>
      </c>
      <c r="AJ621">
        <v>89.993062027840097</v>
      </c>
      <c r="AK621">
        <v>24.285457801286899</v>
      </c>
      <c r="AL621">
        <v>80.470581032604599</v>
      </c>
      <c r="AM621">
        <v>88.809090730535402</v>
      </c>
      <c r="AN621">
        <v>0.99999999903317505</v>
      </c>
    </row>
    <row r="622" spans="1:40" x14ac:dyDescent="0.25">
      <c r="A622" t="str">
        <f>"20190303162224281"</f>
        <v>20190303162224281</v>
      </c>
      <c r="B622" t="str">
        <f>"1551601344275194"</f>
        <v>1551601344275194</v>
      </c>
      <c r="C622" t="s">
        <v>40</v>
      </c>
      <c r="D622">
        <v>5.3783570000000003</v>
      </c>
      <c r="E622">
        <v>0.51300420000000002</v>
      </c>
      <c r="F622" t="s">
        <v>41</v>
      </c>
      <c r="G622">
        <v>-338.6497</v>
      </c>
      <c r="H622" s="1">
        <v>-1.2587060000000001E-6</v>
      </c>
      <c r="I622">
        <v>366.56049999999999</v>
      </c>
      <c r="J622">
        <v>-362.25110000000001</v>
      </c>
      <c r="K622">
        <v>1.1210739999999999</v>
      </c>
      <c r="L622">
        <v>366.9008</v>
      </c>
      <c r="M622">
        <v>0.99980740000000001</v>
      </c>
      <c r="N622">
        <v>-1.4829790000000001E-2</v>
      </c>
      <c r="O622">
        <v>-1.28652E-2</v>
      </c>
      <c r="P622">
        <v>0.98813680000000004</v>
      </c>
      <c r="Q622">
        <v>0.149227</v>
      </c>
      <c r="R622">
        <v>-3.6291329999999997E-2</v>
      </c>
      <c r="S622">
        <v>3.0564269999999998</v>
      </c>
      <c r="T622">
        <v>-0.14082720000000001</v>
      </c>
      <c r="U622">
        <v>-4.3914790000000002E-2</v>
      </c>
      <c r="V622">
        <v>2.3579280000000001E-2</v>
      </c>
      <c r="W622">
        <v>0.16386970000000001</v>
      </c>
      <c r="X622">
        <v>0.98620019999999997</v>
      </c>
      <c r="Y622">
        <v>1.5042229999999901E-3</v>
      </c>
      <c r="Z622">
        <v>3.5587770000000002E-4</v>
      </c>
      <c r="AA622">
        <v>0.99999879999999997</v>
      </c>
      <c r="AB622">
        <v>25</v>
      </c>
      <c r="AC622">
        <v>23.601400000000002</v>
      </c>
      <c r="AD622">
        <v>-1.121075258706</v>
      </c>
      <c r="AE622">
        <v>-0.34030000000001298</v>
      </c>
      <c r="AF622">
        <v>3.6519365958915299E-2</v>
      </c>
      <c r="AG622">
        <v>-1.121075258706</v>
      </c>
      <c r="AH622">
        <v>23.550698775193901</v>
      </c>
      <c r="AI622">
        <v>92.7253693317559</v>
      </c>
      <c r="AJ622">
        <v>89.911153215333499</v>
      </c>
      <c r="AK622">
        <v>23.5773950257379</v>
      </c>
      <c r="AL622">
        <v>80.568421110489098</v>
      </c>
      <c r="AM622">
        <v>88.630363404870394</v>
      </c>
      <c r="AN622">
        <v>1.0000000477517199</v>
      </c>
    </row>
    <row r="623" spans="1:40" x14ac:dyDescent="0.25">
      <c r="A623" t="str">
        <f>"20190303162224304"</f>
        <v>20190303162224304</v>
      </c>
      <c r="B623" t="str">
        <f>"1551601344294713"</f>
        <v>1551601344294713</v>
      </c>
      <c r="C623" t="s">
        <v>40</v>
      </c>
      <c r="D623">
        <v>5.2065830000000002</v>
      </c>
      <c r="E623">
        <v>0.51385979999999998</v>
      </c>
      <c r="F623" t="s">
        <v>41</v>
      </c>
      <c r="G623">
        <v>-338.07150000000001</v>
      </c>
      <c r="H623" s="1">
        <v>-1.8380809999999999E-6</v>
      </c>
      <c r="I623">
        <v>365.12240000000003</v>
      </c>
      <c r="J623">
        <v>-361.99489999999997</v>
      </c>
      <c r="K623">
        <v>1.121073</v>
      </c>
      <c r="L623">
        <v>366.89749999999998</v>
      </c>
      <c r="M623">
        <v>0.99980769999999997</v>
      </c>
      <c r="N623">
        <v>-1.4811960000000001E-2</v>
      </c>
      <c r="O623">
        <v>-1.285501E-2</v>
      </c>
      <c r="P623">
        <v>0.98819449999999998</v>
      </c>
      <c r="Q623">
        <v>0.14868319999999999</v>
      </c>
      <c r="R623">
        <v>-3.6943650000000001E-2</v>
      </c>
      <c r="S623">
        <v>3.0491030000000001</v>
      </c>
      <c r="T623">
        <v>-0.14136969999999999</v>
      </c>
      <c r="U623">
        <v>-0.2242432</v>
      </c>
      <c r="V623">
        <v>2.4239520000000001E-2</v>
      </c>
      <c r="W623">
        <v>0.1633095</v>
      </c>
      <c r="X623">
        <v>0.98627710000000002</v>
      </c>
      <c r="Y623">
        <v>6.0439100000000003E-2</v>
      </c>
      <c r="Z623">
        <v>-1.4423369999999999E-3</v>
      </c>
      <c r="AA623">
        <v>0.99817089999999997</v>
      </c>
      <c r="AB623">
        <v>25</v>
      </c>
      <c r="AC623">
        <v>23.923399999999901</v>
      </c>
      <c r="AD623">
        <v>-1.1210748380810001</v>
      </c>
      <c r="AE623">
        <v>-1.7750999999999499</v>
      </c>
      <c r="AF623">
        <v>1.4641863360048399</v>
      </c>
      <c r="AG623">
        <v>-1.1210748380810001</v>
      </c>
      <c r="AH623">
        <v>23.892065603406099</v>
      </c>
      <c r="AI623">
        <v>92.681466031771095</v>
      </c>
      <c r="AJ623">
        <v>86.493107284026706</v>
      </c>
      <c r="AK623">
        <v>23.963126866429199</v>
      </c>
      <c r="AL623">
        <v>80.600956362128301</v>
      </c>
      <c r="AM623">
        <v>88.592137371918895</v>
      </c>
      <c r="AN623">
        <v>1.00000003255224</v>
      </c>
    </row>
    <row r="624" spans="1:40" x14ac:dyDescent="0.25">
      <c r="A624" t="str">
        <f>"20190303162224324"</f>
        <v>20190303162224324</v>
      </c>
      <c r="B624" t="str">
        <f>"1551601344315209"</f>
        <v>1551601344315209</v>
      </c>
      <c r="C624" t="s">
        <v>40</v>
      </c>
      <c r="D624">
        <v>5.3878050000000002</v>
      </c>
      <c r="E624">
        <v>0.51406229999999997</v>
      </c>
      <c r="F624" t="s">
        <v>41</v>
      </c>
      <c r="G624">
        <v>-338.16860000000003</v>
      </c>
      <c r="H624" s="1">
        <v>-1.818267E-6</v>
      </c>
      <c r="I624">
        <v>365.07260000000002</v>
      </c>
      <c r="J624">
        <v>-361.75869999999998</v>
      </c>
      <c r="K624">
        <v>1.12107</v>
      </c>
      <c r="L624">
        <v>366.89440000000002</v>
      </c>
      <c r="M624">
        <v>0.99980809999999998</v>
      </c>
      <c r="N624">
        <v>-1.479276E-2</v>
      </c>
      <c r="O624">
        <v>-1.2844329999999999E-2</v>
      </c>
      <c r="P624">
        <v>0.98830220000000002</v>
      </c>
      <c r="Q624">
        <v>0.14788099999999901</v>
      </c>
      <c r="R624">
        <v>-3.728737E-2</v>
      </c>
      <c r="S624">
        <v>3.0487060000000001</v>
      </c>
      <c r="T624">
        <v>-0.14344760000000001</v>
      </c>
      <c r="U624">
        <v>-0.23349</v>
      </c>
      <c r="V624">
        <v>2.4591169999999999E-2</v>
      </c>
      <c r="W624">
        <v>0.16248989999999999</v>
      </c>
      <c r="X624">
        <v>0.98640369999999999</v>
      </c>
      <c r="Y624">
        <v>6.3463210000000006E-2</v>
      </c>
      <c r="Z624">
        <v>-1.5471230000000001E-3</v>
      </c>
      <c r="AA624">
        <v>0.99798299999999995</v>
      </c>
      <c r="AB624">
        <v>25</v>
      </c>
      <c r="AC624">
        <v>23.5900999999999</v>
      </c>
      <c r="AD624">
        <v>-1.1210718182670001</v>
      </c>
      <c r="AE624">
        <v>-1.8217999999999901</v>
      </c>
      <c r="AF624">
        <v>1.51521577695541</v>
      </c>
      <c r="AG624">
        <v>-1.1210718182670001</v>
      </c>
      <c r="AH624">
        <v>23.558665705335301</v>
      </c>
      <c r="AI624">
        <v>92.718834833724699</v>
      </c>
      <c r="AJ624">
        <v>86.319992892712307</v>
      </c>
      <c r="AK624">
        <v>23.633946151419401</v>
      </c>
      <c r="AL624">
        <v>80.648551200988095</v>
      </c>
      <c r="AM624">
        <v>88.571904722039307</v>
      </c>
      <c r="AN624">
        <v>0.99999997630883397</v>
      </c>
    </row>
    <row r="625" spans="1:40" x14ac:dyDescent="0.25">
      <c r="A625" t="str">
        <f>"20190303162224347"</f>
        <v>20190303162224347</v>
      </c>
      <c r="B625" t="str">
        <f>"1551601344334730"</f>
        <v>1551601344334730</v>
      </c>
      <c r="C625" t="s">
        <v>40</v>
      </c>
      <c r="D625">
        <v>5.3630930000000001</v>
      </c>
      <c r="E625">
        <v>0.51372370000000001</v>
      </c>
      <c r="F625" t="s">
        <v>41</v>
      </c>
      <c r="G625">
        <v>-338.14769999999999</v>
      </c>
      <c r="H625" s="1">
        <v>-1.82742E-6</v>
      </c>
      <c r="I625">
        <v>365.065</v>
      </c>
      <c r="J625">
        <v>-361.50330000000002</v>
      </c>
      <c r="K625">
        <v>1.121062</v>
      </c>
      <c r="L625">
        <v>366.89120000000003</v>
      </c>
      <c r="M625">
        <v>0.99980869999999999</v>
      </c>
      <c r="N625">
        <v>-1.4771899999999999E-2</v>
      </c>
      <c r="O625">
        <v>-1.283043E-2</v>
      </c>
      <c r="P625">
        <v>0.98844370000000004</v>
      </c>
      <c r="Q625">
        <v>0.14687459999999999</v>
      </c>
      <c r="R625">
        <v>-3.7512789999999997E-2</v>
      </c>
      <c r="S625">
        <v>3.048279</v>
      </c>
      <c r="T625">
        <v>-0.14473449999999999</v>
      </c>
      <c r="U625">
        <v>-0.23617550000000001</v>
      </c>
      <c r="V625">
        <v>2.4827910000000002E-2</v>
      </c>
      <c r="W625">
        <v>0.16146549999999901</v>
      </c>
      <c r="X625">
        <v>0.98656600000000005</v>
      </c>
      <c r="Y625">
        <v>6.4359169999999993E-2</v>
      </c>
      <c r="Z625">
        <v>-1.5825629999999999E-3</v>
      </c>
      <c r="AA625">
        <v>0.99792550000000002</v>
      </c>
      <c r="AB625">
        <v>25</v>
      </c>
      <c r="AC625">
        <v>23.355599999999999</v>
      </c>
      <c r="AD625">
        <v>-1.12106382742</v>
      </c>
      <c r="AE625">
        <v>-1.82620000000002</v>
      </c>
      <c r="AF625">
        <v>1.5228672615888801</v>
      </c>
      <c r="AG625">
        <v>-1.12106382742</v>
      </c>
      <c r="AH625">
        <v>23.323699805857501</v>
      </c>
      <c r="AI625">
        <v>92.745990759803405</v>
      </c>
      <c r="AJ625">
        <v>86.264306604078499</v>
      </c>
      <c r="AK625">
        <v>23.400232508146701</v>
      </c>
      <c r="AL625">
        <v>80.708030706269895</v>
      </c>
      <c r="AM625">
        <v>88.558399274507494</v>
      </c>
      <c r="AN625">
        <v>1.0000000025806</v>
      </c>
    </row>
    <row r="626" spans="1:40" x14ac:dyDescent="0.25">
      <c r="A626" t="str">
        <f>"20190303162224370"</f>
        <v>20190303162224370</v>
      </c>
      <c r="B626" t="str">
        <f>"1551601344365494"</f>
        <v>1551601344365494</v>
      </c>
      <c r="C626" t="s">
        <v>40</v>
      </c>
      <c r="D626">
        <v>5.411975</v>
      </c>
      <c r="E626">
        <v>0.51375190000000004</v>
      </c>
      <c r="F626" t="s">
        <v>41</v>
      </c>
      <c r="G626">
        <v>-337.53699999999998</v>
      </c>
      <c r="H626" s="1">
        <v>-2.039174E-6</v>
      </c>
      <c r="I626">
        <v>365.05020000000002</v>
      </c>
      <c r="J626">
        <v>-361.26749999999998</v>
      </c>
      <c r="K626">
        <v>1.1210549999999999</v>
      </c>
      <c r="L626">
        <v>366.88819999999998</v>
      </c>
      <c r="M626">
        <v>0.99980910000000001</v>
      </c>
      <c r="N626">
        <v>-1.4752639999999999E-2</v>
      </c>
      <c r="O626">
        <v>-1.281526E-2</v>
      </c>
      <c r="P626">
        <v>0.98845919999999998</v>
      </c>
      <c r="Q626">
        <v>0.1467725</v>
      </c>
      <c r="R626">
        <v>-3.7506169999999998E-2</v>
      </c>
      <c r="S626">
        <v>3.0473629999999998</v>
      </c>
      <c r="T626">
        <v>-0.14254520000000001</v>
      </c>
      <c r="U626">
        <v>-0.23406979999999999</v>
      </c>
      <c r="V626">
        <v>2.4835639999999999E-2</v>
      </c>
      <c r="W626">
        <v>0.1613446</v>
      </c>
      <c r="X626">
        <v>0.98658559999999995</v>
      </c>
      <c r="Y626">
        <v>6.3715030000000006E-2</v>
      </c>
      <c r="Z626">
        <v>-1.5488069999999999E-3</v>
      </c>
      <c r="AA626">
        <v>0.99796689999999999</v>
      </c>
      <c r="AB626">
        <v>25</v>
      </c>
      <c r="AC626">
        <v>23.730499999999999</v>
      </c>
      <c r="AD626">
        <v>-1.121057039174</v>
      </c>
      <c r="AE626">
        <v>-1.8379999999999601</v>
      </c>
      <c r="AF626">
        <v>1.53030855305447</v>
      </c>
      <c r="AG626">
        <v>-1.121057039174</v>
      </c>
      <c r="AH626">
        <v>23.699532309110001</v>
      </c>
      <c r="AI626">
        <v>92.702618841879797</v>
      </c>
      <c r="AJ626">
        <v>86.305468610037096</v>
      </c>
      <c r="AK626">
        <v>23.7753326963721</v>
      </c>
      <c r="AL626">
        <v>80.715049938788596</v>
      </c>
      <c r="AM626">
        <v>88.557979267842498</v>
      </c>
      <c r="AN626">
        <v>1.0000000175453601</v>
      </c>
    </row>
    <row r="627" spans="1:40" x14ac:dyDescent="0.25">
      <c r="A627" t="str">
        <f>"20190303162224391"</f>
        <v>20190303162224391</v>
      </c>
      <c r="B627" t="str">
        <f>"1551601344385017"</f>
        <v>1551601344385017</v>
      </c>
      <c r="C627" t="s">
        <v>40</v>
      </c>
      <c r="D627">
        <v>5.3433849999999996</v>
      </c>
      <c r="E627">
        <v>0.51401039999999998</v>
      </c>
      <c r="F627" t="s">
        <v>41</v>
      </c>
      <c r="G627">
        <v>-337.84359999999998</v>
      </c>
      <c r="H627" s="1">
        <v>-1.924233E-6</v>
      </c>
      <c r="I627">
        <v>365.09010000000001</v>
      </c>
      <c r="J627">
        <v>-361.0213</v>
      </c>
      <c r="K627">
        <v>1.1210549999999999</v>
      </c>
      <c r="L627">
        <v>366.88510000000002</v>
      </c>
      <c r="M627">
        <v>0.99980979999999997</v>
      </c>
      <c r="N627">
        <v>-1.472584E-2</v>
      </c>
      <c r="O627">
        <v>-1.279742E-2</v>
      </c>
      <c r="P627">
        <v>0.98847459999999998</v>
      </c>
      <c r="Q627">
        <v>0.14668030000000001</v>
      </c>
      <c r="R627">
        <v>-3.7460460000000001E-2</v>
      </c>
      <c r="S627">
        <v>3.0478209999999999</v>
      </c>
      <c r="T627">
        <v>-0.14586679999999999</v>
      </c>
      <c r="U627">
        <v>-0.23394780000000001</v>
      </c>
      <c r="V627">
        <v>2.4807360000000001E-2</v>
      </c>
      <c r="W627">
        <v>0.16122649999999999</v>
      </c>
      <c r="X627">
        <v>0.98660559999999997</v>
      </c>
      <c r="Y627">
        <v>6.3678449999999998E-2</v>
      </c>
      <c r="Z627">
        <v>-1.5676209999999999E-3</v>
      </c>
      <c r="AA627">
        <v>0.9979692</v>
      </c>
      <c r="AB627">
        <v>25</v>
      </c>
      <c r="AC627">
        <v>23.177700000000002</v>
      </c>
      <c r="AD627">
        <v>-1.121056924233</v>
      </c>
      <c r="AE627">
        <v>-1.7950000000000099</v>
      </c>
      <c r="AF627">
        <v>1.49473008113995</v>
      </c>
      <c r="AG627">
        <v>-1.121056924233</v>
      </c>
      <c r="AH627">
        <v>23.144951669530901</v>
      </c>
      <c r="AI627">
        <v>92.767275265727605</v>
      </c>
      <c r="AJ627">
        <v>86.304897916543595</v>
      </c>
      <c r="AK627">
        <v>23.220244926093201</v>
      </c>
      <c r="AL627">
        <v>80.7219061684671</v>
      </c>
      <c r="AM627">
        <v>88.559649771180005</v>
      </c>
      <c r="AN627">
        <v>0.99999999968188902</v>
      </c>
    </row>
    <row r="628" spans="1:40" x14ac:dyDescent="0.25">
      <c r="A628" t="str">
        <f>"20190303162224405"</f>
        <v>20190303162224405</v>
      </c>
      <c r="B628" t="str">
        <f>"1551601344394773"</f>
        <v>1551601344394773</v>
      </c>
      <c r="C628" t="s">
        <v>40</v>
      </c>
      <c r="D628">
        <v>5.3696619999999999</v>
      </c>
      <c r="E628">
        <v>0.51435609999999998</v>
      </c>
      <c r="F628" t="s">
        <v>41</v>
      </c>
      <c r="G628">
        <v>-338.2269</v>
      </c>
      <c r="H628" s="1">
        <v>-1.785206E-6</v>
      </c>
      <c r="I628">
        <v>365.1223</v>
      </c>
      <c r="J628">
        <v>-360.87650000000002</v>
      </c>
      <c r="K628">
        <v>1.1210469999999999</v>
      </c>
      <c r="L628">
        <v>366.88319999999999</v>
      </c>
      <c r="M628">
        <v>0.99981010000000003</v>
      </c>
      <c r="N628">
        <v>-1.4704389999999999E-2</v>
      </c>
      <c r="O628">
        <v>-1.278606E-2</v>
      </c>
      <c r="P628">
        <v>0.98839219999999905</v>
      </c>
      <c r="Q628">
        <v>0.14729149999999999</v>
      </c>
      <c r="R628">
        <v>-3.7230159999999998E-2</v>
      </c>
      <c r="S628">
        <v>3.04834</v>
      </c>
      <c r="T628">
        <v>-0.14992049999999901</v>
      </c>
      <c r="U628">
        <v>-0.23571780000000001</v>
      </c>
      <c r="V628">
        <v>2.4589409999999999E-2</v>
      </c>
      <c r="W628">
        <v>0.16181509999999999</v>
      </c>
      <c r="X628">
        <v>0.98651469999999997</v>
      </c>
      <c r="Y628">
        <v>6.424792E-2</v>
      </c>
      <c r="Z628">
        <v>-1.61031E-3</v>
      </c>
      <c r="AA628">
        <v>0.99793270000000001</v>
      </c>
      <c r="AB628">
        <v>25</v>
      </c>
      <c r="AC628">
        <v>22.6496</v>
      </c>
      <c r="AD628">
        <v>-1.1210487852059901</v>
      </c>
      <c r="AE628">
        <v>-1.7608999999999899</v>
      </c>
      <c r="AF628">
        <v>1.46755197038437</v>
      </c>
      <c r="AG628">
        <v>-1.1210487852059901</v>
      </c>
      <c r="AH628">
        <v>22.615196008913902</v>
      </c>
      <c r="AI628">
        <v>92.831916497623396</v>
      </c>
      <c r="AJ628">
        <v>86.287151149915999</v>
      </c>
      <c r="AK628">
        <v>22.690472663348999</v>
      </c>
      <c r="AL628">
        <v>80.687733248992799</v>
      </c>
      <c r="AM628">
        <v>88.572167496529602</v>
      </c>
      <c r="AN628">
        <v>1.0000000094941199</v>
      </c>
    </row>
    <row r="629" spans="1:40" x14ac:dyDescent="0.25">
      <c r="A629" t="str">
        <f>"20190303162224426"</f>
        <v>20190303162224426</v>
      </c>
      <c r="B629" t="str">
        <f>"1551601344415269"</f>
        <v>1551601344415269</v>
      </c>
      <c r="C629" t="s">
        <v>40</v>
      </c>
      <c r="D629">
        <v>5.37338</v>
      </c>
      <c r="E629">
        <v>0.53104580000000001</v>
      </c>
      <c r="F629" t="s">
        <v>41</v>
      </c>
      <c r="G629">
        <v>-338.02749999999997</v>
      </c>
      <c r="H629" s="1">
        <v>-1.8583709999999999E-6</v>
      </c>
      <c r="I629">
        <v>365.10239999999999</v>
      </c>
      <c r="J629">
        <v>-360.65120000000002</v>
      </c>
      <c r="K629">
        <v>1.1210450000000001</v>
      </c>
      <c r="L629">
        <v>366.88040000000001</v>
      </c>
      <c r="M629">
        <v>0.99981100000000001</v>
      </c>
      <c r="N629">
        <v>-1.465721E-2</v>
      </c>
      <c r="O629">
        <v>-1.2769030000000001E-2</v>
      </c>
      <c r="P629">
        <v>0.98832569999999997</v>
      </c>
      <c r="Q629">
        <v>0.1478701</v>
      </c>
      <c r="R629">
        <v>-3.6702029999999997E-2</v>
      </c>
      <c r="S629">
        <v>3.0485530000000001</v>
      </c>
      <c r="T629">
        <v>-0.1495715</v>
      </c>
      <c r="U629">
        <v>-0.23757929999999999</v>
      </c>
      <c r="V629">
        <v>2.4079150000000001E-2</v>
      </c>
      <c r="W629">
        <v>0.16234589999999999</v>
      </c>
      <c r="X629">
        <v>0.98644010000000004</v>
      </c>
      <c r="Y629">
        <v>6.4864770000000002E-2</v>
      </c>
      <c r="Z629">
        <v>-1.6261159999999999E-3</v>
      </c>
      <c r="AA629">
        <v>0.99789269999999997</v>
      </c>
      <c r="AB629">
        <v>25</v>
      </c>
      <c r="AC629">
        <v>22.623699999999999</v>
      </c>
      <c r="AD629">
        <v>-1.121046858371</v>
      </c>
      <c r="AE629">
        <v>-1.77800000000002</v>
      </c>
      <c r="AF629">
        <v>1.48531661888642</v>
      </c>
      <c r="AG629">
        <v>-1.121046858371</v>
      </c>
      <c r="AH629">
        <v>22.589435558307301</v>
      </c>
      <c r="AI629">
        <v>92.834977409218297</v>
      </c>
      <c r="AJ629">
        <v>86.238062432087801</v>
      </c>
      <c r="AK629">
        <v>22.6659548742143</v>
      </c>
      <c r="AL629">
        <v>80.656913360448499</v>
      </c>
      <c r="AM629">
        <v>88.601679162809106</v>
      </c>
      <c r="AN629">
        <v>1.0000000337997701</v>
      </c>
    </row>
    <row r="630" spans="1:40" x14ac:dyDescent="0.25">
      <c r="A630" t="str">
        <f>"20190303162224449"</f>
        <v>20190303162224449</v>
      </c>
      <c r="B630" t="str">
        <f>"1551601344434790"</f>
        <v>1551601344434790</v>
      </c>
      <c r="C630" t="s">
        <v>40</v>
      </c>
      <c r="D630">
        <v>5.3299430000000001</v>
      </c>
      <c r="E630">
        <v>0.53612150000000003</v>
      </c>
      <c r="F630" t="s">
        <v>41</v>
      </c>
      <c r="G630">
        <v>-341.74119999999999</v>
      </c>
      <c r="H630" s="1">
        <v>-4.7762570000000002E-6</v>
      </c>
      <c r="I630">
        <v>364.58890000000002</v>
      </c>
      <c r="J630">
        <v>-360.39949999999999</v>
      </c>
      <c r="K630">
        <v>1.121038</v>
      </c>
      <c r="L630">
        <v>366.87720000000002</v>
      </c>
      <c r="M630">
        <v>0.99981249999999999</v>
      </c>
      <c r="N630">
        <v>-1.458518E-2</v>
      </c>
      <c r="O630">
        <v>-1.275051E-2</v>
      </c>
      <c r="P630">
        <v>0.98821760000000003</v>
      </c>
      <c r="Q630">
        <v>0.14865</v>
      </c>
      <c r="R630">
        <v>-3.6463639999999999E-2</v>
      </c>
      <c r="S630">
        <v>3.0487669999999998</v>
      </c>
      <c r="T630">
        <v>-0.18074190000000001</v>
      </c>
      <c r="U630">
        <v>-0.36944579999999999</v>
      </c>
      <c r="V630">
        <v>2.3860559999999999E-2</v>
      </c>
      <c r="W630">
        <v>0.16305310000000001</v>
      </c>
      <c r="X630">
        <v>0.98632869999999995</v>
      </c>
      <c r="Y630">
        <v>0.10741009999999999</v>
      </c>
      <c r="Z630">
        <v>-3.3894049999999998E-3</v>
      </c>
      <c r="AA630">
        <v>0.99420909999999996</v>
      </c>
      <c r="AB630">
        <v>24</v>
      </c>
      <c r="AC630">
        <v>18.658300000000001</v>
      </c>
      <c r="AD630">
        <v>-1.1210427762570001</v>
      </c>
      <c r="AE630">
        <v>-2.2882999999999898</v>
      </c>
      <c r="AF630">
        <v>2.0429202918802898</v>
      </c>
      <c r="AG630">
        <v>-1.1210427762570001</v>
      </c>
      <c r="AH630">
        <v>18.619742852927399</v>
      </c>
      <c r="AI630">
        <v>93.424956083576106</v>
      </c>
      <c r="AJ630">
        <v>83.738668231692898</v>
      </c>
      <c r="AK630">
        <v>18.764996246584101</v>
      </c>
      <c r="AL630">
        <v>80.615846014155096</v>
      </c>
      <c r="AM630">
        <v>88.614211679538997</v>
      </c>
      <c r="AN630">
        <v>0.99999997209340596</v>
      </c>
    </row>
    <row r="631" spans="1:40" x14ac:dyDescent="0.25">
      <c r="A631" t="str">
        <f>"20190303162224470"</f>
        <v>20190303162224470</v>
      </c>
      <c r="B631" t="str">
        <f>"1551601344465045"</f>
        <v>1551601344465045</v>
      </c>
      <c r="C631" t="s">
        <v>40</v>
      </c>
      <c r="D631">
        <v>5.286225</v>
      </c>
      <c r="E631">
        <v>0.53759499999999905</v>
      </c>
      <c r="F631" t="s">
        <v>41</v>
      </c>
      <c r="G631">
        <v>-338.4348</v>
      </c>
      <c r="H631" s="1">
        <v>-2.0330050000000002E-6</v>
      </c>
      <c r="I631">
        <v>363.92520000000002</v>
      </c>
      <c r="J631">
        <v>-360.16309999999999</v>
      </c>
      <c r="K631">
        <v>1.121027</v>
      </c>
      <c r="L631">
        <v>366.8741</v>
      </c>
      <c r="M631">
        <v>0.99981390000000003</v>
      </c>
      <c r="N631">
        <v>-1.4504049999999999E-2</v>
      </c>
      <c r="O631">
        <v>-1.273324E-2</v>
      </c>
      <c r="P631">
        <v>0.9881508</v>
      </c>
      <c r="Q631">
        <v>0.1490649</v>
      </c>
      <c r="R631">
        <v>-3.6577569999999997E-2</v>
      </c>
      <c r="S631">
        <v>3.044006</v>
      </c>
      <c r="T631">
        <v>-0.15535969999999999</v>
      </c>
      <c r="U631">
        <v>-0.40908810000000001</v>
      </c>
      <c r="V631">
        <v>2.3992429999999999E-2</v>
      </c>
      <c r="W631">
        <v>0.16338710000000001</v>
      </c>
      <c r="X631">
        <v>0.98627019999999999</v>
      </c>
      <c r="Y631">
        <v>0.1203721</v>
      </c>
      <c r="Z631">
        <v>-3.4710969999999998E-3</v>
      </c>
      <c r="AA631">
        <v>0.99272269999999896</v>
      </c>
      <c r="AB631">
        <v>24</v>
      </c>
      <c r="AC631">
        <v>21.728299999999901</v>
      </c>
      <c r="AD631">
        <v>-1.1210290330049999</v>
      </c>
      <c r="AE631">
        <v>-2.9488999999999801</v>
      </c>
      <c r="AF631">
        <v>2.66499466591317</v>
      </c>
      <c r="AG631">
        <v>-1.1210290330049999</v>
      </c>
      <c r="AH631">
        <v>21.707354584871801</v>
      </c>
      <c r="AI631">
        <v>92.9342978057945</v>
      </c>
      <c r="AJ631">
        <v>83.000866760428494</v>
      </c>
      <c r="AK631">
        <v>21.899044402337299</v>
      </c>
      <c r="AL631">
        <v>80.596448840447906</v>
      </c>
      <c r="AM631">
        <v>88.606473245001297</v>
      </c>
      <c r="AN631">
        <v>0.99999994427587502</v>
      </c>
    </row>
    <row r="632" spans="1:40" x14ac:dyDescent="0.25">
      <c r="A632" t="str">
        <f>"20190303162224484"</f>
        <v>20190303162224484</v>
      </c>
      <c r="B632" t="str">
        <f>"1551601344474806"</f>
        <v>1551601344474806</v>
      </c>
      <c r="C632" t="s">
        <v>40</v>
      </c>
      <c r="D632">
        <v>5.2802579999999999</v>
      </c>
      <c r="E632">
        <v>0.53798119999999905</v>
      </c>
      <c r="F632" t="s">
        <v>41</v>
      </c>
      <c r="G632">
        <v>-336.5598</v>
      </c>
      <c r="H632" s="1">
        <v>-2.753863E-6</v>
      </c>
      <c r="I632">
        <v>363.61410000000001</v>
      </c>
      <c r="J632">
        <v>-360.01400000000001</v>
      </c>
      <c r="K632">
        <v>1.1210209999999901</v>
      </c>
      <c r="L632">
        <v>366.8723</v>
      </c>
      <c r="M632">
        <v>0.99981469999999995</v>
      </c>
      <c r="N632">
        <v>-1.444985E-2</v>
      </c>
      <c r="O632">
        <v>-1.2722239999999999E-2</v>
      </c>
      <c r="P632">
        <v>0.98819080000000004</v>
      </c>
      <c r="Q632">
        <v>0.14880869999999999</v>
      </c>
      <c r="R632">
        <v>-3.6537800000000002E-2</v>
      </c>
      <c r="S632">
        <v>3.0422060000000002</v>
      </c>
      <c r="T632">
        <v>-0.14448730000000001</v>
      </c>
      <c r="U632">
        <v>-0.42016599999999998</v>
      </c>
      <c r="V632">
        <v>2.3962899999999999E-2</v>
      </c>
      <c r="W632">
        <v>0.163078</v>
      </c>
      <c r="X632">
        <v>0.98632209999999998</v>
      </c>
      <c r="Y632">
        <v>0.12402580000000001</v>
      </c>
      <c r="Z632">
        <v>-3.4127699999999999E-3</v>
      </c>
      <c r="AA632">
        <v>0.99227319999999997</v>
      </c>
      <c r="AB632">
        <v>24</v>
      </c>
      <c r="AC632">
        <v>23.4542</v>
      </c>
      <c r="AD632">
        <v>-1.1210237538629999</v>
      </c>
      <c r="AE632">
        <v>-3.25819999999998</v>
      </c>
      <c r="AF632">
        <v>2.95289701809976</v>
      </c>
      <c r="AG632">
        <v>-1.1210237538629999</v>
      </c>
      <c r="AH632">
        <v>23.441220105288298</v>
      </c>
      <c r="AI632">
        <v>92.716519927091298</v>
      </c>
      <c r="AJ632">
        <v>82.8202526321856</v>
      </c>
      <c r="AK632">
        <v>23.653056780906802</v>
      </c>
      <c r="AL632">
        <v>80.614399972897402</v>
      </c>
      <c r="AM632">
        <v>88.608260937448406</v>
      </c>
      <c r="AN632">
        <v>0.99999996980440897</v>
      </c>
    </row>
    <row r="633" spans="1:40" x14ac:dyDescent="0.25">
      <c r="A633" t="str">
        <f>"20190303162224504"</f>
        <v>20190303162224504</v>
      </c>
      <c r="B633" t="str">
        <f>"1551601344495302"</f>
        <v>1551601344495302</v>
      </c>
      <c r="C633" t="s">
        <v>40</v>
      </c>
      <c r="D633">
        <v>5.3243369999999999</v>
      </c>
      <c r="E633">
        <v>0.53836289999999998</v>
      </c>
      <c r="F633" t="s">
        <v>41</v>
      </c>
      <c r="G633">
        <v>-336.10719999999998</v>
      </c>
      <c r="H633" s="1">
        <v>-2.925448E-6</v>
      </c>
      <c r="I633">
        <v>363.54790000000003</v>
      </c>
      <c r="J633">
        <v>-359.8032</v>
      </c>
      <c r="K633">
        <v>1.1210119999999999</v>
      </c>
      <c r="L633">
        <v>366.86959999999999</v>
      </c>
      <c r="M633">
        <v>0.99981620000000004</v>
      </c>
      <c r="N633">
        <v>-1.437314E-2</v>
      </c>
      <c r="O633">
        <v>-1.270462E-2</v>
      </c>
      <c r="P633">
        <v>0.98813649999999997</v>
      </c>
      <c r="Q633">
        <v>0.14907519999999999</v>
      </c>
      <c r="R633">
        <v>-3.6922379999999998E-2</v>
      </c>
      <c r="S633">
        <v>3.041687</v>
      </c>
      <c r="T633">
        <v>-0.142628799999999</v>
      </c>
      <c r="U633">
        <v>-0.42294310000000002</v>
      </c>
      <c r="V633">
        <v>2.4365120000000001E-2</v>
      </c>
      <c r="W633">
        <v>0.163268</v>
      </c>
      <c r="X633">
        <v>0.98628090000000002</v>
      </c>
      <c r="Y633">
        <v>0.12495779999999999</v>
      </c>
      <c r="Z633">
        <v>-3.406409E-3</v>
      </c>
      <c r="AA633">
        <v>0.99215620000000004</v>
      </c>
      <c r="AB633">
        <v>24</v>
      </c>
      <c r="AC633">
        <v>23.696000000000002</v>
      </c>
      <c r="AD633">
        <v>-1.121014925448</v>
      </c>
      <c r="AE633">
        <v>-3.3216999999999599</v>
      </c>
      <c r="AF633">
        <v>3.0137371945939901</v>
      </c>
      <c r="AG633">
        <v>-1.121014925448</v>
      </c>
      <c r="AH633">
        <v>23.6843069750099</v>
      </c>
      <c r="AI633">
        <v>92.688231758234394</v>
      </c>
      <c r="AJ633">
        <v>82.748303131007802</v>
      </c>
      <c r="AK633">
        <v>23.901583278679698</v>
      </c>
      <c r="AL633">
        <v>80.603366709968796</v>
      </c>
      <c r="AM633">
        <v>88.584850770731094</v>
      </c>
      <c r="AN633">
        <v>1.0000000563007101</v>
      </c>
    </row>
    <row r="634" spans="1:40" x14ac:dyDescent="0.25">
      <c r="A634" t="str">
        <f>"20190303162224516"</f>
        <v>20190303162224516</v>
      </c>
      <c r="B634" t="str">
        <f>"1551601344505062"</f>
        <v>1551601344505062</v>
      </c>
      <c r="C634" t="s">
        <v>40</v>
      </c>
      <c r="D634">
        <v>5.277933</v>
      </c>
      <c r="E634">
        <v>0.53839619999999999</v>
      </c>
      <c r="F634" t="s">
        <v>41</v>
      </c>
      <c r="G634">
        <v>-335.30470000000003</v>
      </c>
      <c r="H634" s="1">
        <v>-3.230039E-6</v>
      </c>
      <c r="I634">
        <v>363.42959999999999</v>
      </c>
      <c r="J634">
        <v>-359.65969999999999</v>
      </c>
      <c r="K634">
        <v>1.1210089999999999</v>
      </c>
      <c r="L634">
        <v>366.86779999999999</v>
      </c>
      <c r="M634">
        <v>0.99981710000000001</v>
      </c>
      <c r="N634">
        <v>-1.4323229999999999E-2</v>
      </c>
      <c r="O634">
        <v>-1.2688970000000001E-2</v>
      </c>
      <c r="P634">
        <v>0.98811230000000005</v>
      </c>
      <c r="Q634">
        <v>0.14921189999999901</v>
      </c>
      <c r="R634">
        <v>-3.7016140000000003E-2</v>
      </c>
      <c r="S634">
        <v>3.0410460000000001</v>
      </c>
      <c r="T634">
        <v>-0.13915359999999999</v>
      </c>
      <c r="U634">
        <v>-0.42700199999999999</v>
      </c>
      <c r="V634">
        <v>2.4473749999999999E-2</v>
      </c>
      <c r="W634">
        <v>0.16335559999999999</v>
      </c>
      <c r="X634">
        <v>0.98626360000000002</v>
      </c>
      <c r="Y634">
        <v>0.126306</v>
      </c>
      <c r="Z634">
        <v>-3.3873179999999998E-3</v>
      </c>
      <c r="AA634">
        <v>0.99198560000000002</v>
      </c>
      <c r="AB634">
        <v>24</v>
      </c>
      <c r="AC634">
        <v>24.354999999999901</v>
      </c>
      <c r="AD634">
        <v>-1.121012230039</v>
      </c>
      <c r="AE634">
        <v>-3.4381999999999899</v>
      </c>
      <c r="AF634">
        <v>3.1223659104959398</v>
      </c>
      <c r="AG634">
        <v>-1.121012230039</v>
      </c>
      <c r="AH634">
        <v>24.346099233238501</v>
      </c>
      <c r="AI634">
        <v>92.614925777273299</v>
      </c>
      <c r="AJ634">
        <v>82.6917604444142</v>
      </c>
      <c r="AK634">
        <v>24.571088400264699</v>
      </c>
      <c r="AL634">
        <v>80.598278315038499</v>
      </c>
      <c r="AM634">
        <v>88.578519096894993</v>
      </c>
      <c r="AN634">
        <v>0.99999995258769003</v>
      </c>
    </row>
    <row r="635" spans="1:40" x14ac:dyDescent="0.25">
      <c r="A635" t="str">
        <f>"20190303162224538"</f>
        <v>20190303162224538</v>
      </c>
      <c r="B635" t="str">
        <f>"1551601344524581"</f>
        <v>1551601344524581</v>
      </c>
      <c r="C635" t="s">
        <v>40</v>
      </c>
      <c r="D635">
        <v>5.4897769999999904</v>
      </c>
      <c r="E635">
        <v>0.53825109999999998</v>
      </c>
      <c r="F635" t="s">
        <v>41</v>
      </c>
      <c r="G635">
        <v>-335.07310000000001</v>
      </c>
      <c r="H635" s="1">
        <v>-3.3141429999999999E-6</v>
      </c>
      <c r="I635">
        <v>363.40980000000002</v>
      </c>
      <c r="J635">
        <v>-359.43520000000001</v>
      </c>
      <c r="K635">
        <v>1.121</v>
      </c>
      <c r="L635">
        <v>366.86500000000001</v>
      </c>
      <c r="M635">
        <v>0.9998184</v>
      </c>
      <c r="N635">
        <v>-1.4248790000000001E-2</v>
      </c>
      <c r="O635">
        <v>-1.2658559999999999E-2</v>
      </c>
      <c r="P635">
        <v>0.98802040000000002</v>
      </c>
      <c r="Q635">
        <v>0.14971219999999999</v>
      </c>
      <c r="R635">
        <v>-3.7446750000000001E-2</v>
      </c>
      <c r="S635">
        <v>3.0410460000000001</v>
      </c>
      <c r="T635">
        <v>-0.13865450000000001</v>
      </c>
      <c r="U635">
        <v>-0.42770390000000003</v>
      </c>
      <c r="V635">
        <v>2.493356E-2</v>
      </c>
      <c r="W635">
        <v>0.1637808</v>
      </c>
      <c r="X635">
        <v>0.98618159999999999</v>
      </c>
      <c r="Y635">
        <v>0.12656149999999999</v>
      </c>
      <c r="Z635">
        <v>-3.3819639999999999E-3</v>
      </c>
      <c r="AA635">
        <v>0.99195299999999997</v>
      </c>
      <c r="AB635">
        <v>24</v>
      </c>
      <c r="AC635">
        <v>24.362100000000002</v>
      </c>
      <c r="AD635">
        <v>-1.121003314143</v>
      </c>
      <c r="AE635">
        <v>-3.4551999999999898</v>
      </c>
      <c r="AF635">
        <v>3.1399854758328498</v>
      </c>
      <c r="AG635">
        <v>-1.121003314143</v>
      </c>
      <c r="AH635">
        <v>24.353343116501101</v>
      </c>
      <c r="AI635">
        <v>92.613901974069407</v>
      </c>
      <c r="AJ635">
        <v>82.653131591467599</v>
      </c>
      <c r="AK635">
        <v>24.580510128327099</v>
      </c>
      <c r="AL635">
        <v>80.573583920783804</v>
      </c>
      <c r="AM635">
        <v>88.551703382150905</v>
      </c>
      <c r="AN635">
        <v>0.99999999052073596</v>
      </c>
    </row>
    <row r="636" spans="1:40" x14ac:dyDescent="0.25">
      <c r="A636" t="str">
        <f>"20190303162224559"</f>
        <v>20190303162224559</v>
      </c>
      <c r="B636" t="str">
        <f>"1551601344554838"</f>
        <v>1551601344554838</v>
      </c>
      <c r="C636" t="s">
        <v>40</v>
      </c>
      <c r="D636">
        <v>5.4173980000000004</v>
      </c>
      <c r="E636">
        <v>0.45663419999999999</v>
      </c>
      <c r="F636" t="s">
        <v>41</v>
      </c>
      <c r="G636">
        <v>-334.76280000000003</v>
      </c>
      <c r="H636" s="1">
        <v>-3.4234079999999999E-6</v>
      </c>
      <c r="I636">
        <v>363.39589999999998</v>
      </c>
      <c r="J636">
        <v>-359.19779999999997</v>
      </c>
      <c r="K636">
        <v>1.1209990000000001</v>
      </c>
      <c r="L636">
        <v>366.86200000000002</v>
      </c>
      <c r="M636">
        <v>0.99982009999999999</v>
      </c>
      <c r="N636">
        <v>-1.417589E-2</v>
      </c>
      <c r="O636">
        <v>-1.261547E-2</v>
      </c>
      <c r="P636">
        <v>0.98806689999999997</v>
      </c>
      <c r="Q636">
        <v>0.1492454</v>
      </c>
      <c r="R636">
        <v>-3.8079670000000003E-2</v>
      </c>
      <c r="S636">
        <v>3.0411069999999998</v>
      </c>
      <c r="T636">
        <v>-0.13817409999999999</v>
      </c>
      <c r="U636">
        <v>-0.42758180000000001</v>
      </c>
      <c r="V636">
        <v>2.5605039999999999E-2</v>
      </c>
      <c r="W636">
        <v>0.1632441</v>
      </c>
      <c r="X636">
        <v>0.98625339999999995</v>
      </c>
      <c r="Y636">
        <v>0.1265637</v>
      </c>
      <c r="Z636">
        <v>-3.3698180000000001E-3</v>
      </c>
      <c r="AA636">
        <v>0.99195279999999997</v>
      </c>
      <c r="AB636">
        <v>24</v>
      </c>
      <c r="AC636">
        <v>24.434999999999899</v>
      </c>
      <c r="AD636">
        <v>-1.121002423408</v>
      </c>
      <c r="AE636">
        <v>-3.46609999999998</v>
      </c>
      <c r="AF636">
        <v>3.1510330432762799</v>
      </c>
      <c r="AG636">
        <v>-1.121002423408</v>
      </c>
      <c r="AH636">
        <v>24.426390007848799</v>
      </c>
      <c r="AI636">
        <v>92.606071828154199</v>
      </c>
      <c r="AJ636">
        <v>82.649372337649694</v>
      </c>
      <c r="AK636">
        <v>24.6542934291097</v>
      </c>
      <c r="AL636">
        <v>80.604754277225396</v>
      </c>
      <c r="AM636">
        <v>88.512825153013907</v>
      </c>
      <c r="AN636">
        <v>1.0000000116348799</v>
      </c>
    </row>
    <row r="637" spans="1:40" x14ac:dyDescent="0.25">
      <c r="A637" t="str">
        <f>"20190303162224582"</f>
        <v>20190303162224582</v>
      </c>
      <c r="B637" t="str">
        <f>"1551601344575334"</f>
        <v>1551601344575334</v>
      </c>
      <c r="C637" t="s">
        <v>40</v>
      </c>
      <c r="D637">
        <v>5.5503939999999998</v>
      </c>
      <c r="E637">
        <v>0.43426920000000002</v>
      </c>
      <c r="F637" t="s">
        <v>41</v>
      </c>
      <c r="G637">
        <v>-338.58569999999997</v>
      </c>
      <c r="H637" s="1">
        <v>-8.1474329999999996E-7</v>
      </c>
      <c r="I637">
        <v>368.3442</v>
      </c>
      <c r="J637">
        <v>-358.94799999999998</v>
      </c>
      <c r="K637">
        <v>1.1210070000000001</v>
      </c>
      <c r="L637">
        <v>366.85890000000001</v>
      </c>
      <c r="M637">
        <v>0.99982179999999998</v>
      </c>
      <c r="N637">
        <v>-1.410611E-2</v>
      </c>
      <c r="O637">
        <v>-1.2551339999999999E-2</v>
      </c>
      <c r="P637">
        <v>0.98820140000000001</v>
      </c>
      <c r="Q637">
        <v>0.1482115</v>
      </c>
      <c r="R637">
        <v>-3.8616020000000001E-2</v>
      </c>
      <c r="S637">
        <v>3.0699459999999998</v>
      </c>
      <c r="T637">
        <v>-0.16696</v>
      </c>
      <c r="U637">
        <v>0.22076419999999999</v>
      </c>
      <c r="V637">
        <v>2.6198050000000001E-2</v>
      </c>
      <c r="W637">
        <v>0.16214410000000001</v>
      </c>
      <c r="X637">
        <v>0.9864193</v>
      </c>
      <c r="Y637">
        <v>-8.4074789999999996E-2</v>
      </c>
      <c r="Z637">
        <v>3.380489E-3</v>
      </c>
      <c r="AA637">
        <v>0.9964537</v>
      </c>
      <c r="AB637">
        <v>24</v>
      </c>
      <c r="AC637">
        <v>20.362300000000001</v>
      </c>
      <c r="AD637">
        <v>-1.12100781474329</v>
      </c>
      <c r="AE637">
        <v>1.4852999999999901</v>
      </c>
      <c r="AF637">
        <v>-1.7355501981496699</v>
      </c>
      <c r="AG637">
        <v>-1.12100781474329</v>
      </c>
      <c r="AH637">
        <v>20.280908413253201</v>
      </c>
      <c r="AI637">
        <v>93.152252214057697</v>
      </c>
      <c r="AJ637">
        <v>94.891202223174005</v>
      </c>
      <c r="AK637">
        <v>20.385878423010801</v>
      </c>
      <c r="AL637">
        <v>80.668630969525793</v>
      </c>
      <c r="AM637">
        <v>88.478654139732598</v>
      </c>
      <c r="AN637">
        <v>1.0000000412005501</v>
      </c>
    </row>
    <row r="638" spans="1:40" x14ac:dyDescent="0.25">
      <c r="A638" t="str">
        <f>"20190303162224604"</f>
        <v>20190303162224604</v>
      </c>
      <c r="B638" t="str">
        <f>"1551601344594854"</f>
        <v>1551601344594854</v>
      </c>
      <c r="C638" t="s">
        <v>40</v>
      </c>
      <c r="D638">
        <v>5.486567</v>
      </c>
      <c r="E638">
        <v>0.42704019999999998</v>
      </c>
      <c r="F638" t="s">
        <v>41</v>
      </c>
      <c r="G638">
        <v>-345.01609999999999</v>
      </c>
      <c r="H638" s="1">
        <v>-2.5084770000000002E-6</v>
      </c>
      <c r="I638">
        <v>368.6463</v>
      </c>
      <c r="J638">
        <v>-358.71730000000002</v>
      </c>
      <c r="K638">
        <v>1.121019</v>
      </c>
      <c r="L638">
        <v>366.85610000000003</v>
      </c>
      <c r="M638">
        <v>0.99982360000000003</v>
      </c>
      <c r="N638">
        <v>-1.4048929999999999E-2</v>
      </c>
      <c r="O638">
        <v>-1.2466980000000001E-2</v>
      </c>
      <c r="P638">
        <v>0.98824409999999896</v>
      </c>
      <c r="Q638">
        <v>0.1477464</v>
      </c>
      <c r="R638">
        <v>-3.9300340000000003E-2</v>
      </c>
      <c r="S638">
        <v>3.0886230000000001</v>
      </c>
      <c r="T638">
        <v>-0.2485213</v>
      </c>
      <c r="U638">
        <v>0.39627079999999998</v>
      </c>
      <c r="V638">
        <v>2.695869E-2</v>
      </c>
      <c r="W638">
        <v>0.16162409999999999</v>
      </c>
      <c r="X638">
        <v>0.98648409999999997</v>
      </c>
      <c r="Y638">
        <v>-0.1390661</v>
      </c>
      <c r="Z638">
        <v>7.369329E-3</v>
      </c>
      <c r="AA638">
        <v>0.99025569999999896</v>
      </c>
      <c r="AB638">
        <v>24</v>
      </c>
      <c r="AC638">
        <v>13.7012</v>
      </c>
      <c r="AD638">
        <v>-1.1210215084770001</v>
      </c>
      <c r="AE638">
        <v>1.79019999999997</v>
      </c>
      <c r="AF638">
        <v>-1.9480680730489801</v>
      </c>
      <c r="AG638">
        <v>-1.1210215084770001</v>
      </c>
      <c r="AH638">
        <v>13.588375490418001</v>
      </c>
      <c r="AI638">
        <v>94.668621080490198</v>
      </c>
      <c r="AJ638">
        <v>98.158495050753999</v>
      </c>
      <c r="AK638">
        <v>13.773002828297599</v>
      </c>
      <c r="AL638">
        <v>80.698822628164393</v>
      </c>
      <c r="AM638">
        <v>88.434607499874602</v>
      </c>
      <c r="AN638">
        <v>1.00000000011006</v>
      </c>
    </row>
    <row r="639" spans="1:40" x14ac:dyDescent="0.25">
      <c r="A639" t="str">
        <f>"20190303162224617"</f>
        <v>20190303162224617</v>
      </c>
      <c r="B639" t="str">
        <f>"1551601344605590"</f>
        <v>1551601344605590</v>
      </c>
      <c r="C639" t="s">
        <v>40</v>
      </c>
      <c r="D639">
        <v>5.454707</v>
      </c>
      <c r="E639">
        <v>0.42544539999999997</v>
      </c>
      <c r="F639" t="s">
        <v>41</v>
      </c>
      <c r="G639">
        <v>-344.58609999999999</v>
      </c>
      <c r="H639" s="1">
        <v>-2.6631789999999998E-6</v>
      </c>
      <c r="I639">
        <v>368.92009999999999</v>
      </c>
      <c r="J639">
        <v>-358.56920000000002</v>
      </c>
      <c r="K639">
        <v>1.1210290000000001</v>
      </c>
      <c r="L639">
        <v>366.85430000000002</v>
      </c>
      <c r="M639">
        <v>0.99982490000000002</v>
      </c>
      <c r="N639">
        <v>-1.401579E-2</v>
      </c>
      <c r="O639">
        <v>-1.2397160000000001E-2</v>
      </c>
      <c r="P639">
        <v>0.98818910000000004</v>
      </c>
      <c r="Q639">
        <v>0.14797630000000001</v>
      </c>
      <c r="R639">
        <v>-3.9819170000000001E-2</v>
      </c>
      <c r="S639">
        <v>3.0903320000000001</v>
      </c>
      <c r="T639">
        <v>-0.24515509999999999</v>
      </c>
      <c r="U639">
        <v>0.4513855</v>
      </c>
      <c r="V639">
        <v>2.7541969999999999E-2</v>
      </c>
      <c r="W639">
        <v>0.16182179999999999</v>
      </c>
      <c r="X639">
        <v>0.98643559999999997</v>
      </c>
      <c r="Y639">
        <v>-0.1561941</v>
      </c>
      <c r="Z639">
        <v>8.0599829999999997E-3</v>
      </c>
      <c r="AA639">
        <v>0.9876935</v>
      </c>
      <c r="AB639">
        <v>24</v>
      </c>
      <c r="AC639">
        <v>13.9831</v>
      </c>
      <c r="AD639">
        <v>-1.121031663179</v>
      </c>
      <c r="AE639">
        <v>2.0657999999999599</v>
      </c>
      <c r="AF639">
        <v>-2.2250135986772999</v>
      </c>
      <c r="AG639">
        <v>-1.121031663179</v>
      </c>
      <c r="AH639">
        <v>13.869175269357701</v>
      </c>
      <c r="AI639">
        <v>94.563018796558694</v>
      </c>
      <c r="AJ639">
        <v>99.114224265104994</v>
      </c>
      <c r="AK639">
        <v>14.091182354802999</v>
      </c>
      <c r="AL639">
        <v>80.687344376708793</v>
      </c>
      <c r="AM639">
        <v>88.4006773774625</v>
      </c>
      <c r="AN639">
        <v>1.0000000240070399</v>
      </c>
    </row>
    <row r="640" spans="1:40" x14ac:dyDescent="0.25">
      <c r="A640" t="str">
        <f>"20190303162224638"</f>
        <v>20190303162224638</v>
      </c>
      <c r="B640" t="str">
        <f>"1551601344625109"</f>
        <v>1551601344625109</v>
      </c>
      <c r="C640" t="s">
        <v>40</v>
      </c>
      <c r="D640">
        <v>5.4240870000000001</v>
      </c>
      <c r="E640">
        <v>0.42382039999999999</v>
      </c>
      <c r="F640" t="s">
        <v>41</v>
      </c>
      <c r="G640">
        <v>-344.20949999999999</v>
      </c>
      <c r="H640" s="1">
        <v>-2.826509E-6</v>
      </c>
      <c r="I640">
        <v>369.00299999999999</v>
      </c>
      <c r="J640">
        <v>-358.34289999999999</v>
      </c>
      <c r="K640">
        <v>1.1210500000000001</v>
      </c>
      <c r="L640">
        <v>366.85160000000002</v>
      </c>
      <c r="M640">
        <v>0.99982720000000003</v>
      </c>
      <c r="N640">
        <v>-1.3968939999999999E-2</v>
      </c>
      <c r="O640">
        <v>-1.22741E-2</v>
      </c>
      <c r="P640">
        <v>0.98809340000000001</v>
      </c>
      <c r="Q640">
        <v>0.1484405</v>
      </c>
      <c r="R640">
        <v>-4.0462449999999997E-2</v>
      </c>
      <c r="S640">
        <v>3.0906069999999999</v>
      </c>
      <c r="T640">
        <v>-0.2412764</v>
      </c>
      <c r="U640">
        <v>0.46246340000000002</v>
      </c>
      <c r="V640">
        <v>2.8300680000000002E-2</v>
      </c>
      <c r="W640">
        <v>0.16223959999999901</v>
      </c>
      <c r="X640">
        <v>0.98634549999999999</v>
      </c>
      <c r="Y640">
        <v>-0.15953020000000001</v>
      </c>
      <c r="Z640">
        <v>8.0871750000000003E-3</v>
      </c>
      <c r="AA640">
        <v>0.98715989999999998</v>
      </c>
      <c r="AB640">
        <v>24</v>
      </c>
      <c r="AC640">
        <v>14.1333999999999</v>
      </c>
      <c r="AD640">
        <v>-1.1210528265090001</v>
      </c>
      <c r="AE640">
        <v>2.1514000000000202</v>
      </c>
      <c r="AF640">
        <v>-2.3105219808967701</v>
      </c>
      <c r="AG640">
        <v>-1.1210528265090001</v>
      </c>
      <c r="AH640">
        <v>14.019717613128201</v>
      </c>
      <c r="AI640">
        <v>94.511194028180498</v>
      </c>
      <c r="AJ640">
        <v>99.358517820545799</v>
      </c>
      <c r="AK640">
        <v>14.2529910270051</v>
      </c>
      <c r="AL640">
        <v>80.663085702914401</v>
      </c>
      <c r="AM640">
        <v>88.356493979221597</v>
      </c>
      <c r="AN640">
        <v>1.00000003083343</v>
      </c>
    </row>
    <row r="641" spans="1:40" x14ac:dyDescent="0.25">
      <c r="A641" t="str">
        <f>"20190303162224662"</f>
        <v>20190303162224662</v>
      </c>
      <c r="B641" t="str">
        <f>"1551601344655365"</f>
        <v>1551601344655365</v>
      </c>
      <c r="C641" t="s">
        <v>40</v>
      </c>
      <c r="D641">
        <v>5.3774459999999999</v>
      </c>
      <c r="E641">
        <v>0.4226685</v>
      </c>
      <c r="F641" t="s">
        <v>41</v>
      </c>
      <c r="G641">
        <v>-343.6705</v>
      </c>
      <c r="H641" s="1">
        <v>-3.0642689999999998E-6</v>
      </c>
      <c r="I641">
        <v>369.09879999999998</v>
      </c>
      <c r="J641">
        <v>-358.09249999999997</v>
      </c>
      <c r="K641">
        <v>1.1210739999999999</v>
      </c>
      <c r="L641">
        <v>366.84879999999998</v>
      </c>
      <c r="M641">
        <v>0.99982979999999999</v>
      </c>
      <c r="N641">
        <v>-1.392267E-2</v>
      </c>
      <c r="O641">
        <v>-1.2107730000000001E-2</v>
      </c>
      <c r="P641">
        <v>0.98795109999999997</v>
      </c>
      <c r="Q641">
        <v>0.14914189999999999</v>
      </c>
      <c r="R641">
        <v>-4.1347920000000003E-2</v>
      </c>
      <c r="S641">
        <v>3.0910030000000002</v>
      </c>
      <c r="T641">
        <v>-0.23616989999999999</v>
      </c>
      <c r="U641">
        <v>0.47341919999999998</v>
      </c>
      <c r="V641">
        <v>2.934339E-2</v>
      </c>
      <c r="W641">
        <v>0.1628954</v>
      </c>
      <c r="X641">
        <v>0.9862069</v>
      </c>
      <c r="Y641">
        <v>-0.16278000000000001</v>
      </c>
      <c r="Z641">
        <v>8.0667039999999992E-3</v>
      </c>
      <c r="AA641">
        <v>0.98662939999999999</v>
      </c>
      <c r="AB641">
        <v>24</v>
      </c>
      <c r="AC641">
        <v>14.421999999999899</v>
      </c>
      <c r="AD641">
        <v>-1.121077064269</v>
      </c>
      <c r="AE641">
        <v>2.25</v>
      </c>
      <c r="AF641">
        <v>-2.41025164769282</v>
      </c>
      <c r="AG641">
        <v>-1.121077064269</v>
      </c>
      <c r="AH641">
        <v>14.3092875951141</v>
      </c>
      <c r="AI641">
        <v>94.417770404812998</v>
      </c>
      <c r="AJ641">
        <v>99.561133623847994</v>
      </c>
      <c r="AK641">
        <v>14.554100393666401</v>
      </c>
      <c r="AL641">
        <v>80.625004240775198</v>
      </c>
      <c r="AM641">
        <v>88.295736385334294</v>
      </c>
      <c r="AN641">
        <v>0.99999999774273096</v>
      </c>
    </row>
    <row r="642" spans="1:40" x14ac:dyDescent="0.25">
      <c r="A642" t="str">
        <f>"20190303162224682"</f>
        <v>20190303162224682</v>
      </c>
      <c r="B642" t="str">
        <f>"1551601344674885"</f>
        <v>1551601344674885</v>
      </c>
      <c r="C642" t="s">
        <v>40</v>
      </c>
      <c r="D642">
        <v>5.3696270000000004</v>
      </c>
      <c r="E642">
        <v>0.42203449999999998</v>
      </c>
      <c r="F642" t="s">
        <v>41</v>
      </c>
      <c r="G642">
        <v>-343.90940000000001</v>
      </c>
      <c r="H642" s="1">
        <v>-2.9599140000000002E-6</v>
      </c>
      <c r="I642">
        <v>369.05070000000001</v>
      </c>
      <c r="J642">
        <v>-357.86559999999997</v>
      </c>
      <c r="K642">
        <v>1.121089</v>
      </c>
      <c r="L642">
        <v>366.84620000000001</v>
      </c>
      <c r="M642">
        <v>0.99983259999999996</v>
      </c>
      <c r="N642">
        <v>-1.388555E-2</v>
      </c>
      <c r="O642">
        <v>-1.192549E-2</v>
      </c>
      <c r="P642">
        <v>0.98780690000000004</v>
      </c>
      <c r="Q642">
        <v>0.1499277</v>
      </c>
      <c r="R642">
        <v>-4.1943679999999997E-2</v>
      </c>
      <c r="S642">
        <v>3.0936279999999998</v>
      </c>
      <c r="T642">
        <v>-0.24452869999999999</v>
      </c>
      <c r="U642">
        <v>0.48028559999999998</v>
      </c>
      <c r="V642">
        <v>3.011312E-2</v>
      </c>
      <c r="W642">
        <v>0.16364389999999901</v>
      </c>
      <c r="X642">
        <v>0.98605980000000004</v>
      </c>
      <c r="Y642">
        <v>-0.16457060000000001</v>
      </c>
      <c r="Z642">
        <v>8.3783219999999901E-3</v>
      </c>
      <c r="AA642">
        <v>0.98632969999999998</v>
      </c>
      <c r="AB642">
        <v>24</v>
      </c>
      <c r="AC642">
        <v>13.9561999999999</v>
      </c>
      <c r="AD642">
        <v>-1.1210919599139999</v>
      </c>
      <c r="AE642">
        <v>2.2044999999999901</v>
      </c>
      <c r="AF642">
        <v>-2.3559612942287198</v>
      </c>
      <c r="AG642">
        <v>-1.1210919599139999</v>
      </c>
      <c r="AH642">
        <v>13.841771246857199</v>
      </c>
      <c r="AI642">
        <v>94.565101236576496</v>
      </c>
      <c r="AJ642">
        <v>99.659551642080004</v>
      </c>
      <c r="AK642">
        <v>14.085525622170101</v>
      </c>
      <c r="AL642">
        <v>80.581535340255698</v>
      </c>
      <c r="AM642">
        <v>88.250797145565699</v>
      </c>
      <c r="AN642">
        <v>1.0000000275896901</v>
      </c>
    </row>
    <row r="643" spans="1:40" x14ac:dyDescent="0.25">
      <c r="A643" t="str">
        <f>"20190303162224696"</f>
        <v>20190303162224696</v>
      </c>
      <c r="B643" t="str">
        <f>"1551601344684645"</f>
        <v>1551601344684645</v>
      </c>
      <c r="C643" t="s">
        <v>40</v>
      </c>
      <c r="D643">
        <v>5.3680690000000002</v>
      </c>
      <c r="E643">
        <v>0.42181429999999998</v>
      </c>
      <c r="F643" t="s">
        <v>41</v>
      </c>
      <c r="G643">
        <v>-343.97739999999999</v>
      </c>
      <c r="H643" s="1">
        <v>-2.93327E-6</v>
      </c>
      <c r="I643">
        <v>369.0197</v>
      </c>
      <c r="J643">
        <v>-357.72629999999998</v>
      </c>
      <c r="K643">
        <v>1.1211</v>
      </c>
      <c r="L643">
        <v>366.84469999999999</v>
      </c>
      <c r="M643">
        <v>0.99983420000000001</v>
      </c>
      <c r="N643">
        <v>-1.386541E-2</v>
      </c>
      <c r="O643">
        <v>-1.1797139999999999E-2</v>
      </c>
      <c r="P643">
        <v>0.98778999999999995</v>
      </c>
      <c r="Q643">
        <v>0.1500966</v>
      </c>
      <c r="R643">
        <v>-4.1736599999999999E-2</v>
      </c>
      <c r="S643">
        <v>3.09552</v>
      </c>
      <c r="T643">
        <v>-0.2498773</v>
      </c>
      <c r="U643">
        <v>0.48443599999999998</v>
      </c>
      <c r="V643">
        <v>3.0028719999999998E-2</v>
      </c>
      <c r="W643">
        <v>0.16379349999999901</v>
      </c>
      <c r="X643">
        <v>0.98603750000000001</v>
      </c>
      <c r="Y643">
        <v>-0.1656154</v>
      </c>
      <c r="Z643">
        <v>8.5735819999999997E-3</v>
      </c>
      <c r="AA643">
        <v>0.9861531</v>
      </c>
      <c r="AB643">
        <v>24</v>
      </c>
      <c r="AC643">
        <v>13.7488999999999</v>
      </c>
      <c r="AD643">
        <v>-1.12110293327</v>
      </c>
      <c r="AE643">
        <v>2.17500000000001</v>
      </c>
      <c r="AF643">
        <v>-2.3219999206155402</v>
      </c>
      <c r="AG643">
        <v>-1.12110293327</v>
      </c>
      <c r="AH643">
        <v>13.6338438389825</v>
      </c>
      <c r="AI643">
        <v>94.634386929941002</v>
      </c>
      <c r="AJ643">
        <v>99.665388812004394</v>
      </c>
      <c r="AK643">
        <v>13.8755271339177</v>
      </c>
      <c r="AL643">
        <v>80.572846327305797</v>
      </c>
      <c r="AM643">
        <v>88.255657292844404</v>
      </c>
      <c r="AN643">
        <v>0.99999999303666898</v>
      </c>
    </row>
    <row r="644" spans="1:40" x14ac:dyDescent="0.25">
      <c r="A644" t="str">
        <f>"20190303162224710"</f>
        <v>20190303162224710</v>
      </c>
      <c r="B644" t="str">
        <f>"1551601344705141"</f>
        <v>1551601344705141</v>
      </c>
      <c r="C644" t="s">
        <v>40</v>
      </c>
      <c r="D644">
        <v>5.3839829999999997</v>
      </c>
      <c r="E644">
        <v>0.42136560000000001</v>
      </c>
      <c r="F644" t="s">
        <v>41</v>
      </c>
      <c r="G644">
        <v>-343.99770000000001</v>
      </c>
      <c r="H644" s="1">
        <v>-2.9263569999999999E-6</v>
      </c>
      <c r="I644">
        <v>369.00450000000001</v>
      </c>
      <c r="J644">
        <v>-357.57100000000003</v>
      </c>
      <c r="K644">
        <v>1.1211120000000001</v>
      </c>
      <c r="L644">
        <v>366.84300000000002</v>
      </c>
      <c r="M644">
        <v>0.99983650000000002</v>
      </c>
      <c r="N644">
        <v>-1.3844159999999999E-2</v>
      </c>
      <c r="O644">
        <v>-1.164829E-2</v>
      </c>
      <c r="P644">
        <v>0.98781390000000002</v>
      </c>
      <c r="Q644">
        <v>0.15007290000000001</v>
      </c>
      <c r="R644">
        <v>-4.1258990000000002E-2</v>
      </c>
      <c r="S644">
        <v>3.096069</v>
      </c>
      <c r="T644">
        <v>-0.25283099999999997</v>
      </c>
      <c r="U644">
        <v>0.4870911</v>
      </c>
      <c r="V644">
        <v>2.9693359999999999E-2</v>
      </c>
      <c r="W644">
        <v>0.163749799999999</v>
      </c>
      <c r="X644">
        <v>0.98605489999999996</v>
      </c>
      <c r="Y644">
        <v>-0.16625129999999999</v>
      </c>
      <c r="Z644">
        <v>8.6798159999999999E-3</v>
      </c>
      <c r="AA644">
        <v>0.98604519999999996</v>
      </c>
      <c r="AB644">
        <v>24</v>
      </c>
      <c r="AC644">
        <v>13.5732999999999</v>
      </c>
      <c r="AD644">
        <v>-1.1211149263569999</v>
      </c>
      <c r="AE644">
        <v>2.1614999999999802</v>
      </c>
      <c r="AF644">
        <v>-2.3041434596023098</v>
      </c>
      <c r="AG644">
        <v>-1.1211149263569999</v>
      </c>
      <c r="AH644">
        <v>13.457657614597199</v>
      </c>
      <c r="AI644">
        <v>94.694140254182301</v>
      </c>
      <c r="AJ644">
        <v>99.715651896597095</v>
      </c>
      <c r="AK644">
        <v>13.699435179315</v>
      </c>
      <c r="AL644">
        <v>80.575384290144996</v>
      </c>
      <c r="AM644">
        <v>88.275156653320707</v>
      </c>
      <c r="AN644">
        <v>0.99999997922106898</v>
      </c>
    </row>
    <row r="645" spans="1:40" x14ac:dyDescent="0.25">
      <c r="A645" t="str">
        <f>"20190303162224727"</f>
        <v>20190303162224727</v>
      </c>
      <c r="B645" t="str">
        <f>"1551601344714902"</f>
        <v>1551601344714902</v>
      </c>
      <c r="C645" t="s">
        <v>40</v>
      </c>
      <c r="D645">
        <v>5.3522970000000001</v>
      </c>
      <c r="E645">
        <v>0.42114269999999998</v>
      </c>
      <c r="F645" t="s">
        <v>41</v>
      </c>
      <c r="G645">
        <v>-344.11700000000002</v>
      </c>
      <c r="H645" s="1">
        <v>-2.8745939999999998E-6</v>
      </c>
      <c r="I645">
        <v>368.97840000000002</v>
      </c>
      <c r="J645">
        <v>-357.38810000000001</v>
      </c>
      <c r="K645">
        <v>1.1211230000000001</v>
      </c>
      <c r="L645">
        <v>366.84100000000001</v>
      </c>
      <c r="M645">
        <v>0.99983889999999997</v>
      </c>
      <c r="N645">
        <v>-1.3821079999999999E-2</v>
      </c>
      <c r="O645">
        <v>-1.1463310000000001E-2</v>
      </c>
      <c r="P645">
        <v>0.98789550000000004</v>
      </c>
      <c r="Q645">
        <v>0.15018860000000001</v>
      </c>
      <c r="R645">
        <v>-3.8813559999999997E-2</v>
      </c>
      <c r="S645">
        <v>3.0967709999999999</v>
      </c>
      <c r="T645">
        <v>-0.2580519</v>
      </c>
      <c r="U645">
        <v>0.49151610000000001</v>
      </c>
      <c r="V645">
        <v>2.7425439999999999E-2</v>
      </c>
      <c r="W645">
        <v>0.1638434</v>
      </c>
      <c r="X645">
        <v>0.98610509999999996</v>
      </c>
      <c r="Y645">
        <v>-0.1673799</v>
      </c>
      <c r="Z645">
        <v>8.8755780000000003E-3</v>
      </c>
      <c r="AA645">
        <v>0.98585250000000002</v>
      </c>
      <c r="AB645">
        <v>24</v>
      </c>
      <c r="AC645">
        <v>13.271100000000001</v>
      </c>
      <c r="AD645">
        <v>-1.12112587459399</v>
      </c>
      <c r="AE645">
        <v>2.1374000000000102</v>
      </c>
      <c r="AF645">
        <v>-2.2735891949215499</v>
      </c>
      <c r="AG645">
        <v>-1.12112587459399</v>
      </c>
      <c r="AH645">
        <v>13.154220189828701</v>
      </c>
      <c r="AI645">
        <v>94.800670302973003</v>
      </c>
      <c r="AJ645">
        <v>99.8061785024329</v>
      </c>
      <c r="AK645">
        <v>13.396254695117101</v>
      </c>
      <c r="AL645">
        <v>80.569948574387197</v>
      </c>
      <c r="AM645">
        <v>88.406907132642203</v>
      </c>
      <c r="AN645">
        <v>1.0000000413643799</v>
      </c>
    </row>
    <row r="646" spans="1:40" x14ac:dyDescent="0.25">
      <c r="A646" t="str">
        <f>"20190303162224750"</f>
        <v>20190303162224750</v>
      </c>
      <c r="B646" t="str">
        <f>"1551601344745157"</f>
        <v>1551601344745157</v>
      </c>
      <c r="C646" t="s">
        <v>40</v>
      </c>
      <c r="D646">
        <v>5.3664779999999999</v>
      </c>
      <c r="E646">
        <v>0.42058240000000002</v>
      </c>
      <c r="F646" t="s">
        <v>41</v>
      </c>
      <c r="G646">
        <v>-344.04669999999999</v>
      </c>
      <c r="H646" s="1">
        <v>-2.9040340000000002E-6</v>
      </c>
      <c r="I646">
        <v>368.99979999999999</v>
      </c>
      <c r="J646">
        <v>-357.14690000000002</v>
      </c>
      <c r="K646">
        <v>1.12114</v>
      </c>
      <c r="L646">
        <v>366.83859999999999</v>
      </c>
      <c r="M646">
        <v>0.99984200000000001</v>
      </c>
      <c r="N646">
        <v>-1.3794010000000001E-2</v>
      </c>
      <c r="O646">
        <v>-1.1207409999999999E-2</v>
      </c>
      <c r="P646">
        <v>0.98807020000000001</v>
      </c>
      <c r="Q646">
        <v>0.14996499999999999</v>
      </c>
      <c r="R646">
        <v>-3.503887E-2</v>
      </c>
      <c r="S646">
        <v>3.096069</v>
      </c>
      <c r="T646">
        <v>-0.26017390000000001</v>
      </c>
      <c r="U646">
        <v>0.50097659999999999</v>
      </c>
      <c r="V646">
        <v>2.3898829999999999E-2</v>
      </c>
      <c r="W646">
        <v>0.16359409999999999</v>
      </c>
      <c r="X646">
        <v>0.98623819999999995</v>
      </c>
      <c r="Y646">
        <v>-0.170077799999999</v>
      </c>
      <c r="Z646">
        <v>9.0516639999999992E-3</v>
      </c>
      <c r="AA646">
        <v>0.98538910000000002</v>
      </c>
      <c r="AB646">
        <v>24</v>
      </c>
      <c r="AC646">
        <v>13.100199999999999</v>
      </c>
      <c r="AD646">
        <v>-1.121142904034</v>
      </c>
      <c r="AE646">
        <v>2.1612</v>
      </c>
      <c r="AF646">
        <v>-2.2915581730267198</v>
      </c>
      <c r="AG646">
        <v>-1.121142904034</v>
      </c>
      <c r="AH646">
        <v>12.982584401532099</v>
      </c>
      <c r="AI646">
        <v>94.860898851730894</v>
      </c>
      <c r="AJ646">
        <v>100.010179133154</v>
      </c>
      <c r="AK646">
        <v>13.230861574914</v>
      </c>
      <c r="AL646">
        <v>80.584427246875094</v>
      </c>
      <c r="AM646">
        <v>88.611862561792705</v>
      </c>
      <c r="AN646">
        <v>0.99999998538470902</v>
      </c>
    </row>
    <row r="647" spans="1:40" x14ac:dyDescent="0.25">
      <c r="A647" t="str">
        <f>"20190303162224771"</f>
        <v>20190303162224771</v>
      </c>
      <c r="B647" t="str">
        <f>"1551601344764678"</f>
        <v>1551601344764678</v>
      </c>
      <c r="C647" t="s">
        <v>40</v>
      </c>
      <c r="D647">
        <v>5.4863689999999998</v>
      </c>
      <c r="E647">
        <v>0.42003839999999998</v>
      </c>
      <c r="F647" t="s">
        <v>41</v>
      </c>
      <c r="G647">
        <v>-344.19</v>
      </c>
      <c r="H647" s="1">
        <v>-2.8361689999999998E-6</v>
      </c>
      <c r="I647">
        <v>369.00040000000001</v>
      </c>
      <c r="J647">
        <v>-356.90620000000001</v>
      </c>
      <c r="K647">
        <v>1.1211409999999999</v>
      </c>
      <c r="L647">
        <v>366.83620000000002</v>
      </c>
      <c r="M647">
        <v>0.9998454</v>
      </c>
      <c r="N647">
        <v>-1.376995E-2</v>
      </c>
      <c r="O647">
        <v>-1.094435E-2</v>
      </c>
      <c r="P647">
        <v>0.98811760000000004</v>
      </c>
      <c r="Q647">
        <v>0.1506007</v>
      </c>
      <c r="R647">
        <v>-3.0712280000000002E-2</v>
      </c>
      <c r="S647">
        <v>3.0952449999999998</v>
      </c>
      <c r="T647">
        <v>-0.26782699999999998</v>
      </c>
      <c r="U647">
        <v>0.5164185</v>
      </c>
      <c r="V647">
        <v>1.9830210000000001E-2</v>
      </c>
      <c r="W647">
        <v>0.16420460000000001</v>
      </c>
      <c r="X647">
        <v>0.98622699999999996</v>
      </c>
      <c r="Y647">
        <v>-0.1745872</v>
      </c>
      <c r="Z647">
        <v>9.4902790000000008E-3</v>
      </c>
      <c r="AA647">
        <v>0.98459600000000003</v>
      </c>
      <c r="AB647">
        <v>24</v>
      </c>
      <c r="AC647">
        <v>12.716200000000001</v>
      </c>
      <c r="AD647">
        <v>-1.121143836169</v>
      </c>
      <c r="AE647">
        <v>2.1641999999999899</v>
      </c>
      <c r="AF647">
        <v>-2.2859845553570102</v>
      </c>
      <c r="AG647">
        <v>-1.121143836169</v>
      </c>
      <c r="AH647">
        <v>12.596589011277899</v>
      </c>
      <c r="AI647">
        <v>95.004817402914895</v>
      </c>
      <c r="AJ647">
        <v>100.285893410615</v>
      </c>
      <c r="AK647">
        <v>12.851332367025501</v>
      </c>
      <c r="AL647">
        <v>80.548969205567005</v>
      </c>
      <c r="AM647">
        <v>88.848100632177406</v>
      </c>
      <c r="AN647">
        <v>1.0000000417093999</v>
      </c>
    </row>
    <row r="648" spans="1:40" x14ac:dyDescent="0.25">
      <c r="A648" t="str">
        <f>"20190303162224793"</f>
        <v>20190303162224793</v>
      </c>
      <c r="B648" t="str">
        <f>"1551601344785174"</f>
        <v>1551601344785174</v>
      </c>
      <c r="C648" t="s">
        <v>40</v>
      </c>
      <c r="D648">
        <v>5.3165909999999998</v>
      </c>
      <c r="E648">
        <v>0.37360860000000001</v>
      </c>
      <c r="F648" t="s">
        <v>41</v>
      </c>
      <c r="G648">
        <v>-343.78989999999999</v>
      </c>
      <c r="H648" s="1">
        <v>-3.0075809999999999E-6</v>
      </c>
      <c r="I648">
        <v>369.10039999999998</v>
      </c>
      <c r="J648">
        <v>-356.6737</v>
      </c>
      <c r="K648">
        <v>1.12114</v>
      </c>
      <c r="L648">
        <v>366.834</v>
      </c>
      <c r="M648">
        <v>0.99984830000000002</v>
      </c>
      <c r="N648">
        <v>-1.3749219999999999E-2</v>
      </c>
      <c r="O648">
        <v>-1.068817E-2</v>
      </c>
      <c r="P648">
        <v>0.98813649999999997</v>
      </c>
      <c r="Q648">
        <v>0.15132399999999999</v>
      </c>
      <c r="R648">
        <v>-2.6213460000000001E-2</v>
      </c>
      <c r="S648">
        <v>3.0928960000000001</v>
      </c>
      <c r="T648">
        <v>-0.26437129999999998</v>
      </c>
      <c r="U648">
        <v>0.53390499999999996</v>
      </c>
      <c r="V648">
        <v>1.558473E-2</v>
      </c>
      <c r="W648">
        <v>0.16490539999999901</v>
      </c>
      <c r="X648">
        <v>0.98618629999999996</v>
      </c>
      <c r="Y648">
        <v>-0.17986170000000001</v>
      </c>
      <c r="Z648">
        <v>9.6249990000000004E-3</v>
      </c>
      <c r="AA648">
        <v>0.98364479999999999</v>
      </c>
      <c r="AB648">
        <v>24</v>
      </c>
      <c r="AC648">
        <v>12.883800000000001</v>
      </c>
      <c r="AD648">
        <v>-1.1211430075810001</v>
      </c>
      <c r="AE648">
        <v>2.2663999999999702</v>
      </c>
      <c r="AF648">
        <v>-2.3864589664788198</v>
      </c>
      <c r="AG648">
        <v>-1.1211430075810001</v>
      </c>
      <c r="AH648">
        <v>12.765076988385999</v>
      </c>
      <c r="AI648">
        <v>94.934291068136304</v>
      </c>
      <c r="AJ648">
        <v>100.589330476919</v>
      </c>
      <c r="AK648">
        <v>13.034544048855601</v>
      </c>
      <c r="AL648">
        <v>80.508261437673596</v>
      </c>
      <c r="AM648">
        <v>89.094628538188303</v>
      </c>
      <c r="AN648">
        <v>1.0000000465330099</v>
      </c>
    </row>
    <row r="649" spans="1:40" x14ac:dyDescent="0.25">
      <c r="A649" t="str">
        <f>"20190303162224818"</f>
        <v>20190303162224818</v>
      </c>
      <c r="B649" t="str">
        <f>"1551601344804693"</f>
        <v>1551601344804693</v>
      </c>
      <c r="C649" t="s">
        <v>40</v>
      </c>
      <c r="D649">
        <v>5.2337470000000001</v>
      </c>
      <c r="E649">
        <v>0.3449796</v>
      </c>
      <c r="F649" t="s">
        <v>41</v>
      </c>
      <c r="G649">
        <v>-345.57010000000002</v>
      </c>
      <c r="H649" s="1">
        <v>-2.2059680000000001E-6</v>
      </c>
      <c r="I649">
        <v>370.1103</v>
      </c>
      <c r="J649">
        <v>-356.41879999999998</v>
      </c>
      <c r="K649">
        <v>1.121135</v>
      </c>
      <c r="L649">
        <v>366.83159999999998</v>
      </c>
      <c r="M649">
        <v>0.99985179999999996</v>
      </c>
      <c r="N649">
        <v>-1.372895E-2</v>
      </c>
      <c r="O649">
        <v>-1.0408189999999999E-2</v>
      </c>
      <c r="P649">
        <v>0.98821930000000002</v>
      </c>
      <c r="Q649">
        <v>0.15155179999999999</v>
      </c>
      <c r="R649">
        <v>-2.1328030000000001E-2</v>
      </c>
      <c r="S649">
        <v>3.1084589999999999</v>
      </c>
      <c r="T649">
        <v>-0.31386399999999998</v>
      </c>
      <c r="U649">
        <v>0.91720579999999996</v>
      </c>
      <c r="V649">
        <v>1.097659E-2</v>
      </c>
      <c r="W649">
        <v>0.16511139999999999</v>
      </c>
      <c r="X649">
        <v>0.98621389999999998</v>
      </c>
      <c r="Y649">
        <v>-0.29137370000000001</v>
      </c>
      <c r="Z649">
        <v>1.7303519999999999E-2</v>
      </c>
      <c r="AA649">
        <v>0.95645279999999999</v>
      </c>
      <c r="AB649">
        <v>24</v>
      </c>
      <c r="AC649">
        <v>10.8486999999999</v>
      </c>
      <c r="AD649">
        <v>-1.121137205968</v>
      </c>
      <c r="AE649">
        <v>3.2787000000000099</v>
      </c>
      <c r="AF649">
        <v>-3.3585813978814398</v>
      </c>
      <c r="AG649">
        <v>-1.121137205968</v>
      </c>
      <c r="AH649">
        <v>10.7091841315106</v>
      </c>
      <c r="AI649">
        <v>95.7044688927718</v>
      </c>
      <c r="AJ649">
        <v>107.41230766462201</v>
      </c>
      <c r="AK649">
        <v>11.2793458322458</v>
      </c>
      <c r="AL649">
        <v>80.496294578670501</v>
      </c>
      <c r="AM649">
        <v>89.362322602629703</v>
      </c>
      <c r="AN649">
        <v>1.0000000582455899</v>
      </c>
    </row>
    <row r="650" spans="1:40" x14ac:dyDescent="0.25">
      <c r="A650" t="str">
        <f>"20190303162224839"</f>
        <v>20190303162224839</v>
      </c>
      <c r="B650" t="str">
        <f>"1551601344834950"</f>
        <v>1551601344834950</v>
      </c>
      <c r="C650" t="s">
        <v>40</v>
      </c>
      <c r="D650">
        <v>5.2574709999999998</v>
      </c>
      <c r="E650">
        <v>0.32856079999999999</v>
      </c>
      <c r="F650" t="s">
        <v>41</v>
      </c>
      <c r="G650">
        <v>-346.96170000000001</v>
      </c>
      <c r="H650" s="1">
        <v>-1.6124260000000001E-6</v>
      </c>
      <c r="I650">
        <v>370.3519</v>
      </c>
      <c r="J650">
        <v>-356.18699999999899</v>
      </c>
      <c r="K650">
        <v>1.1211310000000001</v>
      </c>
      <c r="L650">
        <v>366.8295</v>
      </c>
      <c r="M650">
        <v>0.99985440000000003</v>
      </c>
      <c r="N650">
        <v>-1.371262E-2</v>
      </c>
      <c r="O650">
        <v>-1.015661E-2</v>
      </c>
      <c r="P650">
        <v>0.98827900000000002</v>
      </c>
      <c r="Q650">
        <v>0.15170059999999999</v>
      </c>
      <c r="R650">
        <v>-1.7080189999999999E-2</v>
      </c>
      <c r="S650">
        <v>3.1174620000000002</v>
      </c>
      <c r="T650">
        <v>-0.36957309999999999</v>
      </c>
      <c r="U650">
        <v>1.160431</v>
      </c>
      <c r="V650">
        <v>6.9780550000000004E-3</v>
      </c>
      <c r="W650">
        <v>0.16524259999999999</v>
      </c>
      <c r="X650">
        <v>0.98622829999999995</v>
      </c>
      <c r="Y650">
        <v>-0.35583039999999999</v>
      </c>
      <c r="Z650">
        <v>2.3898030000000001E-2</v>
      </c>
      <c r="AA650">
        <v>0.93424490000000004</v>
      </c>
      <c r="AB650">
        <v>24</v>
      </c>
      <c r="AC650">
        <v>9.2252999999999403</v>
      </c>
      <c r="AD650">
        <v>-1.1211326124259999</v>
      </c>
      <c r="AE650">
        <v>3.5224000000000002</v>
      </c>
      <c r="AF650">
        <v>-3.5699091101878802</v>
      </c>
      <c r="AG650">
        <v>-1.1211326124259999</v>
      </c>
      <c r="AH650">
        <v>9.07210655985579</v>
      </c>
      <c r="AI650">
        <v>96.560033141454298</v>
      </c>
      <c r="AJ650">
        <v>111.47983009803001</v>
      </c>
      <c r="AK650">
        <v>9.8134757768604199</v>
      </c>
      <c r="AL650">
        <v>80.488672453974999</v>
      </c>
      <c r="AM650">
        <v>89.594610670765405</v>
      </c>
      <c r="AN650">
        <v>1.00000003491361</v>
      </c>
    </row>
    <row r="651" spans="1:40" x14ac:dyDescent="0.25">
      <c r="A651" t="str">
        <f>"20190303162224862"</f>
        <v>20190303162224862</v>
      </c>
      <c r="B651" t="str">
        <f>"1551601344855446"</f>
        <v>1551601344855446</v>
      </c>
      <c r="C651" t="s">
        <v>40</v>
      </c>
      <c r="D651">
        <v>5.2401799999999996</v>
      </c>
      <c r="E651">
        <v>0.32601629999999998</v>
      </c>
      <c r="F651" t="s">
        <v>41</v>
      </c>
      <c r="G651">
        <v>-347.37950000000001</v>
      </c>
      <c r="H651" s="1">
        <v>-1.4582990000000001E-6</v>
      </c>
      <c r="I651">
        <v>370.51499999999999</v>
      </c>
      <c r="J651">
        <v>-355.94330000000002</v>
      </c>
      <c r="K651">
        <v>1.121129</v>
      </c>
      <c r="L651">
        <v>366.82729999999998</v>
      </c>
      <c r="M651">
        <v>0.9998572</v>
      </c>
      <c r="N651">
        <v>-1.369721E-2</v>
      </c>
      <c r="O651">
        <v>-9.8970489999999998E-3</v>
      </c>
      <c r="P651">
        <v>0.98835530000000005</v>
      </c>
      <c r="Q651">
        <v>0.15157089999999901</v>
      </c>
      <c r="R651">
        <v>-1.342754E-2</v>
      </c>
      <c r="S651">
        <v>3.1190799999999999</v>
      </c>
      <c r="T651">
        <v>-0.39703699999999997</v>
      </c>
      <c r="U651">
        <v>1.3051759999999999</v>
      </c>
      <c r="V651">
        <v>3.582479E-3</v>
      </c>
      <c r="W651">
        <v>0.16509679999999999</v>
      </c>
      <c r="X651">
        <v>0.9862708</v>
      </c>
      <c r="Y651">
        <v>-0.39204640000000002</v>
      </c>
      <c r="Z651">
        <v>2.7740500000000001E-2</v>
      </c>
      <c r="AA651">
        <v>0.91952710000000004</v>
      </c>
      <c r="AB651">
        <v>24</v>
      </c>
      <c r="AC651">
        <v>8.5638000000000094</v>
      </c>
      <c r="AD651">
        <v>-1.121130458299</v>
      </c>
      <c r="AE651">
        <v>3.6877</v>
      </c>
      <c r="AF651">
        <v>-3.71852183169884</v>
      </c>
      <c r="AG651">
        <v>-1.121130458299</v>
      </c>
      <c r="AH651">
        <v>8.4053563572816508</v>
      </c>
      <c r="AI651">
        <v>96.954537919699604</v>
      </c>
      <c r="AJ651">
        <v>113.864553909395</v>
      </c>
      <c r="AK651">
        <v>9.2592847245476602</v>
      </c>
      <c r="AL651">
        <v>80.497141595521796</v>
      </c>
      <c r="AM651">
        <v>89.791882691683597</v>
      </c>
      <c r="AN651">
        <v>0.99999993922932995</v>
      </c>
    </row>
    <row r="652" spans="1:40" x14ac:dyDescent="0.25">
      <c r="A652" t="str">
        <f>"20190303162224883"</f>
        <v>20190303162224883</v>
      </c>
      <c r="B652" t="str">
        <f>"1551601344874966"</f>
        <v>1551601344874966</v>
      </c>
      <c r="C652" t="s">
        <v>40</v>
      </c>
      <c r="D652">
        <v>5.2767330000000001</v>
      </c>
      <c r="E652">
        <v>0.3249899</v>
      </c>
      <c r="F652" t="s">
        <v>41</v>
      </c>
      <c r="G652">
        <v>-347.20229999999998</v>
      </c>
      <c r="H652" s="1">
        <v>-1.559345E-6</v>
      </c>
      <c r="I652">
        <v>370.57990000000001</v>
      </c>
      <c r="J652">
        <v>-355.7167</v>
      </c>
      <c r="K652">
        <v>1.12113</v>
      </c>
      <c r="L652">
        <v>366.8254</v>
      </c>
      <c r="M652">
        <v>0.99985979999999997</v>
      </c>
      <c r="N652">
        <v>-1.368437E-2</v>
      </c>
      <c r="O652">
        <v>-9.6584800000000005E-3</v>
      </c>
      <c r="P652">
        <v>0.98836539999999995</v>
      </c>
      <c r="Q652">
        <v>0.15170249999999999</v>
      </c>
      <c r="R652">
        <v>-1.0979940000000001E-2</v>
      </c>
      <c r="S652">
        <v>3.1147770000000001</v>
      </c>
      <c r="T652">
        <v>-0.39950439999999998</v>
      </c>
      <c r="U652">
        <v>1.337189</v>
      </c>
      <c r="V652">
        <v>1.3718739999999999E-3</v>
      </c>
      <c r="W652">
        <v>0.1652149</v>
      </c>
      <c r="X652">
        <v>0.98625669999999999</v>
      </c>
      <c r="Y652">
        <v>-0.40018090000000001</v>
      </c>
      <c r="Z652">
        <v>2.8412059999999999E-2</v>
      </c>
      <c r="AA652">
        <v>0.91599569999999997</v>
      </c>
      <c r="AB652">
        <v>24</v>
      </c>
      <c r="AC652">
        <v>8.5144000000000197</v>
      </c>
      <c r="AD652">
        <v>-1.121131559345</v>
      </c>
      <c r="AE652">
        <v>3.7545000000000002</v>
      </c>
      <c r="AF652">
        <v>-3.7816749097250901</v>
      </c>
      <c r="AG652">
        <v>-1.121131559345</v>
      </c>
      <c r="AH652">
        <v>8.3564368064611099</v>
      </c>
      <c r="AI652">
        <v>96.968703432226903</v>
      </c>
      <c r="AJ652">
        <v>114.34895575307</v>
      </c>
      <c r="AK652">
        <v>9.2405647661050292</v>
      </c>
      <c r="AL652">
        <v>80.490281922830903</v>
      </c>
      <c r="AM652">
        <v>89.920302148995304</v>
      </c>
      <c r="AN652">
        <v>1.0000000617575799</v>
      </c>
    </row>
    <row r="653" spans="1:40" x14ac:dyDescent="0.25">
      <c r="A653" t="str">
        <f>"20190303162224904"</f>
        <v>20190303162224904</v>
      </c>
      <c r="B653" t="str">
        <f>"1551601344894485"</f>
        <v>1551601344894485</v>
      </c>
      <c r="C653" t="s">
        <v>40</v>
      </c>
      <c r="D653">
        <v>5.2730050000000004</v>
      </c>
      <c r="E653">
        <v>0.323907</v>
      </c>
      <c r="F653" t="s">
        <v>42</v>
      </c>
      <c r="G653">
        <v>-354.75810000000001</v>
      </c>
      <c r="H653">
        <v>0.99776880000000001</v>
      </c>
      <c r="I653">
        <v>367.24180000000001</v>
      </c>
      <c r="J653">
        <v>-355.4907</v>
      </c>
      <c r="K653">
        <v>1.1211249999999999</v>
      </c>
      <c r="L653">
        <v>366.82350000000002</v>
      </c>
      <c r="M653">
        <v>0.99986220000000003</v>
      </c>
      <c r="N653">
        <v>-1.3672780000000001E-2</v>
      </c>
      <c r="O653">
        <v>-9.4231290000000006E-3</v>
      </c>
      <c r="P653">
        <v>0.98844589999999999</v>
      </c>
      <c r="Q653">
        <v>0.15129229999999999</v>
      </c>
      <c r="R653">
        <v>-9.2450659999999997E-3</v>
      </c>
      <c r="S653">
        <v>3.1118160000000001</v>
      </c>
      <c r="T653">
        <v>-0.40042470000000002</v>
      </c>
      <c r="U653">
        <v>1.352112</v>
      </c>
      <c r="V653">
        <v>-1.301055E-4</v>
      </c>
      <c r="W653">
        <v>0.16479349999999901</v>
      </c>
      <c r="X653">
        <v>0.98632810000000004</v>
      </c>
      <c r="Y653">
        <v>-0.4039391</v>
      </c>
      <c r="Z653">
        <v>2.8701939999999999E-2</v>
      </c>
      <c r="AA653">
        <v>0.91433549999999997</v>
      </c>
      <c r="AB653">
        <v>24</v>
      </c>
      <c r="AC653">
        <v>0.73259999999999004</v>
      </c>
      <c r="AD653">
        <v>-0.123356199999999</v>
      </c>
      <c r="AE653">
        <v>0.41829999999998702</v>
      </c>
      <c r="AF653">
        <v>-0.41628465377030799</v>
      </c>
      <c r="AG653">
        <v>-0.123356199999999</v>
      </c>
      <c r="AH653">
        <v>0.71337241567271803</v>
      </c>
      <c r="AI653">
        <v>98.494379659967194</v>
      </c>
      <c r="AJ653">
        <v>120.26546977652799</v>
      </c>
      <c r="AK653">
        <v>0.83511069235511204</v>
      </c>
      <c r="AL653">
        <v>80.514761491876598</v>
      </c>
      <c r="AM653">
        <v>90.007557825837196</v>
      </c>
      <c r="AN653">
        <v>1.00000001770965</v>
      </c>
    </row>
    <row r="654" spans="1:40" x14ac:dyDescent="0.25">
      <c r="A654" t="str">
        <f>"20190303162224927"</f>
        <v>20190303162224927</v>
      </c>
      <c r="B654" t="str">
        <f>"1551601344914982"</f>
        <v>1551601344914982</v>
      </c>
      <c r="C654" t="s">
        <v>40</v>
      </c>
      <c r="D654">
        <v>5.2947100000000002</v>
      </c>
      <c r="E654">
        <v>0.32351059999999998</v>
      </c>
      <c r="F654" t="s">
        <v>42</v>
      </c>
      <c r="G654">
        <v>-354.53710000000001</v>
      </c>
      <c r="H654">
        <v>0.99615370000000003</v>
      </c>
      <c r="I654">
        <v>367.24189999999999</v>
      </c>
      <c r="J654">
        <v>-355.24400000000003</v>
      </c>
      <c r="K654">
        <v>1.1211180000000001</v>
      </c>
      <c r="L654">
        <v>366.82150000000001</v>
      </c>
      <c r="M654">
        <v>0.99986459999999999</v>
      </c>
      <c r="N654">
        <v>-1.3661299999999999E-2</v>
      </c>
      <c r="O654">
        <v>-9.1675100000000002E-3</v>
      </c>
      <c r="P654">
        <v>0.98855420000000005</v>
      </c>
      <c r="Q654">
        <v>0.15067130000000001</v>
      </c>
      <c r="R654">
        <v>-7.6958529999999999E-3</v>
      </c>
      <c r="S654">
        <v>3.1102599999999998</v>
      </c>
      <c r="T654">
        <v>-0.40762039999999999</v>
      </c>
      <c r="U654">
        <v>1.365173</v>
      </c>
      <c r="V654">
        <v>-1.426454E-3</v>
      </c>
      <c r="W654">
        <v>0.1641618</v>
      </c>
      <c r="X654">
        <v>0.98643239999999999</v>
      </c>
      <c r="Y654">
        <v>-0.40696559999999998</v>
      </c>
      <c r="Z654">
        <v>2.9337869999999999E-2</v>
      </c>
      <c r="AA654">
        <v>0.91297220000000001</v>
      </c>
      <c r="AB654">
        <v>24</v>
      </c>
      <c r="AC654">
        <v>0.70690000000001796</v>
      </c>
      <c r="AD654">
        <v>-0.1249643</v>
      </c>
      <c r="AE654">
        <v>0.42039999999997202</v>
      </c>
      <c r="AF654">
        <v>-0.41723143147480302</v>
      </c>
      <c r="AG654">
        <v>-0.1249643</v>
      </c>
      <c r="AH654">
        <v>0.68715261186744703</v>
      </c>
      <c r="AI654">
        <v>98.835735942216004</v>
      </c>
      <c r="AJ654">
        <v>121.265658755489</v>
      </c>
      <c r="AK654">
        <v>0.81355814523687098</v>
      </c>
      <c r="AL654">
        <v>80.551454855419493</v>
      </c>
      <c r="AM654">
        <v>90.082853864999194</v>
      </c>
      <c r="AN654">
        <v>1.00000000556</v>
      </c>
    </row>
    <row r="655" spans="1:40" x14ac:dyDescent="0.25">
      <c r="A655" t="str">
        <f>"20190303162224951"</f>
        <v>20190303162224951</v>
      </c>
      <c r="B655" t="str">
        <f>"1551601344945238"</f>
        <v>1551601344945238</v>
      </c>
      <c r="C655" t="s">
        <v>40</v>
      </c>
      <c r="D655">
        <v>5.2581530000000001</v>
      </c>
      <c r="E655">
        <v>0.32267020000000002</v>
      </c>
      <c r="F655" t="s">
        <v>42</v>
      </c>
      <c r="G655">
        <v>-354.26929999999999</v>
      </c>
      <c r="H655">
        <v>0.99185900000000005</v>
      </c>
      <c r="I655">
        <v>367.25170000000003</v>
      </c>
      <c r="J655">
        <v>-355.00049999999999</v>
      </c>
      <c r="K655">
        <v>1.1211059999999999</v>
      </c>
      <c r="L655">
        <v>366.81959999999998</v>
      </c>
      <c r="M655">
        <v>0.99986710000000001</v>
      </c>
      <c r="N655">
        <v>-1.365099E-2</v>
      </c>
      <c r="O655">
        <v>-8.9152339999999993E-3</v>
      </c>
      <c r="P655">
        <v>0.98866370000000003</v>
      </c>
      <c r="Q655">
        <v>0.15001809999999999</v>
      </c>
      <c r="R655">
        <v>-6.2462500000000001E-3</v>
      </c>
      <c r="S655">
        <v>3.108276</v>
      </c>
      <c r="T655">
        <v>-0.4121436</v>
      </c>
      <c r="U655">
        <v>1.372528</v>
      </c>
      <c r="V655">
        <v>-2.6266530000000001E-3</v>
      </c>
      <c r="W655">
        <v>0.16350000000000001</v>
      </c>
      <c r="X655">
        <v>0.98653979999999997</v>
      </c>
      <c r="Y655">
        <v>-0.40867589999999998</v>
      </c>
      <c r="Z655">
        <v>2.9724770000000001E-2</v>
      </c>
      <c r="AA655">
        <v>0.91219539999999999</v>
      </c>
      <c r="AB655">
        <v>24</v>
      </c>
      <c r="AC655">
        <v>0.73120000000000096</v>
      </c>
      <c r="AD655">
        <v>-0.129246999999999</v>
      </c>
      <c r="AE655">
        <v>0.432100000000048</v>
      </c>
      <c r="AF655">
        <v>-0.42867531890304</v>
      </c>
      <c r="AG655">
        <v>-0.129246999999999</v>
      </c>
      <c r="AH655">
        <v>0.71085683054058602</v>
      </c>
      <c r="AI655">
        <v>98.849835709103402</v>
      </c>
      <c r="AJ655">
        <v>121.091670456212</v>
      </c>
      <c r="AK655">
        <v>0.84010996278572403</v>
      </c>
      <c r="AL655">
        <v>80.589892153516203</v>
      </c>
      <c r="AM655">
        <v>90.1525491171585</v>
      </c>
      <c r="AN655">
        <v>0.99999996314501005</v>
      </c>
    </row>
    <row r="656" spans="1:40" x14ac:dyDescent="0.25">
      <c r="A656" t="str">
        <f>"20190303162224972"</f>
        <v>20190303162224972</v>
      </c>
      <c r="B656" t="str">
        <f>"1551601344964759"</f>
        <v>1551601344964759</v>
      </c>
      <c r="C656" t="s">
        <v>40</v>
      </c>
      <c r="D656">
        <v>5.2596720000000001</v>
      </c>
      <c r="E656">
        <v>0.32237640000000001</v>
      </c>
      <c r="F656" t="s">
        <v>41</v>
      </c>
      <c r="G656">
        <v>-346.68130000000002</v>
      </c>
      <c r="H656" s="1">
        <v>-1.7911859999999999E-6</v>
      </c>
      <c r="I656">
        <v>370.52550000000002</v>
      </c>
      <c r="J656">
        <v>-354.77140000000003</v>
      </c>
      <c r="K656">
        <v>1.1211120000000001</v>
      </c>
      <c r="L656">
        <v>366.81779999999998</v>
      </c>
      <c r="M656">
        <v>0.99986920000000001</v>
      </c>
      <c r="N656">
        <v>-1.3642079999999999E-2</v>
      </c>
      <c r="O656">
        <v>-8.6779809999999995E-3</v>
      </c>
      <c r="P656">
        <v>0.98866810000000005</v>
      </c>
      <c r="Q656">
        <v>0.15001510000000001</v>
      </c>
      <c r="R656">
        <v>-5.5538779999999999E-3</v>
      </c>
      <c r="S656">
        <v>3.1066889999999998</v>
      </c>
      <c r="T656">
        <v>-0.41866300000000001</v>
      </c>
      <c r="U656">
        <v>1.383942</v>
      </c>
      <c r="V656">
        <v>-3.083906E-3</v>
      </c>
      <c r="W656">
        <v>0.16348770000000001</v>
      </c>
      <c r="X656">
        <v>0.98654059999999999</v>
      </c>
      <c r="Y656">
        <v>-0.41130929999999999</v>
      </c>
      <c r="Z656">
        <v>3.0301519999999998E-2</v>
      </c>
      <c r="AA656">
        <v>0.91099200000000002</v>
      </c>
      <c r="AB656">
        <v>24</v>
      </c>
      <c r="AC656">
        <v>8.0900999999999996</v>
      </c>
      <c r="AD656">
        <v>-1.1211137911859901</v>
      </c>
      <c r="AE656">
        <v>3.70770000000004</v>
      </c>
      <c r="AF656">
        <v>-3.7187539642013001</v>
      </c>
      <c r="AG656">
        <v>-1.1211137911859901</v>
      </c>
      <c r="AH656">
        <v>7.9317359525333897</v>
      </c>
      <c r="AI656">
        <v>97.292940282132093</v>
      </c>
      <c r="AJ656">
        <v>115.119292670029</v>
      </c>
      <c r="AK656">
        <v>8.8316738164269406</v>
      </c>
      <c r="AL656">
        <v>80.590607299754893</v>
      </c>
      <c r="AM656">
        <v>90.179104866722497</v>
      </c>
      <c r="AN656">
        <v>1.00000004698793</v>
      </c>
    </row>
    <row r="657" spans="1:40" x14ac:dyDescent="0.25">
      <c r="A657" t="str">
        <f>"20190303162224994"</f>
        <v>20190303162224994</v>
      </c>
      <c r="B657" t="str">
        <f>"1551601344985253"</f>
        <v>1551601344985253</v>
      </c>
      <c r="C657" t="s">
        <v>40</v>
      </c>
      <c r="D657">
        <v>5.2834209999999997</v>
      </c>
      <c r="E657">
        <v>0.32237009999999899</v>
      </c>
      <c r="F657" t="s">
        <v>41</v>
      </c>
      <c r="G657">
        <v>-346.53559999999999</v>
      </c>
      <c r="H657" s="1">
        <v>-1.8521940000000001E-6</v>
      </c>
      <c r="I657">
        <v>370.49599999999998</v>
      </c>
      <c r="J657">
        <v>-354.54180000000002</v>
      </c>
      <c r="K657">
        <v>1.1211120000000001</v>
      </c>
      <c r="L657">
        <v>366.81619999999998</v>
      </c>
      <c r="M657">
        <v>0.99987159999999997</v>
      </c>
      <c r="N657">
        <v>-1.3633849999999999E-2</v>
      </c>
      <c r="O657">
        <v>-8.4398960000000006E-3</v>
      </c>
      <c r="P657">
        <v>0.98864319999999895</v>
      </c>
      <c r="Q657">
        <v>0.15020620000000001</v>
      </c>
      <c r="R657">
        <v>-4.8020889999999998E-3</v>
      </c>
      <c r="S657">
        <v>3.1063230000000002</v>
      </c>
      <c r="T657">
        <v>-0.42285220000000001</v>
      </c>
      <c r="U657">
        <v>1.3872990000000001</v>
      </c>
      <c r="V657">
        <v>-3.599845E-3</v>
      </c>
      <c r="W657">
        <v>0.16367029999999999</v>
      </c>
      <c r="X657">
        <v>0.98650850000000001</v>
      </c>
      <c r="Y657">
        <v>-0.41188429999999998</v>
      </c>
      <c r="Z657">
        <v>3.0584090000000001E-2</v>
      </c>
      <c r="AA657">
        <v>0.91072280000000005</v>
      </c>
      <c r="AB657">
        <v>24</v>
      </c>
      <c r="AC657">
        <v>8.00620000000003</v>
      </c>
      <c r="AD657">
        <v>-1.1211138521940001</v>
      </c>
      <c r="AE657">
        <v>3.6798000000000002</v>
      </c>
      <c r="AF657">
        <v>-3.6875499019587301</v>
      </c>
      <c r="AG657">
        <v>-1.1211138521940001</v>
      </c>
      <c r="AH657">
        <v>7.8478086687693702</v>
      </c>
      <c r="AI657">
        <v>97.367171846948693</v>
      </c>
      <c r="AJ657">
        <v>115.168021734779</v>
      </c>
      <c r="AK657">
        <v>8.7431699886613607</v>
      </c>
      <c r="AL657">
        <v>80.580001542659204</v>
      </c>
      <c r="AM657">
        <v>90.209075755478807</v>
      </c>
      <c r="AN657">
        <v>0.999999973279181</v>
      </c>
    </row>
    <row r="658" spans="1:40" x14ac:dyDescent="0.25">
      <c r="A658" t="str">
        <f>"20190303162225017"</f>
        <v>20190303162225017</v>
      </c>
      <c r="B658" t="str">
        <f>"1551601345004774"</f>
        <v>1551601345004774</v>
      </c>
      <c r="C658" t="s">
        <v>40</v>
      </c>
      <c r="D658">
        <v>5.2684759999999997</v>
      </c>
      <c r="E658">
        <v>0.3224069</v>
      </c>
      <c r="F658" t="s">
        <v>41</v>
      </c>
      <c r="G658">
        <v>-346.33179999999999</v>
      </c>
      <c r="H658" s="1">
        <v>-1.9459969999999998E-6</v>
      </c>
      <c r="I658">
        <v>370.48649999999998</v>
      </c>
      <c r="J658">
        <v>-354.2996</v>
      </c>
      <c r="K658">
        <v>1.121102</v>
      </c>
      <c r="L658">
        <v>366.81450000000001</v>
      </c>
      <c r="M658">
        <v>0.99987369999999998</v>
      </c>
      <c r="N658">
        <v>-1.362827E-2</v>
      </c>
      <c r="O658">
        <v>-8.1879959999999995E-3</v>
      </c>
      <c r="P658">
        <v>0.98864229999999997</v>
      </c>
      <c r="Q658">
        <v>0.15021619999999999</v>
      </c>
      <c r="R658">
        <v>-4.6284480000000003E-3</v>
      </c>
      <c r="S658">
        <v>3.1056819999999998</v>
      </c>
      <c r="T658">
        <v>-0.42409459999999999</v>
      </c>
      <c r="U658">
        <v>1.388428</v>
      </c>
      <c r="V658">
        <v>-3.523637E-3</v>
      </c>
      <c r="W658">
        <v>0.16367499999999999</v>
      </c>
      <c r="X658">
        <v>0.98650800000000005</v>
      </c>
      <c r="Y658">
        <v>-0.41198129999999999</v>
      </c>
      <c r="Z658">
        <v>3.0644899999999999E-2</v>
      </c>
      <c r="AA658">
        <v>0.91067679999999995</v>
      </c>
      <c r="AB658">
        <v>24</v>
      </c>
      <c r="AC658">
        <v>7.9678000000000102</v>
      </c>
      <c r="AD658">
        <v>-1.121103945997</v>
      </c>
      <c r="AE658">
        <v>3.6719999999999602</v>
      </c>
      <c r="AF658">
        <v>-3.6770783103306299</v>
      </c>
      <c r="AG658">
        <v>-1.121103945997</v>
      </c>
      <c r="AH658">
        <v>7.8099312757056198</v>
      </c>
      <c r="AI658">
        <v>97.399797514719793</v>
      </c>
      <c r="AJ658">
        <v>115.212033100459</v>
      </c>
      <c r="AK658">
        <v>8.7047576352979998</v>
      </c>
      <c r="AL658">
        <v>80.579728614872494</v>
      </c>
      <c r="AM658">
        <v>90.204649805249204</v>
      </c>
      <c r="AN658">
        <v>0.99999997785335304</v>
      </c>
    </row>
    <row r="659" spans="1:40" x14ac:dyDescent="0.25">
      <c r="A659" t="str">
        <f>"20190303162225040"</f>
        <v>20190303162225040</v>
      </c>
      <c r="B659" t="str">
        <f>"1551601345035030"</f>
        <v>1551601345035030</v>
      </c>
      <c r="C659" t="s">
        <v>40</v>
      </c>
      <c r="D659">
        <v>5.2812799999999998</v>
      </c>
      <c r="E659">
        <v>0.32235930000000002</v>
      </c>
      <c r="F659" t="s">
        <v>41</v>
      </c>
      <c r="G659">
        <v>-346.08710000000002</v>
      </c>
      <c r="H659" s="1">
        <v>-2.061698E-6</v>
      </c>
      <c r="I659">
        <v>370.48669999999998</v>
      </c>
      <c r="J659">
        <v>-354.0575</v>
      </c>
      <c r="K659">
        <v>1.1211040000000001</v>
      </c>
      <c r="L659">
        <v>366.81270000000001</v>
      </c>
      <c r="M659">
        <v>0.99987579999999998</v>
      </c>
      <c r="N659">
        <v>-1.362845E-2</v>
      </c>
      <c r="O659">
        <v>-7.9366049999999994E-3</v>
      </c>
      <c r="P659">
        <v>0.98863460000000003</v>
      </c>
      <c r="Q659">
        <v>0.15029879999999901</v>
      </c>
      <c r="R659">
        <v>-3.4698849999999998E-3</v>
      </c>
      <c r="S659">
        <v>3.1053769999999998</v>
      </c>
      <c r="T659">
        <v>-0.42392469999999999</v>
      </c>
      <c r="U659">
        <v>1.3885799999999999</v>
      </c>
      <c r="V659">
        <v>-4.4338049999999999E-3</v>
      </c>
      <c r="W659">
        <v>0.16375680000000001</v>
      </c>
      <c r="X659">
        <v>0.9864908</v>
      </c>
      <c r="Y659">
        <v>-0.41182849999999999</v>
      </c>
      <c r="Z659">
        <v>3.059574E-2</v>
      </c>
      <c r="AA659">
        <v>0.91074759999999999</v>
      </c>
      <c r="AB659">
        <v>24</v>
      </c>
      <c r="AC659">
        <v>7.9703999999999802</v>
      </c>
      <c r="AD659">
        <v>-1.121106061698</v>
      </c>
      <c r="AE659">
        <v>3.6739999999999702</v>
      </c>
      <c r="AF659">
        <v>-3.6771455382184701</v>
      </c>
      <c r="AG659">
        <v>-1.121106061698</v>
      </c>
      <c r="AH659">
        <v>7.8134890688562004</v>
      </c>
      <c r="AI659">
        <v>97.397059240611497</v>
      </c>
      <c r="AJ659">
        <v>115.202381389773</v>
      </c>
      <c r="AK659">
        <v>8.7079784990519702</v>
      </c>
      <c r="AL659">
        <v>80.574978151184993</v>
      </c>
      <c r="AM659">
        <v>90.257515430572795</v>
      </c>
      <c r="AN659">
        <v>1.00000002332882</v>
      </c>
    </row>
    <row r="660" spans="1:40" x14ac:dyDescent="0.25">
      <c r="A660" t="str">
        <f>"20190303162225063"</f>
        <v>20190303162225063</v>
      </c>
      <c r="B660" t="str">
        <f>"1551601345054550"</f>
        <v>1551601345054550</v>
      </c>
      <c r="C660" t="s">
        <v>40</v>
      </c>
      <c r="D660">
        <v>5.2954220000000003</v>
      </c>
      <c r="E660">
        <v>0.32229249999999998</v>
      </c>
      <c r="F660" t="s">
        <v>41</v>
      </c>
      <c r="G660">
        <v>-345.86099999999999</v>
      </c>
      <c r="H660" s="1">
        <v>-2.1693710000000002E-6</v>
      </c>
      <c r="I660">
        <v>370.4896</v>
      </c>
      <c r="J660">
        <v>-353.81270000000001</v>
      </c>
      <c r="K660">
        <v>1.1211070000000001</v>
      </c>
      <c r="L660">
        <v>366.81119999999999</v>
      </c>
      <c r="M660">
        <v>0.99987760000000003</v>
      </c>
      <c r="N660">
        <v>-1.36329E-2</v>
      </c>
      <c r="O660">
        <v>-7.6817830000000002E-3</v>
      </c>
      <c r="P660">
        <v>0.98857200000000001</v>
      </c>
      <c r="Q660">
        <v>0.1507406</v>
      </c>
      <c r="R660">
        <v>-1.738138E-3</v>
      </c>
      <c r="S660">
        <v>3.1039119999999998</v>
      </c>
      <c r="T660">
        <v>-0.4245485</v>
      </c>
      <c r="U660">
        <v>1.3923650000000001</v>
      </c>
      <c r="V660">
        <v>-5.9127499999999996E-3</v>
      </c>
      <c r="W660">
        <v>0.16420129999999999</v>
      </c>
      <c r="X660">
        <v>0.98640910000000004</v>
      </c>
      <c r="Y660">
        <v>-0.41266459999999999</v>
      </c>
      <c r="Z660">
        <v>3.0673809999999999E-2</v>
      </c>
      <c r="AA660">
        <v>0.91036640000000002</v>
      </c>
      <c r="AB660">
        <v>24</v>
      </c>
      <c r="AC660">
        <v>7.9517000000000104</v>
      </c>
      <c r="AD660">
        <v>-1.121109169371</v>
      </c>
      <c r="AE660">
        <v>3.6784000000000101</v>
      </c>
      <c r="AF660">
        <v>-3.6791374443962002</v>
      </c>
      <c r="AG660">
        <v>-1.121109169371</v>
      </c>
      <c r="AH660">
        <v>7.7955600282051201</v>
      </c>
      <c r="AI660">
        <v>97.410121467124</v>
      </c>
      <c r="AJ660">
        <v>115.265105198463</v>
      </c>
      <c r="AK660">
        <v>8.6927380184701004</v>
      </c>
      <c r="AL660">
        <v>80.549160199889798</v>
      </c>
      <c r="AM660">
        <v>90.343439210900499</v>
      </c>
      <c r="AN660">
        <v>0.99999997004853003</v>
      </c>
    </row>
    <row r="661" spans="1:40" x14ac:dyDescent="0.25">
      <c r="A661" t="str">
        <f>"20190303162225082"</f>
        <v>20190303162225082</v>
      </c>
      <c r="B661" t="str">
        <f>"1551601345075046"</f>
        <v>1551601345075046</v>
      </c>
      <c r="C661" t="s">
        <v>40</v>
      </c>
      <c r="D661">
        <v>5.3288970000000004</v>
      </c>
      <c r="E661">
        <v>0.32231749999999998</v>
      </c>
      <c r="F661" t="s">
        <v>42</v>
      </c>
      <c r="G661">
        <v>-352.87529999999998</v>
      </c>
      <c r="H661">
        <v>0.99314230000000003</v>
      </c>
      <c r="I661">
        <v>367.23360000000002</v>
      </c>
      <c r="J661">
        <v>-353.60199999999998</v>
      </c>
      <c r="K661">
        <v>1.121105</v>
      </c>
      <c r="L661">
        <v>366.8098</v>
      </c>
      <c r="M661">
        <v>0.99987919999999997</v>
      </c>
      <c r="N661">
        <v>-1.363778E-2</v>
      </c>
      <c r="O661">
        <v>-7.4622459999999996E-3</v>
      </c>
      <c r="P661">
        <v>0.98849019999999999</v>
      </c>
      <c r="Q661">
        <v>0.15128529999999901</v>
      </c>
      <c r="R661" s="1">
        <v>5.5531510000000003E-5</v>
      </c>
      <c r="S661">
        <v>3.1016849999999998</v>
      </c>
      <c r="T661">
        <v>-0.42340830000000002</v>
      </c>
      <c r="U661">
        <v>1.3984379999999901</v>
      </c>
      <c r="V661">
        <v>-7.4886839999999998E-3</v>
      </c>
      <c r="W661">
        <v>0.16474929999999999</v>
      </c>
      <c r="X661">
        <v>0.98630700000000004</v>
      </c>
      <c r="Y661">
        <v>-0.41419610000000001</v>
      </c>
      <c r="Z661">
        <v>3.0694039999999999E-2</v>
      </c>
      <c r="AA661">
        <v>0.90966999999999998</v>
      </c>
      <c r="AB661">
        <v>24</v>
      </c>
      <c r="AC661">
        <v>0.72669999999999302</v>
      </c>
      <c r="AD661">
        <v>-0.12796269999999901</v>
      </c>
      <c r="AE661">
        <v>0.42380000000002799</v>
      </c>
      <c r="AF661">
        <v>-0.41950517997673997</v>
      </c>
      <c r="AG661">
        <v>-0.12796269999999901</v>
      </c>
      <c r="AH661">
        <v>0.70715510830273798</v>
      </c>
      <c r="AI661">
        <v>98.845973554198494</v>
      </c>
      <c r="AJ661">
        <v>120.677662802044</v>
      </c>
      <c r="AK661">
        <v>0.83212222408565895</v>
      </c>
      <c r="AL661">
        <v>80.5173284615434</v>
      </c>
      <c r="AM661">
        <v>90.435018450173501</v>
      </c>
      <c r="AN661">
        <v>0.99999995524376994</v>
      </c>
    </row>
    <row r="662" spans="1:40" x14ac:dyDescent="0.25">
      <c r="A662" t="str">
        <f>"20190303162225107"</f>
        <v>20190303162225107</v>
      </c>
      <c r="B662" t="str">
        <f>"1551601345094566"</f>
        <v>1551601345094566</v>
      </c>
      <c r="C662" t="s">
        <v>40</v>
      </c>
      <c r="D662">
        <v>5.3098710000000002</v>
      </c>
      <c r="E662">
        <v>0.32222800000000001</v>
      </c>
      <c r="F662" t="s">
        <v>42</v>
      </c>
      <c r="G662">
        <v>-352.66539999999998</v>
      </c>
      <c r="H662">
        <v>0.99388889999999996</v>
      </c>
      <c r="I662">
        <v>367.23379999999997</v>
      </c>
      <c r="J662">
        <v>-353.35520000000002</v>
      </c>
      <c r="K662">
        <v>1.1211089999999999</v>
      </c>
      <c r="L662">
        <v>366.80829999999997</v>
      </c>
      <c r="M662">
        <v>0.99988100000000002</v>
      </c>
      <c r="N662">
        <v>-1.364313E-2</v>
      </c>
      <c r="O662">
        <v>-7.2049230000000002E-3</v>
      </c>
      <c r="P662">
        <v>0.98852569999999995</v>
      </c>
      <c r="Q662">
        <v>0.1510437</v>
      </c>
      <c r="R662">
        <v>1.7052440000000001E-3</v>
      </c>
      <c r="S662">
        <v>3.0992130000000002</v>
      </c>
      <c r="T662">
        <v>-0.42081360000000001</v>
      </c>
      <c r="U662">
        <v>1.4042969999999999</v>
      </c>
      <c r="V662">
        <v>-8.8844349999999996E-3</v>
      </c>
      <c r="W662">
        <v>0.16451270000000001</v>
      </c>
      <c r="X662">
        <v>0.98633499999999996</v>
      </c>
      <c r="Y662">
        <v>-0.41569010000000001</v>
      </c>
      <c r="Z662">
        <v>3.0614059999999998E-2</v>
      </c>
      <c r="AA662">
        <v>0.90899090000000005</v>
      </c>
      <c r="AB662">
        <v>24</v>
      </c>
      <c r="AC662">
        <v>0.68980000000004704</v>
      </c>
      <c r="AD662">
        <v>-0.127220099999999</v>
      </c>
      <c r="AE662">
        <v>0.42549999999999899</v>
      </c>
      <c r="AF662">
        <v>-0.420108180677365</v>
      </c>
      <c r="AG662">
        <v>-0.127220099999999</v>
      </c>
      <c r="AH662">
        <v>0.67020275386421702</v>
      </c>
      <c r="AI662">
        <v>99.137023422441004</v>
      </c>
      <c r="AJ662">
        <v>122.0810260396</v>
      </c>
      <c r="AK662">
        <v>0.80115389820135996</v>
      </c>
      <c r="AL662">
        <v>80.531073049680998</v>
      </c>
      <c r="AM662">
        <v>90.516079083116196</v>
      </c>
      <c r="AN662">
        <v>1.0000000469357699</v>
      </c>
    </row>
    <row r="663" spans="1:40" x14ac:dyDescent="0.25">
      <c r="A663" t="str">
        <f>"20190303162225128"</f>
        <v>20190303162225128</v>
      </c>
      <c r="B663" t="str">
        <f>"1551601345124822"</f>
        <v>1551601345124822</v>
      </c>
      <c r="C663" t="s">
        <v>40</v>
      </c>
      <c r="D663">
        <v>5.3627609999999999</v>
      </c>
      <c r="E663">
        <v>0.32212220000000003</v>
      </c>
      <c r="F663" t="s">
        <v>42</v>
      </c>
      <c r="G663">
        <v>-352.4366</v>
      </c>
      <c r="H663">
        <v>0.99606989999999995</v>
      </c>
      <c r="I663">
        <v>367.22669999999999</v>
      </c>
      <c r="J663">
        <v>-353.12400000000002</v>
      </c>
      <c r="K663">
        <v>1.121111</v>
      </c>
      <c r="L663">
        <v>366.80689999999998</v>
      </c>
      <c r="M663">
        <v>0.99988279999999996</v>
      </c>
      <c r="N663">
        <v>-1.3647660000000001E-2</v>
      </c>
      <c r="O663">
        <v>-6.9639239999999998E-3</v>
      </c>
      <c r="P663">
        <v>0.98848720000000001</v>
      </c>
      <c r="Q663">
        <v>0.1512828</v>
      </c>
      <c r="R663">
        <v>2.5723849999999999E-3</v>
      </c>
      <c r="S663">
        <v>3.0968019999999998</v>
      </c>
      <c r="T663">
        <v>-0.42152000000000001</v>
      </c>
      <c r="U663">
        <v>1.410706</v>
      </c>
      <c r="V663">
        <v>-9.5128599999999997E-3</v>
      </c>
      <c r="W663">
        <v>0.1647554</v>
      </c>
      <c r="X663">
        <v>0.98628859999999996</v>
      </c>
      <c r="Y663">
        <v>-0.4172708</v>
      </c>
      <c r="Z663">
        <v>3.0756309999999999E-2</v>
      </c>
      <c r="AA663">
        <v>0.90826169999999995</v>
      </c>
      <c r="AB663">
        <v>24</v>
      </c>
      <c r="AC663">
        <v>0.68740000000002499</v>
      </c>
      <c r="AD663">
        <v>-0.12504109999999899</v>
      </c>
      <c r="AE663">
        <v>0.419800000000009</v>
      </c>
      <c r="AF663">
        <v>-0.41458550980555797</v>
      </c>
      <c r="AG663">
        <v>-0.12504109999999899</v>
      </c>
      <c r="AH663">
        <v>0.66835192610599803</v>
      </c>
      <c r="AI663">
        <v>99.033570436461105</v>
      </c>
      <c r="AJ663">
        <v>121.811748759854</v>
      </c>
      <c r="AK663">
        <v>0.79637347944261805</v>
      </c>
      <c r="AL663">
        <v>80.516974729245305</v>
      </c>
      <c r="AM663">
        <v>90.552606841939493</v>
      </c>
      <c r="AN663">
        <v>1.00000001941224</v>
      </c>
    </row>
    <row r="664" spans="1:40" x14ac:dyDescent="0.25">
      <c r="A664" t="str">
        <f>"20190303162225150"</f>
        <v>20190303162225150</v>
      </c>
      <c r="B664" t="str">
        <f>"1551601345145318"</f>
        <v>1551601345145318</v>
      </c>
      <c r="C664" t="s">
        <v>40</v>
      </c>
      <c r="D664">
        <v>5.3736179999999996</v>
      </c>
      <c r="E664">
        <v>0.3220285</v>
      </c>
      <c r="F664" t="s">
        <v>42</v>
      </c>
      <c r="G664">
        <v>-352.18970000000002</v>
      </c>
      <c r="H664">
        <v>0.99371759999999998</v>
      </c>
      <c r="I664">
        <v>367.23320000000001</v>
      </c>
      <c r="J664">
        <v>-352.8938</v>
      </c>
      <c r="K664">
        <v>1.1211169999999999</v>
      </c>
      <c r="L664">
        <v>366.80560000000003</v>
      </c>
      <c r="M664">
        <v>0.99988429999999995</v>
      </c>
      <c r="N664">
        <v>-1.3651669999999999E-2</v>
      </c>
      <c r="O664">
        <v>-6.7238749999999998E-3</v>
      </c>
      <c r="P664">
        <v>0.98840340000000004</v>
      </c>
      <c r="Q664">
        <v>0.15178229999999901</v>
      </c>
      <c r="R664">
        <v>4.5822149999999997E-3</v>
      </c>
      <c r="S664">
        <v>3.095825</v>
      </c>
      <c r="T664">
        <v>-0.42201070000000002</v>
      </c>
      <c r="U664">
        <v>1.4135439999999999</v>
      </c>
      <c r="V664">
        <v>-1.128491E-2</v>
      </c>
      <c r="W664">
        <v>0.16525680000000001</v>
      </c>
      <c r="X664">
        <v>0.98618600000000001</v>
      </c>
      <c r="Y664">
        <v>-0.41783819999999999</v>
      </c>
      <c r="Z664">
        <v>3.0805699999999998E-2</v>
      </c>
      <c r="AA664">
        <v>0.907999</v>
      </c>
      <c r="AB664">
        <v>24</v>
      </c>
      <c r="AC664">
        <v>0.70409999999998196</v>
      </c>
      <c r="AD664">
        <v>-0.127399399999999</v>
      </c>
      <c r="AE664">
        <v>0.42759999999998399</v>
      </c>
      <c r="AF664">
        <v>-0.422226314848131</v>
      </c>
      <c r="AG664">
        <v>-0.127399399999999</v>
      </c>
      <c r="AH664">
        <v>0.684829057007175</v>
      </c>
      <c r="AI664">
        <v>98.998237050301498</v>
      </c>
      <c r="AJ664">
        <v>121.65560242967</v>
      </c>
      <c r="AK664">
        <v>0.814552948181965</v>
      </c>
      <c r="AL664">
        <v>80.487847108782006</v>
      </c>
      <c r="AM664">
        <v>90.655606037843995</v>
      </c>
      <c r="AN664">
        <v>0.99999999286797303</v>
      </c>
    </row>
    <row r="665" spans="1:40" x14ac:dyDescent="0.25">
      <c r="A665" t="str">
        <f>"20190303162225174"</f>
        <v>20190303162225174</v>
      </c>
      <c r="B665" t="str">
        <f>"1551601345164838"</f>
        <v>1551601345164838</v>
      </c>
      <c r="C665" t="s">
        <v>40</v>
      </c>
      <c r="D665">
        <v>5.3618790000000001</v>
      </c>
      <c r="E665">
        <v>0.32192130000000002</v>
      </c>
      <c r="F665" t="s">
        <v>42</v>
      </c>
      <c r="G665">
        <v>-351.95179999999999</v>
      </c>
      <c r="H665">
        <v>0.9928458</v>
      </c>
      <c r="I665">
        <v>367.23820000000001</v>
      </c>
      <c r="J665">
        <v>-352.65109999999999</v>
      </c>
      <c r="K665">
        <v>1.1211199999999999</v>
      </c>
      <c r="L665">
        <v>366.80430000000001</v>
      </c>
      <c r="M665">
        <v>0.99988600000000005</v>
      </c>
      <c r="N665">
        <v>-1.3655199999999999E-2</v>
      </c>
      <c r="O665">
        <v>-6.4711889999999996E-3</v>
      </c>
      <c r="P665">
        <v>0.98836610000000003</v>
      </c>
      <c r="Q665">
        <v>0.15196179999999901</v>
      </c>
      <c r="R665">
        <v>6.3635920000000004E-3</v>
      </c>
      <c r="S665">
        <v>3.0932919999999999</v>
      </c>
      <c r="T665">
        <v>-0.42126150000000001</v>
      </c>
      <c r="U665">
        <v>1.4203490000000001</v>
      </c>
      <c r="V665">
        <v>-1.281611E-2</v>
      </c>
      <c r="W665">
        <v>0.16543920000000001</v>
      </c>
      <c r="X665">
        <v>0.98613669999999998</v>
      </c>
      <c r="Y665">
        <v>-0.41953809999999903</v>
      </c>
      <c r="Z665">
        <v>3.0859890000000001E-2</v>
      </c>
      <c r="AA665">
        <v>0.90721300000000005</v>
      </c>
      <c r="AB665">
        <v>23</v>
      </c>
      <c r="AC665">
        <v>0.69929999999999304</v>
      </c>
      <c r="AD665">
        <v>-0.1282742</v>
      </c>
      <c r="AE665">
        <v>0.43389999999999401</v>
      </c>
      <c r="AF665">
        <v>-0.428018238828</v>
      </c>
      <c r="AG665">
        <v>-0.1282742</v>
      </c>
      <c r="AH665">
        <v>0.67995814645848596</v>
      </c>
      <c r="AI665">
        <v>99.070885286505799</v>
      </c>
      <c r="AJ665">
        <v>122.189484656454</v>
      </c>
      <c r="AK665">
        <v>0.81363195862154003</v>
      </c>
      <c r="AL665">
        <v>80.477250436359697</v>
      </c>
      <c r="AM665">
        <v>90.744590151195396</v>
      </c>
      <c r="AN665">
        <v>0.99999998632953002</v>
      </c>
    </row>
    <row r="666" spans="1:40" x14ac:dyDescent="0.25">
      <c r="A666" t="str">
        <f>"20190303162225196"</f>
        <v>20190303162225196</v>
      </c>
      <c r="B666" t="str">
        <f>"1551601345185334"</f>
        <v>1551601345185334</v>
      </c>
      <c r="C666" t="s">
        <v>40</v>
      </c>
      <c r="D666">
        <v>5.3754860000000004</v>
      </c>
      <c r="E666">
        <v>0.3218917</v>
      </c>
      <c r="F666" t="s">
        <v>41</v>
      </c>
      <c r="G666">
        <v>-344.4203</v>
      </c>
      <c r="H666" s="1">
        <v>-2.8809409999999999E-6</v>
      </c>
      <c r="I666">
        <v>370.60449999999997</v>
      </c>
      <c r="J666">
        <v>-352.41879999999998</v>
      </c>
      <c r="K666">
        <v>1.12112099999999</v>
      </c>
      <c r="L666">
        <v>366.803</v>
      </c>
      <c r="M666">
        <v>0.99988730000000003</v>
      </c>
      <c r="N666">
        <v>-1.3657829999999999E-2</v>
      </c>
      <c r="O666">
        <v>-6.2292299999999997E-3</v>
      </c>
      <c r="P666">
        <v>0.98828009999999999</v>
      </c>
      <c r="Q666">
        <v>0.15247269999999999</v>
      </c>
      <c r="R666">
        <v>7.38604E-3</v>
      </c>
      <c r="S666">
        <v>3.0908199999999999</v>
      </c>
      <c r="T666">
        <v>-0.42100480000000001</v>
      </c>
      <c r="U666">
        <v>1.427063</v>
      </c>
      <c r="V666">
        <v>-1.359926E-2</v>
      </c>
      <c r="W666">
        <v>0.16595079999999901</v>
      </c>
      <c r="X666">
        <v>0.98604020000000003</v>
      </c>
      <c r="Y666">
        <v>-0.42120879999999999</v>
      </c>
      <c r="Z666">
        <v>3.0944900000000001E-2</v>
      </c>
      <c r="AA666">
        <v>0.90643560000000001</v>
      </c>
      <c r="AB666">
        <v>23</v>
      </c>
      <c r="AC666">
        <v>7.9984999999999697</v>
      </c>
      <c r="AD666">
        <v>-1.12112388094099</v>
      </c>
      <c r="AE666">
        <v>3.8014999999999102</v>
      </c>
      <c r="AF666">
        <v>-3.79050672450495</v>
      </c>
      <c r="AG666">
        <v>-1.12112388094099</v>
      </c>
      <c r="AH666">
        <v>7.8488720147458304</v>
      </c>
      <c r="AI666">
        <v>97.329415133230995</v>
      </c>
      <c r="AJ666">
        <v>115.77759214896</v>
      </c>
      <c r="AK666">
        <v>8.7880402757835494</v>
      </c>
      <c r="AL666">
        <v>80.447526621939005</v>
      </c>
      <c r="AM666">
        <v>90.790161298302394</v>
      </c>
      <c r="AN666">
        <v>0.99999994195461195</v>
      </c>
    </row>
    <row r="667" spans="1:40" x14ac:dyDescent="0.25">
      <c r="A667" t="str">
        <f>"20190303162225218"</f>
        <v>20190303162225218</v>
      </c>
      <c r="B667" t="str">
        <f>"1551601345214616"</f>
        <v>1551601345214616</v>
      </c>
      <c r="C667" t="s">
        <v>40</v>
      </c>
      <c r="D667">
        <v>5.4675529999999997</v>
      </c>
      <c r="E667">
        <v>0.32202309999999901</v>
      </c>
      <c r="F667" t="s">
        <v>41</v>
      </c>
      <c r="G667">
        <v>-344.15010000000001</v>
      </c>
      <c r="H667" s="1">
        <v>-3.0161849999999998E-6</v>
      </c>
      <c r="I667">
        <v>370.63260000000002</v>
      </c>
      <c r="J667">
        <v>-352.18450000000001</v>
      </c>
      <c r="K667">
        <v>1.1211230000000001</v>
      </c>
      <c r="L667">
        <v>366.80189999999999</v>
      </c>
      <c r="M667">
        <v>0.99988889999999997</v>
      </c>
      <c r="N667">
        <v>-1.365976E-2</v>
      </c>
      <c r="O667">
        <v>-5.9871619999999999E-3</v>
      </c>
      <c r="P667">
        <v>0.98829100000000003</v>
      </c>
      <c r="Q667">
        <v>0.1523592</v>
      </c>
      <c r="R667">
        <v>8.2594650000000006E-3</v>
      </c>
      <c r="S667">
        <v>3.0895389999999998</v>
      </c>
      <c r="T667">
        <v>-0.41889860000000001</v>
      </c>
      <c r="U667">
        <v>1.4308780000000001</v>
      </c>
      <c r="V667">
        <v>-1.423286E-2</v>
      </c>
      <c r="W667">
        <v>0.1658394</v>
      </c>
      <c r="X667">
        <v>0.98605010000000004</v>
      </c>
      <c r="Y667">
        <v>-0.42208230000000002</v>
      </c>
      <c r="Z667">
        <v>3.0845060000000001E-2</v>
      </c>
      <c r="AA667">
        <v>0.90603259999999997</v>
      </c>
      <c r="AB667">
        <v>23</v>
      </c>
      <c r="AC667">
        <v>8.0343999999999998</v>
      </c>
      <c r="AD667">
        <v>-1.1211260161850001</v>
      </c>
      <c r="AE667">
        <v>3.83070000000003</v>
      </c>
      <c r="AF667">
        <v>-3.8181636344479601</v>
      </c>
      <c r="AG667">
        <v>-1.1211260161850001</v>
      </c>
      <c r="AH667">
        <v>7.8862036439747403</v>
      </c>
      <c r="AI667">
        <v>97.291655469550093</v>
      </c>
      <c r="AJ667">
        <v>115.83428710545201</v>
      </c>
      <c r="AK667">
        <v>8.83331789294534</v>
      </c>
      <c r="AL667">
        <v>80.454000005704899</v>
      </c>
      <c r="AM667">
        <v>90.826962221418299</v>
      </c>
      <c r="AN667">
        <v>1.00000004030307</v>
      </c>
    </row>
    <row r="668" spans="1:40" x14ac:dyDescent="0.25">
      <c r="A668" t="str">
        <f>"20190303162225241"</f>
        <v>20190303162225241</v>
      </c>
      <c r="B668" t="str">
        <f>"1551601345235110"</f>
        <v>1551601345235110</v>
      </c>
      <c r="C668" t="s">
        <v>40</v>
      </c>
      <c r="D668">
        <v>4.8550769999999996</v>
      </c>
      <c r="E668">
        <v>0.32202309999999901</v>
      </c>
      <c r="F668" t="s">
        <v>41</v>
      </c>
      <c r="G668">
        <v>-343.90750000000003</v>
      </c>
      <c r="H668" s="1">
        <v>-3.1335839999999999E-6</v>
      </c>
      <c r="I668">
        <v>370.6429</v>
      </c>
      <c r="J668">
        <v>-351.95</v>
      </c>
      <c r="K668">
        <v>1.121116</v>
      </c>
      <c r="L668">
        <v>366.80079999999998</v>
      </c>
      <c r="M668">
        <v>0.99989019999999995</v>
      </c>
      <c r="N668">
        <v>-1.3661E-2</v>
      </c>
      <c r="O668">
        <v>-5.7492849999999998E-3</v>
      </c>
      <c r="P668">
        <v>0.98834909999999998</v>
      </c>
      <c r="Q668">
        <v>0.15196109999999999</v>
      </c>
      <c r="R668">
        <v>8.6002530000000004E-3</v>
      </c>
      <c r="S668">
        <v>3.0880740000000002</v>
      </c>
      <c r="T668">
        <v>-0.41828539999999997</v>
      </c>
      <c r="U668">
        <v>1.4330750000000001</v>
      </c>
      <c r="V668">
        <v>-1.4337259999999999E-2</v>
      </c>
      <c r="W668">
        <v>0.16544339999999999</v>
      </c>
      <c r="X668">
        <v>0.98611499999999996</v>
      </c>
      <c r="Y668">
        <v>-0.42256709999999897</v>
      </c>
      <c r="Z668">
        <v>3.0820420000000001E-2</v>
      </c>
      <c r="AA668">
        <v>0.90580740000000004</v>
      </c>
      <c r="AB668">
        <v>23</v>
      </c>
      <c r="AC668">
        <v>8.0424999999999596</v>
      </c>
      <c r="AD668">
        <v>-1.1211191335840001</v>
      </c>
      <c r="AE668">
        <v>3.8421000000000101</v>
      </c>
      <c r="AF668">
        <v>-3.8277195392765</v>
      </c>
      <c r="AG668">
        <v>-1.1211191335840001</v>
      </c>
      <c r="AH668">
        <v>7.8953600065451397</v>
      </c>
      <c r="AI668">
        <v>97.281411744025903</v>
      </c>
      <c r="AJ668">
        <v>115.864395484165</v>
      </c>
      <c r="AK668">
        <v>8.84562347242972</v>
      </c>
      <c r="AL668">
        <v>80.477005932733604</v>
      </c>
      <c r="AM668">
        <v>90.832972435224804</v>
      </c>
      <c r="AN668">
        <v>0.99999993442643098</v>
      </c>
    </row>
    <row r="669" spans="1:40" x14ac:dyDescent="0.25">
      <c r="A669" t="str">
        <f>"20190303162225344"</f>
        <v>20190303162225344</v>
      </c>
      <c r="B669" t="str">
        <f>"1551601345334662"</f>
        <v>1551601345334662</v>
      </c>
      <c r="C669" t="s">
        <v>40</v>
      </c>
      <c r="D669">
        <v>4.9840549999999997</v>
      </c>
      <c r="E669">
        <v>0.32202309999999901</v>
      </c>
      <c r="F669" t="s">
        <v>41</v>
      </c>
      <c r="G669">
        <v>-343.69220000000001</v>
      </c>
      <c r="H669" s="1">
        <v>-3.2338240000000001E-6</v>
      </c>
      <c r="I669">
        <v>370.637</v>
      </c>
      <c r="J669">
        <v>-350.87880000000001</v>
      </c>
      <c r="K669">
        <v>1.1210719999999901</v>
      </c>
      <c r="L669">
        <v>366.79610000000002</v>
      </c>
      <c r="M669">
        <v>0.99989510000000004</v>
      </c>
      <c r="N669">
        <v>-1.365947E-2</v>
      </c>
      <c r="O669">
        <v>-4.8263660000000003E-3</v>
      </c>
      <c r="P669">
        <v>0.98841069999999998</v>
      </c>
      <c r="Q669">
        <v>0.15155869999999999</v>
      </c>
      <c r="R669">
        <v>8.624217E-3</v>
      </c>
      <c r="S669">
        <v>3.0873409999999999</v>
      </c>
      <c r="T669">
        <v>-0.41915269999999999</v>
      </c>
      <c r="U669">
        <v>1.4342649999999999</v>
      </c>
      <c r="V669">
        <v>-1.3429709999999999E-2</v>
      </c>
      <c r="W669">
        <v>0.165042299999999</v>
      </c>
      <c r="X669">
        <v>0.98619500000000004</v>
      </c>
      <c r="Y669">
        <v>-0.42209649999999999</v>
      </c>
      <c r="Z669">
        <v>3.0741060000000001E-2</v>
      </c>
      <c r="AA669">
        <v>0.90602959999999999</v>
      </c>
      <c r="AB669">
        <v>23</v>
      </c>
      <c r="AC669">
        <v>7.1865999999999897</v>
      </c>
      <c r="AD669">
        <v>-1.12107523382399</v>
      </c>
      <c r="AE669">
        <v>3.84089999999992</v>
      </c>
      <c r="AF669">
        <v>-3.80355030837887</v>
      </c>
      <c r="AG669">
        <v>-1.12107523382399</v>
      </c>
      <c r="AH669">
        <v>7.0348223193283399</v>
      </c>
      <c r="AI669">
        <v>97.979888486951396</v>
      </c>
      <c r="AJ669">
        <v>118.398966879036</v>
      </c>
      <c r="AK669">
        <v>8.0754275238393802</v>
      </c>
      <c r="AL669">
        <v>80.500307731561804</v>
      </c>
      <c r="AM669">
        <v>90.780188648968803</v>
      </c>
      <c r="AN669">
        <v>0.99999994796248504</v>
      </c>
    </row>
    <row r="670" spans="1:40" x14ac:dyDescent="0.25">
      <c r="A670" t="str">
        <f>"20190303162225356"</f>
        <v>20190303162225356</v>
      </c>
      <c r="B670" t="str">
        <f>"1551601345345398"</f>
        <v>1551601345345398</v>
      </c>
      <c r="C670" t="s">
        <v>40</v>
      </c>
      <c r="D670">
        <v>5.0436500000000004</v>
      </c>
      <c r="E670">
        <v>0.50597789999999998</v>
      </c>
      <c r="F670" t="s">
        <v>42</v>
      </c>
      <c r="G670">
        <v>-349.95609999999999</v>
      </c>
      <c r="H670">
        <v>0.99447300000000005</v>
      </c>
      <c r="I670">
        <v>367.22399999999999</v>
      </c>
      <c r="J670">
        <v>-350.75830000000002</v>
      </c>
      <c r="K670">
        <v>1.1210629999999999</v>
      </c>
      <c r="L670">
        <v>366.79559999999998</v>
      </c>
      <c r="M670">
        <v>0.99989550000000005</v>
      </c>
      <c r="N670">
        <v>-1.365862E-2</v>
      </c>
      <c r="O670">
        <v>-4.7534509999999997E-3</v>
      </c>
      <c r="P670">
        <v>0.98829100000000003</v>
      </c>
      <c r="Q670">
        <v>0.15231979999999901</v>
      </c>
      <c r="R670">
        <v>8.9198149999999993E-3</v>
      </c>
      <c r="S670">
        <v>3.0876160000000001</v>
      </c>
      <c r="T670">
        <v>-0.42360910000000002</v>
      </c>
      <c r="U670">
        <v>1.43222</v>
      </c>
      <c r="V670">
        <v>-1.3648499999999999E-2</v>
      </c>
      <c r="W670">
        <v>0.165800799999999</v>
      </c>
      <c r="X670">
        <v>0.98606479999999996</v>
      </c>
      <c r="Y670">
        <v>-0.42143890000000001</v>
      </c>
      <c r="Z670">
        <v>3.0979030000000001E-2</v>
      </c>
      <c r="AA670">
        <v>0.90632749999999995</v>
      </c>
      <c r="AB670">
        <v>23</v>
      </c>
      <c r="AC670">
        <v>0.802200000000027</v>
      </c>
      <c r="AD670">
        <v>-0.12658999999999901</v>
      </c>
      <c r="AE670">
        <v>0.42840000000001</v>
      </c>
      <c r="AF670">
        <v>-0.42399339584052698</v>
      </c>
      <c r="AG670">
        <v>-0.12658999999999901</v>
      </c>
      <c r="AH670">
        <v>0.78494519291693199</v>
      </c>
      <c r="AI670">
        <v>98.076080125831893</v>
      </c>
      <c r="AJ670">
        <v>118.375996576345</v>
      </c>
      <c r="AK670">
        <v>0.90107401677097598</v>
      </c>
      <c r="AL670">
        <v>80.456242169312702</v>
      </c>
      <c r="AM670">
        <v>90.793002156454094</v>
      </c>
      <c r="AN670">
        <v>0.99999998831596404</v>
      </c>
    </row>
    <row r="671" spans="1:40" x14ac:dyDescent="0.25">
      <c r="A671" t="str">
        <f>"20190303162225374"</f>
        <v>20190303162225374</v>
      </c>
      <c r="B671" t="str">
        <f>"1551601345364919"</f>
        <v>1551601345364919</v>
      </c>
      <c r="C671" t="s">
        <v>40</v>
      </c>
      <c r="D671">
        <v>5.8454600000000001</v>
      </c>
      <c r="E671">
        <v>0.50597789999999998</v>
      </c>
      <c r="F671" t="s">
        <v>42</v>
      </c>
      <c r="G671">
        <v>-350.05169999999998</v>
      </c>
      <c r="H671">
        <v>0.83572349999999995</v>
      </c>
      <c r="I671">
        <v>366.78550000000001</v>
      </c>
      <c r="J671">
        <v>-350.56349999999998</v>
      </c>
      <c r="K671">
        <v>1.121048</v>
      </c>
      <c r="L671">
        <v>366.79480000000001</v>
      </c>
      <c r="M671">
        <v>0.99989609999999995</v>
      </c>
      <c r="N671">
        <v>-1.3657020000000001E-2</v>
      </c>
      <c r="O671">
        <v>-4.6498900000000003E-3</v>
      </c>
      <c r="P671">
        <v>0.988124</v>
      </c>
      <c r="Q671">
        <v>0.1533976</v>
      </c>
      <c r="R671">
        <v>8.9791379999999994E-3</v>
      </c>
      <c r="S671">
        <v>3.2374269999999998</v>
      </c>
      <c r="T671">
        <v>-1.30719599999999</v>
      </c>
      <c r="U671">
        <v>-4.6600339999999997E-2</v>
      </c>
      <c r="V671">
        <v>-1.3598509999999999E-2</v>
      </c>
      <c r="W671">
        <v>0.16687569999999999</v>
      </c>
      <c r="X671">
        <v>0.98588419999999999</v>
      </c>
      <c r="Y671">
        <v>9.3251280000000002E-3</v>
      </c>
      <c r="Z671">
        <v>-1.3230649999999901E-4</v>
      </c>
      <c r="AA671">
        <v>0.99995650000000003</v>
      </c>
      <c r="AB671">
        <v>23</v>
      </c>
      <c r="AC671">
        <v>0.51179999999999304</v>
      </c>
      <c r="AD671">
        <v>-0.28532449999999998</v>
      </c>
      <c r="AE671">
        <v>-9.2999999999960892E-3</v>
      </c>
      <c r="AF671">
        <v>5.2795383101204097E-3</v>
      </c>
      <c r="AG671">
        <v>-0.28532449999999998</v>
      </c>
      <c r="AH671">
        <v>0.39050864975898297</v>
      </c>
      <c r="AI671">
        <v>126.151176182824</v>
      </c>
      <c r="AJ671">
        <v>89.225428591539796</v>
      </c>
      <c r="AK671">
        <v>0.483668222402095</v>
      </c>
      <c r="AL671">
        <v>80.393785297870295</v>
      </c>
      <c r="AM671">
        <v>90.790242733698193</v>
      </c>
      <c r="AN671">
        <v>1.00000003726717</v>
      </c>
    </row>
    <row r="672" spans="1:40" x14ac:dyDescent="0.25">
      <c r="A672" t="str">
        <f>"20190303162225387"</f>
        <v>20190303162225387</v>
      </c>
      <c r="B672" t="str">
        <f>"1551601345374680"</f>
        <v>1551601345374680</v>
      </c>
      <c r="C672" t="s">
        <v>40</v>
      </c>
      <c r="D672">
        <v>6.1967619999999997</v>
      </c>
      <c r="E672">
        <v>0.4957106</v>
      </c>
      <c r="F672" t="s">
        <v>42</v>
      </c>
      <c r="G672">
        <v>-349.84629999999999</v>
      </c>
      <c r="H672">
        <v>0.83230110000000002</v>
      </c>
      <c r="I672">
        <v>366.78489999999999</v>
      </c>
      <c r="J672">
        <v>-350.43470000000002</v>
      </c>
      <c r="K672">
        <v>1.1210389999999999</v>
      </c>
      <c r="L672">
        <v>366.79430000000002</v>
      </c>
      <c r="M672">
        <v>0.99989620000000001</v>
      </c>
      <c r="N672">
        <v>-1.3655820000000001E-2</v>
      </c>
      <c r="O672">
        <v>-4.5913020000000002E-3</v>
      </c>
      <c r="P672">
        <v>0.98810290000000001</v>
      </c>
      <c r="Q672">
        <v>0.15352850000000001</v>
      </c>
      <c r="R672">
        <v>9.0307849999999995E-3</v>
      </c>
      <c r="S672">
        <v>3.2388919999999999</v>
      </c>
      <c r="T672">
        <v>-1.3038400000000001</v>
      </c>
      <c r="U672">
        <v>-4.348755E-2</v>
      </c>
      <c r="V672">
        <v>-1.3587399999999999E-2</v>
      </c>
      <c r="W672">
        <v>0.1670054</v>
      </c>
      <c r="X672">
        <v>0.98586240000000003</v>
      </c>
      <c r="Y672">
        <v>8.4824940000000001E-3</v>
      </c>
      <c r="Z672" s="1">
        <v>1.50031399999999E-5</v>
      </c>
      <c r="AA672">
        <v>0.99996399999999996</v>
      </c>
      <c r="AB672">
        <v>23</v>
      </c>
      <c r="AC672">
        <v>0.58840000000003501</v>
      </c>
      <c r="AD672">
        <v>-0.28873789999999899</v>
      </c>
      <c r="AE672">
        <v>-9.4000000000278305E-3</v>
      </c>
      <c r="AF672">
        <v>5.3984858513199804E-3</v>
      </c>
      <c r="AG672">
        <v>-0.28873789999999899</v>
      </c>
      <c r="AH672">
        <v>0.47426223384038702</v>
      </c>
      <c r="AI672">
        <v>121.332027997605</v>
      </c>
      <c r="AJ672">
        <v>89.347835280107503</v>
      </c>
      <c r="AK672">
        <v>0.55526875024007105</v>
      </c>
      <c r="AL672">
        <v>80.386248356774004</v>
      </c>
      <c r="AM672">
        <v>90.789614644003706</v>
      </c>
      <c r="AN672">
        <v>1.0000000464008301</v>
      </c>
    </row>
    <row r="673" spans="1:40" x14ac:dyDescent="0.25">
      <c r="A673" t="str">
        <f>"20190303162225400"</f>
        <v>20190303162225400</v>
      </c>
      <c r="B673" t="str">
        <f>"1551601345395174"</f>
        <v>1551601345395174</v>
      </c>
      <c r="C673" t="s">
        <v>40</v>
      </c>
      <c r="D673">
        <v>5.025315</v>
      </c>
      <c r="E673">
        <v>0.49962679999999998</v>
      </c>
      <c r="F673" t="s">
        <v>41</v>
      </c>
      <c r="G673">
        <v>-336.78649999999999</v>
      </c>
      <c r="H673" s="1">
        <v>-1.8199529999999999E-6</v>
      </c>
      <c r="I673">
        <v>367.02859999999998</v>
      </c>
      <c r="J673">
        <v>-350.30259999999998</v>
      </c>
      <c r="K673">
        <v>1.1210279999999999</v>
      </c>
      <c r="L673">
        <v>366.79379999999998</v>
      </c>
      <c r="M673">
        <v>0.99989649999999997</v>
      </c>
      <c r="N673">
        <v>-1.365447E-2</v>
      </c>
      <c r="O673">
        <v>-4.5405849999999998E-3</v>
      </c>
      <c r="P673">
        <v>0.98808700000000005</v>
      </c>
      <c r="Q673">
        <v>0.15364</v>
      </c>
      <c r="R673">
        <v>8.8798460000000003E-3</v>
      </c>
      <c r="S673">
        <v>3.0748600000000001</v>
      </c>
      <c r="T673">
        <v>-0.25256279999999998</v>
      </c>
      <c r="U673">
        <v>5.2795410000000001E-2</v>
      </c>
      <c r="V673">
        <v>-1.338171E-2</v>
      </c>
      <c r="W673">
        <v>0.1671155</v>
      </c>
      <c r="X673">
        <v>0.98584649999999996</v>
      </c>
      <c r="Y673">
        <v>-2.161213E-2</v>
      </c>
      <c r="Z673">
        <v>1.344282E-3</v>
      </c>
      <c r="AA673">
        <v>0.99976549999999997</v>
      </c>
      <c r="AB673">
        <v>23</v>
      </c>
      <c r="AC673">
        <v>13.5160999999999</v>
      </c>
      <c r="AD673">
        <v>-1.121029819953</v>
      </c>
      <c r="AE673">
        <v>0.234800000000007</v>
      </c>
      <c r="AF673">
        <v>-0.29415141363523201</v>
      </c>
      <c r="AG673">
        <v>-1.121029819953</v>
      </c>
      <c r="AH673">
        <v>13.4225869712118</v>
      </c>
      <c r="AI673">
        <v>94.773017819883904</v>
      </c>
      <c r="AJ673">
        <v>91.255416512007898</v>
      </c>
      <c r="AK673">
        <v>13.472530345525801</v>
      </c>
      <c r="AL673">
        <v>80.379849638188404</v>
      </c>
      <c r="AM673">
        <v>90.777675248705606</v>
      </c>
      <c r="AN673">
        <v>0.99999999103251203</v>
      </c>
    </row>
    <row r="674" spans="1:40" x14ac:dyDescent="0.25">
      <c r="A674" t="str">
        <f>"20190303162225412"</f>
        <v>20190303162225412</v>
      </c>
      <c r="B674" t="str">
        <f>"1551601345404935"</f>
        <v>1551601345404935</v>
      </c>
      <c r="C674" t="s">
        <v>40</v>
      </c>
      <c r="D674">
        <v>5.0350089999999996</v>
      </c>
      <c r="E674">
        <v>0.49848930000000002</v>
      </c>
      <c r="F674" t="s">
        <v>41</v>
      </c>
      <c r="G674">
        <v>-321.61750000000001</v>
      </c>
      <c r="H674" s="1">
        <v>-4.041531E-6</v>
      </c>
      <c r="I674">
        <v>367.00549999999998</v>
      </c>
      <c r="J674">
        <v>-350.1678</v>
      </c>
      <c r="K674">
        <v>1.121019</v>
      </c>
      <c r="L674">
        <v>366.79320000000001</v>
      </c>
      <c r="M674">
        <v>0.99989680000000003</v>
      </c>
      <c r="N674">
        <v>-1.3653E-2</v>
      </c>
      <c r="O674">
        <v>-4.4984370000000001E-3</v>
      </c>
      <c r="P674">
        <v>0.98809340000000001</v>
      </c>
      <c r="Q674">
        <v>0.1536247</v>
      </c>
      <c r="R674">
        <v>8.4405899999999996E-3</v>
      </c>
      <c r="S674">
        <v>3.054535</v>
      </c>
      <c r="T674">
        <v>-0.1193728</v>
      </c>
      <c r="U674">
        <v>2.2552490000000001E-2</v>
      </c>
      <c r="V674">
        <v>-1.289615E-2</v>
      </c>
      <c r="W674">
        <v>0.167099</v>
      </c>
      <c r="X674">
        <v>0.98585579999999995</v>
      </c>
      <c r="Y674">
        <v>-1.186806E-2</v>
      </c>
      <c r="Z674">
        <v>4.2720559999999999E-4</v>
      </c>
      <c r="AA674">
        <v>0.99992950000000003</v>
      </c>
      <c r="AB674">
        <v>23</v>
      </c>
      <c r="AC674">
        <v>28.5503</v>
      </c>
      <c r="AD674">
        <v>-1.1210230415310001</v>
      </c>
      <c r="AE674">
        <v>0.21229999999997001</v>
      </c>
      <c r="AF674">
        <v>-0.34021704000244302</v>
      </c>
      <c r="AG674">
        <v>-1.1210230415310001</v>
      </c>
      <c r="AH674">
        <v>28.505111271759699</v>
      </c>
      <c r="AI674">
        <v>92.251955403987907</v>
      </c>
      <c r="AJ674">
        <v>90.683809819308394</v>
      </c>
      <c r="AK674">
        <v>28.529174697305098</v>
      </c>
      <c r="AL674">
        <v>80.380808806382504</v>
      </c>
      <c r="AM674">
        <v>90.749453241989897</v>
      </c>
      <c r="AN674">
        <v>1.0000000224397301</v>
      </c>
    </row>
    <row r="675" spans="1:40" x14ac:dyDescent="0.25">
      <c r="A675" t="str">
        <f>"20190303162225425"</f>
        <v>20190303162225425</v>
      </c>
      <c r="B675" t="str">
        <f>"1551601345414694"</f>
        <v>1551601345414694</v>
      </c>
      <c r="C675" t="s">
        <v>40</v>
      </c>
      <c r="D675">
        <v>5.0131220000000001</v>
      </c>
      <c r="E675">
        <v>0.4976643</v>
      </c>
      <c r="F675" t="s">
        <v>43</v>
      </c>
      <c r="G675">
        <v>-317.8383</v>
      </c>
      <c r="H675">
        <v>-0.05</v>
      </c>
      <c r="I675">
        <v>367.1164</v>
      </c>
      <c r="J675">
        <v>-350.04039999999998</v>
      </c>
      <c r="K675">
        <v>1.1210089999999999</v>
      </c>
      <c r="L675">
        <v>366.79270000000002</v>
      </c>
      <c r="M675">
        <v>0.99989689999999998</v>
      </c>
      <c r="N675">
        <v>-1.365158E-2</v>
      </c>
      <c r="O675">
        <v>-4.4627010000000003E-3</v>
      </c>
      <c r="P675">
        <v>0.98801399999999995</v>
      </c>
      <c r="Q675">
        <v>0.1541477</v>
      </c>
      <c r="R675">
        <v>8.1830540000000004E-3</v>
      </c>
      <c r="S675">
        <v>3.05307</v>
      </c>
      <c r="T675">
        <v>-0.1105864</v>
      </c>
      <c r="U675">
        <v>3.0517579999999999E-2</v>
      </c>
      <c r="V675">
        <v>-1.2599330000000001E-2</v>
      </c>
      <c r="W675">
        <v>0.1676204</v>
      </c>
      <c r="X675">
        <v>0.98577110000000001</v>
      </c>
      <c r="Y675">
        <v>-1.444382E-2</v>
      </c>
      <c r="Z675">
        <v>4.6081440000000001E-4</v>
      </c>
      <c r="AA675">
        <v>0.9998956</v>
      </c>
      <c r="AB675">
        <v>23</v>
      </c>
      <c r="AC675">
        <v>32.202099999999902</v>
      </c>
      <c r="AD675">
        <v>-1.171009</v>
      </c>
      <c r="AE675">
        <v>0.32369999999997301</v>
      </c>
      <c r="AF675">
        <v>-0.46680128595533199</v>
      </c>
      <c r="AG675">
        <v>-1.171009</v>
      </c>
      <c r="AH675">
        <v>32.157814420697797</v>
      </c>
      <c r="AI675">
        <v>92.0852531242667</v>
      </c>
      <c r="AJ675">
        <v>90.831644367579102</v>
      </c>
      <c r="AK675">
        <v>32.182513789862497</v>
      </c>
      <c r="AL675">
        <v>80.350507210481595</v>
      </c>
      <c r="AM675">
        <v>90.732268503898894</v>
      </c>
      <c r="AN675">
        <v>1.0000000016038999</v>
      </c>
    </row>
    <row r="676" spans="1:40" x14ac:dyDescent="0.25">
      <c r="A676" t="str">
        <f>"20190303162225442"</f>
        <v>20190303162225442</v>
      </c>
      <c r="B676" t="str">
        <f>"1551601345435191"</f>
        <v>1551601345435191</v>
      </c>
      <c r="C676" t="s">
        <v>40</v>
      </c>
      <c r="D676">
        <v>5.7472770000000004</v>
      </c>
      <c r="E676">
        <v>0.49578539999999999</v>
      </c>
      <c r="F676" t="s">
        <v>43</v>
      </c>
      <c r="G676">
        <v>-317.3784</v>
      </c>
      <c r="H676">
        <v>-0.05</v>
      </c>
      <c r="I676">
        <v>367.18740000000003</v>
      </c>
      <c r="J676">
        <v>-349.86869999999999</v>
      </c>
      <c r="K676">
        <v>1.121</v>
      </c>
      <c r="L676">
        <v>366.79199999999997</v>
      </c>
      <c r="M676">
        <v>0.99989720000000004</v>
      </c>
      <c r="N676">
        <v>-1.364956E-2</v>
      </c>
      <c r="O676">
        <v>-4.4250610000000001E-3</v>
      </c>
      <c r="P676">
        <v>0.987869</v>
      </c>
      <c r="Q676">
        <v>0.15511179999999999</v>
      </c>
      <c r="R676">
        <v>7.4554290000000004E-3</v>
      </c>
      <c r="S676">
        <v>3.0531619999999999</v>
      </c>
      <c r="T676">
        <v>-0.109463</v>
      </c>
      <c r="U676">
        <v>3.6895749999999998E-2</v>
      </c>
      <c r="V676">
        <v>-1.182976E-2</v>
      </c>
      <c r="W676">
        <v>0.1685807</v>
      </c>
      <c r="X676">
        <v>0.98561690000000002</v>
      </c>
      <c r="Y676">
        <v>-1.649287E-2</v>
      </c>
      <c r="Z676">
        <v>5.0637199999999897E-4</v>
      </c>
      <c r="AA676">
        <v>0.99986390000000003</v>
      </c>
      <c r="AB676">
        <v>23</v>
      </c>
      <c r="AC676">
        <v>32.490299999999898</v>
      </c>
      <c r="AD676">
        <v>-1.171</v>
      </c>
      <c r="AE676">
        <v>0.39540000000005099</v>
      </c>
      <c r="AF676">
        <v>-0.53848168108073302</v>
      </c>
      <c r="AG676">
        <v>-1.171</v>
      </c>
      <c r="AH676">
        <v>32.446091049493702</v>
      </c>
      <c r="AI676">
        <v>92.066659556393404</v>
      </c>
      <c r="AJ676">
        <v>90.9508046890721</v>
      </c>
      <c r="AK676">
        <v>32.471680398662699</v>
      </c>
      <c r="AL676">
        <v>80.2946921331759</v>
      </c>
      <c r="AM676">
        <v>90.687653363411997</v>
      </c>
      <c r="AN676">
        <v>1.0000000345998701</v>
      </c>
    </row>
    <row r="677" spans="1:40" x14ac:dyDescent="0.25">
      <c r="A677" t="str">
        <f>"20190303162225465"</f>
        <v>20190303162225465</v>
      </c>
      <c r="B677" t="str">
        <f>"1551601345454710"</f>
        <v>1551601345454710</v>
      </c>
      <c r="C677" t="s">
        <v>40</v>
      </c>
      <c r="D677">
        <v>5.4892430000000001</v>
      </c>
      <c r="E677">
        <v>0.49672909999999998</v>
      </c>
      <c r="F677" t="s">
        <v>43</v>
      </c>
      <c r="G677">
        <v>-313.67939999999999</v>
      </c>
      <c r="H677">
        <v>-0.05</v>
      </c>
      <c r="I677">
        <v>367.38830000000002</v>
      </c>
      <c r="J677">
        <v>-349.6336</v>
      </c>
      <c r="K677">
        <v>1.120994</v>
      </c>
      <c r="L677">
        <v>366.791</v>
      </c>
      <c r="M677">
        <v>0.99989740000000005</v>
      </c>
      <c r="N677">
        <v>-1.364666E-2</v>
      </c>
      <c r="O677">
        <v>-4.3854760000000001E-3</v>
      </c>
      <c r="P677">
        <v>0.98767559999999999</v>
      </c>
      <c r="Q677">
        <v>0.1563783</v>
      </c>
      <c r="R677">
        <v>6.5581149999999998E-3</v>
      </c>
      <c r="S677">
        <v>3.051971</v>
      </c>
      <c r="T677">
        <v>-9.8754529999999993E-2</v>
      </c>
      <c r="U677">
        <v>5.0292969999999999E-2</v>
      </c>
      <c r="V677">
        <v>-1.0889289999999999E-2</v>
      </c>
      <c r="W677">
        <v>0.1698421</v>
      </c>
      <c r="X677">
        <v>0.98541109999999998</v>
      </c>
      <c r="Y677">
        <v>-2.0845470000000001E-2</v>
      </c>
      <c r="Z677">
        <v>5.6146970000000001E-4</v>
      </c>
      <c r="AA677">
        <v>0.99978259999999997</v>
      </c>
      <c r="AB677">
        <v>23</v>
      </c>
      <c r="AC677">
        <v>35.9542</v>
      </c>
      <c r="AD677">
        <v>-1.1709940000000001</v>
      </c>
      <c r="AE677">
        <v>0.59730000000001804</v>
      </c>
      <c r="AF677">
        <v>-0.75418542289468504</v>
      </c>
      <c r="AG677">
        <v>-1.1709940000000001</v>
      </c>
      <c r="AH677">
        <v>35.913150398916102</v>
      </c>
      <c r="AI677">
        <v>91.867128825958801</v>
      </c>
      <c r="AJ677">
        <v>91.203049318569001</v>
      </c>
      <c r="AK677">
        <v>35.940150169070101</v>
      </c>
      <c r="AL677">
        <v>80.221361213695005</v>
      </c>
      <c r="AM677">
        <v>90.633121511177706</v>
      </c>
      <c r="AN677">
        <v>0.99999997578616096</v>
      </c>
    </row>
    <row r="678" spans="1:40" x14ac:dyDescent="0.25">
      <c r="A678" t="str">
        <f>"20190303162225588"</f>
        <v>20190303162225588</v>
      </c>
      <c r="B678" t="str">
        <f>"1551601345585495"</f>
        <v>1551601345585495</v>
      </c>
      <c r="C678" t="s">
        <v>40</v>
      </c>
      <c r="D678">
        <v>5.8598619999999997</v>
      </c>
      <c r="E678">
        <v>0.49672909999999998</v>
      </c>
      <c r="F678" t="s">
        <v>43</v>
      </c>
      <c r="G678">
        <v>-315.19380000000001</v>
      </c>
      <c r="H678">
        <v>-0.05</v>
      </c>
      <c r="I678">
        <v>367.24950000000001</v>
      </c>
      <c r="J678">
        <v>-348.37270000000001</v>
      </c>
      <c r="K678">
        <v>1.121024</v>
      </c>
      <c r="L678">
        <v>366.78559999999999</v>
      </c>
      <c r="M678">
        <v>0.99989839999999997</v>
      </c>
      <c r="N678">
        <v>-1.362903E-2</v>
      </c>
      <c r="O678">
        <v>-4.2044170000000002E-3</v>
      </c>
      <c r="P678">
        <v>0.987012</v>
      </c>
      <c r="Q678">
        <v>0.16062319999999999</v>
      </c>
      <c r="R678">
        <v>-2.802854E-3</v>
      </c>
      <c r="S678">
        <v>3.0535580000000002</v>
      </c>
      <c r="T678">
        <v>-0.1038244</v>
      </c>
      <c r="U678">
        <v>4.0649409999999997E-2</v>
      </c>
      <c r="V678">
        <v>-1.349807E-3</v>
      </c>
      <c r="W678">
        <v>0.17406070000000001</v>
      </c>
      <c r="X678">
        <v>0.984734</v>
      </c>
      <c r="Y678">
        <v>-1.7500249999999998E-2</v>
      </c>
      <c r="Z678">
        <v>5.0234550000000002E-4</v>
      </c>
      <c r="AA678">
        <v>0.99984680000000004</v>
      </c>
      <c r="AB678">
        <v>23</v>
      </c>
      <c r="AC678">
        <v>33.178899999999999</v>
      </c>
      <c r="AD678">
        <v>-1.1710240000000001</v>
      </c>
      <c r="AE678">
        <v>0.46390000000002302</v>
      </c>
      <c r="AF678">
        <v>-0.60265619931939196</v>
      </c>
      <c r="AG678">
        <v>-1.1710240000000001</v>
      </c>
      <c r="AH678">
        <v>33.135387950310502</v>
      </c>
      <c r="AI678">
        <v>92.023689612345606</v>
      </c>
      <c r="AJ678">
        <v>91.041963056125098</v>
      </c>
      <c r="AK678">
        <v>33.161550420942902</v>
      </c>
      <c r="AL678">
        <v>79.975998704206901</v>
      </c>
      <c r="AM678">
        <v>90.078537143858199</v>
      </c>
      <c r="AN678">
        <v>1.00000000000971</v>
      </c>
    </row>
    <row r="679" spans="1:40" x14ac:dyDescent="0.25">
      <c r="A679" t="str">
        <f>"20190303162225609"</f>
        <v>20190303162225609</v>
      </c>
      <c r="B679" t="str">
        <f>"1551601345605015"</f>
        <v>1551601345605015</v>
      </c>
      <c r="C679" t="s">
        <v>40</v>
      </c>
      <c r="D679">
        <v>5.4565239999999999</v>
      </c>
      <c r="E679">
        <v>0.49628430000000001</v>
      </c>
      <c r="F679" t="s">
        <v>43</v>
      </c>
      <c r="G679">
        <v>-308.89980000000003</v>
      </c>
      <c r="H679">
        <v>-0.05</v>
      </c>
      <c r="I679">
        <v>366.96910000000003</v>
      </c>
      <c r="J679">
        <v>-348.15410000000003</v>
      </c>
      <c r="K679">
        <v>1.121027</v>
      </c>
      <c r="L679">
        <v>366.78480000000002</v>
      </c>
      <c r="M679">
        <v>0.99989859999999997</v>
      </c>
      <c r="N679">
        <v>-1.362582E-2</v>
      </c>
      <c r="O679">
        <v>-4.1638320000000001E-3</v>
      </c>
      <c r="P679">
        <v>0.98689890000000002</v>
      </c>
      <c r="Q679">
        <v>0.16129189999999999</v>
      </c>
      <c r="R679">
        <v>-3.9655819999999996E-3</v>
      </c>
      <c r="S679">
        <v>3.0542910000000001</v>
      </c>
      <c r="T679">
        <v>-9.0610380000000004E-2</v>
      </c>
      <c r="U679">
        <v>1.4190670000000001E-2</v>
      </c>
      <c r="V679">
        <v>-1.472516E-4</v>
      </c>
      <c r="W679">
        <v>0.17472470000000001</v>
      </c>
      <c r="X679">
        <v>0.98461730000000003</v>
      </c>
      <c r="Y679">
        <v>-8.8040400000000008E-3</v>
      </c>
      <c r="Z679">
        <v>2.5733469999999998E-4</v>
      </c>
      <c r="AA679">
        <v>0.99996119999999999</v>
      </c>
      <c r="AB679">
        <v>23</v>
      </c>
      <c r="AC679">
        <v>39.254300000000001</v>
      </c>
      <c r="AD679">
        <v>-1.171027</v>
      </c>
      <c r="AE679">
        <v>0.18430000000000701</v>
      </c>
      <c r="AF679">
        <v>-0.34745266633432997</v>
      </c>
      <c r="AG679">
        <v>-1.171027</v>
      </c>
      <c r="AH679">
        <v>39.218291138945403</v>
      </c>
      <c r="AI679">
        <v>91.710231192857506</v>
      </c>
      <c r="AJ679">
        <v>90.507596072137204</v>
      </c>
      <c r="AK679">
        <v>39.2373086162794</v>
      </c>
      <c r="AL679">
        <v>79.937362094898106</v>
      </c>
      <c r="AM679">
        <v>90.008568704961405</v>
      </c>
      <c r="AN679">
        <v>0.99999998496620601</v>
      </c>
    </row>
    <row r="680" spans="1:40" x14ac:dyDescent="0.25">
      <c r="A680" t="str">
        <f>"20190303162225620"</f>
        <v>20190303162225620</v>
      </c>
      <c r="B680" t="str">
        <f>"1551601345614774"</f>
        <v>1551601345614774</v>
      </c>
      <c r="C680" t="s">
        <v>40</v>
      </c>
      <c r="D680">
        <v>5.8659919999999897</v>
      </c>
      <c r="E680">
        <v>0.49615910000000002</v>
      </c>
      <c r="F680" t="s">
        <v>43</v>
      </c>
      <c r="G680">
        <v>-313.4341</v>
      </c>
      <c r="H680">
        <v>-0.05</v>
      </c>
      <c r="I680">
        <v>366.9477</v>
      </c>
      <c r="J680">
        <v>-348.03489999999999</v>
      </c>
      <c r="K680">
        <v>1.1210310000000001</v>
      </c>
      <c r="L680">
        <v>366.78429999999997</v>
      </c>
      <c r="M680">
        <v>0.99989870000000003</v>
      </c>
      <c r="N680">
        <v>-1.3624030000000001E-2</v>
      </c>
      <c r="O680">
        <v>-4.1408E-3</v>
      </c>
      <c r="P680">
        <v>0.98682080000000005</v>
      </c>
      <c r="Q680">
        <v>0.1617556</v>
      </c>
      <c r="R680">
        <v>-4.4811870000000002E-3</v>
      </c>
      <c r="S680">
        <v>3.056702</v>
      </c>
      <c r="T680">
        <v>-0.10309589999999901</v>
      </c>
      <c r="U680">
        <v>1.434326E-2</v>
      </c>
      <c r="V680">
        <v>3.9110570000000001E-4</v>
      </c>
      <c r="W680">
        <v>0.17518520000000001</v>
      </c>
      <c r="X680">
        <v>0.98453539999999995</v>
      </c>
      <c r="Y680">
        <v>-8.8255620000000003E-3</v>
      </c>
      <c r="Z680">
        <v>2.9215000000000003E-4</v>
      </c>
      <c r="AA680">
        <v>0.99996099999999999</v>
      </c>
      <c r="AB680">
        <v>23</v>
      </c>
      <c r="AC680">
        <v>34.6007999999999</v>
      </c>
      <c r="AD680">
        <v>-1.1710309999999999</v>
      </c>
      <c r="AE680">
        <v>0.163400000000024</v>
      </c>
      <c r="AF680">
        <v>-0.30633600273402301</v>
      </c>
      <c r="AG680">
        <v>-1.1710309999999999</v>
      </c>
      <c r="AH680">
        <v>34.560241552161202</v>
      </c>
      <c r="AI680">
        <v>91.940577917164802</v>
      </c>
      <c r="AJ680">
        <v>90.507846578536999</v>
      </c>
      <c r="AK680">
        <v>34.581432178168498</v>
      </c>
      <c r="AL680">
        <v>79.910564021812405</v>
      </c>
      <c r="AM680">
        <v>89.977239310262703</v>
      </c>
      <c r="AN680">
        <v>0.99999998055793404</v>
      </c>
    </row>
    <row r="681" spans="1:40" x14ac:dyDescent="0.25">
      <c r="A681" t="str">
        <f>"20190303162225633"</f>
        <v>20190303162225633</v>
      </c>
      <c r="B681" t="str">
        <f>"1551601345625510"</f>
        <v>1551601345625510</v>
      </c>
      <c r="C681" t="s">
        <v>40</v>
      </c>
      <c r="D681">
        <v>5.5310759999999997</v>
      </c>
      <c r="E681">
        <v>0.49635689999999999</v>
      </c>
      <c r="F681" t="s">
        <v>43</v>
      </c>
      <c r="G681">
        <v>-310.83760000000001</v>
      </c>
      <c r="H681">
        <v>-0.05</v>
      </c>
      <c r="I681">
        <v>366.9581</v>
      </c>
      <c r="J681">
        <v>-347.91390000000001</v>
      </c>
      <c r="K681">
        <v>1.1210310000000001</v>
      </c>
      <c r="L681">
        <v>366.78379999999999</v>
      </c>
      <c r="M681">
        <v>0.99989879999999998</v>
      </c>
      <c r="N681">
        <v>-1.3622179999999999E-2</v>
      </c>
      <c r="O681">
        <v>-4.1171710000000002E-3</v>
      </c>
      <c r="P681">
        <v>0.98684919999999998</v>
      </c>
      <c r="Q681">
        <v>0.1615828</v>
      </c>
      <c r="R681">
        <v>-4.4515099999999997E-3</v>
      </c>
      <c r="S681">
        <v>3.0559080000000001</v>
      </c>
      <c r="T681">
        <v>-9.6204880000000007E-2</v>
      </c>
      <c r="U681">
        <v>1.428223E-2</v>
      </c>
      <c r="V681">
        <v>3.8420419999999998E-4</v>
      </c>
      <c r="W681">
        <v>0.1750111</v>
      </c>
      <c r="X681">
        <v>0.98456639999999995</v>
      </c>
      <c r="Y681">
        <v>-8.7841680000000002E-3</v>
      </c>
      <c r="Z681">
        <v>2.715921E-4</v>
      </c>
      <c r="AA681">
        <v>0.9999614</v>
      </c>
      <c r="AB681">
        <v>23</v>
      </c>
      <c r="AC681">
        <v>37.076300000000003</v>
      </c>
      <c r="AD681">
        <v>-1.1710309999999999</v>
      </c>
      <c r="AE681">
        <v>0.174300000000016</v>
      </c>
      <c r="AF681">
        <v>-0.32663630925043902</v>
      </c>
      <c r="AG681">
        <v>-1.1710309999999999</v>
      </c>
      <c r="AH681">
        <v>37.0383204546741</v>
      </c>
      <c r="AI681">
        <v>91.810832233309</v>
      </c>
      <c r="AJ681">
        <v>90.505271205082707</v>
      </c>
      <c r="AK681">
        <v>37.058267457945298</v>
      </c>
      <c r="AL681">
        <v>79.920696086751704</v>
      </c>
      <c r="AM681">
        <v>89.977641652189405</v>
      </c>
      <c r="AN681">
        <v>1.0000000143725101</v>
      </c>
    </row>
    <row r="682" spans="1:40" x14ac:dyDescent="0.25">
      <c r="A682" t="str">
        <f>"20190303162225647"</f>
        <v>20190303162225647</v>
      </c>
      <c r="B682" t="str">
        <f>"1551601345635270"</f>
        <v>1551601345635270</v>
      </c>
      <c r="C682" t="s">
        <v>40</v>
      </c>
      <c r="D682">
        <v>5.4429239999999997</v>
      </c>
      <c r="E682">
        <v>0.49588149999999998</v>
      </c>
      <c r="F682" t="s">
        <v>43</v>
      </c>
      <c r="G682">
        <v>-315.3073</v>
      </c>
      <c r="H682">
        <v>-0.05</v>
      </c>
      <c r="I682">
        <v>366.9205</v>
      </c>
      <c r="J682">
        <v>-347.76859999999999</v>
      </c>
      <c r="K682">
        <v>1.1210359999999999</v>
      </c>
      <c r="L682">
        <v>366.7833</v>
      </c>
      <c r="M682">
        <v>0.99989890000000003</v>
      </c>
      <c r="N682">
        <v>-1.3619940000000001E-2</v>
      </c>
      <c r="O682">
        <v>-4.0884110000000001E-3</v>
      </c>
      <c r="P682">
        <v>0.98680259999999997</v>
      </c>
      <c r="Q682">
        <v>0.16184689999999999</v>
      </c>
      <c r="R682">
        <v>-5.1203430000000003E-3</v>
      </c>
      <c r="S682">
        <v>3.058014</v>
      </c>
      <c r="T682">
        <v>-0.10982500000000001</v>
      </c>
      <c r="U682">
        <v>1.281738E-2</v>
      </c>
      <c r="V682">
        <v>1.081221E-3</v>
      </c>
      <c r="W682">
        <v>0.1752725</v>
      </c>
      <c r="X682">
        <v>0.98451940000000004</v>
      </c>
      <c r="Y682">
        <v>-8.2717209999999992E-3</v>
      </c>
      <c r="Z682">
        <v>2.9595169999999999E-4</v>
      </c>
      <c r="AA682">
        <v>0.99996569999999996</v>
      </c>
      <c r="AB682">
        <v>23</v>
      </c>
      <c r="AC682">
        <v>32.461299999999902</v>
      </c>
      <c r="AD682">
        <v>-1.171036</v>
      </c>
      <c r="AE682">
        <v>0.13720000000000701</v>
      </c>
      <c r="AF682">
        <v>-0.26957548093501099</v>
      </c>
      <c r="AG682">
        <v>-1.171036</v>
      </c>
      <c r="AH682">
        <v>32.4182794808005</v>
      </c>
      <c r="AI682">
        <v>92.0687076731448</v>
      </c>
      <c r="AJ682">
        <v>90.476434331789704</v>
      </c>
      <c r="AK682">
        <v>32.440543163586398</v>
      </c>
      <c r="AL682">
        <v>79.905484034248303</v>
      </c>
      <c r="AM682">
        <v>89.937076531843402</v>
      </c>
      <c r="AN682">
        <v>1.00000003363572</v>
      </c>
    </row>
    <row r="683" spans="1:40" x14ac:dyDescent="0.25">
      <c r="A683" t="str">
        <f>"20190303162225666"</f>
        <v>20190303162225666</v>
      </c>
      <c r="B683" t="str">
        <f>"1551601345654791"</f>
        <v>1551601345654791</v>
      </c>
      <c r="C683" t="s">
        <v>40</v>
      </c>
      <c r="D683">
        <v>5.7686970000000004</v>
      </c>
      <c r="E683">
        <v>0.49487809999999999</v>
      </c>
      <c r="F683" t="s">
        <v>43</v>
      </c>
      <c r="G683">
        <v>-316.90289999999999</v>
      </c>
      <c r="H683">
        <v>-0.05</v>
      </c>
      <c r="I683">
        <v>366.93259999999998</v>
      </c>
      <c r="J683">
        <v>-347.57499999999999</v>
      </c>
      <c r="K683">
        <v>1.1210370000000001</v>
      </c>
      <c r="L683">
        <v>366.78250000000003</v>
      </c>
      <c r="M683">
        <v>0.99989910000000004</v>
      </c>
      <c r="N683">
        <v>-1.3616939999999999E-2</v>
      </c>
      <c r="O683">
        <v>-4.0503470000000001E-3</v>
      </c>
      <c r="P683">
        <v>0.98676649999999999</v>
      </c>
      <c r="Q683">
        <v>0.1620172</v>
      </c>
      <c r="R683">
        <v>-6.5286830000000004E-3</v>
      </c>
      <c r="S683">
        <v>3.0592649999999999</v>
      </c>
      <c r="T683">
        <v>-0.1160678</v>
      </c>
      <c r="U683">
        <v>1.480103E-2</v>
      </c>
      <c r="V683">
        <v>2.5266910000000002E-3</v>
      </c>
      <c r="W683">
        <v>0.17543919999999999</v>
      </c>
      <c r="X683">
        <v>0.98448709999999995</v>
      </c>
      <c r="Y683">
        <v>-8.8787980000000002E-3</v>
      </c>
      <c r="Z683">
        <v>3.2732220000000002E-4</v>
      </c>
      <c r="AA683">
        <v>0.99996050000000003</v>
      </c>
      <c r="AB683">
        <v>23</v>
      </c>
      <c r="AC683">
        <v>30.6721</v>
      </c>
      <c r="AD683">
        <v>-1.1710370000000001</v>
      </c>
      <c r="AE683">
        <v>0.15009999999995199</v>
      </c>
      <c r="AF683">
        <v>-0.27394362852714199</v>
      </c>
      <c r="AG683">
        <v>-1.1710370000000001</v>
      </c>
      <c r="AH683">
        <v>30.6265984559389</v>
      </c>
      <c r="AI683">
        <v>92.189604208243694</v>
      </c>
      <c r="AJ683">
        <v>90.512475951030396</v>
      </c>
      <c r="AK683">
        <v>30.650202376955001</v>
      </c>
      <c r="AL683">
        <v>79.895782911740895</v>
      </c>
      <c r="AM683">
        <v>89.852950422028201</v>
      </c>
      <c r="AN683">
        <v>1.0000000735652199</v>
      </c>
    </row>
    <row r="684" spans="1:40" x14ac:dyDescent="0.25">
      <c r="A684" t="str">
        <f>"20190303162225681"</f>
        <v>20190303162225681</v>
      </c>
      <c r="B684" t="str">
        <f>"1551601345675287"</f>
        <v>1551601345675287</v>
      </c>
      <c r="C684" t="s">
        <v>40</v>
      </c>
      <c r="D684">
        <v>5.7007469999999998</v>
      </c>
      <c r="E684">
        <v>0.49386239999999998</v>
      </c>
      <c r="F684" t="s">
        <v>41</v>
      </c>
      <c r="G684">
        <v>-320.142</v>
      </c>
      <c r="H684" s="1">
        <v>-4.6844530000000004E-6</v>
      </c>
      <c r="I684">
        <v>366.94929999999999</v>
      </c>
      <c r="J684">
        <v>-347.42039999999997</v>
      </c>
      <c r="K684">
        <v>1.1210389999999999</v>
      </c>
      <c r="L684">
        <v>366.78190000000001</v>
      </c>
      <c r="M684">
        <v>0.99989939999999999</v>
      </c>
      <c r="N684">
        <v>-1.361453E-2</v>
      </c>
      <c r="O684">
        <v>-4.0199229999999999E-3</v>
      </c>
      <c r="P684">
        <v>0.98676430000000004</v>
      </c>
      <c r="Q684">
        <v>0.1620076</v>
      </c>
      <c r="R684">
        <v>-7.0829669999999999E-3</v>
      </c>
      <c r="S684">
        <v>3.0608219999999999</v>
      </c>
      <c r="T684">
        <v>-0.1250793</v>
      </c>
      <c r="U684">
        <v>1.8615719999999999E-2</v>
      </c>
      <c r="V684">
        <v>3.110823E-3</v>
      </c>
      <c r="W684">
        <v>0.175427</v>
      </c>
      <c r="X684">
        <v>0.98448749999999996</v>
      </c>
      <c r="Y684">
        <v>-1.0089280000000001E-2</v>
      </c>
      <c r="Z684">
        <v>3.8426820000000002E-4</v>
      </c>
      <c r="AA684">
        <v>0.99994899999999998</v>
      </c>
      <c r="AB684">
        <v>23</v>
      </c>
      <c r="AC684">
        <v>27.278399999999898</v>
      </c>
      <c r="AD684">
        <v>-1.1210436844529901</v>
      </c>
      <c r="AE684">
        <v>0.167399999999986</v>
      </c>
      <c r="AF684">
        <v>-0.27659872746831399</v>
      </c>
      <c r="AG684">
        <v>-1.1210436844529901</v>
      </c>
      <c r="AH684">
        <v>27.2315166232042</v>
      </c>
      <c r="AI684">
        <v>92.357250869846098</v>
      </c>
      <c r="AJ684">
        <v>90.581950500256397</v>
      </c>
      <c r="AK684">
        <v>27.2559854600478</v>
      </c>
      <c r="AL684">
        <v>79.8964919110701</v>
      </c>
      <c r="AM684">
        <v>89.818955105567099</v>
      </c>
      <c r="AN684">
        <v>0.99999997360249304</v>
      </c>
    </row>
    <row r="685" spans="1:40" x14ac:dyDescent="0.25">
      <c r="A685" t="str">
        <f>"20190303162225698"</f>
        <v>20190303162225698</v>
      </c>
      <c r="B685" t="str">
        <f>"1551601345685046"</f>
        <v>1551601345685046</v>
      </c>
      <c r="C685" t="s">
        <v>40</v>
      </c>
      <c r="D685">
        <v>5.6996599999999997</v>
      </c>
      <c r="E685">
        <v>0.49369299999999999</v>
      </c>
      <c r="F685" t="s">
        <v>41</v>
      </c>
      <c r="G685">
        <v>-321.28199999999998</v>
      </c>
      <c r="H685" s="1">
        <v>-4.1872240000000001E-6</v>
      </c>
      <c r="I685">
        <v>366.99540000000002</v>
      </c>
      <c r="J685">
        <v>-347.24919999999997</v>
      </c>
      <c r="K685">
        <v>1.1210370000000001</v>
      </c>
      <c r="L685">
        <v>366.78120000000001</v>
      </c>
      <c r="M685">
        <v>0.99989950000000005</v>
      </c>
      <c r="N685">
        <v>-1.361187E-2</v>
      </c>
      <c r="O685">
        <v>-3.9861619999999997E-3</v>
      </c>
      <c r="P685">
        <v>0.98675190000000002</v>
      </c>
      <c r="Q685">
        <v>0.16202629999999901</v>
      </c>
      <c r="R685">
        <v>-8.2738910000000002E-3</v>
      </c>
      <c r="S685">
        <v>3.0619510000000001</v>
      </c>
      <c r="T685">
        <v>-0.131323</v>
      </c>
      <c r="U685">
        <v>2.502441E-2</v>
      </c>
      <c r="V685">
        <v>4.3348789999999998E-3</v>
      </c>
      <c r="W685">
        <v>0.1754434</v>
      </c>
      <c r="X685">
        <v>0.98448000000000002</v>
      </c>
      <c r="Y685">
        <v>-1.214235E-2</v>
      </c>
      <c r="Z685">
        <v>4.5959240000000001E-4</v>
      </c>
      <c r="AA685">
        <v>0.99992610000000004</v>
      </c>
      <c r="AB685">
        <v>23</v>
      </c>
      <c r="AC685">
        <v>25.967199999999899</v>
      </c>
      <c r="AD685">
        <v>-1.121041187224</v>
      </c>
      <c r="AE685">
        <v>0.214200000000005</v>
      </c>
      <c r="AF685">
        <v>-0.31712633383764299</v>
      </c>
      <c r="AG685">
        <v>-1.121041187224</v>
      </c>
      <c r="AH685">
        <v>25.917838076883601</v>
      </c>
      <c r="AI685">
        <v>92.476522873703303</v>
      </c>
      <c r="AJ685">
        <v>90.701026596098103</v>
      </c>
      <c r="AK685">
        <v>25.944009578988101</v>
      </c>
      <c r="AL685">
        <v>79.8955379731253</v>
      </c>
      <c r="AM685">
        <v>89.747715884265901</v>
      </c>
      <c r="AN685">
        <v>1.00000002408975</v>
      </c>
    </row>
    <row r="686" spans="1:40" x14ac:dyDescent="0.25">
      <c r="A686" t="str">
        <f>"20190303162225721"</f>
        <v>20190303162225721</v>
      </c>
      <c r="B686" t="str">
        <f>"1551601345715303"</f>
        <v>1551601345715303</v>
      </c>
      <c r="C686" t="s">
        <v>40</v>
      </c>
      <c r="D686">
        <v>5.6369059999999998</v>
      </c>
      <c r="E686">
        <v>0.4925562</v>
      </c>
      <c r="F686" t="s">
        <v>41</v>
      </c>
      <c r="G686">
        <v>-321.50599999999997</v>
      </c>
      <c r="H686" s="1">
        <v>-4.0951669999999999E-6</v>
      </c>
      <c r="I686">
        <v>366.97280000000001</v>
      </c>
      <c r="J686">
        <v>-347.01389999999998</v>
      </c>
      <c r="K686">
        <v>1.1210389999999999</v>
      </c>
      <c r="L686">
        <v>366.78030000000001</v>
      </c>
      <c r="M686">
        <v>0.9998996</v>
      </c>
      <c r="N686">
        <v>-1.3608200000000001E-2</v>
      </c>
      <c r="O686">
        <v>-3.9396420000000001E-3</v>
      </c>
      <c r="P686">
        <v>0.98673560000000005</v>
      </c>
      <c r="Q686">
        <v>0.16207479999999999</v>
      </c>
      <c r="R686">
        <v>-9.2124210000000002E-3</v>
      </c>
      <c r="S686">
        <v>3.0623779999999998</v>
      </c>
      <c r="T686">
        <v>-0.13335720000000001</v>
      </c>
      <c r="U686">
        <v>2.2796629999999998E-2</v>
      </c>
      <c r="V686">
        <v>5.3191100000000002E-3</v>
      </c>
      <c r="W686">
        <v>0.17548800000000001</v>
      </c>
      <c r="X686">
        <v>0.98446719999999999</v>
      </c>
      <c r="Y686">
        <v>-1.1367820000000001E-2</v>
      </c>
      <c r="Z686">
        <v>4.426772E-4</v>
      </c>
      <c r="AA686">
        <v>0.99993529999999997</v>
      </c>
      <c r="AB686">
        <v>23</v>
      </c>
      <c r="AC686">
        <v>25.507899999999999</v>
      </c>
      <c r="AD686">
        <v>-1.1210430951669901</v>
      </c>
      <c r="AE686">
        <v>0.19249999999999501</v>
      </c>
      <c r="AF686">
        <v>-0.29243500365797298</v>
      </c>
      <c r="AG686">
        <v>-1.1210430951669901</v>
      </c>
      <c r="AH686">
        <v>25.457774612859101</v>
      </c>
      <c r="AI686">
        <v>92.521247083575304</v>
      </c>
      <c r="AJ686">
        <v>90.658131153909906</v>
      </c>
      <c r="AK686">
        <v>25.484123373028101</v>
      </c>
      <c r="AL686">
        <v>79.892942059750496</v>
      </c>
      <c r="AM686">
        <v>89.690431953247597</v>
      </c>
      <c r="AN686">
        <v>0.99999999947551599</v>
      </c>
    </row>
    <row r="687" spans="1:40" x14ac:dyDescent="0.25">
      <c r="A687" t="str">
        <f>"20190303162225735"</f>
        <v>20190303162225735</v>
      </c>
      <c r="B687" t="str">
        <f>"1551601345725063"</f>
        <v>1551601345725063</v>
      </c>
      <c r="C687" t="s">
        <v>40</v>
      </c>
      <c r="D687">
        <v>5.5683509999999998</v>
      </c>
      <c r="E687">
        <v>0.4922956</v>
      </c>
      <c r="F687" t="s">
        <v>41</v>
      </c>
      <c r="G687">
        <v>-322.09480000000002</v>
      </c>
      <c r="H687" s="1">
        <v>-3.8337019999999999E-6</v>
      </c>
      <c r="I687">
        <v>367.02260000000001</v>
      </c>
      <c r="J687">
        <v>-346.87549999999999</v>
      </c>
      <c r="K687">
        <v>1.121041</v>
      </c>
      <c r="L687">
        <v>366.77980000000002</v>
      </c>
      <c r="M687">
        <v>0.99989969999999995</v>
      </c>
      <c r="N687">
        <v>-1.360602E-2</v>
      </c>
      <c r="O687">
        <v>-3.9128019999999999E-3</v>
      </c>
      <c r="P687">
        <v>0.98674629999999997</v>
      </c>
      <c r="Q687">
        <v>0.1619707</v>
      </c>
      <c r="R687">
        <v>-9.8613590000000001E-3</v>
      </c>
      <c r="S687">
        <v>3.063202</v>
      </c>
      <c r="T687">
        <v>-0.13780529999999999</v>
      </c>
      <c r="U687">
        <v>2.9785160000000001E-2</v>
      </c>
      <c r="V687">
        <v>5.9946219999999998E-3</v>
      </c>
      <c r="W687">
        <v>0.17538190000000001</v>
      </c>
      <c r="X687">
        <v>0.98448219999999997</v>
      </c>
      <c r="Y687">
        <v>-1.3616120000000001E-2</v>
      </c>
      <c r="Z687">
        <v>5.2152669999999896E-4</v>
      </c>
      <c r="AA687">
        <v>0.99990710000000005</v>
      </c>
      <c r="AB687">
        <v>23</v>
      </c>
      <c r="AC687">
        <v>24.7806999999999</v>
      </c>
      <c r="AD687">
        <v>-1.121044833702</v>
      </c>
      <c r="AE687">
        <v>0.242799999999988</v>
      </c>
      <c r="AF687">
        <v>-0.33907523517395299</v>
      </c>
      <c r="AG687">
        <v>-1.121044833702</v>
      </c>
      <c r="AH687">
        <v>24.728956375663198</v>
      </c>
      <c r="AI687">
        <v>92.595385158646593</v>
      </c>
      <c r="AJ687">
        <v>90.785571466491703</v>
      </c>
      <c r="AK687">
        <v>24.756675806006999</v>
      </c>
      <c r="AL687">
        <v>79.899116649832607</v>
      </c>
      <c r="AM687">
        <v>89.651123915154898</v>
      </c>
      <c r="AN687">
        <v>0.99999997422868603</v>
      </c>
    </row>
    <row r="688" spans="1:40" x14ac:dyDescent="0.25">
      <c r="A688" t="str">
        <f>"20190303162225749"</f>
        <v>20190303162225749</v>
      </c>
      <c r="B688" t="str">
        <f>"1551601345734823"</f>
        <v>1551601345734823</v>
      </c>
      <c r="C688" t="s">
        <v>40</v>
      </c>
      <c r="D688">
        <v>5.5646230000000001</v>
      </c>
      <c r="E688">
        <v>0.49196980000000001</v>
      </c>
      <c r="F688" t="s">
        <v>41</v>
      </c>
      <c r="G688">
        <v>-322.1671</v>
      </c>
      <c r="H688" s="1">
        <v>-3.8031559999999999E-6</v>
      </c>
      <c r="I688">
        <v>367.02</v>
      </c>
      <c r="J688">
        <v>-346.73250000000002</v>
      </c>
      <c r="K688">
        <v>1.1210389999999999</v>
      </c>
      <c r="L688">
        <v>366.77929999999998</v>
      </c>
      <c r="M688">
        <v>0.99989989999999995</v>
      </c>
      <c r="N688">
        <v>-1.3603769999999999E-2</v>
      </c>
      <c r="O688">
        <v>-3.8852489999999999E-3</v>
      </c>
      <c r="P688">
        <v>0.98676520000000001</v>
      </c>
      <c r="Q688">
        <v>0.16182939999999901</v>
      </c>
      <c r="R688">
        <v>-1.028041E-2</v>
      </c>
      <c r="S688">
        <v>3.0634160000000001</v>
      </c>
      <c r="T688">
        <v>-0.13899</v>
      </c>
      <c r="U688">
        <v>2.9785160000000001E-2</v>
      </c>
      <c r="V688">
        <v>6.440749E-3</v>
      </c>
      <c r="W688">
        <v>0.1752387</v>
      </c>
      <c r="X688">
        <v>0.98450490000000002</v>
      </c>
      <c r="Y688">
        <v>-1.358762E-2</v>
      </c>
      <c r="Z688">
        <v>5.2391250000000003E-4</v>
      </c>
      <c r="AA688">
        <v>0.99990760000000001</v>
      </c>
      <c r="AB688">
        <v>23</v>
      </c>
      <c r="AC688">
        <v>24.5654</v>
      </c>
      <c r="AD688">
        <v>-1.12104280315599</v>
      </c>
      <c r="AE688">
        <v>0.24070000000000299</v>
      </c>
      <c r="AF688">
        <v>-0.335451184093427</v>
      </c>
      <c r="AG688">
        <v>-1.12104280315599</v>
      </c>
      <c r="AH688">
        <v>24.5132340053439</v>
      </c>
      <c r="AI688">
        <v>92.618189767479194</v>
      </c>
      <c r="AJ688">
        <v>90.784014768065205</v>
      </c>
      <c r="AK688">
        <v>24.541147199431499</v>
      </c>
      <c r="AL688">
        <v>79.907450647559799</v>
      </c>
      <c r="AM688">
        <v>89.625169493798495</v>
      </c>
      <c r="AN688">
        <v>0.99999999167469</v>
      </c>
    </row>
    <row r="689" spans="1:40" x14ac:dyDescent="0.25">
      <c r="A689" t="str">
        <f>"20190303162225778"</f>
        <v>20190303162225778</v>
      </c>
      <c r="B689" t="str">
        <f>"1551601345765079"</f>
        <v>1551601345765079</v>
      </c>
      <c r="C689" t="s">
        <v>40</v>
      </c>
      <c r="D689">
        <v>5.5140719999999996</v>
      </c>
      <c r="E689">
        <v>0.49142930000000001</v>
      </c>
      <c r="F689" t="s">
        <v>41</v>
      </c>
      <c r="G689">
        <v>-322.19299999999998</v>
      </c>
      <c r="H689" s="1">
        <v>-3.7907969999999999E-6</v>
      </c>
      <c r="I689">
        <v>367.02710000000002</v>
      </c>
      <c r="J689">
        <v>-346.43079999999998</v>
      </c>
      <c r="K689">
        <v>1.121032</v>
      </c>
      <c r="L689">
        <v>366.77820000000003</v>
      </c>
      <c r="M689">
        <v>0.99990029999999996</v>
      </c>
      <c r="N689">
        <v>-1.359897E-2</v>
      </c>
      <c r="O689">
        <v>-3.8265740000000001E-3</v>
      </c>
      <c r="P689">
        <v>0.98666969999999998</v>
      </c>
      <c r="Q689">
        <v>0.16233829999999999</v>
      </c>
      <c r="R689">
        <v>-1.138083E-2</v>
      </c>
      <c r="S689">
        <v>3.0634769999999998</v>
      </c>
      <c r="T689">
        <v>-0.13994870000000001</v>
      </c>
      <c r="U689">
        <v>3.0944820000000001E-2</v>
      </c>
      <c r="V689">
        <v>7.5995409999999996E-3</v>
      </c>
      <c r="W689">
        <v>0.17574200000000001</v>
      </c>
      <c r="X689">
        <v>0.98440689999999997</v>
      </c>
      <c r="Y689">
        <v>-1.390656E-2</v>
      </c>
      <c r="Z689">
        <v>5.3479600000000003E-4</v>
      </c>
      <c r="AA689">
        <v>0.99990310000000004</v>
      </c>
      <c r="AB689">
        <v>23</v>
      </c>
      <c r="AC689">
        <v>24.2378</v>
      </c>
      <c r="AD689">
        <v>-1.1210357907969899</v>
      </c>
      <c r="AE689">
        <v>0.24889999999999099</v>
      </c>
      <c r="AF689">
        <v>-0.34092524895243598</v>
      </c>
      <c r="AG689">
        <v>-1.1210357907969899</v>
      </c>
      <c r="AH689">
        <v>24.184938885675901</v>
      </c>
      <c r="AI689">
        <v>92.653647818175997</v>
      </c>
      <c r="AJ689">
        <v>90.807621812741502</v>
      </c>
      <c r="AK689">
        <v>24.2133066757414</v>
      </c>
      <c r="AL689">
        <v>79.878158931230303</v>
      </c>
      <c r="AM689">
        <v>89.557690040688797</v>
      </c>
      <c r="AN689">
        <v>0.99999997417750996</v>
      </c>
    </row>
    <row r="690" spans="1:40" x14ac:dyDescent="0.25">
      <c r="A690" t="str">
        <f>"20190303162225799"</f>
        <v>20190303162225799</v>
      </c>
      <c r="B690" t="str">
        <f>"1551601345785574"</f>
        <v>1551601345785574</v>
      </c>
      <c r="C690" t="s">
        <v>40</v>
      </c>
      <c r="D690">
        <v>5.5057470000000004</v>
      </c>
      <c r="E690">
        <v>0.4910332</v>
      </c>
      <c r="F690" t="s">
        <v>41</v>
      </c>
      <c r="G690">
        <v>-321.8467</v>
      </c>
      <c r="H690" s="1">
        <v>-3.9372659999999999E-6</v>
      </c>
      <c r="I690">
        <v>367.03890000000001</v>
      </c>
      <c r="J690">
        <v>-346.2269</v>
      </c>
      <c r="K690">
        <v>1.1210310000000001</v>
      </c>
      <c r="L690">
        <v>366.7774</v>
      </c>
      <c r="M690">
        <v>0.99990049999999997</v>
      </c>
      <c r="N690">
        <v>-1.359571E-2</v>
      </c>
      <c r="O690">
        <v>-3.7876920000000001E-3</v>
      </c>
      <c r="P690">
        <v>0.98662289999999997</v>
      </c>
      <c r="Q690">
        <v>0.1625733</v>
      </c>
      <c r="R690">
        <v>-1.2051579999999999E-2</v>
      </c>
      <c r="S690">
        <v>3.063904</v>
      </c>
      <c r="T690">
        <v>-0.1397138</v>
      </c>
      <c r="U690">
        <v>3.2501219999999997E-2</v>
      </c>
      <c r="V690">
        <v>8.3089029999999994E-3</v>
      </c>
      <c r="W690">
        <v>0.17597289999999999</v>
      </c>
      <c r="X690">
        <v>0.98435989999999995</v>
      </c>
      <c r="Y690">
        <v>-1.437361E-2</v>
      </c>
      <c r="Z690">
        <v>5.4646709999999995E-4</v>
      </c>
      <c r="AA690">
        <v>0.99989649999999997</v>
      </c>
      <c r="AB690">
        <v>23</v>
      </c>
      <c r="AC690">
        <v>24.380199999999999</v>
      </c>
      <c r="AD690">
        <v>-1.12103493726599</v>
      </c>
      <c r="AE690">
        <v>0.261500000000012</v>
      </c>
      <c r="AF690">
        <v>-0.35310486008883202</v>
      </c>
      <c r="AG690">
        <v>-1.12103493726599</v>
      </c>
      <c r="AH690">
        <v>24.327604905863101</v>
      </c>
      <c r="AI690">
        <v>92.638090146768803</v>
      </c>
      <c r="AJ690">
        <v>90.831565529334895</v>
      </c>
      <c r="AK690">
        <v>24.3559800219282</v>
      </c>
      <c r="AL690">
        <v>79.864719711129098</v>
      </c>
      <c r="AM690">
        <v>89.5163824040782</v>
      </c>
      <c r="AN690">
        <v>0.99999995606573999</v>
      </c>
    </row>
    <row r="691" spans="1:40" x14ac:dyDescent="0.25">
      <c r="A691" t="str">
        <f>"20190303162225822"</f>
        <v>20190303162225822</v>
      </c>
      <c r="B691" t="str">
        <f>"1551601345814855"</f>
        <v>1551601345814855</v>
      </c>
      <c r="C691" t="s">
        <v>40</v>
      </c>
      <c r="D691">
        <v>5.3939700000000004</v>
      </c>
      <c r="E691">
        <v>0.49040309999999998</v>
      </c>
      <c r="F691" t="s">
        <v>41</v>
      </c>
      <c r="G691">
        <v>-321.81049999999999</v>
      </c>
      <c r="H691" s="1">
        <v>-3.9511810000000001E-6</v>
      </c>
      <c r="I691">
        <v>367.048</v>
      </c>
      <c r="J691">
        <v>-346.00049999999999</v>
      </c>
      <c r="K691">
        <v>1.1210310000000001</v>
      </c>
      <c r="L691">
        <v>366.77659999999997</v>
      </c>
      <c r="M691">
        <v>0.99990060000000003</v>
      </c>
      <c r="N691">
        <v>-1.3592089999999999E-2</v>
      </c>
      <c r="O691">
        <v>-3.7441599999999998E-3</v>
      </c>
      <c r="P691">
        <v>0.98666430000000005</v>
      </c>
      <c r="Q691">
        <v>0.16230729999999999</v>
      </c>
      <c r="R691">
        <v>-1.225528E-2</v>
      </c>
      <c r="S691">
        <v>3.0643009999999999</v>
      </c>
      <c r="T691">
        <v>-0.14069119999999999</v>
      </c>
      <c r="U691">
        <v>3.3966059999999999E-2</v>
      </c>
      <c r="V691">
        <v>8.5552359999999904E-3</v>
      </c>
      <c r="W691">
        <v>0.1757039</v>
      </c>
      <c r="X691">
        <v>0.98440589999999994</v>
      </c>
      <c r="Y691">
        <v>-1.4805789999999999E-2</v>
      </c>
      <c r="Z691">
        <v>5.6133439999999995E-4</v>
      </c>
      <c r="AA691">
        <v>0.99989019999999995</v>
      </c>
      <c r="AB691">
        <v>23</v>
      </c>
      <c r="AC691">
        <v>24.19</v>
      </c>
      <c r="AD691">
        <v>-1.1210349511809901</v>
      </c>
      <c r="AE691">
        <v>0.27140000000002801</v>
      </c>
      <c r="AF691">
        <v>-0.36120205292096003</v>
      </c>
      <c r="AG691">
        <v>-1.1210349511809901</v>
      </c>
      <c r="AH691">
        <v>24.1369825208753</v>
      </c>
      <c r="AI691">
        <v>92.658877165542094</v>
      </c>
      <c r="AJ691">
        <v>90.857348615321101</v>
      </c>
      <c r="AK691">
        <v>24.1657011381388</v>
      </c>
      <c r="AL691">
        <v>79.880376814888095</v>
      </c>
      <c r="AM691">
        <v>89.502068633337501</v>
      </c>
      <c r="AN691">
        <v>1.00000001424651</v>
      </c>
    </row>
    <row r="692" spans="1:40" x14ac:dyDescent="0.25">
      <c r="A692" t="str">
        <f>"20190303162225845"</f>
        <v>20190303162225845</v>
      </c>
      <c r="B692" t="str">
        <f>"1551601345835351"</f>
        <v>1551601345835351</v>
      </c>
      <c r="C692" t="s">
        <v>40</v>
      </c>
      <c r="D692">
        <v>5.4566309999999998</v>
      </c>
      <c r="E692">
        <v>0.49001820000000001</v>
      </c>
      <c r="F692" t="s">
        <v>41</v>
      </c>
      <c r="G692">
        <v>-321.9683</v>
      </c>
      <c r="H692" s="1">
        <v>-3.8778910000000001E-6</v>
      </c>
      <c r="I692">
        <v>367.0795</v>
      </c>
      <c r="J692">
        <v>-345.77640000000002</v>
      </c>
      <c r="K692">
        <v>1.121035</v>
      </c>
      <c r="L692">
        <v>366.7758</v>
      </c>
      <c r="M692">
        <v>0.99990089999999998</v>
      </c>
      <c r="N692">
        <v>-1.358851E-2</v>
      </c>
      <c r="O692">
        <v>-3.7007530000000002E-3</v>
      </c>
      <c r="P692">
        <v>0.98662629999999996</v>
      </c>
      <c r="Q692">
        <v>0.16250800000000001</v>
      </c>
      <c r="R692">
        <v>-1.265529E-2</v>
      </c>
      <c r="S692">
        <v>3.0645449999999999</v>
      </c>
      <c r="T692">
        <v>-0.14295169999999999</v>
      </c>
      <c r="U692">
        <v>3.8635250000000003E-2</v>
      </c>
      <c r="V692">
        <v>8.9984739999999994E-3</v>
      </c>
      <c r="W692">
        <v>0.17590059999999999</v>
      </c>
      <c r="X692">
        <v>0.98436679999999999</v>
      </c>
      <c r="Y692">
        <v>-1.6281999999999901E-2</v>
      </c>
      <c r="Z692">
        <v>6.1250330000000002E-4</v>
      </c>
      <c r="AA692">
        <v>0.99986730000000001</v>
      </c>
      <c r="AB692">
        <v>23</v>
      </c>
      <c r="AC692">
        <v>23.8081</v>
      </c>
      <c r="AD692">
        <v>-1.1210388778910001</v>
      </c>
      <c r="AE692">
        <v>0.30369999999999198</v>
      </c>
      <c r="AF692">
        <v>-0.39094730487275298</v>
      </c>
      <c r="AG692">
        <v>-1.1210388778910001</v>
      </c>
      <c r="AH692">
        <v>23.7541553455785</v>
      </c>
      <c r="AI692">
        <v>92.701611396484495</v>
      </c>
      <c r="AJ692">
        <v>90.942892228258003</v>
      </c>
      <c r="AK692">
        <v>23.783806763064799</v>
      </c>
      <c r="AL692">
        <v>79.868928238197398</v>
      </c>
      <c r="AM692">
        <v>89.476251919845197</v>
      </c>
      <c r="AN692">
        <v>0.99999999527846395</v>
      </c>
    </row>
    <row r="693" spans="1:40" x14ac:dyDescent="0.25">
      <c r="A693" t="str">
        <f>"20190303162225866"</f>
        <v>20190303162225866</v>
      </c>
      <c r="B693" t="str">
        <f>"1551601345855267"</f>
        <v>1551601345855267</v>
      </c>
      <c r="C693" t="s">
        <v>40</v>
      </c>
      <c r="D693">
        <v>5.3873379999999997</v>
      </c>
      <c r="E693">
        <v>0.48962830000000002</v>
      </c>
      <c r="F693" t="s">
        <v>41</v>
      </c>
      <c r="G693">
        <v>-321.76870000000002</v>
      </c>
      <c r="H693" s="1">
        <v>-3.9606200000000004E-6</v>
      </c>
      <c r="I693">
        <v>367.09589999999997</v>
      </c>
      <c r="J693">
        <v>-345.54829999999998</v>
      </c>
      <c r="K693">
        <v>1.1210359999999999</v>
      </c>
      <c r="L693">
        <v>366.77499999999998</v>
      </c>
      <c r="M693">
        <v>0.99990120000000005</v>
      </c>
      <c r="N693">
        <v>-1.3584890000000001E-2</v>
      </c>
      <c r="O693">
        <v>-3.6571009999999998E-3</v>
      </c>
      <c r="P693">
        <v>0.98665230000000004</v>
      </c>
      <c r="Q693">
        <v>0.1622914</v>
      </c>
      <c r="R693">
        <v>-1.3378030000000001E-2</v>
      </c>
      <c r="S693">
        <v>3.0647280000000001</v>
      </c>
      <c r="T693">
        <v>-0.14310680000000001</v>
      </c>
      <c r="U693">
        <v>4.0863040000000003E-2</v>
      </c>
      <c r="V693">
        <v>9.7643450000000007E-3</v>
      </c>
      <c r="W693">
        <v>0.175681</v>
      </c>
      <c r="X693">
        <v>0.98439869999999996</v>
      </c>
      <c r="Y693">
        <v>-1.6963309999999999E-2</v>
      </c>
      <c r="Z693">
        <v>6.3213530000000003E-4</v>
      </c>
      <c r="AA693">
        <v>0.99985590000000002</v>
      </c>
      <c r="AB693">
        <v>22</v>
      </c>
      <c r="AC693">
        <v>23.779599999999899</v>
      </c>
      <c r="AD693">
        <v>-1.1210399606200001</v>
      </c>
      <c r="AE693">
        <v>0.32089999999999402</v>
      </c>
      <c r="AF693">
        <v>-0.40696596471868801</v>
      </c>
      <c r="AG693">
        <v>-1.1210399606200001</v>
      </c>
      <c r="AH693">
        <v>23.725547902914801</v>
      </c>
      <c r="AI693">
        <v>92.704835142558593</v>
      </c>
      <c r="AJ693">
        <v>90.982702098349804</v>
      </c>
      <c r="AK693">
        <v>23.755504102907398</v>
      </c>
      <c r="AL693">
        <v>79.881709253113598</v>
      </c>
      <c r="AM693">
        <v>89.431696312382698</v>
      </c>
      <c r="AN693">
        <v>0.99999997837798404</v>
      </c>
    </row>
    <row r="694" spans="1:40" x14ac:dyDescent="0.25">
      <c r="A694" t="str">
        <f>"20190303162225890"</f>
        <v>20190303162225890</v>
      </c>
      <c r="B694" t="str">
        <f>"1551601345885523"</f>
        <v>1551601345885523</v>
      </c>
      <c r="C694" t="s">
        <v>40</v>
      </c>
      <c r="D694">
        <v>5.4062279999999996</v>
      </c>
      <c r="E694">
        <v>0.4891277</v>
      </c>
      <c r="F694" t="s">
        <v>41</v>
      </c>
      <c r="G694">
        <v>-321.74869999999999</v>
      </c>
      <c r="H694" s="1">
        <v>-3.9683200000000003E-6</v>
      </c>
      <c r="I694">
        <v>367.10079999999999</v>
      </c>
      <c r="J694">
        <v>-345.31709999999998</v>
      </c>
      <c r="K694">
        <v>1.1210290000000001</v>
      </c>
      <c r="L694">
        <v>366.77420000000001</v>
      </c>
      <c r="M694">
        <v>0.99990140000000005</v>
      </c>
      <c r="N694">
        <v>-1.358121E-2</v>
      </c>
      <c r="O694">
        <v>-3.613209E-3</v>
      </c>
      <c r="P694">
        <v>0.98666140000000002</v>
      </c>
      <c r="Q694">
        <v>0.16219890000000001</v>
      </c>
      <c r="R694">
        <v>-1.3818570000000001E-2</v>
      </c>
      <c r="S694">
        <v>3.0649109999999999</v>
      </c>
      <c r="T694">
        <v>-0.14436669999999999</v>
      </c>
      <c r="U694">
        <v>4.196167E-2</v>
      </c>
      <c r="V694">
        <v>1.0248210000000001E-2</v>
      </c>
      <c r="W694">
        <v>0.1755852</v>
      </c>
      <c r="X694">
        <v>0.98441089999999998</v>
      </c>
      <c r="Y694">
        <v>-1.7276110000000001E-2</v>
      </c>
      <c r="Z694">
        <v>6.4508410000000001E-4</v>
      </c>
      <c r="AA694">
        <v>0.99985060000000003</v>
      </c>
      <c r="AB694">
        <v>22</v>
      </c>
      <c r="AC694">
        <v>23.5684</v>
      </c>
      <c r="AD694">
        <v>-1.12103296832</v>
      </c>
      <c r="AE694">
        <v>0.32659999999998401</v>
      </c>
      <c r="AF694">
        <v>-0.41083395634814202</v>
      </c>
      <c r="AG694">
        <v>-1.12103296832</v>
      </c>
      <c r="AH694">
        <v>23.513877480729899</v>
      </c>
      <c r="AI694">
        <v>92.729115209410594</v>
      </c>
      <c r="AJ694">
        <v>91.000968767558007</v>
      </c>
      <c r="AK694">
        <v>23.5441698438175</v>
      </c>
      <c r="AL694">
        <v>79.887285121215797</v>
      </c>
      <c r="AM694">
        <v>89.403543815487197</v>
      </c>
      <c r="AN694">
        <v>1.0000000041530199</v>
      </c>
    </row>
    <row r="695" spans="1:40" x14ac:dyDescent="0.25">
      <c r="A695" t="str">
        <f>"20190303162225903"</f>
        <v>20190303162225903</v>
      </c>
      <c r="B695" t="str">
        <f>"1551601345895284"</f>
        <v>1551601345895284</v>
      </c>
      <c r="C695" t="s">
        <v>40</v>
      </c>
      <c r="D695">
        <v>5.4677959999999999</v>
      </c>
      <c r="E695">
        <v>0.48897750000000001</v>
      </c>
      <c r="F695" t="s">
        <v>41</v>
      </c>
      <c r="G695">
        <v>-321.78980000000001</v>
      </c>
      <c r="H695" s="1">
        <v>-3.9475230000000003E-6</v>
      </c>
      <c r="I695">
        <v>367.11869999999999</v>
      </c>
      <c r="J695">
        <v>-345.1841</v>
      </c>
      <c r="K695">
        <v>1.1210279999999999</v>
      </c>
      <c r="L695">
        <v>366.77370000000002</v>
      </c>
      <c r="M695">
        <v>0.9999015</v>
      </c>
      <c r="N695">
        <v>-1.357908E-2</v>
      </c>
      <c r="O695">
        <v>-3.5874499999999998E-3</v>
      </c>
      <c r="P695">
        <v>0.9866743</v>
      </c>
      <c r="Q695">
        <v>0.1621001</v>
      </c>
      <c r="R695">
        <v>-1.406663E-2</v>
      </c>
      <c r="S695">
        <v>3.0652159999999999</v>
      </c>
      <c r="T695">
        <v>-0.1460514</v>
      </c>
      <c r="U695">
        <v>4.4891359999999998E-2</v>
      </c>
      <c r="V695">
        <v>1.052148E-2</v>
      </c>
      <c r="W695">
        <v>0.17548429999999901</v>
      </c>
      <c r="X695">
        <v>0.98442600000000002</v>
      </c>
      <c r="Y695">
        <v>-1.820252E-2</v>
      </c>
      <c r="Z695">
        <v>6.7921259999999999E-4</v>
      </c>
      <c r="AA695">
        <v>0.99983409999999995</v>
      </c>
      <c r="AB695">
        <v>22</v>
      </c>
      <c r="AC695">
        <v>23.394299999999902</v>
      </c>
      <c r="AD695">
        <v>-1.1210319475229999</v>
      </c>
      <c r="AE695">
        <v>0.34499999999997</v>
      </c>
      <c r="AF695">
        <v>-0.42794893178028098</v>
      </c>
      <c r="AG695">
        <v>-1.1210319475229999</v>
      </c>
      <c r="AH695">
        <v>23.3393307693343</v>
      </c>
      <c r="AI695">
        <v>92.749449154895601</v>
      </c>
      <c r="AJ695">
        <v>91.050455153912594</v>
      </c>
      <c r="AK695">
        <v>23.370156475213701</v>
      </c>
      <c r="AL695">
        <v>79.893157352911302</v>
      </c>
      <c r="AM695">
        <v>89.387649812768103</v>
      </c>
      <c r="AN695">
        <v>0.99999999528193995</v>
      </c>
    </row>
    <row r="696" spans="1:40" x14ac:dyDescent="0.25">
      <c r="A696" t="str">
        <f>"20190303162225921"</f>
        <v>20190303162225921</v>
      </c>
      <c r="B696" t="str">
        <f>"1551601345914804"</f>
        <v>1551601345914804</v>
      </c>
      <c r="C696" t="s">
        <v>40</v>
      </c>
      <c r="D696">
        <v>5.4695019999999896</v>
      </c>
      <c r="E696">
        <v>0.48877209999999899</v>
      </c>
      <c r="F696" t="s">
        <v>41</v>
      </c>
      <c r="G696">
        <v>-321.82510000000002</v>
      </c>
      <c r="H696" s="1">
        <v>-3.9327469999999999E-6</v>
      </c>
      <c r="I696">
        <v>367.11669999999998</v>
      </c>
      <c r="J696">
        <v>-344.99349999999998</v>
      </c>
      <c r="K696">
        <v>1.1210370000000001</v>
      </c>
      <c r="L696">
        <v>366.7731</v>
      </c>
      <c r="M696">
        <v>0.9999015</v>
      </c>
      <c r="N696">
        <v>-1.3576120000000001E-2</v>
      </c>
      <c r="O696">
        <v>-3.550835E-3</v>
      </c>
      <c r="P696">
        <v>0.98668160000000005</v>
      </c>
      <c r="Q696">
        <v>0.1620491</v>
      </c>
      <c r="R696">
        <v>-1.412101E-2</v>
      </c>
      <c r="S696">
        <v>3.0653079999999999</v>
      </c>
      <c r="T696">
        <v>-0.14710809999999999</v>
      </c>
      <c r="U696">
        <v>4.501343E-2</v>
      </c>
      <c r="V696">
        <v>1.0612129999999999E-2</v>
      </c>
      <c r="W696">
        <v>0.17543029999999901</v>
      </c>
      <c r="X696">
        <v>0.9844347</v>
      </c>
      <c r="Y696">
        <v>-1.8204919999999999E-2</v>
      </c>
      <c r="Z696">
        <v>6.8236060000000001E-4</v>
      </c>
      <c r="AA696">
        <v>0.99983409999999995</v>
      </c>
      <c r="AB696">
        <v>22</v>
      </c>
      <c r="AC696">
        <v>23.168399999999899</v>
      </c>
      <c r="AD696">
        <v>-1.1210409327469999</v>
      </c>
      <c r="AE696">
        <v>0.34359999999997998</v>
      </c>
      <c r="AF696">
        <v>-0.42487805040222698</v>
      </c>
      <c r="AG696">
        <v>-1.1210409327469999</v>
      </c>
      <c r="AH696">
        <v>23.112932099839298</v>
      </c>
      <c r="AI696">
        <v>92.776358807726197</v>
      </c>
      <c r="AJ696">
        <v>91.053132395356698</v>
      </c>
      <c r="AK696">
        <v>23.144003205633801</v>
      </c>
      <c r="AL696">
        <v>79.896300565301203</v>
      </c>
      <c r="AM696">
        <v>89.382379847152293</v>
      </c>
      <c r="AN696">
        <v>1.0000000430126501</v>
      </c>
    </row>
    <row r="697" spans="1:40" x14ac:dyDescent="0.25">
      <c r="A697" t="str">
        <f>"20190303162225935"</f>
        <v>20190303162225935</v>
      </c>
      <c r="B697" t="str">
        <f>"1551601345925539"</f>
        <v>1551601345925539</v>
      </c>
      <c r="C697" t="s">
        <v>40</v>
      </c>
      <c r="D697">
        <v>5.4093419999999997</v>
      </c>
      <c r="E697">
        <v>0.48863259999999997</v>
      </c>
      <c r="F697" t="s">
        <v>41</v>
      </c>
      <c r="G697">
        <v>-321.80919999999998</v>
      </c>
      <c r="H697" s="1">
        <v>-3.938399E-6</v>
      </c>
      <c r="I697">
        <v>367.1232</v>
      </c>
      <c r="J697">
        <v>-344.86829999999998</v>
      </c>
      <c r="K697">
        <v>1.1210359999999999</v>
      </c>
      <c r="L697">
        <v>366.77269999999999</v>
      </c>
      <c r="M697">
        <v>0.9999017</v>
      </c>
      <c r="N697">
        <v>-1.357421E-2</v>
      </c>
      <c r="O697">
        <v>-3.5268629999999999E-3</v>
      </c>
      <c r="P697">
        <v>0.98667510000000003</v>
      </c>
      <c r="Q697">
        <v>0.16209789999999999</v>
      </c>
      <c r="R697">
        <v>-1.4018869999999999E-2</v>
      </c>
      <c r="S697">
        <v>3.0654910000000002</v>
      </c>
      <c r="T697">
        <v>-0.14822669999999999</v>
      </c>
      <c r="U697">
        <v>4.6295169999999997E-2</v>
      </c>
      <c r="V697">
        <v>1.0533789999999999E-2</v>
      </c>
      <c r="W697">
        <v>0.1754772</v>
      </c>
      <c r="X697">
        <v>0.98442719999999995</v>
      </c>
      <c r="Y697">
        <v>-1.859705E-2</v>
      </c>
      <c r="Z697">
        <v>6.9822799999999996E-4</v>
      </c>
      <c r="AA697">
        <v>0.99982680000000002</v>
      </c>
      <c r="AB697">
        <v>22</v>
      </c>
      <c r="AC697">
        <v>23.059100000000001</v>
      </c>
      <c r="AD697">
        <v>-1.121039938399</v>
      </c>
      <c r="AE697">
        <v>0.35050000000001003</v>
      </c>
      <c r="AF697">
        <v>-0.430813598421876</v>
      </c>
      <c r="AG697">
        <v>-1.121039938399</v>
      </c>
      <c r="AH697">
        <v>23.0033641552387</v>
      </c>
      <c r="AI697">
        <v>92.789541794471205</v>
      </c>
      <c r="AJ697">
        <v>91.072926353286306</v>
      </c>
      <c r="AK697">
        <v>23.034693255144301</v>
      </c>
      <c r="AL697">
        <v>79.893571228567097</v>
      </c>
      <c r="AM697">
        <v>89.386934172619604</v>
      </c>
      <c r="AN697">
        <v>1.00000006027572</v>
      </c>
    </row>
    <row r="698" spans="1:40" x14ac:dyDescent="0.25">
      <c r="A698" t="str">
        <f>"20190303162225961"</f>
        <v>20190303162225961</v>
      </c>
      <c r="B698" t="str">
        <f>"1551601345945060"</f>
        <v>1551601345945060</v>
      </c>
      <c r="C698" t="s">
        <v>40</v>
      </c>
      <c r="D698">
        <v>5.2792629999999896</v>
      </c>
      <c r="E698">
        <v>0.48849229999999999</v>
      </c>
      <c r="F698" t="s">
        <v>41</v>
      </c>
      <c r="G698">
        <v>-321.63740000000001</v>
      </c>
      <c r="H698" s="1">
        <v>-4.0099679999999997E-6</v>
      </c>
      <c r="I698">
        <v>367.13529999999997</v>
      </c>
      <c r="J698">
        <v>-344.6026</v>
      </c>
      <c r="K698">
        <v>1.121038</v>
      </c>
      <c r="L698">
        <v>366.77179999999998</v>
      </c>
      <c r="M698">
        <v>0.99990199999999996</v>
      </c>
      <c r="N698">
        <v>-1.357014E-2</v>
      </c>
      <c r="O698">
        <v>-3.4759360000000002E-3</v>
      </c>
      <c r="P698">
        <v>0.98669629999999997</v>
      </c>
      <c r="Q698">
        <v>0.1620016</v>
      </c>
      <c r="R698">
        <v>-1.362851E-2</v>
      </c>
      <c r="S698">
        <v>3.0654910000000002</v>
      </c>
      <c r="T698">
        <v>-0.14792859999999999</v>
      </c>
      <c r="U698">
        <v>4.7851560000000001E-2</v>
      </c>
      <c r="V698">
        <v>1.0193489999999999E-2</v>
      </c>
      <c r="W698">
        <v>0.17537720000000001</v>
      </c>
      <c r="X698">
        <v>0.98444860000000001</v>
      </c>
      <c r="Y698">
        <v>-1.90531E-2</v>
      </c>
      <c r="Z698">
        <v>7.0928549999999999E-4</v>
      </c>
      <c r="AA698">
        <v>0.99981819999999999</v>
      </c>
      <c r="AB698">
        <v>22</v>
      </c>
      <c r="AC698">
        <v>22.9651999999999</v>
      </c>
      <c r="AD698">
        <v>-1.1210420099680001</v>
      </c>
      <c r="AE698">
        <v>0.363499999999987</v>
      </c>
      <c r="AF698">
        <v>-0.44227707839506702</v>
      </c>
      <c r="AG698">
        <v>-1.1210420099680001</v>
      </c>
      <c r="AH698">
        <v>22.909221225868102</v>
      </c>
      <c r="AI698">
        <v>92.800961366861003</v>
      </c>
      <c r="AJ698">
        <v>91.105994054056197</v>
      </c>
      <c r="AK698">
        <v>22.940897135420698</v>
      </c>
      <c r="AL698">
        <v>79.899391032240402</v>
      </c>
      <c r="AM698">
        <v>89.406751064612294</v>
      </c>
      <c r="AN698">
        <v>1.0000000577800801</v>
      </c>
    </row>
    <row r="699" spans="1:40" x14ac:dyDescent="0.25">
      <c r="A699" t="str">
        <f>"20190303162225978"</f>
        <v>20190303162225978</v>
      </c>
      <c r="B699" t="str">
        <f>"1551601345964617"</f>
        <v>1551601345964617</v>
      </c>
      <c r="C699" t="s">
        <v>40</v>
      </c>
      <c r="D699">
        <v>5.465535</v>
      </c>
      <c r="E699">
        <v>0.48824240000000002</v>
      </c>
      <c r="F699" t="s">
        <v>41</v>
      </c>
      <c r="G699">
        <v>-321.38900000000001</v>
      </c>
      <c r="H699" s="1">
        <v>-4.1137140000000001E-6</v>
      </c>
      <c r="I699">
        <v>367.15100000000001</v>
      </c>
      <c r="J699">
        <v>-344.43920000000003</v>
      </c>
      <c r="K699">
        <v>1.121038</v>
      </c>
      <c r="L699">
        <v>366.7713</v>
      </c>
      <c r="M699">
        <v>0.99990210000000002</v>
      </c>
      <c r="N699">
        <v>-1.356766E-2</v>
      </c>
      <c r="O699">
        <v>-3.4445690000000002E-3</v>
      </c>
      <c r="P699">
        <v>0.98672579999999999</v>
      </c>
      <c r="Q699">
        <v>0.1618532</v>
      </c>
      <c r="R699">
        <v>-1.3260630000000001E-2</v>
      </c>
      <c r="S699">
        <v>3.0654910000000002</v>
      </c>
      <c r="T699">
        <v>-0.1480399</v>
      </c>
      <c r="U699">
        <v>5.0079350000000002E-2</v>
      </c>
      <c r="V699">
        <v>9.8563939999999992E-3</v>
      </c>
      <c r="W699">
        <v>0.17522699999999999</v>
      </c>
      <c r="X699">
        <v>0.98447870000000004</v>
      </c>
      <c r="Y699">
        <v>-1.974708E-2</v>
      </c>
      <c r="Z699">
        <v>7.3010909999999998E-4</v>
      </c>
      <c r="AA699">
        <v>0.99980469999999999</v>
      </c>
      <c r="AB699">
        <v>22</v>
      </c>
      <c r="AC699">
        <v>23.0502</v>
      </c>
      <c r="AD699">
        <v>-1.1210421137140001</v>
      </c>
      <c r="AE699">
        <v>0.37970000000001303</v>
      </c>
      <c r="AF699">
        <v>-0.458019972751535</v>
      </c>
      <c r="AG699">
        <v>-1.1210421137140001</v>
      </c>
      <c r="AH699">
        <v>22.994380321827101</v>
      </c>
      <c r="AI699">
        <v>92.790571272833702</v>
      </c>
      <c r="AJ699">
        <v>91.141111053091706</v>
      </c>
      <c r="AK699">
        <v>23.026246852255099</v>
      </c>
      <c r="AL699">
        <v>79.908131428630895</v>
      </c>
      <c r="AM699">
        <v>89.426385852926003</v>
      </c>
      <c r="AN699">
        <v>0.99999998039268601</v>
      </c>
    </row>
    <row r="700" spans="1:40" x14ac:dyDescent="0.25">
      <c r="A700" t="str">
        <f>"20190303162226000"</f>
        <v>20190303162226000</v>
      </c>
      <c r="B700" t="str">
        <f>"1551601345994873"</f>
        <v>1551601345994873</v>
      </c>
      <c r="C700" t="s">
        <v>40</v>
      </c>
      <c r="D700">
        <v>5.4668999999999999</v>
      </c>
      <c r="E700">
        <v>0.48785149999999999</v>
      </c>
      <c r="F700" t="s">
        <v>41</v>
      </c>
      <c r="G700">
        <v>-321.26949999999999</v>
      </c>
      <c r="H700" s="1">
        <v>-4.1611069999999998E-6</v>
      </c>
      <c r="I700">
        <v>367.17290000000003</v>
      </c>
      <c r="J700">
        <v>-344.21190000000001</v>
      </c>
      <c r="K700">
        <v>1.121035</v>
      </c>
      <c r="L700">
        <v>366.7706</v>
      </c>
      <c r="M700">
        <v>0.99990239999999997</v>
      </c>
      <c r="N700">
        <v>-1.356105E-2</v>
      </c>
      <c r="O700">
        <v>-3.400896E-3</v>
      </c>
      <c r="P700">
        <v>0.98677780000000004</v>
      </c>
      <c r="Q700">
        <v>0.16154540000000001</v>
      </c>
      <c r="R700">
        <v>-1.3152189999999999E-2</v>
      </c>
      <c r="S700">
        <v>3.0653990000000002</v>
      </c>
      <c r="T700">
        <v>-0.14831569999999999</v>
      </c>
      <c r="U700">
        <v>5.3131100000000001E-2</v>
      </c>
      <c r="V700">
        <v>9.7909060000000003E-3</v>
      </c>
      <c r="W700">
        <v>0.1749134</v>
      </c>
      <c r="X700">
        <v>0.98453520000000005</v>
      </c>
      <c r="Y700">
        <v>-2.0697460000000001E-2</v>
      </c>
      <c r="Z700">
        <v>7.5918449999999897E-4</v>
      </c>
      <c r="AA700">
        <v>0.99978549999999999</v>
      </c>
      <c r="AB700">
        <v>22</v>
      </c>
      <c r="AC700">
        <v>22.942399999999999</v>
      </c>
      <c r="AD700">
        <v>-1.1210391611069901</v>
      </c>
      <c r="AE700">
        <v>0.40230000000002503</v>
      </c>
      <c r="AF700">
        <v>-0.47918579565805902</v>
      </c>
      <c r="AG700">
        <v>-1.1210391611069901</v>
      </c>
      <c r="AH700">
        <v>22.886272235675001</v>
      </c>
      <c r="AI700">
        <v>92.803666521860706</v>
      </c>
      <c r="AJ700">
        <v>91.199466319648494</v>
      </c>
      <c r="AK700">
        <v>22.918721706782101</v>
      </c>
      <c r="AL700">
        <v>79.9263820435567</v>
      </c>
      <c r="AM700">
        <v>89.430229513886303</v>
      </c>
      <c r="AN700">
        <v>1.0000000596894401</v>
      </c>
    </row>
    <row r="701" spans="1:40" x14ac:dyDescent="0.25">
      <c r="A701" t="str">
        <f>"20190303162226013"</f>
        <v>20190303162226013</v>
      </c>
      <c r="B701" t="str">
        <f>"1551601346004634"</f>
        <v>1551601346004634</v>
      </c>
      <c r="C701" t="s">
        <v>40</v>
      </c>
      <c r="D701">
        <v>5.460858</v>
      </c>
      <c r="E701">
        <v>0.48779850000000002</v>
      </c>
      <c r="F701" t="s">
        <v>41</v>
      </c>
      <c r="G701">
        <v>-321.05009999999999</v>
      </c>
      <c r="H701" s="1">
        <v>-4.2510249999999997E-6</v>
      </c>
      <c r="I701">
        <v>367.19670000000002</v>
      </c>
      <c r="J701">
        <v>-344.0899</v>
      </c>
      <c r="K701">
        <v>1.1210329999999999</v>
      </c>
      <c r="L701">
        <v>366.77019999999999</v>
      </c>
      <c r="M701">
        <v>0.99990239999999997</v>
      </c>
      <c r="N701">
        <v>-1.3554790000000001E-2</v>
      </c>
      <c r="O701">
        <v>-3.3776069999999999E-3</v>
      </c>
      <c r="P701">
        <v>0.98681149999999995</v>
      </c>
      <c r="Q701">
        <v>0.16133789999999901</v>
      </c>
      <c r="R701">
        <v>-1.3171E-2</v>
      </c>
      <c r="S701">
        <v>3.0652469999999998</v>
      </c>
      <c r="T701">
        <v>-0.14835870000000001</v>
      </c>
      <c r="U701">
        <v>5.6396479999999999E-2</v>
      </c>
      <c r="V701">
        <v>9.8326100000000003E-3</v>
      </c>
      <c r="W701">
        <v>0.17469979999999999</v>
      </c>
      <c r="X701">
        <v>0.98457260000000002</v>
      </c>
      <c r="Y701">
        <v>-2.1738179999999999E-2</v>
      </c>
      <c r="Z701">
        <v>7.9077949999999998E-4</v>
      </c>
      <c r="AA701">
        <v>0.99976339999999997</v>
      </c>
      <c r="AB701">
        <v>22</v>
      </c>
      <c r="AC701">
        <v>23.0398</v>
      </c>
      <c r="AD701">
        <v>-1.121037251025</v>
      </c>
      <c r="AE701">
        <v>0.42650000000003202</v>
      </c>
      <c r="AF701">
        <v>-0.50313336822986199</v>
      </c>
      <c r="AG701">
        <v>-1.121037251025</v>
      </c>
      <c r="AH701">
        <v>22.983833202335099</v>
      </c>
      <c r="AI701">
        <v>92.791722874997106</v>
      </c>
      <c r="AJ701">
        <v>91.254047349459796</v>
      </c>
      <c r="AK701">
        <v>23.0166560641891</v>
      </c>
      <c r="AL701">
        <v>79.938810715365094</v>
      </c>
      <c r="AM701">
        <v>89.427824492763307</v>
      </c>
      <c r="AN701">
        <v>0.99999995250510398</v>
      </c>
    </row>
    <row r="702" spans="1:40" x14ac:dyDescent="0.25">
      <c r="A702" t="str">
        <f>"20190303162226027"</f>
        <v>20190303162226027</v>
      </c>
      <c r="B702" t="str">
        <f>"1551601346015369"</f>
        <v>1551601346015369</v>
      </c>
      <c r="C702" t="s">
        <v>40</v>
      </c>
      <c r="D702">
        <v>5.5767959999999999</v>
      </c>
      <c r="E702">
        <v>0.48792059999999998</v>
      </c>
      <c r="F702" t="s">
        <v>41</v>
      </c>
      <c r="G702">
        <v>-321.05349999999999</v>
      </c>
      <c r="H702" s="1">
        <v>-4.2494320000000004E-6</v>
      </c>
      <c r="I702">
        <v>367.19740000000002</v>
      </c>
      <c r="J702">
        <v>-343.9606</v>
      </c>
      <c r="K702">
        <v>1.121032</v>
      </c>
      <c r="L702">
        <v>366.76979999999998</v>
      </c>
      <c r="M702">
        <v>0.99990259999999997</v>
      </c>
      <c r="N702">
        <v>-1.354723E-2</v>
      </c>
      <c r="O702">
        <v>-3.3529979999999998E-3</v>
      </c>
      <c r="P702">
        <v>0.98686359999999995</v>
      </c>
      <c r="Q702">
        <v>0.16101079999999901</v>
      </c>
      <c r="R702">
        <v>-1.326491E-2</v>
      </c>
      <c r="S702">
        <v>3.0652469999999998</v>
      </c>
      <c r="T702">
        <v>-0.14916559999999901</v>
      </c>
      <c r="U702">
        <v>5.6854250000000002E-2</v>
      </c>
      <c r="V702">
        <v>9.9505689999999994E-3</v>
      </c>
      <c r="W702">
        <v>0.1743664</v>
      </c>
      <c r="X702">
        <v>0.98463060000000002</v>
      </c>
      <c r="Y702">
        <v>-2.1862309999999999E-2</v>
      </c>
      <c r="Z702">
        <v>7.9746329999999999E-4</v>
      </c>
      <c r="AA702">
        <v>0.99976069999999995</v>
      </c>
      <c r="AB702">
        <v>22</v>
      </c>
      <c r="AC702">
        <v>22.9071</v>
      </c>
      <c r="AD702">
        <v>-1.1210362494320001</v>
      </c>
      <c r="AE702">
        <v>0.42760000000004</v>
      </c>
      <c r="AF702">
        <v>-0.50320736226243801</v>
      </c>
      <c r="AG702">
        <v>-1.1210362494320001</v>
      </c>
      <c r="AH702">
        <v>22.850829471131501</v>
      </c>
      <c r="AI702">
        <v>92.807935682931998</v>
      </c>
      <c r="AJ702">
        <v>91.2615296484704</v>
      </c>
      <c r="AK702">
        <v>22.883844682236099</v>
      </c>
      <c r="AL702">
        <v>79.958211752611305</v>
      </c>
      <c r="AM702">
        <v>89.420994838213701</v>
      </c>
      <c r="AN702">
        <v>1.00000003686437</v>
      </c>
    </row>
    <row r="703" spans="1:40" x14ac:dyDescent="0.25">
      <c r="A703" t="str">
        <f>"20190303162226046"</f>
        <v>20190303162226046</v>
      </c>
      <c r="B703" t="str">
        <f>"1551601346034889"</f>
        <v>1551601346034889</v>
      </c>
      <c r="C703" t="s">
        <v>40</v>
      </c>
      <c r="D703">
        <v>5.3539139999999996</v>
      </c>
      <c r="E703">
        <v>0.52162429999999904</v>
      </c>
      <c r="F703" t="s">
        <v>41</v>
      </c>
      <c r="G703">
        <v>-320.97910000000002</v>
      </c>
      <c r="H703" s="1">
        <v>-4.2833290000000003E-6</v>
      </c>
      <c r="I703">
        <v>367.18619999999999</v>
      </c>
      <c r="J703">
        <v>-343.76490000000001</v>
      </c>
      <c r="K703">
        <v>1.1210260000000001</v>
      </c>
      <c r="L703">
        <v>366.76920000000001</v>
      </c>
      <c r="M703">
        <v>0.99990310000000004</v>
      </c>
      <c r="N703">
        <v>-1.3533770000000001E-2</v>
      </c>
      <c r="O703">
        <v>-3.3154790000000001E-3</v>
      </c>
      <c r="P703">
        <v>0.98696119999999998</v>
      </c>
      <c r="Q703">
        <v>0.16038289999999999</v>
      </c>
      <c r="R703">
        <v>-1.361682E-2</v>
      </c>
      <c r="S703">
        <v>3.0650940000000002</v>
      </c>
      <c r="T703">
        <v>-0.1495148</v>
      </c>
      <c r="U703">
        <v>5.5541989999999999E-2</v>
      </c>
      <c r="V703">
        <v>1.0339299999999999E-2</v>
      </c>
      <c r="W703">
        <v>0.1737264</v>
      </c>
      <c r="X703">
        <v>0.9847397</v>
      </c>
      <c r="Y703">
        <v>-2.139841E-2</v>
      </c>
      <c r="Z703">
        <v>7.8325219999999997E-4</v>
      </c>
      <c r="AA703">
        <v>0.99977070000000001</v>
      </c>
      <c r="AB703">
        <v>22</v>
      </c>
      <c r="AC703">
        <v>22.785799999999899</v>
      </c>
      <c r="AD703">
        <v>-1.121030283329</v>
      </c>
      <c r="AE703">
        <v>0.416999999999973</v>
      </c>
      <c r="AF703">
        <v>-0.49136150964709302</v>
      </c>
      <c r="AG703">
        <v>-1.121030283329</v>
      </c>
      <c r="AH703">
        <v>22.729294092200298</v>
      </c>
      <c r="AI703">
        <v>92.822935518870395</v>
      </c>
      <c r="AJ703">
        <v>91.238426331855507</v>
      </c>
      <c r="AK703">
        <v>22.7622264938875</v>
      </c>
      <c r="AL703">
        <v>79.995449221274598</v>
      </c>
      <c r="AM703">
        <v>89.398443582715799</v>
      </c>
      <c r="AN703">
        <v>1.00000001996876</v>
      </c>
    </row>
    <row r="704" spans="1:40" x14ac:dyDescent="0.25">
      <c r="A704" t="str">
        <f>"20190303162226068"</f>
        <v>20190303162226068</v>
      </c>
      <c r="B704" t="str">
        <f>"1551601346054647"</f>
        <v>1551601346054647</v>
      </c>
      <c r="C704" t="s">
        <v>40</v>
      </c>
      <c r="D704">
        <v>5.3426</v>
      </c>
      <c r="E704">
        <v>0.5322614</v>
      </c>
      <c r="F704" t="s">
        <v>43</v>
      </c>
      <c r="G704">
        <v>-308.40949999999998</v>
      </c>
      <c r="H704">
        <v>-0.05</v>
      </c>
      <c r="I704">
        <v>364.28590000000003</v>
      </c>
      <c r="J704">
        <v>-343.54230000000001</v>
      </c>
      <c r="K704">
        <v>1.121019</v>
      </c>
      <c r="L704">
        <v>366.76850000000002</v>
      </c>
      <c r="M704">
        <v>0.99990330000000005</v>
      </c>
      <c r="N704">
        <v>-1.3517329999999999E-2</v>
      </c>
      <c r="O704">
        <v>-3.2724579999999998E-3</v>
      </c>
      <c r="P704">
        <v>0.98725589999999996</v>
      </c>
      <c r="Q704">
        <v>0.15849360000000001</v>
      </c>
      <c r="R704">
        <v>-1.4341359999999999E-2</v>
      </c>
      <c r="S704">
        <v>3.0531619999999999</v>
      </c>
      <c r="T704">
        <v>-0.10112549999999999</v>
      </c>
      <c r="U704">
        <v>-0.214447</v>
      </c>
      <c r="V704">
        <v>1.110535E-2</v>
      </c>
      <c r="W704">
        <v>0.17182520000000001</v>
      </c>
      <c r="X704">
        <v>0.98506490000000002</v>
      </c>
      <c r="Y704">
        <v>6.6749249999999996E-2</v>
      </c>
      <c r="Z704">
        <v>-1.4915970000000001E-3</v>
      </c>
      <c r="AA704">
        <v>0.99776860000000001</v>
      </c>
      <c r="AB704">
        <v>22</v>
      </c>
      <c r="AC704">
        <v>35.132800000000003</v>
      </c>
      <c r="AD704">
        <v>-1.171019</v>
      </c>
      <c r="AE704">
        <v>-2.4825999999999899</v>
      </c>
      <c r="AF704">
        <v>2.3649912090636098</v>
      </c>
      <c r="AG704">
        <v>-1.171019</v>
      </c>
      <c r="AH704">
        <v>35.101933353508798</v>
      </c>
      <c r="AI704">
        <v>91.906389972723801</v>
      </c>
      <c r="AJ704">
        <v>86.145524658482501</v>
      </c>
      <c r="AK704">
        <v>35.2009970607578</v>
      </c>
      <c r="AL704">
        <v>80.106043403267407</v>
      </c>
      <c r="AM704">
        <v>89.354090547470804</v>
      </c>
      <c r="AN704">
        <v>1.0000000426828299</v>
      </c>
    </row>
    <row r="705" spans="1:40" x14ac:dyDescent="0.25">
      <c r="A705" t="str">
        <f>"20190303162226090"</f>
        <v>20190303162226090</v>
      </c>
      <c r="B705" t="str">
        <f>"1551601346084880"</f>
        <v>1551601346084880</v>
      </c>
      <c r="C705" t="s">
        <v>40</v>
      </c>
      <c r="D705">
        <v>5.2583419999999998</v>
      </c>
      <c r="E705">
        <v>0.53641049999999901</v>
      </c>
      <c r="F705" t="s">
        <v>43</v>
      </c>
      <c r="G705">
        <v>-317.21339999999998</v>
      </c>
      <c r="H705">
        <v>-0.05</v>
      </c>
      <c r="I705">
        <v>364.17250000000001</v>
      </c>
      <c r="J705">
        <v>-343.31889999999999</v>
      </c>
      <c r="K705">
        <v>1.1210119999999999</v>
      </c>
      <c r="L705">
        <v>366.76780000000002</v>
      </c>
      <c r="M705">
        <v>0.99990380000000001</v>
      </c>
      <c r="N705">
        <v>-1.3496849999999999E-2</v>
      </c>
      <c r="O705">
        <v>-3.229764E-3</v>
      </c>
      <c r="P705">
        <v>0.98738269999999995</v>
      </c>
      <c r="Q705">
        <v>0.15764929999999999</v>
      </c>
      <c r="R705">
        <v>-1.4907750000000001E-2</v>
      </c>
      <c r="S705">
        <v>3.056152</v>
      </c>
      <c r="T705">
        <v>-0.13592699999999999</v>
      </c>
      <c r="U705">
        <v>-0.301330599999999</v>
      </c>
      <c r="V705">
        <v>1.171354E-2</v>
      </c>
      <c r="W705">
        <v>0.1709627</v>
      </c>
      <c r="X705">
        <v>0.98520790000000003</v>
      </c>
      <c r="Y705">
        <v>9.4787570000000002E-2</v>
      </c>
      <c r="Z705">
        <v>-2.643683E-3</v>
      </c>
      <c r="AA705">
        <v>0.99549399999999999</v>
      </c>
      <c r="AB705">
        <v>22</v>
      </c>
      <c r="AC705">
        <v>26.105499999999999</v>
      </c>
      <c r="AD705">
        <v>-1.1710119999999999</v>
      </c>
      <c r="AE705">
        <v>-2.5952999999999999</v>
      </c>
      <c r="AF705">
        <v>2.50597116351245</v>
      </c>
      <c r="AG705">
        <v>-1.1710119999999999</v>
      </c>
      <c r="AH705">
        <v>26.061819919048101</v>
      </c>
      <c r="AI705">
        <v>92.560893011250201</v>
      </c>
      <c r="AJ705">
        <v>84.507616757875198</v>
      </c>
      <c r="AK705">
        <v>26.208197535683301</v>
      </c>
      <c r="AL705">
        <v>80.156203113333007</v>
      </c>
      <c r="AM705">
        <v>89.318819119977206</v>
      </c>
      <c r="AN705">
        <v>1.0000000290165101</v>
      </c>
    </row>
    <row r="706" spans="1:40" x14ac:dyDescent="0.25">
      <c r="A706" t="str">
        <f>"20190303162226112"</f>
        <v>20190303162226112</v>
      </c>
      <c r="B706" t="str">
        <f>"1551601346105379"</f>
        <v>1551601346105379</v>
      </c>
      <c r="C706" t="s">
        <v>40</v>
      </c>
      <c r="D706">
        <v>5.2768940000000004</v>
      </c>
      <c r="E706">
        <v>0.53742529999999999</v>
      </c>
      <c r="F706" t="s">
        <v>41</v>
      </c>
      <c r="G706">
        <v>-320.2647</v>
      </c>
      <c r="H706" s="1">
        <v>-5.1136940000000001E-6</v>
      </c>
      <c r="I706">
        <v>364.23270000000002</v>
      </c>
      <c r="J706">
        <v>-343.10680000000002</v>
      </c>
      <c r="K706">
        <v>1.120994</v>
      </c>
      <c r="L706">
        <v>366.7672</v>
      </c>
      <c r="M706">
        <v>0.99990429999999997</v>
      </c>
      <c r="N706">
        <v>-1.347069E-2</v>
      </c>
      <c r="O706">
        <v>-3.1887059999999999E-3</v>
      </c>
      <c r="P706">
        <v>0.9874541</v>
      </c>
      <c r="Q706">
        <v>0.15715689999999999</v>
      </c>
      <c r="R706">
        <v>-1.5379540000000001E-2</v>
      </c>
      <c r="S706">
        <v>3.057007</v>
      </c>
      <c r="T706">
        <v>-0.14864769999999999</v>
      </c>
      <c r="U706">
        <v>-0.33615109999999998</v>
      </c>
      <c r="V706">
        <v>1.2225730000000001E-2</v>
      </c>
      <c r="W706">
        <v>0.1704454</v>
      </c>
      <c r="X706">
        <v>0.98529129999999998</v>
      </c>
      <c r="Y706">
        <v>0.10597520000000001</v>
      </c>
      <c r="Z706">
        <v>-3.1721010000000001E-3</v>
      </c>
      <c r="AA706">
        <v>0.99436369999999996</v>
      </c>
      <c r="AB706">
        <v>22</v>
      </c>
      <c r="AC706">
        <v>22.842099999999999</v>
      </c>
      <c r="AD706">
        <v>-1.1209991136939901</v>
      </c>
      <c r="AE706">
        <v>-2.53449999999998</v>
      </c>
      <c r="AF706">
        <v>2.4558010181711398</v>
      </c>
      <c r="AG706">
        <v>-1.1209991136939901</v>
      </c>
      <c r="AH706">
        <v>22.795831348612701</v>
      </c>
      <c r="AI706">
        <v>92.799117353381504</v>
      </c>
      <c r="AJ706">
        <v>83.851224324593005</v>
      </c>
      <c r="AK706">
        <v>22.955119789017498</v>
      </c>
      <c r="AL706">
        <v>80.186283686257596</v>
      </c>
      <c r="AM706">
        <v>89.2890967534304</v>
      </c>
      <c r="AN706">
        <v>1.0000000243554401</v>
      </c>
    </row>
    <row r="707" spans="1:40" x14ac:dyDescent="0.25">
      <c r="A707" t="str">
        <f>"20190303162226133"</f>
        <v>20190303162226133</v>
      </c>
      <c r="B707" t="str">
        <f>"1551601346124898"</f>
        <v>1551601346124898</v>
      </c>
      <c r="C707" t="s">
        <v>40</v>
      </c>
      <c r="D707">
        <v>5.2832330000000001</v>
      </c>
      <c r="E707">
        <v>0.53789010000000004</v>
      </c>
      <c r="F707" t="s">
        <v>41</v>
      </c>
      <c r="G707">
        <v>-320.6103</v>
      </c>
      <c r="H707" s="1">
        <v>-4.9675929999999997E-6</v>
      </c>
      <c r="I707">
        <v>364.22050000000002</v>
      </c>
      <c r="J707">
        <v>-342.89080000000001</v>
      </c>
      <c r="K707">
        <v>1.120978</v>
      </c>
      <c r="L707">
        <v>366.76650000000001</v>
      </c>
      <c r="M707">
        <v>0.99990500000000004</v>
      </c>
      <c r="N707">
        <v>-1.342783E-2</v>
      </c>
      <c r="O707">
        <v>-3.1469359999999999E-3</v>
      </c>
      <c r="P707">
        <v>0.98764719999999995</v>
      </c>
      <c r="Q707">
        <v>0.15586459999999999</v>
      </c>
      <c r="R707">
        <v>-1.6107119999999999E-2</v>
      </c>
      <c r="S707">
        <v>3.0569459999999999</v>
      </c>
      <c r="T707">
        <v>-0.1523273</v>
      </c>
      <c r="U707">
        <v>-0.34603879999999998</v>
      </c>
      <c r="V707">
        <v>1.2993970000000001E-2</v>
      </c>
      <c r="W707">
        <v>0.16911319999999999</v>
      </c>
      <c r="X707">
        <v>0.98551100000000003</v>
      </c>
      <c r="Y707">
        <v>0.1091833</v>
      </c>
      <c r="Z707">
        <v>-3.331854E-3</v>
      </c>
      <c r="AA707">
        <v>0.99401609999999996</v>
      </c>
      <c r="AB707">
        <v>22</v>
      </c>
      <c r="AC707">
        <v>22.2805</v>
      </c>
      <c r="AD707">
        <v>-1.1209829675929901</v>
      </c>
      <c r="AE707">
        <v>-2.54599999999999</v>
      </c>
      <c r="AF707">
        <v>2.4696947447830899</v>
      </c>
      <c r="AG707">
        <v>-1.1209829675929901</v>
      </c>
      <c r="AH707">
        <v>22.232849273608402</v>
      </c>
      <c r="AI707">
        <v>92.868800184639994</v>
      </c>
      <c r="AJ707">
        <v>83.661391248869094</v>
      </c>
      <c r="AK707">
        <v>22.397669114643001</v>
      </c>
      <c r="AL707">
        <v>80.263737595864498</v>
      </c>
      <c r="AM707">
        <v>89.244598485203497</v>
      </c>
      <c r="AN707">
        <v>1.0000000243958</v>
      </c>
    </row>
    <row r="708" spans="1:40" x14ac:dyDescent="0.25">
      <c r="A708" t="str">
        <f>"20190303162226156"</f>
        <v>20190303162226156</v>
      </c>
      <c r="B708" t="str">
        <f>"1551601346145393"</f>
        <v>1551601346145393</v>
      </c>
      <c r="C708" t="s">
        <v>40</v>
      </c>
      <c r="D708">
        <v>5.2977429999999996</v>
      </c>
      <c r="E708">
        <v>0.5381821</v>
      </c>
      <c r="F708" t="s">
        <v>41</v>
      </c>
      <c r="G708">
        <v>-321.29849999999999</v>
      </c>
      <c r="H708" s="1">
        <v>-4.6616109999999996E-6</v>
      </c>
      <c r="I708">
        <v>364.28120000000001</v>
      </c>
      <c r="J708">
        <v>-342.6678</v>
      </c>
      <c r="K708">
        <v>1.12096</v>
      </c>
      <c r="L708">
        <v>366.76589999999999</v>
      </c>
      <c r="M708">
        <v>0.99990599999999996</v>
      </c>
      <c r="N708">
        <v>-1.3356659999999999E-2</v>
      </c>
      <c r="O708">
        <v>-3.1043709999999999E-3</v>
      </c>
      <c r="P708">
        <v>0.98792789999999997</v>
      </c>
      <c r="Q708">
        <v>0.1540156</v>
      </c>
      <c r="R708">
        <v>-1.6671930000000001E-2</v>
      </c>
      <c r="S708">
        <v>3.0568240000000002</v>
      </c>
      <c r="T708">
        <v>-0.1586967</v>
      </c>
      <c r="U708">
        <v>-0.35183720000000002</v>
      </c>
      <c r="V708">
        <v>1.359965E-2</v>
      </c>
      <c r="W708">
        <v>0.16719870000000001</v>
      </c>
      <c r="X708">
        <v>0.98582939999999997</v>
      </c>
      <c r="Y708">
        <v>0.1110754</v>
      </c>
      <c r="Z708">
        <v>-3.497553E-3</v>
      </c>
      <c r="AA708">
        <v>0.99380579999999996</v>
      </c>
      <c r="AB708">
        <v>22</v>
      </c>
      <c r="AC708">
        <v>21.369299999999999</v>
      </c>
      <c r="AD708">
        <v>-1.1209646616110001</v>
      </c>
      <c r="AE708">
        <v>-2.4846999999999699</v>
      </c>
      <c r="AF708">
        <v>2.4117958292559001</v>
      </c>
      <c r="AG708">
        <v>-1.1209646616110001</v>
      </c>
      <c r="AH708">
        <v>21.319029802331801</v>
      </c>
      <c r="AI708">
        <v>92.990824750071695</v>
      </c>
      <c r="AJ708">
        <v>83.545639588195897</v>
      </c>
      <c r="AK708">
        <v>21.484281524112099</v>
      </c>
      <c r="AL708">
        <v>80.375014502541603</v>
      </c>
      <c r="AM708">
        <v>89.209647100616493</v>
      </c>
      <c r="AN708">
        <v>0.99999998083308606</v>
      </c>
    </row>
    <row r="709" spans="1:40" x14ac:dyDescent="0.25">
      <c r="A709" t="str">
        <f>"20190303162226179"</f>
        <v>20190303162226179</v>
      </c>
      <c r="B709" t="str">
        <f>"1551601346175181"</f>
        <v>1551601346175181</v>
      </c>
      <c r="C709" t="s">
        <v>40</v>
      </c>
      <c r="D709">
        <v>5.3021820000000002</v>
      </c>
      <c r="E709">
        <v>0.53885179999999999</v>
      </c>
      <c r="F709" t="s">
        <v>41</v>
      </c>
      <c r="G709">
        <v>-322.01679999999999</v>
      </c>
      <c r="H709" s="1">
        <v>-4.3387919999999996E-6</v>
      </c>
      <c r="I709">
        <v>364.3639</v>
      </c>
      <c r="J709">
        <v>-342.4425</v>
      </c>
      <c r="K709">
        <v>1.1209290000000001</v>
      </c>
      <c r="L709">
        <v>366.76530000000002</v>
      </c>
      <c r="M709">
        <v>0.99990760000000001</v>
      </c>
      <c r="N709">
        <v>-1.32581E-2</v>
      </c>
      <c r="O709">
        <v>-3.057424E-3</v>
      </c>
      <c r="P709">
        <v>0.98822560000000004</v>
      </c>
      <c r="Q709">
        <v>0.15198889999999901</v>
      </c>
      <c r="R709">
        <v>-1.7607190000000002E-2</v>
      </c>
      <c r="S709">
        <v>3.056549</v>
      </c>
      <c r="T709">
        <v>-0.16591310000000001</v>
      </c>
      <c r="U709">
        <v>-0.35549930000000002</v>
      </c>
      <c r="V709">
        <v>1.45793999999999E-2</v>
      </c>
      <c r="W709">
        <v>0.16507849999999999</v>
      </c>
      <c r="X709">
        <v>0.98617270000000001</v>
      </c>
      <c r="Y709">
        <v>0.11229</v>
      </c>
      <c r="Z709">
        <v>-3.6578560000000001E-3</v>
      </c>
      <c r="AA709">
        <v>0.99366869999999996</v>
      </c>
      <c r="AB709">
        <v>22</v>
      </c>
      <c r="AC709">
        <v>20.425699999999999</v>
      </c>
      <c r="AD709">
        <v>-1.120933338792</v>
      </c>
      <c r="AE709">
        <v>-2.4014000000000202</v>
      </c>
      <c r="AF709">
        <v>2.3320058175482199</v>
      </c>
      <c r="AG709">
        <v>-1.120933338792</v>
      </c>
      <c r="AH709">
        <v>20.372428957392199</v>
      </c>
      <c r="AI709">
        <v>93.128965318318805</v>
      </c>
      <c r="AJ709">
        <v>83.469848328877703</v>
      </c>
      <c r="AK709">
        <v>20.5360805488069</v>
      </c>
      <c r="AL709">
        <v>80.498205586308799</v>
      </c>
      <c r="AM709">
        <v>89.153011193400204</v>
      </c>
      <c r="AN709">
        <v>1.0000000321459399</v>
      </c>
    </row>
    <row r="710" spans="1:40" x14ac:dyDescent="0.25">
      <c r="A710" t="str">
        <f>"20190303162226202"</f>
        <v>20190303162226202</v>
      </c>
      <c r="B710" t="str">
        <f>"1551601346195677"</f>
        <v>1551601346195677</v>
      </c>
      <c r="C710" t="s">
        <v>40</v>
      </c>
      <c r="D710">
        <v>5.291811</v>
      </c>
      <c r="E710">
        <v>0.53899869999999905</v>
      </c>
      <c r="F710" t="s">
        <v>41</v>
      </c>
      <c r="G710">
        <v>-322.33159999999998</v>
      </c>
      <c r="H710" s="1">
        <v>-4.2039620000000001E-6</v>
      </c>
      <c r="I710">
        <v>364.36259999999999</v>
      </c>
      <c r="J710">
        <v>-342.21280000000002</v>
      </c>
      <c r="K710">
        <v>1.1208990000000001</v>
      </c>
      <c r="L710">
        <v>366.76459999999997</v>
      </c>
      <c r="M710">
        <v>0.99990919999999905</v>
      </c>
      <c r="N710">
        <v>-1.314032E-2</v>
      </c>
      <c r="O710">
        <v>-3.0091979999999998E-3</v>
      </c>
      <c r="P710">
        <v>0.98849770000000003</v>
      </c>
      <c r="Q710">
        <v>0.1501431</v>
      </c>
      <c r="R710">
        <v>-1.8152519999999998E-2</v>
      </c>
      <c r="S710">
        <v>3.0553889999999999</v>
      </c>
      <c r="T710">
        <v>-0.1702996</v>
      </c>
      <c r="U710">
        <v>-0.36502079999999998</v>
      </c>
      <c r="V710">
        <v>1.5171479999999999E-2</v>
      </c>
      <c r="W710">
        <v>0.1631203</v>
      </c>
      <c r="X710">
        <v>0.98648950000000002</v>
      </c>
      <c r="Y710">
        <v>0.11541940000000001</v>
      </c>
      <c r="Z710">
        <v>-3.8368870000000002E-3</v>
      </c>
      <c r="AA710">
        <v>0.99330940000000001</v>
      </c>
      <c r="AB710">
        <v>22</v>
      </c>
      <c r="AC710">
        <v>19.8812</v>
      </c>
      <c r="AD710">
        <v>-1.1209032039619999</v>
      </c>
      <c r="AE710">
        <v>-2.4019999999999802</v>
      </c>
      <c r="AF710">
        <v>2.33484248093177</v>
      </c>
      <c r="AG710">
        <v>-1.1209032039619999</v>
      </c>
      <c r="AH710">
        <v>19.826223542489</v>
      </c>
      <c r="AI710">
        <v>93.213691034541796</v>
      </c>
      <c r="AJ710">
        <v>83.283477295633702</v>
      </c>
      <c r="AK710">
        <v>19.9946756252799</v>
      </c>
      <c r="AL710">
        <v>80.611943468343597</v>
      </c>
      <c r="AM710">
        <v>89.118902685122407</v>
      </c>
      <c r="AN710">
        <v>0.99999996984386397</v>
      </c>
    </row>
    <row r="711" spans="1:40" x14ac:dyDescent="0.25">
      <c r="A711" t="str">
        <f>"20190303162226223"</f>
        <v>20190303162226223</v>
      </c>
      <c r="B711" t="str">
        <f>"1551601346215197"</f>
        <v>1551601346215197</v>
      </c>
      <c r="C711" t="s">
        <v>40</v>
      </c>
      <c r="D711">
        <v>5.2864940000000002</v>
      </c>
      <c r="E711">
        <v>0.53923339999999997</v>
      </c>
      <c r="F711" t="s">
        <v>41</v>
      </c>
      <c r="G711">
        <v>-322.58409999999998</v>
      </c>
      <c r="H711" s="1">
        <v>-4.0890780000000002E-6</v>
      </c>
      <c r="I711">
        <v>364.3997</v>
      </c>
      <c r="J711">
        <v>-342.00459999999998</v>
      </c>
      <c r="K711">
        <v>1.1208800000000001</v>
      </c>
      <c r="L711">
        <v>366.76400000000001</v>
      </c>
      <c r="M711">
        <v>0.99991070000000004</v>
      </c>
      <c r="N711">
        <v>-1.3028980000000001E-2</v>
      </c>
      <c r="O711">
        <v>-2.967136E-3</v>
      </c>
      <c r="P711">
        <v>0.9886838</v>
      </c>
      <c r="Q711">
        <v>0.14883070000000001</v>
      </c>
      <c r="R711">
        <v>-1.8818999999999999E-2</v>
      </c>
      <c r="S711">
        <v>3.0546570000000002</v>
      </c>
      <c r="T711">
        <v>-0.17443610000000001</v>
      </c>
      <c r="U711">
        <v>-0.36801149999999999</v>
      </c>
      <c r="V711">
        <v>1.5879709999999998E-2</v>
      </c>
      <c r="W711">
        <v>0.16170079999999901</v>
      </c>
      <c r="X711">
        <v>0.98671200000000003</v>
      </c>
      <c r="Y711">
        <v>0.1164367</v>
      </c>
      <c r="Z711">
        <v>-3.941768E-3</v>
      </c>
      <c r="AA711">
        <v>0.99319029999999997</v>
      </c>
      <c r="AB711">
        <v>22</v>
      </c>
      <c r="AC711">
        <v>19.420500000000001</v>
      </c>
      <c r="AD711">
        <v>-1.1208840890780001</v>
      </c>
      <c r="AE711">
        <v>-2.3643000000000098</v>
      </c>
      <c r="AF711">
        <v>2.29911448049043</v>
      </c>
      <c r="AG711">
        <v>-1.1208840890780001</v>
      </c>
      <c r="AH711">
        <v>19.363867473393899</v>
      </c>
      <c r="AI711">
        <v>93.289832418126295</v>
      </c>
      <c r="AJ711">
        <v>83.228846025910698</v>
      </c>
      <c r="AK711">
        <v>19.532067787684799</v>
      </c>
      <c r="AL711">
        <v>80.694368923933695</v>
      </c>
      <c r="AM711">
        <v>89.077986459349802</v>
      </c>
      <c r="AN711">
        <v>0.99999994242715995</v>
      </c>
    </row>
    <row r="712" spans="1:40" x14ac:dyDescent="0.25">
      <c r="A712" t="str">
        <f>"20190303162226245"</f>
        <v>20190303162226245</v>
      </c>
      <c r="B712" t="str">
        <f>"1551601346234716"</f>
        <v>1551601346234716</v>
      </c>
      <c r="C712" t="s">
        <v>40</v>
      </c>
      <c r="D712">
        <v>5.266006</v>
      </c>
      <c r="E712">
        <v>0.53943140000000001</v>
      </c>
      <c r="F712" t="s">
        <v>41</v>
      </c>
      <c r="G712">
        <v>-322.66480000000001</v>
      </c>
      <c r="H712" s="1">
        <v>-4.0531390000000002E-6</v>
      </c>
      <c r="I712">
        <v>364.40710000000001</v>
      </c>
      <c r="J712">
        <v>-341.78910000000002</v>
      </c>
      <c r="K712">
        <v>1.1208720000000001</v>
      </c>
      <c r="L712">
        <v>366.76339999999999</v>
      </c>
      <c r="M712">
        <v>0.99991240000000003</v>
      </c>
      <c r="N712">
        <v>-1.291755E-2</v>
      </c>
      <c r="O712">
        <v>-2.9241290000000001E-3</v>
      </c>
      <c r="P712">
        <v>0.98838780000000004</v>
      </c>
      <c r="Q712">
        <v>0.15063409999999999</v>
      </c>
      <c r="R712">
        <v>-1.9967760000000001E-2</v>
      </c>
      <c r="S712">
        <v>3.053925</v>
      </c>
      <c r="T712">
        <v>-0.17699690000000001</v>
      </c>
      <c r="U712">
        <v>-0.37216189999999999</v>
      </c>
      <c r="V712">
        <v>1.7072710000000001E-2</v>
      </c>
      <c r="W712">
        <v>0.16339039999999999</v>
      </c>
      <c r="X712">
        <v>0.98641380000000001</v>
      </c>
      <c r="Y712">
        <v>0.1178292</v>
      </c>
      <c r="Z712">
        <v>-4.0326720000000002E-3</v>
      </c>
      <c r="AA712">
        <v>0.99302570000000001</v>
      </c>
      <c r="AB712">
        <v>22</v>
      </c>
      <c r="AC712">
        <v>19.124300000000002</v>
      </c>
      <c r="AD712">
        <v>-1.1208760531390001</v>
      </c>
      <c r="AE712">
        <v>-2.3562999999999699</v>
      </c>
      <c r="AF712">
        <v>2.29260569520275</v>
      </c>
      <c r="AG712">
        <v>-1.1208760531390001</v>
      </c>
      <c r="AH712">
        <v>19.0665919735053</v>
      </c>
      <c r="AI712">
        <v>93.340393567736797</v>
      </c>
      <c r="AJ712">
        <v>83.143556621414007</v>
      </c>
      <c r="AK712">
        <v>19.236614397661398</v>
      </c>
      <c r="AL712">
        <v>80.596258121293801</v>
      </c>
      <c r="AM712">
        <v>89.008431787133006</v>
      </c>
      <c r="AN712">
        <v>1.00000004253467</v>
      </c>
    </row>
    <row r="713" spans="1:40" x14ac:dyDescent="0.25">
      <c r="A713" t="str">
        <f>"20190303162226269"</f>
        <v>20190303162226269</v>
      </c>
      <c r="B713" t="str">
        <f>"1551601346265478"</f>
        <v>1551601346265478</v>
      </c>
      <c r="C713" t="s">
        <v>40</v>
      </c>
      <c r="D713">
        <v>5.2855019999999904</v>
      </c>
      <c r="E713">
        <v>0.53969160000000005</v>
      </c>
      <c r="F713" t="s">
        <v>41</v>
      </c>
      <c r="G713">
        <v>-321.66300000000001</v>
      </c>
      <c r="H713" s="1">
        <v>-4.505265E-6</v>
      </c>
      <c r="I713">
        <v>364.28109999999998</v>
      </c>
      <c r="J713">
        <v>-341.55160000000001</v>
      </c>
      <c r="K713">
        <v>1.1208819999999999</v>
      </c>
      <c r="L713">
        <v>366.76280000000003</v>
      </c>
      <c r="M713">
        <v>0.99991399999999997</v>
      </c>
      <c r="N713">
        <v>-1.2803E-2</v>
      </c>
      <c r="O713">
        <v>-2.8759739999999999E-3</v>
      </c>
      <c r="P713">
        <v>0.9877785</v>
      </c>
      <c r="Q713">
        <v>0.15447620000000001</v>
      </c>
      <c r="R713">
        <v>-2.0758450000000001E-2</v>
      </c>
      <c r="S713">
        <v>3.0535580000000002</v>
      </c>
      <c r="T713">
        <v>-0.17006019999999999</v>
      </c>
      <c r="U713">
        <v>-0.37661739999999999</v>
      </c>
      <c r="V713">
        <v>1.7913220000000001E-2</v>
      </c>
      <c r="W713">
        <v>0.16711119999999999</v>
      </c>
      <c r="X713">
        <v>0.98577530000000002</v>
      </c>
      <c r="Y713">
        <v>0.1193326</v>
      </c>
      <c r="Z713">
        <v>-3.9526559999999997E-3</v>
      </c>
      <c r="AA713">
        <v>0.99284649999999997</v>
      </c>
      <c r="AB713">
        <v>22</v>
      </c>
      <c r="AC713">
        <v>19.8886</v>
      </c>
      <c r="AD713">
        <v>-1.1208865052650001</v>
      </c>
      <c r="AE713">
        <v>-2.48170000000004</v>
      </c>
      <c r="AF713">
        <v>2.41692688354768</v>
      </c>
      <c r="AG713">
        <v>-1.1208865052650001</v>
      </c>
      <c r="AH713">
        <v>19.8336248694558</v>
      </c>
      <c r="AI713">
        <v>93.210896452399396</v>
      </c>
      <c r="AJ713">
        <v>83.052188628803904</v>
      </c>
      <c r="AK713">
        <v>20.011761481198899</v>
      </c>
      <c r="AL713">
        <v>80.380099507705694</v>
      </c>
      <c r="AM713">
        <v>88.958952456009399</v>
      </c>
      <c r="AN713">
        <v>0.99999998935314904</v>
      </c>
    </row>
    <row r="714" spans="1:40" x14ac:dyDescent="0.25">
      <c r="A714" t="str">
        <f>"20190303162226290"</f>
        <v>20190303162226290</v>
      </c>
      <c r="B714" t="str">
        <f>"1551601346284998"</f>
        <v>1551601346284998</v>
      </c>
      <c r="C714" t="s">
        <v>40</v>
      </c>
      <c r="D714">
        <v>5.2839799999999997</v>
      </c>
      <c r="E714">
        <v>0.53987459999999998</v>
      </c>
      <c r="F714" t="s">
        <v>43</v>
      </c>
      <c r="G714">
        <v>-318.52100000000002</v>
      </c>
      <c r="H714">
        <v>-0.05</v>
      </c>
      <c r="I714">
        <v>363.88589999999999</v>
      </c>
      <c r="J714">
        <v>-341.34129999999999</v>
      </c>
      <c r="K714">
        <v>1.1208769999999999</v>
      </c>
      <c r="L714">
        <v>366.76220000000001</v>
      </c>
      <c r="M714">
        <v>0.99991529999999995</v>
      </c>
      <c r="N714">
        <v>-1.270599E-2</v>
      </c>
      <c r="O714">
        <v>-2.8340000000000001E-3</v>
      </c>
      <c r="P714">
        <v>0.9873461</v>
      </c>
      <c r="Q714">
        <v>0.1571476</v>
      </c>
      <c r="R714">
        <v>-2.1269030000000001E-2</v>
      </c>
      <c r="S714">
        <v>3.0533450000000002</v>
      </c>
      <c r="T714">
        <v>-0.1552328</v>
      </c>
      <c r="U714">
        <v>-0.38140869999999999</v>
      </c>
      <c r="V714">
        <v>1.8466340000000001E-2</v>
      </c>
      <c r="W714">
        <v>0.16968129999999901</v>
      </c>
      <c r="X714">
        <v>0.98532589999999998</v>
      </c>
      <c r="Y714">
        <v>0.1209481</v>
      </c>
      <c r="Z714">
        <v>-3.7250920000000002E-3</v>
      </c>
      <c r="AA714">
        <v>0.99265179999999997</v>
      </c>
      <c r="AB714">
        <v>22</v>
      </c>
      <c r="AC714">
        <v>22.8203</v>
      </c>
      <c r="AD714">
        <v>-1.1708769999999999</v>
      </c>
      <c r="AE714">
        <v>-2.8763000000000098</v>
      </c>
      <c r="AF714">
        <v>2.80434331943676</v>
      </c>
      <c r="AG714">
        <v>-1.1708769999999999</v>
      </c>
      <c r="AH714">
        <v>22.769355893176002</v>
      </c>
      <c r="AI714">
        <v>92.921711255154094</v>
      </c>
      <c r="AJ714">
        <v>82.978637229335703</v>
      </c>
      <c r="AK714">
        <v>22.971261658701</v>
      </c>
      <c r="AL714">
        <v>80.230709712177003</v>
      </c>
      <c r="AM714">
        <v>88.926325293955898</v>
      </c>
      <c r="AN714">
        <v>0.99999993924674502</v>
      </c>
    </row>
    <row r="715" spans="1:40" x14ac:dyDescent="0.25">
      <c r="A715" t="str">
        <f>"20190303162226313"</f>
        <v>20190303162226313</v>
      </c>
      <c r="B715" t="str">
        <f>"1551601346305495"</f>
        <v>1551601346305495</v>
      </c>
      <c r="C715" t="s">
        <v>40</v>
      </c>
      <c r="D715">
        <v>5.247636</v>
      </c>
      <c r="E715">
        <v>0.54008590000000001</v>
      </c>
      <c r="F715" t="s">
        <v>43</v>
      </c>
      <c r="G715">
        <v>-316.72359999999998</v>
      </c>
      <c r="H715">
        <v>-0.05</v>
      </c>
      <c r="I715">
        <v>363.65879999999999</v>
      </c>
      <c r="J715">
        <v>-341.11750000000001</v>
      </c>
      <c r="K715">
        <v>1.1208640000000001</v>
      </c>
      <c r="L715">
        <v>366.76159999999999</v>
      </c>
      <c r="M715">
        <v>0.99991669999999999</v>
      </c>
      <c r="N715">
        <v>-1.260827E-2</v>
      </c>
      <c r="O715">
        <v>-2.7915330000000001E-3</v>
      </c>
      <c r="P715">
        <v>0.98731690000000005</v>
      </c>
      <c r="Q715">
        <v>0.15729119999999999</v>
      </c>
      <c r="R715">
        <v>-2.1570010000000001E-2</v>
      </c>
      <c r="S715">
        <v>3.0532840000000001</v>
      </c>
      <c r="T715">
        <v>-0.14522119999999999</v>
      </c>
      <c r="U715">
        <v>-0.38491819999999999</v>
      </c>
      <c r="V715">
        <v>1.8809039999999999E-2</v>
      </c>
      <c r="W715">
        <v>0.1697283</v>
      </c>
      <c r="X715">
        <v>0.98531139999999995</v>
      </c>
      <c r="Y715">
        <v>0.12213590000000001</v>
      </c>
      <c r="Z715">
        <v>-3.567916E-3</v>
      </c>
      <c r="AA715">
        <v>0.99250700000000003</v>
      </c>
      <c r="AB715">
        <v>22</v>
      </c>
      <c r="AC715">
        <v>24.393899999999999</v>
      </c>
      <c r="AD715">
        <v>-1.1708639999999999</v>
      </c>
      <c r="AE715">
        <v>-3.1027999999999998</v>
      </c>
      <c r="AF715">
        <v>3.0278215974523599</v>
      </c>
      <c r="AG715">
        <v>-1.1708639999999999</v>
      </c>
      <c r="AH715">
        <v>24.3472682773013</v>
      </c>
      <c r="AI715">
        <v>92.732227881673595</v>
      </c>
      <c r="AJ715">
        <v>82.911102504710001</v>
      </c>
      <c r="AK715">
        <v>24.5627380130835</v>
      </c>
      <c r="AL715">
        <v>80.227977926113894</v>
      </c>
      <c r="AM715">
        <v>88.906388647381604</v>
      </c>
      <c r="AN715">
        <v>1.00000001538828</v>
      </c>
    </row>
    <row r="716" spans="1:40" x14ac:dyDescent="0.25">
      <c r="A716" t="str">
        <f>"20190303162226334"</f>
        <v>20190303162226334</v>
      </c>
      <c r="B716" t="str">
        <f>"1551601346325014"</f>
        <v>1551601346325014</v>
      </c>
      <c r="C716" t="s">
        <v>40</v>
      </c>
      <c r="D716">
        <v>5.2344730000000004</v>
      </c>
      <c r="E716">
        <v>0.54025880000000004</v>
      </c>
      <c r="F716" t="s">
        <v>43</v>
      </c>
      <c r="G716">
        <v>-316.23689999999999</v>
      </c>
      <c r="H716">
        <v>-0.05</v>
      </c>
      <c r="I716">
        <v>363.6053</v>
      </c>
      <c r="J716">
        <v>-340.90719999999999</v>
      </c>
      <c r="K716">
        <v>1.120857</v>
      </c>
      <c r="L716">
        <v>366.7611</v>
      </c>
      <c r="M716">
        <v>0.99991790000000003</v>
      </c>
      <c r="N716">
        <v>-1.252381E-2</v>
      </c>
      <c r="O716">
        <v>-2.7517790000000002E-3</v>
      </c>
      <c r="P716">
        <v>0.98743170000000002</v>
      </c>
      <c r="Q716">
        <v>0.1566555</v>
      </c>
      <c r="R716">
        <v>-2.0929260000000002E-2</v>
      </c>
      <c r="S716">
        <v>3.0529790000000001</v>
      </c>
      <c r="T716">
        <v>-0.1436713</v>
      </c>
      <c r="U716">
        <v>-0.38729859999999999</v>
      </c>
      <c r="V716">
        <v>1.82071E-2</v>
      </c>
      <c r="W716">
        <v>0.1690112</v>
      </c>
      <c r="X716">
        <v>0.98544600000000004</v>
      </c>
      <c r="Y716">
        <v>0.12295159999999999</v>
      </c>
      <c r="Z716">
        <v>-3.5588490000000002E-3</v>
      </c>
      <c r="AA716">
        <v>0.99240629999999996</v>
      </c>
      <c r="AB716">
        <v>22</v>
      </c>
      <c r="AC716">
        <v>24.670300000000001</v>
      </c>
      <c r="AD716">
        <v>-1.170857</v>
      </c>
      <c r="AE716">
        <v>-3.1558000000000002</v>
      </c>
      <c r="AF716">
        <v>3.0810672434216402</v>
      </c>
      <c r="AG716">
        <v>-1.170857</v>
      </c>
      <c r="AH716">
        <v>24.624318790780301</v>
      </c>
      <c r="AI716">
        <v>92.701264160101502</v>
      </c>
      <c r="AJ716">
        <v>82.868047996138202</v>
      </c>
      <c r="AK716">
        <v>24.843932003266101</v>
      </c>
      <c r="AL716">
        <v>80.269667385378298</v>
      </c>
      <c r="AM716">
        <v>88.941523625367793</v>
      </c>
      <c r="AN716">
        <v>1.00000005156592</v>
      </c>
    </row>
    <row r="717" spans="1:40" x14ac:dyDescent="0.25">
      <c r="A717" t="str">
        <f>"20190303162226358"</f>
        <v>20190303162226358</v>
      </c>
      <c r="B717" t="str">
        <f>"1551601346345510"</f>
        <v>1551601346345510</v>
      </c>
      <c r="C717" t="s">
        <v>40</v>
      </c>
      <c r="D717">
        <v>5.2373599999999998</v>
      </c>
      <c r="E717">
        <v>0.54042309999999905</v>
      </c>
      <c r="F717" t="s">
        <v>43</v>
      </c>
      <c r="G717">
        <v>-316.25779999999997</v>
      </c>
      <c r="H717">
        <v>-0.05</v>
      </c>
      <c r="I717">
        <v>363.637</v>
      </c>
      <c r="J717">
        <v>-340.67290000000003</v>
      </c>
      <c r="K717">
        <v>1.120857</v>
      </c>
      <c r="L717">
        <v>366.76049999999998</v>
      </c>
      <c r="M717">
        <v>0.99991909999999895</v>
      </c>
      <c r="N717">
        <v>-1.243672E-2</v>
      </c>
      <c r="O717">
        <v>-2.707012E-3</v>
      </c>
      <c r="P717">
        <v>0.98722759999999998</v>
      </c>
      <c r="Q717">
        <v>0.15801019999999999</v>
      </c>
      <c r="R717">
        <v>-2.0363429999999998E-2</v>
      </c>
      <c r="S717">
        <v>3.0529790000000001</v>
      </c>
      <c r="T717">
        <v>-0.14501789999999901</v>
      </c>
      <c r="U717">
        <v>-0.38693240000000001</v>
      </c>
      <c r="V717">
        <v>1.7685960000000001E-2</v>
      </c>
      <c r="W717">
        <v>0.17027719999999999</v>
      </c>
      <c r="X717">
        <v>0.98523749999999999</v>
      </c>
      <c r="Y717">
        <v>0.122876399999999</v>
      </c>
      <c r="Z717">
        <v>-3.5783239999999999E-3</v>
      </c>
      <c r="AA717">
        <v>0.99241550000000001</v>
      </c>
      <c r="AB717">
        <v>22</v>
      </c>
      <c r="AC717">
        <v>24.415099999999999</v>
      </c>
      <c r="AD717">
        <v>-1.170857</v>
      </c>
      <c r="AE717">
        <v>-3.1235000000000301</v>
      </c>
      <c r="AF717">
        <v>3.0504889287616002</v>
      </c>
      <c r="AG717">
        <v>-1.170857</v>
      </c>
      <c r="AH717">
        <v>24.368326644641598</v>
      </c>
      <c r="AI717">
        <v>92.729578550520998</v>
      </c>
      <c r="AJ717">
        <v>82.864686237763294</v>
      </c>
      <c r="AK717">
        <v>24.5864135708911</v>
      </c>
      <c r="AL717">
        <v>80.196063808735005</v>
      </c>
      <c r="AM717">
        <v>88.971596146672297</v>
      </c>
      <c r="AN717">
        <v>1.0000000247136001</v>
      </c>
    </row>
    <row r="718" spans="1:40" x14ac:dyDescent="0.25">
      <c r="A718" t="str">
        <f>"20190303162226379"</f>
        <v>20190303162226379</v>
      </c>
      <c r="B718" t="str">
        <f>"1551601346375120"</f>
        <v>1551601346375120</v>
      </c>
      <c r="C718" t="s">
        <v>40</v>
      </c>
      <c r="D718">
        <v>5.1825060000000001</v>
      </c>
      <c r="E718">
        <v>0.54065560000000001</v>
      </c>
      <c r="F718" t="s">
        <v>43</v>
      </c>
      <c r="G718">
        <v>-315.19200000000001</v>
      </c>
      <c r="H718">
        <v>-0.05</v>
      </c>
      <c r="I718">
        <v>363.53829999999999</v>
      </c>
      <c r="J718">
        <v>-340.46230000000003</v>
      </c>
      <c r="K718">
        <v>1.120852</v>
      </c>
      <c r="L718">
        <v>366.76</v>
      </c>
      <c r="M718">
        <v>0.99992009999999998</v>
      </c>
      <c r="N718">
        <v>-1.2362120000000001E-2</v>
      </c>
      <c r="O718">
        <v>-2.6667370000000002E-3</v>
      </c>
      <c r="P718">
        <v>0.98714519999999994</v>
      </c>
      <c r="Q718">
        <v>0.15857370000000001</v>
      </c>
      <c r="R718">
        <v>-1.9973580000000001E-2</v>
      </c>
      <c r="S718">
        <v>3.0532840000000001</v>
      </c>
      <c r="T718">
        <v>-0.140299799999999</v>
      </c>
      <c r="U718">
        <v>-0.38610840000000002</v>
      </c>
      <c r="V718">
        <v>1.733604E-2</v>
      </c>
      <c r="W718">
        <v>0.17076629999999901</v>
      </c>
      <c r="X718">
        <v>0.98515900000000001</v>
      </c>
      <c r="Y718">
        <v>0.1226507</v>
      </c>
      <c r="Z718">
        <v>-3.4777800000000002E-3</v>
      </c>
      <c r="AA718">
        <v>0.99244379999999999</v>
      </c>
      <c r="AB718">
        <v>22</v>
      </c>
      <c r="AC718">
        <v>25.270299999999999</v>
      </c>
      <c r="AD718">
        <v>-1.170852</v>
      </c>
      <c r="AE718">
        <v>-3.22169999999999</v>
      </c>
      <c r="AF718">
        <v>3.1476449923729799</v>
      </c>
      <c r="AG718">
        <v>-1.170852</v>
      </c>
      <c r="AH718">
        <v>25.2255152275672</v>
      </c>
      <c r="AI718">
        <v>92.637077055024093</v>
      </c>
      <c r="AJ718">
        <v>82.887383499290493</v>
      </c>
      <c r="AK718">
        <v>25.4480879812245</v>
      </c>
      <c r="AL718">
        <v>80.167623281321596</v>
      </c>
      <c r="AM718">
        <v>88.991858758358006</v>
      </c>
      <c r="AN718">
        <v>0.99999996138978497</v>
      </c>
    </row>
    <row r="719" spans="1:40" x14ac:dyDescent="0.25">
      <c r="A719" t="str">
        <f>"20190303162226401"</f>
        <v>20190303162226401</v>
      </c>
      <c r="B719" t="str">
        <f>"1551601346394641"</f>
        <v>1551601346394641</v>
      </c>
      <c r="C719" t="s">
        <v>40</v>
      </c>
      <c r="D719">
        <v>5.1543419999999998</v>
      </c>
      <c r="E719">
        <v>0.55720040000000004</v>
      </c>
      <c r="F719" t="s">
        <v>43</v>
      </c>
      <c r="G719">
        <v>-314.6515</v>
      </c>
      <c r="H719">
        <v>-0.05</v>
      </c>
      <c r="I719">
        <v>363.49239999999998</v>
      </c>
      <c r="J719">
        <v>-340.24279999999999</v>
      </c>
      <c r="K719">
        <v>1.120844</v>
      </c>
      <c r="L719">
        <v>366.75940000000003</v>
      </c>
      <c r="M719">
        <v>0.99992110000000001</v>
      </c>
      <c r="N719">
        <v>-1.2285600000000001E-2</v>
      </c>
      <c r="O719">
        <v>-2.6240740000000001E-3</v>
      </c>
      <c r="P719">
        <v>0.98721720000000002</v>
      </c>
      <c r="Q719">
        <v>0.1582102</v>
      </c>
      <c r="R719">
        <v>-1.9291320000000001E-2</v>
      </c>
      <c r="S719">
        <v>3.0534970000000001</v>
      </c>
      <c r="T719">
        <v>-0.13851550000000001</v>
      </c>
      <c r="U719">
        <v>-0.38656620000000003</v>
      </c>
      <c r="V719">
        <v>1.6695740000000001E-2</v>
      </c>
      <c r="W719">
        <v>0.1703279</v>
      </c>
      <c r="X719">
        <v>0.98524599999999996</v>
      </c>
      <c r="Y719">
        <v>0.1228344</v>
      </c>
      <c r="Z719">
        <v>-3.4452440000000001E-3</v>
      </c>
      <c r="AA719">
        <v>0.9924212</v>
      </c>
      <c r="AB719">
        <v>22</v>
      </c>
      <c r="AC719">
        <v>25.591299999999901</v>
      </c>
      <c r="AD719">
        <v>-1.170844</v>
      </c>
      <c r="AE719">
        <v>-3.2670000000000501</v>
      </c>
      <c r="AF719">
        <v>3.1932532457901202</v>
      </c>
      <c r="AG719">
        <v>-1.170844</v>
      </c>
      <c r="AH719">
        <v>25.547167248216098</v>
      </c>
      <c r="AI719">
        <v>92.603834621706497</v>
      </c>
      <c r="AJ719">
        <v>82.875298679520199</v>
      </c>
      <c r="AK719">
        <v>25.772572560231701</v>
      </c>
      <c r="AL719">
        <v>80.193115711493903</v>
      </c>
      <c r="AM719">
        <v>89.029172522681094</v>
      </c>
      <c r="AN719">
        <v>1.0000000108842699</v>
      </c>
    </row>
    <row r="720" spans="1:40" x14ac:dyDescent="0.25">
      <c r="A720" t="str">
        <f>"20190303162226423"</f>
        <v>20190303162226423</v>
      </c>
      <c r="B720" t="str">
        <f>"1551601346415137"</f>
        <v>1551601346415137</v>
      </c>
      <c r="C720" t="s">
        <v>40</v>
      </c>
      <c r="D720">
        <v>5.1380169999999996</v>
      </c>
      <c r="E720">
        <v>0.55819980000000002</v>
      </c>
      <c r="F720" t="s">
        <v>43</v>
      </c>
      <c r="G720">
        <v>-312.5736</v>
      </c>
      <c r="H720">
        <v>-0.05</v>
      </c>
      <c r="I720">
        <v>362.07040000000001</v>
      </c>
      <c r="J720">
        <v>-340.02539999999999</v>
      </c>
      <c r="K720">
        <v>1.120844</v>
      </c>
      <c r="L720">
        <v>366.75889999999998</v>
      </c>
      <c r="M720">
        <v>0.99992219999999998</v>
      </c>
      <c r="N720">
        <v>-1.220741E-2</v>
      </c>
      <c r="O720">
        <v>-2.5817610000000001E-3</v>
      </c>
      <c r="P720">
        <v>0.98722650000000001</v>
      </c>
      <c r="Q720">
        <v>0.15828299999999901</v>
      </c>
      <c r="R720">
        <v>-1.8181249999999999E-2</v>
      </c>
      <c r="S720">
        <v>3.0494690000000002</v>
      </c>
      <c r="T720">
        <v>-0.12904080000000001</v>
      </c>
      <c r="U720">
        <v>-0.51678469999999999</v>
      </c>
      <c r="V720">
        <v>1.562767E-2</v>
      </c>
      <c r="W720">
        <v>0.17032369999999999</v>
      </c>
      <c r="X720">
        <v>0.98526420000000003</v>
      </c>
      <c r="Y720">
        <v>0.16435459999999999</v>
      </c>
      <c r="Z720">
        <v>-4.3850149999999999E-3</v>
      </c>
      <c r="AA720">
        <v>0.98639160000000004</v>
      </c>
      <c r="AB720">
        <v>22</v>
      </c>
      <c r="AC720">
        <v>27.451799999999899</v>
      </c>
      <c r="AD720">
        <v>-1.170844</v>
      </c>
      <c r="AE720">
        <v>-4.6884999999999701</v>
      </c>
      <c r="AF720">
        <v>4.6094577000742101</v>
      </c>
      <c r="AG720">
        <v>-1.170844</v>
      </c>
      <c r="AH720">
        <v>27.4153562078112</v>
      </c>
      <c r="AI720">
        <v>92.411669532705801</v>
      </c>
      <c r="AJ720">
        <v>80.455888980906707</v>
      </c>
      <c r="AK720">
        <v>27.824804257393801</v>
      </c>
      <c r="AL720">
        <v>80.193359471037098</v>
      </c>
      <c r="AM720">
        <v>89.091284899471503</v>
      </c>
      <c r="AN720">
        <v>0.99999996532647795</v>
      </c>
    </row>
    <row r="721" spans="1:40" x14ac:dyDescent="0.25">
      <c r="A721" t="str">
        <f>"20190303162226446"</f>
        <v>20190303162226446</v>
      </c>
      <c r="B721" t="str">
        <f>"1551601346434656"</f>
        <v>1551601346434656</v>
      </c>
      <c r="C721" t="s">
        <v>40</v>
      </c>
      <c r="D721">
        <v>5.1178949999999999</v>
      </c>
      <c r="E721">
        <v>0.55849179999999998</v>
      </c>
      <c r="F721" t="s">
        <v>43</v>
      </c>
      <c r="G721">
        <v>-313.3947</v>
      </c>
      <c r="H721">
        <v>-0.05</v>
      </c>
      <c r="I721">
        <v>362.21019999999999</v>
      </c>
      <c r="J721">
        <v>-339.80059999999997</v>
      </c>
      <c r="K721">
        <v>1.1208400000000001</v>
      </c>
      <c r="L721">
        <v>366.75839999999999</v>
      </c>
      <c r="M721">
        <v>0.99992329999999996</v>
      </c>
      <c r="N721">
        <v>-1.2126130000000001E-2</v>
      </c>
      <c r="O721">
        <v>-2.5376460000000002E-3</v>
      </c>
      <c r="P721">
        <v>0.9870544</v>
      </c>
      <c r="Q721">
        <v>0.15941440000000001</v>
      </c>
      <c r="R721">
        <v>-1.7631859999999999E-2</v>
      </c>
      <c r="S721">
        <v>3.050751</v>
      </c>
      <c r="T721">
        <v>-0.134129</v>
      </c>
      <c r="U721">
        <v>-0.52108759999999998</v>
      </c>
      <c r="V721">
        <v>1.512252E-2</v>
      </c>
      <c r="W721">
        <v>0.17137279999999999</v>
      </c>
      <c r="X721">
        <v>0.98509020000000003</v>
      </c>
      <c r="Y721">
        <v>0.1656676</v>
      </c>
      <c r="Z721">
        <v>-4.5461249999999998E-3</v>
      </c>
      <c r="AA721">
        <v>0.98617120000000003</v>
      </c>
      <c r="AB721">
        <v>22</v>
      </c>
      <c r="AC721">
        <v>26.4058999999999</v>
      </c>
      <c r="AD721">
        <v>-1.1708399999999901</v>
      </c>
      <c r="AE721">
        <v>-4.5481999999999996</v>
      </c>
      <c r="AF721">
        <v>4.4726315730074004</v>
      </c>
      <c r="AG721">
        <v>-1.1708399999999901</v>
      </c>
      <c r="AH721">
        <v>26.367012437729201</v>
      </c>
      <c r="AI721">
        <v>92.506813190923694</v>
      </c>
      <c r="AJ721">
        <v>80.372569952333507</v>
      </c>
      <c r="AK721">
        <v>26.769285466460001</v>
      </c>
      <c r="AL721">
        <v>80.132354006226294</v>
      </c>
      <c r="AM721">
        <v>89.120498288854193</v>
      </c>
      <c r="AN721">
        <v>1.00000001466351</v>
      </c>
    </row>
    <row r="722" spans="1:40" x14ac:dyDescent="0.25">
      <c r="A722" t="str">
        <f>"20190303162226470"</f>
        <v>20190303162226470</v>
      </c>
      <c r="B722" t="str">
        <f>"1551601346465417"</f>
        <v>1551601346465417</v>
      </c>
      <c r="C722" t="s">
        <v>40</v>
      </c>
      <c r="D722">
        <v>5.1182429999999997</v>
      </c>
      <c r="E722">
        <v>0.55855669999999902</v>
      </c>
      <c r="F722" t="s">
        <v>43</v>
      </c>
      <c r="G722">
        <v>-312.46170000000001</v>
      </c>
      <c r="H722">
        <v>-0.05</v>
      </c>
      <c r="I722">
        <v>362.0822</v>
      </c>
      <c r="J722">
        <v>-339.56630000000001</v>
      </c>
      <c r="K722">
        <v>1.1208370000000001</v>
      </c>
      <c r="L722">
        <v>366.75779999999997</v>
      </c>
      <c r="M722">
        <v>0.99992440000000005</v>
      </c>
      <c r="N722">
        <v>-1.204506E-2</v>
      </c>
      <c r="O722">
        <v>-2.4924529999999999E-3</v>
      </c>
      <c r="P722">
        <v>0.98698940000000002</v>
      </c>
      <c r="Q722">
        <v>0.15993180000000001</v>
      </c>
      <c r="R722">
        <v>-1.6551440000000001E-2</v>
      </c>
      <c r="S722">
        <v>3.0511170000000001</v>
      </c>
      <c r="T722">
        <v>-0.13067010000000001</v>
      </c>
      <c r="U722">
        <v>-0.52188109999999999</v>
      </c>
      <c r="V722">
        <v>1.408688E-2</v>
      </c>
      <c r="W722">
        <v>0.1718092</v>
      </c>
      <c r="X722">
        <v>0.9850295</v>
      </c>
      <c r="Y722">
        <v>0.16595070000000001</v>
      </c>
      <c r="Z722">
        <v>-4.4575179999999997E-3</v>
      </c>
      <c r="AA722">
        <v>0.986124</v>
      </c>
      <c r="AB722">
        <v>22</v>
      </c>
      <c r="AC722">
        <v>27.104600000000001</v>
      </c>
      <c r="AD722">
        <v>-1.1708369999999999</v>
      </c>
      <c r="AE722">
        <v>-4.67559999999997</v>
      </c>
      <c r="AF722">
        <v>4.5996887318400699</v>
      </c>
      <c r="AG722">
        <v>-1.1708369999999999</v>
      </c>
      <c r="AH722">
        <v>27.067123153279301</v>
      </c>
      <c r="AI722">
        <v>92.441922555463904</v>
      </c>
      <c r="AJ722">
        <v>80.355497891346403</v>
      </c>
      <c r="AK722">
        <v>27.480122843706098</v>
      </c>
      <c r="AL722">
        <v>80.106973334327606</v>
      </c>
      <c r="AM722">
        <v>89.180670473455194</v>
      </c>
      <c r="AN722">
        <v>0.99999997863151102</v>
      </c>
    </row>
    <row r="723" spans="1:40" x14ac:dyDescent="0.25">
      <c r="A723" t="str">
        <f>"20190303162226490"</f>
        <v>20190303162226490</v>
      </c>
      <c r="B723" t="str">
        <f>"1551601346484937"</f>
        <v>1551601346484937</v>
      </c>
      <c r="C723" t="s">
        <v>40</v>
      </c>
      <c r="D723">
        <v>5.1100250000000003</v>
      </c>
      <c r="E723">
        <v>0.55863629999999997</v>
      </c>
      <c r="F723" t="s">
        <v>43</v>
      </c>
      <c r="G723">
        <v>-311.32549999999998</v>
      </c>
      <c r="H723">
        <v>-0.05</v>
      </c>
      <c r="I723">
        <v>361.95</v>
      </c>
      <c r="J723">
        <v>-339.35500000000002</v>
      </c>
      <c r="K723">
        <v>1.1208340000000001</v>
      </c>
      <c r="L723">
        <v>366.75740000000002</v>
      </c>
      <c r="M723">
        <v>0.99992530000000002</v>
      </c>
      <c r="N723">
        <v>-1.197265E-2</v>
      </c>
      <c r="O723">
        <v>-2.451726E-3</v>
      </c>
      <c r="P723">
        <v>0.98687290000000005</v>
      </c>
      <c r="Q723">
        <v>0.16074179999999999</v>
      </c>
      <c r="R723">
        <v>-1.561849E-2</v>
      </c>
      <c r="S723">
        <v>3.0513309999999998</v>
      </c>
      <c r="T723">
        <v>-0.12650500000000001</v>
      </c>
      <c r="U723">
        <v>-0.51947019999999999</v>
      </c>
      <c r="V723">
        <v>1.319415E-2</v>
      </c>
      <c r="W723">
        <v>0.1725467</v>
      </c>
      <c r="X723">
        <v>0.98491300000000004</v>
      </c>
      <c r="Y723">
        <v>0.16523370000000001</v>
      </c>
      <c r="Z723">
        <v>-4.3243609999999997E-3</v>
      </c>
      <c r="AA723">
        <v>0.98624500000000004</v>
      </c>
      <c r="AB723">
        <v>22</v>
      </c>
      <c r="AC723">
        <v>28.029499999999999</v>
      </c>
      <c r="AD723">
        <v>-1.1708339999999999</v>
      </c>
      <c r="AE723">
        <v>-4.8074000000000296</v>
      </c>
      <c r="AF723">
        <v>4.7306415463793101</v>
      </c>
      <c r="AG723">
        <v>-1.1708339999999999</v>
      </c>
      <c r="AH723">
        <v>27.993753698068499</v>
      </c>
      <c r="AI723">
        <v>92.361546703536703</v>
      </c>
      <c r="AJ723">
        <v>80.4082529099841</v>
      </c>
      <c r="AK723">
        <v>28.4147860770412</v>
      </c>
      <c r="AL723">
        <v>80.0640776262332</v>
      </c>
      <c r="AM723">
        <v>89.232496786905699</v>
      </c>
      <c r="AN723">
        <v>1.00000003342205</v>
      </c>
    </row>
    <row r="724" spans="1:40" x14ac:dyDescent="0.25">
      <c r="A724" t="str">
        <f>"20190303162226513"</f>
        <v>20190303162226513</v>
      </c>
      <c r="B724" t="str">
        <f>"1551601346505450"</f>
        <v>1551601346505450</v>
      </c>
      <c r="C724" t="s">
        <v>40</v>
      </c>
      <c r="D724">
        <v>5.1290420000000001</v>
      </c>
      <c r="E724">
        <v>0.55891780000000002</v>
      </c>
      <c r="F724" t="s">
        <v>43</v>
      </c>
      <c r="G724">
        <v>-310.83229999999998</v>
      </c>
      <c r="H724">
        <v>-0.05</v>
      </c>
      <c r="I724">
        <v>361.92880000000002</v>
      </c>
      <c r="J724">
        <v>-339.13510000000002</v>
      </c>
      <c r="K724">
        <v>1.1208229999999999</v>
      </c>
      <c r="L724">
        <v>366.75689999999997</v>
      </c>
      <c r="M724">
        <v>0.99992630000000005</v>
      </c>
      <c r="N724">
        <v>-1.1895589999999999E-2</v>
      </c>
      <c r="O724">
        <v>-2.4091889999999999E-3</v>
      </c>
      <c r="P724">
        <v>0.98674119999999998</v>
      </c>
      <c r="Q724">
        <v>0.16154739999999901</v>
      </c>
      <c r="R724">
        <v>-1.5632529999999999E-2</v>
      </c>
      <c r="S724">
        <v>3.0521240000000001</v>
      </c>
      <c r="T724">
        <v>-0.12528739999999999</v>
      </c>
      <c r="U724">
        <v>-0.51669309999999902</v>
      </c>
      <c r="V724">
        <v>1.325051E-2</v>
      </c>
      <c r="W724">
        <v>0.1732746</v>
      </c>
      <c r="X724">
        <v>0.9847844</v>
      </c>
      <c r="Y724">
        <v>0.16436519999999999</v>
      </c>
      <c r="Z724">
        <v>-4.2636949999999996E-3</v>
      </c>
      <c r="AA724">
        <v>0.9863904</v>
      </c>
      <c r="AB724">
        <v>22</v>
      </c>
      <c r="AC724">
        <v>28.302800000000001</v>
      </c>
      <c r="AD724">
        <v>-1.1708229999999999</v>
      </c>
      <c r="AE724">
        <v>-4.8280999999999397</v>
      </c>
      <c r="AF724">
        <v>4.7519922770321603</v>
      </c>
      <c r="AG724">
        <v>-1.1708229999999999</v>
      </c>
      <c r="AH724">
        <v>28.267344717263601</v>
      </c>
      <c r="AI724">
        <v>92.339030625151295</v>
      </c>
      <c r="AJ724">
        <v>80.457296009235606</v>
      </c>
      <c r="AK724">
        <v>28.687890031560499</v>
      </c>
      <c r="AL724">
        <v>80.021733781663301</v>
      </c>
      <c r="AM724">
        <v>89.229118080661195</v>
      </c>
      <c r="AN724">
        <v>0.99999998875189</v>
      </c>
    </row>
    <row r="725" spans="1:40" x14ac:dyDescent="0.25">
      <c r="A725" t="str">
        <f>"20190303162226535"</f>
        <v>20190303162226535</v>
      </c>
      <c r="B725" t="str">
        <f>"1551601346524954"</f>
        <v>1551601346524954</v>
      </c>
      <c r="C725" t="s">
        <v>40</v>
      </c>
      <c r="D725">
        <v>5.0890659999999999</v>
      </c>
      <c r="E725">
        <v>0.55934099999999998</v>
      </c>
      <c r="F725" t="s">
        <v>43</v>
      </c>
      <c r="G725">
        <v>-310.18880000000001</v>
      </c>
      <c r="H725">
        <v>-0.05</v>
      </c>
      <c r="I725">
        <v>361.8374</v>
      </c>
      <c r="J725">
        <v>-338.9119</v>
      </c>
      <c r="K725">
        <v>1.120811</v>
      </c>
      <c r="L725">
        <v>366.75639999999999</v>
      </c>
      <c r="M725">
        <v>0.99992749999999997</v>
      </c>
      <c r="N725">
        <v>-1.1813799999999999E-2</v>
      </c>
      <c r="O725">
        <v>-2.3661480000000002E-3</v>
      </c>
      <c r="P725">
        <v>0.98661019999999999</v>
      </c>
      <c r="Q725">
        <v>0.16228010000000001</v>
      </c>
      <c r="R725">
        <v>-1.6292870000000001E-2</v>
      </c>
      <c r="S725">
        <v>3.0522770000000001</v>
      </c>
      <c r="T725">
        <v>-0.1234589</v>
      </c>
      <c r="U725">
        <v>-0.51873779999999903</v>
      </c>
      <c r="V725">
        <v>1.39536E-2</v>
      </c>
      <c r="W725">
        <v>0.173925</v>
      </c>
      <c r="X725">
        <v>0.98465999999999998</v>
      </c>
      <c r="Y725">
        <v>0.16504579999999999</v>
      </c>
      <c r="Z725">
        <v>-4.2279650000000002E-3</v>
      </c>
      <c r="AA725">
        <v>0.98627690000000001</v>
      </c>
      <c r="AB725">
        <v>22</v>
      </c>
      <c r="AC725">
        <v>28.723099999999899</v>
      </c>
      <c r="AD725">
        <v>-1.170811</v>
      </c>
      <c r="AE725">
        <v>-4.9189999999999801</v>
      </c>
      <c r="AF725">
        <v>4.8432004982275298</v>
      </c>
      <c r="AG725">
        <v>-1.170811</v>
      </c>
      <c r="AH725">
        <v>28.688350784110899</v>
      </c>
      <c r="AI725">
        <v>92.304450071907297</v>
      </c>
      <c r="AJ725">
        <v>80.417613158170397</v>
      </c>
      <c r="AK725">
        <v>29.1178443600474</v>
      </c>
      <c r="AL725">
        <v>79.983893787989302</v>
      </c>
      <c r="AM725">
        <v>89.188116833247506</v>
      </c>
      <c r="AN725">
        <v>0.99999996208897901</v>
      </c>
    </row>
    <row r="726" spans="1:40" x14ac:dyDescent="0.25">
      <c r="A726" t="str">
        <f>"20190303162226558"</f>
        <v>20190303162226558</v>
      </c>
      <c r="B726" t="str">
        <f>"1551601346555716"</f>
        <v>1551601346555716</v>
      </c>
      <c r="C726" t="s">
        <v>40</v>
      </c>
      <c r="D726">
        <v>5.1243720000000001</v>
      </c>
      <c r="E726">
        <v>0.55984659999999997</v>
      </c>
      <c r="F726" t="s">
        <v>43</v>
      </c>
      <c r="G726">
        <v>-309.48770000000002</v>
      </c>
      <c r="H726">
        <v>-0.05</v>
      </c>
      <c r="I726">
        <v>361.70150000000001</v>
      </c>
      <c r="J726">
        <v>-338.68470000000002</v>
      </c>
      <c r="K726">
        <v>1.1207990000000001</v>
      </c>
      <c r="L726">
        <v>366.7559</v>
      </c>
      <c r="M726">
        <v>0.9999287</v>
      </c>
      <c r="N726">
        <v>-1.17229E-2</v>
      </c>
      <c r="O726">
        <v>-2.3222239999999999E-3</v>
      </c>
      <c r="P726">
        <v>0.98639880000000002</v>
      </c>
      <c r="Q726">
        <v>0.1635115</v>
      </c>
      <c r="R726">
        <v>-1.6777670000000001E-2</v>
      </c>
      <c r="S726">
        <v>3.0520320000000001</v>
      </c>
      <c r="T726">
        <v>-0.1214428</v>
      </c>
      <c r="U726">
        <v>-0.52432250000000002</v>
      </c>
      <c r="V726">
        <v>1.448202E-2</v>
      </c>
      <c r="W726">
        <v>0.175065</v>
      </c>
      <c r="X726">
        <v>0.9844503</v>
      </c>
      <c r="Y726">
        <v>0.1668588</v>
      </c>
      <c r="Z726">
        <v>-4.2153080000000001E-3</v>
      </c>
      <c r="AA726">
        <v>0.98597179999999995</v>
      </c>
      <c r="AB726">
        <v>22</v>
      </c>
      <c r="AC726">
        <v>29.196999999999999</v>
      </c>
      <c r="AD726">
        <v>-1.1707989999999999</v>
      </c>
      <c r="AE726">
        <v>-5.0543999999999798</v>
      </c>
      <c r="AF726">
        <v>4.9788067267440299</v>
      </c>
      <c r="AG726">
        <v>-1.1707989999999999</v>
      </c>
      <c r="AH726">
        <v>29.163129431321899</v>
      </c>
      <c r="AI726">
        <v>92.2662391884312</v>
      </c>
      <c r="AJ726">
        <v>80.311717710992099</v>
      </c>
      <c r="AK726">
        <v>29.608232046995099</v>
      </c>
      <c r="AL726">
        <v>79.917558642824204</v>
      </c>
      <c r="AM726">
        <v>89.157195871150407</v>
      </c>
      <c r="AN726">
        <v>0.99999993814918298</v>
      </c>
    </row>
    <row r="727" spans="1:40" x14ac:dyDescent="0.25">
      <c r="A727" t="str">
        <f>"20190303162226580"</f>
        <v>20190303162226580</v>
      </c>
      <c r="B727" t="str">
        <f>"1551601346575236"</f>
        <v>1551601346575236</v>
      </c>
      <c r="C727" t="s">
        <v>40</v>
      </c>
      <c r="D727">
        <v>5.1104469999999997</v>
      </c>
      <c r="E727">
        <v>0.5601488</v>
      </c>
      <c r="F727" t="s">
        <v>43</v>
      </c>
      <c r="G727">
        <v>-308.62299999999999</v>
      </c>
      <c r="H727">
        <v>-0.05</v>
      </c>
      <c r="I727">
        <v>361.541</v>
      </c>
      <c r="J727">
        <v>-338.4667</v>
      </c>
      <c r="K727">
        <v>1.1207819999999999</v>
      </c>
      <c r="L727">
        <v>366.75549999999998</v>
      </c>
      <c r="M727">
        <v>0.99992990000000004</v>
      </c>
      <c r="N727">
        <v>-1.1624789999999999E-2</v>
      </c>
      <c r="O727">
        <v>-2.280051E-3</v>
      </c>
      <c r="P727">
        <v>0.98636199999999996</v>
      </c>
      <c r="Q727">
        <v>0.1637226</v>
      </c>
      <c r="R727">
        <v>-1.6884779999999999E-2</v>
      </c>
      <c r="S727">
        <v>3.052063</v>
      </c>
      <c r="T727">
        <v>-0.1188675</v>
      </c>
      <c r="U727">
        <v>-0.52944950000000002</v>
      </c>
      <c r="V727">
        <v>1.463103E-2</v>
      </c>
      <c r="W727">
        <v>0.17517859999999999</v>
      </c>
      <c r="X727">
        <v>0.98442790000000002</v>
      </c>
      <c r="Y727">
        <v>0.16851169999999999</v>
      </c>
      <c r="Z727">
        <v>-4.181372E-3</v>
      </c>
      <c r="AA727">
        <v>0.98569079999999998</v>
      </c>
      <c r="AB727">
        <v>22</v>
      </c>
      <c r="AC727">
        <v>29.843699999999998</v>
      </c>
      <c r="AD727">
        <v>-1.170782</v>
      </c>
      <c r="AE727">
        <v>-5.2144999999999797</v>
      </c>
      <c r="AF727">
        <v>5.1387622855097099</v>
      </c>
      <c r="AG727">
        <v>-1.170782</v>
      </c>
      <c r="AH727">
        <v>29.810991768378301</v>
      </c>
      <c r="AI727">
        <v>92.216395138368696</v>
      </c>
      <c r="AJ727">
        <v>80.219578697949302</v>
      </c>
      <c r="AK727">
        <v>30.273302405466399</v>
      </c>
      <c r="AL727">
        <v>79.910947798101205</v>
      </c>
      <c r="AM727">
        <v>89.148505896152201</v>
      </c>
      <c r="AN727">
        <v>0.99999994961761396</v>
      </c>
    </row>
    <row r="728" spans="1:40" x14ac:dyDescent="0.25">
      <c r="A728" t="str">
        <f>"20190303162226603"</f>
        <v>20190303162226603</v>
      </c>
      <c r="B728" t="str">
        <f>"1551601346594756"</f>
        <v>1551601346594756</v>
      </c>
      <c r="C728" t="s">
        <v>40</v>
      </c>
      <c r="D728">
        <v>5.150372</v>
      </c>
      <c r="E728">
        <v>0.56033339999999998</v>
      </c>
      <c r="F728" t="s">
        <v>43</v>
      </c>
      <c r="G728">
        <v>-308.62939999999998</v>
      </c>
      <c r="H728">
        <v>-0.05</v>
      </c>
      <c r="I728">
        <v>361.55709999999999</v>
      </c>
      <c r="J728">
        <v>-338.24189999999999</v>
      </c>
      <c r="K728">
        <v>1.120771</v>
      </c>
      <c r="L728">
        <v>366.755</v>
      </c>
      <c r="M728">
        <v>0.99993129999999997</v>
      </c>
      <c r="N728">
        <v>-1.150789E-2</v>
      </c>
      <c r="O728">
        <v>-2.2355140000000001E-3</v>
      </c>
      <c r="P728">
        <v>0.98627319999999996</v>
      </c>
      <c r="Q728">
        <v>0.16419710000000001</v>
      </c>
      <c r="R728">
        <v>-1.7454959999999999E-2</v>
      </c>
      <c r="S728">
        <v>3.0522459999999998</v>
      </c>
      <c r="T728">
        <v>-0.1197666</v>
      </c>
      <c r="U728">
        <v>-0.53176880000000004</v>
      </c>
      <c r="V728">
        <v>1.524532E-2</v>
      </c>
      <c r="W728">
        <v>0.17553679999999999</v>
      </c>
      <c r="X728">
        <v>0.98435479999999997</v>
      </c>
      <c r="Y728">
        <v>0.16927020000000001</v>
      </c>
      <c r="Z728">
        <v>-4.2151790000000003E-3</v>
      </c>
      <c r="AA728">
        <v>0.98556069999999996</v>
      </c>
      <c r="AB728">
        <v>22</v>
      </c>
      <c r="AC728">
        <v>29.612500000000001</v>
      </c>
      <c r="AD728">
        <v>-1.170771</v>
      </c>
      <c r="AE728">
        <v>-5.1978999999999997</v>
      </c>
      <c r="AF728">
        <v>5.1239135494093899</v>
      </c>
      <c r="AG728">
        <v>-1.170771</v>
      </c>
      <c r="AH728">
        <v>29.579192757225702</v>
      </c>
      <c r="AI728">
        <v>92.233407746096006</v>
      </c>
      <c r="AJ728">
        <v>80.172353284107501</v>
      </c>
      <c r="AK728">
        <v>30.042533830643801</v>
      </c>
      <c r="AL728">
        <v>79.890101741297102</v>
      </c>
      <c r="AM728">
        <v>89.112695277332193</v>
      </c>
      <c r="AN728">
        <v>0.99999998010959001</v>
      </c>
    </row>
    <row r="729" spans="1:40" x14ac:dyDescent="0.25">
      <c r="A729" t="str">
        <f>"20190303162226616"</f>
        <v>20190303162226616</v>
      </c>
      <c r="B729" t="str">
        <f>"1551601346605491"</f>
        <v>1551601346605491</v>
      </c>
      <c r="C729" t="s">
        <v>40</v>
      </c>
      <c r="D729">
        <v>5.1653640000000003</v>
      </c>
      <c r="E729">
        <v>0.56033339999999998</v>
      </c>
      <c r="F729" t="s">
        <v>43</v>
      </c>
      <c r="G729">
        <v>-308.31209999999999</v>
      </c>
      <c r="H729">
        <v>-0.05</v>
      </c>
      <c r="I729">
        <v>361.50979999999998</v>
      </c>
      <c r="J729">
        <v>-338.11430000000001</v>
      </c>
      <c r="K729">
        <v>1.120763</v>
      </c>
      <c r="L729">
        <v>366.75479999999999</v>
      </c>
      <c r="M729">
        <v>0.9999323</v>
      </c>
      <c r="N729">
        <v>-1.143392E-2</v>
      </c>
      <c r="O729">
        <v>-2.210535E-3</v>
      </c>
      <c r="P729">
        <v>0.986209</v>
      </c>
      <c r="Q729">
        <v>0.16458680000000001</v>
      </c>
      <c r="R729">
        <v>-1.7413669999999999E-2</v>
      </c>
      <c r="S729">
        <v>3.0521240000000001</v>
      </c>
      <c r="T729">
        <v>-0.11939039999999999</v>
      </c>
      <c r="U729">
        <v>-0.53488159999999996</v>
      </c>
      <c r="V729">
        <v>1.5228739999999999E-2</v>
      </c>
      <c r="W729">
        <v>0.175852799999999</v>
      </c>
      <c r="X729">
        <v>0.98429869999999997</v>
      </c>
      <c r="Y729">
        <v>0.17027700000000001</v>
      </c>
      <c r="Z729">
        <v>-4.224584E-3</v>
      </c>
      <c r="AA729">
        <v>0.98538720000000002</v>
      </c>
      <c r="AB729">
        <v>22</v>
      </c>
      <c r="AC729">
        <v>29.802199999999999</v>
      </c>
      <c r="AD729">
        <v>-1.170763</v>
      </c>
      <c r="AE729">
        <v>-5.2450000000000001</v>
      </c>
      <c r="AF729">
        <v>5.17136304840965</v>
      </c>
      <c r="AG729">
        <v>-1.170763</v>
      </c>
      <c r="AH729">
        <v>29.7691606389476</v>
      </c>
      <c r="AI729">
        <v>92.218972336959396</v>
      </c>
      <c r="AJ729">
        <v>80.145182492675303</v>
      </c>
      <c r="AK729">
        <v>30.237668675479799</v>
      </c>
      <c r="AL729">
        <v>79.871710660928997</v>
      </c>
      <c r="AM729">
        <v>89.113609599986702</v>
      </c>
      <c r="AN729">
        <v>1.00000002630575</v>
      </c>
    </row>
    <row r="730" spans="1:40" x14ac:dyDescent="0.25">
      <c r="A730" t="str">
        <f>"20190303162226641"</f>
        <v>20190303162226641</v>
      </c>
      <c r="B730" t="str">
        <f>"1551601346634772"</f>
        <v>1551601346634772</v>
      </c>
      <c r="C730" t="s">
        <v>40</v>
      </c>
      <c r="D730">
        <v>5.4753699999999998</v>
      </c>
      <c r="E730">
        <v>0.53673970000000004</v>
      </c>
      <c r="F730" t="s">
        <v>43</v>
      </c>
      <c r="G730">
        <v>-307.92410000000001</v>
      </c>
      <c r="H730">
        <v>-0.05</v>
      </c>
      <c r="I730">
        <v>361.47030000000001</v>
      </c>
      <c r="J730">
        <v>-337.85059999999999</v>
      </c>
      <c r="K730">
        <v>1.120743</v>
      </c>
      <c r="L730">
        <v>366.75420000000003</v>
      </c>
      <c r="M730">
        <v>0.99993410000000005</v>
      </c>
      <c r="N730">
        <v>-1.127823E-2</v>
      </c>
      <c r="O730">
        <v>-2.159584E-3</v>
      </c>
      <c r="P730">
        <v>0.98599329999999996</v>
      </c>
      <c r="Q730">
        <v>0.16583290000000001</v>
      </c>
      <c r="R730">
        <v>-1.7802979999999999E-2</v>
      </c>
      <c r="S730">
        <v>3.0523069999999999</v>
      </c>
      <c r="T730">
        <v>-0.1183674</v>
      </c>
      <c r="U730">
        <v>-0.53427119999999995</v>
      </c>
      <c r="V730">
        <v>1.5668700000000001E-2</v>
      </c>
      <c r="W730">
        <v>0.17694360000000001</v>
      </c>
      <c r="X730">
        <v>0.98409630000000003</v>
      </c>
      <c r="Y730">
        <v>0.17012910000000001</v>
      </c>
      <c r="Z730">
        <v>-4.1808710000000001E-3</v>
      </c>
      <c r="AA730">
        <v>0.98541290000000004</v>
      </c>
      <c r="AB730">
        <v>22</v>
      </c>
      <c r="AC730">
        <v>29.926499999999901</v>
      </c>
      <c r="AD730">
        <v>-1.1707430000000001</v>
      </c>
      <c r="AE730">
        <v>-5.2839000000000098</v>
      </c>
      <c r="AF730">
        <v>5.2115200754759599</v>
      </c>
      <c r="AG730">
        <v>-1.1707430000000001</v>
      </c>
      <c r="AH730">
        <v>29.893475413316501</v>
      </c>
      <c r="AI730">
        <v>92.209484476225299</v>
      </c>
      <c r="AJ730">
        <v>80.110651827101506</v>
      </c>
      <c r="AK730">
        <v>30.366930252425799</v>
      </c>
      <c r="AL730">
        <v>79.808216875179397</v>
      </c>
      <c r="AM730">
        <v>89.087818407755506</v>
      </c>
      <c r="AN730">
        <v>1.00000003670716</v>
      </c>
    </row>
    <row r="731" spans="1:40" x14ac:dyDescent="0.25">
      <c r="A731" t="str">
        <f>"20190303162226660"</f>
        <v>20190303162226660</v>
      </c>
      <c r="B731" t="str">
        <f>"1551601346645507"</f>
        <v>1551601346645507</v>
      </c>
      <c r="C731" t="s">
        <v>40</v>
      </c>
      <c r="D731">
        <v>5.3606319999999998</v>
      </c>
      <c r="E731">
        <v>0.53673970000000004</v>
      </c>
      <c r="F731" t="s">
        <v>43</v>
      </c>
      <c r="G731">
        <v>-314.55619999999999</v>
      </c>
      <c r="H731">
        <v>-0.05</v>
      </c>
      <c r="I731">
        <v>364.1105</v>
      </c>
      <c r="J731">
        <v>-337.6807</v>
      </c>
      <c r="K731">
        <v>1.1207309999999999</v>
      </c>
      <c r="L731">
        <v>366.75389999999999</v>
      </c>
      <c r="M731">
        <v>0.99993540000000003</v>
      </c>
      <c r="N731">
        <v>-1.1172720000000001E-2</v>
      </c>
      <c r="O731">
        <v>-2.126569E-3</v>
      </c>
      <c r="P731">
        <v>0.98600560000000004</v>
      </c>
      <c r="Q731">
        <v>0.16572790000000001</v>
      </c>
      <c r="R731">
        <v>-1.8093629999999999E-2</v>
      </c>
      <c r="S731">
        <v>3.0622250000000002</v>
      </c>
      <c r="T731">
        <v>-0.15390299999999901</v>
      </c>
      <c r="U731">
        <v>-0.34753420000000002</v>
      </c>
      <c r="V731">
        <v>1.5991680000000001E-2</v>
      </c>
      <c r="W731">
        <v>0.17673469999999999</v>
      </c>
      <c r="X731">
        <v>0.98412860000000002</v>
      </c>
      <c r="Y731">
        <v>0.1104864</v>
      </c>
      <c r="Z731">
        <v>-3.3027199999999999E-3</v>
      </c>
      <c r="AA731">
        <v>0.99387219999999998</v>
      </c>
      <c r="AB731">
        <v>22</v>
      </c>
      <c r="AC731">
        <v>23.124500000000001</v>
      </c>
      <c r="AD731">
        <v>-1.170731</v>
      </c>
      <c r="AE731">
        <v>-2.6433999999999802</v>
      </c>
      <c r="AF731">
        <v>2.5876681486546702</v>
      </c>
      <c r="AG731">
        <v>-1.170731</v>
      </c>
      <c r="AH731">
        <v>23.071696587513198</v>
      </c>
      <c r="AI731">
        <v>92.886808475034996</v>
      </c>
      <c r="AJ731">
        <v>83.600581910534203</v>
      </c>
      <c r="AK731">
        <v>23.245855995170199</v>
      </c>
      <c r="AL731">
        <v>79.820377186850706</v>
      </c>
      <c r="AM731">
        <v>89.069049371561604</v>
      </c>
      <c r="AN731">
        <v>0.99999999467563605</v>
      </c>
    </row>
    <row r="732" spans="1:40" x14ac:dyDescent="0.25">
      <c r="A732" t="str">
        <f>"20190303162226683"</f>
        <v>20190303162226683</v>
      </c>
      <c r="B732" t="str">
        <f>"1551601346674787"</f>
        <v>1551601346674787</v>
      </c>
      <c r="C732" t="s">
        <v>40</v>
      </c>
      <c r="D732">
        <v>5.3384580000000001</v>
      </c>
      <c r="E732">
        <v>0.44267119999999999</v>
      </c>
      <c r="F732" t="s">
        <v>43</v>
      </c>
      <c r="G732">
        <v>-314.47190000000001</v>
      </c>
      <c r="H732">
        <v>-0.05</v>
      </c>
      <c r="I732">
        <v>364.11750000000001</v>
      </c>
      <c r="J732">
        <v>-337.44729999999998</v>
      </c>
      <c r="K732">
        <v>1.1207100000000001</v>
      </c>
      <c r="L732">
        <v>366.7534</v>
      </c>
      <c r="M732">
        <v>0.99993730000000003</v>
      </c>
      <c r="N732">
        <v>-1.102E-2</v>
      </c>
      <c r="O732">
        <v>-2.0814980000000002E-3</v>
      </c>
      <c r="P732">
        <v>0.98604760000000002</v>
      </c>
      <c r="Q732">
        <v>0.16539619999999999</v>
      </c>
      <c r="R732">
        <v>-1.8832049999999999E-2</v>
      </c>
      <c r="S732">
        <v>3.0621640000000001</v>
      </c>
      <c r="T732">
        <v>-0.15446599999999999</v>
      </c>
      <c r="U732">
        <v>-0.34783940000000002</v>
      </c>
      <c r="V732">
        <v>1.6774440000000002E-2</v>
      </c>
      <c r="W732">
        <v>0.17625360000000001</v>
      </c>
      <c r="X732">
        <v>0.98420180000000002</v>
      </c>
      <c r="Y732">
        <v>0.1106303</v>
      </c>
      <c r="Z732">
        <v>-3.3098649999999999E-3</v>
      </c>
      <c r="AA732">
        <v>0.99385610000000002</v>
      </c>
      <c r="AB732">
        <v>22</v>
      </c>
      <c r="AC732">
        <v>22.975399999999901</v>
      </c>
      <c r="AD732">
        <v>-1.1707099999999999</v>
      </c>
      <c r="AE732">
        <v>-2.6358999999999901</v>
      </c>
      <c r="AF732">
        <v>2.58145272141059</v>
      </c>
      <c r="AG732">
        <v>-1.1707099999999999</v>
      </c>
      <c r="AH732">
        <v>22.9220953019808</v>
      </c>
      <c r="AI732">
        <v>92.905416694185405</v>
      </c>
      <c r="AJ732">
        <v>83.574506858556404</v>
      </c>
      <c r="AK732">
        <v>23.096686192829999</v>
      </c>
      <c r="AL732">
        <v>79.848381335717704</v>
      </c>
      <c r="AM732">
        <v>89.023562475816902</v>
      </c>
      <c r="AN732">
        <v>0.99999994823675498</v>
      </c>
    </row>
    <row r="733" spans="1:40" x14ac:dyDescent="0.25">
      <c r="A733" t="str">
        <f>"20190303162226704"</f>
        <v>20190303162226704</v>
      </c>
      <c r="B733" t="str">
        <f>"1551601346695283"</f>
        <v>1551601346695283</v>
      </c>
      <c r="C733" t="s">
        <v>40</v>
      </c>
      <c r="D733">
        <v>5.1835899999999997</v>
      </c>
      <c r="E733">
        <v>0.44209890000000002</v>
      </c>
      <c r="F733" t="s">
        <v>43</v>
      </c>
      <c r="G733">
        <v>-318.62049999999999</v>
      </c>
      <c r="H733">
        <v>-0.05</v>
      </c>
      <c r="I733">
        <v>369.19740000000002</v>
      </c>
      <c r="J733">
        <v>-337.24090000000001</v>
      </c>
      <c r="K733">
        <v>1.120692</v>
      </c>
      <c r="L733">
        <v>366.75299999999999</v>
      </c>
      <c r="M733">
        <v>0.99993880000000002</v>
      </c>
      <c r="N733">
        <v>-1.0881750000000001E-2</v>
      </c>
      <c r="O733">
        <v>-2.041405E-3</v>
      </c>
      <c r="P733">
        <v>0.98610390000000003</v>
      </c>
      <c r="Q733">
        <v>0.16501260000000001</v>
      </c>
      <c r="R733">
        <v>-1.9240420000000001E-2</v>
      </c>
      <c r="S733">
        <v>3.0822449999999999</v>
      </c>
      <c r="T733">
        <v>-0.19166359999999999</v>
      </c>
      <c r="U733">
        <v>0.40011600000000003</v>
      </c>
      <c r="V733">
        <v>1.7222040000000001E-2</v>
      </c>
      <c r="W733">
        <v>0.17573449999999999</v>
      </c>
      <c r="X733">
        <v>0.98428700000000002</v>
      </c>
      <c r="Y733">
        <v>-0.13046279999999999</v>
      </c>
      <c r="Z733">
        <v>4.853301E-3</v>
      </c>
      <c r="AA733">
        <v>0.99144129999999997</v>
      </c>
      <c r="AB733">
        <v>22</v>
      </c>
      <c r="AC733">
        <v>18.6204</v>
      </c>
      <c r="AD733">
        <v>-1.1706920000000001</v>
      </c>
      <c r="AE733">
        <v>2.4443999999999702</v>
      </c>
      <c r="AF733">
        <v>-2.4727999852235198</v>
      </c>
      <c r="AG733">
        <v>-1.1706920000000001</v>
      </c>
      <c r="AH733">
        <v>18.543314234136901</v>
      </c>
      <c r="AI733">
        <v>93.580835647149399</v>
      </c>
      <c r="AJ733">
        <v>97.595730470296402</v>
      </c>
      <c r="AK733">
        <v>18.744059387222599</v>
      </c>
      <c r="AL733">
        <v>79.878596277484803</v>
      </c>
      <c r="AM733">
        <v>88.997599755734299</v>
      </c>
      <c r="AN733">
        <v>1.0000000557605</v>
      </c>
    </row>
    <row r="734" spans="1:40" x14ac:dyDescent="0.25">
      <c r="A734" t="str">
        <f>"20190303162226717"</f>
        <v>20190303162226717</v>
      </c>
      <c r="B734" t="str">
        <f>"1551601346705044"</f>
        <v>1551601346705044</v>
      </c>
      <c r="C734" t="s">
        <v>40</v>
      </c>
      <c r="D734">
        <v>5.156263</v>
      </c>
      <c r="E734">
        <v>0.4430385</v>
      </c>
      <c r="F734" t="s">
        <v>41</v>
      </c>
      <c r="G734">
        <v>-320.1028</v>
      </c>
      <c r="H734" s="1">
        <v>-4.3379699999999901E-6</v>
      </c>
      <c r="I734">
        <v>368.99740000000003</v>
      </c>
      <c r="J734">
        <v>-337.09559999999999</v>
      </c>
      <c r="K734">
        <v>1.120679</v>
      </c>
      <c r="L734">
        <v>366.7527</v>
      </c>
      <c r="M734">
        <v>0.99993980000000005</v>
      </c>
      <c r="N734">
        <v>-1.0785930000000001E-2</v>
      </c>
      <c r="O734">
        <v>-2.0126380000000002E-3</v>
      </c>
      <c r="P734">
        <v>0.98607180000000005</v>
      </c>
      <c r="Q734">
        <v>0.16516040000000001</v>
      </c>
      <c r="R734">
        <v>-1.95988E-2</v>
      </c>
      <c r="S734">
        <v>3.0838619999999999</v>
      </c>
      <c r="T734">
        <v>-0.20166020000000001</v>
      </c>
      <c r="U734">
        <v>0.4038696</v>
      </c>
      <c r="V734">
        <v>1.760931E-2</v>
      </c>
      <c r="W734">
        <v>0.17578750000000001</v>
      </c>
      <c r="X734">
        <v>0.9842706</v>
      </c>
      <c r="Y734">
        <v>-0.13152349999999999</v>
      </c>
      <c r="Z734">
        <v>5.1000309999999997E-3</v>
      </c>
      <c r="AA734">
        <v>0.99129990000000001</v>
      </c>
      <c r="AB734">
        <v>22</v>
      </c>
      <c r="AC734">
        <v>16.9927999999999</v>
      </c>
      <c r="AD734">
        <v>-1.1206833379700001</v>
      </c>
      <c r="AE734">
        <v>2.2447000000000199</v>
      </c>
      <c r="AF734">
        <v>-2.2691972723032898</v>
      </c>
      <c r="AG734">
        <v>-1.1206833379700001</v>
      </c>
      <c r="AH734">
        <v>16.915934112370302</v>
      </c>
      <c r="AI734">
        <v>93.756762531433694</v>
      </c>
      <c r="AJ734">
        <v>97.640362171987604</v>
      </c>
      <c r="AK734">
        <v>17.1042104260526</v>
      </c>
      <c r="AL734">
        <v>79.875510739744101</v>
      </c>
      <c r="AM734">
        <v>88.9750465802381</v>
      </c>
      <c r="AN734">
        <v>0.99999997348964198</v>
      </c>
    </row>
    <row r="735" spans="1:40" x14ac:dyDescent="0.25">
      <c r="A735" t="str">
        <f>"20190303162226730"</f>
        <v>20190303162226730</v>
      </c>
      <c r="B735" t="str">
        <f>"1551601346725540"</f>
        <v>1551601346725540</v>
      </c>
      <c r="C735" t="s">
        <v>40</v>
      </c>
      <c r="D735">
        <v>5.147195</v>
      </c>
      <c r="E735">
        <v>0.44378069999999997</v>
      </c>
      <c r="F735" t="s">
        <v>41</v>
      </c>
      <c r="G735">
        <v>-320.24970000000002</v>
      </c>
      <c r="H735" s="1">
        <v>-4.2901889999999999E-6</v>
      </c>
      <c r="I735">
        <v>368.9117</v>
      </c>
      <c r="J735">
        <v>-336.97109999999998</v>
      </c>
      <c r="K735">
        <v>1.1206689999999999</v>
      </c>
      <c r="L735">
        <v>366.7525</v>
      </c>
      <c r="M735">
        <v>0.99994070000000002</v>
      </c>
      <c r="N735">
        <v>-1.0706210000000001E-2</v>
      </c>
      <c r="O735">
        <v>-1.9884880000000001E-3</v>
      </c>
      <c r="P735">
        <v>0.98605379999999998</v>
      </c>
      <c r="Q735">
        <v>0.16520570000000001</v>
      </c>
      <c r="R735">
        <v>-2.0124610000000001E-2</v>
      </c>
      <c r="S735">
        <v>3.084625</v>
      </c>
      <c r="T735">
        <v>-0.2052059</v>
      </c>
      <c r="U735">
        <v>0.39532469999999997</v>
      </c>
      <c r="V735">
        <v>1.8158750000000001E-2</v>
      </c>
      <c r="W735">
        <v>0.1757542</v>
      </c>
      <c r="X735">
        <v>0.98426659999999999</v>
      </c>
      <c r="Y735">
        <v>-0.1287634</v>
      </c>
      <c r="Z735">
        <v>5.0643270000000004E-3</v>
      </c>
      <c r="AA735">
        <v>0.99166240000000005</v>
      </c>
      <c r="AB735">
        <v>22</v>
      </c>
      <c r="AC735">
        <v>16.7213999999999</v>
      </c>
      <c r="AD735">
        <v>-1.120673290189</v>
      </c>
      <c r="AE735">
        <v>2.15919999999999</v>
      </c>
      <c r="AF735">
        <v>-2.18280419273745</v>
      </c>
      <c r="AG735">
        <v>-1.120673290189</v>
      </c>
      <c r="AH735">
        <v>16.6435410807923</v>
      </c>
      <c r="AI735">
        <v>93.819518906561299</v>
      </c>
      <c r="AJ735">
        <v>97.471710478171104</v>
      </c>
      <c r="AK735">
        <v>16.823436107858502</v>
      </c>
      <c r="AL735">
        <v>79.877449231513793</v>
      </c>
      <c r="AM735">
        <v>88.943069165302703</v>
      </c>
      <c r="AN735">
        <v>1.00000000944738</v>
      </c>
    </row>
    <row r="736" spans="1:40" x14ac:dyDescent="0.25">
      <c r="A736" t="str">
        <f>"20190303162226748"</f>
        <v>20190303162226748</v>
      </c>
      <c r="B736" t="str">
        <f>"1551601346735300"</f>
        <v>1551601346735300</v>
      </c>
      <c r="C736" t="s">
        <v>40</v>
      </c>
      <c r="D736">
        <v>5.1385949999999996</v>
      </c>
      <c r="E736">
        <v>0.44426330000000003</v>
      </c>
      <c r="F736" t="s">
        <v>41</v>
      </c>
      <c r="G736">
        <v>-320.39080000000001</v>
      </c>
      <c r="H736" s="1">
        <v>-4.2429469999999999E-6</v>
      </c>
      <c r="I736">
        <v>368.83670000000001</v>
      </c>
      <c r="J736">
        <v>-336.78309999999999</v>
      </c>
      <c r="K736">
        <v>1.1206529999999999</v>
      </c>
      <c r="L736">
        <v>366.75220000000002</v>
      </c>
      <c r="M736">
        <v>0.9999422</v>
      </c>
      <c r="N736">
        <v>-1.058978E-2</v>
      </c>
      <c r="O736">
        <v>-1.952344E-3</v>
      </c>
      <c r="P736">
        <v>0.98605259999999995</v>
      </c>
      <c r="Q736">
        <v>0.16515179999999999</v>
      </c>
      <c r="R736">
        <v>-2.0640240000000001E-2</v>
      </c>
      <c r="S736">
        <v>3.0852970000000002</v>
      </c>
      <c r="T736">
        <v>-0.20853559999999999</v>
      </c>
      <c r="U736">
        <v>0.38784790000000002</v>
      </c>
      <c r="V736">
        <v>1.870964E-2</v>
      </c>
      <c r="W736">
        <v>0.17558570000000001</v>
      </c>
      <c r="X736">
        <v>0.98428640000000001</v>
      </c>
      <c r="Y736">
        <v>-0.12633179999999999</v>
      </c>
      <c r="Z736">
        <v>5.0310140000000003E-3</v>
      </c>
      <c r="AA736">
        <v>0.9919753</v>
      </c>
      <c r="AB736">
        <v>22</v>
      </c>
      <c r="AC736">
        <v>16.392299999999899</v>
      </c>
      <c r="AD736">
        <v>-1.1206572429469901</v>
      </c>
      <c r="AE736">
        <v>2.08449999999999</v>
      </c>
      <c r="AF736">
        <v>-2.1068112005051298</v>
      </c>
      <c r="AG736">
        <v>-1.1206572429469901</v>
      </c>
      <c r="AH736">
        <v>16.313168418071999</v>
      </c>
      <c r="AI736">
        <v>93.8975754515576</v>
      </c>
      <c r="AJ736">
        <v>97.358895711042905</v>
      </c>
      <c r="AK736">
        <v>16.486782279363201</v>
      </c>
      <c r="AL736">
        <v>79.887256519886506</v>
      </c>
      <c r="AM736">
        <v>88.911034097666104</v>
      </c>
      <c r="AN736">
        <v>1.0000000529491799</v>
      </c>
    </row>
    <row r="737" spans="1:40" x14ac:dyDescent="0.25">
      <c r="A737" t="str">
        <f>"20190303162226762"</f>
        <v>20190303162226762</v>
      </c>
      <c r="B737" t="str">
        <f>"1551601346754821"</f>
        <v>1551601346754821</v>
      </c>
      <c r="C737" t="s">
        <v>40</v>
      </c>
      <c r="D737">
        <v>5.118106</v>
      </c>
      <c r="E737">
        <v>0.44510119999999997</v>
      </c>
      <c r="F737" t="s">
        <v>41</v>
      </c>
      <c r="G737">
        <v>-320.08</v>
      </c>
      <c r="H737" s="1">
        <v>-4.3785779999999997E-6</v>
      </c>
      <c r="I737">
        <v>368.82369999999997</v>
      </c>
      <c r="J737">
        <v>-336.64330000000001</v>
      </c>
      <c r="K737">
        <v>1.120641</v>
      </c>
      <c r="L737">
        <v>366.75189999999998</v>
      </c>
      <c r="M737">
        <v>0.99994300000000003</v>
      </c>
      <c r="N737">
        <v>-1.050591E-2</v>
      </c>
      <c r="O737">
        <v>-1.9248430000000001E-3</v>
      </c>
      <c r="P737">
        <v>0.98607310000000004</v>
      </c>
      <c r="Q737">
        <v>0.16503190000000001</v>
      </c>
      <c r="R737">
        <v>-2.0594399999999999E-2</v>
      </c>
      <c r="S737">
        <v>3.0851440000000001</v>
      </c>
      <c r="T737">
        <v>-0.20699020000000001</v>
      </c>
      <c r="U737">
        <v>0.38262940000000001</v>
      </c>
      <c r="V737">
        <v>1.8691159999999998E-2</v>
      </c>
      <c r="W737">
        <v>0.17538380000000001</v>
      </c>
      <c r="X737">
        <v>0.98432269999999999</v>
      </c>
      <c r="Y737">
        <v>-0.1246674</v>
      </c>
      <c r="Z737">
        <v>4.9281560000000004E-3</v>
      </c>
      <c r="AA737">
        <v>0.99218640000000002</v>
      </c>
      <c r="AB737">
        <v>23</v>
      </c>
      <c r="AC737">
        <v>16.563300000000002</v>
      </c>
      <c r="AD737">
        <v>-1.120645378578</v>
      </c>
      <c r="AE737">
        <v>2.0717999999999899</v>
      </c>
      <c r="AF737">
        <v>-2.0942406516502201</v>
      </c>
      <c r="AG737">
        <v>-1.120645378578</v>
      </c>
      <c r="AH737">
        <v>16.4849812075594</v>
      </c>
      <c r="AI737">
        <v>93.858057962368406</v>
      </c>
      <c r="AJ737">
        <v>97.2400336310792</v>
      </c>
      <c r="AK737">
        <v>16.655218262908999</v>
      </c>
      <c r="AL737">
        <v>79.8990064110031</v>
      </c>
      <c r="AM737">
        <v>88.912149548850806</v>
      </c>
      <c r="AN737">
        <v>1.00000000724993</v>
      </c>
    </row>
    <row r="738" spans="1:40" x14ac:dyDescent="0.25">
      <c r="A738" t="str">
        <f>"20190303162226782"</f>
        <v>20190303162226782</v>
      </c>
      <c r="B738" t="str">
        <f>"1551601346775316"</f>
        <v>1551601346775316</v>
      </c>
      <c r="C738" t="s">
        <v>40</v>
      </c>
      <c r="D738">
        <v>5.1287750000000001</v>
      </c>
      <c r="E738">
        <v>0.44612839999999998</v>
      </c>
      <c r="F738" t="s">
        <v>41</v>
      </c>
      <c r="G738">
        <v>-320.13409999999999</v>
      </c>
      <c r="H738" s="1">
        <v>-4.3660500000000003E-6</v>
      </c>
      <c r="I738">
        <v>368.76350000000002</v>
      </c>
      <c r="J738">
        <v>-336.44549999999998</v>
      </c>
      <c r="K738">
        <v>1.1206229999999999</v>
      </c>
      <c r="L738">
        <v>366.7516</v>
      </c>
      <c r="M738">
        <v>0.99994430000000001</v>
      </c>
      <c r="N738">
        <v>-1.039004E-2</v>
      </c>
      <c r="O738">
        <v>-1.8860960000000001E-3</v>
      </c>
      <c r="P738">
        <v>0.98614820000000003</v>
      </c>
      <c r="Q738">
        <v>0.16458589999999901</v>
      </c>
      <c r="R738">
        <v>-2.0580060000000001E-2</v>
      </c>
      <c r="S738">
        <v>3.0852659999999998</v>
      </c>
      <c r="T738">
        <v>-0.2094268</v>
      </c>
      <c r="U738">
        <v>0.375946</v>
      </c>
      <c r="V738">
        <v>1.8714749999999999E-2</v>
      </c>
      <c r="W738">
        <v>0.17482420000000001</v>
      </c>
      <c r="X738">
        <v>0.98442180000000001</v>
      </c>
      <c r="Y738">
        <v>-0.1225055</v>
      </c>
      <c r="Z738">
        <v>4.8853100000000003E-3</v>
      </c>
      <c r="AA738">
        <v>0.9924558</v>
      </c>
      <c r="AB738">
        <v>23</v>
      </c>
      <c r="AC738">
        <v>16.3113999999999</v>
      </c>
      <c r="AD738">
        <v>-1.1206273660499999</v>
      </c>
      <c r="AE738">
        <v>2.0119000000000198</v>
      </c>
      <c r="AF738">
        <v>-2.0332100516912699</v>
      </c>
      <c r="AG738">
        <v>-1.1206273660499999</v>
      </c>
      <c r="AH738">
        <v>16.232109067131901</v>
      </c>
      <c r="AI738">
        <v>93.918775980782897</v>
      </c>
      <c r="AJ738">
        <v>97.139600435755696</v>
      </c>
      <c r="AK738">
        <v>16.397289824086901</v>
      </c>
      <c r="AL738">
        <v>79.9315723175946</v>
      </c>
      <c r="AM738">
        <v>88.910886533685101</v>
      </c>
      <c r="AN738">
        <v>1.00000001154422</v>
      </c>
    </row>
    <row r="739" spans="1:40" x14ac:dyDescent="0.25">
      <c r="A739" t="str">
        <f>"20190303162226795"</f>
        <v>20190303162226795</v>
      </c>
      <c r="B739" t="str">
        <f>"1551601346785076"</f>
        <v>1551601346785076</v>
      </c>
      <c r="C739" t="s">
        <v>40</v>
      </c>
      <c r="D739">
        <v>5.1723270000000001</v>
      </c>
      <c r="E739">
        <v>0.44633709999999999</v>
      </c>
      <c r="F739" t="s">
        <v>43</v>
      </c>
      <c r="G739">
        <v>-318.88929999999999</v>
      </c>
      <c r="H739">
        <v>-0.05</v>
      </c>
      <c r="I739">
        <v>368.84609999999998</v>
      </c>
      <c r="J739">
        <v>-336.31229999999999</v>
      </c>
      <c r="K739">
        <v>1.1206179999999999</v>
      </c>
      <c r="L739">
        <v>366.75139999999999</v>
      </c>
      <c r="M739">
        <v>0.99994519999999998</v>
      </c>
      <c r="N739">
        <v>-1.031264E-2</v>
      </c>
      <c r="O739">
        <v>-1.8603059999999999E-3</v>
      </c>
      <c r="P739">
        <v>0.98620339999999995</v>
      </c>
      <c r="Q739">
        <v>0.1642866</v>
      </c>
      <c r="R739">
        <v>-2.0324689999999999E-2</v>
      </c>
      <c r="S739">
        <v>3.0841059999999998</v>
      </c>
      <c r="T739">
        <v>-0.20564399999999999</v>
      </c>
      <c r="U739">
        <v>0.36795040000000001</v>
      </c>
      <c r="V739">
        <v>1.848489E-2</v>
      </c>
      <c r="W739">
        <v>0.17444899999999999</v>
      </c>
      <c r="X739">
        <v>0.9844927</v>
      </c>
      <c r="Y739">
        <v>-0.1200055</v>
      </c>
      <c r="Z739">
        <v>4.7085360000000001E-3</v>
      </c>
      <c r="AA739">
        <v>0.99276209999999998</v>
      </c>
      <c r="AB739">
        <v>23</v>
      </c>
      <c r="AC739">
        <v>17.422999999999998</v>
      </c>
      <c r="AD739">
        <v>-1.1706179999999999</v>
      </c>
      <c r="AE739">
        <v>2.09469999999998</v>
      </c>
      <c r="AF739">
        <v>-2.11768667422748</v>
      </c>
      <c r="AG739">
        <v>-1.1706179999999999</v>
      </c>
      <c r="AH739">
        <v>17.341902810381601</v>
      </c>
      <c r="AI739">
        <v>93.833348075174001</v>
      </c>
      <c r="AJ739">
        <v>96.962139288110606</v>
      </c>
      <c r="AK739">
        <v>17.509898241761601</v>
      </c>
      <c r="AL739">
        <v>79.953405190804602</v>
      </c>
      <c r="AM739">
        <v>88.924337632074099</v>
      </c>
      <c r="AN739">
        <v>1.0000000105563001</v>
      </c>
    </row>
    <row r="740" spans="1:40" x14ac:dyDescent="0.25">
      <c r="A740" t="str">
        <f>"20190303162226808"</f>
        <v>20190303162226808</v>
      </c>
      <c r="B740" t="str">
        <f>"1551601346794836"</f>
        <v>1551601346794836</v>
      </c>
      <c r="C740" t="s">
        <v>40</v>
      </c>
      <c r="D740">
        <v>5.1624239999999997</v>
      </c>
      <c r="E740">
        <v>0.44649319999999998</v>
      </c>
      <c r="F740" t="s">
        <v>43</v>
      </c>
      <c r="G740">
        <v>-318.91890000000001</v>
      </c>
      <c r="H740">
        <v>-0.05</v>
      </c>
      <c r="I740">
        <v>368.8227</v>
      </c>
      <c r="J740">
        <v>-336.185</v>
      </c>
      <c r="K740">
        <v>1.1206039999999999</v>
      </c>
      <c r="L740">
        <v>366.75119999999998</v>
      </c>
      <c r="M740">
        <v>0.999946</v>
      </c>
      <c r="N740">
        <v>-1.0237889999999999E-2</v>
      </c>
      <c r="O740">
        <v>-1.835604E-3</v>
      </c>
      <c r="P740">
        <v>0.98618870000000003</v>
      </c>
      <c r="Q740">
        <v>0.16440250000000001</v>
      </c>
      <c r="R740">
        <v>-2.0095519999999999E-2</v>
      </c>
      <c r="S740">
        <v>3.084076</v>
      </c>
      <c r="T740">
        <v>-0.2075661</v>
      </c>
      <c r="U740">
        <v>0.36727910000000002</v>
      </c>
      <c r="V740">
        <v>1.828022E-2</v>
      </c>
      <c r="W740">
        <v>0.17449129999999999</v>
      </c>
      <c r="X740">
        <v>0.98448899999999995</v>
      </c>
      <c r="Y740">
        <v>-0.1197646</v>
      </c>
      <c r="Z740">
        <v>4.7318459999999996E-3</v>
      </c>
      <c r="AA740">
        <v>0.99279110000000004</v>
      </c>
      <c r="AB740">
        <v>23</v>
      </c>
      <c r="AC740">
        <v>17.266099999999899</v>
      </c>
      <c r="AD740">
        <v>-1.170604</v>
      </c>
      <c r="AE740">
        <v>2.0715000000000101</v>
      </c>
      <c r="AF740">
        <v>-2.0937046421835901</v>
      </c>
      <c r="AG740">
        <v>-1.170604</v>
      </c>
      <c r="AH740">
        <v>17.1844002212497</v>
      </c>
      <c r="AI740">
        <v>93.868458172838004</v>
      </c>
      <c r="AJ740">
        <v>96.946538134391403</v>
      </c>
      <c r="AK740">
        <v>17.3510093025623</v>
      </c>
      <c r="AL740">
        <v>79.950943575436497</v>
      </c>
      <c r="AM740">
        <v>88.9362409250854</v>
      </c>
      <c r="AN740">
        <v>0.99999998566996895</v>
      </c>
    </row>
    <row r="741" spans="1:40" x14ac:dyDescent="0.25">
      <c r="A741" t="str">
        <f>"20190303162226822"</f>
        <v>20190303162226822</v>
      </c>
      <c r="B741" t="str">
        <f>"1551601346815332"</f>
        <v>1551601346815332</v>
      </c>
      <c r="C741" t="s">
        <v>40</v>
      </c>
      <c r="D741">
        <v>5.1717409999999999</v>
      </c>
      <c r="E741">
        <v>0.4466714</v>
      </c>
      <c r="F741" t="s">
        <v>43</v>
      </c>
      <c r="G741">
        <v>-318.84629999999999</v>
      </c>
      <c r="H741">
        <v>-0.05</v>
      </c>
      <c r="I741">
        <v>368.81229999999999</v>
      </c>
      <c r="J741">
        <v>-336.03840000000002</v>
      </c>
      <c r="K741">
        <v>1.120595</v>
      </c>
      <c r="L741">
        <v>366.7509</v>
      </c>
      <c r="M741">
        <v>0.99994700000000003</v>
      </c>
      <c r="N741">
        <v>-1.015047E-2</v>
      </c>
      <c r="O741">
        <v>-1.807262E-3</v>
      </c>
      <c r="P741">
        <v>0.98613039999999996</v>
      </c>
      <c r="Q741">
        <v>0.16483809999999999</v>
      </c>
      <c r="R741">
        <v>-1.9375449999999999E-2</v>
      </c>
      <c r="S741">
        <v>3.0841669999999999</v>
      </c>
      <c r="T741">
        <v>-0.2082254</v>
      </c>
      <c r="U741">
        <v>0.36663820000000003</v>
      </c>
      <c r="V741">
        <v>1.758792E-2</v>
      </c>
      <c r="W741">
        <v>0.17484059999999901</v>
      </c>
      <c r="X741">
        <v>0.98443970000000003</v>
      </c>
      <c r="Y741">
        <v>-0.1195287</v>
      </c>
      <c r="Z741">
        <v>4.7290240000000001E-3</v>
      </c>
      <c r="AA741">
        <v>0.99281949999999997</v>
      </c>
      <c r="AB741">
        <v>23</v>
      </c>
      <c r="AC741">
        <v>17.1921</v>
      </c>
      <c r="AD741">
        <v>-1.1705950000000001</v>
      </c>
      <c r="AE741">
        <v>2.0613999999999901</v>
      </c>
      <c r="AF741">
        <v>-2.08294890717359</v>
      </c>
      <c r="AG741">
        <v>-1.1705950000000001</v>
      </c>
      <c r="AH741">
        <v>17.110145689218299</v>
      </c>
      <c r="AI741">
        <v>93.885211826246803</v>
      </c>
      <c r="AJ741">
        <v>96.940899778191195</v>
      </c>
      <c r="AK741">
        <v>17.276170128538201</v>
      </c>
      <c r="AL741">
        <v>79.930618325178202</v>
      </c>
      <c r="AM741">
        <v>88.976467132299803</v>
      </c>
      <c r="AN741">
        <v>1.0000000466371799</v>
      </c>
    </row>
    <row r="742" spans="1:40" x14ac:dyDescent="0.25">
      <c r="A742" t="str">
        <f>"20190303162226837"</f>
        <v>20190303162226837</v>
      </c>
      <c r="B742" t="str">
        <f>"1551601346825092"</f>
        <v>1551601346825092</v>
      </c>
      <c r="C742" t="s">
        <v>40</v>
      </c>
      <c r="D742">
        <v>5.1205309999999997</v>
      </c>
      <c r="E742">
        <v>0.44676949999999999</v>
      </c>
      <c r="F742" t="s">
        <v>43</v>
      </c>
      <c r="G742">
        <v>-318.6207</v>
      </c>
      <c r="H742">
        <v>-0.05</v>
      </c>
      <c r="I742">
        <v>368.82670000000002</v>
      </c>
      <c r="J742">
        <v>-335.8836</v>
      </c>
      <c r="K742">
        <v>1.120582</v>
      </c>
      <c r="L742">
        <v>366.75069999999999</v>
      </c>
      <c r="M742">
        <v>0.99994799999999995</v>
      </c>
      <c r="N742">
        <v>-1.0055369999999999E-2</v>
      </c>
      <c r="O742">
        <v>-1.776983E-3</v>
      </c>
      <c r="P742">
        <v>0.98605469999999895</v>
      </c>
      <c r="Q742">
        <v>0.16543959999999999</v>
      </c>
      <c r="R742">
        <v>-1.806284E-2</v>
      </c>
      <c r="S742">
        <v>3.0841059999999998</v>
      </c>
      <c r="T742">
        <v>-0.20727490000000001</v>
      </c>
      <c r="U742">
        <v>0.36755369999999998</v>
      </c>
      <c r="V742">
        <v>1.630531E-2</v>
      </c>
      <c r="W742">
        <v>0.17534720000000001</v>
      </c>
      <c r="X742">
        <v>0.98437160000000001</v>
      </c>
      <c r="Y742">
        <v>-0.119794</v>
      </c>
      <c r="Z742">
        <v>4.713142E-3</v>
      </c>
      <c r="AA742">
        <v>0.99278759999999999</v>
      </c>
      <c r="AB742">
        <v>23</v>
      </c>
      <c r="AC742">
        <v>17.262899999999998</v>
      </c>
      <c r="AD742">
        <v>-1.170582</v>
      </c>
      <c r="AE742">
        <v>2.0760000000000201</v>
      </c>
      <c r="AF742">
        <v>-2.0971686748332301</v>
      </c>
      <c r="AG742">
        <v>-1.170582</v>
      </c>
      <c r="AH742">
        <v>17.1813087920154</v>
      </c>
      <c r="AI742">
        <v>93.868976004895799</v>
      </c>
      <c r="AJ742">
        <v>96.959158267404902</v>
      </c>
      <c r="AK742">
        <v>17.348364489945698</v>
      </c>
      <c r="AL742">
        <v>79.9011361186013</v>
      </c>
      <c r="AM742">
        <v>89.051029084024904</v>
      </c>
      <c r="AN742">
        <v>0.99999997528429696</v>
      </c>
    </row>
    <row r="743" spans="1:40" x14ac:dyDescent="0.25">
      <c r="A743" t="str">
        <f>"20190303162226851"</f>
        <v>20190303162226851</v>
      </c>
      <c r="B743" t="str">
        <f>"1551601346845588"</f>
        <v>1551601346845588</v>
      </c>
      <c r="C743" t="s">
        <v>40</v>
      </c>
      <c r="D743">
        <v>5.202331</v>
      </c>
      <c r="E743">
        <v>0.44716669999999997</v>
      </c>
      <c r="F743" t="s">
        <v>43</v>
      </c>
      <c r="G743">
        <v>-318.31819999999999</v>
      </c>
      <c r="H743">
        <v>-0.05</v>
      </c>
      <c r="I743">
        <v>368.86110000000002</v>
      </c>
      <c r="J743">
        <v>-335.73970000000003</v>
      </c>
      <c r="K743">
        <v>1.120573</v>
      </c>
      <c r="L743">
        <v>366.75049999999999</v>
      </c>
      <c r="M743">
        <v>0.99994899999999998</v>
      </c>
      <c r="N743">
        <v>-9.9630389999999999E-3</v>
      </c>
      <c r="O743">
        <v>-1.748987E-3</v>
      </c>
      <c r="P743">
        <v>0.98594590000000004</v>
      </c>
      <c r="Q743">
        <v>0.16614319999999999</v>
      </c>
      <c r="R743">
        <v>-1.7536110000000001E-2</v>
      </c>
      <c r="S743">
        <v>3.0836489999999999</v>
      </c>
      <c r="T743">
        <v>-0.20549880000000001</v>
      </c>
      <c r="U743">
        <v>0.37048340000000002</v>
      </c>
      <c r="V743">
        <v>1.5806239999999999E-2</v>
      </c>
      <c r="W743">
        <v>0.1759589</v>
      </c>
      <c r="X743">
        <v>0.9842706</v>
      </c>
      <c r="Y743">
        <v>-0.1207163</v>
      </c>
      <c r="Z743">
        <v>4.7064949999999998E-3</v>
      </c>
      <c r="AA743">
        <v>0.99267590000000006</v>
      </c>
      <c r="AB743">
        <v>23</v>
      </c>
      <c r="AC743">
        <v>17.421500000000002</v>
      </c>
      <c r="AD743">
        <v>-1.1705729999999901</v>
      </c>
      <c r="AE743">
        <v>2.11060000000003</v>
      </c>
      <c r="AF743">
        <v>-2.13158406020416</v>
      </c>
      <c r="AG743">
        <v>-1.1705729999999901</v>
      </c>
      <c r="AH743">
        <v>17.340626975737401</v>
      </c>
      <c r="AI743">
        <v>93.833108474258296</v>
      </c>
      <c r="AJ743">
        <v>97.007886202099201</v>
      </c>
      <c r="AK743">
        <v>17.5103179772875</v>
      </c>
      <c r="AL743">
        <v>79.8655349437864</v>
      </c>
      <c r="AM743">
        <v>89.079975563515802</v>
      </c>
      <c r="AN743">
        <v>0.99999999286825303</v>
      </c>
    </row>
    <row r="744" spans="1:40" x14ac:dyDescent="0.25">
      <c r="A744" t="str">
        <f>"20190303162226872"</f>
        <v>20190303162226872</v>
      </c>
      <c r="B744" t="str">
        <f>"1551601346865108"</f>
        <v>1551601346865108</v>
      </c>
      <c r="C744" t="s">
        <v>40</v>
      </c>
      <c r="D744">
        <v>6.6191279999999999</v>
      </c>
      <c r="E744">
        <v>0.44752959999999897</v>
      </c>
      <c r="F744" t="s">
        <v>43</v>
      </c>
      <c r="G744">
        <v>-317.79500000000002</v>
      </c>
      <c r="H744">
        <v>-0.05</v>
      </c>
      <c r="I744">
        <v>368.89890000000003</v>
      </c>
      <c r="J744">
        <v>-335.53370000000001</v>
      </c>
      <c r="K744">
        <v>1.120549</v>
      </c>
      <c r="L744">
        <v>366.75020000000001</v>
      </c>
      <c r="M744">
        <v>0.99995040000000002</v>
      </c>
      <c r="N744">
        <v>-9.8238030000000007E-3</v>
      </c>
      <c r="O744">
        <v>-1.708605E-3</v>
      </c>
      <c r="P744">
        <v>0.98586870000000004</v>
      </c>
      <c r="Q744">
        <v>0.1667264</v>
      </c>
      <c r="R744">
        <v>-1.6292310000000001E-2</v>
      </c>
      <c r="S744">
        <v>3.0831909999999998</v>
      </c>
      <c r="T744">
        <v>-0.2011231</v>
      </c>
      <c r="U744">
        <v>0.36914059999999999</v>
      </c>
      <c r="V744">
        <v>1.4602530000000001E-2</v>
      </c>
      <c r="W744">
        <v>0.176403799999999</v>
      </c>
      <c r="X744">
        <v>0.98420949999999996</v>
      </c>
      <c r="Y744">
        <v>-0.1202811</v>
      </c>
      <c r="Z744">
        <v>4.5929070000000002E-3</v>
      </c>
      <c r="AA744">
        <v>0.99272919999999998</v>
      </c>
      <c r="AB744">
        <v>23</v>
      </c>
      <c r="AC744">
        <v>17.738699999999898</v>
      </c>
      <c r="AD744">
        <v>-1.1705490000000001</v>
      </c>
      <c r="AE744">
        <v>2.1487000000000198</v>
      </c>
      <c r="AF744">
        <v>-2.1696954938249999</v>
      </c>
      <c r="AG744">
        <v>-1.1705490000000001</v>
      </c>
      <c r="AH744">
        <v>17.659218017509701</v>
      </c>
      <c r="AI744">
        <v>93.764105848330004</v>
      </c>
      <c r="AJ744">
        <v>97.004526492600704</v>
      </c>
      <c r="AK744">
        <v>17.8304723573792</v>
      </c>
      <c r="AL744">
        <v>79.839638407797494</v>
      </c>
      <c r="AM744">
        <v>89.149975736376803</v>
      </c>
      <c r="AN744">
        <v>0.99999993721354297</v>
      </c>
    </row>
    <row r="745" spans="1:40" x14ac:dyDescent="0.25">
      <c r="A745" t="str">
        <f>"20190303162226895"</f>
        <v>20190303162226895</v>
      </c>
      <c r="B745" t="str">
        <f>"1551601346884627"</f>
        <v>1551601346884627</v>
      </c>
      <c r="C745" t="s">
        <v>40</v>
      </c>
      <c r="D745">
        <v>5.0335619999999999</v>
      </c>
      <c r="E745">
        <v>0.47242220000000001</v>
      </c>
      <c r="F745" t="s">
        <v>43</v>
      </c>
      <c r="G745">
        <v>-317.37450000000001</v>
      </c>
      <c r="H745">
        <v>-0.05</v>
      </c>
      <c r="I745">
        <v>368.9273</v>
      </c>
      <c r="J745">
        <v>-335.30430000000001</v>
      </c>
      <c r="K745">
        <v>1.1205259999999999</v>
      </c>
      <c r="L745">
        <v>366.74979999999999</v>
      </c>
      <c r="M745">
        <v>0.99995210000000001</v>
      </c>
      <c r="N745">
        <v>-9.6592310000000008E-3</v>
      </c>
      <c r="O745">
        <v>-1.664177E-3</v>
      </c>
      <c r="P745">
        <v>0.98576169999999996</v>
      </c>
      <c r="Q745">
        <v>0.16744039999999999</v>
      </c>
      <c r="R745">
        <v>-1.5430309999999999E-2</v>
      </c>
      <c r="S745">
        <v>3.082703</v>
      </c>
      <c r="T745">
        <v>-0.19871230000000001</v>
      </c>
      <c r="U745">
        <v>0.36959839999999999</v>
      </c>
      <c r="V745">
        <v>1.3784309999999999E-2</v>
      </c>
      <c r="W745">
        <v>0.176954799999999</v>
      </c>
      <c r="X745">
        <v>0.98412250000000001</v>
      </c>
      <c r="Y745">
        <v>-0.12040770000000001</v>
      </c>
      <c r="Z745">
        <v>4.538032E-3</v>
      </c>
      <c r="AA745">
        <v>0.99271419999999999</v>
      </c>
      <c r="AB745">
        <v>23</v>
      </c>
      <c r="AC745">
        <v>17.9298</v>
      </c>
      <c r="AD745">
        <v>-1.170526</v>
      </c>
      <c r="AE745">
        <v>2.1775000000000002</v>
      </c>
      <c r="AF745">
        <v>-2.1981046241725202</v>
      </c>
      <c r="AG745">
        <v>-1.170526</v>
      </c>
      <c r="AH745">
        <v>17.851175751955601</v>
      </c>
      <c r="AI745">
        <v>93.723549514910701</v>
      </c>
      <c r="AJ745">
        <v>97.019779940390293</v>
      </c>
      <c r="AK745">
        <v>18.024047014549499</v>
      </c>
      <c r="AL745">
        <v>79.807565028594695</v>
      </c>
      <c r="AM745">
        <v>89.197527600449206</v>
      </c>
      <c r="AN745">
        <v>1.0000000517257299</v>
      </c>
    </row>
    <row r="746" spans="1:40" x14ac:dyDescent="0.25">
      <c r="A746" t="str">
        <f>"20190303162226916"</f>
        <v>20190303162226916</v>
      </c>
      <c r="B746" t="str">
        <f>"1551601346905123"</f>
        <v>1551601346905123</v>
      </c>
      <c r="C746" t="s">
        <v>40</v>
      </c>
      <c r="D746">
        <v>5.1466890000000003</v>
      </c>
      <c r="E746">
        <v>0.47683779999999998</v>
      </c>
      <c r="F746" t="s">
        <v>43</v>
      </c>
      <c r="G746">
        <v>-296.88380000000001</v>
      </c>
      <c r="H746">
        <v>-0.05</v>
      </c>
      <c r="I746">
        <v>368.92529999999999</v>
      </c>
      <c r="J746">
        <v>-335.08170000000001</v>
      </c>
      <c r="K746">
        <v>1.120506</v>
      </c>
      <c r="L746">
        <v>366.74950000000001</v>
      </c>
      <c r="M746">
        <v>0.99995369999999995</v>
      </c>
      <c r="N746">
        <v>-9.4906899999999995E-3</v>
      </c>
      <c r="O746">
        <v>-1.6206949999999999E-3</v>
      </c>
      <c r="P746">
        <v>0.98577369999999997</v>
      </c>
      <c r="Q746">
        <v>0.16739479999999901</v>
      </c>
      <c r="R746">
        <v>-1.5138E-2</v>
      </c>
      <c r="S746">
        <v>3.06189</v>
      </c>
      <c r="T746">
        <v>-9.3284010000000001E-2</v>
      </c>
      <c r="U746">
        <v>0.17337040000000001</v>
      </c>
      <c r="V746">
        <v>1.3535E-2</v>
      </c>
      <c r="W746">
        <v>0.1767436</v>
      </c>
      <c r="X746">
        <v>0.98416389999999998</v>
      </c>
      <c r="Y746">
        <v>-5.8113940000000003E-2</v>
      </c>
      <c r="Z746">
        <v>1.194381E-3</v>
      </c>
      <c r="AA746">
        <v>0.99830929999999996</v>
      </c>
      <c r="AB746">
        <v>23</v>
      </c>
      <c r="AC746">
        <v>38.197899999999997</v>
      </c>
      <c r="AD746">
        <v>-1.170506</v>
      </c>
      <c r="AE746">
        <v>2.1757999999999802</v>
      </c>
      <c r="AF746">
        <v>-2.2356146067759202</v>
      </c>
      <c r="AG746">
        <v>-1.170506</v>
      </c>
      <c r="AH746">
        <v>38.158608086014198</v>
      </c>
      <c r="AI746">
        <v>91.753977344383401</v>
      </c>
      <c r="AJ746">
        <v>93.3529793643945</v>
      </c>
      <c r="AK746">
        <v>38.241958998305698</v>
      </c>
      <c r="AL746">
        <v>79.819859556767298</v>
      </c>
      <c r="AM746">
        <v>89.212072817480902</v>
      </c>
      <c r="AN746">
        <v>1.00000003921458</v>
      </c>
    </row>
    <row r="747" spans="1:40" x14ac:dyDescent="0.25">
      <c r="A747" t="str">
        <f>"20190303162226929"</f>
        <v>20190303162226929</v>
      </c>
      <c r="B747" t="str">
        <f>"1551601346924644"</f>
        <v>1551601346924644</v>
      </c>
      <c r="C747" t="s">
        <v>40</v>
      </c>
      <c r="D747">
        <v>5.138001</v>
      </c>
      <c r="E747">
        <v>0.47847299999999998</v>
      </c>
      <c r="F747" t="s">
        <v>43</v>
      </c>
      <c r="G747">
        <v>-296.90370000000001</v>
      </c>
      <c r="H747">
        <v>-0.05</v>
      </c>
      <c r="I747">
        <v>368.48570000000001</v>
      </c>
      <c r="J747">
        <v>-334.94049999999999</v>
      </c>
      <c r="K747">
        <v>1.1204889999999901</v>
      </c>
      <c r="L747">
        <v>366.74930000000001</v>
      </c>
      <c r="M747">
        <v>0.99995480000000003</v>
      </c>
      <c r="N747">
        <v>-9.3779780000000004E-3</v>
      </c>
      <c r="O747">
        <v>-1.5926289999999999E-3</v>
      </c>
      <c r="P747">
        <v>0.98576419999999998</v>
      </c>
      <c r="Q747">
        <v>0.16744990000000001</v>
      </c>
      <c r="R747">
        <v>-1.5147310000000001E-2</v>
      </c>
      <c r="S747">
        <v>3.061401</v>
      </c>
      <c r="T747">
        <v>-9.3860150000000003E-2</v>
      </c>
      <c r="U747">
        <v>0.13922119999999999</v>
      </c>
      <c r="V747">
        <v>1.357182E-2</v>
      </c>
      <c r="W747">
        <v>0.1766877</v>
      </c>
      <c r="X747">
        <v>0.98417339999999998</v>
      </c>
      <c r="Y747">
        <v>-4.6991190000000002E-2</v>
      </c>
      <c r="Z747">
        <v>9.7420950000000003E-4</v>
      </c>
      <c r="AA747">
        <v>0.99889479999999997</v>
      </c>
      <c r="AB747">
        <v>23</v>
      </c>
      <c r="AC747">
        <v>38.0367999999999</v>
      </c>
      <c r="AD747">
        <v>-1.1704889999999999</v>
      </c>
      <c r="AE747">
        <v>1.7363999999999999</v>
      </c>
      <c r="AF747">
        <v>-1.79528246382274</v>
      </c>
      <c r="AG747">
        <v>-1.1704889999999999</v>
      </c>
      <c r="AH747">
        <v>37.998078769627199</v>
      </c>
      <c r="AI747">
        <v>91.7624107853986</v>
      </c>
      <c r="AJ747">
        <v>92.705022885370198</v>
      </c>
      <c r="AK747">
        <v>38.058469146916899</v>
      </c>
      <c r="AL747">
        <v>79.823113296915494</v>
      </c>
      <c r="AM747">
        <v>89.209937272849899</v>
      </c>
      <c r="AN747">
        <v>1.00000000944848</v>
      </c>
    </row>
    <row r="748" spans="1:40" x14ac:dyDescent="0.25">
      <c r="A748" t="str">
        <f>"20190303162226949"</f>
        <v>20190303162226949</v>
      </c>
      <c r="B748" t="str">
        <f>"1551601346945139"</f>
        <v>1551601346945139</v>
      </c>
      <c r="C748" t="s">
        <v>40</v>
      </c>
      <c r="D748">
        <v>5.0747960000000001</v>
      </c>
      <c r="E748">
        <v>0.47915029999999997</v>
      </c>
      <c r="F748" t="s">
        <v>43</v>
      </c>
      <c r="G748">
        <v>-296.53250000000003</v>
      </c>
      <c r="H748">
        <v>-0.05</v>
      </c>
      <c r="I748">
        <v>368.33179999999999</v>
      </c>
      <c r="J748">
        <v>-334.73930000000001</v>
      </c>
      <c r="K748">
        <v>1.1204540000000001</v>
      </c>
      <c r="L748">
        <v>366.7491</v>
      </c>
      <c r="M748">
        <v>0.99995650000000003</v>
      </c>
      <c r="N748">
        <v>-9.2084070000000001E-3</v>
      </c>
      <c r="O748">
        <v>-1.5529840000000001E-3</v>
      </c>
      <c r="P748">
        <v>0.98584229999999995</v>
      </c>
      <c r="Q748">
        <v>0.16694439999999999</v>
      </c>
      <c r="R748">
        <v>-1.564952E-2</v>
      </c>
      <c r="S748">
        <v>3.0611269999999999</v>
      </c>
      <c r="T748">
        <v>-9.3288179999999998E-2</v>
      </c>
      <c r="U748">
        <v>0.1261292</v>
      </c>
      <c r="V748">
        <v>1.4112970000000001E-2</v>
      </c>
      <c r="W748">
        <v>0.17601610000000001</v>
      </c>
      <c r="X748">
        <v>0.98428610000000005</v>
      </c>
      <c r="Y748">
        <v>-4.2694120000000002E-2</v>
      </c>
      <c r="Z748">
        <v>8.7985129999999996E-4</v>
      </c>
      <c r="AA748">
        <v>0.99908779999999997</v>
      </c>
      <c r="AB748">
        <v>23</v>
      </c>
      <c r="AC748">
        <v>38.206799999999902</v>
      </c>
      <c r="AD748">
        <v>-1.1704540000000001</v>
      </c>
      <c r="AE748">
        <v>1.58269999999998</v>
      </c>
      <c r="AF748">
        <v>-1.6404982042983101</v>
      </c>
      <c r="AG748">
        <v>-1.1704540000000001</v>
      </c>
      <c r="AH748">
        <v>38.168536672187201</v>
      </c>
      <c r="AI748">
        <v>91.754829302619299</v>
      </c>
      <c r="AJ748">
        <v>92.461079651287406</v>
      </c>
      <c r="AK748">
        <v>38.221700493574602</v>
      </c>
      <c r="AL748">
        <v>79.8622055826646</v>
      </c>
      <c r="AM748">
        <v>89.178533344176998</v>
      </c>
      <c r="AN748">
        <v>0.99999998501732001</v>
      </c>
    </row>
    <row r="749" spans="1:40" x14ac:dyDescent="0.25">
      <c r="A749" t="str">
        <f>"20190303162226962"</f>
        <v>20190303162226962</v>
      </c>
      <c r="B749" t="str">
        <f>"1551601346954900"</f>
        <v>1551601346954900</v>
      </c>
      <c r="C749" t="s">
        <v>40</v>
      </c>
      <c r="D749">
        <v>5.1957529999999998</v>
      </c>
      <c r="E749">
        <v>0.47931449999999998</v>
      </c>
      <c r="F749" t="s">
        <v>43</v>
      </c>
      <c r="G749">
        <v>-296.62720000000002</v>
      </c>
      <c r="H749">
        <v>-0.05</v>
      </c>
      <c r="I749">
        <v>368.22789999999998</v>
      </c>
      <c r="J749">
        <v>-334.5985</v>
      </c>
      <c r="K749">
        <v>1.1204339999999999</v>
      </c>
      <c r="L749">
        <v>366.74880000000002</v>
      </c>
      <c r="M749">
        <v>0.99995750000000005</v>
      </c>
      <c r="N749">
        <v>-9.0846099999999999E-3</v>
      </c>
      <c r="O749">
        <v>-1.5254779999999901E-3</v>
      </c>
      <c r="P749">
        <v>0.98592970000000002</v>
      </c>
      <c r="Q749">
        <v>0.16642960000000001</v>
      </c>
      <c r="R749">
        <v>-1.5613470000000001E-2</v>
      </c>
      <c r="S749">
        <v>3.0609130000000002</v>
      </c>
      <c r="T749">
        <v>-9.4003080000000003E-2</v>
      </c>
      <c r="U749">
        <v>0.1187744</v>
      </c>
      <c r="V749">
        <v>1.410372E-2</v>
      </c>
      <c r="W749">
        <v>0.17538000000000001</v>
      </c>
      <c r="X749">
        <v>0.98439980000000005</v>
      </c>
      <c r="Y749">
        <v>-4.0273829999999997E-2</v>
      </c>
      <c r="Z749">
        <v>8.340763E-4</v>
      </c>
      <c r="AA749">
        <v>0.99918830000000003</v>
      </c>
      <c r="AB749">
        <v>23</v>
      </c>
      <c r="AC749">
        <v>37.9712999999999</v>
      </c>
      <c r="AD749">
        <v>-1.170434</v>
      </c>
      <c r="AE749">
        <v>1.4790999999999599</v>
      </c>
      <c r="AF749">
        <v>-1.5355682774283801</v>
      </c>
      <c r="AG749">
        <v>-1.170434</v>
      </c>
      <c r="AH749">
        <v>37.933012706875502</v>
      </c>
      <c r="AI749">
        <v>91.765871643449998</v>
      </c>
      <c r="AJ749">
        <v>92.318127758471803</v>
      </c>
      <c r="AK749">
        <v>37.982118670539997</v>
      </c>
      <c r="AL749">
        <v>79.899227619142593</v>
      </c>
      <c r="AM749">
        <v>89.179166486406004</v>
      </c>
      <c r="AN749">
        <v>1.0000000127789299</v>
      </c>
    </row>
    <row r="750" spans="1:40" x14ac:dyDescent="0.25">
      <c r="A750" t="str">
        <f>"20190303162226976"</f>
        <v>20190303162226976</v>
      </c>
      <c r="B750" t="str">
        <f>"1551601346964661"</f>
        <v>1551601346964661</v>
      </c>
      <c r="C750" t="s">
        <v>40</v>
      </c>
      <c r="D750">
        <v>5.0777900000000002</v>
      </c>
      <c r="E750">
        <v>0.47944439999999999</v>
      </c>
      <c r="F750" t="s">
        <v>43</v>
      </c>
      <c r="G750">
        <v>-296.98309999999998</v>
      </c>
      <c r="H750">
        <v>-0.05</v>
      </c>
      <c r="I750">
        <v>368.19170000000003</v>
      </c>
      <c r="J750">
        <v>-334.46080000000001</v>
      </c>
      <c r="K750">
        <v>1.120417</v>
      </c>
      <c r="L750">
        <v>366.74869999999999</v>
      </c>
      <c r="M750">
        <v>0.99995869999999998</v>
      </c>
      <c r="N750">
        <v>-8.9573929999999993E-3</v>
      </c>
      <c r="O750">
        <v>-1.4987970000000001E-3</v>
      </c>
      <c r="P750">
        <v>0.98596910000000004</v>
      </c>
      <c r="Q750">
        <v>0.16616989999999901</v>
      </c>
      <c r="R750">
        <v>-1.5890700000000001E-2</v>
      </c>
      <c r="S750">
        <v>3.0607600000000001</v>
      </c>
      <c r="T750">
        <v>-9.5237970000000005E-2</v>
      </c>
      <c r="U750">
        <v>0.11740109999999999</v>
      </c>
      <c r="V750">
        <v>1.4407369999999999E-2</v>
      </c>
      <c r="W750">
        <v>0.1749955</v>
      </c>
      <c r="X750">
        <v>0.9844638</v>
      </c>
      <c r="Y750">
        <v>-3.980123E-2</v>
      </c>
      <c r="Z750">
        <v>8.3041820000000004E-4</v>
      </c>
      <c r="AA750">
        <v>0.99920730000000002</v>
      </c>
      <c r="AB750">
        <v>23</v>
      </c>
      <c r="AC750">
        <v>37.477699999999999</v>
      </c>
      <c r="AD750">
        <v>-1.170417</v>
      </c>
      <c r="AE750">
        <v>1.44300000000004</v>
      </c>
      <c r="AF750">
        <v>-1.4977135520941101</v>
      </c>
      <c r="AG750">
        <v>-1.170417</v>
      </c>
      <c r="AH750">
        <v>37.439035049910999</v>
      </c>
      <c r="AI750">
        <v>91.789164136285905</v>
      </c>
      <c r="AJ750">
        <v>92.290842517412798</v>
      </c>
      <c r="AK750">
        <v>37.487256065314803</v>
      </c>
      <c r="AL750">
        <v>79.921603615738107</v>
      </c>
      <c r="AM750">
        <v>89.161551120720901</v>
      </c>
      <c r="AN750">
        <v>0.99999998542050295</v>
      </c>
    </row>
    <row r="751" spans="1:40" x14ac:dyDescent="0.25">
      <c r="A751" t="str">
        <f>"20190303162226994"</f>
        <v>20190303162226994</v>
      </c>
      <c r="B751" t="str">
        <f>"1551601346985156"</f>
        <v>1551601346985156</v>
      </c>
      <c r="C751" t="s">
        <v>40</v>
      </c>
      <c r="D751">
        <v>5.1372999999999998</v>
      </c>
      <c r="E751">
        <v>0.47979909999999998</v>
      </c>
      <c r="F751" t="s">
        <v>43</v>
      </c>
      <c r="G751">
        <v>-296.91559999999998</v>
      </c>
      <c r="H751">
        <v>-0.05</v>
      </c>
      <c r="I751">
        <v>368.1671</v>
      </c>
      <c r="J751">
        <v>-334.27390000000003</v>
      </c>
      <c r="K751">
        <v>1.120384</v>
      </c>
      <c r="L751">
        <v>366.74849999999998</v>
      </c>
      <c r="M751">
        <v>0.99996050000000003</v>
      </c>
      <c r="N751">
        <v>-8.7812319999999999E-3</v>
      </c>
      <c r="O751">
        <v>-1.462376E-3</v>
      </c>
      <c r="P751">
        <v>0.98611669999999996</v>
      </c>
      <c r="Q751">
        <v>0.1652681</v>
      </c>
      <c r="R751">
        <v>-1.6139290000000001E-2</v>
      </c>
      <c r="S751">
        <v>3.060638</v>
      </c>
      <c r="T751">
        <v>-9.541094E-2</v>
      </c>
      <c r="U751">
        <v>0.1156311</v>
      </c>
      <c r="V751">
        <v>1.469151E-2</v>
      </c>
      <c r="W751">
        <v>0.1739222</v>
      </c>
      <c r="X751">
        <v>0.98464980000000002</v>
      </c>
      <c r="Y751">
        <v>-3.9189729999999999E-2</v>
      </c>
      <c r="Z751">
        <v>8.153864E-4</v>
      </c>
      <c r="AA751">
        <v>0.99923150000000005</v>
      </c>
      <c r="AB751">
        <v>23</v>
      </c>
      <c r="AC751">
        <v>37.3583</v>
      </c>
      <c r="AD751">
        <v>-1.1703840000000001</v>
      </c>
      <c r="AE751">
        <v>1.4186000000000201</v>
      </c>
      <c r="AF751">
        <v>-1.4717900078108499</v>
      </c>
      <c r="AG751">
        <v>-1.1703840000000001</v>
      </c>
      <c r="AH751">
        <v>37.319609642174598</v>
      </c>
      <c r="AI751">
        <v>91.794875581969293</v>
      </c>
      <c r="AJ751">
        <v>92.258428715861001</v>
      </c>
      <c r="AK751">
        <v>37.366953694124398</v>
      </c>
      <c r="AL751">
        <v>79.984057086552397</v>
      </c>
      <c r="AM751">
        <v>89.145179269861103</v>
      </c>
      <c r="AN751">
        <v>1.00000000037948</v>
      </c>
    </row>
    <row r="752" spans="1:40" x14ac:dyDescent="0.25">
      <c r="A752" t="str">
        <f>"20190303162227006"</f>
        <v>20190303162227006</v>
      </c>
      <c r="B752" t="str">
        <f>"1551601346994916"</f>
        <v>1551601346994916</v>
      </c>
      <c r="C752" t="s">
        <v>40</v>
      </c>
      <c r="D752">
        <v>4.9095849999999999</v>
      </c>
      <c r="E752">
        <v>0.47990899999999997</v>
      </c>
      <c r="F752" t="s">
        <v>43</v>
      </c>
      <c r="G752">
        <v>-297.81119999999999</v>
      </c>
      <c r="H752">
        <v>-0.05</v>
      </c>
      <c r="I752">
        <v>368.08569999999997</v>
      </c>
      <c r="J752">
        <v>-334.13990000000001</v>
      </c>
      <c r="K752">
        <v>1.120366</v>
      </c>
      <c r="L752">
        <v>366.74829999999997</v>
      </c>
      <c r="M752">
        <v>0.99996169999999995</v>
      </c>
      <c r="N752">
        <v>-8.6524150000000001E-3</v>
      </c>
      <c r="O752">
        <v>-1.4359489999999999E-3</v>
      </c>
      <c r="P752">
        <v>0.98613050000000002</v>
      </c>
      <c r="Q752">
        <v>0.16520119999999999</v>
      </c>
      <c r="R752">
        <v>-1.599012E-2</v>
      </c>
      <c r="S752">
        <v>3.0605769999999999</v>
      </c>
      <c r="T752">
        <v>-9.8238590000000001E-2</v>
      </c>
      <c r="U752">
        <v>0.1122437</v>
      </c>
      <c r="V752">
        <v>1.456824E-2</v>
      </c>
      <c r="W752">
        <v>0.17372779999999999</v>
      </c>
      <c r="X752">
        <v>0.98468599999999995</v>
      </c>
      <c r="Y752">
        <v>-3.8059120000000002E-2</v>
      </c>
      <c r="Z752">
        <v>8.0885949999999897E-4</v>
      </c>
      <c r="AA752">
        <v>0.99927509999999997</v>
      </c>
      <c r="AB752">
        <v>23</v>
      </c>
      <c r="AC752">
        <v>36.328699999999998</v>
      </c>
      <c r="AD752">
        <v>-1.170366</v>
      </c>
      <c r="AE752">
        <v>1.3373999999999999</v>
      </c>
      <c r="AF752">
        <v>-1.3881279768666099</v>
      </c>
      <c r="AG752">
        <v>-1.170366</v>
      </c>
      <c r="AH752">
        <v>36.289129546824903</v>
      </c>
      <c r="AI752">
        <v>91.845865238798496</v>
      </c>
      <c r="AJ752">
        <v>92.190604128334996</v>
      </c>
      <c r="AK752">
        <v>36.334523240581497</v>
      </c>
      <c r="AL752">
        <v>79.995368075710402</v>
      </c>
      <c r="AM752">
        <v>89.152381801352405</v>
      </c>
      <c r="AN752">
        <v>1.00000005035276</v>
      </c>
    </row>
    <row r="753" spans="1:40" x14ac:dyDescent="0.25">
      <c r="A753" t="str">
        <f>"20190303162227018"</f>
        <v>20190303162227018</v>
      </c>
      <c r="B753" t="str">
        <f>"1551601347004676"</f>
        <v>1551601347004676</v>
      </c>
      <c r="C753" t="s">
        <v>40</v>
      </c>
      <c r="D753">
        <v>5.0769070000000003</v>
      </c>
      <c r="E753">
        <v>0.47997840000000003</v>
      </c>
      <c r="F753" t="s">
        <v>43</v>
      </c>
      <c r="G753">
        <v>-297.52199999999999</v>
      </c>
      <c r="H753">
        <v>-0.05</v>
      </c>
      <c r="I753">
        <v>368.08690000000001</v>
      </c>
      <c r="J753">
        <v>-334.01229999999998</v>
      </c>
      <c r="K753">
        <v>1.120349</v>
      </c>
      <c r="L753">
        <v>366.74810000000002</v>
      </c>
      <c r="M753">
        <v>0.99996269999999998</v>
      </c>
      <c r="N753">
        <v>-8.527827E-3</v>
      </c>
      <c r="O753">
        <v>-1.4109770000000001E-3</v>
      </c>
      <c r="P753">
        <v>0.98616619999999999</v>
      </c>
      <c r="Q753">
        <v>0.164967899999999</v>
      </c>
      <c r="R753">
        <v>-1.6186039999999999E-2</v>
      </c>
      <c r="S753">
        <v>3.0603940000000001</v>
      </c>
      <c r="T753">
        <v>-9.781492E-2</v>
      </c>
      <c r="U753">
        <v>0.1118774</v>
      </c>
      <c r="V753">
        <v>1.4788900000000001E-2</v>
      </c>
      <c r="W753">
        <v>0.17337230000000001</v>
      </c>
      <c r="X753">
        <v>0.98474530000000005</v>
      </c>
      <c r="Y753">
        <v>-3.7917310000000003E-2</v>
      </c>
      <c r="Z753">
        <v>8.0042060000000003E-4</v>
      </c>
      <c r="AA753">
        <v>0.99928059999999996</v>
      </c>
      <c r="AB753">
        <v>23</v>
      </c>
      <c r="AC753">
        <v>36.490299999999898</v>
      </c>
      <c r="AD753">
        <v>-1.1703490000000001</v>
      </c>
      <c r="AE753">
        <v>1.33879999999999</v>
      </c>
      <c r="AF753">
        <v>-1.3888607522346801</v>
      </c>
      <c r="AG753">
        <v>-1.1703490000000001</v>
      </c>
      <c r="AH753">
        <v>36.450929031762598</v>
      </c>
      <c r="AI753">
        <v>91.837661191536995</v>
      </c>
      <c r="AJ753">
        <v>92.182039970698298</v>
      </c>
      <c r="AK753">
        <v>36.496148813943201</v>
      </c>
      <c r="AL753">
        <v>80.016049930482097</v>
      </c>
      <c r="AM753">
        <v>89.139596950528102</v>
      </c>
      <c r="AN753">
        <v>0.99999998592129502</v>
      </c>
    </row>
    <row r="754" spans="1:40" x14ac:dyDescent="0.25">
      <c r="A754" t="str">
        <f>"20190303162227031"</f>
        <v>20190303162227031</v>
      </c>
      <c r="B754" t="str">
        <f>"1551601347025172"</f>
        <v>1551601347025172</v>
      </c>
      <c r="C754" t="s">
        <v>40</v>
      </c>
      <c r="D754">
        <v>5.0802829999999997</v>
      </c>
      <c r="E754">
        <v>0.48000330000000002</v>
      </c>
      <c r="F754" t="s">
        <v>43</v>
      </c>
      <c r="G754">
        <v>-297.4178</v>
      </c>
      <c r="H754">
        <v>-0.05</v>
      </c>
      <c r="I754">
        <v>368.07240000000002</v>
      </c>
      <c r="J754">
        <v>-333.88240000000002</v>
      </c>
      <c r="K754">
        <v>1.120328</v>
      </c>
      <c r="L754">
        <v>366.74799999999999</v>
      </c>
      <c r="M754">
        <v>0.99996390000000002</v>
      </c>
      <c r="N754">
        <v>-8.3992689999999991E-3</v>
      </c>
      <c r="O754">
        <v>-1.3856389999999999E-3</v>
      </c>
      <c r="P754">
        <v>0.98613609999999896</v>
      </c>
      <c r="Q754">
        <v>0.16517190000000001</v>
      </c>
      <c r="R754">
        <v>-1.594926E-2</v>
      </c>
      <c r="S754">
        <v>3.0602420000000001</v>
      </c>
      <c r="T754">
        <v>-9.7871299999999994E-2</v>
      </c>
      <c r="U754">
        <v>0.11074829999999999</v>
      </c>
      <c r="V754">
        <v>1.4576850000000001E-2</v>
      </c>
      <c r="W754">
        <v>0.1734493</v>
      </c>
      <c r="X754">
        <v>0.98473489999999997</v>
      </c>
      <c r="Y754">
        <v>-3.7525879999999998E-2</v>
      </c>
      <c r="Z754">
        <v>7.9007559999999999E-4</v>
      </c>
      <c r="AA754">
        <v>0.99929539999999994</v>
      </c>
      <c r="AB754">
        <v>23</v>
      </c>
      <c r="AC754">
        <v>36.464599999999997</v>
      </c>
      <c r="AD754">
        <v>-1.170328</v>
      </c>
      <c r="AE754">
        <v>1.3243999999999601</v>
      </c>
      <c r="AF754">
        <v>-1.3735143059208801</v>
      </c>
      <c r="AG754">
        <v>-1.170328</v>
      </c>
      <c r="AH754">
        <v>36.425258172925503</v>
      </c>
      <c r="AI754">
        <v>91.838949865426002</v>
      </c>
      <c r="AJ754">
        <v>92.1594714682888</v>
      </c>
      <c r="AK754">
        <v>36.469927915207499</v>
      </c>
      <c r="AL754">
        <v>80.011570265023096</v>
      </c>
      <c r="AM754">
        <v>89.151923032023902</v>
      </c>
      <c r="AN754">
        <v>0.999999983752211</v>
      </c>
    </row>
    <row r="755" spans="1:40" x14ac:dyDescent="0.25">
      <c r="A755" t="str">
        <f>"20190303162227044"</f>
        <v>20190303162227044</v>
      </c>
      <c r="B755" t="str">
        <f>"1551601347034932"</f>
        <v>1551601347034932</v>
      </c>
      <c r="C755" t="s">
        <v>40</v>
      </c>
      <c r="D755">
        <v>4.9608949999999998</v>
      </c>
      <c r="E755">
        <v>0.48005170000000003</v>
      </c>
      <c r="F755" t="s">
        <v>43</v>
      </c>
      <c r="G755">
        <v>-296.31810000000002</v>
      </c>
      <c r="H755">
        <v>-0.05</v>
      </c>
      <c r="I755">
        <v>368.11169999999998</v>
      </c>
      <c r="J755">
        <v>-333.74220000000003</v>
      </c>
      <c r="K755">
        <v>1.1203050000000001</v>
      </c>
      <c r="L755">
        <v>366.74779999999998</v>
      </c>
      <c r="M755">
        <v>0.99996510000000005</v>
      </c>
      <c r="N755">
        <v>-8.2595780000000001E-3</v>
      </c>
      <c r="O755">
        <v>-1.358118E-3</v>
      </c>
      <c r="P755">
        <v>0.98619179999999995</v>
      </c>
      <c r="Q755">
        <v>0.16482829999999901</v>
      </c>
      <c r="R755">
        <v>-1.6046769999999998E-2</v>
      </c>
      <c r="S755">
        <v>3.0599370000000001</v>
      </c>
      <c r="T755">
        <v>-9.5333459999999995E-2</v>
      </c>
      <c r="U755">
        <v>0.111084</v>
      </c>
      <c r="V755">
        <v>1.470163E-2</v>
      </c>
      <c r="W755">
        <v>0.17296889999999901</v>
      </c>
      <c r="X755">
        <v>0.98481759999999996</v>
      </c>
      <c r="Y755">
        <v>-3.7612619999999999E-2</v>
      </c>
      <c r="Z755">
        <v>7.7209320000000002E-4</v>
      </c>
      <c r="AA755">
        <v>0.99929210000000002</v>
      </c>
      <c r="AB755">
        <v>23</v>
      </c>
      <c r="AC755">
        <v>37.424100000000003</v>
      </c>
      <c r="AD755">
        <v>-1.1703049999999999</v>
      </c>
      <c r="AE755">
        <v>1.3638999999999999</v>
      </c>
      <c r="AF755">
        <v>-1.4133465316378</v>
      </c>
      <c r="AG755">
        <v>-1.1703049999999999</v>
      </c>
      <c r="AH755">
        <v>37.385702019779799</v>
      </c>
      <c r="AI755">
        <v>91.791696469982199</v>
      </c>
      <c r="AJ755">
        <v>92.165005395962396</v>
      </c>
      <c r="AK755">
        <v>37.430707683976301</v>
      </c>
      <c r="AL755">
        <v>80.039518163761599</v>
      </c>
      <c r="AM755">
        <v>89.144736257318598</v>
      </c>
      <c r="AN755">
        <v>1.0000000417808099</v>
      </c>
    </row>
    <row r="756" spans="1:40" x14ac:dyDescent="0.25">
      <c r="A756" t="str">
        <f>"20190303162227061"</f>
        <v>20190303162227061</v>
      </c>
      <c r="B756" t="str">
        <f>"1551601347055428"</f>
        <v>1551601347055428</v>
      </c>
      <c r="C756" t="s">
        <v>40</v>
      </c>
      <c r="D756">
        <v>4.8403999999999998</v>
      </c>
      <c r="E756">
        <v>0.48014709999999999</v>
      </c>
      <c r="F756" t="s">
        <v>43</v>
      </c>
      <c r="G756">
        <v>-296.1995</v>
      </c>
      <c r="H756">
        <v>-0.05</v>
      </c>
      <c r="I756">
        <v>368.09989999999999</v>
      </c>
      <c r="J756">
        <v>-333.55849999999998</v>
      </c>
      <c r="K756">
        <v>1.1202799999999999</v>
      </c>
      <c r="L756">
        <v>366.74759999999998</v>
      </c>
      <c r="M756">
        <v>0.99996660000000004</v>
      </c>
      <c r="N756">
        <v>-8.074365E-3</v>
      </c>
      <c r="O756">
        <v>-1.3224350000000001E-3</v>
      </c>
      <c r="P756">
        <v>0.98624650000000003</v>
      </c>
      <c r="Q756">
        <v>0.1645095</v>
      </c>
      <c r="R756">
        <v>-1.5958900000000002E-2</v>
      </c>
      <c r="S756">
        <v>3.059723</v>
      </c>
      <c r="T756">
        <v>-9.5379710000000006E-2</v>
      </c>
      <c r="U756">
        <v>0.11019900000000001</v>
      </c>
      <c r="V756">
        <v>1.4648700000000001E-2</v>
      </c>
      <c r="W756">
        <v>0.17246779999999901</v>
      </c>
      <c r="X756">
        <v>0.98490630000000001</v>
      </c>
      <c r="Y756">
        <v>-3.7291119999999997E-2</v>
      </c>
      <c r="Z756">
        <v>7.6207869999999896E-4</v>
      </c>
      <c r="AA756">
        <v>0.99930419999999998</v>
      </c>
      <c r="AB756">
        <v>24</v>
      </c>
      <c r="AC756">
        <v>37.358999999999902</v>
      </c>
      <c r="AD756">
        <v>-1.17028</v>
      </c>
      <c r="AE756">
        <v>1.35230000000001</v>
      </c>
      <c r="AF756">
        <v>-1.4003329651615699</v>
      </c>
      <c r="AG756">
        <v>-1.17028</v>
      </c>
      <c r="AH756">
        <v>37.320605226941602</v>
      </c>
      <c r="AI756">
        <v>91.794800368180503</v>
      </c>
      <c r="AJ756">
        <v>92.148827631397097</v>
      </c>
      <c r="AK756">
        <v>37.365198543523597</v>
      </c>
      <c r="AL756">
        <v>80.068667465028398</v>
      </c>
      <c r="AM756">
        <v>89.147891728146206</v>
      </c>
      <c r="AN756">
        <v>1.0000000731141001</v>
      </c>
    </row>
    <row r="757" spans="1:40" x14ac:dyDescent="0.25">
      <c r="A757" t="str">
        <f>"20190303162227077"</f>
        <v>20190303162227077</v>
      </c>
      <c r="B757" t="str">
        <f>"1551601347065188"</f>
        <v>1551601347065188</v>
      </c>
      <c r="C757" t="s">
        <v>40</v>
      </c>
      <c r="D757">
        <v>4.8409180000000003</v>
      </c>
      <c r="E757">
        <v>0.48021269999999999</v>
      </c>
      <c r="F757" t="s">
        <v>43</v>
      </c>
      <c r="G757">
        <v>-295.75569999999999</v>
      </c>
      <c r="H757">
        <v>-0.05</v>
      </c>
      <c r="I757">
        <v>368.10199999999998</v>
      </c>
      <c r="J757">
        <v>-333.40050000000002</v>
      </c>
      <c r="K757">
        <v>1.1202559999999999</v>
      </c>
      <c r="L757">
        <v>366.74740000000003</v>
      </c>
      <c r="M757">
        <v>0.99996790000000002</v>
      </c>
      <c r="N757">
        <v>-7.9157369999999904E-3</v>
      </c>
      <c r="O757">
        <v>-1.2921180000000001E-3</v>
      </c>
      <c r="P757">
        <v>0.98626259999999999</v>
      </c>
      <c r="Q757">
        <v>0.16443199999999999</v>
      </c>
      <c r="R757">
        <v>-1.5759309999999999E-2</v>
      </c>
      <c r="S757">
        <v>3.059418</v>
      </c>
      <c r="T757">
        <v>-9.4712019999999994E-2</v>
      </c>
      <c r="U757">
        <v>0.1096191</v>
      </c>
      <c r="V757">
        <v>1.4478889999999999E-2</v>
      </c>
      <c r="W757">
        <v>0.17223429999999901</v>
      </c>
      <c r="X757">
        <v>0.98494959999999998</v>
      </c>
      <c r="Y757">
        <v>-3.7075770000000001E-2</v>
      </c>
      <c r="Z757">
        <v>7.5015559999999995E-4</v>
      </c>
      <c r="AA757">
        <v>0.99931219999999998</v>
      </c>
      <c r="AB757">
        <v>24</v>
      </c>
      <c r="AC757">
        <v>37.644799999999996</v>
      </c>
      <c r="AD757">
        <v>-1.170256</v>
      </c>
      <c r="AE757">
        <v>1.3545999999999401</v>
      </c>
      <c r="AF757">
        <v>-1.4018888962320299</v>
      </c>
      <c r="AG757">
        <v>-1.170256</v>
      </c>
      <c r="AH757">
        <v>37.606722506558597</v>
      </c>
      <c r="AI757">
        <v>91.781133824638403</v>
      </c>
      <c r="AJ757">
        <v>92.134861452760703</v>
      </c>
      <c r="AK757">
        <v>37.651034106226298</v>
      </c>
      <c r="AL757">
        <v>80.082248574355305</v>
      </c>
      <c r="AM757">
        <v>89.157805088601293</v>
      </c>
      <c r="AN757">
        <v>1.00000000344614</v>
      </c>
    </row>
    <row r="758" spans="1:40" x14ac:dyDescent="0.25">
      <c r="A758" t="str">
        <f>"20190303162227096"</f>
        <v>20190303162227096</v>
      </c>
      <c r="B758" t="str">
        <f>"1551601347084708"</f>
        <v>1551601347084708</v>
      </c>
      <c r="C758" t="s">
        <v>40</v>
      </c>
      <c r="D758">
        <v>4.9565739999999998</v>
      </c>
      <c r="E758">
        <v>0.48024159999999999</v>
      </c>
      <c r="F758" t="s">
        <v>43</v>
      </c>
      <c r="G758">
        <v>-295.46499999999997</v>
      </c>
      <c r="H758">
        <v>-0.05</v>
      </c>
      <c r="I758">
        <v>368.11009999999999</v>
      </c>
      <c r="J758">
        <v>-333.20420000000001</v>
      </c>
      <c r="K758">
        <v>1.120228</v>
      </c>
      <c r="L758">
        <v>366.74720000000002</v>
      </c>
      <c r="M758">
        <v>0.99996960000000001</v>
      </c>
      <c r="N758">
        <v>-7.7199879999999997E-3</v>
      </c>
      <c r="O758">
        <v>-1.2540419999999999E-3</v>
      </c>
      <c r="P758">
        <v>0.9861799</v>
      </c>
      <c r="Q758">
        <v>0.16490450000000001</v>
      </c>
      <c r="R758">
        <v>-1.6001430000000001E-2</v>
      </c>
      <c r="S758">
        <v>3.0592649999999999</v>
      </c>
      <c r="T758">
        <v>-9.4373819999999997E-2</v>
      </c>
      <c r="U758">
        <v>0.1098938</v>
      </c>
      <c r="V758">
        <v>1.4758500000000001E-2</v>
      </c>
      <c r="W758">
        <v>0.17251329999999901</v>
      </c>
      <c r="X758">
        <v>0.98489660000000001</v>
      </c>
      <c r="Y758">
        <v>-3.7129330000000002E-2</v>
      </c>
      <c r="Z758">
        <v>7.4476929999999896E-4</v>
      </c>
      <c r="AA758">
        <v>0.99931020000000004</v>
      </c>
      <c r="AB758">
        <v>24</v>
      </c>
      <c r="AC758">
        <v>37.739199999999997</v>
      </c>
      <c r="AD758">
        <v>-1.170228</v>
      </c>
      <c r="AE758">
        <v>1.36289999999996</v>
      </c>
      <c r="AF758">
        <v>-1.4088739841086499</v>
      </c>
      <c r="AG758">
        <v>-1.170228</v>
      </c>
      <c r="AH758">
        <v>37.701258069211903</v>
      </c>
      <c r="AI758">
        <v>91.776621956676294</v>
      </c>
      <c r="AJ758">
        <v>92.140113967574194</v>
      </c>
      <c r="AK758">
        <v>37.745717895893797</v>
      </c>
      <c r="AL758">
        <v>80.066019926572096</v>
      </c>
      <c r="AM758">
        <v>89.1414972101947</v>
      </c>
      <c r="AN758">
        <v>0.99999998234534904</v>
      </c>
    </row>
    <row r="759" spans="1:40" x14ac:dyDescent="0.25">
      <c r="A759" t="str">
        <f>"20190303162227116"</f>
        <v>20190303162227116</v>
      </c>
      <c r="B759" t="str">
        <f>"1551601347105203"</f>
        <v>1551601347105203</v>
      </c>
      <c r="C759" t="s">
        <v>40</v>
      </c>
      <c r="D759">
        <v>5.0170110000000001</v>
      </c>
      <c r="E759">
        <v>0.48033100000000001</v>
      </c>
      <c r="F759" t="s">
        <v>43</v>
      </c>
      <c r="G759">
        <v>-294.08519999999999</v>
      </c>
      <c r="H759">
        <v>-0.05</v>
      </c>
      <c r="I759">
        <v>368.15010000000001</v>
      </c>
      <c r="J759">
        <v>-332.97649999999999</v>
      </c>
      <c r="K759">
        <v>1.12019</v>
      </c>
      <c r="L759">
        <v>366.74689999999998</v>
      </c>
      <c r="M759">
        <v>0.99997130000000001</v>
      </c>
      <c r="N759">
        <v>-7.4947360000000001E-3</v>
      </c>
      <c r="O759">
        <v>-1.2092019999999999E-3</v>
      </c>
      <c r="P759">
        <v>0.98621000000000003</v>
      </c>
      <c r="Q759">
        <v>0.1646987</v>
      </c>
      <c r="R759">
        <v>-1.6261330000000001E-2</v>
      </c>
      <c r="S759">
        <v>3.059113</v>
      </c>
      <c r="T759">
        <v>-9.1511960000000003E-2</v>
      </c>
      <c r="U759">
        <v>0.10971069999999999</v>
      </c>
      <c r="V759">
        <v>1.50625E-2</v>
      </c>
      <c r="W759">
        <v>0.1720864</v>
      </c>
      <c r="X759">
        <v>0.98496669999999997</v>
      </c>
      <c r="Y759">
        <v>-3.702797E-2</v>
      </c>
      <c r="Z759">
        <v>7.1947329999999998E-4</v>
      </c>
      <c r="AA759">
        <v>0.99931400000000004</v>
      </c>
      <c r="AB759">
        <v>24</v>
      </c>
      <c r="AC759">
        <v>38.891300000000001</v>
      </c>
      <c r="AD759">
        <v>-1.1701900000000001</v>
      </c>
      <c r="AE759">
        <v>1.40320000000002</v>
      </c>
      <c r="AF759">
        <v>-1.4489176810870601</v>
      </c>
      <c r="AG759">
        <v>-1.1701900000000001</v>
      </c>
      <c r="AH759">
        <v>38.854444328000703</v>
      </c>
      <c r="AI759">
        <v>91.723873841170402</v>
      </c>
      <c r="AJ759">
        <v>92.135622322679595</v>
      </c>
      <c r="AK759">
        <v>38.899055915540899</v>
      </c>
      <c r="AL759">
        <v>80.090851070375507</v>
      </c>
      <c r="AM759">
        <v>89.123878589995599</v>
      </c>
      <c r="AN759">
        <v>1.0000000040400401</v>
      </c>
    </row>
    <row r="760" spans="1:40" x14ac:dyDescent="0.25">
      <c r="A760" t="str">
        <f>"20190303162227129"</f>
        <v>20190303162227129</v>
      </c>
      <c r="B760" t="str">
        <f>"1551601347124724"</f>
        <v>1551601347124724</v>
      </c>
      <c r="C760" t="s">
        <v>40</v>
      </c>
      <c r="D760">
        <v>4.9567620000000003</v>
      </c>
      <c r="E760">
        <v>0.48038720000000001</v>
      </c>
      <c r="F760" t="s">
        <v>43</v>
      </c>
      <c r="G760">
        <v>-293.56209999999999</v>
      </c>
      <c r="H760">
        <v>-0.05</v>
      </c>
      <c r="I760">
        <v>368.13819999999998</v>
      </c>
      <c r="J760">
        <v>-332.8399</v>
      </c>
      <c r="K760">
        <v>1.120174</v>
      </c>
      <c r="L760">
        <v>366.74689999999998</v>
      </c>
      <c r="M760">
        <v>0.99997230000000004</v>
      </c>
      <c r="N760">
        <v>-7.3601949999999999E-3</v>
      </c>
      <c r="O760">
        <v>-1.181522E-3</v>
      </c>
      <c r="P760">
        <v>0.98621899999999996</v>
      </c>
      <c r="Q760">
        <v>0.1646088</v>
      </c>
      <c r="R760">
        <v>-1.6626490000000001E-2</v>
      </c>
      <c r="S760">
        <v>3.0588989999999998</v>
      </c>
      <c r="T760">
        <v>-9.0816969999999997E-2</v>
      </c>
      <c r="U760">
        <v>0.1079712</v>
      </c>
      <c r="V760">
        <v>1.545471E-2</v>
      </c>
      <c r="W760">
        <v>0.17186419999999999</v>
      </c>
      <c r="X760">
        <v>0.98499939999999997</v>
      </c>
      <c r="Y760">
        <v>-3.6435910000000002E-2</v>
      </c>
      <c r="Z760">
        <v>7.0112959999999998E-4</v>
      </c>
      <c r="AA760">
        <v>0.9993358</v>
      </c>
      <c r="AB760">
        <v>24</v>
      </c>
      <c r="AC760">
        <v>39.277799999999999</v>
      </c>
      <c r="AD760">
        <v>-1.170174</v>
      </c>
      <c r="AE760">
        <v>1.3913</v>
      </c>
      <c r="AF760">
        <v>-1.436434516641</v>
      </c>
      <c r="AG760">
        <v>-1.170174</v>
      </c>
      <c r="AH760">
        <v>39.2413425772057</v>
      </c>
      <c r="AI760">
        <v>91.706907329578996</v>
      </c>
      <c r="AJ760">
        <v>92.096383554697894</v>
      </c>
      <c r="AK760">
        <v>39.285055919172201</v>
      </c>
      <c r="AL760">
        <v>80.103774545109005</v>
      </c>
      <c r="AM760">
        <v>89.101098940215806</v>
      </c>
      <c r="AN760">
        <v>0.99999998465159101</v>
      </c>
    </row>
    <row r="761" spans="1:40" x14ac:dyDescent="0.25">
      <c r="A761" t="str">
        <f>"20190303162227141"</f>
        <v>20190303162227141</v>
      </c>
      <c r="B761" t="str">
        <f>"1551601347135460"</f>
        <v>1551601347135460</v>
      </c>
      <c r="C761" t="s">
        <v>40</v>
      </c>
      <c r="D761">
        <v>4.9531099999999997</v>
      </c>
      <c r="E761">
        <v>0.48042299999999899</v>
      </c>
      <c r="F761" t="s">
        <v>43</v>
      </c>
      <c r="G761">
        <v>-293.05509999999998</v>
      </c>
      <c r="H761">
        <v>-0.05</v>
      </c>
      <c r="I761">
        <v>368.1302</v>
      </c>
      <c r="J761">
        <v>-332.70639999999997</v>
      </c>
      <c r="K761">
        <v>1.12016</v>
      </c>
      <c r="L761">
        <v>366.74669999999998</v>
      </c>
      <c r="M761">
        <v>0.99997320000000001</v>
      </c>
      <c r="N761">
        <v>-7.2288509999999997E-3</v>
      </c>
      <c r="O761">
        <v>-1.15386E-3</v>
      </c>
      <c r="P761">
        <v>0.98620459999999999</v>
      </c>
      <c r="Q761">
        <v>0.16467899999999999</v>
      </c>
      <c r="R761">
        <v>-1.6777029999999998E-2</v>
      </c>
      <c r="S761">
        <v>3.0587460000000002</v>
      </c>
      <c r="T761">
        <v>-8.9965580000000003E-2</v>
      </c>
      <c r="U761">
        <v>0.1063538</v>
      </c>
      <c r="V761">
        <v>1.563233E-2</v>
      </c>
      <c r="W761">
        <v>0.1718045</v>
      </c>
      <c r="X761">
        <v>0.98500699999999997</v>
      </c>
      <c r="Y761">
        <v>-3.5882949999999997E-2</v>
      </c>
      <c r="Z761">
        <v>6.8278679999999995E-4</v>
      </c>
      <c r="AA761">
        <v>0.99935580000000002</v>
      </c>
      <c r="AB761">
        <v>24</v>
      </c>
      <c r="AC761">
        <v>39.6512999999999</v>
      </c>
      <c r="AD761">
        <v>-1.1701600000000001</v>
      </c>
      <c r="AE761">
        <v>1.3835000000000199</v>
      </c>
      <c r="AF761">
        <v>-1.42801016086866</v>
      </c>
      <c r="AG761">
        <v>-1.1701600000000001</v>
      </c>
      <c r="AH761">
        <v>39.615217671283602</v>
      </c>
      <c r="AI761">
        <v>91.690821505702104</v>
      </c>
      <c r="AJ761">
        <v>92.064447693819403</v>
      </c>
      <c r="AK761">
        <v>39.658214263735097</v>
      </c>
      <c r="AL761">
        <v>80.107246632884795</v>
      </c>
      <c r="AM761">
        <v>89.090776666089894</v>
      </c>
      <c r="AN761">
        <v>0.99999997300523902</v>
      </c>
    </row>
    <row r="762" spans="1:40" x14ac:dyDescent="0.25">
      <c r="A762" t="str">
        <f>"20190303162227154"</f>
        <v>20190303162227154</v>
      </c>
      <c r="B762" t="str">
        <f>"1551601347145220"</f>
        <v>1551601347145220</v>
      </c>
      <c r="C762" t="s">
        <v>40</v>
      </c>
      <c r="D762">
        <v>4.8317750000000004</v>
      </c>
      <c r="E762">
        <v>0.4804911</v>
      </c>
      <c r="F762" t="s">
        <v>43</v>
      </c>
      <c r="G762">
        <v>-292.62900000000002</v>
      </c>
      <c r="H762">
        <v>-0.05</v>
      </c>
      <c r="I762">
        <v>368.13619999999997</v>
      </c>
      <c r="J762">
        <v>-332.5736</v>
      </c>
      <c r="K762">
        <v>1.120144</v>
      </c>
      <c r="L762">
        <v>366.7466</v>
      </c>
      <c r="M762">
        <v>0.99997429999999998</v>
      </c>
      <c r="N762">
        <v>-7.0981849999999999E-3</v>
      </c>
      <c r="O762">
        <v>-1.1248930000000001E-3</v>
      </c>
      <c r="P762">
        <v>0.98623539999999998</v>
      </c>
      <c r="Q762">
        <v>0.16444429999999999</v>
      </c>
      <c r="R762">
        <v>-1.7258320000000001E-2</v>
      </c>
      <c r="S762">
        <v>3.058716</v>
      </c>
      <c r="T762">
        <v>-8.9306949999999996E-2</v>
      </c>
      <c r="U762">
        <v>0.10604860000000001</v>
      </c>
      <c r="V762">
        <v>1.6141699999999998E-2</v>
      </c>
      <c r="W762">
        <v>0.17144139999999999</v>
      </c>
      <c r="X762">
        <v>0.98506210000000005</v>
      </c>
      <c r="Y762">
        <v>-3.5755160000000001E-2</v>
      </c>
      <c r="Z762">
        <v>6.7353129999999999E-4</v>
      </c>
      <c r="AA762">
        <v>0.99936040000000004</v>
      </c>
      <c r="AB762">
        <v>24</v>
      </c>
      <c r="AC762">
        <v>39.944599999999902</v>
      </c>
      <c r="AD762">
        <v>-1.1701440000000001</v>
      </c>
      <c r="AE762">
        <v>1.38959999999997</v>
      </c>
      <c r="AF762">
        <v>-1.43330514611994</v>
      </c>
      <c r="AG762">
        <v>-1.1701440000000001</v>
      </c>
      <c r="AH762">
        <v>39.908805249751602</v>
      </c>
      <c r="AI762">
        <v>91.678375234278704</v>
      </c>
      <c r="AJ762">
        <v>92.056865743338506</v>
      </c>
      <c r="AK762">
        <v>39.951675022271999</v>
      </c>
      <c r="AL762">
        <v>80.128364569768905</v>
      </c>
      <c r="AM762">
        <v>89.061207899321303</v>
      </c>
      <c r="AN762">
        <v>1.0000000244846201</v>
      </c>
    </row>
    <row r="763" spans="1:40" x14ac:dyDescent="0.25">
      <c r="A763" t="str">
        <f>"20190303162227167"</f>
        <v>20190303162227167</v>
      </c>
      <c r="B763" t="str">
        <f>"1551601347154980"</f>
        <v>1551601347154980</v>
      </c>
      <c r="C763" t="s">
        <v>40</v>
      </c>
      <c r="D763">
        <v>4.9574680000000004</v>
      </c>
      <c r="E763">
        <v>0.48052289999999998</v>
      </c>
      <c r="F763" t="s">
        <v>43</v>
      </c>
      <c r="G763">
        <v>-292.45929999999998</v>
      </c>
      <c r="H763">
        <v>-0.05</v>
      </c>
      <c r="I763">
        <v>368.10899999999998</v>
      </c>
      <c r="J763">
        <v>-332.43740000000003</v>
      </c>
      <c r="K763">
        <v>1.120126</v>
      </c>
      <c r="L763">
        <v>366.74650000000003</v>
      </c>
      <c r="M763">
        <v>0.99997519999999995</v>
      </c>
      <c r="N763">
        <v>-6.9648119999999999E-3</v>
      </c>
      <c r="O763">
        <v>-1.094254E-3</v>
      </c>
      <c r="P763">
        <v>0.98622430000000005</v>
      </c>
      <c r="Q763">
        <v>0.16449040000000001</v>
      </c>
      <c r="R763">
        <v>-1.7450999999999901E-2</v>
      </c>
      <c r="S763">
        <v>3.0585629999999999</v>
      </c>
      <c r="T763">
        <v>-8.9219090000000001E-2</v>
      </c>
      <c r="U763">
        <v>0.1038818</v>
      </c>
      <c r="V763">
        <v>1.6363840000000001E-2</v>
      </c>
      <c r="W763">
        <v>0.17135590000000001</v>
      </c>
      <c r="X763">
        <v>0.98507330000000004</v>
      </c>
      <c r="Y763">
        <v>-3.501961E-2</v>
      </c>
      <c r="Z763">
        <v>6.568171E-4</v>
      </c>
      <c r="AA763">
        <v>0.99938640000000001</v>
      </c>
      <c r="AB763">
        <v>24</v>
      </c>
      <c r="AC763">
        <v>39.978099999999998</v>
      </c>
      <c r="AD763">
        <v>-1.170126</v>
      </c>
      <c r="AE763">
        <v>1.36250000000001</v>
      </c>
      <c r="AF763">
        <v>-1.4050441556097</v>
      </c>
      <c r="AG763">
        <v>-1.170126</v>
      </c>
      <c r="AH763">
        <v>39.942406761298997</v>
      </c>
      <c r="AI763">
        <v>91.676982223789196</v>
      </c>
      <c r="AJ763">
        <v>92.014648749321495</v>
      </c>
      <c r="AK763">
        <v>39.984236916816997</v>
      </c>
      <c r="AL763">
        <v>80.133336827189396</v>
      </c>
      <c r="AM763">
        <v>89.048301541947893</v>
      </c>
      <c r="AN763">
        <v>1.00000001304862</v>
      </c>
    </row>
    <row r="764" spans="1:40" x14ac:dyDescent="0.25">
      <c r="A764" t="str">
        <f>"20190303162227184"</f>
        <v>20190303162227184</v>
      </c>
      <c r="B764" t="str">
        <f>"1551601347175476"</f>
        <v>1551601347175476</v>
      </c>
      <c r="C764" t="s">
        <v>40</v>
      </c>
      <c r="D764">
        <v>4.962618</v>
      </c>
      <c r="E764">
        <v>0.48061199999999998</v>
      </c>
      <c r="F764" t="s">
        <v>43</v>
      </c>
      <c r="G764">
        <v>-292.00990000000002</v>
      </c>
      <c r="H764">
        <v>-0.05</v>
      </c>
      <c r="I764">
        <v>368.10550000000001</v>
      </c>
      <c r="J764">
        <v>-332.24930000000001</v>
      </c>
      <c r="K764">
        <v>1.1201049999999999</v>
      </c>
      <c r="L764">
        <v>366.74619999999999</v>
      </c>
      <c r="M764">
        <v>0.99997650000000005</v>
      </c>
      <c r="N764">
        <v>-6.7828690000000004E-3</v>
      </c>
      <c r="O764">
        <v>-1.048904E-3</v>
      </c>
      <c r="P764">
        <v>0.98627849999999995</v>
      </c>
      <c r="Q764">
        <v>0.164132</v>
      </c>
      <c r="R764">
        <v>-1.775912E-2</v>
      </c>
      <c r="S764">
        <v>3.0585019999999998</v>
      </c>
      <c r="T764">
        <v>-8.8524699999999998E-2</v>
      </c>
      <c r="U764">
        <v>0.10281369999999999</v>
      </c>
      <c r="V764">
        <v>1.671535E-2</v>
      </c>
      <c r="W764">
        <v>0.17081939999999901</v>
      </c>
      <c r="X764">
        <v>0.98516060000000005</v>
      </c>
      <c r="Y764">
        <v>-3.4626909999999997E-2</v>
      </c>
      <c r="Z764">
        <v>6.4160370000000005E-4</v>
      </c>
      <c r="AA764">
        <v>0.99940010000000001</v>
      </c>
      <c r="AB764">
        <v>24</v>
      </c>
      <c r="AC764">
        <v>40.239399999999897</v>
      </c>
      <c r="AD764">
        <v>-1.170105</v>
      </c>
      <c r="AE764">
        <v>1.3593000000000099</v>
      </c>
      <c r="AF764">
        <v>-1.40032477337266</v>
      </c>
      <c r="AG764">
        <v>-1.170105</v>
      </c>
      <c r="AH764">
        <v>40.203995736720799</v>
      </c>
      <c r="AI764">
        <v>91.666067312416601</v>
      </c>
      <c r="AJ764">
        <v>91.994833510401804</v>
      </c>
      <c r="AK764">
        <v>40.245388908298601</v>
      </c>
      <c r="AL764">
        <v>80.164536278091404</v>
      </c>
      <c r="AM764">
        <v>89.027948214636794</v>
      </c>
      <c r="AN764">
        <v>1.0000000390671699</v>
      </c>
    </row>
    <row r="765" spans="1:40" x14ac:dyDescent="0.25">
      <c r="A765" t="str">
        <f>"20190303162227206"</f>
        <v>20190303162227206</v>
      </c>
      <c r="B765" t="str">
        <f>"1551601347194996"</f>
        <v>1551601347194996</v>
      </c>
      <c r="C765" t="s">
        <v>40</v>
      </c>
      <c r="D765">
        <v>4.828481</v>
      </c>
      <c r="E765">
        <v>0.48069990000000001</v>
      </c>
      <c r="F765" t="s">
        <v>43</v>
      </c>
      <c r="G765">
        <v>-291.6173</v>
      </c>
      <c r="H765">
        <v>-0.05</v>
      </c>
      <c r="I765">
        <v>368.08420000000001</v>
      </c>
      <c r="J765">
        <v>-332.00290000000001</v>
      </c>
      <c r="K765">
        <v>1.1200749999999999</v>
      </c>
      <c r="L765">
        <v>366.74610000000001</v>
      </c>
      <c r="M765">
        <v>0.99997809999999998</v>
      </c>
      <c r="N765">
        <v>-6.552843E-3</v>
      </c>
      <c r="O765">
        <v>-9.8325270000000002E-4</v>
      </c>
      <c r="P765">
        <v>0.98633490000000001</v>
      </c>
      <c r="Q765">
        <v>0.16379830000000001</v>
      </c>
      <c r="R765">
        <v>-1.771619E-2</v>
      </c>
      <c r="S765">
        <v>3.0582579999999999</v>
      </c>
      <c r="T765">
        <v>-8.8070389999999998E-2</v>
      </c>
      <c r="U765">
        <v>0.10070800000000001</v>
      </c>
      <c r="V765">
        <v>1.6734889999999999E-2</v>
      </c>
      <c r="W765">
        <v>0.170259299999999</v>
      </c>
      <c r="X765">
        <v>0.98525720000000006</v>
      </c>
      <c r="Y765">
        <v>-3.3877280000000003E-2</v>
      </c>
      <c r="Z765">
        <v>6.2047570000000002E-4</v>
      </c>
      <c r="AA765">
        <v>0.99942580000000003</v>
      </c>
      <c r="AB765">
        <v>24</v>
      </c>
      <c r="AC765">
        <v>40.385599999999997</v>
      </c>
      <c r="AD765">
        <v>-1.170075</v>
      </c>
      <c r="AE765">
        <v>1.3380999999999901</v>
      </c>
      <c r="AF765">
        <v>-1.3766551424662801</v>
      </c>
      <c r="AG765">
        <v>-1.170075</v>
      </c>
      <c r="AH765">
        <v>40.350431331016502</v>
      </c>
      <c r="AI765">
        <v>91.660022577912599</v>
      </c>
      <c r="AJ765">
        <v>91.954029835647901</v>
      </c>
      <c r="AK765">
        <v>40.390859900304001</v>
      </c>
      <c r="AL765">
        <v>80.197104534272597</v>
      </c>
      <c r="AM765">
        <v>89.026907517019794</v>
      </c>
      <c r="AN765">
        <v>1.0000000179658199</v>
      </c>
    </row>
    <row r="766" spans="1:40" x14ac:dyDescent="0.25">
      <c r="A766" t="str">
        <f>"20190303162227220"</f>
        <v>20190303162227220</v>
      </c>
      <c r="B766" t="str">
        <f>"1551601347215492"</f>
        <v>1551601347215492</v>
      </c>
      <c r="C766" t="s">
        <v>40</v>
      </c>
      <c r="D766">
        <v>4.8161959999999997</v>
      </c>
      <c r="E766">
        <v>0.48075319999999999</v>
      </c>
      <c r="F766" t="s">
        <v>43</v>
      </c>
      <c r="G766">
        <v>-291.19659999999999</v>
      </c>
      <c r="H766">
        <v>-0.05</v>
      </c>
      <c r="I766">
        <v>368.08460000000002</v>
      </c>
      <c r="J766">
        <v>-331.8485</v>
      </c>
      <c r="K766">
        <v>1.120061</v>
      </c>
      <c r="L766">
        <v>366.74599999999998</v>
      </c>
      <c r="M766">
        <v>0.99997899999999995</v>
      </c>
      <c r="N766">
        <v>-6.4137129999999997E-3</v>
      </c>
      <c r="O766">
        <v>-9.3926830000000004E-4</v>
      </c>
      <c r="P766">
        <v>0.98637490000000005</v>
      </c>
      <c r="Q766">
        <v>0.16358159999999999</v>
      </c>
      <c r="R766">
        <v>-1.7486000000000002E-2</v>
      </c>
      <c r="S766">
        <v>3.057922</v>
      </c>
      <c r="T766">
        <v>-8.7682599999999999E-2</v>
      </c>
      <c r="U766">
        <v>0.10031130000000001</v>
      </c>
      <c r="V766">
        <v>1.654651E-2</v>
      </c>
      <c r="W766">
        <v>0.169906</v>
      </c>
      <c r="X766">
        <v>0.98532129999999996</v>
      </c>
      <c r="Y766">
        <v>-3.37077E-2</v>
      </c>
      <c r="Z766">
        <v>6.1208789999999996E-4</v>
      </c>
      <c r="AA766">
        <v>0.99943159999999998</v>
      </c>
      <c r="AB766">
        <v>24</v>
      </c>
      <c r="AC766">
        <v>40.651899999999998</v>
      </c>
      <c r="AD766">
        <v>-1.170061</v>
      </c>
      <c r="AE766">
        <v>1.33860000000004</v>
      </c>
      <c r="AF766">
        <v>-1.37564484572401</v>
      </c>
      <c r="AG766">
        <v>-1.170061</v>
      </c>
      <c r="AH766">
        <v>40.617012868670997</v>
      </c>
      <c r="AI766">
        <v>91.649127594604593</v>
      </c>
      <c r="AJ766">
        <v>91.939791275277003</v>
      </c>
      <c r="AK766">
        <v>40.657141757126404</v>
      </c>
      <c r="AL766">
        <v>80.217645761376502</v>
      </c>
      <c r="AM766">
        <v>89.037921857707104</v>
      </c>
      <c r="AN766">
        <v>0.99999995003143305</v>
      </c>
    </row>
    <row r="767" spans="1:40" x14ac:dyDescent="0.25">
      <c r="A767" t="str">
        <f>"20190303162227234"</f>
        <v>20190303162227234</v>
      </c>
      <c r="B767" t="str">
        <f>"1551601347225253"</f>
        <v>1551601347225253</v>
      </c>
      <c r="C767" t="s">
        <v>40</v>
      </c>
      <c r="D767">
        <v>5.0196909999999999</v>
      </c>
      <c r="E767">
        <v>0.48081160000000001</v>
      </c>
      <c r="F767" t="s">
        <v>43</v>
      </c>
      <c r="G767">
        <v>-290.69990000000001</v>
      </c>
      <c r="H767">
        <v>-0.05</v>
      </c>
      <c r="I767">
        <v>368.0992</v>
      </c>
      <c r="J767">
        <v>-331.70249999999999</v>
      </c>
      <c r="K767">
        <v>1.120047</v>
      </c>
      <c r="L767">
        <v>366.74590000000001</v>
      </c>
      <c r="M767">
        <v>0.99997990000000003</v>
      </c>
      <c r="N767">
        <v>-6.2890510000000004E-3</v>
      </c>
      <c r="O767">
        <v>-8.9534320000000001E-4</v>
      </c>
      <c r="P767">
        <v>0.98641179999999995</v>
      </c>
      <c r="Q767">
        <v>0.16338900000000001</v>
      </c>
      <c r="R767">
        <v>-1.720468E-2</v>
      </c>
      <c r="S767">
        <v>3.0576479999999999</v>
      </c>
      <c r="T767">
        <v>-8.6944220000000003E-2</v>
      </c>
      <c r="U767">
        <v>0.1005554</v>
      </c>
      <c r="V767">
        <v>1.6307260000000001E-2</v>
      </c>
      <c r="W767">
        <v>0.16959109999999999</v>
      </c>
      <c r="X767">
        <v>0.98537960000000002</v>
      </c>
      <c r="Y767">
        <v>-3.3746760000000001E-2</v>
      </c>
      <c r="Z767">
        <v>6.0556040000000002E-4</v>
      </c>
      <c r="AA767">
        <v>0.99943020000000005</v>
      </c>
      <c r="AB767">
        <v>24</v>
      </c>
      <c r="AC767">
        <v>41.002599999999902</v>
      </c>
      <c r="AD767">
        <v>-1.1700469999999901</v>
      </c>
      <c r="AE767">
        <v>1.35329999999999</v>
      </c>
      <c r="AF767">
        <v>-1.38888184561925</v>
      </c>
      <c r="AG767">
        <v>-1.1700469999999901</v>
      </c>
      <c r="AH767">
        <v>40.968047939773399</v>
      </c>
      <c r="AI767">
        <v>91.634983361421703</v>
      </c>
      <c r="AJ767">
        <v>91.941674220782204</v>
      </c>
      <c r="AK767">
        <v>41.008279100187501</v>
      </c>
      <c r="AL767">
        <v>80.235954513054594</v>
      </c>
      <c r="AM767">
        <v>89.051886308835506</v>
      </c>
      <c r="AN767">
        <v>1.00000001201203</v>
      </c>
    </row>
    <row r="768" spans="1:40" x14ac:dyDescent="0.25">
      <c r="A768" t="str">
        <f>"20190303162227251"</f>
        <v>20190303162227251</v>
      </c>
      <c r="B768" t="str">
        <f>"1551601347244772"</f>
        <v>1551601347244772</v>
      </c>
      <c r="C768" t="s">
        <v>40</v>
      </c>
      <c r="D768">
        <v>5.0199809999999996</v>
      </c>
      <c r="E768">
        <v>0.4808442</v>
      </c>
      <c r="F768" t="s">
        <v>43</v>
      </c>
      <c r="G768">
        <v>-290.39569999999998</v>
      </c>
      <c r="H768">
        <v>-0.05</v>
      </c>
      <c r="I768">
        <v>368.10980000000001</v>
      </c>
      <c r="J768">
        <v>-331.51549999999997</v>
      </c>
      <c r="K768">
        <v>1.1200319999999999</v>
      </c>
      <c r="L768">
        <v>366.74579999999997</v>
      </c>
      <c r="M768">
        <v>0.99998089999999995</v>
      </c>
      <c r="N768">
        <v>-6.1361940000000002E-3</v>
      </c>
      <c r="O768">
        <v>-8.3655449999999896E-4</v>
      </c>
      <c r="P768">
        <v>0.98645729999999998</v>
      </c>
      <c r="Q768">
        <v>0.16312489999999999</v>
      </c>
      <c r="R768">
        <v>-1.7100290000000001E-2</v>
      </c>
      <c r="S768">
        <v>3.057404</v>
      </c>
      <c r="T768">
        <v>-8.6603399999999997E-2</v>
      </c>
      <c r="U768">
        <v>0.1009521</v>
      </c>
      <c r="V768">
        <v>1.6259329999999999E-2</v>
      </c>
      <c r="W768">
        <v>0.1691762</v>
      </c>
      <c r="X768">
        <v>0.98545170000000004</v>
      </c>
      <c r="Y768">
        <v>-3.3820339999999997E-2</v>
      </c>
      <c r="Z768">
        <v>6.0114010000000004E-4</v>
      </c>
      <c r="AA768">
        <v>0.99942770000000003</v>
      </c>
      <c r="AB768">
        <v>25</v>
      </c>
      <c r="AC768">
        <v>41.119799999999998</v>
      </c>
      <c r="AD768">
        <v>-1.170032</v>
      </c>
      <c r="AE768">
        <v>1.3640000000000301</v>
      </c>
      <c r="AF768">
        <v>-1.3972690759251301</v>
      </c>
      <c r="AG768">
        <v>-1.170032</v>
      </c>
      <c r="AH768">
        <v>41.085416577136101</v>
      </c>
      <c r="AI768">
        <v>91.630288412770398</v>
      </c>
      <c r="AJ768">
        <v>91.947814674255298</v>
      </c>
      <c r="AK768">
        <v>41.1258166006265</v>
      </c>
      <c r="AL768">
        <v>80.260074978167694</v>
      </c>
      <c r="AM768">
        <v>89.0547416325809</v>
      </c>
      <c r="AN768">
        <v>1.0000000027456799</v>
      </c>
    </row>
    <row r="769" spans="1:40" x14ac:dyDescent="0.25">
      <c r="A769" t="str">
        <f>"20190303162227274"</f>
        <v>20190303162227274</v>
      </c>
      <c r="B769" t="str">
        <f>"1551601347265268"</f>
        <v>1551601347265268</v>
      </c>
      <c r="C769" t="s">
        <v>40</v>
      </c>
      <c r="D769">
        <v>5.0226499999999996</v>
      </c>
      <c r="E769">
        <v>0.48086869999999998</v>
      </c>
      <c r="F769" t="s">
        <v>43</v>
      </c>
      <c r="G769">
        <v>-289.85700000000003</v>
      </c>
      <c r="H769">
        <v>-0.05</v>
      </c>
      <c r="I769">
        <v>368.12599999999998</v>
      </c>
      <c r="J769">
        <v>-331.26249999999999</v>
      </c>
      <c r="K769">
        <v>1.120001</v>
      </c>
      <c r="L769">
        <v>366.7457</v>
      </c>
      <c r="M769">
        <v>0.99998209999999998</v>
      </c>
      <c r="N769">
        <v>-5.9446869999999997E-3</v>
      </c>
      <c r="O769">
        <v>-7.5119520000000003E-4</v>
      </c>
      <c r="P769">
        <v>0.98647859999999998</v>
      </c>
      <c r="Q769">
        <v>0.1630182</v>
      </c>
      <c r="R769">
        <v>-1.6875419999999999E-2</v>
      </c>
      <c r="S769">
        <v>3.0570979999999999</v>
      </c>
      <c r="T769">
        <v>-8.5862399999999894E-2</v>
      </c>
      <c r="U769">
        <v>0.1012878</v>
      </c>
      <c r="V769">
        <v>1.6116829999999999E-2</v>
      </c>
      <c r="W769">
        <v>0.16888149999999999</v>
      </c>
      <c r="X769">
        <v>0.98550459999999995</v>
      </c>
      <c r="Y769">
        <v>-3.3848290000000003E-2</v>
      </c>
      <c r="Z769">
        <v>5.9239749999999999E-4</v>
      </c>
      <c r="AA769">
        <v>0.99942679999999995</v>
      </c>
      <c r="AB769">
        <v>25</v>
      </c>
      <c r="AC769">
        <v>41.405499999999897</v>
      </c>
      <c r="AD769">
        <v>-1.1700010000000001</v>
      </c>
      <c r="AE769">
        <v>1.3802999999999701</v>
      </c>
      <c r="AF769">
        <v>-1.4102789616537901</v>
      </c>
      <c r="AG769">
        <v>-1.1700010000000001</v>
      </c>
      <c r="AH769">
        <v>41.371454396193201</v>
      </c>
      <c r="AI769">
        <v>91.618975553856401</v>
      </c>
      <c r="AJ769">
        <v>91.952354770781199</v>
      </c>
      <c r="AK769">
        <v>41.412015502097702</v>
      </c>
      <c r="AL769">
        <v>80.277206668481199</v>
      </c>
      <c r="AM769">
        <v>89.063074867427801</v>
      </c>
      <c r="AN769">
        <v>1.00000001493632</v>
      </c>
    </row>
    <row r="770" spans="1:40" x14ac:dyDescent="0.25">
      <c r="A770" t="str">
        <f>"20190303162227288"</f>
        <v>20190303162227288</v>
      </c>
      <c r="B770" t="str">
        <f>"1551601347275029"</f>
        <v>1551601347275029</v>
      </c>
      <c r="C770" t="s">
        <v>40</v>
      </c>
      <c r="D770">
        <v>5.0195629999999998</v>
      </c>
      <c r="E770">
        <v>0.48078280000000001</v>
      </c>
      <c r="F770" t="s">
        <v>43</v>
      </c>
      <c r="G770">
        <v>-289.041</v>
      </c>
      <c r="H770">
        <v>-0.05</v>
      </c>
      <c r="I770">
        <v>368.15140000000002</v>
      </c>
      <c r="J770">
        <v>-331.10109999999997</v>
      </c>
      <c r="K770">
        <v>1.1199889999999999</v>
      </c>
      <c r="L770">
        <v>366.74560000000002</v>
      </c>
      <c r="M770">
        <v>0.99998279999999995</v>
      </c>
      <c r="N770">
        <v>-5.8314269999999897E-3</v>
      </c>
      <c r="O770">
        <v>-6.9410670000000002E-4</v>
      </c>
      <c r="P770">
        <v>0.98644880000000001</v>
      </c>
      <c r="Q770">
        <v>0.16319600000000001</v>
      </c>
      <c r="R770">
        <v>-1.6913439999999998E-2</v>
      </c>
      <c r="S770">
        <v>3.0568240000000002</v>
      </c>
      <c r="T770">
        <v>-8.4707740000000004E-2</v>
      </c>
      <c r="U770">
        <v>0.10177609999999999</v>
      </c>
      <c r="V770">
        <v>1.621003E-2</v>
      </c>
      <c r="W770">
        <v>0.16894729999999999</v>
      </c>
      <c r="X770">
        <v>0.98549180000000003</v>
      </c>
      <c r="Y770">
        <v>-3.3954079999999998E-2</v>
      </c>
      <c r="Z770">
        <v>5.8446189999999997E-4</v>
      </c>
      <c r="AA770">
        <v>0.99942319999999996</v>
      </c>
      <c r="AB770">
        <v>25</v>
      </c>
      <c r="AC770">
        <v>42.060099999999899</v>
      </c>
      <c r="AD770">
        <v>-1.1699889999999999</v>
      </c>
      <c r="AE770">
        <v>1.4057999999999899</v>
      </c>
      <c r="AF770">
        <v>-1.4338860654843799</v>
      </c>
      <c r="AG770">
        <v>-1.1699889999999999</v>
      </c>
      <c r="AH770">
        <v>42.026630589776602</v>
      </c>
      <c r="AI770">
        <v>91.593731594309503</v>
      </c>
      <c r="AJ770">
        <v>91.954088695069501</v>
      </c>
      <c r="AK770">
        <v>42.067357680729799</v>
      </c>
      <c r="AL770">
        <v>80.273381708445996</v>
      </c>
      <c r="AM770">
        <v>89.057645577141599</v>
      </c>
      <c r="AN770">
        <v>1.00000002155856</v>
      </c>
    </row>
    <row r="771" spans="1:40" x14ac:dyDescent="0.25">
      <c r="A771" t="str">
        <f>"20190303162227308"</f>
        <v>20190303162227308</v>
      </c>
      <c r="B771" t="str">
        <f>"1551601347295524"</f>
        <v>1551601347295524</v>
      </c>
      <c r="C771" t="s">
        <v>40</v>
      </c>
      <c r="D771">
        <v>5.01858</v>
      </c>
      <c r="E771">
        <v>0.480632</v>
      </c>
      <c r="F771" t="s">
        <v>43</v>
      </c>
      <c r="G771">
        <v>-288.3931</v>
      </c>
      <c r="H771">
        <v>-0.05</v>
      </c>
      <c r="I771">
        <v>368.1748</v>
      </c>
      <c r="J771">
        <v>-330.89389999999997</v>
      </c>
      <c r="K771">
        <v>1.119982</v>
      </c>
      <c r="L771">
        <v>366.74549999999999</v>
      </c>
      <c r="M771">
        <v>0.99998359999999997</v>
      </c>
      <c r="N771">
        <v>-5.6965560000000002E-3</v>
      </c>
      <c r="O771">
        <v>-6.1824820000000002E-4</v>
      </c>
      <c r="P771">
        <v>0.98646630000000002</v>
      </c>
      <c r="Q771">
        <v>0.16305420000000001</v>
      </c>
      <c r="R771">
        <v>-1.72602E-2</v>
      </c>
      <c r="S771">
        <v>3.0568240000000002</v>
      </c>
      <c r="T771">
        <v>-8.3741899999999994E-2</v>
      </c>
      <c r="U771">
        <v>0.10229489999999999</v>
      </c>
      <c r="V771">
        <v>1.663044E-2</v>
      </c>
      <c r="W771">
        <v>0.16867279999999901</v>
      </c>
      <c r="X771">
        <v>0.98553179999999996</v>
      </c>
      <c r="Y771">
        <v>-3.404807E-2</v>
      </c>
      <c r="Z771">
        <v>5.7659370000000005E-4</v>
      </c>
      <c r="AA771">
        <v>0.99941999999999998</v>
      </c>
      <c r="AB771">
        <v>25</v>
      </c>
      <c r="AC771">
        <v>42.500799999999899</v>
      </c>
      <c r="AD771">
        <v>-1.1699820000000001</v>
      </c>
      <c r="AE771">
        <v>1.42930000000001</v>
      </c>
      <c r="AF771">
        <v>-1.45447521546583</v>
      </c>
      <c r="AG771">
        <v>-1.1699820000000001</v>
      </c>
      <c r="AH771">
        <v>42.467761779929397</v>
      </c>
      <c r="AI771">
        <v>91.577168762708297</v>
      </c>
      <c r="AJ771">
        <v>91.961552172364406</v>
      </c>
      <c r="AK771">
        <v>42.508765527001103</v>
      </c>
      <c r="AL771">
        <v>80.289338256768104</v>
      </c>
      <c r="AM771">
        <v>89.033249260293701</v>
      </c>
      <c r="AN771">
        <v>1.0000000069028301</v>
      </c>
    </row>
    <row r="772" spans="1:40" x14ac:dyDescent="0.25">
      <c r="A772" t="str">
        <f>"20190303162227329"</f>
        <v>20190303162227329</v>
      </c>
      <c r="B772" t="str">
        <f>"1551601347315044"</f>
        <v>1551601347315044</v>
      </c>
      <c r="C772" t="s">
        <v>40</v>
      </c>
      <c r="D772">
        <v>5.0162360000000001</v>
      </c>
      <c r="E772">
        <v>0.48050949999999998</v>
      </c>
      <c r="F772" t="s">
        <v>43</v>
      </c>
      <c r="G772">
        <v>-288.20389999999998</v>
      </c>
      <c r="H772">
        <v>-0.05</v>
      </c>
      <c r="I772">
        <v>368.17410000000001</v>
      </c>
      <c r="J772">
        <v>-330.64179999999999</v>
      </c>
      <c r="K772">
        <v>1.1199699999999999</v>
      </c>
      <c r="L772">
        <v>366.74549999999999</v>
      </c>
      <c r="M772">
        <v>0.9999844</v>
      </c>
      <c r="N772">
        <v>-5.5489220000000004E-3</v>
      </c>
      <c r="O772">
        <v>-5.2341309999999995E-4</v>
      </c>
      <c r="P772">
        <v>0.98643420000000004</v>
      </c>
      <c r="Q772">
        <v>0.16326209999999999</v>
      </c>
      <c r="R772">
        <v>-1.712611E-2</v>
      </c>
      <c r="S772">
        <v>3.0567630000000001</v>
      </c>
      <c r="T772">
        <v>-8.3774920000000003E-2</v>
      </c>
      <c r="U772">
        <v>0.10229489999999999</v>
      </c>
      <c r="V772">
        <v>1.6588840000000001E-2</v>
      </c>
      <c r="W772">
        <v>0.16873529999999901</v>
      </c>
      <c r="X772">
        <v>0.9855218</v>
      </c>
      <c r="Y772">
        <v>-3.3954070000000003E-2</v>
      </c>
      <c r="Z772">
        <v>5.7074999999999997E-4</v>
      </c>
      <c r="AA772">
        <v>0.99942319999999996</v>
      </c>
      <c r="AB772">
        <v>25</v>
      </c>
      <c r="AC772">
        <v>42.437899999999999</v>
      </c>
      <c r="AD772">
        <v>-1.16997</v>
      </c>
      <c r="AE772">
        <v>1.4286000000000101</v>
      </c>
      <c r="AF772">
        <v>-1.44971209534857</v>
      </c>
      <c r="AG772">
        <v>-1.16997</v>
      </c>
      <c r="AH772">
        <v>42.404953060425399</v>
      </c>
      <c r="AI772">
        <v>91.579490758356201</v>
      </c>
      <c r="AJ772">
        <v>91.958027090786402</v>
      </c>
      <c r="AK772">
        <v>42.445854202939302</v>
      </c>
      <c r="AL772">
        <v>80.285705175189705</v>
      </c>
      <c r="AM772">
        <v>89.035657286096097</v>
      </c>
      <c r="AN772">
        <v>1.00000000467693</v>
      </c>
    </row>
    <row r="773" spans="1:40" x14ac:dyDescent="0.25">
      <c r="A773" t="str">
        <f>"20190303162227340"</f>
        <v>20190303162227340</v>
      </c>
      <c r="B773" t="str">
        <f>"1551601347335541"</f>
        <v>1551601347335541</v>
      </c>
      <c r="C773" t="s">
        <v>40</v>
      </c>
      <c r="D773">
        <v>5.0768909999999998</v>
      </c>
      <c r="E773">
        <v>0.48037990000000003</v>
      </c>
      <c r="F773" t="s">
        <v>43</v>
      </c>
      <c r="G773">
        <v>-287.12549999999999</v>
      </c>
      <c r="H773">
        <v>-0.05</v>
      </c>
      <c r="I773">
        <v>368.22519999999997</v>
      </c>
      <c r="J773">
        <v>-330.50850000000003</v>
      </c>
      <c r="K773">
        <v>1.119969</v>
      </c>
      <c r="L773">
        <v>366.74540000000002</v>
      </c>
      <c r="M773">
        <v>0.99998480000000001</v>
      </c>
      <c r="N773">
        <v>-5.4768569999999999E-3</v>
      </c>
      <c r="O773">
        <v>-4.7266829999999998E-4</v>
      </c>
      <c r="P773">
        <v>0.98641409999999996</v>
      </c>
      <c r="Q773">
        <v>0.163379</v>
      </c>
      <c r="R773">
        <v>-1.7162710000000001E-2</v>
      </c>
      <c r="S773">
        <v>3.0566710000000001</v>
      </c>
      <c r="T773">
        <v>-8.2181100000000007E-2</v>
      </c>
      <c r="U773">
        <v>0.1039429</v>
      </c>
      <c r="V773">
        <v>1.6675180000000001E-2</v>
      </c>
      <c r="W773">
        <v>0.16878089999999901</v>
      </c>
      <c r="X773">
        <v>0.98551259999999996</v>
      </c>
      <c r="Y773">
        <v>-3.4442929999999997E-2</v>
      </c>
      <c r="Z773">
        <v>5.6727820000000001E-4</v>
      </c>
      <c r="AA773">
        <v>0.99940649999999998</v>
      </c>
      <c r="AB773">
        <v>25</v>
      </c>
      <c r="AC773">
        <v>43.383000000000003</v>
      </c>
      <c r="AD773">
        <v>-1.169969</v>
      </c>
      <c r="AE773">
        <v>1.47979999999995</v>
      </c>
      <c r="AF773">
        <v>-1.4992168098806</v>
      </c>
      <c r="AG773">
        <v>-1.169969</v>
      </c>
      <c r="AH773">
        <v>43.350803583488101</v>
      </c>
      <c r="AI773">
        <v>91.545023167504993</v>
      </c>
      <c r="AJ773">
        <v>91.980691659259406</v>
      </c>
      <c r="AK773">
        <v>43.392495317026302</v>
      </c>
      <c r="AL773">
        <v>80.283055103898704</v>
      </c>
      <c r="AM773">
        <v>89.030630075571295</v>
      </c>
      <c r="AN773">
        <v>1.00000006929579</v>
      </c>
    </row>
    <row r="774" spans="1:40" x14ac:dyDescent="0.25">
      <c r="A774" t="str">
        <f>"20190303162227354"</f>
        <v>20190303162227354</v>
      </c>
      <c r="B774" t="str">
        <f>"1551601347345300"</f>
        <v>1551601347345300</v>
      </c>
      <c r="C774" t="s">
        <v>40</v>
      </c>
      <c r="D774">
        <v>5.0180939999999996</v>
      </c>
      <c r="E774">
        <v>0.48037990000000003</v>
      </c>
      <c r="F774" t="s">
        <v>43</v>
      </c>
      <c r="G774">
        <v>-286.29820000000001</v>
      </c>
      <c r="H774">
        <v>-0.05</v>
      </c>
      <c r="I774">
        <v>368.26260000000002</v>
      </c>
      <c r="J774">
        <v>-330.36689999999999</v>
      </c>
      <c r="K774">
        <v>1.119961</v>
      </c>
      <c r="L774">
        <v>366.74540000000002</v>
      </c>
      <c r="M774">
        <v>0.99998540000000002</v>
      </c>
      <c r="N774">
        <v>-5.40808E-3</v>
      </c>
      <c r="O774">
        <v>-4.1847960000000002E-4</v>
      </c>
      <c r="P774">
        <v>0.98634140000000003</v>
      </c>
      <c r="Q774">
        <v>0.16382949999999999</v>
      </c>
      <c r="R774">
        <v>-1.7056950000000001E-2</v>
      </c>
      <c r="S774">
        <v>3.056549</v>
      </c>
      <c r="T774">
        <v>-8.0887559999999997E-2</v>
      </c>
      <c r="U774">
        <v>0.10488889999999999</v>
      </c>
      <c r="V774">
        <v>1.6622660000000001E-2</v>
      </c>
      <c r="W774">
        <v>0.16916389999999901</v>
      </c>
      <c r="X774">
        <v>0.98544779999999998</v>
      </c>
      <c r="Y774">
        <v>-3.4699470000000003E-2</v>
      </c>
      <c r="Z774">
        <v>5.6160650000000004E-4</v>
      </c>
      <c r="AA774">
        <v>0.9993976</v>
      </c>
      <c r="AB774">
        <v>25</v>
      </c>
      <c r="AC774">
        <v>44.0686999999999</v>
      </c>
      <c r="AD774">
        <v>-1.169961</v>
      </c>
      <c r="AE774">
        <v>1.5172000000000001</v>
      </c>
      <c r="AF774">
        <v>-1.5345616673318101</v>
      </c>
      <c r="AG774">
        <v>-1.169961</v>
      </c>
      <c r="AH774">
        <v>44.037059469461198</v>
      </c>
      <c r="AI774">
        <v>91.520933250301198</v>
      </c>
      <c r="AJ774">
        <v>91.995781388280506</v>
      </c>
      <c r="AK774">
        <v>44.079318222599902</v>
      </c>
      <c r="AL774">
        <v>80.260790508677005</v>
      </c>
      <c r="AM774">
        <v>89.033619084711802</v>
      </c>
      <c r="AN774">
        <v>1.00000005220676</v>
      </c>
    </row>
    <row r="775" spans="1:40" x14ac:dyDescent="0.25">
      <c r="A775" t="str">
        <f>"20190303162227366"</f>
        <v>20190303162227366</v>
      </c>
      <c r="B775" t="str">
        <f>"1551601347355061"</f>
        <v>1551601347355061</v>
      </c>
      <c r="C775" t="s">
        <v>40</v>
      </c>
      <c r="D775">
        <v>4.9237199999999897</v>
      </c>
      <c r="E775">
        <v>0.4778347</v>
      </c>
      <c r="F775" t="s">
        <v>43</v>
      </c>
      <c r="G775">
        <v>-285.34280000000001</v>
      </c>
      <c r="H775">
        <v>-0.05</v>
      </c>
      <c r="I775">
        <v>368.29629999999997</v>
      </c>
      <c r="J775">
        <v>-330.22199999999998</v>
      </c>
      <c r="K775">
        <v>1.119956</v>
      </c>
      <c r="L775">
        <v>366.74540000000002</v>
      </c>
      <c r="M775">
        <v>0.99998560000000003</v>
      </c>
      <c r="N775">
        <v>-5.3416449999999999E-3</v>
      </c>
      <c r="O775">
        <v>-3.6263130000000003E-4</v>
      </c>
      <c r="P775">
        <v>0.98631230000000003</v>
      </c>
      <c r="Q775">
        <v>0.1639999</v>
      </c>
      <c r="R775">
        <v>-1.7086509999999999E-2</v>
      </c>
      <c r="S775">
        <v>3.056549</v>
      </c>
      <c r="T775">
        <v>-7.9425099999999998E-2</v>
      </c>
      <c r="U775">
        <v>0.10528559999999999</v>
      </c>
      <c r="V775">
        <v>1.6707090000000001E-2</v>
      </c>
      <c r="W775">
        <v>0.16926830000000001</v>
      </c>
      <c r="X775">
        <v>0.98542839999999998</v>
      </c>
      <c r="Y775">
        <v>-3.4773699999999998E-2</v>
      </c>
      <c r="Z775">
        <v>5.51995E-4</v>
      </c>
      <c r="AA775">
        <v>0.99939509999999998</v>
      </c>
      <c r="AB775">
        <v>25</v>
      </c>
      <c r="AC775">
        <v>44.879199999999898</v>
      </c>
      <c r="AD775">
        <v>-1.169956</v>
      </c>
      <c r="AE775">
        <v>1.55089999999995</v>
      </c>
      <c r="AF775">
        <v>-1.56611168503459</v>
      </c>
      <c r="AG775">
        <v>-1.169956</v>
      </c>
      <c r="AH775">
        <v>44.8481924761887</v>
      </c>
      <c r="AI775">
        <v>91.493427743854497</v>
      </c>
      <c r="AJ775">
        <v>91.999972302589001</v>
      </c>
      <c r="AK775">
        <v>44.890777128862503</v>
      </c>
      <c r="AL775">
        <v>80.254720869316301</v>
      </c>
      <c r="AM775">
        <v>89.028692451980703</v>
      </c>
      <c r="AN775">
        <v>1.00000000788385</v>
      </c>
    </row>
    <row r="776" spans="1:40" x14ac:dyDescent="0.25">
      <c r="A776" t="str">
        <f>"20190303162227378"</f>
        <v>20190303162227378</v>
      </c>
      <c r="B776" t="str">
        <f>"1551601347364821"</f>
        <v>1551601347364821</v>
      </c>
      <c r="C776" t="s">
        <v>40</v>
      </c>
      <c r="D776">
        <v>4.9734389999999999</v>
      </c>
      <c r="E776">
        <v>0.4778347</v>
      </c>
      <c r="F776" t="s">
        <v>41</v>
      </c>
      <c r="G776">
        <v>-254.18899999999999</v>
      </c>
      <c r="H776" s="1">
        <v>-2.5451750000000002E-6</v>
      </c>
      <c r="I776">
        <v>369.87920000000003</v>
      </c>
      <c r="J776">
        <v>-330.07960000000003</v>
      </c>
      <c r="K776">
        <v>1.1199520000000001</v>
      </c>
      <c r="L776">
        <v>366.74540000000002</v>
      </c>
      <c r="M776">
        <v>0.99998609999999999</v>
      </c>
      <c r="N776">
        <v>-5.2828769999999897E-3</v>
      </c>
      <c r="O776">
        <v>-3.081173E-4</v>
      </c>
      <c r="P776">
        <v>0.98623919999999998</v>
      </c>
      <c r="Q776">
        <v>0.16446079999999999</v>
      </c>
      <c r="R776">
        <v>-1.6896979999999999E-2</v>
      </c>
      <c r="S776">
        <v>3.0512999999999999</v>
      </c>
      <c r="T776">
        <v>-4.4945239999999997E-2</v>
      </c>
      <c r="U776">
        <v>0.12576289999999901</v>
      </c>
      <c r="V776">
        <v>1.6571019999999999E-2</v>
      </c>
      <c r="W776">
        <v>0.16967099999999999</v>
      </c>
      <c r="X776">
        <v>0.9853615</v>
      </c>
      <c r="Y776">
        <v>-4.1482959999999999E-2</v>
      </c>
      <c r="Z776">
        <v>4.1791229999999999E-4</v>
      </c>
      <c r="AA776">
        <v>0.99913909999999995</v>
      </c>
      <c r="AB776">
        <v>25</v>
      </c>
      <c r="AC776">
        <v>75.890600000000006</v>
      </c>
      <c r="AD776">
        <v>-1.1199545451749999</v>
      </c>
      <c r="AE776">
        <v>3.1337999999999999</v>
      </c>
      <c r="AF776">
        <v>-3.15649711937135</v>
      </c>
      <c r="AG776">
        <v>-1.1199545451749999</v>
      </c>
      <c r="AH776">
        <v>75.873135023095301</v>
      </c>
      <c r="AI776">
        <v>90.844944167323604</v>
      </c>
      <c r="AJ776">
        <v>92.382262620167396</v>
      </c>
      <c r="AK776">
        <v>75.947023578812505</v>
      </c>
      <c r="AL776">
        <v>80.2313097952931</v>
      </c>
      <c r="AM776">
        <v>89.036536320708294</v>
      </c>
      <c r="AN776">
        <v>1.00000006631354</v>
      </c>
    </row>
    <row r="777" spans="1:40" x14ac:dyDescent="0.25">
      <c r="A777" t="str">
        <f>"20190303162227396"</f>
        <v>20190303162227396</v>
      </c>
      <c r="B777" t="str">
        <f>"1551601347385316"</f>
        <v>1551601347385316</v>
      </c>
      <c r="C777" t="s">
        <v>40</v>
      </c>
      <c r="D777">
        <v>4.9329140000000002</v>
      </c>
      <c r="E777">
        <v>0.44192369999999997</v>
      </c>
      <c r="F777" t="s">
        <v>41</v>
      </c>
      <c r="G777">
        <v>-251.58269999999999</v>
      </c>
      <c r="H777" s="1">
        <v>-3.6955020000000001E-6</v>
      </c>
      <c r="I777">
        <v>370.00040000000001</v>
      </c>
      <c r="J777">
        <v>-329.88369999999998</v>
      </c>
      <c r="K777">
        <v>1.1199479999999999</v>
      </c>
      <c r="L777">
        <v>366.74540000000002</v>
      </c>
      <c r="M777">
        <v>0.99998640000000005</v>
      </c>
      <c r="N777">
        <v>-5.2110180000000004E-3</v>
      </c>
      <c r="O777">
        <v>-2.330667E-4</v>
      </c>
      <c r="P777">
        <v>0.98613139999999999</v>
      </c>
      <c r="Q777">
        <v>0.1651241</v>
      </c>
      <c r="R777">
        <v>-1.67099E-2</v>
      </c>
      <c r="S777">
        <v>3.0512999999999999</v>
      </c>
      <c r="T777">
        <v>-4.3534400000000001E-2</v>
      </c>
      <c r="U777">
        <v>0.1265259</v>
      </c>
      <c r="V777">
        <v>1.6457690000000001E-2</v>
      </c>
      <c r="W777">
        <v>0.1702631</v>
      </c>
      <c r="X777">
        <v>0.98526119999999995</v>
      </c>
      <c r="Y777">
        <v>-4.1657699999999999E-2</v>
      </c>
      <c r="Z777">
        <v>4.0773680000000002E-4</v>
      </c>
      <c r="AA777">
        <v>0.99913189999999996</v>
      </c>
      <c r="AB777">
        <v>25</v>
      </c>
      <c r="AC777">
        <v>78.300999999999902</v>
      </c>
      <c r="AD777">
        <v>-1.1199516955019999</v>
      </c>
      <c r="AE777">
        <v>3.2549999999999901</v>
      </c>
      <c r="AF777">
        <v>-3.2725811640654099</v>
      </c>
      <c r="AG777">
        <v>-1.1199516955019999</v>
      </c>
      <c r="AH777">
        <v>78.284251437931701</v>
      </c>
      <c r="AI777">
        <v>90.818914950389996</v>
      </c>
      <c r="AJ777">
        <v>92.3937889716629</v>
      </c>
      <c r="AK777">
        <v>78.360628522702498</v>
      </c>
      <c r="AL777">
        <v>80.196883460840397</v>
      </c>
      <c r="AM777">
        <v>89.043026873410099</v>
      </c>
      <c r="AN777">
        <v>1.00000000550359</v>
      </c>
    </row>
    <row r="778" spans="1:40" x14ac:dyDescent="0.25">
      <c r="A778" t="str">
        <f>"20190303162227408"</f>
        <v>20190303162227408</v>
      </c>
      <c r="B778" t="str">
        <f>"1551601347395077"</f>
        <v>1551601347395077</v>
      </c>
      <c r="C778" t="s">
        <v>40</v>
      </c>
      <c r="D778">
        <v>4.9855799999999997</v>
      </c>
      <c r="E778">
        <v>0.43632599999999999</v>
      </c>
      <c r="F778" t="s">
        <v>43</v>
      </c>
      <c r="G778">
        <v>-294.46249999999998</v>
      </c>
      <c r="H778">
        <v>-0.05</v>
      </c>
      <c r="I778">
        <v>371.52140000000003</v>
      </c>
      <c r="J778">
        <v>-329.7398</v>
      </c>
      <c r="K778">
        <v>1.1199380000000001</v>
      </c>
      <c r="L778">
        <v>366.74540000000002</v>
      </c>
      <c r="M778">
        <v>0.99998670000000001</v>
      </c>
      <c r="N778">
        <v>-5.163969E-3</v>
      </c>
      <c r="O778">
        <v>-1.7763330000000001E-4</v>
      </c>
      <c r="P778">
        <v>0.98612500000000003</v>
      </c>
      <c r="Q778">
        <v>0.16516649999999999</v>
      </c>
      <c r="R778">
        <v>-1.6662630000000001E-2</v>
      </c>
      <c r="S778">
        <v>3.0661619999999998</v>
      </c>
      <c r="T778">
        <v>-0.1012739</v>
      </c>
      <c r="U778">
        <v>0.4134216</v>
      </c>
      <c r="V778">
        <v>1.646508E-2</v>
      </c>
      <c r="W778">
        <v>0.17025879999999999</v>
      </c>
      <c r="X778">
        <v>0.98526179999999997</v>
      </c>
      <c r="Y778">
        <v>-0.13371739999999999</v>
      </c>
      <c r="Z778">
        <v>2.5496210000000002E-3</v>
      </c>
      <c r="AA778">
        <v>0.99101620000000001</v>
      </c>
      <c r="AB778">
        <v>26</v>
      </c>
      <c r="AC778">
        <v>35.277299999999997</v>
      </c>
      <c r="AD778">
        <v>-1.1699379999999999</v>
      </c>
      <c r="AE778">
        <v>4.7760000000000096</v>
      </c>
      <c r="AF778">
        <v>-4.7771068804760102</v>
      </c>
      <c r="AG778">
        <v>-1.1699379999999999</v>
      </c>
      <c r="AH778">
        <v>35.238391562601102</v>
      </c>
      <c r="AI778">
        <v>91.884335732943299</v>
      </c>
      <c r="AJ778">
        <v>97.7202609554475</v>
      </c>
      <c r="AK778">
        <v>35.579962689560702</v>
      </c>
      <c r="AL778">
        <v>80.197133292048704</v>
      </c>
      <c r="AM778">
        <v>89.042597826458106</v>
      </c>
      <c r="AN778">
        <v>0.99999998618804298</v>
      </c>
    </row>
    <row r="779" spans="1:40" x14ac:dyDescent="0.25">
      <c r="A779" t="str">
        <f>"20190303162227421"</f>
        <v>20190303162227421</v>
      </c>
      <c r="B779" t="str">
        <f>"1551601347414597"</f>
        <v>1551601347414597</v>
      </c>
      <c r="C779" t="s">
        <v>40</v>
      </c>
      <c r="D779">
        <v>4.9764390000000001</v>
      </c>
      <c r="E779">
        <v>0.43093310000000001</v>
      </c>
      <c r="F779" t="s">
        <v>43</v>
      </c>
      <c r="G779">
        <v>-299.22239999999999</v>
      </c>
      <c r="H779">
        <v>-0.05</v>
      </c>
      <c r="I779">
        <v>371.29969999999997</v>
      </c>
      <c r="J779">
        <v>-329.58929999999998</v>
      </c>
      <c r="K779">
        <v>1.1199330000000001</v>
      </c>
      <c r="L779">
        <v>366.74549999999999</v>
      </c>
      <c r="M779">
        <v>0.99998690000000001</v>
      </c>
      <c r="N779">
        <v>-5.1193380000000002E-3</v>
      </c>
      <c r="O779">
        <v>-1.197051E-4</v>
      </c>
      <c r="P779">
        <v>0.98614710000000005</v>
      </c>
      <c r="Q779">
        <v>0.16502169999999999</v>
      </c>
      <c r="R779">
        <v>-1.678549E-2</v>
      </c>
      <c r="S779">
        <v>3.0696409999999998</v>
      </c>
      <c r="T779">
        <v>-0.1176798</v>
      </c>
      <c r="U779">
        <v>0.45809939999999999</v>
      </c>
      <c r="V779">
        <v>1.6645099999999999E-2</v>
      </c>
      <c r="W779">
        <v>0.17007039999999901</v>
      </c>
      <c r="X779">
        <v>0.98529129999999998</v>
      </c>
      <c r="Y779">
        <v>-0.1475987</v>
      </c>
      <c r="Z779">
        <v>3.1966210000000002E-3</v>
      </c>
      <c r="AA779">
        <v>0.98904219999999998</v>
      </c>
      <c r="AB779">
        <v>26</v>
      </c>
      <c r="AC779">
        <v>30.366899999999902</v>
      </c>
      <c r="AD779">
        <v>-1.1699329999999999</v>
      </c>
      <c r="AE779">
        <v>4.5541999999999803</v>
      </c>
      <c r="AF779">
        <v>-4.5512283073540702</v>
      </c>
      <c r="AG779">
        <v>-1.1699329999999999</v>
      </c>
      <c r="AH779">
        <v>30.322337261136099</v>
      </c>
      <c r="AI779">
        <v>92.185106544978197</v>
      </c>
      <c r="AJ779">
        <v>98.536083493892804</v>
      </c>
      <c r="AK779">
        <v>30.684304771466401</v>
      </c>
      <c r="AL779">
        <v>80.208087448603905</v>
      </c>
      <c r="AM779">
        <v>89.032161078453697</v>
      </c>
      <c r="AN779">
        <v>0.99999997308292898</v>
      </c>
    </row>
    <row r="780" spans="1:40" x14ac:dyDescent="0.25">
      <c r="A780" t="str">
        <f>"20190303162227435"</f>
        <v>20190303162227435</v>
      </c>
      <c r="B780" t="str">
        <f>"1551601347425332"</f>
        <v>1551601347425332</v>
      </c>
      <c r="C780" t="s">
        <v>40</v>
      </c>
      <c r="D780">
        <v>4.9149969999999996</v>
      </c>
      <c r="E780">
        <v>0.43014370000000002</v>
      </c>
      <c r="F780" t="s">
        <v>43</v>
      </c>
      <c r="G780">
        <v>-304.101</v>
      </c>
      <c r="H780">
        <v>-0.05</v>
      </c>
      <c r="I780">
        <v>370.89699999999999</v>
      </c>
      <c r="J780">
        <v>-329.4391</v>
      </c>
      <c r="K780">
        <v>1.119926</v>
      </c>
      <c r="L780">
        <v>366.74549999999999</v>
      </c>
      <c r="M780">
        <v>0.99998710000000002</v>
      </c>
      <c r="N780">
        <v>-5.0815529999999999E-3</v>
      </c>
      <c r="O780" s="1">
        <v>-6.22706E-5</v>
      </c>
      <c r="P780">
        <v>0.98613320000000004</v>
      </c>
      <c r="Q780">
        <v>0.1651049</v>
      </c>
      <c r="R780">
        <v>-1.6778890000000001E-2</v>
      </c>
      <c r="S780">
        <v>3.0742799999999999</v>
      </c>
      <c r="T780">
        <v>-0.1411116</v>
      </c>
      <c r="U780">
        <v>0.50073239999999997</v>
      </c>
      <c r="V780">
        <v>1.6695169999999999E-2</v>
      </c>
      <c r="W780">
        <v>0.17011599999999999</v>
      </c>
      <c r="X780">
        <v>0.98528260000000001</v>
      </c>
      <c r="Y780">
        <v>-0.16063749999999999</v>
      </c>
      <c r="Z780">
        <v>4.0742419999999996E-3</v>
      </c>
      <c r="AA780">
        <v>0.98700509999999997</v>
      </c>
      <c r="AB780">
        <v>26</v>
      </c>
      <c r="AC780">
        <v>25.338100000000001</v>
      </c>
      <c r="AD780">
        <v>-1.169926</v>
      </c>
      <c r="AE780">
        <v>4.1514999999999898</v>
      </c>
      <c r="AF780">
        <v>-4.14447318174608</v>
      </c>
      <c r="AG780">
        <v>-1.169926</v>
      </c>
      <c r="AH780">
        <v>25.2853446451373</v>
      </c>
      <c r="AI780">
        <v>92.614289952295906</v>
      </c>
      <c r="AJ780">
        <v>99.308472108489696</v>
      </c>
      <c r="AK780">
        <v>25.6494451913304</v>
      </c>
      <c r="AL780">
        <v>80.205436313066699</v>
      </c>
      <c r="AM780">
        <v>89.029241715728105</v>
      </c>
      <c r="AN780">
        <v>0.99999999201004397</v>
      </c>
    </row>
    <row r="781" spans="1:40" x14ac:dyDescent="0.25">
      <c r="A781" t="str">
        <f>"20190303162227451"</f>
        <v>20190303162227451</v>
      </c>
      <c r="B781" t="str">
        <f>"1551601347444852"</f>
        <v>1551601347444852</v>
      </c>
      <c r="C781" t="s">
        <v>40</v>
      </c>
      <c r="D781">
        <v>4.9360030000000004</v>
      </c>
      <c r="E781">
        <v>0.42921920000000002</v>
      </c>
      <c r="F781" t="s">
        <v>43</v>
      </c>
      <c r="G781">
        <v>-304.19779999999997</v>
      </c>
      <c r="H781">
        <v>-0.05</v>
      </c>
      <c r="I781">
        <v>370.90879999999999</v>
      </c>
      <c r="J781">
        <v>-329.24419999999998</v>
      </c>
      <c r="K781">
        <v>1.1199209999999999</v>
      </c>
      <c r="L781">
        <v>366.74560000000002</v>
      </c>
      <c r="M781">
        <v>0.99998750000000003</v>
      </c>
      <c r="N781">
        <v>-5.038018E-3</v>
      </c>
      <c r="O781" s="1">
        <v>1.1748669999999999E-5</v>
      </c>
      <c r="P781">
        <v>0.98623959999999999</v>
      </c>
      <c r="Q781">
        <v>0.16441359999999999</v>
      </c>
      <c r="R781">
        <v>-1.732612E-2</v>
      </c>
      <c r="S781">
        <v>3.0746769999999999</v>
      </c>
      <c r="T781">
        <v>-0.1425101</v>
      </c>
      <c r="U781">
        <v>0.50714110000000001</v>
      </c>
      <c r="V781">
        <v>1.7314880000000001E-2</v>
      </c>
      <c r="W781">
        <v>0.16938249999999999</v>
      </c>
      <c r="X781">
        <v>0.98539829999999995</v>
      </c>
      <c r="Y781">
        <v>-0.16254209999999999</v>
      </c>
      <c r="Z781">
        <v>4.151587E-3</v>
      </c>
      <c r="AA781">
        <v>0.98669289999999998</v>
      </c>
      <c r="AB781">
        <v>26</v>
      </c>
      <c r="AC781">
        <v>25.046399999999998</v>
      </c>
      <c r="AD781">
        <v>-1.169921</v>
      </c>
      <c r="AE781">
        <v>4.1631999999999598</v>
      </c>
      <c r="AF781">
        <v>-4.1540858759861603</v>
      </c>
      <c r="AG781">
        <v>-1.169921</v>
      </c>
      <c r="AH781">
        <v>24.9933835424481</v>
      </c>
      <c r="AI781">
        <v>92.643798921546804</v>
      </c>
      <c r="AJ781">
        <v>99.4367187457444</v>
      </c>
      <c r="AK781">
        <v>25.3632483233363</v>
      </c>
      <c r="AL781">
        <v>80.248081973817605</v>
      </c>
      <c r="AM781">
        <v>88.993333494462902</v>
      </c>
      <c r="AN781">
        <v>1.00000002300927</v>
      </c>
    </row>
    <row r="782" spans="1:40" x14ac:dyDescent="0.25">
      <c r="A782" t="str">
        <f>"20190303162227463"</f>
        <v>20190303162227463</v>
      </c>
      <c r="B782" t="str">
        <f>"1551601347454612"</f>
        <v>1551601347454612</v>
      </c>
      <c r="C782" t="s">
        <v>40</v>
      </c>
      <c r="D782">
        <v>4.9311870000000004</v>
      </c>
      <c r="E782">
        <v>0.42875600000000003</v>
      </c>
      <c r="F782" t="s">
        <v>43</v>
      </c>
      <c r="G782">
        <v>-304.5548</v>
      </c>
      <c r="H782">
        <v>-0.05</v>
      </c>
      <c r="I782">
        <v>370.86579999999998</v>
      </c>
      <c r="J782">
        <v>-329.10520000000002</v>
      </c>
      <c r="K782">
        <v>1.119915</v>
      </c>
      <c r="L782">
        <v>366.7457</v>
      </c>
      <c r="M782">
        <v>0.99998750000000003</v>
      </c>
      <c r="N782">
        <v>-5.0103939999999996E-3</v>
      </c>
      <c r="O782" s="1">
        <v>6.4568480000000002E-5</v>
      </c>
      <c r="P782">
        <v>0.98628389999999999</v>
      </c>
      <c r="Q782">
        <v>0.16413820000000001</v>
      </c>
      <c r="R782">
        <v>-1.7402669999999999E-2</v>
      </c>
      <c r="S782">
        <v>3.0751650000000001</v>
      </c>
      <c r="T782">
        <v>-0.14571799999999999</v>
      </c>
      <c r="U782">
        <v>0.51318359999999996</v>
      </c>
      <c r="V782">
        <v>1.7443480000000001E-2</v>
      </c>
      <c r="W782">
        <v>0.16908029999999999</v>
      </c>
      <c r="X782">
        <v>0.98544790000000004</v>
      </c>
      <c r="Y782">
        <v>-0.164341299999999</v>
      </c>
      <c r="Z782">
        <v>4.2769000000000001E-3</v>
      </c>
      <c r="AA782">
        <v>0.98639429999999995</v>
      </c>
      <c r="AB782">
        <v>26</v>
      </c>
      <c r="AC782">
        <v>24.5504</v>
      </c>
      <c r="AD782">
        <v>-1.169915</v>
      </c>
      <c r="AE782">
        <v>4.1200999999999697</v>
      </c>
      <c r="AF782">
        <v>-4.10943843512635</v>
      </c>
      <c r="AG782">
        <v>-1.169915</v>
      </c>
      <c r="AH782">
        <v>24.4965613925349</v>
      </c>
      <c r="AI782">
        <v>92.696649030514493</v>
      </c>
      <c r="AJ782">
        <v>99.523023509449999</v>
      </c>
      <c r="AK782">
        <v>24.866397113726599</v>
      </c>
      <c r="AL782">
        <v>80.265649862709694</v>
      </c>
      <c r="AM782">
        <v>88.985909432898197</v>
      </c>
      <c r="AN782">
        <v>0.99999999322850497</v>
      </c>
    </row>
    <row r="783" spans="1:40" x14ac:dyDescent="0.25">
      <c r="A783" t="str">
        <f>"20190303162227476"</f>
        <v>20190303162227476</v>
      </c>
      <c r="B783" t="str">
        <f>"1551601347465349"</f>
        <v>1551601347465349</v>
      </c>
      <c r="C783" t="s">
        <v>40</v>
      </c>
      <c r="D783">
        <v>4.8443370000000003</v>
      </c>
      <c r="E783">
        <v>0.4285255</v>
      </c>
      <c r="F783" t="s">
        <v>43</v>
      </c>
      <c r="G783">
        <v>-304.84550000000002</v>
      </c>
      <c r="H783">
        <v>-0.05</v>
      </c>
      <c r="I783">
        <v>370.81959999999998</v>
      </c>
      <c r="J783">
        <v>-328.9597</v>
      </c>
      <c r="K783">
        <v>1.11991</v>
      </c>
      <c r="L783">
        <v>366.7457</v>
      </c>
      <c r="M783">
        <v>0.99998759999999998</v>
      </c>
      <c r="N783">
        <v>-4.9873110000000003E-3</v>
      </c>
      <c r="O783">
        <v>1.199384E-4</v>
      </c>
      <c r="P783">
        <v>0.98634929999999998</v>
      </c>
      <c r="Q783">
        <v>0.1637448</v>
      </c>
      <c r="R783">
        <v>-1.7409500000000001E-2</v>
      </c>
      <c r="S783">
        <v>3.0755620000000001</v>
      </c>
      <c r="T783">
        <v>-0.1483178</v>
      </c>
      <c r="U783">
        <v>0.51647949999999998</v>
      </c>
      <c r="V783">
        <v>1.750469E-2</v>
      </c>
      <c r="W783">
        <v>0.16866439999999999</v>
      </c>
      <c r="X783">
        <v>0.98551809999999995</v>
      </c>
      <c r="Y783">
        <v>-0.1652864</v>
      </c>
      <c r="Z783">
        <v>4.3656249999999997E-3</v>
      </c>
      <c r="AA783">
        <v>0.98623590000000005</v>
      </c>
      <c r="AB783">
        <v>26</v>
      </c>
      <c r="AC783">
        <v>24.114199999999901</v>
      </c>
      <c r="AD783">
        <v>-1.16991</v>
      </c>
      <c r="AE783">
        <v>4.0738999999999796</v>
      </c>
      <c r="AF783">
        <v>-4.0617127754862299</v>
      </c>
      <c r="AG783">
        <v>-1.16991</v>
      </c>
      <c r="AH783">
        <v>24.059629698300299</v>
      </c>
      <c r="AI783">
        <v>92.745058396009</v>
      </c>
      <c r="AJ783">
        <v>99.582244014195297</v>
      </c>
      <c r="AK783">
        <v>24.428098192409202</v>
      </c>
      <c r="AL783">
        <v>80.289826564548605</v>
      </c>
      <c r="AM783">
        <v>88.982424161394704</v>
      </c>
      <c r="AN783">
        <v>1.00000000971348</v>
      </c>
    </row>
    <row r="784" spans="1:40" x14ac:dyDescent="0.25">
      <c r="A784" t="str">
        <f>"20190303162227490"</f>
        <v>20190303162227490</v>
      </c>
      <c r="B784" t="str">
        <f>"1551601347484869"</f>
        <v>1551601347484869</v>
      </c>
      <c r="C784" t="s">
        <v>40</v>
      </c>
      <c r="D784">
        <v>4.9277110000000004</v>
      </c>
      <c r="E784">
        <v>0.42824800000000002</v>
      </c>
      <c r="F784" t="s">
        <v>43</v>
      </c>
      <c r="G784">
        <v>-304.47800000000001</v>
      </c>
      <c r="H784">
        <v>-0.05</v>
      </c>
      <c r="I784">
        <v>370.87279999999998</v>
      </c>
      <c r="J784">
        <v>-328.79259999999999</v>
      </c>
      <c r="K784">
        <v>1.1199049999999999</v>
      </c>
      <c r="L784">
        <v>366.74579999999997</v>
      </c>
      <c r="M784">
        <v>0.99998770000000003</v>
      </c>
      <c r="N784">
        <v>-4.9638920000000001E-3</v>
      </c>
      <c r="O784">
        <v>1.8299909999999999E-4</v>
      </c>
      <c r="P784">
        <v>0.98639619999999995</v>
      </c>
      <c r="Q784">
        <v>0.16344900000000001</v>
      </c>
      <c r="R784">
        <v>-1.7528599999999998E-2</v>
      </c>
      <c r="S784">
        <v>3.0750730000000002</v>
      </c>
      <c r="T784">
        <v>-0.14694889999999999</v>
      </c>
      <c r="U784">
        <v>0.51840209999999998</v>
      </c>
      <c r="V784">
        <v>1.7686070000000002E-2</v>
      </c>
      <c r="W784">
        <v>0.16834569999999999</v>
      </c>
      <c r="X784">
        <v>0.98556940000000004</v>
      </c>
      <c r="Y784">
        <v>-0.16585250000000001</v>
      </c>
      <c r="Z784">
        <v>4.3398459999999996E-3</v>
      </c>
      <c r="AA784">
        <v>0.98614100000000005</v>
      </c>
      <c r="AB784">
        <v>26</v>
      </c>
      <c r="AC784">
        <v>24.314599999999899</v>
      </c>
      <c r="AD784">
        <v>-1.169905</v>
      </c>
      <c r="AE784">
        <v>4.1269999999999998</v>
      </c>
      <c r="AF784">
        <v>-4.11329435950974</v>
      </c>
      <c r="AG784">
        <v>-1.169905</v>
      </c>
      <c r="AH784">
        <v>24.2607619055313</v>
      </c>
      <c r="AI784">
        <v>92.721998629246599</v>
      </c>
      <c r="AJ784">
        <v>99.622714076075098</v>
      </c>
      <c r="AK784">
        <v>24.634781030767801</v>
      </c>
      <c r="AL784">
        <v>80.3083520857693</v>
      </c>
      <c r="AM784">
        <v>88.971936004488597</v>
      </c>
      <c r="AN784">
        <v>1.00000005699844</v>
      </c>
    </row>
    <row r="785" spans="1:40" x14ac:dyDescent="0.25">
      <c r="A785" t="str">
        <f>"20190303162227510"</f>
        <v>20190303162227510</v>
      </c>
      <c r="B785" t="str">
        <f>"1551601347505366"</f>
        <v>1551601347505366</v>
      </c>
      <c r="C785" t="s">
        <v>40</v>
      </c>
      <c r="D785">
        <v>4.9214449999999896</v>
      </c>
      <c r="E785">
        <v>0.4279945</v>
      </c>
      <c r="F785" t="s">
        <v>43</v>
      </c>
      <c r="G785">
        <v>-304.60289999999998</v>
      </c>
      <c r="H785">
        <v>-0.05</v>
      </c>
      <c r="I785">
        <v>370.83530000000002</v>
      </c>
      <c r="J785">
        <v>-328.56490000000002</v>
      </c>
      <c r="K785">
        <v>1.1198969999999999</v>
      </c>
      <c r="L785">
        <v>366.74590000000001</v>
      </c>
      <c r="M785">
        <v>0.99998790000000004</v>
      </c>
      <c r="N785">
        <v>-4.9385729999999999E-3</v>
      </c>
      <c r="O785">
        <v>2.6871540000000002E-4</v>
      </c>
      <c r="P785">
        <v>0.98643259999999999</v>
      </c>
      <c r="Q785">
        <v>0.163223799999999</v>
      </c>
      <c r="R785">
        <v>-1.7578900000000001E-2</v>
      </c>
      <c r="S785">
        <v>3.075256</v>
      </c>
      <c r="T785">
        <v>-0.14873059999999999</v>
      </c>
      <c r="U785">
        <v>0.51989750000000001</v>
      </c>
      <c r="V785">
        <v>1.782075E-2</v>
      </c>
      <c r="W785">
        <v>0.1680961</v>
      </c>
      <c r="X785">
        <v>0.98560950000000003</v>
      </c>
      <c r="Y785">
        <v>-0.1662196</v>
      </c>
      <c r="Z785">
        <v>4.3909090000000001E-3</v>
      </c>
      <c r="AA785">
        <v>0.98607900000000004</v>
      </c>
      <c r="AB785">
        <v>26</v>
      </c>
      <c r="AC785">
        <v>23.962</v>
      </c>
      <c r="AD785">
        <v>-1.169897</v>
      </c>
      <c r="AE785">
        <v>4.0894000000000101</v>
      </c>
      <c r="AF785">
        <v>-4.0735256132629196</v>
      </c>
      <c r="AG785">
        <v>-1.169897</v>
      </c>
      <c r="AH785">
        <v>23.9077223619996</v>
      </c>
      <c r="AI785">
        <v>92.761730318525196</v>
      </c>
      <c r="AJ785">
        <v>99.669502651344402</v>
      </c>
      <c r="AK785">
        <v>24.280474839899099</v>
      </c>
      <c r="AL785">
        <v>80.322859126570506</v>
      </c>
      <c r="AM785">
        <v>88.964151099633398</v>
      </c>
      <c r="AN785">
        <v>0.99999998222801101</v>
      </c>
    </row>
    <row r="786" spans="1:40" x14ac:dyDescent="0.25">
      <c r="A786" t="str">
        <f>"20190303162227530"</f>
        <v>20190303162227530</v>
      </c>
      <c r="B786" t="str">
        <f>"1551601347524884"</f>
        <v>1551601347524884</v>
      </c>
      <c r="C786" t="s">
        <v>40</v>
      </c>
      <c r="D786">
        <v>4.8903629999999998</v>
      </c>
      <c r="E786">
        <v>0.42780170000000001</v>
      </c>
      <c r="F786" t="s">
        <v>43</v>
      </c>
      <c r="G786">
        <v>-304.6748</v>
      </c>
      <c r="H786">
        <v>-0.05</v>
      </c>
      <c r="I786">
        <v>370.8021</v>
      </c>
      <c r="J786">
        <v>-328.31689999999998</v>
      </c>
      <c r="K786">
        <v>1.1198900000000001</v>
      </c>
      <c r="L786">
        <v>366.74610000000001</v>
      </c>
      <c r="M786">
        <v>0.99998790000000004</v>
      </c>
      <c r="N786">
        <v>-4.9189280000000004E-3</v>
      </c>
      <c r="O786">
        <v>3.6228479999999999E-4</v>
      </c>
      <c r="P786">
        <v>0.9865661</v>
      </c>
      <c r="Q786">
        <v>0.1624389</v>
      </c>
      <c r="R786">
        <v>-1.7355010000000001E-2</v>
      </c>
      <c r="S786">
        <v>3.0755309999999998</v>
      </c>
      <c r="T786">
        <v>-0.15060870000000001</v>
      </c>
      <c r="U786">
        <v>0.52218629999999999</v>
      </c>
      <c r="V786">
        <v>1.7689010000000002E-2</v>
      </c>
      <c r="W786">
        <v>0.16729269999999999</v>
      </c>
      <c r="X786">
        <v>0.98574859999999997</v>
      </c>
      <c r="Y786">
        <v>-0.16682060000000001</v>
      </c>
      <c r="Z786">
        <v>4.450837E-3</v>
      </c>
      <c r="AA786">
        <v>0.9859772</v>
      </c>
      <c r="AB786">
        <v>26</v>
      </c>
      <c r="AC786">
        <v>23.6420999999999</v>
      </c>
      <c r="AD786">
        <v>-1.1698899999999901</v>
      </c>
      <c r="AE786">
        <v>4.0559999999999796</v>
      </c>
      <c r="AF786">
        <v>-4.0378301019259704</v>
      </c>
      <c r="AG786">
        <v>-1.1698899999999901</v>
      </c>
      <c r="AH786">
        <v>23.587462913680501</v>
      </c>
      <c r="AI786">
        <v>92.798780800793594</v>
      </c>
      <c r="AJ786">
        <v>99.714045022482395</v>
      </c>
      <c r="AK786">
        <v>23.959155269924899</v>
      </c>
      <c r="AL786">
        <v>80.369552191769003</v>
      </c>
      <c r="AM786">
        <v>88.971952026995595</v>
      </c>
      <c r="AN786">
        <v>1.0000000254750101</v>
      </c>
    </row>
    <row r="787" spans="1:40" x14ac:dyDescent="0.25">
      <c r="A787" t="str">
        <f>"20190303162227542"</f>
        <v>20190303162227542</v>
      </c>
      <c r="B787" t="str">
        <f>"1551601347534645"</f>
        <v>1551601347534645</v>
      </c>
      <c r="C787" t="s">
        <v>40</v>
      </c>
      <c r="D787">
        <v>4.884093</v>
      </c>
      <c r="E787">
        <v>0.42771150000000002</v>
      </c>
      <c r="F787" t="s">
        <v>43</v>
      </c>
      <c r="G787">
        <v>-304.98599999999999</v>
      </c>
      <c r="H787">
        <v>-0.05</v>
      </c>
      <c r="I787">
        <v>370.7244</v>
      </c>
      <c r="J787">
        <v>-328.173</v>
      </c>
      <c r="K787">
        <v>1.1198870000000001</v>
      </c>
      <c r="L787">
        <v>366.74619999999999</v>
      </c>
      <c r="M787">
        <v>0.99998790000000004</v>
      </c>
      <c r="N787">
        <v>-4.9101179999999998E-3</v>
      </c>
      <c r="O787">
        <v>4.164285E-4</v>
      </c>
      <c r="P787">
        <v>0.9866395</v>
      </c>
      <c r="Q787">
        <v>0.16199959999999999</v>
      </c>
      <c r="R787">
        <v>-1.728735E-2</v>
      </c>
      <c r="S787">
        <v>3.0754389999999998</v>
      </c>
      <c r="T787">
        <v>-0.15421279999999901</v>
      </c>
      <c r="U787">
        <v>0.52441409999999999</v>
      </c>
      <c r="V787">
        <v>1.7674869999999999E-2</v>
      </c>
      <c r="W787">
        <v>0.16684470000000001</v>
      </c>
      <c r="X787">
        <v>0.98582479999999995</v>
      </c>
      <c r="Y787">
        <v>-0.16745560000000001</v>
      </c>
      <c r="Z787">
        <v>4.5613959999999997E-3</v>
      </c>
      <c r="AA787">
        <v>0.98586910000000005</v>
      </c>
      <c r="AB787">
        <v>26</v>
      </c>
      <c r="AC787">
        <v>23.187000000000001</v>
      </c>
      <c r="AD787">
        <v>-1.1698869999999999</v>
      </c>
      <c r="AE787">
        <v>3.97820000000001</v>
      </c>
      <c r="AF787">
        <v>-3.9587543734616601</v>
      </c>
      <c r="AG787">
        <v>-1.1698869999999999</v>
      </c>
      <c r="AH787">
        <v>23.1314538413876</v>
      </c>
      <c r="AI787">
        <v>92.853878554202396</v>
      </c>
      <c r="AJ787">
        <v>99.711605791618396</v>
      </c>
      <c r="AK787">
        <v>23.496904659942199</v>
      </c>
      <c r="AL787">
        <v>80.395586802912106</v>
      </c>
      <c r="AM787">
        <v>88.972853020982001</v>
      </c>
      <c r="AN787">
        <v>1.0000000456213201</v>
      </c>
    </row>
    <row r="788" spans="1:40" x14ac:dyDescent="0.25">
      <c r="A788" t="str">
        <f>"20190303162227556"</f>
        <v>20190303162227556</v>
      </c>
      <c r="B788" t="str">
        <f>"1551601347545381"</f>
        <v>1551601347545381</v>
      </c>
      <c r="C788" t="s">
        <v>40</v>
      </c>
      <c r="D788">
        <v>4.9110880000000003</v>
      </c>
      <c r="E788">
        <v>0.42770390000000003</v>
      </c>
      <c r="F788" t="s">
        <v>43</v>
      </c>
      <c r="G788">
        <v>-305.01010000000002</v>
      </c>
      <c r="H788">
        <v>-0.05</v>
      </c>
      <c r="I788">
        <v>370.70400000000001</v>
      </c>
      <c r="J788">
        <v>-328.0222</v>
      </c>
      <c r="K788">
        <v>1.1198809999999999</v>
      </c>
      <c r="L788">
        <v>366.74630000000002</v>
      </c>
      <c r="M788">
        <v>0.99998790000000004</v>
      </c>
      <c r="N788">
        <v>-4.9045809999999999E-3</v>
      </c>
      <c r="O788">
        <v>4.7324660000000002E-4</v>
      </c>
      <c r="P788">
        <v>0.9866954</v>
      </c>
      <c r="Q788">
        <v>0.16169819999999999</v>
      </c>
      <c r="R788">
        <v>-1.6908349999999999E-2</v>
      </c>
      <c r="S788">
        <v>3.0753170000000001</v>
      </c>
      <c r="T788">
        <v>-0.15532470000000001</v>
      </c>
      <c r="U788">
        <v>0.52548219999999901</v>
      </c>
      <c r="V788">
        <v>1.735194E-2</v>
      </c>
      <c r="W788">
        <v>0.16653760000000001</v>
      </c>
      <c r="X788">
        <v>0.98588240000000005</v>
      </c>
      <c r="Y788">
        <v>-0.167735299999999</v>
      </c>
      <c r="Z788">
        <v>4.5959629999999998E-3</v>
      </c>
      <c r="AA788">
        <v>0.98582139999999996</v>
      </c>
      <c r="AB788">
        <v>26</v>
      </c>
      <c r="AC788">
        <v>23.012099999999901</v>
      </c>
      <c r="AD788">
        <v>-1.1698809999999999</v>
      </c>
      <c r="AE788">
        <v>3.95769999999998</v>
      </c>
      <c r="AF788">
        <v>-3.9369264833153501</v>
      </c>
      <c r="AG788">
        <v>-1.1698809999999999</v>
      </c>
      <c r="AH788">
        <v>22.956344976613799</v>
      </c>
      <c r="AI788">
        <v>92.875427125891505</v>
      </c>
      <c r="AJ788">
        <v>99.731344062084702</v>
      </c>
      <c r="AK788">
        <v>23.320844461007301</v>
      </c>
      <c r="AL788">
        <v>80.413431412360595</v>
      </c>
      <c r="AM788">
        <v>88.991674576137697</v>
      </c>
      <c r="AN788">
        <v>0.99999998433264103</v>
      </c>
    </row>
    <row r="789" spans="1:40" x14ac:dyDescent="0.25">
      <c r="A789" t="str">
        <f>"20190303162227570"</f>
        <v>20190303162227570</v>
      </c>
      <c r="B789" t="str">
        <f>"1551601347564901"</f>
        <v>1551601347564901</v>
      </c>
      <c r="C789" t="s">
        <v>40</v>
      </c>
      <c r="D789">
        <v>4.956366</v>
      </c>
      <c r="E789">
        <v>0.42758439999999998</v>
      </c>
      <c r="F789" t="s">
        <v>43</v>
      </c>
      <c r="G789">
        <v>-305.0324</v>
      </c>
      <c r="H789">
        <v>-0.05</v>
      </c>
      <c r="I789">
        <v>370.68099999999998</v>
      </c>
      <c r="J789">
        <v>-327.84059999999999</v>
      </c>
      <c r="K789">
        <v>1.119877</v>
      </c>
      <c r="L789">
        <v>366.74639999999999</v>
      </c>
      <c r="M789">
        <v>0.99998790000000004</v>
      </c>
      <c r="N789">
        <v>-4.9000040000000003E-3</v>
      </c>
      <c r="O789">
        <v>5.4150740000000002E-4</v>
      </c>
      <c r="P789">
        <v>0.98673670000000002</v>
      </c>
      <c r="Q789">
        <v>0.16148879999999999</v>
      </c>
      <c r="R789">
        <v>-1.649598E-2</v>
      </c>
      <c r="S789">
        <v>3.0751040000000001</v>
      </c>
      <c r="T789">
        <v>-0.1564826</v>
      </c>
      <c r="U789">
        <v>0.52630619999999995</v>
      </c>
      <c r="V789">
        <v>1.700668E-2</v>
      </c>
      <c r="W789">
        <v>0.16632420000000001</v>
      </c>
      <c r="X789">
        <v>0.98592449999999998</v>
      </c>
      <c r="Y789">
        <v>-0.16793259999999999</v>
      </c>
      <c r="Z789">
        <v>4.6292479999999999E-3</v>
      </c>
      <c r="AA789">
        <v>0.98578759999999999</v>
      </c>
      <c r="AB789">
        <v>26</v>
      </c>
      <c r="AC789">
        <v>22.808199999999999</v>
      </c>
      <c r="AD789">
        <v>-1.1698770000000001</v>
      </c>
      <c r="AE789">
        <v>3.9345999999999801</v>
      </c>
      <c r="AF789">
        <v>-3.9122533069458698</v>
      </c>
      <c r="AG789">
        <v>-1.1698770000000001</v>
      </c>
      <c r="AH789">
        <v>22.752199194490299</v>
      </c>
      <c r="AI789">
        <v>92.900953842938705</v>
      </c>
      <c r="AJ789">
        <v>99.756629726515001</v>
      </c>
      <c r="AK789">
        <v>23.115728548298101</v>
      </c>
      <c r="AL789">
        <v>80.425831840044097</v>
      </c>
      <c r="AM789">
        <v>89.011775890270897</v>
      </c>
      <c r="AN789">
        <v>1.00000004318525</v>
      </c>
    </row>
    <row r="790" spans="1:40" x14ac:dyDescent="0.25">
      <c r="A790" t="str">
        <f>"20190303162227585"</f>
        <v>20190303162227585</v>
      </c>
      <c r="B790" t="str">
        <f>"1551601347574660"</f>
        <v>1551601347574660</v>
      </c>
      <c r="C790" t="s">
        <v>40</v>
      </c>
      <c r="D790">
        <v>4.9617509999999996</v>
      </c>
      <c r="E790">
        <v>0.42754029999999998</v>
      </c>
      <c r="F790" t="s">
        <v>43</v>
      </c>
      <c r="G790">
        <v>-305.31979999999999</v>
      </c>
      <c r="H790">
        <v>-0.05</v>
      </c>
      <c r="I790">
        <v>370.62009999999998</v>
      </c>
      <c r="J790">
        <v>-327.6628</v>
      </c>
      <c r="K790">
        <v>1.119875</v>
      </c>
      <c r="L790">
        <v>366.7466</v>
      </c>
      <c r="M790">
        <v>0.99998779999999998</v>
      </c>
      <c r="N790">
        <v>-4.8980489999999998E-3</v>
      </c>
      <c r="O790">
        <v>6.0809310000000001E-4</v>
      </c>
      <c r="P790">
        <v>0.98681350000000001</v>
      </c>
      <c r="Q790">
        <v>0.1610472</v>
      </c>
      <c r="R790">
        <v>-1.6225199999999999E-2</v>
      </c>
      <c r="S790">
        <v>3.0753170000000001</v>
      </c>
      <c r="T790">
        <v>-0.15975149999999999</v>
      </c>
      <c r="U790">
        <v>0.52896119999999902</v>
      </c>
      <c r="V790">
        <v>1.6801300000000002E-2</v>
      </c>
      <c r="W790">
        <v>0.16588120000000001</v>
      </c>
      <c r="X790">
        <v>0.98600259999999995</v>
      </c>
      <c r="Y790">
        <v>-0.16867209999999999</v>
      </c>
      <c r="Z790">
        <v>4.7341620000000001E-3</v>
      </c>
      <c r="AA790">
        <v>0.98566089999999995</v>
      </c>
      <c r="AB790">
        <v>27</v>
      </c>
      <c r="AC790">
        <v>22.343</v>
      </c>
      <c r="AD790">
        <v>-1.169875</v>
      </c>
      <c r="AE790">
        <v>3.8734999999999702</v>
      </c>
      <c r="AF790">
        <v>-3.8496664005664498</v>
      </c>
      <c r="AG790">
        <v>-1.169875</v>
      </c>
      <c r="AH790">
        <v>22.286035852993098</v>
      </c>
      <c r="AI790">
        <v>92.961131878000899</v>
      </c>
      <c r="AJ790">
        <v>99.800498262416596</v>
      </c>
      <c r="AK790">
        <v>22.646322724720001</v>
      </c>
      <c r="AL790">
        <v>80.451570935872496</v>
      </c>
      <c r="AM790">
        <v>89.023785102566094</v>
      </c>
      <c r="AN790">
        <v>0.999999991700944</v>
      </c>
    </row>
    <row r="791" spans="1:40" x14ac:dyDescent="0.25">
      <c r="A791" t="str">
        <f>"20190303162227597"</f>
        <v>20190303162227597</v>
      </c>
      <c r="B791" t="str">
        <f>"1551601347585397"</f>
        <v>1551601347585397</v>
      </c>
      <c r="C791" t="s">
        <v>40</v>
      </c>
      <c r="D791">
        <v>4.9336729999999998</v>
      </c>
      <c r="E791">
        <v>0.4275137</v>
      </c>
      <c r="F791" t="s">
        <v>43</v>
      </c>
      <c r="G791">
        <v>-305.45710000000003</v>
      </c>
      <c r="H791">
        <v>-0.05</v>
      </c>
      <c r="I791">
        <v>370.572</v>
      </c>
      <c r="J791">
        <v>-327.51639999999998</v>
      </c>
      <c r="K791">
        <v>1.1198709999999901</v>
      </c>
      <c r="L791">
        <v>366.74680000000001</v>
      </c>
      <c r="M791">
        <v>0.99998779999999998</v>
      </c>
      <c r="N791">
        <v>-4.898777E-3</v>
      </c>
      <c r="O791">
        <v>6.6358390000000001E-4</v>
      </c>
      <c r="P791">
        <v>0.98685290000000003</v>
      </c>
      <c r="Q791">
        <v>0.16084470000000001</v>
      </c>
      <c r="R791">
        <v>-1.581569E-2</v>
      </c>
      <c r="S791">
        <v>3.0751949999999999</v>
      </c>
      <c r="T791">
        <v>-0.16201189999999999</v>
      </c>
      <c r="U791">
        <v>0.52975459999999996</v>
      </c>
      <c r="V791">
        <v>1.6446829999999999E-2</v>
      </c>
      <c r="W791">
        <v>0.16567950000000001</v>
      </c>
      <c r="X791">
        <v>0.98604250000000004</v>
      </c>
      <c r="Y791">
        <v>-0.16886409999999999</v>
      </c>
      <c r="Z791">
        <v>4.798147E-3</v>
      </c>
      <c r="AA791">
        <v>0.9856277</v>
      </c>
      <c r="AB791">
        <v>27</v>
      </c>
      <c r="AC791">
        <v>22.059299999999901</v>
      </c>
      <c r="AD791">
        <v>-1.1698710000000001</v>
      </c>
      <c r="AE791">
        <v>3.82519999999993</v>
      </c>
      <c r="AF791">
        <v>-3.8001847679705199</v>
      </c>
      <c r="AG791">
        <v>-1.1698710000000001</v>
      </c>
      <c r="AH791">
        <v>22.001759946130701</v>
      </c>
      <c r="AI791">
        <v>92.999320408572402</v>
      </c>
      <c r="AJ791">
        <v>99.799547189828203</v>
      </c>
      <c r="AK791">
        <v>22.358162785759401</v>
      </c>
      <c r="AL791">
        <v>80.463289762397395</v>
      </c>
      <c r="AM791">
        <v>89.044415863450297</v>
      </c>
      <c r="AN791">
        <v>1.00000000337177</v>
      </c>
    </row>
    <row r="792" spans="1:40" x14ac:dyDescent="0.25">
      <c r="A792" t="str">
        <f>"20190303162227619"</f>
        <v>20190303162227619</v>
      </c>
      <c r="B792" t="str">
        <f>"1551601347614676"</f>
        <v>1551601347614676</v>
      </c>
      <c r="C792" t="s">
        <v>40</v>
      </c>
      <c r="D792">
        <v>4.9215739999999997</v>
      </c>
      <c r="E792">
        <v>0.42755009999999999</v>
      </c>
      <c r="F792" t="s">
        <v>43</v>
      </c>
      <c r="G792">
        <v>-305.291</v>
      </c>
      <c r="H792">
        <v>-0.05</v>
      </c>
      <c r="I792">
        <v>370.5849</v>
      </c>
      <c r="J792">
        <v>-327.25470000000001</v>
      </c>
      <c r="K792">
        <v>1.1198570000000001</v>
      </c>
      <c r="L792">
        <v>366.74700000000001</v>
      </c>
      <c r="M792">
        <v>0.99998770000000003</v>
      </c>
      <c r="N792">
        <v>-4.9035299999999997E-3</v>
      </c>
      <c r="O792">
        <v>7.6216100000000002E-4</v>
      </c>
      <c r="P792">
        <v>0.9870447</v>
      </c>
      <c r="Q792">
        <v>0.15968750000000001</v>
      </c>
      <c r="R792">
        <v>-1.5581940000000001E-2</v>
      </c>
      <c r="S792">
        <v>3.0748899999999999</v>
      </c>
      <c r="T792">
        <v>-0.16185189999999999</v>
      </c>
      <c r="U792">
        <v>0.53100590000000003</v>
      </c>
      <c r="V792">
        <v>1.6310359999999999E-2</v>
      </c>
      <c r="W792">
        <v>0.16452829999999999</v>
      </c>
      <c r="X792">
        <v>0.98623749999999999</v>
      </c>
      <c r="Y792">
        <v>-0.16917289999999999</v>
      </c>
      <c r="Z792">
        <v>4.7986849999999996E-3</v>
      </c>
      <c r="AA792">
        <v>0.98557470000000003</v>
      </c>
      <c r="AB792">
        <v>27</v>
      </c>
      <c r="AC792">
        <v>21.963699999999999</v>
      </c>
      <c r="AD792">
        <v>-1.1698569999999999</v>
      </c>
      <c r="AE792">
        <v>3.8379000000000398</v>
      </c>
      <c r="AF792">
        <v>-3.8106683712043199</v>
      </c>
      <c r="AG792">
        <v>-1.1698569999999999</v>
      </c>
      <c r="AH792">
        <v>21.9063125866174</v>
      </c>
      <c r="AI792">
        <v>93.011705793653803</v>
      </c>
      <c r="AJ792">
        <v>99.868027986406005</v>
      </c>
      <c r="AK792">
        <v>22.266034446626101</v>
      </c>
      <c r="AL792">
        <v>80.530166419026401</v>
      </c>
      <c r="AM792">
        <v>89.052530849418105</v>
      </c>
      <c r="AN792">
        <v>0.99999999787523397</v>
      </c>
    </row>
    <row r="793" spans="1:40" x14ac:dyDescent="0.25">
      <c r="A793" t="str">
        <f>"20190303162227631"</f>
        <v>20190303162227631</v>
      </c>
      <c r="B793" t="str">
        <f>"1551601347625413"</f>
        <v>1551601347625413</v>
      </c>
      <c r="C793" t="s">
        <v>40</v>
      </c>
      <c r="D793">
        <v>4.9506220000000001</v>
      </c>
      <c r="E793">
        <v>0.42756719999999998</v>
      </c>
      <c r="F793" t="s">
        <v>43</v>
      </c>
      <c r="G793">
        <v>-305.15469999999999</v>
      </c>
      <c r="H793">
        <v>-0.05</v>
      </c>
      <c r="I793">
        <v>370.56819999999999</v>
      </c>
      <c r="J793">
        <v>-327.11770000000001</v>
      </c>
      <c r="K793">
        <v>1.119853</v>
      </c>
      <c r="L793">
        <v>366.74720000000002</v>
      </c>
      <c r="M793">
        <v>0.99998770000000003</v>
      </c>
      <c r="N793">
        <v>-4.9090459999999898E-3</v>
      </c>
      <c r="O793">
        <v>8.1370740000000002E-4</v>
      </c>
      <c r="P793">
        <v>0.9870679</v>
      </c>
      <c r="Q793">
        <v>0.15954179999999901</v>
      </c>
      <c r="R793">
        <v>-1.560713E-2</v>
      </c>
      <c r="S793">
        <v>3.0741269999999998</v>
      </c>
      <c r="T793">
        <v>-0.1627276</v>
      </c>
      <c r="U793">
        <v>0.53152469999999996</v>
      </c>
      <c r="V793">
        <v>1.638647E-2</v>
      </c>
      <c r="W793">
        <v>0.16438759999999999</v>
      </c>
      <c r="X793">
        <v>0.98625969999999996</v>
      </c>
      <c r="Y793">
        <v>-0.16932169999999999</v>
      </c>
      <c r="Z793">
        <v>4.8256509999999898E-3</v>
      </c>
      <c r="AA793">
        <v>0.98554900000000001</v>
      </c>
      <c r="AB793">
        <v>27</v>
      </c>
      <c r="AC793">
        <v>21.963000000000001</v>
      </c>
      <c r="AD793">
        <v>-1.169853</v>
      </c>
      <c r="AE793">
        <v>3.8209999999999602</v>
      </c>
      <c r="AF793">
        <v>-3.7926828466749498</v>
      </c>
      <c r="AG793">
        <v>-1.169853</v>
      </c>
      <c r="AH793">
        <v>21.905778221345201</v>
      </c>
      <c r="AI793">
        <v>93.012182549914002</v>
      </c>
      <c r="AJ793">
        <v>99.822597248197695</v>
      </c>
      <c r="AK793">
        <v>22.262437393507401</v>
      </c>
      <c r="AL793">
        <v>80.538339212985704</v>
      </c>
      <c r="AM793">
        <v>89.0481318519589</v>
      </c>
      <c r="AN793">
        <v>0.99999999763845504</v>
      </c>
    </row>
    <row r="794" spans="1:40" x14ac:dyDescent="0.25">
      <c r="A794" t="str">
        <f>"20190303162227642"</f>
        <v>20190303162227642</v>
      </c>
      <c r="B794" t="str">
        <f>"1551601347635173"</f>
        <v>1551601347635173</v>
      </c>
      <c r="C794" t="s">
        <v>40</v>
      </c>
      <c r="D794">
        <v>4.9220300000000003</v>
      </c>
      <c r="E794">
        <v>0.42758859999999899</v>
      </c>
      <c r="F794" t="s">
        <v>43</v>
      </c>
      <c r="G794">
        <v>-304.99810000000002</v>
      </c>
      <c r="H794">
        <v>-0.05</v>
      </c>
      <c r="I794">
        <v>370.57150000000001</v>
      </c>
      <c r="J794">
        <v>-326.96879999999999</v>
      </c>
      <c r="K794">
        <v>1.1198520000000001</v>
      </c>
      <c r="L794">
        <v>366.74740000000003</v>
      </c>
      <c r="M794">
        <v>0.99998759999999998</v>
      </c>
      <c r="N794">
        <v>-4.9162559999999999E-3</v>
      </c>
      <c r="O794">
        <v>8.6977970000000002E-4</v>
      </c>
      <c r="P794">
        <v>0.98712929999999999</v>
      </c>
      <c r="Q794">
        <v>0.15917879999999901</v>
      </c>
      <c r="R794">
        <v>-1.5427679999999999E-2</v>
      </c>
      <c r="S794">
        <v>3.0739749999999999</v>
      </c>
      <c r="T794">
        <v>-0.16257539999999901</v>
      </c>
      <c r="U794">
        <v>0.53146359999999904</v>
      </c>
      <c r="V794">
        <v>1.6262200000000001E-2</v>
      </c>
      <c r="W794">
        <v>0.16403199999999901</v>
      </c>
      <c r="X794">
        <v>0.986321</v>
      </c>
      <c r="Y794">
        <v>-0.1692562</v>
      </c>
      <c r="Z794">
        <v>4.8178320000000002E-3</v>
      </c>
      <c r="AA794">
        <v>0.98556029999999994</v>
      </c>
      <c r="AB794">
        <v>27</v>
      </c>
      <c r="AC794">
        <v>21.970699999999901</v>
      </c>
      <c r="AD794">
        <v>-1.1698519999999999</v>
      </c>
      <c r="AE794">
        <v>3.8240999999999801</v>
      </c>
      <c r="AF794">
        <v>-3.7945469263175702</v>
      </c>
      <c r="AG794">
        <v>-1.1698519999999999</v>
      </c>
      <c r="AH794">
        <v>21.913716299478899</v>
      </c>
      <c r="AI794">
        <v>93.011079557644607</v>
      </c>
      <c r="AJ794">
        <v>99.8238403816095</v>
      </c>
      <c r="AK794">
        <v>22.270565824243899</v>
      </c>
      <c r="AL794">
        <v>80.558994333425304</v>
      </c>
      <c r="AM794">
        <v>89.055407916677197</v>
      </c>
      <c r="AN794">
        <v>1.0000000356069101</v>
      </c>
    </row>
    <row r="795" spans="1:40" x14ac:dyDescent="0.25">
      <c r="A795" t="str">
        <f>"20190303162227654"</f>
        <v>20190303162227654</v>
      </c>
      <c r="B795" t="str">
        <f>"1551601347644933"</f>
        <v>1551601347644933</v>
      </c>
      <c r="C795" t="s">
        <v>40</v>
      </c>
      <c r="D795">
        <v>4.9520910000000002</v>
      </c>
      <c r="E795">
        <v>0.42762099999999997</v>
      </c>
      <c r="F795" t="s">
        <v>43</v>
      </c>
      <c r="G795">
        <v>-304.89400000000001</v>
      </c>
      <c r="H795">
        <v>-0.05</v>
      </c>
      <c r="I795">
        <v>370.56490000000002</v>
      </c>
      <c r="J795">
        <v>-326.81849999999997</v>
      </c>
      <c r="K795">
        <v>1.119848</v>
      </c>
      <c r="L795">
        <v>366.74759999999998</v>
      </c>
      <c r="M795">
        <v>0.99998739999999997</v>
      </c>
      <c r="N795">
        <v>-4.9274059999999996E-3</v>
      </c>
      <c r="O795">
        <v>9.2691880000000005E-4</v>
      </c>
      <c r="P795">
        <v>0.98710410000000004</v>
      </c>
      <c r="Q795">
        <v>0.1593241</v>
      </c>
      <c r="R795">
        <v>-1.553154E-2</v>
      </c>
      <c r="S795">
        <v>3.0737000000000001</v>
      </c>
      <c r="T795">
        <v>-0.1628898</v>
      </c>
      <c r="U795">
        <v>0.53155520000000001</v>
      </c>
      <c r="V795">
        <v>1.6422119999999998E-2</v>
      </c>
      <c r="W795">
        <v>0.16418859999999999</v>
      </c>
      <c r="X795">
        <v>0.98629219999999895</v>
      </c>
      <c r="Y795">
        <v>-0.16924220000000001</v>
      </c>
      <c r="Z795">
        <v>4.8245359999999999E-3</v>
      </c>
      <c r="AA795">
        <v>0.98556270000000001</v>
      </c>
      <c r="AB795">
        <v>27</v>
      </c>
      <c r="AC795">
        <v>21.924499999999899</v>
      </c>
      <c r="AD795">
        <v>-1.169848</v>
      </c>
      <c r="AE795">
        <v>3.8173000000000399</v>
      </c>
      <c r="AF795">
        <v>-3.7865125740459602</v>
      </c>
      <c r="AG795">
        <v>-1.169848</v>
      </c>
      <c r="AH795">
        <v>21.867601991537502</v>
      </c>
      <c r="AI795">
        <v>93.017408430421995</v>
      </c>
      <c r="AJ795">
        <v>99.823715055250204</v>
      </c>
      <c r="AK795">
        <v>22.2238214237967</v>
      </c>
      <c r="AL795">
        <v>80.549897610896295</v>
      </c>
      <c r="AM795">
        <v>89.046092801438803</v>
      </c>
      <c r="AN795">
        <v>0.99999994308804496</v>
      </c>
    </row>
    <row r="796" spans="1:40" x14ac:dyDescent="0.25">
      <c r="A796" t="str">
        <f>"20190303162227667"</f>
        <v>20190303162227667</v>
      </c>
      <c r="B796" t="str">
        <f>"1551601347654693"</f>
        <v>1551601347654693</v>
      </c>
      <c r="C796" t="s">
        <v>40</v>
      </c>
      <c r="D796">
        <v>5.0481210000000001</v>
      </c>
      <c r="E796">
        <v>0.42751040000000001</v>
      </c>
      <c r="F796" t="s">
        <v>43</v>
      </c>
      <c r="G796">
        <v>-304.6087</v>
      </c>
      <c r="H796">
        <v>-0.05</v>
      </c>
      <c r="I796">
        <v>370.58359999999999</v>
      </c>
      <c r="J796">
        <v>-326.67259999999999</v>
      </c>
      <c r="K796">
        <v>1.119848</v>
      </c>
      <c r="L796">
        <v>366.74770000000001</v>
      </c>
      <c r="M796">
        <v>0.99998739999999997</v>
      </c>
      <c r="N796">
        <v>-4.9399639999999998E-3</v>
      </c>
      <c r="O796">
        <v>9.8280250000000002E-4</v>
      </c>
      <c r="P796">
        <v>0.98716749999999998</v>
      </c>
      <c r="Q796">
        <v>0.158933299999999</v>
      </c>
      <c r="R796">
        <v>-1.5511830000000001E-2</v>
      </c>
      <c r="S796">
        <v>3.0736690000000002</v>
      </c>
      <c r="T796">
        <v>-0.1618985</v>
      </c>
      <c r="U796">
        <v>0.53088380000000002</v>
      </c>
      <c r="V796">
        <v>1.6457400000000001E-2</v>
      </c>
      <c r="W796">
        <v>0.16381039999999999</v>
      </c>
      <c r="X796">
        <v>0.98635450000000002</v>
      </c>
      <c r="Y796">
        <v>-0.16898299999999999</v>
      </c>
      <c r="Z796">
        <v>4.7889279999999996E-3</v>
      </c>
      <c r="AA796">
        <v>0.98560729999999996</v>
      </c>
      <c r="AB796">
        <v>27</v>
      </c>
      <c r="AC796">
        <v>22.063899999999901</v>
      </c>
      <c r="AD796">
        <v>-1.169848</v>
      </c>
      <c r="AE796">
        <v>3.8358999999999801</v>
      </c>
      <c r="AF796">
        <v>-3.80383375612807</v>
      </c>
      <c r="AG796">
        <v>-1.169848</v>
      </c>
      <c r="AH796">
        <v>22.007606291266502</v>
      </c>
      <c r="AI796">
        <v>92.998406028158598</v>
      </c>
      <c r="AJ796">
        <v>99.806219037037593</v>
      </c>
      <c r="AK796">
        <v>22.364535100438701</v>
      </c>
      <c r="AL796">
        <v>80.571864327432493</v>
      </c>
      <c r="AM796">
        <v>89.044104250380798</v>
      </c>
      <c r="AN796">
        <v>0.99999994641658296</v>
      </c>
    </row>
    <row r="797" spans="1:40" x14ac:dyDescent="0.25">
      <c r="A797" t="str">
        <f>"20190303162227681"</f>
        <v>20190303162227681</v>
      </c>
      <c r="B797" t="str">
        <f>"1551601347674697"</f>
        <v>1551601347674697</v>
      </c>
      <c r="C797" t="s">
        <v>40</v>
      </c>
      <c r="D797">
        <v>5.0038299999999998</v>
      </c>
      <c r="E797">
        <v>0.45110820000000001</v>
      </c>
      <c r="F797" t="s">
        <v>43</v>
      </c>
      <c r="G797">
        <v>-304.73899999999998</v>
      </c>
      <c r="H797">
        <v>-0.05</v>
      </c>
      <c r="I797">
        <v>370.54320000000001</v>
      </c>
      <c r="J797">
        <v>-326.49450000000002</v>
      </c>
      <c r="K797">
        <v>1.11985</v>
      </c>
      <c r="L797">
        <v>366.74799999999999</v>
      </c>
      <c r="M797">
        <v>0.99998730000000002</v>
      </c>
      <c r="N797">
        <v>-4.9585439999999996E-3</v>
      </c>
      <c r="O797">
        <v>1.0516659999999999E-3</v>
      </c>
      <c r="P797">
        <v>0.98717469999999996</v>
      </c>
      <c r="Q797">
        <v>0.15889639999999999</v>
      </c>
      <c r="R797">
        <v>-1.544483E-2</v>
      </c>
      <c r="S797">
        <v>3.0737610000000002</v>
      </c>
      <c r="T797">
        <v>-0.1639417</v>
      </c>
      <c r="U797">
        <v>0.53189090000000006</v>
      </c>
      <c r="V797">
        <v>1.6457949999999999E-2</v>
      </c>
      <c r="W797">
        <v>0.1637921</v>
      </c>
      <c r="X797">
        <v>0.98635759999999995</v>
      </c>
      <c r="Y797">
        <v>-0.16921749999999999</v>
      </c>
      <c r="Z797">
        <v>4.8487690000000002E-3</v>
      </c>
      <c r="AA797">
        <v>0.98556679999999997</v>
      </c>
      <c r="AB797">
        <v>27</v>
      </c>
      <c r="AC797">
        <v>21.755499999999898</v>
      </c>
      <c r="AD797">
        <v>-1.1698500000000001</v>
      </c>
      <c r="AE797">
        <v>3.7951999999999599</v>
      </c>
      <c r="AF797">
        <v>-3.7617622294519801</v>
      </c>
      <c r="AG797">
        <v>-1.1698500000000001</v>
      </c>
      <c r="AH797">
        <v>21.698590923575999</v>
      </c>
      <c r="AI797">
        <v>93.040766146080898</v>
      </c>
      <c r="AJ797">
        <v>99.835289546625503</v>
      </c>
      <c r="AK797">
        <v>22.053304790033799</v>
      </c>
      <c r="AL797">
        <v>80.572927854272507</v>
      </c>
      <c r="AM797">
        <v>89.0440753144441</v>
      </c>
      <c r="AN797">
        <v>1.0000000156091799</v>
      </c>
    </row>
    <row r="798" spans="1:40" x14ac:dyDescent="0.25">
      <c r="A798" t="str">
        <f>"20190303162227698"</f>
        <v>20190303162227698</v>
      </c>
      <c r="B798" t="str">
        <f>"1551601347685433"</f>
        <v>1551601347685433</v>
      </c>
      <c r="C798" t="s">
        <v>40</v>
      </c>
      <c r="D798">
        <v>4.9757470000000001</v>
      </c>
      <c r="E798">
        <v>0.4597041</v>
      </c>
      <c r="F798" t="s">
        <v>43</v>
      </c>
      <c r="G798">
        <v>-310.50479999999999</v>
      </c>
      <c r="H798">
        <v>-0.05</v>
      </c>
      <c r="I798">
        <v>368.53410000000002</v>
      </c>
      <c r="J798">
        <v>-326.30029999999999</v>
      </c>
      <c r="K798">
        <v>1.1198509999999999</v>
      </c>
      <c r="L798">
        <v>366.74829999999997</v>
      </c>
      <c r="M798">
        <v>0.99998710000000002</v>
      </c>
      <c r="N798">
        <v>-4.9834930000000003E-3</v>
      </c>
      <c r="O798">
        <v>1.127491E-3</v>
      </c>
      <c r="P798">
        <v>0.98720110000000005</v>
      </c>
      <c r="Q798">
        <v>0.15872990000000001</v>
      </c>
      <c r="R798">
        <v>-1.546283E-2</v>
      </c>
      <c r="S798">
        <v>3.0806269999999998</v>
      </c>
      <c r="T798">
        <v>-0.22538659999999999</v>
      </c>
      <c r="U798">
        <v>0.34411619999999998</v>
      </c>
      <c r="V798">
        <v>1.65502999999999E-2</v>
      </c>
      <c r="W798">
        <v>0.16364999999999999</v>
      </c>
      <c r="X798">
        <v>0.98637960000000002</v>
      </c>
      <c r="Y798">
        <v>-0.10958560000000001</v>
      </c>
      <c r="Z798">
        <v>4.1888330000000003E-3</v>
      </c>
      <c r="AA798">
        <v>0.99396850000000003</v>
      </c>
      <c r="AB798">
        <v>27</v>
      </c>
      <c r="AC798">
        <v>15.795500000000001</v>
      </c>
      <c r="AD798">
        <v>-1.169851</v>
      </c>
      <c r="AE798">
        <v>1.78580000000005</v>
      </c>
      <c r="AF798">
        <v>-1.75846551937171</v>
      </c>
      <c r="AG798">
        <v>-1.169851</v>
      </c>
      <c r="AH798">
        <v>15.712405127663301</v>
      </c>
      <c r="AI798">
        <v>94.231719968689205</v>
      </c>
      <c r="AJ798">
        <v>96.385727597283605</v>
      </c>
      <c r="AK798">
        <v>15.853719665770599</v>
      </c>
      <c r="AL798">
        <v>80.5811805611784</v>
      </c>
      <c r="AM798">
        <v>89.038733803059998</v>
      </c>
      <c r="AN798">
        <v>0.999999975113124</v>
      </c>
    </row>
    <row r="799" spans="1:40" x14ac:dyDescent="0.25">
      <c r="A799" t="str">
        <f>"20190303162227712"</f>
        <v>20190303162227712</v>
      </c>
      <c r="B799" t="str">
        <f>"1551601347704954"</f>
        <v>1551601347704954</v>
      </c>
      <c r="C799" t="s">
        <v>40</v>
      </c>
      <c r="D799">
        <v>4.9271019999999996</v>
      </c>
      <c r="E799">
        <v>0.46772920000000001</v>
      </c>
      <c r="F799" t="s">
        <v>43</v>
      </c>
      <c r="G799">
        <v>-312.31490000000002</v>
      </c>
      <c r="H799">
        <v>-0.05</v>
      </c>
      <c r="I799">
        <v>367.9984</v>
      </c>
      <c r="J799">
        <v>-326.1284</v>
      </c>
      <c r="K799">
        <v>1.1198509999999999</v>
      </c>
      <c r="L799">
        <v>366.74849999999998</v>
      </c>
      <c r="M799">
        <v>0.99998690000000001</v>
      </c>
      <c r="N799">
        <v>-5.0077079999999996E-3</v>
      </c>
      <c r="O799">
        <v>1.1953280000000001E-3</v>
      </c>
      <c r="P799">
        <v>0.98729250000000002</v>
      </c>
      <c r="Q799">
        <v>0.15815489999999999</v>
      </c>
      <c r="R799">
        <v>-1.5519989999999999E-2</v>
      </c>
      <c r="S799">
        <v>3.0847169999999999</v>
      </c>
      <c r="T799">
        <v>-0.25802989999999998</v>
      </c>
      <c r="U799">
        <v>0.27572629999999998</v>
      </c>
      <c r="V799">
        <v>1.6674000000000001E-2</v>
      </c>
      <c r="W799">
        <v>0.16309960000000001</v>
      </c>
      <c r="X799">
        <v>0.98646869999999998</v>
      </c>
      <c r="Y799">
        <v>-8.7521139999999997E-2</v>
      </c>
      <c r="Z799">
        <v>3.7731959999999999E-3</v>
      </c>
      <c r="AA799">
        <v>0.99615549999999997</v>
      </c>
      <c r="AB799">
        <v>27</v>
      </c>
      <c r="AC799">
        <v>13.8134999999999</v>
      </c>
      <c r="AD799">
        <v>-1.169851</v>
      </c>
      <c r="AE799">
        <v>1.24990000000002</v>
      </c>
      <c r="AF799">
        <v>-1.2246749311401699</v>
      </c>
      <c r="AG799">
        <v>-1.169851</v>
      </c>
      <c r="AH799">
        <v>13.7173989434521</v>
      </c>
      <c r="AI799">
        <v>94.855300861712706</v>
      </c>
      <c r="AJ799">
        <v>95.101780573041694</v>
      </c>
      <c r="AK799">
        <v>13.8215561288513</v>
      </c>
      <c r="AL799">
        <v>80.613145865523194</v>
      </c>
      <c r="AM799">
        <v>89.031637940998195</v>
      </c>
      <c r="AN799">
        <v>0.99999999893792402</v>
      </c>
    </row>
    <row r="800" spans="1:40" x14ac:dyDescent="0.25">
      <c r="A800" t="str">
        <f>"20190303162227732"</f>
        <v>20190303162227732</v>
      </c>
      <c r="B800" t="str">
        <f>"1551601347725449"</f>
        <v>1551601347725449</v>
      </c>
      <c r="C800" t="s">
        <v>40</v>
      </c>
      <c r="D800">
        <v>4.9737839999999904</v>
      </c>
      <c r="E800">
        <v>0.51300970000000001</v>
      </c>
      <c r="F800" t="s">
        <v>43</v>
      </c>
      <c r="G800">
        <v>-314.45760000000001</v>
      </c>
      <c r="H800">
        <v>-0.05</v>
      </c>
      <c r="I800">
        <v>367.548</v>
      </c>
      <c r="J800">
        <v>-325.88600000000002</v>
      </c>
      <c r="K800">
        <v>1.11985</v>
      </c>
      <c r="L800">
        <v>366.74889999999999</v>
      </c>
      <c r="M800">
        <v>0.9999865</v>
      </c>
      <c r="N800">
        <v>-5.0442519999999999E-3</v>
      </c>
      <c r="O800">
        <v>1.291628E-3</v>
      </c>
      <c r="P800">
        <v>0.98731460000000004</v>
      </c>
      <c r="Q800">
        <v>0.1580339</v>
      </c>
      <c r="R800">
        <v>-1.53385E-2</v>
      </c>
      <c r="S800">
        <v>3.0915530000000002</v>
      </c>
      <c r="T800">
        <v>-0.30989050000000001</v>
      </c>
      <c r="U800">
        <v>0.21179200000000001</v>
      </c>
      <c r="V800">
        <v>1.65870999999999E-2</v>
      </c>
      <c r="W800">
        <v>0.16301489999999999</v>
      </c>
      <c r="X800">
        <v>0.98648420000000003</v>
      </c>
      <c r="Y800">
        <v>-6.6713969999999997E-2</v>
      </c>
      <c r="Z800">
        <v>3.3777960000000002E-3</v>
      </c>
      <c r="AA800">
        <v>0.99776640000000005</v>
      </c>
      <c r="AB800">
        <v>27</v>
      </c>
      <c r="AC800">
        <v>11.4283999999999</v>
      </c>
      <c r="AD800">
        <v>-1.1698500000000001</v>
      </c>
      <c r="AE800">
        <v>0.79910000000000903</v>
      </c>
      <c r="AF800">
        <v>-0.77624378789791404</v>
      </c>
      <c r="AG800">
        <v>-1.1698500000000001</v>
      </c>
      <c r="AH800">
        <v>11.3114746222919</v>
      </c>
      <c r="AI800">
        <v>95.890867936341195</v>
      </c>
      <c r="AJ800">
        <v>93.925736885047201</v>
      </c>
      <c r="AK800">
        <v>11.398270113113799</v>
      </c>
      <c r="AL800">
        <v>80.618064972194503</v>
      </c>
      <c r="AM800">
        <v>89.036698939776201</v>
      </c>
      <c r="AN800">
        <v>1.00000003317902</v>
      </c>
    </row>
    <row r="801" spans="1:40" x14ac:dyDescent="0.25">
      <c r="A801" t="str">
        <f>"20190303162227753"</f>
        <v>20190303162227753</v>
      </c>
      <c r="B801" t="str">
        <f>"1551601347744970"</f>
        <v>1551601347744970</v>
      </c>
      <c r="C801" t="s">
        <v>40</v>
      </c>
      <c r="D801">
        <v>4.9907519999999996</v>
      </c>
      <c r="E801">
        <v>0.51371389999999995</v>
      </c>
      <c r="F801" t="s">
        <v>42</v>
      </c>
      <c r="G801">
        <v>-325.07859999999999</v>
      </c>
      <c r="H801">
        <v>0.92403760000000001</v>
      </c>
      <c r="I801">
        <v>366.71080000000001</v>
      </c>
      <c r="J801">
        <v>-325.61849999999998</v>
      </c>
      <c r="K801">
        <v>1.119856</v>
      </c>
      <c r="L801">
        <v>366.74930000000001</v>
      </c>
      <c r="M801">
        <v>0.99998609999999999</v>
      </c>
      <c r="N801">
        <v>-5.0866330000000001E-3</v>
      </c>
      <c r="O801">
        <v>1.3981639999999999E-3</v>
      </c>
      <c r="P801">
        <v>0.98727140000000002</v>
      </c>
      <c r="Q801">
        <v>0.15831629999999899</v>
      </c>
      <c r="R801">
        <v>-1.520698E-2</v>
      </c>
      <c r="S801">
        <v>3.1588440000000002</v>
      </c>
      <c r="T801">
        <v>-0.76613339999999996</v>
      </c>
      <c r="U801">
        <v>-0.14810179999999901</v>
      </c>
      <c r="V801">
        <v>1.6560129999999999E-2</v>
      </c>
      <c r="W801">
        <v>0.16333909999999999</v>
      </c>
      <c r="X801">
        <v>0.98643099999999995</v>
      </c>
      <c r="Y801">
        <v>4.6807799999999997E-2</v>
      </c>
      <c r="Z801">
        <v>-6.0401650000000001E-3</v>
      </c>
      <c r="AA801">
        <v>0.99888560000000004</v>
      </c>
      <c r="AB801">
        <v>27</v>
      </c>
      <c r="AC801">
        <v>0.53989999999998795</v>
      </c>
      <c r="AD801">
        <v>-0.195818399999999</v>
      </c>
      <c r="AE801">
        <v>-3.8499999999999E-2</v>
      </c>
      <c r="AF801">
        <v>3.47117258065891E-2</v>
      </c>
      <c r="AG801">
        <v>-0.195818399999999</v>
      </c>
      <c r="AH801">
        <v>0.477367211239071</v>
      </c>
      <c r="AI801">
        <v>112.25068582394</v>
      </c>
      <c r="AJ801">
        <v>85.841060878932694</v>
      </c>
      <c r="AK801">
        <v>0.51713557608542005</v>
      </c>
      <c r="AL801">
        <v>80.599237097677701</v>
      </c>
      <c r="AM801">
        <v>89.038213078239707</v>
      </c>
      <c r="AN801">
        <v>1.0000000086277101</v>
      </c>
    </row>
    <row r="802" spans="1:40" x14ac:dyDescent="0.25">
      <c r="A802" t="str">
        <f>"20190303162227766"</f>
        <v>20190303162227766</v>
      </c>
      <c r="B802" t="str">
        <f>"1551601347754730"</f>
        <v>1551601347754730</v>
      </c>
      <c r="C802" t="s">
        <v>40</v>
      </c>
      <c r="D802">
        <v>4.9154920000000004</v>
      </c>
      <c r="E802">
        <v>0.51351610000000003</v>
      </c>
      <c r="F802" t="s">
        <v>42</v>
      </c>
      <c r="G802">
        <v>-324.83089999999999</v>
      </c>
      <c r="H802">
        <v>0.92400629999999995</v>
      </c>
      <c r="I802">
        <v>366.71100000000001</v>
      </c>
      <c r="J802">
        <v>-325.46140000000003</v>
      </c>
      <c r="K802">
        <v>1.119858</v>
      </c>
      <c r="L802">
        <v>366.74959999999999</v>
      </c>
      <c r="M802">
        <v>0.99998589999999998</v>
      </c>
      <c r="N802">
        <v>-5.1120810000000001E-3</v>
      </c>
      <c r="O802">
        <v>1.461106E-3</v>
      </c>
      <c r="P802">
        <v>0.98726639999999999</v>
      </c>
      <c r="Q802">
        <v>0.15835669999999999</v>
      </c>
      <c r="R802">
        <v>-1.51134999999999E-2</v>
      </c>
      <c r="S802">
        <v>3.1623839999999999</v>
      </c>
      <c r="T802">
        <v>-0.78640529999999997</v>
      </c>
      <c r="U802">
        <v>-0.1535339</v>
      </c>
      <c r="V802">
        <v>1.6528560000000001E-2</v>
      </c>
      <c r="W802">
        <v>0.16340399999999999</v>
      </c>
      <c r="X802">
        <v>0.98642079999999999</v>
      </c>
      <c r="Y802">
        <v>4.840759E-2</v>
      </c>
      <c r="Z802">
        <v>-6.4012919999999899E-3</v>
      </c>
      <c r="AA802">
        <v>0.99880709999999995</v>
      </c>
      <c r="AB802">
        <v>28</v>
      </c>
      <c r="AC802">
        <v>0.63050000000004003</v>
      </c>
      <c r="AD802">
        <v>-0.19585169999999999</v>
      </c>
      <c r="AE802">
        <v>-3.8599999999973898E-2</v>
      </c>
      <c r="AF802">
        <v>3.60552044958991E-2</v>
      </c>
      <c r="AG802">
        <v>-0.19585169999999999</v>
      </c>
      <c r="AH802">
        <v>0.57515332904962502</v>
      </c>
      <c r="AI802">
        <v>108.77052055077</v>
      </c>
      <c r="AJ802">
        <v>86.412936790876799</v>
      </c>
      <c r="AK802">
        <v>0.60865361091592796</v>
      </c>
      <c r="AL802">
        <v>80.595468141793503</v>
      </c>
      <c r="AM802">
        <v>89.040036347466398</v>
      </c>
      <c r="AN802">
        <v>1.0000000275921499</v>
      </c>
    </row>
    <row r="803" spans="1:40" x14ac:dyDescent="0.25">
      <c r="A803" t="str">
        <f>"20190303162227779"</f>
        <v>20190303162227779</v>
      </c>
      <c r="B803" t="str">
        <f>"1551601347775225"</f>
        <v>1551601347775225</v>
      </c>
      <c r="C803" t="s">
        <v>40</v>
      </c>
      <c r="D803">
        <v>4.9327940000000003</v>
      </c>
      <c r="E803">
        <v>0.51350859999999998</v>
      </c>
      <c r="F803" t="s">
        <v>42</v>
      </c>
      <c r="G803">
        <v>-324.59179999999998</v>
      </c>
      <c r="H803">
        <v>0.90244930000000001</v>
      </c>
      <c r="I803">
        <v>366.70780000000002</v>
      </c>
      <c r="J803">
        <v>-325.29939999999999</v>
      </c>
      <c r="K803">
        <v>1.1198570000000001</v>
      </c>
      <c r="L803">
        <v>366.74990000000003</v>
      </c>
      <c r="M803">
        <v>0.99998560000000003</v>
      </c>
      <c r="N803">
        <v>-5.1386039999999997E-3</v>
      </c>
      <c r="O803">
        <v>1.5255360000000001E-3</v>
      </c>
      <c r="P803">
        <v>0.98729279999999997</v>
      </c>
      <c r="Q803">
        <v>0.15819149999999901</v>
      </c>
      <c r="R803">
        <v>-1.511613E-2</v>
      </c>
      <c r="S803">
        <v>3.1632389999999999</v>
      </c>
      <c r="T803">
        <v>-0.79089529999999997</v>
      </c>
      <c r="U803">
        <v>-0.15158079999999999</v>
      </c>
      <c r="V803">
        <v>1.6594640000000001E-2</v>
      </c>
      <c r="W803">
        <v>0.16326570000000001</v>
      </c>
      <c r="X803">
        <v>0.98644259999999995</v>
      </c>
      <c r="Y803">
        <v>4.7842759999999998E-2</v>
      </c>
      <c r="Z803">
        <v>-6.3797200000000002E-3</v>
      </c>
      <c r="AA803">
        <v>0.99883449999999996</v>
      </c>
      <c r="AB803">
        <v>28</v>
      </c>
      <c r="AC803">
        <v>0.707600000000013</v>
      </c>
      <c r="AD803">
        <v>-0.21740769999999901</v>
      </c>
      <c r="AE803">
        <v>-4.2100000000004897E-2</v>
      </c>
      <c r="AF803">
        <v>3.9466883844758202E-2</v>
      </c>
      <c r="AG803">
        <v>-0.21740769999999901</v>
      </c>
      <c r="AH803">
        <v>0.64670137511889203</v>
      </c>
      <c r="AI803">
        <v>108.549442378061</v>
      </c>
      <c r="AJ803">
        <v>86.507685160610194</v>
      </c>
      <c r="AK803">
        <v>0.68340793931616794</v>
      </c>
      <c r="AL803">
        <v>80.603500099383496</v>
      </c>
      <c r="AM803">
        <v>89.036220499591707</v>
      </c>
      <c r="AN803">
        <v>1.0000000369839801</v>
      </c>
    </row>
    <row r="804" spans="1:40" x14ac:dyDescent="0.25">
      <c r="A804" t="str">
        <f>"20190303162227791"</f>
        <v>20190303162227791</v>
      </c>
      <c r="B804" t="str">
        <f>"1551601347784985"</f>
        <v>1551601347784985</v>
      </c>
      <c r="C804" t="s">
        <v>40</v>
      </c>
      <c r="D804">
        <v>4.9202110000000001</v>
      </c>
      <c r="E804">
        <v>0.51330759999999998</v>
      </c>
      <c r="F804" t="s">
        <v>42</v>
      </c>
      <c r="G804">
        <v>-324.57600000000002</v>
      </c>
      <c r="H804">
        <v>0.93754490000000001</v>
      </c>
      <c r="I804">
        <v>366.71510000000001</v>
      </c>
      <c r="J804">
        <v>-325.14449999999999</v>
      </c>
      <c r="K804">
        <v>1.119858</v>
      </c>
      <c r="L804">
        <v>366.75020000000001</v>
      </c>
      <c r="M804">
        <v>0.99998540000000002</v>
      </c>
      <c r="N804">
        <v>-5.1639279999999999E-3</v>
      </c>
      <c r="O804">
        <v>1.587345E-3</v>
      </c>
      <c r="P804">
        <v>0.9873016</v>
      </c>
      <c r="Q804">
        <v>0.1581342</v>
      </c>
      <c r="R804">
        <v>-1.5143739999999999E-2</v>
      </c>
      <c r="S804">
        <v>3.1640929999999998</v>
      </c>
      <c r="T804">
        <v>-0.79737650000000004</v>
      </c>
      <c r="U804">
        <v>-0.1513062</v>
      </c>
      <c r="V804">
        <v>1.6682990000000002E-2</v>
      </c>
      <c r="W804">
        <v>0.1632333</v>
      </c>
      <c r="X804">
        <v>0.98644639999999995</v>
      </c>
      <c r="Y804">
        <v>4.7781049999999999E-2</v>
      </c>
      <c r="Z804">
        <v>-6.4356619999999896E-3</v>
      </c>
      <c r="AA804">
        <v>0.99883710000000003</v>
      </c>
      <c r="AB804">
        <v>28</v>
      </c>
      <c r="AC804">
        <v>0.56850000000002798</v>
      </c>
      <c r="AD804">
        <v>-0.18231310000000001</v>
      </c>
      <c r="AE804">
        <v>-3.5099999999999902E-2</v>
      </c>
      <c r="AF804">
        <v>3.2656621906906699E-2</v>
      </c>
      <c r="AG804">
        <v>-0.18231310000000001</v>
      </c>
      <c r="AH804">
        <v>0.51561730161746999</v>
      </c>
      <c r="AI804">
        <v>109.436671304838</v>
      </c>
      <c r="AJ804">
        <v>86.376012280817605</v>
      </c>
      <c r="AK804">
        <v>0.54787382043063704</v>
      </c>
      <c r="AL804">
        <v>80.605381054178807</v>
      </c>
      <c r="AM804">
        <v>89.031094036926206</v>
      </c>
      <c r="AN804">
        <v>0.99999996622859399</v>
      </c>
    </row>
    <row r="805" spans="1:40" x14ac:dyDescent="0.25">
      <c r="A805" t="str">
        <f>"20190303162227804"</f>
        <v>20190303162227804</v>
      </c>
      <c r="B805" t="str">
        <f>"1551601347794746"</f>
        <v>1551601347794746</v>
      </c>
      <c r="C805" t="s">
        <v>40</v>
      </c>
      <c r="D805">
        <v>4.9281110000000004</v>
      </c>
      <c r="E805">
        <v>0.51307440000000004</v>
      </c>
      <c r="F805" t="s">
        <v>42</v>
      </c>
      <c r="G805">
        <v>-324.33609999999999</v>
      </c>
      <c r="H805">
        <v>0.91599870000000005</v>
      </c>
      <c r="I805">
        <v>366.71190000000001</v>
      </c>
      <c r="J805">
        <v>-324.9889</v>
      </c>
      <c r="K805">
        <v>1.1198570000000001</v>
      </c>
      <c r="L805">
        <v>366.75049999999999</v>
      </c>
      <c r="M805">
        <v>0.99998520000000002</v>
      </c>
      <c r="N805">
        <v>-5.1892960000000004E-3</v>
      </c>
      <c r="O805">
        <v>1.649392E-3</v>
      </c>
      <c r="P805">
        <v>0.98735079999999997</v>
      </c>
      <c r="Q805">
        <v>0.1578214</v>
      </c>
      <c r="R805">
        <v>-1.519096E-2</v>
      </c>
      <c r="S805">
        <v>3.1640630000000001</v>
      </c>
      <c r="T805">
        <v>-0.79790380000000005</v>
      </c>
      <c r="U805">
        <v>-0.1493835</v>
      </c>
      <c r="V805">
        <v>1.6791549999999999E-2</v>
      </c>
      <c r="W805">
        <v>0.162945799999999</v>
      </c>
      <c r="X805">
        <v>0.98649209999999998</v>
      </c>
      <c r="Y805">
        <v>4.7250710000000001E-2</v>
      </c>
      <c r="Z805">
        <v>-6.3883150000000003E-3</v>
      </c>
      <c r="AA805">
        <v>0.99886260000000004</v>
      </c>
      <c r="AB805">
        <v>28</v>
      </c>
      <c r="AC805">
        <v>0.65280000000001304</v>
      </c>
      <c r="AD805">
        <v>-0.20385829999999899</v>
      </c>
      <c r="AE805">
        <v>-3.8599999999973898E-2</v>
      </c>
      <c r="AF805">
        <v>3.61623928523876E-2</v>
      </c>
      <c r="AG805">
        <v>-0.20385829999999899</v>
      </c>
      <c r="AH805">
        <v>0.59492055700528901</v>
      </c>
      <c r="AI805">
        <v>108.882403567534</v>
      </c>
      <c r="AJ805">
        <v>86.521541814471504</v>
      </c>
      <c r="AK805">
        <v>0.629917767873858</v>
      </c>
      <c r="AL805">
        <v>80.622077229062299</v>
      </c>
      <c r="AM805">
        <v>89.024835528347893</v>
      </c>
      <c r="AN805">
        <v>0.99999997662572504</v>
      </c>
    </row>
    <row r="806" spans="1:40" x14ac:dyDescent="0.25">
      <c r="A806" t="str">
        <f>"20190303162227821"</f>
        <v>20190303162227821</v>
      </c>
      <c r="B806" t="str">
        <f>"1551601347815241"</f>
        <v>1551601347815241</v>
      </c>
      <c r="C806" t="s">
        <v>40</v>
      </c>
      <c r="D806">
        <v>4.947514</v>
      </c>
      <c r="E806">
        <v>0.51288409999999995</v>
      </c>
      <c r="F806" t="s">
        <v>42</v>
      </c>
      <c r="G806">
        <v>-324.09500000000003</v>
      </c>
      <c r="H806">
        <v>0.89423759999999997</v>
      </c>
      <c r="I806">
        <v>366.70859999999999</v>
      </c>
      <c r="J806">
        <v>-324.77109999999999</v>
      </c>
      <c r="K806">
        <v>1.1198570000000001</v>
      </c>
      <c r="L806">
        <v>366.7509</v>
      </c>
      <c r="M806">
        <v>0.99998489999999995</v>
      </c>
      <c r="N806">
        <v>-5.2245879999999996E-3</v>
      </c>
      <c r="O806">
        <v>1.736921E-3</v>
      </c>
      <c r="P806">
        <v>0.98740050000000001</v>
      </c>
      <c r="Q806">
        <v>0.15748909999999999</v>
      </c>
      <c r="R806">
        <v>-1.541152E-2</v>
      </c>
      <c r="S806">
        <v>3.163818</v>
      </c>
      <c r="T806">
        <v>-0.79856050000000001</v>
      </c>
      <c r="U806">
        <v>-0.1477966</v>
      </c>
      <c r="V806">
        <v>1.7098809999999999E-2</v>
      </c>
      <c r="W806">
        <v>0.1626485</v>
      </c>
      <c r="X806">
        <v>0.98653590000000002</v>
      </c>
      <c r="Y806">
        <v>4.6849080000000001E-2</v>
      </c>
      <c r="Z806">
        <v>-6.3649989999999997E-3</v>
      </c>
      <c r="AA806">
        <v>0.99888169999999998</v>
      </c>
      <c r="AB806">
        <v>28</v>
      </c>
      <c r="AC806">
        <v>0.67609999999996195</v>
      </c>
      <c r="AD806">
        <v>-0.225619399999999</v>
      </c>
      <c r="AE806">
        <v>-4.2300000000011502E-2</v>
      </c>
      <c r="AF806">
        <v>3.9133366651321402E-2</v>
      </c>
      <c r="AG806">
        <v>-0.225619399999999</v>
      </c>
      <c r="AH806">
        <v>0.60852419736302898</v>
      </c>
      <c r="AI806">
        <v>110.304502949487</v>
      </c>
      <c r="AJ806">
        <v>86.320452847560105</v>
      </c>
      <c r="AK806">
        <v>0.650182461173896</v>
      </c>
      <c r="AL806">
        <v>80.639341732724802</v>
      </c>
      <c r="AM806">
        <v>89.007039110876704</v>
      </c>
      <c r="AN806">
        <v>0.99999999292223796</v>
      </c>
    </row>
    <row r="807" spans="1:40" x14ac:dyDescent="0.25">
      <c r="A807" t="str">
        <f>"20190303162227833"</f>
        <v>20190303162227833</v>
      </c>
      <c r="B807" t="str">
        <f>"1551601347825001"</f>
        <v>1551601347825001</v>
      </c>
      <c r="C807" t="s">
        <v>40</v>
      </c>
      <c r="D807">
        <v>4.9101889999999999</v>
      </c>
      <c r="E807">
        <v>0.51279819999999998</v>
      </c>
      <c r="F807" t="s">
        <v>42</v>
      </c>
      <c r="G807">
        <v>-324.0729</v>
      </c>
      <c r="H807">
        <v>0.94347479999999995</v>
      </c>
      <c r="I807">
        <v>366.71820000000002</v>
      </c>
      <c r="J807">
        <v>-324.61360000000002</v>
      </c>
      <c r="K807">
        <v>1.1198570000000001</v>
      </c>
      <c r="L807">
        <v>366.75130000000001</v>
      </c>
      <c r="M807">
        <v>0.99998469999999995</v>
      </c>
      <c r="N807">
        <v>-5.2499119999999998E-3</v>
      </c>
      <c r="O807">
        <v>1.8001579999999901E-3</v>
      </c>
      <c r="P807">
        <v>0.98747850000000004</v>
      </c>
      <c r="Q807">
        <v>0.15699279999999999</v>
      </c>
      <c r="R807">
        <v>-1.548304E-2</v>
      </c>
      <c r="S807">
        <v>3.1634220000000002</v>
      </c>
      <c r="T807">
        <v>-0.79906029999999995</v>
      </c>
      <c r="U807">
        <v>-0.14736939999999901</v>
      </c>
      <c r="V807">
        <v>1.7232669999999999E-2</v>
      </c>
      <c r="W807">
        <v>0.1621775</v>
      </c>
      <c r="X807">
        <v>0.98661109999999996</v>
      </c>
      <c r="Y807">
        <v>4.678131E-2</v>
      </c>
      <c r="Z807">
        <v>-6.3769200000000003E-3</v>
      </c>
      <c r="AA807">
        <v>0.99888480000000002</v>
      </c>
      <c r="AB807">
        <v>28</v>
      </c>
      <c r="AC807">
        <v>0.54070000000001495</v>
      </c>
      <c r="AD807">
        <v>-0.17638219999999899</v>
      </c>
      <c r="AE807">
        <v>-3.3099999999990297E-2</v>
      </c>
      <c r="AF807">
        <v>3.0807238355042201E-2</v>
      </c>
      <c r="AG807">
        <v>-0.17638219999999899</v>
      </c>
      <c r="AH807">
        <v>0.48881700942376699</v>
      </c>
      <c r="AI807">
        <v>109.80497945295301</v>
      </c>
      <c r="AJ807">
        <v>86.393756331698299</v>
      </c>
      <c r="AK807">
        <v>0.52057836596798701</v>
      </c>
      <c r="AL807">
        <v>80.666691088409195</v>
      </c>
      <c r="AM807">
        <v>88.999343437957506</v>
      </c>
      <c r="AN807">
        <v>0.99999998453239403</v>
      </c>
    </row>
    <row r="808" spans="1:40" x14ac:dyDescent="0.25">
      <c r="A808" t="str">
        <f>"20190303162227845"</f>
        <v>20190303162227845</v>
      </c>
      <c r="B808" t="str">
        <f>"1551601347834761"</f>
        <v>1551601347834761</v>
      </c>
      <c r="C808" t="s">
        <v>40</v>
      </c>
      <c r="D808">
        <v>4.9184419999999998</v>
      </c>
      <c r="E808">
        <v>0.51280429999999999</v>
      </c>
      <c r="F808" t="s">
        <v>42</v>
      </c>
      <c r="G808">
        <v>-323.8313</v>
      </c>
      <c r="H808">
        <v>0.92160359999999997</v>
      </c>
      <c r="I808">
        <v>366.71469999999999</v>
      </c>
      <c r="J808">
        <v>-324.47559999999999</v>
      </c>
      <c r="K808">
        <v>1.1198570000000001</v>
      </c>
      <c r="L808">
        <v>366.7516</v>
      </c>
      <c r="M808">
        <v>0.9999844</v>
      </c>
      <c r="N808">
        <v>-5.2722359999999996E-3</v>
      </c>
      <c r="O808">
        <v>1.855534E-3</v>
      </c>
      <c r="P808">
        <v>0.98754540000000002</v>
      </c>
      <c r="Q808">
        <v>0.15658849999999999</v>
      </c>
      <c r="R808">
        <v>-1.529757E-2</v>
      </c>
      <c r="S808">
        <v>3.1631770000000001</v>
      </c>
      <c r="T808">
        <v>-0.80175600000000002</v>
      </c>
      <c r="U808">
        <v>-0.146759</v>
      </c>
      <c r="V808">
        <v>1.710221E-2</v>
      </c>
      <c r="W808">
        <v>0.16179540000000001</v>
      </c>
      <c r="X808">
        <v>0.98667609999999994</v>
      </c>
      <c r="Y808">
        <v>4.6640149999999998E-2</v>
      </c>
      <c r="Z808">
        <v>-6.3939419999999997E-3</v>
      </c>
      <c r="AA808">
        <v>0.99889130000000004</v>
      </c>
      <c r="AB808">
        <v>28</v>
      </c>
      <c r="AC808">
        <v>0.64429999999998699</v>
      </c>
      <c r="AD808">
        <v>-0.198253399999999</v>
      </c>
      <c r="AE808">
        <v>-3.6900000000002799E-2</v>
      </c>
      <c r="AF808">
        <v>3.4810353215618303E-2</v>
      </c>
      <c r="AG808">
        <v>-0.198253399999999</v>
      </c>
      <c r="AH808">
        <v>0.58867593344235802</v>
      </c>
      <c r="AI808">
        <v>108.582193061247</v>
      </c>
      <c r="AJ808">
        <v>86.615852056761199</v>
      </c>
      <c r="AK808">
        <v>0.62213786729051301</v>
      </c>
      <c r="AL808">
        <v>80.688876786720996</v>
      </c>
      <c r="AM808">
        <v>89.006982798675807</v>
      </c>
      <c r="AN808">
        <v>0.999999981679626</v>
      </c>
    </row>
    <row r="809" spans="1:40" x14ac:dyDescent="0.25">
      <c r="A809" t="str">
        <f>"20190303162227858"</f>
        <v>20190303162227858</v>
      </c>
      <c r="B809" t="str">
        <f>"1551601347855257"</f>
        <v>1551601347855257</v>
      </c>
      <c r="C809" t="s">
        <v>40</v>
      </c>
      <c r="D809">
        <v>5.0472239999999999</v>
      </c>
      <c r="E809">
        <v>0.51321669999999997</v>
      </c>
      <c r="F809" t="s">
        <v>42</v>
      </c>
      <c r="G809">
        <v>-323.59059999999999</v>
      </c>
      <c r="H809">
        <v>0.89505919999999894</v>
      </c>
      <c r="I809">
        <v>366.71050000000002</v>
      </c>
      <c r="J809">
        <v>-324.30650000000003</v>
      </c>
      <c r="K809">
        <v>1.1198589999999999</v>
      </c>
      <c r="L809">
        <v>366.75200000000001</v>
      </c>
      <c r="M809">
        <v>0.99998430000000005</v>
      </c>
      <c r="N809">
        <v>-5.3006379999999999E-3</v>
      </c>
      <c r="O809">
        <v>1.9235299999999999E-3</v>
      </c>
      <c r="P809">
        <v>0.98763670000000003</v>
      </c>
      <c r="Q809">
        <v>0.15599859999999999</v>
      </c>
      <c r="R809">
        <v>-1.544972E-2</v>
      </c>
      <c r="S809">
        <v>3.1629640000000001</v>
      </c>
      <c r="T809">
        <v>-0.80349389999999998</v>
      </c>
      <c r="U809">
        <v>-0.14617920000000001</v>
      </c>
      <c r="V809">
        <v>1.7321509999999998E-2</v>
      </c>
      <c r="W809">
        <v>0.16123399999999999</v>
      </c>
      <c r="X809">
        <v>0.98676419999999998</v>
      </c>
      <c r="Y809">
        <v>4.6523210000000002E-2</v>
      </c>
      <c r="Z809">
        <v>-6.4099119999999898E-3</v>
      </c>
      <c r="AA809">
        <v>0.99889669999999997</v>
      </c>
      <c r="AB809">
        <v>28</v>
      </c>
      <c r="AC809">
        <v>0.71590000000003295</v>
      </c>
      <c r="AD809">
        <v>-0.22479979999999999</v>
      </c>
      <c r="AE809">
        <v>-4.1499999999928101E-2</v>
      </c>
      <c r="AF809">
        <v>3.9040414591492899E-2</v>
      </c>
      <c r="AG809">
        <v>-0.22479979999999999</v>
      </c>
      <c r="AH809">
        <v>0.65176822717036997</v>
      </c>
      <c r="AI809">
        <v>108.998098271174</v>
      </c>
      <c r="AJ809">
        <v>86.572122688194995</v>
      </c>
      <c r="AK809">
        <v>0.69055117551150602</v>
      </c>
      <c r="AL809">
        <v>80.721470868185605</v>
      </c>
      <c r="AM809">
        <v>88.994341809690297</v>
      </c>
      <c r="AN809">
        <v>1.00000001193316</v>
      </c>
    </row>
    <row r="810" spans="1:40" x14ac:dyDescent="0.25">
      <c r="A810" t="str">
        <f>"20190303162227870"</f>
        <v>20190303162227870</v>
      </c>
      <c r="B810" t="str">
        <f>"1551601347865017"</f>
        <v>1551601347865017</v>
      </c>
      <c r="C810" t="s">
        <v>40</v>
      </c>
      <c r="D810">
        <v>4.9813099999999997</v>
      </c>
      <c r="E810">
        <v>0.51321669999999997</v>
      </c>
      <c r="F810" t="s">
        <v>42</v>
      </c>
      <c r="G810">
        <v>-323.5736</v>
      </c>
      <c r="H810">
        <v>0.93337499999999995</v>
      </c>
      <c r="I810">
        <v>366.71710000000002</v>
      </c>
      <c r="J810">
        <v>-324.15109999999999</v>
      </c>
      <c r="K810">
        <v>1.1198589999999999</v>
      </c>
      <c r="L810">
        <v>366.75229999999999</v>
      </c>
      <c r="M810">
        <v>0.99998399999999998</v>
      </c>
      <c r="N810">
        <v>-5.3276570000000004E-3</v>
      </c>
      <c r="O810">
        <v>1.9859270000000002E-3</v>
      </c>
      <c r="P810">
        <v>0.98767439999999995</v>
      </c>
      <c r="Q810">
        <v>0.1557664</v>
      </c>
      <c r="R810">
        <v>-1.538582E-2</v>
      </c>
      <c r="S810">
        <v>3.1623230000000002</v>
      </c>
      <c r="T810">
        <v>-0.80470200000000003</v>
      </c>
      <c r="U810">
        <v>-0.14984129999999901</v>
      </c>
      <c r="V810">
        <v>1.731926E-2</v>
      </c>
      <c r="W810">
        <v>0.16102929999999999</v>
      </c>
      <c r="X810">
        <v>0.98679760000000005</v>
      </c>
      <c r="Y810">
        <v>4.7703540000000003E-2</v>
      </c>
      <c r="Z810">
        <v>-6.5869889999999997E-3</v>
      </c>
      <c r="AA810">
        <v>0.99883980000000006</v>
      </c>
      <c r="AB810">
        <v>28</v>
      </c>
      <c r="AC810">
        <v>0.57749999999998602</v>
      </c>
      <c r="AD810">
        <v>-0.18648400000000001</v>
      </c>
      <c r="AE810">
        <v>-3.51999999999748E-2</v>
      </c>
      <c r="AF810">
        <v>3.2926160617029E-2</v>
      </c>
      <c r="AG810">
        <v>-0.18648400000000001</v>
      </c>
      <c r="AH810">
        <v>0.52308616788163098</v>
      </c>
      <c r="AI810">
        <v>109.585713497539</v>
      </c>
      <c r="AJ810">
        <v>86.398214171936303</v>
      </c>
      <c r="AK810">
        <v>0.55630886505435795</v>
      </c>
      <c r="AL810">
        <v>80.733354000208607</v>
      </c>
      <c r="AM810">
        <v>88.994506441106097</v>
      </c>
      <c r="AN810">
        <v>0.99999994779559698</v>
      </c>
    </row>
    <row r="811" spans="1:40" x14ac:dyDescent="0.25">
      <c r="A811" t="str">
        <f>"20190303162227888"</f>
        <v>20190303162227888</v>
      </c>
      <c r="B811" t="str">
        <f>"1551601347874778"</f>
        <v>1551601347874778</v>
      </c>
      <c r="C811" t="s">
        <v>40</v>
      </c>
      <c r="D811">
        <v>5.0084419999999996</v>
      </c>
      <c r="E811">
        <v>0.52734419999999904</v>
      </c>
      <c r="F811" t="s">
        <v>42</v>
      </c>
      <c r="G811">
        <v>-323.33030000000002</v>
      </c>
      <c r="H811">
        <v>0.91078530000000002</v>
      </c>
      <c r="I811">
        <v>366.71350000000001</v>
      </c>
      <c r="J811">
        <v>-323.93060000000003</v>
      </c>
      <c r="K811">
        <v>1.1198589999999999</v>
      </c>
      <c r="L811">
        <v>366.75290000000001</v>
      </c>
      <c r="M811">
        <v>0.99998339999999997</v>
      </c>
      <c r="N811">
        <v>-5.3670829999999999E-3</v>
      </c>
      <c r="O811">
        <v>2.0744000000000001E-3</v>
      </c>
      <c r="P811">
        <v>0.9877108</v>
      </c>
      <c r="Q811">
        <v>0.1555164</v>
      </c>
      <c r="R811">
        <v>-1.5561180000000001E-2</v>
      </c>
      <c r="S811">
        <v>3.16214</v>
      </c>
      <c r="T811">
        <v>-0.80549669999999995</v>
      </c>
      <c r="U811">
        <v>-0.14950559999999999</v>
      </c>
      <c r="V811">
        <v>1.7581900000000001E-2</v>
      </c>
      <c r="W811">
        <v>0.1608184</v>
      </c>
      <c r="X811">
        <v>0.98682740000000002</v>
      </c>
      <c r="Y811">
        <v>4.7683280000000001E-2</v>
      </c>
      <c r="Z811">
        <v>-6.6135530000000003E-3</v>
      </c>
      <c r="AA811">
        <v>0.99884059999999997</v>
      </c>
      <c r="AB811">
        <v>28</v>
      </c>
      <c r="AC811">
        <v>0.60030000000000405</v>
      </c>
      <c r="AD811">
        <v>-0.209073699999999</v>
      </c>
      <c r="AE811">
        <v>-3.9400000000000497E-2</v>
      </c>
      <c r="AF811">
        <v>3.6265094755937803E-2</v>
      </c>
      <c r="AG811">
        <v>-0.209073699999999</v>
      </c>
      <c r="AH811">
        <v>0.53553501747588805</v>
      </c>
      <c r="AI811">
        <v>111.28138575444601</v>
      </c>
      <c r="AJ811">
        <v>86.125987226101103</v>
      </c>
      <c r="AK811">
        <v>0.57604229364886705</v>
      </c>
      <c r="AL811">
        <v>80.745597728971404</v>
      </c>
      <c r="AM811">
        <v>88.979292532682194</v>
      </c>
      <c r="AN811">
        <v>0.99999999918846405</v>
      </c>
    </row>
    <row r="812" spans="1:40" x14ac:dyDescent="0.25">
      <c r="A812" t="str">
        <f>"20190303162227910"</f>
        <v>20190303162227910</v>
      </c>
      <c r="B812" t="str">
        <f>"1551601347905033"</f>
        <v>1551601347905033</v>
      </c>
      <c r="C812" t="s">
        <v>40</v>
      </c>
      <c r="D812">
        <v>5.0289799999999998</v>
      </c>
      <c r="E812">
        <v>0.52785709999999997</v>
      </c>
      <c r="F812" t="s">
        <v>42</v>
      </c>
      <c r="G812">
        <v>-323.09609999999998</v>
      </c>
      <c r="H812">
        <v>0.86282049999999999</v>
      </c>
      <c r="I812">
        <v>366.68369999999999</v>
      </c>
      <c r="J812">
        <v>-323.63920000000002</v>
      </c>
      <c r="K812">
        <v>1.1198629999999901</v>
      </c>
      <c r="L812">
        <v>366.75360000000001</v>
      </c>
      <c r="M812">
        <v>0.99998290000000001</v>
      </c>
      <c r="N812">
        <v>-5.4201930000000002E-3</v>
      </c>
      <c r="O812">
        <v>2.19097E-3</v>
      </c>
      <c r="P812">
        <v>0.98778549999999998</v>
      </c>
      <c r="Q812">
        <v>0.1550724</v>
      </c>
      <c r="R812">
        <v>-1.5252369999999999E-2</v>
      </c>
      <c r="S812">
        <v>3.1877749999999998</v>
      </c>
      <c r="T812">
        <v>-0.98190089999999997</v>
      </c>
      <c r="U812">
        <v>-0.26263429999999999</v>
      </c>
      <c r="V812">
        <v>1.7388239999999999E-2</v>
      </c>
      <c r="W812">
        <v>0.16042729999999999</v>
      </c>
      <c r="X812">
        <v>0.98689450000000001</v>
      </c>
      <c r="Y812">
        <v>8.0422939999999998E-2</v>
      </c>
      <c r="Z812">
        <v>-1.2956489999999999E-2</v>
      </c>
      <c r="AA812">
        <v>0.99667660000000002</v>
      </c>
      <c r="AB812">
        <v>28</v>
      </c>
      <c r="AC812">
        <v>0.543100000000038</v>
      </c>
      <c r="AD812">
        <v>-0.25704249999999901</v>
      </c>
      <c r="AE812">
        <v>-6.9900000000018198E-2</v>
      </c>
      <c r="AF812">
        <v>5.82535389347838E-2</v>
      </c>
      <c r="AG812">
        <v>-0.25704249999999901</v>
      </c>
      <c r="AH812">
        <v>0.44490932323018401</v>
      </c>
      <c r="AI812">
        <v>119.806316889708</v>
      </c>
      <c r="AJ812">
        <v>82.540496922564998</v>
      </c>
      <c r="AK812">
        <v>0.51711568096685701</v>
      </c>
      <c r="AL812">
        <v>80.768301007093498</v>
      </c>
      <c r="AM812">
        <v>88.990601637841493</v>
      </c>
      <c r="AN812">
        <v>1.00000001180291</v>
      </c>
    </row>
    <row r="813" spans="1:40" x14ac:dyDescent="0.25">
      <c r="A813" t="str">
        <f>"20190303162227933"</f>
        <v>20190303162227933</v>
      </c>
      <c r="B813" t="str">
        <f>"1551601347924553"</f>
        <v>1551601347924553</v>
      </c>
      <c r="C813" t="s">
        <v>40</v>
      </c>
      <c r="D813">
        <v>5.0278879999999999</v>
      </c>
      <c r="E813">
        <v>0.52776269999999903</v>
      </c>
      <c r="F813" t="s">
        <v>42</v>
      </c>
      <c r="G813">
        <v>-322.8408</v>
      </c>
      <c r="H813">
        <v>0.86307060000000002</v>
      </c>
      <c r="I813">
        <v>366.68689999999998</v>
      </c>
      <c r="J813">
        <v>-323.35399999999998</v>
      </c>
      <c r="K813">
        <v>1.119866</v>
      </c>
      <c r="L813">
        <v>366.7543</v>
      </c>
      <c r="M813">
        <v>0.99998240000000005</v>
      </c>
      <c r="N813">
        <v>-5.4719060000000003E-3</v>
      </c>
      <c r="O813">
        <v>2.304206E-3</v>
      </c>
      <c r="P813">
        <v>0.98778710000000003</v>
      </c>
      <c r="Q813">
        <v>0.15508139999999901</v>
      </c>
      <c r="R813">
        <v>-1.504668E-2</v>
      </c>
      <c r="S813">
        <v>3.1942750000000002</v>
      </c>
      <c r="T813">
        <v>-1.0274700000000001</v>
      </c>
      <c r="U813">
        <v>-0.26614379999999999</v>
      </c>
      <c r="V813">
        <v>1.729412E-2</v>
      </c>
      <c r="W813">
        <v>0.16048709999999999</v>
      </c>
      <c r="X813">
        <v>0.98688640000000005</v>
      </c>
      <c r="Y813">
        <v>8.1078899999999995E-2</v>
      </c>
      <c r="Z813">
        <v>-1.363583E-2</v>
      </c>
      <c r="AA813">
        <v>0.99661440000000001</v>
      </c>
      <c r="AB813">
        <v>28</v>
      </c>
      <c r="AC813">
        <v>0.51320000000003996</v>
      </c>
      <c r="AD813">
        <v>-0.25679539999999901</v>
      </c>
      <c r="AE813">
        <v>-6.7400000000020499E-2</v>
      </c>
      <c r="AF813">
        <v>5.5036036417677799E-2</v>
      </c>
      <c r="AG813">
        <v>-0.25679539999999901</v>
      </c>
      <c r="AH813">
        <v>0.41170750931582301</v>
      </c>
      <c r="AI813">
        <v>121.725735226829</v>
      </c>
      <c r="AJ813">
        <v>82.385981851481404</v>
      </c>
      <c r="AK813">
        <v>0.48833995944706998</v>
      </c>
      <c r="AL813">
        <v>80.764829456342795</v>
      </c>
      <c r="AM813">
        <v>88.996056004009304</v>
      </c>
      <c r="AN813">
        <v>0.99999998117897204</v>
      </c>
    </row>
    <row r="814" spans="1:40" x14ac:dyDescent="0.25">
      <c r="A814" t="str">
        <f>"20190303162227953"</f>
        <v>20190303162227953</v>
      </c>
      <c r="B814" t="str">
        <f>"1551601347945051"</f>
        <v>1551601347945051</v>
      </c>
      <c r="C814" t="s">
        <v>40</v>
      </c>
      <c r="D814">
        <v>5.043145</v>
      </c>
      <c r="E814">
        <v>0.52753689999999998</v>
      </c>
      <c r="F814" t="s">
        <v>42</v>
      </c>
      <c r="G814">
        <v>-322.58170000000001</v>
      </c>
      <c r="H814">
        <v>0.8706912</v>
      </c>
      <c r="I814">
        <v>366.6902</v>
      </c>
      <c r="J814">
        <v>-323.08839999999998</v>
      </c>
      <c r="K814">
        <v>1.1198600000000001</v>
      </c>
      <c r="L814">
        <v>366.755</v>
      </c>
      <c r="M814">
        <v>0.99998189999999998</v>
      </c>
      <c r="N814">
        <v>-5.5193639999999997E-3</v>
      </c>
      <c r="O814">
        <v>2.4091690000000001E-3</v>
      </c>
      <c r="P814">
        <v>0.98779680000000003</v>
      </c>
      <c r="Q814">
        <v>0.1550414</v>
      </c>
      <c r="R814">
        <v>-1.482497E-2</v>
      </c>
      <c r="S814">
        <v>3.1949160000000001</v>
      </c>
      <c r="T814">
        <v>-1.030864</v>
      </c>
      <c r="U814">
        <v>-0.2638855</v>
      </c>
      <c r="V814">
        <v>1.717577E-2</v>
      </c>
      <c r="W814">
        <v>0.1604942</v>
      </c>
      <c r="X814">
        <v>0.98688730000000002</v>
      </c>
      <c r="Y814">
        <v>8.0467109999999994E-2</v>
      </c>
      <c r="Z814">
        <v>-1.3612290000000001E-2</v>
      </c>
      <c r="AA814">
        <v>0.99666429999999995</v>
      </c>
      <c r="AB814">
        <v>29</v>
      </c>
      <c r="AC814">
        <v>0.50669999999996596</v>
      </c>
      <c r="AD814">
        <v>-0.2491688</v>
      </c>
      <c r="AE814">
        <v>-6.4799999999991004E-2</v>
      </c>
      <c r="AF814">
        <v>5.3331627626011402E-2</v>
      </c>
      <c r="AG814">
        <v>-0.2491688</v>
      </c>
      <c r="AH814">
        <v>0.40918666559535699</v>
      </c>
      <c r="AI814">
        <v>121.124822439471</v>
      </c>
      <c r="AJ814">
        <v>82.574174540859303</v>
      </c>
      <c r="AK814">
        <v>0.482040538440209</v>
      </c>
      <c r="AL814">
        <v>80.764417201359805</v>
      </c>
      <c r="AM814">
        <v>89.002925877978896</v>
      </c>
      <c r="AN814">
        <v>0.99999996910501099</v>
      </c>
    </row>
    <row r="815" spans="1:40" x14ac:dyDescent="0.25">
      <c r="A815" t="str">
        <f>"20190303162227966"</f>
        <v>20190303162227966</v>
      </c>
      <c r="B815" t="str">
        <f>"1551601347954810"</f>
        <v>1551601347954810</v>
      </c>
      <c r="C815" t="s">
        <v>40</v>
      </c>
      <c r="D815">
        <v>5.0665009999999997</v>
      </c>
      <c r="E815">
        <v>0.52740089999999995</v>
      </c>
      <c r="F815" t="s">
        <v>42</v>
      </c>
      <c r="G815">
        <v>-322.32369999999997</v>
      </c>
      <c r="H815">
        <v>0.87323019999999996</v>
      </c>
      <c r="I815">
        <v>366.6927</v>
      </c>
      <c r="J815">
        <v>-322.92910000000001</v>
      </c>
      <c r="K815">
        <v>1.1198619999999999</v>
      </c>
      <c r="L815">
        <v>366.75549999999998</v>
      </c>
      <c r="M815">
        <v>0.99998160000000003</v>
      </c>
      <c r="N815">
        <v>-5.5475309999999996E-3</v>
      </c>
      <c r="O815">
        <v>2.4722170000000001E-3</v>
      </c>
      <c r="P815">
        <v>0.98782859999999995</v>
      </c>
      <c r="Q815">
        <v>0.15483849999999999</v>
      </c>
      <c r="R815">
        <v>-1.4842380000000001E-2</v>
      </c>
      <c r="S815">
        <v>3.1948850000000002</v>
      </c>
      <c r="T815">
        <v>-1.03034</v>
      </c>
      <c r="U815">
        <v>-0.2597351</v>
      </c>
      <c r="V815">
        <v>1.7255139999999999E-2</v>
      </c>
      <c r="W815">
        <v>0.16031909999999999</v>
      </c>
      <c r="X815">
        <v>0.98691439999999997</v>
      </c>
      <c r="Y815">
        <v>7.9304349999999996E-2</v>
      </c>
      <c r="Z815">
        <v>-1.344125E-2</v>
      </c>
      <c r="AA815">
        <v>0.99675979999999997</v>
      </c>
      <c r="AB815">
        <v>29</v>
      </c>
      <c r="AC815">
        <v>0.60540000000003102</v>
      </c>
      <c r="AD815">
        <v>-0.24663180000000001</v>
      </c>
      <c r="AE815">
        <v>-6.2799999999981496E-2</v>
      </c>
      <c r="AF815">
        <v>5.5228208941377303E-2</v>
      </c>
      <c r="AG815">
        <v>-0.24663180000000001</v>
      </c>
      <c r="AH815">
        <v>0.51988016582946805</v>
      </c>
      <c r="AI815">
        <v>115.255445230977</v>
      </c>
      <c r="AJ815">
        <v>83.936064764882005</v>
      </c>
      <c r="AK815">
        <v>0.57805950096593695</v>
      </c>
      <c r="AL815">
        <v>80.774581532739205</v>
      </c>
      <c r="AM815">
        <v>88.998346790434695</v>
      </c>
      <c r="AN815">
        <v>0.99999999330429401</v>
      </c>
    </row>
    <row r="816" spans="1:40" x14ac:dyDescent="0.25">
      <c r="A816" t="str">
        <f>"20190303162227978"</f>
        <v>20190303162227978</v>
      </c>
      <c r="B816" t="str">
        <f>"1551601347965546"</f>
        <v>1551601347965546</v>
      </c>
      <c r="C816" t="s">
        <v>40</v>
      </c>
      <c r="D816">
        <v>5.0732080000000002</v>
      </c>
      <c r="E816">
        <v>0.52725119999999903</v>
      </c>
      <c r="F816" t="s">
        <v>42</v>
      </c>
      <c r="G816">
        <v>-322.07659999999998</v>
      </c>
      <c r="H816">
        <v>0.84509809999999996</v>
      </c>
      <c r="I816">
        <v>366.68619999999999</v>
      </c>
      <c r="J816">
        <v>-322.76620000000003</v>
      </c>
      <c r="K816">
        <v>1.119864</v>
      </c>
      <c r="L816">
        <v>366.7559</v>
      </c>
      <c r="M816">
        <v>0.99998129999999996</v>
      </c>
      <c r="N816">
        <v>-5.5759599999999996E-3</v>
      </c>
      <c r="O816">
        <v>2.536932E-3</v>
      </c>
      <c r="P816">
        <v>0.98788200000000004</v>
      </c>
      <c r="Q816">
        <v>0.15446869999999999</v>
      </c>
      <c r="R816">
        <v>-1.5130970000000001E-2</v>
      </c>
      <c r="S816">
        <v>3.1944270000000001</v>
      </c>
      <c r="T816">
        <v>-1.029574</v>
      </c>
      <c r="U816">
        <v>-0.25802609999999998</v>
      </c>
      <c r="V816">
        <v>1.7607899999999999E-2</v>
      </c>
      <c r="W816">
        <v>0.15997790000000001</v>
      </c>
      <c r="X816">
        <v>0.98696360000000005</v>
      </c>
      <c r="Y816">
        <v>7.8873830000000006E-2</v>
      </c>
      <c r="Z816">
        <v>-1.3386199999999999E-2</v>
      </c>
      <c r="AA816">
        <v>0.99679470000000003</v>
      </c>
      <c r="AB816">
        <v>29</v>
      </c>
      <c r="AC816">
        <v>0.68960000000004096</v>
      </c>
      <c r="AD816">
        <v>-0.27476590000000001</v>
      </c>
      <c r="AE816">
        <v>-6.97000000000116E-2</v>
      </c>
      <c r="AF816">
        <v>6.1745851681695003E-2</v>
      </c>
      <c r="AG816">
        <v>-0.27476590000000001</v>
      </c>
      <c r="AH816">
        <v>0.59579171789474095</v>
      </c>
      <c r="AI816">
        <v>114.641912971593</v>
      </c>
      <c r="AJ816">
        <v>84.083180904903998</v>
      </c>
      <c r="AK816">
        <v>0.65899667762036096</v>
      </c>
      <c r="AL816">
        <v>80.794387069799299</v>
      </c>
      <c r="AM816">
        <v>88.977924472073397</v>
      </c>
      <c r="AN816">
        <v>1.00000005717788</v>
      </c>
    </row>
    <row r="817" spans="1:40" x14ac:dyDescent="0.25">
      <c r="A817" t="str">
        <f>"20190303162227991"</f>
        <v>20190303162227991</v>
      </c>
      <c r="B817" t="str">
        <f>"1551601347986041"</f>
        <v>1551601347986041</v>
      </c>
      <c r="C817" t="s">
        <v>40</v>
      </c>
      <c r="D817">
        <v>5.0602970000000003</v>
      </c>
      <c r="E817">
        <v>0.52707479999999995</v>
      </c>
      <c r="F817" t="s">
        <v>42</v>
      </c>
      <c r="G817">
        <v>-322.05860000000001</v>
      </c>
      <c r="H817">
        <v>0.8915322</v>
      </c>
      <c r="I817">
        <v>366.69850000000002</v>
      </c>
      <c r="J817">
        <v>-322.60430000000002</v>
      </c>
      <c r="K817">
        <v>1.1198650000000001</v>
      </c>
      <c r="L817">
        <v>366.75639999999999</v>
      </c>
      <c r="M817">
        <v>0.99998100000000001</v>
      </c>
      <c r="N817">
        <v>-5.6037070000000003E-3</v>
      </c>
      <c r="O817">
        <v>2.6012309999999999E-3</v>
      </c>
      <c r="P817">
        <v>0.98786870000000004</v>
      </c>
      <c r="Q817">
        <v>0.15452460000000001</v>
      </c>
      <c r="R817">
        <v>-1.5417210000000001E-2</v>
      </c>
      <c r="S817">
        <v>3.1940309999999998</v>
      </c>
      <c r="T817">
        <v>-1.0307029999999999</v>
      </c>
      <c r="U817">
        <v>-0.25772089999999998</v>
      </c>
      <c r="V817">
        <v>1.7957520000000001E-2</v>
      </c>
      <c r="W817">
        <v>0.16006119999999999</v>
      </c>
      <c r="X817">
        <v>0.98694369999999998</v>
      </c>
      <c r="Y817">
        <v>7.8841510000000004E-2</v>
      </c>
      <c r="Z817">
        <v>-1.341729E-2</v>
      </c>
      <c r="AA817">
        <v>0.99679680000000004</v>
      </c>
      <c r="AB817">
        <v>29</v>
      </c>
      <c r="AC817">
        <v>0.54570000000000995</v>
      </c>
      <c r="AD817">
        <v>-0.228332799999999</v>
      </c>
      <c r="AE817">
        <v>-5.7899999999960899E-2</v>
      </c>
      <c r="AF817">
        <v>5.0565093603071098E-2</v>
      </c>
      <c r="AG817">
        <v>-0.228332799999999</v>
      </c>
      <c r="AH817">
        <v>0.46503674259391098</v>
      </c>
      <c r="AI817">
        <v>116.018041136555</v>
      </c>
      <c r="AJ817">
        <v>83.794406356379696</v>
      </c>
      <c r="AK817">
        <v>0.52053037203345098</v>
      </c>
      <c r="AL817">
        <v>80.789551157317106</v>
      </c>
      <c r="AM817">
        <v>88.957613704519602</v>
      </c>
      <c r="AN817">
        <v>0.99999996361983901</v>
      </c>
    </row>
    <row r="818" spans="1:40" x14ac:dyDescent="0.25">
      <c r="A818" t="str">
        <f>"20190303162228003"</f>
        <v>20190303162228003</v>
      </c>
      <c r="B818" t="str">
        <f>"1551601347994826"</f>
        <v>1551601347994826</v>
      </c>
      <c r="C818" t="s">
        <v>40</v>
      </c>
      <c r="D818">
        <v>5.0874259999999998</v>
      </c>
      <c r="E818">
        <v>0.52697519999999998</v>
      </c>
      <c r="F818" t="s">
        <v>42</v>
      </c>
      <c r="G818">
        <v>-321.81060000000002</v>
      </c>
      <c r="H818">
        <v>0.86360339999999902</v>
      </c>
      <c r="I818">
        <v>366.69240000000002</v>
      </c>
      <c r="J818">
        <v>-322.44060000000002</v>
      </c>
      <c r="K818">
        <v>1.119866</v>
      </c>
      <c r="L818">
        <v>366.75689999999997</v>
      </c>
      <c r="M818">
        <v>0.99998069999999895</v>
      </c>
      <c r="N818">
        <v>-5.631428E-3</v>
      </c>
      <c r="O818">
        <v>2.666126E-3</v>
      </c>
      <c r="P818">
        <v>0.98788419999999999</v>
      </c>
      <c r="Q818">
        <v>0.15438750000000001</v>
      </c>
      <c r="R818">
        <v>-1.5794559999999999E-2</v>
      </c>
      <c r="S818">
        <v>3.194153</v>
      </c>
      <c r="T818">
        <v>-1.031315</v>
      </c>
      <c r="U818">
        <v>-0.25695800000000002</v>
      </c>
      <c r="V818">
        <v>1.8398930000000001E-2</v>
      </c>
      <c r="W818">
        <v>0.1599515</v>
      </c>
      <c r="X818">
        <v>0.98695339999999998</v>
      </c>
      <c r="Y818">
        <v>7.8667429999999997E-2</v>
      </c>
      <c r="Z818">
        <v>-1.341763E-2</v>
      </c>
      <c r="AA818">
        <v>0.99681059999999999</v>
      </c>
      <c r="AB818">
        <v>29</v>
      </c>
      <c r="AC818">
        <v>0.62999999999999501</v>
      </c>
      <c r="AD818">
        <v>-0.25626260000000001</v>
      </c>
      <c r="AE818">
        <v>-6.4499999999952706E-2</v>
      </c>
      <c r="AF818">
        <v>5.6867794235671398E-2</v>
      </c>
      <c r="AG818">
        <v>-0.25626260000000001</v>
      </c>
      <c r="AH818">
        <v>0.541207278685923</v>
      </c>
      <c r="AI818">
        <v>115.216180413556</v>
      </c>
      <c r="AJ818">
        <v>84.001610747653302</v>
      </c>
      <c r="AK818">
        <v>0.60150626321145995</v>
      </c>
      <c r="AL818">
        <v>80.795918957553496</v>
      </c>
      <c r="AM818">
        <v>88.932007385253499</v>
      </c>
      <c r="AN818">
        <v>1.00000000837447</v>
      </c>
    </row>
    <row r="819" spans="1:40" x14ac:dyDescent="0.25">
      <c r="A819" t="str">
        <f>"20190303162228015"</f>
        <v>20190303162228015</v>
      </c>
      <c r="B819" t="str">
        <f>"1551601348005561"</f>
        <v>1551601348005561</v>
      </c>
      <c r="C819" t="s">
        <v>40</v>
      </c>
      <c r="D819">
        <v>5.0802209999999999</v>
      </c>
      <c r="E819">
        <v>0.52695740000000002</v>
      </c>
      <c r="F819" t="s">
        <v>42</v>
      </c>
      <c r="G819">
        <v>-321.5616</v>
      </c>
      <c r="H819">
        <v>0.83590689999999901</v>
      </c>
      <c r="I819">
        <v>366.68599999999998</v>
      </c>
      <c r="J819">
        <v>-322.28280000000001</v>
      </c>
      <c r="K819">
        <v>1.1198699999999999</v>
      </c>
      <c r="L819">
        <v>366.75740000000002</v>
      </c>
      <c r="M819">
        <v>0.99998030000000004</v>
      </c>
      <c r="N819">
        <v>-5.6575610000000002E-3</v>
      </c>
      <c r="O819">
        <v>2.7289979999999998E-3</v>
      </c>
      <c r="P819">
        <v>0.98784139999999998</v>
      </c>
      <c r="Q819">
        <v>0.1546141</v>
      </c>
      <c r="R819">
        <v>-1.6250870000000001E-2</v>
      </c>
      <c r="S819">
        <v>3.1939700000000002</v>
      </c>
      <c r="T819">
        <v>-1.031827</v>
      </c>
      <c r="U819">
        <v>-0.25665280000000001</v>
      </c>
      <c r="V819">
        <v>1.8917070000000001E-2</v>
      </c>
      <c r="W819">
        <v>0.16020379999999901</v>
      </c>
      <c r="X819">
        <v>0.98690270000000002</v>
      </c>
      <c r="Y819">
        <v>7.8633839999999997E-2</v>
      </c>
      <c r="Z819">
        <v>-1.3439690000000001E-2</v>
      </c>
      <c r="AA819">
        <v>0.9968129</v>
      </c>
      <c r="AB819">
        <v>29</v>
      </c>
      <c r="AC819">
        <v>0.72120000000001006</v>
      </c>
      <c r="AD819">
        <v>-0.28396310000000002</v>
      </c>
      <c r="AE819">
        <v>-7.1400000000039598E-2</v>
      </c>
      <c r="AF819">
        <v>6.3603284534420795E-2</v>
      </c>
      <c r="AG819">
        <v>-0.28396310000000002</v>
      </c>
      <c r="AH819">
        <v>0.62504327966959305</v>
      </c>
      <c r="AI819">
        <v>114.32180201436</v>
      </c>
      <c r="AJ819">
        <v>84.189683787128899</v>
      </c>
      <c r="AK819">
        <v>0.68946321252500398</v>
      </c>
      <c r="AL819">
        <v>80.781274547724195</v>
      </c>
      <c r="AM819">
        <v>88.901882062752705</v>
      </c>
      <c r="AN819">
        <v>1.0000000261695501</v>
      </c>
    </row>
    <row r="820" spans="1:40" x14ac:dyDescent="0.25">
      <c r="A820" t="str">
        <f>"20190303162228032"</f>
        <v>20190303162228032</v>
      </c>
      <c r="B820" t="str">
        <f>"1551601348025081"</f>
        <v>1551601348025081</v>
      </c>
      <c r="C820" t="s">
        <v>40</v>
      </c>
      <c r="D820">
        <v>5.1179730000000001</v>
      </c>
      <c r="E820">
        <v>0.52732290000000004</v>
      </c>
      <c r="F820" t="s">
        <v>42</v>
      </c>
      <c r="G820">
        <v>-321.54399999999998</v>
      </c>
      <c r="H820">
        <v>0.88141389999999997</v>
      </c>
      <c r="I820">
        <v>366.69740000000002</v>
      </c>
      <c r="J820">
        <v>-322.0634</v>
      </c>
      <c r="K820">
        <v>1.1198680000000001</v>
      </c>
      <c r="L820">
        <v>366.75799999999998</v>
      </c>
      <c r="M820">
        <v>0.99997990000000003</v>
      </c>
      <c r="N820">
        <v>-5.6931999999999998E-3</v>
      </c>
      <c r="O820">
        <v>2.8164599999999998E-3</v>
      </c>
      <c r="P820">
        <v>0.98780290000000004</v>
      </c>
      <c r="Q820">
        <v>0.15478039999999901</v>
      </c>
      <c r="R820">
        <v>-1.6994169999999999E-2</v>
      </c>
      <c r="S820">
        <v>3.1940309999999998</v>
      </c>
      <c r="T820">
        <v>-1.0308630000000001</v>
      </c>
      <c r="U820">
        <v>-0.25787349999999998</v>
      </c>
      <c r="V820">
        <v>1.9746590000000001E-2</v>
      </c>
      <c r="W820">
        <v>0.1604052</v>
      </c>
      <c r="X820">
        <v>0.98685369999999994</v>
      </c>
      <c r="Y820">
        <v>7.9078289999999996E-2</v>
      </c>
      <c r="Z820">
        <v>-1.3526969999999999E-2</v>
      </c>
      <c r="AA820">
        <v>0.99677660000000001</v>
      </c>
      <c r="AB820">
        <v>29</v>
      </c>
      <c r="AC820">
        <v>0.519399999999961</v>
      </c>
      <c r="AD820">
        <v>-0.2384541</v>
      </c>
      <c r="AE820">
        <v>-6.0600000000022101E-2</v>
      </c>
      <c r="AF820">
        <v>5.1379008461586897E-2</v>
      </c>
      <c r="AG820">
        <v>-0.2384541</v>
      </c>
      <c r="AH820">
        <v>0.42984598086519199</v>
      </c>
      <c r="AI820">
        <v>118.84695045384299</v>
      </c>
      <c r="AJ820">
        <v>83.183838098929201</v>
      </c>
      <c r="AK820">
        <v>0.49423448643661499</v>
      </c>
      <c r="AL820">
        <v>80.769583660027706</v>
      </c>
      <c r="AM820">
        <v>88.853684893003901</v>
      </c>
      <c r="AN820">
        <v>0.99999999060367895</v>
      </c>
    </row>
    <row r="821" spans="1:40" x14ac:dyDescent="0.25">
      <c r="A821" t="str">
        <f>"20190303162228045"</f>
        <v>20190303162228045</v>
      </c>
      <c r="B821" t="str">
        <f>"1551601348034842"</f>
        <v>1551601348034842</v>
      </c>
      <c r="C821" t="s">
        <v>40</v>
      </c>
      <c r="D821">
        <v>5.1034990000000002</v>
      </c>
      <c r="E821">
        <v>0.52749460000000004</v>
      </c>
      <c r="F821" t="s">
        <v>42</v>
      </c>
      <c r="G821">
        <v>-321.28809999999999</v>
      </c>
      <c r="H821">
        <v>0.86902979999999996</v>
      </c>
      <c r="I821">
        <v>366.69420000000002</v>
      </c>
      <c r="J821">
        <v>-321.90809999999999</v>
      </c>
      <c r="K821">
        <v>1.1198699999999999</v>
      </c>
      <c r="L821">
        <v>366.75850000000003</v>
      </c>
      <c r="M821">
        <v>0.99997959999999997</v>
      </c>
      <c r="N821">
        <v>-5.7180019999999998E-3</v>
      </c>
      <c r="O821">
        <v>2.878322E-3</v>
      </c>
      <c r="P821">
        <v>0.9877804</v>
      </c>
      <c r="Q821">
        <v>0.15487699999999999</v>
      </c>
      <c r="R821">
        <v>-1.7422590000000002E-2</v>
      </c>
      <c r="S821">
        <v>3.1944889999999999</v>
      </c>
      <c r="T821">
        <v>-1.0335970000000001</v>
      </c>
      <c r="U821">
        <v>-0.26318360000000002</v>
      </c>
      <c r="V821">
        <v>2.0235860000000001E-2</v>
      </c>
      <c r="W821">
        <v>0.16052620000000001</v>
      </c>
      <c r="X821">
        <v>0.98682420000000004</v>
      </c>
      <c r="Y821">
        <v>8.0669050000000006E-2</v>
      </c>
      <c r="Z821">
        <v>-1.383327E-2</v>
      </c>
      <c r="AA821">
        <v>0.996645</v>
      </c>
      <c r="AB821">
        <v>29</v>
      </c>
      <c r="AC821">
        <v>0.62000000000000399</v>
      </c>
      <c r="AD821">
        <v>-0.25084020000000001</v>
      </c>
      <c r="AE821">
        <v>-6.4300000000002897E-2</v>
      </c>
      <c r="AF821">
        <v>5.6873933452305403E-2</v>
      </c>
      <c r="AG821">
        <v>-0.25084020000000001</v>
      </c>
      <c r="AH821">
        <v>0.53342707119261601</v>
      </c>
      <c r="AI821">
        <v>115.060437383631</v>
      </c>
      <c r="AJ821">
        <v>83.914122047639694</v>
      </c>
      <c r="AK821">
        <v>0.59219919834757395</v>
      </c>
      <c r="AL821">
        <v>80.762560650685202</v>
      </c>
      <c r="AM821">
        <v>88.825254892108802</v>
      </c>
      <c r="AN821">
        <v>1.000000076311</v>
      </c>
    </row>
    <row r="822" spans="1:40" x14ac:dyDescent="0.25">
      <c r="A822" t="str">
        <f>"20190303162228066"</f>
        <v>20190303162228066</v>
      </c>
      <c r="B822" t="str">
        <f>"1551601348055338"</f>
        <v>1551601348055338</v>
      </c>
      <c r="C822" t="s">
        <v>40</v>
      </c>
      <c r="D822">
        <v>5.1257619999999999</v>
      </c>
      <c r="E822">
        <v>0.52773789999999998</v>
      </c>
      <c r="F822" t="s">
        <v>42</v>
      </c>
      <c r="G822">
        <v>-321.03859999999997</v>
      </c>
      <c r="H822">
        <v>0.83818689999999996</v>
      </c>
      <c r="I822">
        <v>366.6859</v>
      </c>
      <c r="J822">
        <v>-321.63630000000001</v>
      </c>
      <c r="K822">
        <v>1.119874</v>
      </c>
      <c r="L822">
        <v>366.75940000000003</v>
      </c>
      <c r="M822">
        <v>0.99997910000000001</v>
      </c>
      <c r="N822">
        <v>-5.7605269999999997E-3</v>
      </c>
      <c r="O822">
        <v>2.9866269999999999E-3</v>
      </c>
      <c r="P822">
        <v>0.98777440000000005</v>
      </c>
      <c r="Q822">
        <v>0.1549005</v>
      </c>
      <c r="R822">
        <v>-1.755191E-2</v>
      </c>
      <c r="S822">
        <v>3.1946720000000002</v>
      </c>
      <c r="T822">
        <v>-1.034856</v>
      </c>
      <c r="U822">
        <v>-0.26571660000000002</v>
      </c>
      <c r="V822">
        <v>2.047189E-2</v>
      </c>
      <c r="W822">
        <v>0.1605916</v>
      </c>
      <c r="X822">
        <v>0.98680860000000004</v>
      </c>
      <c r="Y822">
        <v>8.1498890000000004E-2</v>
      </c>
      <c r="Z822">
        <v>-1.401641E-2</v>
      </c>
      <c r="AA822">
        <v>0.99657490000000004</v>
      </c>
      <c r="AB822">
        <v>29</v>
      </c>
      <c r="AC822">
        <v>0.59770000000003098</v>
      </c>
      <c r="AD822">
        <v>-0.28168710000000002</v>
      </c>
      <c r="AE822">
        <v>-7.3500000000024102E-2</v>
      </c>
      <c r="AF822">
        <v>6.1769568821527697E-2</v>
      </c>
      <c r="AG822">
        <v>-0.28168710000000002</v>
      </c>
      <c r="AH822">
        <v>0.490217716718029</v>
      </c>
      <c r="AI822">
        <v>119.68782384221301</v>
      </c>
      <c r="AJ822">
        <v>82.818330496290997</v>
      </c>
      <c r="AK822">
        <v>0.56874995536091699</v>
      </c>
      <c r="AL822">
        <v>80.758763417714306</v>
      </c>
      <c r="AM822">
        <v>88.811537852357304</v>
      </c>
      <c r="AN822">
        <v>0.99999998665234602</v>
      </c>
    </row>
    <row r="823" spans="1:40" x14ac:dyDescent="0.25">
      <c r="A823" t="str">
        <f>"20190303162228077"</f>
        <v>20190303162228077</v>
      </c>
      <c r="B823" t="str">
        <f>"1551601348065098"</f>
        <v>1551601348065098</v>
      </c>
      <c r="C823" t="s">
        <v>40</v>
      </c>
      <c r="D823">
        <v>5.0976599999999896</v>
      </c>
      <c r="E823">
        <v>0.52784500000000001</v>
      </c>
      <c r="F823" t="s">
        <v>42</v>
      </c>
      <c r="G823">
        <v>-320.77539999999999</v>
      </c>
      <c r="H823">
        <v>0.84033099999999905</v>
      </c>
      <c r="I823">
        <v>366.68720000000002</v>
      </c>
      <c r="J823">
        <v>-321.46980000000002</v>
      </c>
      <c r="K823">
        <v>1.1198699999999999</v>
      </c>
      <c r="L823">
        <v>366.75990000000002</v>
      </c>
      <c r="M823">
        <v>0.99997860000000005</v>
      </c>
      <c r="N823">
        <v>-5.7860079999999996E-3</v>
      </c>
      <c r="O823">
        <v>3.0530760000000001E-3</v>
      </c>
      <c r="P823">
        <v>0.98774779999999995</v>
      </c>
      <c r="Q823">
        <v>0.15505260000000001</v>
      </c>
      <c r="R823">
        <v>-1.7685860000000001E-2</v>
      </c>
      <c r="S823">
        <v>3.1950989999999999</v>
      </c>
      <c r="T823">
        <v>-1.0375030000000001</v>
      </c>
      <c r="U823">
        <v>-0.268341099999999</v>
      </c>
      <c r="V823">
        <v>2.0671430000000001E-2</v>
      </c>
      <c r="W823">
        <v>0.160769</v>
      </c>
      <c r="X823">
        <v>0.98677559999999997</v>
      </c>
      <c r="Y823">
        <v>8.2301479999999996E-2</v>
      </c>
      <c r="Z823">
        <v>-1.419867E-2</v>
      </c>
      <c r="AA823">
        <v>0.99650629999999996</v>
      </c>
      <c r="AB823">
        <v>29</v>
      </c>
      <c r="AC823">
        <v>0.69440000000002999</v>
      </c>
      <c r="AD823">
        <v>-0.27953899999999998</v>
      </c>
      <c r="AE823">
        <v>-7.2699999999997503E-2</v>
      </c>
      <c r="AF823">
        <v>6.4483161889485996E-2</v>
      </c>
      <c r="AG823">
        <v>-0.27953899999999998</v>
      </c>
      <c r="AH823">
        <v>0.59827230799459696</v>
      </c>
      <c r="AI823">
        <v>114.91737479698899</v>
      </c>
      <c r="AJ823">
        <v>83.848277654304098</v>
      </c>
      <c r="AK823">
        <v>0.66349821793388997</v>
      </c>
      <c r="AL823">
        <v>80.748465762079903</v>
      </c>
      <c r="AM823">
        <v>88.799917134200399</v>
      </c>
      <c r="AN823">
        <v>1.0000000320672999</v>
      </c>
    </row>
    <row r="824" spans="1:40" x14ac:dyDescent="0.25">
      <c r="A824" t="str">
        <f>"20190303162228101"</f>
        <v>20190303162228101</v>
      </c>
      <c r="B824" t="str">
        <f>"1551601348095353"</f>
        <v>1551601348095353</v>
      </c>
      <c r="C824" t="s">
        <v>40</v>
      </c>
      <c r="D824">
        <v>5.1446579999999997</v>
      </c>
      <c r="E824">
        <v>0.52805999999999997</v>
      </c>
      <c r="F824" t="s">
        <v>42</v>
      </c>
      <c r="G824">
        <v>-320.75689999999997</v>
      </c>
      <c r="H824">
        <v>0.88814649999999995</v>
      </c>
      <c r="I824">
        <v>366.69990000000001</v>
      </c>
      <c r="J824">
        <v>-321.17619999999999</v>
      </c>
      <c r="K824">
        <v>1.119877</v>
      </c>
      <c r="L824">
        <v>366.76100000000002</v>
      </c>
      <c r="M824">
        <v>0.99997800000000003</v>
      </c>
      <c r="N824">
        <v>-5.8301719999999998E-3</v>
      </c>
      <c r="O824">
        <v>3.1697800000000001E-3</v>
      </c>
      <c r="P824">
        <v>0.98761849999999995</v>
      </c>
      <c r="Q824">
        <v>0.15590010000000001</v>
      </c>
      <c r="R824">
        <v>-1.7463579999999999E-2</v>
      </c>
      <c r="S824">
        <v>3.1954349999999998</v>
      </c>
      <c r="T824">
        <v>-1.038659</v>
      </c>
      <c r="U824">
        <v>-0.26934809999999998</v>
      </c>
      <c r="V824">
        <v>2.0563379999999999E-2</v>
      </c>
      <c r="W824">
        <v>0.161659</v>
      </c>
      <c r="X824">
        <v>0.98663239999999996</v>
      </c>
      <c r="Y824">
        <v>8.2685969999999998E-2</v>
      </c>
      <c r="Z824">
        <v>-1.4311890000000001E-2</v>
      </c>
      <c r="AA824">
        <v>0.99647289999999999</v>
      </c>
      <c r="AB824">
        <v>29</v>
      </c>
      <c r="AC824">
        <v>0.41930000000002099</v>
      </c>
      <c r="AD824">
        <v>-0.23173049999999901</v>
      </c>
      <c r="AE824">
        <v>-6.1099999999953497E-2</v>
      </c>
      <c r="AF824">
        <v>4.8056063843633499E-2</v>
      </c>
      <c r="AG824">
        <v>-0.23173049999999901</v>
      </c>
      <c r="AH824">
        <v>0.32261548493708098</v>
      </c>
      <c r="AI824">
        <v>125.391827623852</v>
      </c>
      <c r="AJ824">
        <v>81.527648013998103</v>
      </c>
      <c r="AK824">
        <v>0.40011143575706598</v>
      </c>
      <c r="AL824">
        <v>80.696796252965697</v>
      </c>
      <c r="AM824">
        <v>88.806014952585002</v>
      </c>
      <c r="AN824">
        <v>0.99999998880389196</v>
      </c>
    </row>
    <row r="825" spans="1:40" x14ac:dyDescent="0.25">
      <c r="A825" t="str">
        <f>"20190303162228122"</f>
        <v>20190303162228122</v>
      </c>
      <c r="B825" t="str">
        <f>"1551601348114873"</f>
        <v>1551601348114873</v>
      </c>
      <c r="C825" t="s">
        <v>40</v>
      </c>
      <c r="D825">
        <v>5.186096</v>
      </c>
      <c r="E825">
        <v>0.52817099999999995</v>
      </c>
      <c r="F825" t="s">
        <v>42</v>
      </c>
      <c r="G825">
        <v>-320.49029999999999</v>
      </c>
      <c r="H825">
        <v>0.8965786</v>
      </c>
      <c r="I825">
        <v>366.70269999999999</v>
      </c>
      <c r="J825">
        <v>-320.88589999999999</v>
      </c>
      <c r="K825">
        <v>1.11975</v>
      </c>
      <c r="L825">
        <v>366.762</v>
      </c>
      <c r="M825">
        <v>0.99998019999999999</v>
      </c>
      <c r="N825">
        <v>-5.3929390000000002E-3</v>
      </c>
      <c r="O825">
        <v>3.2885610000000002E-3</v>
      </c>
      <c r="P825">
        <v>0.98739080000000001</v>
      </c>
      <c r="Q825">
        <v>0.15730829999999901</v>
      </c>
      <c r="R825">
        <v>-1.7717500000000001E-2</v>
      </c>
      <c r="S825">
        <v>3.1971129999999999</v>
      </c>
      <c r="T825">
        <v>-1.040891</v>
      </c>
      <c r="U825">
        <v>-0.2696228</v>
      </c>
      <c r="V825">
        <v>2.0934169999999998E-2</v>
      </c>
      <c r="W825">
        <v>0.16263429999999901</v>
      </c>
      <c r="X825">
        <v>0.98646429999999996</v>
      </c>
      <c r="Y825">
        <v>8.2823980000000005E-2</v>
      </c>
      <c r="Z825">
        <v>-1.437566E-2</v>
      </c>
      <c r="AA825">
        <v>0.99646049999999997</v>
      </c>
      <c r="AB825">
        <v>29</v>
      </c>
      <c r="AC825">
        <v>0.39560000000000101</v>
      </c>
      <c r="AD825">
        <v>-0.22317139999999999</v>
      </c>
      <c r="AE825">
        <v>-5.9299999999950601E-2</v>
      </c>
      <c r="AF825">
        <v>4.6215822074025498E-2</v>
      </c>
      <c r="AG825">
        <v>-0.22317139999999999</v>
      </c>
      <c r="AH825">
        <v>0.30154572189203199</v>
      </c>
      <c r="AI825">
        <v>126.187313796163</v>
      </c>
      <c r="AJ825">
        <v>81.2864765798533</v>
      </c>
      <c r="AK825">
        <v>0.37798306626001699</v>
      </c>
      <c r="AL825">
        <v>80.640166237922102</v>
      </c>
      <c r="AM825">
        <v>88.784284862653493</v>
      </c>
      <c r="AN825">
        <v>0.99999998509228405</v>
      </c>
    </row>
    <row r="826" spans="1:40" x14ac:dyDescent="0.25">
      <c r="A826" t="str">
        <f>"20190303162228145"</f>
        <v>20190303162228145</v>
      </c>
      <c r="B826" t="str">
        <f>"1551601348135369"</f>
        <v>1551601348135369</v>
      </c>
      <c r="C826" t="s">
        <v>40</v>
      </c>
      <c r="D826">
        <v>5.179538</v>
      </c>
      <c r="E826">
        <v>0.52831169999999905</v>
      </c>
      <c r="F826" t="s">
        <v>42</v>
      </c>
      <c r="G826">
        <v>-320.22129999999999</v>
      </c>
      <c r="H826">
        <v>0.90374259999999995</v>
      </c>
      <c r="I826">
        <v>366.7056</v>
      </c>
      <c r="J826">
        <v>-320.59649999999999</v>
      </c>
      <c r="K826">
        <v>1.1195120000000001</v>
      </c>
      <c r="L826">
        <v>366.76310000000001</v>
      </c>
      <c r="M826">
        <v>0.99998189999999998</v>
      </c>
      <c r="N826">
        <v>-4.9608279999999996E-3</v>
      </c>
      <c r="O826">
        <v>3.406105E-3</v>
      </c>
      <c r="P826">
        <v>0.98718209999999995</v>
      </c>
      <c r="Q826">
        <v>0.15861159999999999</v>
      </c>
      <c r="R826">
        <v>-1.771615E-2</v>
      </c>
      <c r="S826">
        <v>3.1990970000000001</v>
      </c>
      <c r="T826">
        <v>-1.0397430000000001</v>
      </c>
      <c r="U826">
        <v>-0.27096559999999997</v>
      </c>
      <c r="V826">
        <v>2.104845E-2</v>
      </c>
      <c r="W826">
        <v>0.1635103</v>
      </c>
      <c r="X826">
        <v>0.986317</v>
      </c>
      <c r="Y826">
        <v>8.3294919999999995E-2</v>
      </c>
      <c r="Z826">
        <v>-1.444753E-2</v>
      </c>
      <c r="AA826">
        <v>0.99642019999999998</v>
      </c>
      <c r="AB826">
        <v>29</v>
      </c>
      <c r="AC826">
        <v>0.37520000000000597</v>
      </c>
      <c r="AD826">
        <v>-0.2157694</v>
      </c>
      <c r="AE826">
        <v>-5.7500000000004499E-2</v>
      </c>
      <c r="AF826">
        <v>4.4423316939805203E-2</v>
      </c>
      <c r="AG826">
        <v>-0.2157694</v>
      </c>
      <c r="AH826">
        <v>0.28342117430551</v>
      </c>
      <c r="AI826">
        <v>126.947568802794</v>
      </c>
      <c r="AJ826">
        <v>81.091960322696096</v>
      </c>
      <c r="AK826">
        <v>0.35896716717411498</v>
      </c>
      <c r="AL826">
        <v>80.589293736655804</v>
      </c>
      <c r="AM826">
        <v>88.777467765997002</v>
      </c>
      <c r="AN826">
        <v>0.99999993997124403</v>
      </c>
    </row>
    <row r="827" spans="1:40" x14ac:dyDescent="0.25">
      <c r="A827" t="str">
        <f>"20190303162228157"</f>
        <v>20190303162228157</v>
      </c>
      <c r="B827" t="str">
        <f>"1551601348145129"</f>
        <v>1551601348145129</v>
      </c>
      <c r="C827" t="s">
        <v>40</v>
      </c>
      <c r="D827">
        <v>5.1874830000000003</v>
      </c>
      <c r="E827">
        <v>0.52836700000000003</v>
      </c>
      <c r="F827" t="s">
        <v>42</v>
      </c>
      <c r="G827">
        <v>-319.71190000000001</v>
      </c>
      <c r="H827">
        <v>0.83243219999999996</v>
      </c>
      <c r="I827">
        <v>366.68779999999998</v>
      </c>
      <c r="J827">
        <v>-320.40710000000001</v>
      </c>
      <c r="K827">
        <v>1.119305</v>
      </c>
      <c r="L827">
        <v>366.76369999999997</v>
      </c>
      <c r="M827">
        <v>0.99998220000000004</v>
      </c>
      <c r="N827">
        <v>-4.8679379999999996E-3</v>
      </c>
      <c r="O827">
        <v>3.4826200000000001E-3</v>
      </c>
      <c r="P827">
        <v>0.98713680000000004</v>
      </c>
      <c r="Q827">
        <v>0.15887109999999999</v>
      </c>
      <c r="R827">
        <v>-1.7914199999999901E-2</v>
      </c>
      <c r="S827">
        <v>3.2010190000000001</v>
      </c>
      <c r="T827">
        <v>-1.038835</v>
      </c>
      <c r="U827">
        <v>-0.27182009999999901</v>
      </c>
      <c r="V827">
        <v>2.1321739999999999E-2</v>
      </c>
      <c r="W827">
        <v>0.16367779999999901</v>
      </c>
      <c r="X827">
        <v>0.98628340000000003</v>
      </c>
      <c r="Y827">
        <v>8.3580429999999997E-2</v>
      </c>
      <c r="Z827">
        <v>-1.449337E-2</v>
      </c>
      <c r="AA827">
        <v>0.99639560000000005</v>
      </c>
      <c r="AB827">
        <v>30</v>
      </c>
      <c r="AC827">
        <v>0.69519999999999904</v>
      </c>
      <c r="AD827">
        <v>-0.28687279999999898</v>
      </c>
      <c r="AE827">
        <v>-7.5899999999990003E-2</v>
      </c>
      <c r="AF827">
        <v>6.7039739981571894E-2</v>
      </c>
      <c r="AG827">
        <v>-0.28687279999999898</v>
      </c>
      <c r="AH827">
        <v>0.59483677128972001</v>
      </c>
      <c r="AI827">
        <v>115.60548583411</v>
      </c>
      <c r="AJ827">
        <v>83.569741990250705</v>
      </c>
      <c r="AK827">
        <v>0.66379297570478601</v>
      </c>
      <c r="AL827">
        <v>80.579566127714301</v>
      </c>
      <c r="AM827">
        <v>88.761557321800097</v>
      </c>
      <c r="AN827">
        <v>0.99999999196251299</v>
      </c>
    </row>
    <row r="828" spans="1:40" x14ac:dyDescent="0.25">
      <c r="A828" t="str">
        <f>"20190303162228172"</f>
        <v>20190303162228172</v>
      </c>
      <c r="B828" t="str">
        <f>"1551601348164725"</f>
        <v>1551601348164725</v>
      </c>
      <c r="C828" t="s">
        <v>40</v>
      </c>
      <c r="D828">
        <v>5.2084979999999996</v>
      </c>
      <c r="E828">
        <v>0.52835469999999995</v>
      </c>
      <c r="F828" t="s">
        <v>42</v>
      </c>
      <c r="G828">
        <v>-319.6909</v>
      </c>
      <c r="H828">
        <v>0.88686799999999999</v>
      </c>
      <c r="I828">
        <v>366.70249999999999</v>
      </c>
      <c r="J828">
        <v>-320.22030000000001</v>
      </c>
      <c r="K828">
        <v>1.11904</v>
      </c>
      <c r="L828">
        <v>366.7645</v>
      </c>
      <c r="M828">
        <v>0.99998160000000003</v>
      </c>
      <c r="N828">
        <v>-4.9171390000000001E-3</v>
      </c>
      <c r="O828">
        <v>3.5568370000000002E-3</v>
      </c>
      <c r="P828">
        <v>0.98708079999999998</v>
      </c>
      <c r="Q828">
        <v>0.15923889999999999</v>
      </c>
      <c r="R828">
        <v>-1.7738130000000001E-2</v>
      </c>
      <c r="S828">
        <v>3.2013850000000001</v>
      </c>
      <c r="T828">
        <v>-1.0389980000000001</v>
      </c>
      <c r="U828">
        <v>-0.27301029999999998</v>
      </c>
      <c r="V828">
        <v>2.121808E-2</v>
      </c>
      <c r="W828">
        <v>0.16409409999999999</v>
      </c>
      <c r="X828">
        <v>0.98621650000000005</v>
      </c>
      <c r="Y828">
        <v>8.3986950000000005E-2</v>
      </c>
      <c r="Z828">
        <v>-1.458402E-2</v>
      </c>
      <c r="AA828">
        <v>0.99636009999999997</v>
      </c>
      <c r="AB828">
        <v>30</v>
      </c>
      <c r="AC828">
        <v>0.52940000000000897</v>
      </c>
      <c r="AD828">
        <v>-0.23217199999999999</v>
      </c>
      <c r="AE828">
        <v>-6.2000000000011803E-2</v>
      </c>
      <c r="AF828">
        <v>5.3695063505080701E-2</v>
      </c>
      <c r="AG828">
        <v>-0.23217199999999999</v>
      </c>
      <c r="AH828">
        <v>0.44478679168464802</v>
      </c>
      <c r="AI828">
        <v>117.394203266177</v>
      </c>
      <c r="AJ828">
        <v>83.116511664341701</v>
      </c>
      <c r="AK828">
        <v>0.50460111720639</v>
      </c>
      <c r="AL828">
        <v>80.555387363566297</v>
      </c>
      <c r="AM828">
        <v>88.767492826993504</v>
      </c>
      <c r="AN828">
        <v>1.0000000327229699</v>
      </c>
    </row>
    <row r="829" spans="1:40" x14ac:dyDescent="0.25">
      <c r="A829" t="str">
        <f>"20190303162228186"</f>
        <v>20190303162228186</v>
      </c>
      <c r="B829" t="str">
        <f>"1551601348175461"</f>
        <v>1551601348175461</v>
      </c>
      <c r="C829" t="s">
        <v>40</v>
      </c>
      <c r="D829">
        <v>5.2110830000000004</v>
      </c>
      <c r="E829">
        <v>0.52843079999999998</v>
      </c>
      <c r="F829" t="s">
        <v>42</v>
      </c>
      <c r="G829">
        <v>-319.42959999999999</v>
      </c>
      <c r="H829">
        <v>0.86219169999999901</v>
      </c>
      <c r="I829">
        <v>366.697</v>
      </c>
      <c r="J829">
        <v>-320.02589999999998</v>
      </c>
      <c r="K829">
        <v>1.1187100000000001</v>
      </c>
      <c r="L829">
        <v>366.76519999999999</v>
      </c>
      <c r="M829">
        <v>0.99998039999999999</v>
      </c>
      <c r="N829">
        <v>-5.0931980000000002E-3</v>
      </c>
      <c r="O829">
        <v>3.6330160000000002E-3</v>
      </c>
      <c r="P829">
        <v>0.98707250000000002</v>
      </c>
      <c r="Q829">
        <v>0.1593183</v>
      </c>
      <c r="R829">
        <v>-1.7485779999999999E-2</v>
      </c>
      <c r="S829">
        <v>3.2022089999999999</v>
      </c>
      <c r="T829">
        <v>-1.040265</v>
      </c>
      <c r="U829">
        <v>-0.27236939999999998</v>
      </c>
      <c r="V829">
        <v>2.1039950000000002E-2</v>
      </c>
      <c r="W829">
        <v>0.1643472</v>
      </c>
      <c r="X829">
        <v>0.9861782</v>
      </c>
      <c r="Y829">
        <v>8.3836380000000002E-2</v>
      </c>
      <c r="Z829">
        <v>-1.460383E-2</v>
      </c>
      <c r="AA829">
        <v>0.99637249999999999</v>
      </c>
      <c r="AB829">
        <v>30</v>
      </c>
      <c r="AC829">
        <v>0.59629999999998495</v>
      </c>
      <c r="AD829">
        <v>-0.25651829999999998</v>
      </c>
      <c r="AE829">
        <v>-6.8200000000047098E-2</v>
      </c>
      <c r="AF829">
        <v>5.9497622182769598E-2</v>
      </c>
      <c r="AG829">
        <v>-0.25651829999999998</v>
      </c>
      <c r="AH829">
        <v>0.50398606439232396</v>
      </c>
      <c r="AI829">
        <v>116.81517559364499</v>
      </c>
      <c r="AJ829">
        <v>83.267160818790003</v>
      </c>
      <c r="AK829">
        <v>0.568633061281137</v>
      </c>
      <c r="AL829">
        <v>80.5406864924975</v>
      </c>
      <c r="AM829">
        <v>88.777789367605806</v>
      </c>
      <c r="AN829">
        <v>1.0000000618995299</v>
      </c>
    </row>
    <row r="830" spans="1:40" x14ac:dyDescent="0.25">
      <c r="A830" t="str">
        <f>"20190303162228200"</f>
        <v>20190303162228200</v>
      </c>
      <c r="B830" t="str">
        <f>"1551601348194982"</f>
        <v>1551601348194982</v>
      </c>
      <c r="C830" t="s">
        <v>40</v>
      </c>
      <c r="D830">
        <v>5.217943</v>
      </c>
      <c r="E830">
        <v>0.52864849999999997</v>
      </c>
      <c r="F830" t="s">
        <v>42</v>
      </c>
      <c r="G830">
        <v>-319.16629999999998</v>
      </c>
      <c r="H830">
        <v>0.83954309999999999</v>
      </c>
      <c r="I830">
        <v>366.6918</v>
      </c>
      <c r="J830">
        <v>-319.83210000000003</v>
      </c>
      <c r="K830">
        <v>1.1182920000000001</v>
      </c>
      <c r="L830">
        <v>366.76600000000002</v>
      </c>
      <c r="M830">
        <v>0.99997860000000005</v>
      </c>
      <c r="N830">
        <v>-5.4244310000000004E-3</v>
      </c>
      <c r="O830">
        <v>3.7075929999999999E-3</v>
      </c>
      <c r="P830">
        <v>0.98695200000000005</v>
      </c>
      <c r="Q830">
        <v>0.16011639999999999</v>
      </c>
      <c r="R830">
        <v>-1.699492E-2</v>
      </c>
      <c r="S830">
        <v>3.2022710000000001</v>
      </c>
      <c r="T830">
        <v>-1.0399449999999999</v>
      </c>
      <c r="U830">
        <v>-0.27301029999999998</v>
      </c>
      <c r="V830">
        <v>2.062083E-2</v>
      </c>
      <c r="W830">
        <v>0.1654716</v>
      </c>
      <c r="X830">
        <v>0.98599890000000001</v>
      </c>
      <c r="Y830">
        <v>8.4088940000000001E-2</v>
      </c>
      <c r="Z830">
        <v>-1.4676130000000001E-2</v>
      </c>
      <c r="AA830">
        <v>0.99635019999999996</v>
      </c>
      <c r="AB830">
        <v>30</v>
      </c>
      <c r="AC830">
        <v>0.66580000000004702</v>
      </c>
      <c r="AD830">
        <v>-0.27874890000000002</v>
      </c>
      <c r="AE830">
        <v>-7.4199999999962005E-2</v>
      </c>
      <c r="AF830">
        <v>6.5353279169629505E-2</v>
      </c>
      <c r="AG830">
        <v>-0.27874890000000002</v>
      </c>
      <c r="AH830">
        <v>0.56730202443691502</v>
      </c>
      <c r="AI830">
        <v>116.018417760487</v>
      </c>
      <c r="AJ830">
        <v>83.428485702231598</v>
      </c>
      <c r="AK830">
        <v>0.63545541722425802</v>
      </c>
      <c r="AL830">
        <v>80.475367759451998</v>
      </c>
      <c r="AM830">
        <v>88.801911116545895</v>
      </c>
      <c r="AN830">
        <v>0.99999994991882801</v>
      </c>
    </row>
    <row r="831" spans="1:40" x14ac:dyDescent="0.25">
      <c r="A831" t="str">
        <f>"20190303162228215"</f>
        <v>20190303162228215</v>
      </c>
      <c r="B831" t="str">
        <f>"1551601348204741"</f>
        <v>1551601348204741</v>
      </c>
      <c r="C831" t="s">
        <v>40</v>
      </c>
      <c r="D831">
        <v>5.2355409999999996</v>
      </c>
      <c r="E831">
        <v>0.52871610000000002</v>
      </c>
      <c r="F831" t="s">
        <v>42</v>
      </c>
      <c r="G831">
        <v>-319.14449999999999</v>
      </c>
      <c r="H831">
        <v>0.89552989999999999</v>
      </c>
      <c r="I831">
        <v>366.70740000000001</v>
      </c>
      <c r="J831">
        <v>-319.64030000000002</v>
      </c>
      <c r="K831">
        <v>1.1177589999999999</v>
      </c>
      <c r="L831">
        <v>366.76670000000001</v>
      </c>
      <c r="M831">
        <v>0.99997559999999996</v>
      </c>
      <c r="N831">
        <v>-5.9117680000000004E-3</v>
      </c>
      <c r="O831">
        <v>3.7801309999999999E-3</v>
      </c>
      <c r="P831">
        <v>0.98695460000000002</v>
      </c>
      <c r="Q831">
        <v>0.1601002</v>
      </c>
      <c r="R831">
        <v>-1.6999480000000001E-2</v>
      </c>
      <c r="S831">
        <v>3.2033390000000002</v>
      </c>
      <c r="T831">
        <v>-1.037847</v>
      </c>
      <c r="U831">
        <v>-0.27252199999999999</v>
      </c>
      <c r="V831">
        <v>2.0695249999999998E-2</v>
      </c>
      <c r="W831">
        <v>0.16593579999999999</v>
      </c>
      <c r="X831">
        <v>0.9859194</v>
      </c>
      <c r="Y831">
        <v>8.3997849999999999E-2</v>
      </c>
      <c r="Z831">
        <v>-1.467097E-2</v>
      </c>
      <c r="AA831">
        <v>0.99635790000000002</v>
      </c>
      <c r="AB831">
        <v>30</v>
      </c>
      <c r="AC831">
        <v>0.49580000000003099</v>
      </c>
      <c r="AD831">
        <v>-0.22222909999999901</v>
      </c>
      <c r="AE831">
        <v>-5.9300000000007402E-2</v>
      </c>
      <c r="AF831">
        <v>5.1060258972712297E-2</v>
      </c>
      <c r="AG831">
        <v>-0.22222909999999901</v>
      </c>
      <c r="AH831">
        <v>0.41364196043226797</v>
      </c>
      <c r="AI831">
        <v>118.066667658247</v>
      </c>
      <c r="AJ831">
        <v>82.962966499456897</v>
      </c>
      <c r="AK831">
        <v>0.472326787683507</v>
      </c>
      <c r="AL831">
        <v>80.4483989252996</v>
      </c>
      <c r="AM831">
        <v>88.7974915858792</v>
      </c>
      <c r="AN831">
        <v>1.0000000231952799</v>
      </c>
    </row>
    <row r="832" spans="1:40" x14ac:dyDescent="0.25">
      <c r="A832" t="str">
        <f>"20190303162228234"</f>
        <v>20190303162228234</v>
      </c>
      <c r="B832" t="str">
        <f>"1551601348225237"</f>
        <v>1551601348225237</v>
      </c>
      <c r="C832" t="s">
        <v>40</v>
      </c>
      <c r="D832">
        <v>5.2186409999999999</v>
      </c>
      <c r="E832">
        <v>0.52204839999999997</v>
      </c>
      <c r="F832" t="s">
        <v>42</v>
      </c>
      <c r="G832">
        <v>-318.88049999999998</v>
      </c>
      <c r="H832">
        <v>0.87180380000000002</v>
      </c>
      <c r="I832">
        <v>366.70190000000002</v>
      </c>
      <c r="J832">
        <v>-319.37180000000001</v>
      </c>
      <c r="K832">
        <v>1.1169230000000001</v>
      </c>
      <c r="L832">
        <v>366.76780000000002</v>
      </c>
      <c r="M832">
        <v>0.99996870000000004</v>
      </c>
      <c r="N832">
        <v>-6.9164439999999999E-3</v>
      </c>
      <c r="O832">
        <v>3.8739690000000001E-3</v>
      </c>
      <c r="P832">
        <v>0.98701099999999997</v>
      </c>
      <c r="Q832">
        <v>0.15975909999999999</v>
      </c>
      <c r="R832">
        <v>-1.6922880000000001E-2</v>
      </c>
      <c r="S832">
        <v>3.2031559999999999</v>
      </c>
      <c r="T832">
        <v>-1.036883</v>
      </c>
      <c r="U832">
        <v>-0.27197270000000001</v>
      </c>
      <c r="V832">
        <v>2.070907E-2</v>
      </c>
      <c r="W832">
        <v>0.16658609999999999</v>
      </c>
      <c r="X832">
        <v>0.98580939999999995</v>
      </c>
      <c r="Y832">
        <v>8.3920720000000004E-2</v>
      </c>
      <c r="Z832">
        <v>-1.4715260000000001E-2</v>
      </c>
      <c r="AA832">
        <v>0.99636380000000002</v>
      </c>
      <c r="AB832">
        <v>30</v>
      </c>
      <c r="AC832">
        <v>0.491300000000023</v>
      </c>
      <c r="AD832">
        <v>-0.24511919999999901</v>
      </c>
      <c r="AE832">
        <v>-6.5899999999999098E-2</v>
      </c>
      <c r="AF832">
        <v>5.4481050966438002E-2</v>
      </c>
      <c r="AG832">
        <v>-0.24511919999999901</v>
      </c>
      <c r="AH832">
        <v>0.394562140654654</v>
      </c>
      <c r="AI832">
        <v>121.60833394166799</v>
      </c>
      <c r="AJ832">
        <v>82.138323861236799</v>
      </c>
      <c r="AK832">
        <v>0.46768674340955002</v>
      </c>
      <c r="AL832">
        <v>80.410613193398802</v>
      </c>
      <c r="AM832">
        <v>88.796554573405899</v>
      </c>
      <c r="AN832">
        <v>0.99999998371091703</v>
      </c>
    </row>
    <row r="833" spans="1:40" x14ac:dyDescent="0.25">
      <c r="A833" t="str">
        <f>"20190303162228256"</f>
        <v>20190303162228256</v>
      </c>
      <c r="B833" t="str">
        <f>"1551601348244757"</f>
        <v>1551601348244757</v>
      </c>
      <c r="C833" t="s">
        <v>40</v>
      </c>
      <c r="D833">
        <v>5.2629720000000004</v>
      </c>
      <c r="E833">
        <v>0.51751610000000003</v>
      </c>
      <c r="F833" t="s">
        <v>42</v>
      </c>
      <c r="G833">
        <v>-318.57990000000001</v>
      </c>
      <c r="H833">
        <v>0.93387350000000002</v>
      </c>
      <c r="I833">
        <v>366.71260000000001</v>
      </c>
      <c r="J833">
        <v>-319.07080000000002</v>
      </c>
      <c r="K833">
        <v>1.1158459999999999</v>
      </c>
      <c r="L833">
        <v>366.76909999999998</v>
      </c>
      <c r="M833">
        <v>0.9999555</v>
      </c>
      <c r="N833">
        <v>-8.5639280000000002E-3</v>
      </c>
      <c r="O833">
        <v>3.9714650000000004E-3</v>
      </c>
      <c r="P833">
        <v>0.9872341</v>
      </c>
      <c r="Q833">
        <v>0.1584159</v>
      </c>
      <c r="R833">
        <v>-1.653841E-2</v>
      </c>
      <c r="S833">
        <v>3.1536870000000001</v>
      </c>
      <c r="T833">
        <v>-0.72889919999999997</v>
      </c>
      <c r="U833">
        <v>-0.21990970000000001</v>
      </c>
      <c r="V833">
        <v>2.0419349999999999E-2</v>
      </c>
      <c r="W833">
        <v>0.16686909999999999</v>
      </c>
      <c r="X833">
        <v>0.98576759999999997</v>
      </c>
      <c r="Y833">
        <v>7.1479790000000001E-2</v>
      </c>
      <c r="Z833">
        <v>-9.3254080000000003E-3</v>
      </c>
      <c r="AA833">
        <v>0.99739840000000002</v>
      </c>
      <c r="AB833">
        <v>31</v>
      </c>
      <c r="AC833">
        <v>0.49090000000001</v>
      </c>
      <c r="AD833">
        <v>-0.18197249999999901</v>
      </c>
      <c r="AE833">
        <v>-5.6499999999971302E-2</v>
      </c>
      <c r="AF833">
        <v>5.1469184446569199E-2</v>
      </c>
      <c r="AG833">
        <v>-0.18197249999999901</v>
      </c>
      <c r="AH833">
        <v>0.43207547993228701</v>
      </c>
      <c r="AI833">
        <v>112.69479899732499</v>
      </c>
      <c r="AJ833">
        <v>83.206890099112996</v>
      </c>
      <c r="AK833">
        <v>0.47164847933875598</v>
      </c>
      <c r="AL833">
        <v>80.394168503132505</v>
      </c>
      <c r="AM833">
        <v>88.813335631199905</v>
      </c>
      <c r="AN833">
        <v>1.0000000037994901</v>
      </c>
    </row>
    <row r="834" spans="1:40" x14ac:dyDescent="0.25">
      <c r="A834" t="str">
        <f>"20190303162228270"</f>
        <v>20190303162228270</v>
      </c>
      <c r="B834" t="str">
        <f>"1551601348264799"</f>
        <v>1551601348264799</v>
      </c>
      <c r="C834" t="s">
        <v>40</v>
      </c>
      <c r="D834">
        <v>5.2746849999999998</v>
      </c>
      <c r="E834">
        <v>0.5151367</v>
      </c>
      <c r="F834" t="s">
        <v>42</v>
      </c>
      <c r="G834">
        <v>-318.2867</v>
      </c>
      <c r="H834">
        <v>0.97326509999999999</v>
      </c>
      <c r="I834">
        <v>366.72250000000003</v>
      </c>
      <c r="J834">
        <v>-318.88099999999997</v>
      </c>
      <c r="K834">
        <v>1.1150899999999999</v>
      </c>
      <c r="L834">
        <v>366.76990000000001</v>
      </c>
      <c r="M834">
        <v>0.99994400000000006</v>
      </c>
      <c r="N834">
        <v>-9.7975430000000006E-3</v>
      </c>
      <c r="O834">
        <v>4.0344359999999998E-3</v>
      </c>
      <c r="P834">
        <v>0.98743069999999999</v>
      </c>
      <c r="Q834">
        <v>0.15719810000000001</v>
      </c>
      <c r="R834">
        <v>-1.6415559999999999E-2</v>
      </c>
      <c r="S834">
        <v>3.1269529999999999</v>
      </c>
      <c r="T834">
        <v>-0.56870529999999997</v>
      </c>
      <c r="U834">
        <v>-0.18435670000000001</v>
      </c>
      <c r="V834">
        <v>2.0358609999999999E-2</v>
      </c>
      <c r="W834">
        <v>0.16686909999999999</v>
      </c>
      <c r="X834">
        <v>0.98576889999999995</v>
      </c>
      <c r="Y834">
        <v>6.1758090000000002E-2</v>
      </c>
      <c r="Z834">
        <v>-6.5590219999999899E-3</v>
      </c>
      <c r="AA834">
        <v>0.9980696</v>
      </c>
      <c r="AB834">
        <v>31</v>
      </c>
      <c r="AC834">
        <v>0.59429999999997496</v>
      </c>
      <c r="AD834">
        <v>-0.141824899999999</v>
      </c>
      <c r="AE834">
        <v>-4.7399999999981901E-2</v>
      </c>
      <c r="AF834">
        <v>4.7130291720758298E-2</v>
      </c>
      <c r="AG834">
        <v>-0.141824899999999</v>
      </c>
      <c r="AH834">
        <v>0.56228426279989796</v>
      </c>
      <c r="AI834">
        <v>104.10893840278899</v>
      </c>
      <c r="AJ834">
        <v>85.208705747919495</v>
      </c>
      <c r="AK834">
        <v>0.58180680543468899</v>
      </c>
      <c r="AL834">
        <v>80.394168920796105</v>
      </c>
      <c r="AM834">
        <v>88.816866072969205</v>
      </c>
      <c r="AN834">
        <v>1.00000004687157</v>
      </c>
    </row>
    <row r="835" spans="1:40" x14ac:dyDescent="0.25">
      <c r="A835" t="str">
        <f>"20190303162228290"</f>
        <v>20190303162228290</v>
      </c>
      <c r="B835" t="str">
        <f>"1551601348275519"</f>
        <v>1551601348275519</v>
      </c>
      <c r="C835" t="s">
        <v>40</v>
      </c>
      <c r="D835">
        <v>5.2911460000000003</v>
      </c>
      <c r="E835">
        <v>0.51417199999999996</v>
      </c>
      <c r="F835" t="s">
        <v>42</v>
      </c>
      <c r="G835">
        <v>-318.00819999999999</v>
      </c>
      <c r="H835">
        <v>0.98230839999999997</v>
      </c>
      <c r="I835">
        <v>366.72320000000002</v>
      </c>
      <c r="J835">
        <v>-318.61599999999999</v>
      </c>
      <c r="K835">
        <v>1.113909</v>
      </c>
      <c r="L835">
        <v>366.77109999999999</v>
      </c>
      <c r="M835">
        <v>0.99992559999999997</v>
      </c>
      <c r="N835">
        <v>-1.147696E-2</v>
      </c>
      <c r="O835">
        <v>4.1321930000000002E-3</v>
      </c>
      <c r="P835">
        <v>0.98773290000000002</v>
      </c>
      <c r="Q835">
        <v>0.1552743</v>
      </c>
      <c r="R835">
        <v>-1.654309E-2</v>
      </c>
      <c r="S835">
        <v>3.1108090000000002</v>
      </c>
      <c r="T835">
        <v>-0.47345029999999999</v>
      </c>
      <c r="U835">
        <v>-0.16531370000000001</v>
      </c>
      <c r="V835">
        <v>2.0583629999999999E-2</v>
      </c>
      <c r="W835">
        <v>0.16660440000000001</v>
      </c>
      <c r="X835">
        <v>0.98580900000000005</v>
      </c>
      <c r="Y835">
        <v>5.6454570000000003E-2</v>
      </c>
      <c r="Z835">
        <v>-5.1724379999999997E-3</v>
      </c>
      <c r="AA835">
        <v>0.99839169999999999</v>
      </c>
      <c r="AB835">
        <v>30</v>
      </c>
      <c r="AC835">
        <v>0.60779999999999701</v>
      </c>
      <c r="AD835">
        <v>-0.13160059999999901</v>
      </c>
      <c r="AE835">
        <v>-4.7899999999970001E-2</v>
      </c>
      <c r="AF835">
        <v>4.8167131317604597E-2</v>
      </c>
      <c r="AG835">
        <v>-0.13160059999999901</v>
      </c>
      <c r="AH835">
        <v>0.58054833058019595</v>
      </c>
      <c r="AI835">
        <v>102.729840915572</v>
      </c>
      <c r="AJ835">
        <v>85.257127284715807</v>
      </c>
      <c r="AK835">
        <v>0.59722286844961003</v>
      </c>
      <c r="AL835">
        <v>80.409550444709296</v>
      </c>
      <c r="AM835">
        <v>88.803841532831797</v>
      </c>
      <c r="AN835">
        <v>1.00000004820216</v>
      </c>
    </row>
    <row r="836" spans="1:40" x14ac:dyDescent="0.25">
      <c r="A836" t="str">
        <f>"20190303162228305"</f>
        <v>20190303162228305</v>
      </c>
      <c r="B836" t="str">
        <f>"1551601348295039"</f>
        <v>1551601348295039</v>
      </c>
      <c r="C836" t="s">
        <v>40</v>
      </c>
      <c r="D836">
        <v>5.3082240000000001</v>
      </c>
      <c r="E836">
        <v>0.51297570000000003</v>
      </c>
      <c r="F836" t="s">
        <v>42</v>
      </c>
      <c r="G836">
        <v>-317.73219999999998</v>
      </c>
      <c r="H836">
        <v>0.98312219999999995</v>
      </c>
      <c r="I836">
        <v>366.72570000000002</v>
      </c>
      <c r="J836">
        <v>-318.39350000000002</v>
      </c>
      <c r="K836">
        <v>1.1127739999999999</v>
      </c>
      <c r="L836">
        <v>366.77210000000002</v>
      </c>
      <c r="M836">
        <v>0.99991129999999995</v>
      </c>
      <c r="N836">
        <v>-1.263854E-2</v>
      </c>
      <c r="O836">
        <v>4.225726E-3</v>
      </c>
      <c r="P836">
        <v>0.98793569999999997</v>
      </c>
      <c r="Q836">
        <v>0.153989299999999</v>
      </c>
      <c r="R836">
        <v>-1.6451319999999998E-2</v>
      </c>
      <c r="S836">
        <v>3.1068730000000002</v>
      </c>
      <c r="T836">
        <v>-0.45991989999999999</v>
      </c>
      <c r="U836">
        <v>-0.15853879999999901</v>
      </c>
      <c r="V836">
        <v>2.0585470000000002E-2</v>
      </c>
      <c r="W836">
        <v>0.16646710000000001</v>
      </c>
      <c r="X836">
        <v>0.98583209999999999</v>
      </c>
      <c r="Y836">
        <v>5.4500140000000002E-2</v>
      </c>
      <c r="Z836">
        <v>-4.9248119999999998E-3</v>
      </c>
      <c r="AA836">
        <v>0.99850159999999999</v>
      </c>
      <c r="AB836">
        <v>30</v>
      </c>
      <c r="AC836">
        <v>0.66130000000003897</v>
      </c>
      <c r="AD836">
        <v>-0.12965179999999901</v>
      </c>
      <c r="AE836">
        <v>-4.6400000000005499E-2</v>
      </c>
      <c r="AF836">
        <v>4.7381939591774801E-2</v>
      </c>
      <c r="AG836">
        <v>-0.12965179999999901</v>
      </c>
      <c r="AH836">
        <v>0.636742828515661</v>
      </c>
      <c r="AI836">
        <v>101.47818349348699</v>
      </c>
      <c r="AJ836">
        <v>85.744293032160201</v>
      </c>
      <c r="AK836">
        <v>0.65153362699774997</v>
      </c>
      <c r="AL836">
        <v>80.417528033710298</v>
      </c>
      <c r="AM836">
        <v>88.803762660316494</v>
      </c>
      <c r="AN836">
        <v>0.99999999317397004</v>
      </c>
    </row>
    <row r="837" spans="1:40" x14ac:dyDescent="0.25">
      <c r="A837" t="str">
        <f>"20190303162228325"</f>
        <v>20190303162228325</v>
      </c>
      <c r="B837" t="str">
        <f>"1551601348315537"</f>
        <v>1551601348315537</v>
      </c>
      <c r="C837" t="s">
        <v>40</v>
      </c>
      <c r="D837">
        <v>5.3095739999999996</v>
      </c>
      <c r="E837">
        <v>0.51206059999999998</v>
      </c>
      <c r="F837" t="s">
        <v>42</v>
      </c>
      <c r="G837">
        <v>-317.45690000000002</v>
      </c>
      <c r="H837">
        <v>0.98015890000000006</v>
      </c>
      <c r="I837">
        <v>366.72710000000001</v>
      </c>
      <c r="J837">
        <v>-318.13929999999999</v>
      </c>
      <c r="K837">
        <v>1.1113360000000001</v>
      </c>
      <c r="L837">
        <v>366.77330000000001</v>
      </c>
      <c r="M837">
        <v>0.99989600000000001</v>
      </c>
      <c r="N837">
        <v>-1.3757770000000001E-2</v>
      </c>
      <c r="O837">
        <v>4.3376990000000004E-3</v>
      </c>
      <c r="P837">
        <v>0.98814340000000001</v>
      </c>
      <c r="Q837">
        <v>0.15264810000000001</v>
      </c>
      <c r="R837">
        <v>-1.6469870000000001E-2</v>
      </c>
      <c r="S837">
        <v>3.1026310000000001</v>
      </c>
      <c r="T837">
        <v>-0.43926579999999898</v>
      </c>
      <c r="U837">
        <v>-0.1488342</v>
      </c>
      <c r="V837">
        <v>2.0715899999999999E-2</v>
      </c>
      <c r="W837">
        <v>0.16623199999999999</v>
      </c>
      <c r="X837">
        <v>0.98586910000000005</v>
      </c>
      <c r="Y837">
        <v>5.1648270000000003E-2</v>
      </c>
      <c r="Z837">
        <v>-4.544747E-3</v>
      </c>
      <c r="AA837">
        <v>0.99865499999999996</v>
      </c>
      <c r="AB837">
        <v>31</v>
      </c>
      <c r="AC837">
        <v>0.68239999999997203</v>
      </c>
      <c r="AD837">
        <v>-0.13117709999999999</v>
      </c>
      <c r="AE837">
        <v>-4.6199999999998902E-2</v>
      </c>
      <c r="AF837">
        <v>4.7415777330383303E-2</v>
      </c>
      <c r="AG837">
        <v>-0.13117709999999999</v>
      </c>
      <c r="AH837">
        <v>0.65799004364542901</v>
      </c>
      <c r="AI837">
        <v>101.246270072741</v>
      </c>
      <c r="AJ837">
        <v>85.8783023853684</v>
      </c>
      <c r="AK837">
        <v>0.67261176397738398</v>
      </c>
      <c r="AL837">
        <v>80.431189197198407</v>
      </c>
      <c r="AM837">
        <v>88.796230663309899</v>
      </c>
      <c r="AN837">
        <v>1.0000000543358001</v>
      </c>
    </row>
    <row r="838" spans="1:40" x14ac:dyDescent="0.25">
      <c r="A838" t="str">
        <f>"20190303162228345"</f>
        <v>20190303162228345</v>
      </c>
      <c r="B838" t="str">
        <f>"1551601348335055"</f>
        <v>1551601348335055</v>
      </c>
      <c r="C838" t="s">
        <v>40</v>
      </c>
      <c r="D838">
        <v>5.3299019999999997</v>
      </c>
      <c r="E838">
        <v>0.51133139999999999</v>
      </c>
      <c r="F838" t="s">
        <v>42</v>
      </c>
      <c r="G838">
        <v>-317.18049999999999</v>
      </c>
      <c r="H838">
        <v>0.97871949999999996</v>
      </c>
      <c r="I838">
        <v>366.72910000000002</v>
      </c>
      <c r="J838">
        <v>-317.8442</v>
      </c>
      <c r="K838">
        <v>1.109502</v>
      </c>
      <c r="L838">
        <v>366.7747</v>
      </c>
      <c r="M838">
        <v>0.99987820000000005</v>
      </c>
      <c r="N838">
        <v>-1.495987E-2</v>
      </c>
      <c r="O838">
        <v>4.4630770000000002E-3</v>
      </c>
      <c r="P838">
        <v>0.98834849999999996</v>
      </c>
      <c r="Q838">
        <v>0.1513342</v>
      </c>
      <c r="R838">
        <v>-1.6301369999999999E-2</v>
      </c>
      <c r="S838">
        <v>3.0998839999999999</v>
      </c>
      <c r="T838">
        <v>-0.42891570000000001</v>
      </c>
      <c r="U838">
        <v>-0.1418152</v>
      </c>
      <c r="V838">
        <v>2.067138E-2</v>
      </c>
      <c r="W838">
        <v>0.16610649999999999</v>
      </c>
      <c r="X838">
        <v>0.98589119999999997</v>
      </c>
      <c r="Y838">
        <v>4.9602260000000002E-2</v>
      </c>
      <c r="Z838">
        <v>-4.3346160000000003E-3</v>
      </c>
      <c r="AA838">
        <v>0.99875959999999997</v>
      </c>
      <c r="AB838">
        <v>31</v>
      </c>
      <c r="AC838">
        <v>0.66370000000000495</v>
      </c>
      <c r="AD838">
        <v>-0.1307825</v>
      </c>
      <c r="AE838">
        <v>-4.55999999999789E-2</v>
      </c>
      <c r="AF838">
        <v>4.6755099435968998E-2</v>
      </c>
      <c r="AG838">
        <v>-0.1307825</v>
      </c>
      <c r="AH838">
        <v>0.63880236175823601</v>
      </c>
      <c r="AI838">
        <v>101.54028363204699</v>
      </c>
      <c r="AJ838">
        <v>85.813882758544693</v>
      </c>
      <c r="AK838">
        <v>0.65372666996032702</v>
      </c>
      <c r="AL838">
        <v>80.438481315950895</v>
      </c>
      <c r="AM838">
        <v>88.798843811962897</v>
      </c>
      <c r="AN838">
        <v>1.0000000667653901</v>
      </c>
    </row>
    <row r="839" spans="1:40" x14ac:dyDescent="0.25">
      <c r="A839" t="str">
        <f>"20190303162228358"</f>
        <v>20190303162228358</v>
      </c>
      <c r="B839" t="str">
        <f>"1551601348344816"</f>
        <v>1551601348344816</v>
      </c>
      <c r="C839" t="s">
        <v>40</v>
      </c>
      <c r="D839">
        <v>5.3155460000000003</v>
      </c>
      <c r="E839">
        <v>0.51120840000000001</v>
      </c>
      <c r="F839" t="s">
        <v>42</v>
      </c>
      <c r="G839">
        <v>-316.90249999999997</v>
      </c>
      <c r="H839">
        <v>0.98053369999999995</v>
      </c>
      <c r="I839">
        <v>366.73329999999999</v>
      </c>
      <c r="J839">
        <v>-317.66680000000002</v>
      </c>
      <c r="K839">
        <v>1.1083149999999999</v>
      </c>
      <c r="L839">
        <v>366.77550000000002</v>
      </c>
      <c r="M839">
        <v>0.99986759999999997</v>
      </c>
      <c r="N839">
        <v>-1.5622830000000001E-2</v>
      </c>
      <c r="O839">
        <v>4.5349980000000002E-3</v>
      </c>
      <c r="P839">
        <v>0.98843230000000004</v>
      </c>
      <c r="Q839">
        <v>0.1508118</v>
      </c>
      <c r="R839">
        <v>-1.604794E-2</v>
      </c>
      <c r="S839">
        <v>3.0980829999999999</v>
      </c>
      <c r="T839">
        <v>-0.4244194</v>
      </c>
      <c r="U839">
        <v>-0.13540650000000001</v>
      </c>
      <c r="V839">
        <v>2.048848E-2</v>
      </c>
      <c r="W839">
        <v>0.16623949999999901</v>
      </c>
      <c r="X839">
        <v>0.98587250000000004</v>
      </c>
      <c r="Y839">
        <v>4.7666800000000002E-2</v>
      </c>
      <c r="Z839">
        <v>-4.1703799999999996E-3</v>
      </c>
      <c r="AA839">
        <v>0.99885460000000004</v>
      </c>
      <c r="AB839">
        <v>31</v>
      </c>
      <c r="AC839">
        <v>0.76430000000004805</v>
      </c>
      <c r="AD839">
        <v>-0.12778129999999999</v>
      </c>
      <c r="AE839">
        <v>-4.2200000000036597E-2</v>
      </c>
      <c r="AF839">
        <v>4.4428027495457503E-2</v>
      </c>
      <c r="AG839">
        <v>-0.12778129999999999</v>
      </c>
      <c r="AH839">
        <v>0.74338507911803497</v>
      </c>
      <c r="AI839">
        <v>99.736283386480906</v>
      </c>
      <c r="AJ839">
        <v>86.579815354583999</v>
      </c>
      <c r="AK839">
        <v>0.75559465728137198</v>
      </c>
      <c r="AL839">
        <v>80.4307525787315</v>
      </c>
      <c r="AM839">
        <v>88.8094459724866</v>
      </c>
      <c r="AN839">
        <v>0.99999996771460398</v>
      </c>
    </row>
    <row r="840" spans="1:40" x14ac:dyDescent="0.25">
      <c r="A840" t="str">
        <f>"20190303162228372"</f>
        <v>20190303162228372</v>
      </c>
      <c r="B840" t="str">
        <f>"1551601348366288"</f>
        <v>1551601348366288</v>
      </c>
      <c r="C840" t="s">
        <v>40</v>
      </c>
      <c r="D840">
        <v>5.3251499999999998</v>
      </c>
      <c r="E840">
        <v>0.51103559999999904</v>
      </c>
      <c r="F840" t="s">
        <v>42</v>
      </c>
      <c r="G840">
        <v>-316.89150000000001</v>
      </c>
      <c r="H840">
        <v>1.002545</v>
      </c>
      <c r="I840">
        <v>366.74189999999999</v>
      </c>
      <c r="J840">
        <v>-317.48500000000001</v>
      </c>
      <c r="K840">
        <v>1.10702099999999</v>
      </c>
      <c r="L840">
        <v>366.7765</v>
      </c>
      <c r="M840">
        <v>0.99985809999999997</v>
      </c>
      <c r="N840">
        <v>-1.6207070000000001E-2</v>
      </c>
      <c r="O840">
        <v>4.6064410000000002E-3</v>
      </c>
      <c r="P840">
        <v>0.98854070000000005</v>
      </c>
      <c r="Q840">
        <v>0.1500997</v>
      </c>
      <c r="R840">
        <v>-1.6043080000000001E-2</v>
      </c>
      <c r="S840">
        <v>3.0974430000000002</v>
      </c>
      <c r="T840">
        <v>-0.42275040000000003</v>
      </c>
      <c r="U840">
        <v>-0.13363649999999999</v>
      </c>
      <c r="V840">
        <v>2.055392E-2</v>
      </c>
      <c r="W840">
        <v>0.16610559999999999</v>
      </c>
      <c r="X840">
        <v>0.98589369999999998</v>
      </c>
      <c r="Y840">
        <v>4.7184169999999998E-2</v>
      </c>
      <c r="Z840">
        <v>-4.1393489999999996E-3</v>
      </c>
      <c r="AA840">
        <v>0.99887760000000003</v>
      </c>
      <c r="AB840">
        <v>31</v>
      </c>
      <c r="AC840">
        <v>0.59350000000000502</v>
      </c>
      <c r="AD840">
        <v>-0.104475999999999</v>
      </c>
      <c r="AE840">
        <v>-3.4600000000011698E-2</v>
      </c>
      <c r="AF840">
        <v>3.62154755486837E-2</v>
      </c>
      <c r="AG840">
        <v>-0.104475999999999</v>
      </c>
      <c r="AH840">
        <v>0.57555935469323904</v>
      </c>
      <c r="AI840">
        <v>100.268478524223</v>
      </c>
      <c r="AJ840">
        <v>86.399568647607396</v>
      </c>
      <c r="AK840">
        <v>0.58608477716121798</v>
      </c>
      <c r="AL840">
        <v>80.438532586286598</v>
      </c>
      <c r="AM840">
        <v>88.805670129752201</v>
      </c>
      <c r="AN840">
        <v>0.99999996083920695</v>
      </c>
    </row>
    <row r="841" spans="1:40" x14ac:dyDescent="0.25">
      <c r="A841" t="str">
        <f>"20190303162228390"</f>
        <v>20190303162228390</v>
      </c>
      <c r="B841" t="str">
        <f>"1551601348384832"</f>
        <v>1551601348384832</v>
      </c>
      <c r="C841" t="s">
        <v>40</v>
      </c>
      <c r="D841">
        <v>5.3381369999999997</v>
      </c>
      <c r="E841">
        <v>0.51097219999999999</v>
      </c>
      <c r="F841" t="s">
        <v>42</v>
      </c>
      <c r="G841">
        <v>-316.62079999999997</v>
      </c>
      <c r="H841">
        <v>0.98951069999999997</v>
      </c>
      <c r="I841">
        <v>366.73930000000001</v>
      </c>
      <c r="J841">
        <v>-317.2294</v>
      </c>
      <c r="K841">
        <v>1.1050850000000001</v>
      </c>
      <c r="L841">
        <v>366.77769999999998</v>
      </c>
      <c r="M841">
        <v>0.99984649999999997</v>
      </c>
      <c r="N841">
        <v>-1.6879459999999999E-2</v>
      </c>
      <c r="O841">
        <v>4.7051319999999999E-3</v>
      </c>
      <c r="P841">
        <v>0.98872300000000002</v>
      </c>
      <c r="Q841">
        <v>0.148940299999999</v>
      </c>
      <c r="R841">
        <v>-1.562041E-2</v>
      </c>
      <c r="S841">
        <v>3.0965880000000001</v>
      </c>
      <c r="T841">
        <v>-0.42121969999999997</v>
      </c>
      <c r="U841">
        <v>-0.13238529999999901</v>
      </c>
      <c r="V841">
        <v>2.0228300000000001E-2</v>
      </c>
      <c r="W841">
        <v>0.16561229999999999</v>
      </c>
      <c r="X841">
        <v>0.98598350000000001</v>
      </c>
      <c r="Y841">
        <v>4.6895609999999997E-2</v>
      </c>
      <c r="Z841">
        <v>-4.1292689999999996E-3</v>
      </c>
      <c r="AA841">
        <v>0.99889119999999998</v>
      </c>
      <c r="AB841">
        <v>31</v>
      </c>
      <c r="AC841">
        <v>0.60860000000002301</v>
      </c>
      <c r="AD841">
        <v>-0.1155743</v>
      </c>
      <c r="AE841">
        <v>-3.8399999999967301E-2</v>
      </c>
      <c r="AF841">
        <v>3.9832744429484299E-2</v>
      </c>
      <c r="AG841">
        <v>-0.1155743</v>
      </c>
      <c r="AH841">
        <v>0.58731631207072998</v>
      </c>
      <c r="AI841">
        <v>101.107752276239</v>
      </c>
      <c r="AJ841">
        <v>86.120049030869097</v>
      </c>
      <c r="AK841">
        <v>0.59990375625898296</v>
      </c>
      <c r="AL841">
        <v>80.467194328196697</v>
      </c>
      <c r="AM841">
        <v>88.824692654185995</v>
      </c>
      <c r="AN841">
        <v>1.00000004015221</v>
      </c>
    </row>
    <row r="842" spans="1:40" x14ac:dyDescent="0.25">
      <c r="A842" t="str">
        <f>"20190303162228403"</f>
        <v>20190303162228403</v>
      </c>
      <c r="B842" t="str">
        <f>"1551601348395567"</f>
        <v>1551601348395567</v>
      </c>
      <c r="C842" t="s">
        <v>40</v>
      </c>
      <c r="D842">
        <v>5.3324089999999904</v>
      </c>
      <c r="E842">
        <v>0.5110053</v>
      </c>
      <c r="F842" t="s">
        <v>42</v>
      </c>
      <c r="G842">
        <v>-316.34620000000001</v>
      </c>
      <c r="H842">
        <v>0.98478330000000003</v>
      </c>
      <c r="I842">
        <v>366.74029999999999</v>
      </c>
      <c r="J842">
        <v>-317.04669999999999</v>
      </c>
      <c r="K842">
        <v>1.1036360000000001</v>
      </c>
      <c r="L842">
        <v>366.77870000000001</v>
      </c>
      <c r="M842">
        <v>0.9998397</v>
      </c>
      <c r="N842">
        <v>-1.7262860000000001E-2</v>
      </c>
      <c r="O842">
        <v>4.775255E-3</v>
      </c>
      <c r="P842">
        <v>0.98879059999999996</v>
      </c>
      <c r="Q842">
        <v>0.14851449999999999</v>
      </c>
      <c r="R842">
        <v>-1.538807E-2</v>
      </c>
      <c r="S842">
        <v>3.0957029999999999</v>
      </c>
      <c r="T842">
        <v>-0.42179319999999998</v>
      </c>
      <c r="U842">
        <v>-0.13055419999999901</v>
      </c>
      <c r="V842">
        <v>2.0064800000000001E-2</v>
      </c>
      <c r="W842">
        <v>0.1655662</v>
      </c>
      <c r="X842">
        <v>0.9859945</v>
      </c>
      <c r="Y842">
        <v>4.6390210000000001E-2</v>
      </c>
      <c r="Z842">
        <v>-4.1124459999999996E-3</v>
      </c>
      <c r="AA842">
        <v>0.998915</v>
      </c>
      <c r="AB842">
        <v>31</v>
      </c>
      <c r="AC842">
        <v>0.70049999999997603</v>
      </c>
      <c r="AD842">
        <v>-0.11885270000000001</v>
      </c>
      <c r="AE842">
        <v>-3.8400000000024102E-2</v>
      </c>
      <c r="AF842">
        <v>4.0580423056185401E-2</v>
      </c>
      <c r="AG842">
        <v>-0.11885270000000001</v>
      </c>
      <c r="AH842">
        <v>0.68076976451339499</v>
      </c>
      <c r="AI842">
        <v>99.8860130814369</v>
      </c>
      <c r="AJ842">
        <v>86.588657378419896</v>
      </c>
      <c r="AK842">
        <v>0.69225732737785595</v>
      </c>
      <c r="AL842">
        <v>80.469871851786607</v>
      </c>
      <c r="AM842">
        <v>88.834202722721798</v>
      </c>
      <c r="AN842">
        <v>0.99999995840586398</v>
      </c>
    </row>
    <row r="843" spans="1:40" x14ac:dyDescent="0.25">
      <c r="A843" t="str">
        <f>"20190303162228417"</f>
        <v>20190303162228417</v>
      </c>
      <c r="B843" t="str">
        <f>"1551601348405328"</f>
        <v>1551601348405328</v>
      </c>
      <c r="C843" t="s">
        <v>40</v>
      </c>
      <c r="D843">
        <v>5.357145</v>
      </c>
      <c r="E843">
        <v>0.51104680000000002</v>
      </c>
      <c r="F843" t="s">
        <v>42</v>
      </c>
      <c r="G843">
        <v>-316.07600000000002</v>
      </c>
      <c r="H843">
        <v>0.97143860000000004</v>
      </c>
      <c r="I843">
        <v>366.73750000000001</v>
      </c>
      <c r="J843">
        <v>-316.86110000000002</v>
      </c>
      <c r="K843">
        <v>1.1020760000000001</v>
      </c>
      <c r="L843">
        <v>366.77960000000002</v>
      </c>
      <c r="M843">
        <v>0.99983480000000002</v>
      </c>
      <c r="N843">
        <v>-1.751511E-2</v>
      </c>
      <c r="O843">
        <v>4.8519130000000002E-3</v>
      </c>
      <c r="P843">
        <v>0.98881209999999997</v>
      </c>
      <c r="Q843">
        <v>0.14838129999999999</v>
      </c>
      <c r="R843">
        <v>-1.5291559999999999E-2</v>
      </c>
      <c r="S843">
        <v>3.0953369999999998</v>
      </c>
      <c r="T843">
        <v>-0.42177999999999999</v>
      </c>
      <c r="U843">
        <v>-0.13037109999999999</v>
      </c>
      <c r="V843">
        <v>2.0042290000000001E-2</v>
      </c>
      <c r="W843">
        <v>0.16568229999999901</v>
      </c>
      <c r="X843">
        <v>0.9859755</v>
      </c>
      <c r="Y843">
        <v>4.6411309999999997E-2</v>
      </c>
      <c r="Z843">
        <v>-4.1281379999999999E-3</v>
      </c>
      <c r="AA843">
        <v>0.99891390000000002</v>
      </c>
      <c r="AB843">
        <v>31</v>
      </c>
      <c r="AC843">
        <v>0.78510000000005598</v>
      </c>
      <c r="AD843">
        <v>-0.13063739999999999</v>
      </c>
      <c r="AE843">
        <v>-4.2100000000004897E-2</v>
      </c>
      <c r="AF843">
        <v>4.4675904469820303E-2</v>
      </c>
      <c r="AG843">
        <v>-0.13063739999999999</v>
      </c>
      <c r="AH843">
        <v>0.76379933509702902</v>
      </c>
      <c r="AI843">
        <v>99.6894960609321</v>
      </c>
      <c r="AJ843">
        <v>86.652487847453898</v>
      </c>
      <c r="AK843">
        <v>0.776177486799005</v>
      </c>
      <c r="AL843">
        <v>80.4631270752391</v>
      </c>
      <c r="AM843">
        <v>88.835487795895901</v>
      </c>
      <c r="AN843">
        <v>1.0000000022609901</v>
      </c>
    </row>
    <row r="844" spans="1:40" x14ac:dyDescent="0.25">
      <c r="A844" t="str">
        <f>"20190303162228434"</f>
        <v>20190303162228434</v>
      </c>
      <c r="B844" t="str">
        <f>"1551601348424848"</f>
        <v>1551601348424848</v>
      </c>
      <c r="C844" t="s">
        <v>40</v>
      </c>
      <c r="D844">
        <v>5.3439209999999999</v>
      </c>
      <c r="E844">
        <v>0.51109769999999999</v>
      </c>
      <c r="F844" t="s">
        <v>42</v>
      </c>
      <c r="G844">
        <v>-316.06470000000002</v>
      </c>
      <c r="H844">
        <v>0.99394510000000003</v>
      </c>
      <c r="I844">
        <v>366.74579999999997</v>
      </c>
      <c r="J844">
        <v>-316.61880000000002</v>
      </c>
      <c r="K844">
        <v>1.099993</v>
      </c>
      <c r="L844">
        <v>366.78089999999997</v>
      </c>
      <c r="M844">
        <v>0.99982879999999996</v>
      </c>
      <c r="N844">
        <v>-1.7831650000000001E-2</v>
      </c>
      <c r="O844">
        <v>4.942569E-3</v>
      </c>
      <c r="P844">
        <v>0.98889459999999996</v>
      </c>
      <c r="Q844">
        <v>0.14785129999999999</v>
      </c>
      <c r="R844">
        <v>-1.509427E-2</v>
      </c>
      <c r="S844">
        <v>3.095062</v>
      </c>
      <c r="T844">
        <v>-0.42052820000000002</v>
      </c>
      <c r="U844">
        <v>-0.1304321</v>
      </c>
      <c r="V844">
        <v>1.9933590000000001E-2</v>
      </c>
      <c r="W844">
        <v>0.165466</v>
      </c>
      <c r="X844">
        <v>0.98601399999999995</v>
      </c>
      <c r="Y844">
        <v>4.6525490000000003E-2</v>
      </c>
      <c r="Z844">
        <v>-4.1425209999999997E-3</v>
      </c>
      <c r="AA844">
        <v>0.99890849999999998</v>
      </c>
      <c r="AB844">
        <v>31</v>
      </c>
      <c r="AC844">
        <v>0.55410000000000503</v>
      </c>
      <c r="AD844">
        <v>-0.1060479</v>
      </c>
      <c r="AE844">
        <v>-3.5099999999999902E-2</v>
      </c>
      <c r="AF844">
        <v>3.6506811924107201E-2</v>
      </c>
      <c r="AG844">
        <v>-0.1060479</v>
      </c>
      <c r="AH844">
        <v>0.53442246877483202</v>
      </c>
      <c r="AI844">
        <v>101.198229177106</v>
      </c>
      <c r="AJ844">
        <v>86.092151946757198</v>
      </c>
      <c r="AK844">
        <v>0.54606435476293302</v>
      </c>
      <c r="AL844">
        <v>80.475693357920605</v>
      </c>
      <c r="AM844">
        <v>88.841847050782306</v>
      </c>
      <c r="AN844">
        <v>0.99999997668114304</v>
      </c>
    </row>
    <row r="845" spans="1:40" x14ac:dyDescent="0.25">
      <c r="A845" t="str">
        <f>"20190303162228457"</f>
        <v>20190303162228457</v>
      </c>
      <c r="B845" t="str">
        <f>"1551601348445344"</f>
        <v>1551601348445344</v>
      </c>
      <c r="C845" t="s">
        <v>40</v>
      </c>
      <c r="D845">
        <v>5.3860999999999999</v>
      </c>
      <c r="E845">
        <v>0.51102409999999998</v>
      </c>
      <c r="F845" t="s">
        <v>42</v>
      </c>
      <c r="G845">
        <v>-315.7919</v>
      </c>
      <c r="H845">
        <v>0.98769200000000001</v>
      </c>
      <c r="I845">
        <v>366.74590000000001</v>
      </c>
      <c r="J845">
        <v>-316.31290000000001</v>
      </c>
      <c r="K845">
        <v>1.0973010000000001</v>
      </c>
      <c r="L845">
        <v>366.7826</v>
      </c>
      <c r="M845">
        <v>0.99982190000000004</v>
      </c>
      <c r="N845">
        <v>-1.8187620000000002E-2</v>
      </c>
      <c r="O845">
        <v>5.0513470000000003E-3</v>
      </c>
      <c r="P845">
        <v>0.98890919999999904</v>
      </c>
      <c r="Q845">
        <v>0.1477658</v>
      </c>
      <c r="R845">
        <v>-1.4968469999999999E-2</v>
      </c>
      <c r="S845">
        <v>3.0945429999999998</v>
      </c>
      <c r="T845">
        <v>-0.42034909999999998</v>
      </c>
      <c r="U845">
        <v>-0.1305847</v>
      </c>
      <c r="V845">
        <v>1.9914910000000001E-2</v>
      </c>
      <c r="W845">
        <v>0.16573170000000001</v>
      </c>
      <c r="X845">
        <v>0.98596980000000001</v>
      </c>
      <c r="Y845">
        <v>4.6687300000000001E-2</v>
      </c>
      <c r="Z845">
        <v>-4.1732679999999999E-3</v>
      </c>
      <c r="AA845">
        <v>0.99890080000000003</v>
      </c>
      <c r="AB845">
        <v>31</v>
      </c>
      <c r="AC845">
        <v>0.52100000000001501</v>
      </c>
      <c r="AD845">
        <v>-0.109609</v>
      </c>
      <c r="AE845">
        <v>-3.6699999999996097E-2</v>
      </c>
      <c r="AF845">
        <v>3.7672543271219001E-2</v>
      </c>
      <c r="AG845">
        <v>-0.109609</v>
      </c>
      <c r="AH845">
        <v>0.49883809266409002</v>
      </c>
      <c r="AI845">
        <v>102.358479528633</v>
      </c>
      <c r="AJ845">
        <v>85.6811874914832</v>
      </c>
      <c r="AK845">
        <v>0.51212576198651505</v>
      </c>
      <c r="AL845">
        <v>80.460257187104105</v>
      </c>
      <c r="AM845">
        <v>88.842880218195504</v>
      </c>
      <c r="AN845">
        <v>1.0000000232686099</v>
      </c>
    </row>
    <row r="846" spans="1:40" x14ac:dyDescent="0.25">
      <c r="A846" t="str">
        <f>"20190303162228481"</f>
        <v>20190303162228481</v>
      </c>
      <c r="B846" t="str">
        <f>"1551601348475599"</f>
        <v>1551601348475599</v>
      </c>
      <c r="C846" t="s">
        <v>40</v>
      </c>
      <c r="D846">
        <v>5.3276839999999996</v>
      </c>
      <c r="E846">
        <v>0.51121819999999996</v>
      </c>
      <c r="F846" t="s">
        <v>42</v>
      </c>
      <c r="G846">
        <v>-315.51600000000002</v>
      </c>
      <c r="H846">
        <v>0.98943139999999996</v>
      </c>
      <c r="I846">
        <v>366.74860000000001</v>
      </c>
      <c r="J846">
        <v>-315.99160000000001</v>
      </c>
      <c r="K846">
        <v>1.0944499999999999</v>
      </c>
      <c r="L846">
        <v>366.78440000000001</v>
      </c>
      <c r="M846">
        <v>0.99981699999999996</v>
      </c>
      <c r="N846">
        <v>-1.8419209999999998E-2</v>
      </c>
      <c r="O846">
        <v>5.1815730000000001E-3</v>
      </c>
      <c r="P846">
        <v>0.98891189999999995</v>
      </c>
      <c r="Q846">
        <v>0.1477947</v>
      </c>
      <c r="R846">
        <v>-1.450037E-2</v>
      </c>
      <c r="S846">
        <v>3.0943299999999998</v>
      </c>
      <c r="T846">
        <v>-0.41908649999999997</v>
      </c>
      <c r="U846">
        <v>-0.13046259999999901</v>
      </c>
      <c r="V846">
        <v>1.957648E-2</v>
      </c>
      <c r="W846">
        <v>0.16598889999999999</v>
      </c>
      <c r="X846">
        <v>0.98593330000000001</v>
      </c>
      <c r="Y846">
        <v>4.6781440000000001E-2</v>
      </c>
      <c r="Z846">
        <v>-4.1887460000000001E-3</v>
      </c>
      <c r="AA846">
        <v>0.99889640000000002</v>
      </c>
      <c r="AB846">
        <v>31</v>
      </c>
      <c r="AC846">
        <v>0.47560000000004199</v>
      </c>
      <c r="AD846">
        <v>-0.105018599999999</v>
      </c>
      <c r="AE846">
        <v>-3.5799999999994697E-2</v>
      </c>
      <c r="AF846">
        <v>3.6494889309274497E-2</v>
      </c>
      <c r="AG846">
        <v>-0.105018599999999</v>
      </c>
      <c r="AH846">
        <v>0.453424427883443</v>
      </c>
      <c r="AI846">
        <v>102.99985612339199</v>
      </c>
      <c r="AJ846">
        <v>85.398339477540006</v>
      </c>
      <c r="AK846">
        <v>0.466855968252612</v>
      </c>
      <c r="AL846">
        <v>80.445313633790207</v>
      </c>
      <c r="AM846">
        <v>88.862496771037698</v>
      </c>
      <c r="AN846">
        <v>1.0000000127706401</v>
      </c>
    </row>
    <row r="847" spans="1:40" x14ac:dyDescent="0.25">
      <c r="A847" t="str">
        <f>"20190303162228501"</f>
        <v>20190303162228501</v>
      </c>
      <c r="B847" t="str">
        <f>"1551601348495119"</f>
        <v>1551601348495119</v>
      </c>
      <c r="C847" t="s">
        <v>40</v>
      </c>
      <c r="D847">
        <v>5.406123</v>
      </c>
      <c r="E847">
        <v>0.51122800000000002</v>
      </c>
      <c r="F847" t="s">
        <v>42</v>
      </c>
      <c r="G847">
        <v>-315.24110000000002</v>
      </c>
      <c r="H847">
        <v>0.99072190000000004</v>
      </c>
      <c r="I847">
        <v>366.75259999999997</v>
      </c>
      <c r="J847">
        <v>-315.70069999999998</v>
      </c>
      <c r="K847">
        <v>1.091901</v>
      </c>
      <c r="L847">
        <v>366.786</v>
      </c>
      <c r="M847">
        <v>0.99981600000000004</v>
      </c>
      <c r="N847">
        <v>-1.8435429999999999E-2</v>
      </c>
      <c r="O847">
        <v>5.3094209999999999E-3</v>
      </c>
      <c r="P847">
        <v>0.98880970000000001</v>
      </c>
      <c r="Q847">
        <v>0.14855869999999999</v>
      </c>
      <c r="R847">
        <v>-1.3630679999999999E-2</v>
      </c>
      <c r="S847">
        <v>3.0956730000000001</v>
      </c>
      <c r="T847">
        <v>-0.42787740000000002</v>
      </c>
      <c r="U847">
        <v>-0.130889899999999</v>
      </c>
      <c r="V847">
        <v>1.883408E-2</v>
      </c>
      <c r="W847">
        <v>0.1667662</v>
      </c>
      <c r="X847">
        <v>0.98581660000000004</v>
      </c>
      <c r="Y847">
        <v>4.700468E-2</v>
      </c>
      <c r="Z847">
        <v>-4.3001209999999996E-3</v>
      </c>
      <c r="AA847">
        <v>0.99888540000000003</v>
      </c>
      <c r="AB847">
        <v>31</v>
      </c>
      <c r="AC847">
        <v>0.45959999999996598</v>
      </c>
      <c r="AD847">
        <v>-0.10117909999999899</v>
      </c>
      <c r="AE847">
        <v>-3.3400000000028698E-2</v>
      </c>
      <c r="AF847">
        <v>3.4191779727071298E-2</v>
      </c>
      <c r="AG847">
        <v>-0.10117909999999899</v>
      </c>
      <c r="AH847">
        <v>0.43828651339525099</v>
      </c>
      <c r="AI847">
        <v>102.961047554579</v>
      </c>
      <c r="AJ847">
        <v>85.539253760414894</v>
      </c>
      <c r="AK847">
        <v>0.451111245594565</v>
      </c>
      <c r="AL847">
        <v>80.400148264020302</v>
      </c>
      <c r="AM847">
        <v>88.905494155281403</v>
      </c>
      <c r="AN847">
        <v>1.00000002843372</v>
      </c>
    </row>
    <row r="848" spans="1:40" x14ac:dyDescent="0.25">
      <c r="A848" t="str">
        <f>"20190303162228525"</f>
        <v>20190303162228525</v>
      </c>
      <c r="B848" t="str">
        <f>"1551601348515615"</f>
        <v>1551601348515615</v>
      </c>
      <c r="C848" t="s">
        <v>40</v>
      </c>
      <c r="D848">
        <v>5.4072899999999997</v>
      </c>
      <c r="E848">
        <v>0.51945039999999998</v>
      </c>
      <c r="F848" t="s">
        <v>42</v>
      </c>
      <c r="G848">
        <v>-314.9674</v>
      </c>
      <c r="H848">
        <v>0.99064859999999999</v>
      </c>
      <c r="I848">
        <v>366.75529999999998</v>
      </c>
      <c r="J848">
        <v>-315.3938</v>
      </c>
      <c r="K848">
        <v>1.089329</v>
      </c>
      <c r="L848">
        <v>366.7878</v>
      </c>
      <c r="M848">
        <v>0.99981799999999998</v>
      </c>
      <c r="N848">
        <v>-1.8280210000000002E-2</v>
      </c>
      <c r="O848">
        <v>5.4490069999999996E-3</v>
      </c>
      <c r="P848">
        <v>0.98869589999999996</v>
      </c>
      <c r="Q848">
        <v>0.14940300000000001</v>
      </c>
      <c r="R848">
        <v>-1.2631409999999999E-2</v>
      </c>
      <c r="S848">
        <v>3.0964360000000002</v>
      </c>
      <c r="T848">
        <v>-0.42766929999999997</v>
      </c>
      <c r="U848">
        <v>-0.1285095</v>
      </c>
      <c r="V848">
        <v>1.7972459999999999E-2</v>
      </c>
      <c r="W848">
        <v>0.16745539999999901</v>
      </c>
      <c r="X848">
        <v>0.98571580000000003</v>
      </c>
      <c r="Y848">
        <v>4.6374110000000003E-2</v>
      </c>
      <c r="Z848">
        <v>-4.2619650000000004E-3</v>
      </c>
      <c r="AA848">
        <v>0.99891509999999994</v>
      </c>
      <c r="AB848">
        <v>31</v>
      </c>
      <c r="AC848">
        <v>0.426400000000001</v>
      </c>
      <c r="AD848">
        <v>-9.8680400000000099E-2</v>
      </c>
      <c r="AE848">
        <v>-3.2500000000027202E-2</v>
      </c>
      <c r="AF848">
        <v>3.3062800267180399E-2</v>
      </c>
      <c r="AG848">
        <v>-9.8680400000000099E-2</v>
      </c>
      <c r="AH848">
        <v>0.40466834759480602</v>
      </c>
      <c r="AI848">
        <v>103.66058975450601</v>
      </c>
      <c r="AJ848">
        <v>85.329112115232704</v>
      </c>
      <c r="AK848">
        <v>0.41783662076316103</v>
      </c>
      <c r="AL848">
        <v>80.360096336677699</v>
      </c>
      <c r="AM848">
        <v>88.955447382440099</v>
      </c>
      <c r="AN848">
        <v>0.99999997933862494</v>
      </c>
    </row>
    <row r="849" spans="1:40" x14ac:dyDescent="0.25">
      <c r="A849" t="str">
        <f>"20190303162228546"</f>
        <v>20190303162228546</v>
      </c>
      <c r="B849" t="str">
        <f>"1551601348535135"</f>
        <v>1551601348535135</v>
      </c>
      <c r="C849" t="s">
        <v>40</v>
      </c>
      <c r="D849">
        <v>5.3917000000000002</v>
      </c>
      <c r="E849">
        <v>0.52193650000000003</v>
      </c>
      <c r="F849" t="s">
        <v>42</v>
      </c>
      <c r="G849">
        <v>-314.47489999999999</v>
      </c>
      <c r="H849">
        <v>0.88298750000000004</v>
      </c>
      <c r="I849">
        <v>366.73149999999998</v>
      </c>
      <c r="J849">
        <v>-315.09280000000001</v>
      </c>
      <c r="K849">
        <v>1.0869690000000001</v>
      </c>
      <c r="L849">
        <v>366.78960000000001</v>
      </c>
      <c r="M849">
        <v>0.99982219999999999</v>
      </c>
      <c r="N849">
        <v>-1.8021329999999999E-2</v>
      </c>
      <c r="O849">
        <v>5.5763030000000003E-3</v>
      </c>
      <c r="P849">
        <v>0.98859450000000004</v>
      </c>
      <c r="Q849">
        <v>0.15014859999999999</v>
      </c>
      <c r="R849">
        <v>-1.168367E-2</v>
      </c>
      <c r="S849">
        <v>3.1383670000000001</v>
      </c>
      <c r="T849">
        <v>-0.70488790000000001</v>
      </c>
      <c r="U849">
        <v>-0.1912537</v>
      </c>
      <c r="V849">
        <v>1.715154E-2</v>
      </c>
      <c r="W849">
        <v>0.16794329999999999</v>
      </c>
      <c r="X849">
        <v>0.98564739999999995</v>
      </c>
      <c r="Y849">
        <v>6.4542070000000007E-2</v>
      </c>
      <c r="Z849">
        <v>-8.8792049999999994E-3</v>
      </c>
      <c r="AA849">
        <v>0.99787550000000003</v>
      </c>
      <c r="AB849">
        <v>30</v>
      </c>
      <c r="AC849">
        <v>0.61790000000001999</v>
      </c>
      <c r="AD849">
        <v>-0.20398150000000001</v>
      </c>
      <c r="AE849">
        <v>-5.8100000000024403E-2</v>
      </c>
      <c r="AF849">
        <v>5.5545028447529503E-2</v>
      </c>
      <c r="AG849">
        <v>-0.20398150000000001</v>
      </c>
      <c r="AH849">
        <v>0.55735802449290694</v>
      </c>
      <c r="AI849">
        <v>110.01037610570501</v>
      </c>
      <c r="AJ849">
        <v>84.308824701316098</v>
      </c>
      <c r="AK849">
        <v>0.59610541852437704</v>
      </c>
      <c r="AL849">
        <v>80.331739982922699</v>
      </c>
      <c r="AM849">
        <v>89.003079922659595</v>
      </c>
      <c r="AN849">
        <v>0.99999996223301002</v>
      </c>
    </row>
    <row r="850" spans="1:40" x14ac:dyDescent="0.25">
      <c r="A850" t="str">
        <f>"20190303162228568"</f>
        <v>20190303162228568</v>
      </c>
      <c r="B850" t="str">
        <f>"1551601348565392"</f>
        <v>1551601348565392</v>
      </c>
      <c r="C850" t="s">
        <v>40</v>
      </c>
      <c r="D850">
        <v>5.4094920000000002</v>
      </c>
      <c r="E850">
        <v>0.52277779999999996</v>
      </c>
      <c r="F850" t="s">
        <v>42</v>
      </c>
      <c r="G850">
        <v>-314.21530000000001</v>
      </c>
      <c r="H850">
        <v>0.85449050000000004</v>
      </c>
      <c r="I850">
        <v>366.73160000000001</v>
      </c>
      <c r="J850">
        <v>-314.78960000000001</v>
      </c>
      <c r="K850">
        <v>1.0847960000000001</v>
      </c>
      <c r="L850">
        <v>366.79140000000001</v>
      </c>
      <c r="M850">
        <v>0.99982709999999997</v>
      </c>
      <c r="N850">
        <v>-1.7706019999999999E-2</v>
      </c>
      <c r="O850">
        <v>5.6981979999999998E-3</v>
      </c>
      <c r="P850">
        <v>0.98849489999999995</v>
      </c>
      <c r="Q850">
        <v>0.15085699999999999</v>
      </c>
      <c r="R850">
        <v>-1.096108E-2</v>
      </c>
      <c r="S850">
        <v>3.1593019999999998</v>
      </c>
      <c r="T850">
        <v>-0.83700640000000004</v>
      </c>
      <c r="U850">
        <v>-0.20858760000000001</v>
      </c>
      <c r="V850">
        <v>1.6550539999999999E-2</v>
      </c>
      <c r="W850">
        <v>0.1683386</v>
      </c>
      <c r="X850">
        <v>0.98559030000000003</v>
      </c>
      <c r="Y850">
        <v>6.8864899999999896E-2</v>
      </c>
      <c r="Z850">
        <v>-1.096313E-2</v>
      </c>
      <c r="AA850">
        <v>0.9975657</v>
      </c>
      <c r="AB850">
        <v>30</v>
      </c>
      <c r="AC850">
        <v>0.57429999999999304</v>
      </c>
      <c r="AD850">
        <v>-0.230305499999999</v>
      </c>
      <c r="AE850">
        <v>-5.97999999999956E-2</v>
      </c>
      <c r="AF850">
        <v>5.4415035750018E-2</v>
      </c>
      <c r="AG850">
        <v>-0.230305499999999</v>
      </c>
      <c r="AH850">
        <v>0.49517209372259702</v>
      </c>
      <c r="AI850">
        <v>114.811989028407</v>
      </c>
      <c r="AJ850">
        <v>83.728863104827994</v>
      </c>
      <c r="AK850">
        <v>0.54881419610606497</v>
      </c>
      <c r="AL850">
        <v>80.308764433362299</v>
      </c>
      <c r="AM850">
        <v>89.037950179295805</v>
      </c>
      <c r="AN850">
        <v>1.00000002203917</v>
      </c>
    </row>
    <row r="851" spans="1:40" x14ac:dyDescent="0.25">
      <c r="A851" t="str">
        <f>"20190303162228590"</f>
        <v>20190303162228590</v>
      </c>
      <c r="B851" t="str">
        <f>"1551601348584912"</f>
        <v>1551601348584912</v>
      </c>
      <c r="C851" t="s">
        <v>40</v>
      </c>
      <c r="D851">
        <v>5.3961069999999998</v>
      </c>
      <c r="E851">
        <v>0.52327279999999998</v>
      </c>
      <c r="F851" t="s">
        <v>42</v>
      </c>
      <c r="G851">
        <v>-313.9486</v>
      </c>
      <c r="H851">
        <v>0.84106270000000005</v>
      </c>
      <c r="I851">
        <v>366.73480000000001</v>
      </c>
      <c r="J851">
        <v>-314.48970000000003</v>
      </c>
      <c r="K851">
        <v>1.0828519999999999</v>
      </c>
      <c r="L851">
        <v>366.79329999999999</v>
      </c>
      <c r="M851">
        <v>0.99983219999999995</v>
      </c>
      <c r="N851">
        <v>-1.7375450000000001E-2</v>
      </c>
      <c r="O851">
        <v>5.8147669999999898E-3</v>
      </c>
      <c r="P851">
        <v>0.98847280000000004</v>
      </c>
      <c r="Q851">
        <v>0.1510483</v>
      </c>
      <c r="R851">
        <v>-1.0303669999999999E-2</v>
      </c>
      <c r="S851">
        <v>3.1729129999999999</v>
      </c>
      <c r="T851">
        <v>-0.91960330000000001</v>
      </c>
      <c r="U851">
        <v>-0.212677</v>
      </c>
      <c r="V851">
        <v>1.600996E-2</v>
      </c>
      <c r="W851">
        <v>0.16820370000000001</v>
      </c>
      <c r="X851">
        <v>0.9856222</v>
      </c>
      <c r="Y851">
        <v>6.9445750000000001E-2</v>
      </c>
      <c r="Z851">
        <v>-1.2017949999999999E-2</v>
      </c>
      <c r="AA851">
        <v>0.99751339999999999</v>
      </c>
      <c r="AB851">
        <v>30</v>
      </c>
      <c r="AC851">
        <v>0.541100000000028</v>
      </c>
      <c r="AD851">
        <v>-0.24178930000000001</v>
      </c>
      <c r="AE851">
        <v>-5.8499999999980901E-2</v>
      </c>
      <c r="AF851">
        <v>5.1484556020756501E-2</v>
      </c>
      <c r="AG851">
        <v>-0.24178930000000001</v>
      </c>
      <c r="AH851">
        <v>0.45161683437999001</v>
      </c>
      <c r="AI851">
        <v>118.010320695728</v>
      </c>
      <c r="AJ851">
        <v>83.496328263368994</v>
      </c>
      <c r="AK851">
        <v>0.51484996863022903</v>
      </c>
      <c r="AL851">
        <v>80.316604856933097</v>
      </c>
      <c r="AM851">
        <v>89.069397509838495</v>
      </c>
      <c r="AN851">
        <v>0.99999996232286503</v>
      </c>
    </row>
    <row r="852" spans="1:40" x14ac:dyDescent="0.25">
      <c r="A852" t="str">
        <f>"20190303162228612"</f>
        <v>20190303162228612</v>
      </c>
      <c r="B852" t="str">
        <f>"1551601348605408"</f>
        <v>1551601348605408</v>
      </c>
      <c r="C852" t="s">
        <v>40</v>
      </c>
      <c r="D852">
        <v>5.4102620000000003</v>
      </c>
      <c r="E852">
        <v>0.52342559999999905</v>
      </c>
      <c r="F852" t="s">
        <v>42</v>
      </c>
      <c r="G852">
        <v>-313.6771</v>
      </c>
      <c r="H852">
        <v>0.84036429999999995</v>
      </c>
      <c r="I852">
        <v>366.73849999999999</v>
      </c>
      <c r="J852">
        <v>-314.20260000000002</v>
      </c>
      <c r="K852">
        <v>1.0811919999999999</v>
      </c>
      <c r="L852">
        <v>366.79509999999999</v>
      </c>
      <c r="M852">
        <v>0.99983690000000003</v>
      </c>
      <c r="N852">
        <v>-1.706802E-2</v>
      </c>
      <c r="O852">
        <v>5.9208790000000004E-3</v>
      </c>
      <c r="P852">
        <v>0.98850530000000003</v>
      </c>
      <c r="Q852">
        <v>0.15083589999999999</v>
      </c>
      <c r="R852">
        <v>-1.0303329999999999E-2</v>
      </c>
      <c r="S852">
        <v>3.177673</v>
      </c>
      <c r="T852">
        <v>-0.94821630000000001</v>
      </c>
      <c r="U852">
        <v>-0.21463009999999999</v>
      </c>
      <c r="V852">
        <v>1.611551E-2</v>
      </c>
      <c r="W852">
        <v>0.16768849999999999</v>
      </c>
      <c r="X852">
        <v>0.98570829999999998</v>
      </c>
      <c r="Y852">
        <v>6.9856180000000004E-2</v>
      </c>
      <c r="Z852">
        <v>-1.2428130000000001E-2</v>
      </c>
      <c r="AA852">
        <v>0.99747969999999997</v>
      </c>
      <c r="AB852">
        <v>30</v>
      </c>
      <c r="AC852">
        <v>0.52550000000002195</v>
      </c>
      <c r="AD852">
        <v>-0.24082770000000001</v>
      </c>
      <c r="AE852">
        <v>-5.6600000000003002E-2</v>
      </c>
      <c r="AF852">
        <v>4.9445305956340398E-2</v>
      </c>
      <c r="AG852">
        <v>-0.24082770000000001</v>
      </c>
      <c r="AH852">
        <v>0.43487014420538</v>
      </c>
      <c r="AI852">
        <v>118.82165103125</v>
      </c>
      <c r="AJ852">
        <v>83.513252506317698</v>
      </c>
      <c r="AK852">
        <v>0.49955466336489601</v>
      </c>
      <c r="AL852">
        <v>80.346549309481702</v>
      </c>
      <c r="AM852">
        <v>89.063345158198601</v>
      </c>
      <c r="AN852">
        <v>0.99999999769185</v>
      </c>
    </row>
    <row r="853" spans="1:40" x14ac:dyDescent="0.25">
      <c r="A853" t="str">
        <f>"20190303162228646"</f>
        <v>20190303162228646</v>
      </c>
      <c r="B853" t="str">
        <f>"1551601348635664"</f>
        <v>1551601348635664</v>
      </c>
      <c r="C853" t="s">
        <v>40</v>
      </c>
      <c r="D853">
        <v>5.4298129999999896</v>
      </c>
      <c r="E853">
        <v>0.52360070000000003</v>
      </c>
      <c r="F853" t="s">
        <v>42</v>
      </c>
      <c r="G853">
        <v>-313.40629999999999</v>
      </c>
      <c r="H853">
        <v>0.83871010000000001</v>
      </c>
      <c r="I853">
        <v>366.74059999999997</v>
      </c>
      <c r="J853">
        <v>-313.74279999999999</v>
      </c>
      <c r="K853">
        <v>1.078921</v>
      </c>
      <c r="L853">
        <v>366.798</v>
      </c>
      <c r="M853">
        <v>0.99984309999999998</v>
      </c>
      <c r="N853">
        <v>-1.6633220000000001E-2</v>
      </c>
      <c r="O853">
        <v>6.0918109999999999E-3</v>
      </c>
      <c r="P853">
        <v>0.98852609999999996</v>
      </c>
      <c r="Q853">
        <v>0.15069569999999999</v>
      </c>
      <c r="R853">
        <v>-1.0330519999999999E-2</v>
      </c>
      <c r="S853">
        <v>3.1803889999999999</v>
      </c>
      <c r="T853">
        <v>-0.96841840000000001</v>
      </c>
      <c r="U853">
        <v>-0.21688840000000001</v>
      </c>
      <c r="V853">
        <v>1.631436E-2</v>
      </c>
      <c r="W853">
        <v>0.16711970000000001</v>
      </c>
      <c r="X853">
        <v>0.98580159999999994</v>
      </c>
      <c r="Y853">
        <v>7.0504659999999997E-2</v>
      </c>
      <c r="Z853">
        <v>-1.2798530000000001E-2</v>
      </c>
      <c r="AA853">
        <v>0.99742940000000002</v>
      </c>
      <c r="AB853">
        <v>30</v>
      </c>
      <c r="AC853">
        <v>0.33650000000000002</v>
      </c>
      <c r="AD853">
        <v>-0.2402109</v>
      </c>
      <c r="AE853">
        <v>-5.7400000000029601E-2</v>
      </c>
      <c r="AF853">
        <v>3.9760635230861999E-2</v>
      </c>
      <c r="AG853">
        <v>-0.2402109</v>
      </c>
      <c r="AH853">
        <v>0.22481917401233401</v>
      </c>
      <c r="AI853">
        <v>136.45530071360599</v>
      </c>
      <c r="AJ853">
        <v>79.970602261037996</v>
      </c>
      <c r="AK853">
        <v>0.33139982739337598</v>
      </c>
      <c r="AL853">
        <v>80.379605393368905</v>
      </c>
      <c r="AM853">
        <v>89.051879555235402</v>
      </c>
      <c r="AN853">
        <v>0.999999973516429</v>
      </c>
    </row>
    <row r="854" spans="1:40" x14ac:dyDescent="0.25">
      <c r="A854" t="str">
        <f>"20190303162228668"</f>
        <v>20190303162228668</v>
      </c>
      <c r="B854" t="str">
        <f>"1551601348664944"</f>
        <v>1551601348664944</v>
      </c>
      <c r="C854" t="s">
        <v>40</v>
      </c>
      <c r="D854">
        <v>5.4290640000000003</v>
      </c>
      <c r="E854">
        <v>0.52360839999999997</v>
      </c>
      <c r="F854" t="s">
        <v>42</v>
      </c>
      <c r="G854">
        <v>-312.87569999999999</v>
      </c>
      <c r="H854">
        <v>0.81027499999999997</v>
      </c>
      <c r="I854">
        <v>366.73840000000001</v>
      </c>
      <c r="J854">
        <v>-313.43770000000001</v>
      </c>
      <c r="K854">
        <v>1.0776669999999999</v>
      </c>
      <c r="L854">
        <v>366.8</v>
      </c>
      <c r="M854">
        <v>0.99984629999999997</v>
      </c>
      <c r="N854">
        <v>-1.6392830000000001E-2</v>
      </c>
      <c r="O854">
        <v>6.211795E-3</v>
      </c>
      <c r="P854">
        <v>0.98857890000000004</v>
      </c>
      <c r="Q854">
        <v>0.15032409999999999</v>
      </c>
      <c r="R854">
        <v>-1.070288E-2</v>
      </c>
      <c r="S854">
        <v>3.1828609999999999</v>
      </c>
      <c r="T854">
        <v>-0.98616409999999999</v>
      </c>
      <c r="U854">
        <v>-0.21777340000000001</v>
      </c>
      <c r="V854">
        <v>1.6808070000000001E-2</v>
      </c>
      <c r="W854">
        <v>0.166512299999999</v>
      </c>
      <c r="X854">
        <v>0.98589610000000005</v>
      </c>
      <c r="Y854">
        <v>7.0712430000000007E-2</v>
      </c>
      <c r="Z854">
        <v>-1.306528E-2</v>
      </c>
      <c r="AA854">
        <v>0.99741120000000005</v>
      </c>
      <c r="AB854">
        <v>30</v>
      </c>
      <c r="AC854">
        <v>0.56200000000001105</v>
      </c>
      <c r="AD854">
        <v>-0.26739200000000002</v>
      </c>
      <c r="AE854">
        <v>-6.1599999999998503E-2</v>
      </c>
      <c r="AF854">
        <v>5.3192028646268999E-2</v>
      </c>
      <c r="AG854">
        <v>-0.26739200000000002</v>
      </c>
      <c r="AH854">
        <v>0.458946762446725</v>
      </c>
      <c r="AI854">
        <v>120.059975508779</v>
      </c>
      <c r="AJ854">
        <v>83.3889034905947</v>
      </c>
      <c r="AK854">
        <v>0.53381645191567195</v>
      </c>
      <c r="AL854">
        <v>80.414901563994306</v>
      </c>
      <c r="AM854">
        <v>89.023286341563605</v>
      </c>
      <c r="AN854">
        <v>0.99999998863181205</v>
      </c>
    </row>
    <row r="855" spans="1:40" x14ac:dyDescent="0.25">
      <c r="A855" t="str">
        <f>"20190303162228691"</f>
        <v>20190303162228691</v>
      </c>
      <c r="B855" t="str">
        <f>"1551601348685440"</f>
        <v>1551601348685440</v>
      </c>
      <c r="C855" t="s">
        <v>40</v>
      </c>
      <c r="D855">
        <v>5.4523089999999996</v>
      </c>
      <c r="E855">
        <v>0.52351179999999997</v>
      </c>
      <c r="F855" t="s">
        <v>42</v>
      </c>
      <c r="G855">
        <v>-312.60300000000001</v>
      </c>
      <c r="H855">
        <v>0.81613169999999902</v>
      </c>
      <c r="I855">
        <v>366.74270000000001</v>
      </c>
      <c r="J855">
        <v>-313.13369999999998</v>
      </c>
      <c r="K855">
        <v>1.076597</v>
      </c>
      <c r="L855">
        <v>366.8021</v>
      </c>
      <c r="M855">
        <v>0.99984910000000005</v>
      </c>
      <c r="N855">
        <v>-1.6181460000000002E-2</v>
      </c>
      <c r="O855">
        <v>6.3329249999999997E-3</v>
      </c>
      <c r="P855">
        <v>0.98859129999999995</v>
      </c>
      <c r="Q855">
        <v>0.15022170000000001</v>
      </c>
      <c r="R855">
        <v>-1.1001260000000001E-2</v>
      </c>
      <c r="S855">
        <v>3.184021</v>
      </c>
      <c r="T855">
        <v>-0.99765939999999997</v>
      </c>
      <c r="U855">
        <v>-0.2185059</v>
      </c>
      <c r="V855">
        <v>1.722771E-2</v>
      </c>
      <c r="W855">
        <v>0.16620099999999999</v>
      </c>
      <c r="X855">
        <v>0.98594139999999997</v>
      </c>
      <c r="Y855">
        <v>7.0940699999999995E-2</v>
      </c>
      <c r="Z855">
        <v>-1.326651E-2</v>
      </c>
      <c r="AA855">
        <v>0.99739230000000001</v>
      </c>
      <c r="AB855">
        <v>30</v>
      </c>
      <c r="AC855">
        <v>0.53069999999996698</v>
      </c>
      <c r="AD855">
        <v>-0.26046530000000001</v>
      </c>
      <c r="AE855">
        <v>-5.93999999999823E-2</v>
      </c>
      <c r="AF855">
        <v>5.0698866455652601E-2</v>
      </c>
      <c r="AG855">
        <v>-0.26046530000000001</v>
      </c>
      <c r="AH855">
        <v>0.42839735764598202</v>
      </c>
      <c r="AI855">
        <v>121.122983672971</v>
      </c>
      <c r="AJ855">
        <v>83.250699339846406</v>
      </c>
      <c r="AK855">
        <v>0.50392146570873197</v>
      </c>
      <c r="AL855">
        <v>80.432989949194294</v>
      </c>
      <c r="AM855">
        <v>88.998952032343396</v>
      </c>
      <c r="AN855">
        <v>1.0000000053133999</v>
      </c>
    </row>
    <row r="856" spans="1:40" x14ac:dyDescent="0.25">
      <c r="A856" t="str">
        <f>"20190303162228714"</f>
        <v>20190303162228714</v>
      </c>
      <c r="B856" t="str">
        <f>"1551601348704960"</f>
        <v>1551601348704960</v>
      </c>
      <c r="C856" t="s">
        <v>40</v>
      </c>
      <c r="D856">
        <v>5.4584070000000002</v>
      </c>
      <c r="E856">
        <v>0.52347739999999998</v>
      </c>
      <c r="F856" t="s">
        <v>42</v>
      </c>
      <c r="G856">
        <v>-312.33010000000002</v>
      </c>
      <c r="H856">
        <v>0.82357780000000003</v>
      </c>
      <c r="I856">
        <v>366.74669999999998</v>
      </c>
      <c r="J856">
        <v>-312.81830000000002</v>
      </c>
      <c r="K856">
        <v>1.0756490000000001</v>
      </c>
      <c r="L856">
        <v>366.80419999999998</v>
      </c>
      <c r="M856">
        <v>0.99985159999999995</v>
      </c>
      <c r="N856">
        <v>-1.5981390000000002E-2</v>
      </c>
      <c r="O856">
        <v>6.4572709999999997E-3</v>
      </c>
      <c r="P856">
        <v>0.98857059999999997</v>
      </c>
      <c r="Q856">
        <v>0.15030769999999999</v>
      </c>
      <c r="R856">
        <v>-1.166829E-2</v>
      </c>
      <c r="S856">
        <v>3.1845089999999998</v>
      </c>
      <c r="T856">
        <v>-1.0026040000000001</v>
      </c>
      <c r="U856">
        <v>-0.21868899999999999</v>
      </c>
      <c r="V856">
        <v>1.8018300000000001E-2</v>
      </c>
      <c r="W856">
        <v>0.16608909999999999</v>
      </c>
      <c r="X856">
        <v>0.98594610000000005</v>
      </c>
      <c r="Y856">
        <v>7.1066039999999997E-2</v>
      </c>
      <c r="Z856">
        <v>-1.3375649999999999E-2</v>
      </c>
      <c r="AA856">
        <v>0.99738190000000004</v>
      </c>
      <c r="AB856">
        <v>30</v>
      </c>
      <c r="AC856">
        <v>0.48820000000000602</v>
      </c>
      <c r="AD856">
        <v>-0.2520712</v>
      </c>
      <c r="AE856">
        <v>-5.7500000000004499E-2</v>
      </c>
      <c r="AF856">
        <v>4.8023912348690599E-2</v>
      </c>
      <c r="AG856">
        <v>-0.2520712</v>
      </c>
      <c r="AH856">
        <v>0.38625420190264498</v>
      </c>
      <c r="AI856">
        <v>122.927820446235</v>
      </c>
      <c r="AJ856">
        <v>82.912648870381602</v>
      </c>
      <c r="AK856">
        <v>0.46372243261908702</v>
      </c>
      <c r="AL856">
        <v>80.439491470340201</v>
      </c>
      <c r="AM856">
        <v>88.953028328612604</v>
      </c>
      <c r="AN856">
        <v>0.99999998018945402</v>
      </c>
    </row>
    <row r="857" spans="1:40" x14ac:dyDescent="0.25">
      <c r="A857" t="str">
        <f>"20190303162228738"</f>
        <v>20190303162228738</v>
      </c>
      <c r="B857" t="str">
        <f>"1551601348725456"</f>
        <v>1551601348725456</v>
      </c>
      <c r="C857" t="s">
        <v>40</v>
      </c>
      <c r="D857">
        <v>5.4836710000000002</v>
      </c>
      <c r="E857">
        <v>0.52354670000000003</v>
      </c>
      <c r="F857" t="s">
        <v>42</v>
      </c>
      <c r="G857">
        <v>-312.05590000000001</v>
      </c>
      <c r="H857">
        <v>0.83473149999999996</v>
      </c>
      <c r="I857">
        <v>366.75139999999999</v>
      </c>
      <c r="J857">
        <v>-312.5181</v>
      </c>
      <c r="K857">
        <v>1.0748759999999999</v>
      </c>
      <c r="L857">
        <v>366.80619999999999</v>
      </c>
      <c r="M857">
        <v>0.99985369999999996</v>
      </c>
      <c r="N857">
        <v>-1.5801030000000001E-2</v>
      </c>
      <c r="O857">
        <v>6.5733090000000003E-3</v>
      </c>
      <c r="P857">
        <v>0.98844679999999996</v>
      </c>
      <c r="Q857">
        <v>0.15105379999999999</v>
      </c>
      <c r="R857">
        <v>-1.2484139999999999E-2</v>
      </c>
      <c r="S857">
        <v>3.18512</v>
      </c>
      <c r="T857">
        <v>-1.006499</v>
      </c>
      <c r="U857">
        <v>-0.2202759</v>
      </c>
      <c r="V857">
        <v>1.894792E-2</v>
      </c>
      <c r="W857">
        <v>0.16665559999999999</v>
      </c>
      <c r="X857">
        <v>0.98583310000000002</v>
      </c>
      <c r="Y857">
        <v>7.1604929999999997E-2</v>
      </c>
      <c r="Z857">
        <v>-1.3536899999999999E-2</v>
      </c>
      <c r="AA857">
        <v>0.99734120000000004</v>
      </c>
      <c r="AB857">
        <v>30</v>
      </c>
      <c r="AC857">
        <v>0.462199999999995</v>
      </c>
      <c r="AD857">
        <v>-0.24014449999999901</v>
      </c>
      <c r="AE857">
        <v>-5.4800000000000099E-2</v>
      </c>
      <c r="AF857">
        <v>4.5677587880754801E-2</v>
      </c>
      <c r="AG857">
        <v>-0.24014449999999901</v>
      </c>
      <c r="AH857">
        <v>0.36473418530243101</v>
      </c>
      <c r="AI857">
        <v>123.15684130319499</v>
      </c>
      <c r="AJ857">
        <v>82.861710868671693</v>
      </c>
      <c r="AK857">
        <v>0.439074992277039</v>
      </c>
      <c r="AL857">
        <v>80.406574906745803</v>
      </c>
      <c r="AM857">
        <v>88.8988986145403</v>
      </c>
      <c r="AN857">
        <v>1.00000000686964</v>
      </c>
    </row>
    <row r="858" spans="1:40" x14ac:dyDescent="0.25">
      <c r="A858" t="str">
        <f>"20190303162228758"</f>
        <v>20190303162228758</v>
      </c>
      <c r="B858" t="str">
        <f>"1551601348754736"</f>
        <v>1551601348754736</v>
      </c>
      <c r="C858" t="s">
        <v>40</v>
      </c>
      <c r="D858">
        <v>5.4720879999999896</v>
      </c>
      <c r="E858">
        <v>0.52646059999999995</v>
      </c>
      <c r="F858" t="s">
        <v>42</v>
      </c>
      <c r="G858">
        <v>-311.78339999999997</v>
      </c>
      <c r="H858">
        <v>0.84259619999999902</v>
      </c>
      <c r="I858">
        <v>366.75459999999998</v>
      </c>
      <c r="J858">
        <v>-312.23129999999998</v>
      </c>
      <c r="K858">
        <v>1.074244</v>
      </c>
      <c r="L858">
        <v>366.8082</v>
      </c>
      <c r="M858">
        <v>0.99985550000000001</v>
      </c>
      <c r="N858">
        <v>-1.563523E-2</v>
      </c>
      <c r="O858">
        <v>6.6831440000000002E-3</v>
      </c>
      <c r="P858">
        <v>0.98843639999999999</v>
      </c>
      <c r="Q858">
        <v>0.15112610000000001</v>
      </c>
      <c r="R858">
        <v>-1.245073E-2</v>
      </c>
      <c r="S858">
        <v>3.186188</v>
      </c>
      <c r="T858">
        <v>-1.007253</v>
      </c>
      <c r="U858">
        <v>-0.22323609999999999</v>
      </c>
      <c r="V858">
        <v>1.9022540000000001E-2</v>
      </c>
      <c r="W858">
        <v>0.16656399999999999</v>
      </c>
      <c r="X858">
        <v>0.98584709999999998</v>
      </c>
      <c r="Y858">
        <v>7.2558739999999997E-2</v>
      </c>
      <c r="Z858">
        <v>-1.372351E-2</v>
      </c>
      <c r="AA858">
        <v>0.99726970000000004</v>
      </c>
      <c r="AB858">
        <v>30</v>
      </c>
      <c r="AC858">
        <v>0.44790000000000402</v>
      </c>
      <c r="AD858">
        <v>-0.23164779999999999</v>
      </c>
      <c r="AE858">
        <v>-5.3600000000017099E-2</v>
      </c>
      <c r="AF858">
        <v>4.4783026114581098E-2</v>
      </c>
      <c r="AG858">
        <v>-0.23164779999999999</v>
      </c>
      <c r="AH858">
        <v>0.35414247716762198</v>
      </c>
      <c r="AI858">
        <v>122.981195450787</v>
      </c>
      <c r="AJ858">
        <v>82.792925276053396</v>
      </c>
      <c r="AK858">
        <v>0.42553861964249401</v>
      </c>
      <c r="AL858">
        <v>80.411897179471794</v>
      </c>
      <c r="AM858">
        <v>88.894579065960897</v>
      </c>
      <c r="AN858">
        <v>0.99999996385123002</v>
      </c>
    </row>
    <row r="859" spans="1:40" x14ac:dyDescent="0.25">
      <c r="A859" t="str">
        <f>"20190303162228781"</f>
        <v>20190303162228781</v>
      </c>
      <c r="B859" t="str">
        <f>"1551601348775233"</f>
        <v>1551601348775233</v>
      </c>
      <c r="C859" t="s">
        <v>40</v>
      </c>
      <c r="D859">
        <v>5.4791780000000001</v>
      </c>
      <c r="E859">
        <v>0.52652719999999997</v>
      </c>
      <c r="F859" t="s">
        <v>42</v>
      </c>
      <c r="G859">
        <v>-311.52440000000001</v>
      </c>
      <c r="H859">
        <v>0.81776380000000004</v>
      </c>
      <c r="I859">
        <v>366.75420000000003</v>
      </c>
      <c r="J859">
        <v>-311.9264</v>
      </c>
      <c r="K859">
        <v>1.073669</v>
      </c>
      <c r="L859">
        <v>366.81040000000002</v>
      </c>
      <c r="M859">
        <v>0.99985729999999995</v>
      </c>
      <c r="N859">
        <v>-1.546614E-2</v>
      </c>
      <c r="O859">
        <v>6.800548E-3</v>
      </c>
      <c r="P859">
        <v>0.98854580000000003</v>
      </c>
      <c r="Q859">
        <v>0.15047189999999999</v>
      </c>
      <c r="R859">
        <v>-1.165507E-2</v>
      </c>
      <c r="S859">
        <v>3.210083</v>
      </c>
      <c r="T859">
        <v>-1.1647069999999999</v>
      </c>
      <c r="U859">
        <v>-0.24575810000000001</v>
      </c>
      <c r="V859">
        <v>1.834417E-2</v>
      </c>
      <c r="W859">
        <v>0.16574529999999901</v>
      </c>
      <c r="X859">
        <v>0.98599800000000004</v>
      </c>
      <c r="Y859">
        <v>7.7573899999999904E-2</v>
      </c>
      <c r="Z859">
        <v>-1.6526119999999998E-2</v>
      </c>
      <c r="AA859">
        <v>0.99684969999999995</v>
      </c>
      <c r="AB859">
        <v>30</v>
      </c>
      <c r="AC859">
        <v>0.40199999999998598</v>
      </c>
      <c r="AD859">
        <v>-0.255905199999999</v>
      </c>
      <c r="AE859">
        <v>-5.61999999999898E-2</v>
      </c>
      <c r="AF859">
        <v>4.2171220247743703E-2</v>
      </c>
      <c r="AG859">
        <v>-0.255905199999999</v>
      </c>
      <c r="AH859">
        <v>0.287383349205102</v>
      </c>
      <c r="AI859">
        <v>131.38105603774599</v>
      </c>
      <c r="AJ859">
        <v>81.651880570640103</v>
      </c>
      <c r="AK859">
        <v>0.38711118894261498</v>
      </c>
      <c r="AL859">
        <v>80.459467144922002</v>
      </c>
      <c r="AM859">
        <v>88.934153743106194</v>
      </c>
      <c r="AN859">
        <v>1.0000000345245299</v>
      </c>
    </row>
    <row r="860" spans="1:40" x14ac:dyDescent="0.25">
      <c r="A860" t="str">
        <f>"20190303162228802"</f>
        <v>20190303162228802</v>
      </c>
      <c r="B860" t="str">
        <f>"1551601348794752"</f>
        <v>1551601348794752</v>
      </c>
      <c r="C860" t="s">
        <v>40</v>
      </c>
      <c r="D860">
        <v>5.4905780000000002</v>
      </c>
      <c r="E860">
        <v>0.52658229999999995</v>
      </c>
      <c r="F860" t="s">
        <v>42</v>
      </c>
      <c r="G860">
        <v>-311.25150000000002</v>
      </c>
      <c r="H860">
        <v>0.82811579999999996</v>
      </c>
      <c r="I860">
        <v>366.75889999999998</v>
      </c>
      <c r="J860">
        <v>-311.63709999999998</v>
      </c>
      <c r="K860">
        <v>1.0732079999999999</v>
      </c>
      <c r="L860">
        <v>366.8125</v>
      </c>
      <c r="M860">
        <v>0.99985880000000005</v>
      </c>
      <c r="N860">
        <v>-1.531482E-2</v>
      </c>
      <c r="O860">
        <v>6.9127320000000004E-3</v>
      </c>
      <c r="P860">
        <v>0.98849290000000001</v>
      </c>
      <c r="Q860">
        <v>0.15083070000000001</v>
      </c>
      <c r="R860">
        <v>-1.1493430000000001E-2</v>
      </c>
      <c r="S860">
        <v>3.209625</v>
      </c>
      <c r="T860">
        <v>-1.1677310000000001</v>
      </c>
      <c r="U860">
        <v>-0.24368290000000001</v>
      </c>
      <c r="V860">
        <v>1.8293199999999999E-2</v>
      </c>
      <c r="W860">
        <v>0.16595360000000001</v>
      </c>
      <c r="X860">
        <v>0.9859639</v>
      </c>
      <c r="Y860">
        <v>7.7056150000000004E-2</v>
      </c>
      <c r="Z860">
        <v>-1.6505309999999999E-2</v>
      </c>
      <c r="AA860">
        <v>0.9968901</v>
      </c>
      <c r="AB860">
        <v>30</v>
      </c>
      <c r="AC860">
        <v>0.38559999999995398</v>
      </c>
      <c r="AD860">
        <v>-0.24509219999999901</v>
      </c>
      <c r="AE860">
        <v>-5.3600000000017099E-2</v>
      </c>
      <c r="AF860">
        <v>4.0294180986029299E-2</v>
      </c>
      <c r="AG860">
        <v>-0.24509219999999901</v>
      </c>
      <c r="AH860">
        <v>0.27587752155113998</v>
      </c>
      <c r="AI860">
        <v>131.318128068969</v>
      </c>
      <c r="AJ860">
        <v>81.690238449010806</v>
      </c>
      <c r="AK860">
        <v>0.37121720652385498</v>
      </c>
      <c r="AL860">
        <v>80.447364741673795</v>
      </c>
      <c r="AM860">
        <v>88.9370778067114</v>
      </c>
      <c r="AN860">
        <v>1.0000000253112</v>
      </c>
    </row>
    <row r="861" spans="1:40" x14ac:dyDescent="0.25">
      <c r="A861" t="str">
        <f>"20190303162228825"</f>
        <v>20190303162228825</v>
      </c>
      <c r="B861" t="str">
        <f>"1551601348815247"</f>
        <v>1551601348815247</v>
      </c>
      <c r="C861" t="s">
        <v>40</v>
      </c>
      <c r="D861">
        <v>5.5080739999999997</v>
      </c>
      <c r="E861">
        <v>0.52659239999999996</v>
      </c>
      <c r="F861" t="s">
        <v>42</v>
      </c>
      <c r="G861">
        <v>-310.9803</v>
      </c>
      <c r="H861">
        <v>0.83489469999999999</v>
      </c>
      <c r="I861">
        <v>366.76260000000002</v>
      </c>
      <c r="J861">
        <v>-311.3374</v>
      </c>
      <c r="K861">
        <v>1.0728139999999999</v>
      </c>
      <c r="L861">
        <v>366.81479999999999</v>
      </c>
      <c r="M861">
        <v>0.99986019999999998</v>
      </c>
      <c r="N861">
        <v>-1.5170039999999999E-2</v>
      </c>
      <c r="O861">
        <v>7.0300369999999899E-3</v>
      </c>
      <c r="P861">
        <v>0.98843879999999995</v>
      </c>
      <c r="Q861">
        <v>0.15123259999999999</v>
      </c>
      <c r="R861">
        <v>-1.083395E-2</v>
      </c>
      <c r="S861">
        <v>3.2098080000000002</v>
      </c>
      <c r="T861">
        <v>-1.164652</v>
      </c>
      <c r="U861">
        <v>-0.24325559999999999</v>
      </c>
      <c r="V861">
        <v>1.774968E-2</v>
      </c>
      <c r="W861">
        <v>0.16621229999999901</v>
      </c>
      <c r="X861">
        <v>0.98593030000000004</v>
      </c>
      <c r="Y861">
        <v>7.7059899999999903E-2</v>
      </c>
      <c r="Z861">
        <v>-1.650012E-2</v>
      </c>
      <c r="AA861">
        <v>0.9968899</v>
      </c>
      <c r="AB861">
        <v>30</v>
      </c>
      <c r="AC861">
        <v>0.35710000000000203</v>
      </c>
      <c r="AD861">
        <v>-0.237919299999999</v>
      </c>
      <c r="AE861">
        <v>-5.21999999999707E-2</v>
      </c>
      <c r="AF861">
        <v>3.8135459297612501E-2</v>
      </c>
      <c r="AG861">
        <v>-0.237919299999999</v>
      </c>
      <c r="AH861">
        <v>0.24865623848343399</v>
      </c>
      <c r="AI861">
        <v>133.403299310725</v>
      </c>
      <c r="AJ861">
        <v>81.280703879412897</v>
      </c>
      <c r="AK861">
        <v>0.34625111047483997</v>
      </c>
      <c r="AL861">
        <v>80.432333981259106</v>
      </c>
      <c r="AM861">
        <v>88.968616845721996</v>
      </c>
      <c r="AN861">
        <v>1.0000000681347301</v>
      </c>
    </row>
    <row r="862" spans="1:40" x14ac:dyDescent="0.25">
      <c r="A862" t="str">
        <f>"20190303162228847"</f>
        <v>20190303162228847</v>
      </c>
      <c r="B862" t="str">
        <f>"1551601348834768"</f>
        <v>1551601348834768</v>
      </c>
      <c r="C862" t="s">
        <v>40</v>
      </c>
      <c r="D862">
        <v>5.495736</v>
      </c>
      <c r="E862">
        <v>0.52657049999999905</v>
      </c>
      <c r="F862" t="s">
        <v>42</v>
      </c>
      <c r="G862">
        <v>-310.47410000000002</v>
      </c>
      <c r="H862">
        <v>0.7598279</v>
      </c>
      <c r="I862">
        <v>366.75049999999999</v>
      </c>
      <c r="J862">
        <v>-311.03089999999997</v>
      </c>
      <c r="K862">
        <v>1.0724739999999999</v>
      </c>
      <c r="L862">
        <v>366.81700000000001</v>
      </c>
      <c r="M862">
        <v>0.99986140000000001</v>
      </c>
      <c r="N862">
        <v>-1.5037999999999999E-2</v>
      </c>
      <c r="O862">
        <v>7.1494439999999996E-3</v>
      </c>
      <c r="P862">
        <v>0.98846719999999999</v>
      </c>
      <c r="Q862">
        <v>0.1510493</v>
      </c>
      <c r="R862">
        <v>-1.0809279999999999E-2</v>
      </c>
      <c r="S862">
        <v>3.2105410000000001</v>
      </c>
      <c r="T862">
        <v>-1.164021</v>
      </c>
      <c r="U862">
        <v>-0.23934939999999999</v>
      </c>
      <c r="V862">
        <v>1.784353E-2</v>
      </c>
      <c r="W862">
        <v>0.16589870000000001</v>
      </c>
      <c r="X862">
        <v>0.98598129999999995</v>
      </c>
      <c r="Y862">
        <v>7.602623E-2</v>
      </c>
      <c r="Z862">
        <v>-1.6335539999999999E-2</v>
      </c>
      <c r="AA862">
        <v>0.99697199999999997</v>
      </c>
      <c r="AB862">
        <v>30</v>
      </c>
      <c r="AC862">
        <v>0.556799999999952</v>
      </c>
      <c r="AD862">
        <v>-0.31264609999999898</v>
      </c>
      <c r="AE862">
        <v>-6.64999999999622E-2</v>
      </c>
      <c r="AF862">
        <v>5.3766138931134098E-2</v>
      </c>
      <c r="AG862">
        <v>-0.31264609999999898</v>
      </c>
      <c r="AH862">
        <v>0.424387656502765</v>
      </c>
      <c r="AI862">
        <v>126.161475120708</v>
      </c>
      <c r="AJ862">
        <v>82.779601371784395</v>
      </c>
      <c r="AK862">
        <v>0.52985211571973601</v>
      </c>
      <c r="AL862">
        <v>80.450553741687898</v>
      </c>
      <c r="AM862">
        <v>88.9632182966252</v>
      </c>
      <c r="AN862">
        <v>0.99999994708711903</v>
      </c>
    </row>
    <row r="863" spans="1:40" x14ac:dyDescent="0.25">
      <c r="A863" t="str">
        <f>"20190303162228869"</f>
        <v>20190303162228869</v>
      </c>
      <c r="B863" t="str">
        <f>"1551601348865024"</f>
        <v>1551601348865024</v>
      </c>
      <c r="C863" t="s">
        <v>40</v>
      </c>
      <c r="D863">
        <v>5.5367050000000004</v>
      </c>
      <c r="E863">
        <v>0.52660699999999905</v>
      </c>
      <c r="F863" t="s">
        <v>42</v>
      </c>
      <c r="G863">
        <v>-310.20190000000002</v>
      </c>
      <c r="H863">
        <v>0.77127460000000003</v>
      </c>
      <c r="I863">
        <v>366.75479999999999</v>
      </c>
      <c r="J863">
        <v>-310.73939999999999</v>
      </c>
      <c r="K863">
        <v>1.072206</v>
      </c>
      <c r="L863">
        <v>366.81920000000002</v>
      </c>
      <c r="M863">
        <v>0.99986220000000003</v>
      </c>
      <c r="N863">
        <v>-1.4926780000000001E-2</v>
      </c>
      <c r="O863">
        <v>7.2629740000000002E-3</v>
      </c>
      <c r="P863">
        <v>0.98853650000000004</v>
      </c>
      <c r="Q863">
        <v>0.1505947</v>
      </c>
      <c r="R863">
        <v>-1.081409E-2</v>
      </c>
      <c r="S863">
        <v>3.2106319999999999</v>
      </c>
      <c r="T863">
        <v>-1.1664870000000001</v>
      </c>
      <c r="U863">
        <v>-0.23968510000000001</v>
      </c>
      <c r="V863">
        <v>1.7961209999999998E-2</v>
      </c>
      <c r="W863">
        <v>0.1653357</v>
      </c>
      <c r="X863">
        <v>0.9860738</v>
      </c>
      <c r="Y863">
        <v>7.6202160000000005E-2</v>
      </c>
      <c r="Z863">
        <v>-1.6433679999999999E-2</v>
      </c>
      <c r="AA863">
        <v>0.99695690000000003</v>
      </c>
      <c r="AB863">
        <v>30</v>
      </c>
      <c r="AC863">
        <v>0.53749999999996501</v>
      </c>
      <c r="AD863">
        <v>-0.30093140000000002</v>
      </c>
      <c r="AE863">
        <v>-6.4400000000034596E-2</v>
      </c>
      <c r="AF863">
        <v>5.21783735517952E-2</v>
      </c>
      <c r="AG863">
        <v>-0.30093140000000002</v>
      </c>
      <c r="AH863">
        <v>0.41024402907471302</v>
      </c>
      <c r="AI863">
        <v>126.042640892085</v>
      </c>
      <c r="AJ863">
        <v>82.751547389452696</v>
      </c>
      <c r="AK863">
        <v>0.51145132081550504</v>
      </c>
      <c r="AL863">
        <v>80.483263668387593</v>
      </c>
      <c r="AM863">
        <v>88.956479993413794</v>
      </c>
      <c r="AN863">
        <v>1.00000001890279</v>
      </c>
    </row>
    <row r="864" spans="1:40" x14ac:dyDescent="0.25">
      <c r="A864" t="str">
        <f>"20190303162228892"</f>
        <v>20190303162228892</v>
      </c>
      <c r="B864" t="str">
        <f>"1551601348885520"</f>
        <v>1551601348885520</v>
      </c>
      <c r="C864" t="s">
        <v>40</v>
      </c>
      <c r="D864">
        <v>5.5994070000000002</v>
      </c>
      <c r="E864">
        <v>0.52533079999999999</v>
      </c>
      <c r="F864" t="s">
        <v>42</v>
      </c>
      <c r="G864">
        <v>-309.9316</v>
      </c>
      <c r="H864">
        <v>0.77887949999999995</v>
      </c>
      <c r="I864">
        <v>366.75839999999999</v>
      </c>
      <c r="J864">
        <v>-310.43400000000003</v>
      </c>
      <c r="K864">
        <v>1.0719719999999999</v>
      </c>
      <c r="L864">
        <v>366.82159999999999</v>
      </c>
      <c r="M864">
        <v>0.99986280000000005</v>
      </c>
      <c r="N864">
        <v>-1.4823019999999999E-2</v>
      </c>
      <c r="O864">
        <v>7.3818080000000001E-3</v>
      </c>
      <c r="P864">
        <v>0.98857890000000004</v>
      </c>
      <c r="Q864">
        <v>0.1503217</v>
      </c>
      <c r="R864">
        <v>-1.0737299999999899E-2</v>
      </c>
      <c r="S864">
        <v>3.2097169999999999</v>
      </c>
      <c r="T864">
        <v>-1.1654799999999901</v>
      </c>
      <c r="U864">
        <v>-0.24093629999999999</v>
      </c>
      <c r="V864">
        <v>1.800233E-2</v>
      </c>
      <c r="W864">
        <v>0.16496089999999999</v>
      </c>
      <c r="X864">
        <v>0.98613580000000001</v>
      </c>
      <c r="Y864">
        <v>7.6695970000000002E-2</v>
      </c>
      <c r="Z864">
        <v>-1.6552029999999999E-2</v>
      </c>
      <c r="AA864">
        <v>0.9969171</v>
      </c>
      <c r="AB864">
        <v>30</v>
      </c>
      <c r="AC864">
        <v>0.50240000000002205</v>
      </c>
      <c r="AD864">
        <v>-0.29309249999999898</v>
      </c>
      <c r="AE864">
        <v>-6.3199999999994802E-2</v>
      </c>
      <c r="AF864">
        <v>5.0116483093028297E-2</v>
      </c>
      <c r="AG864">
        <v>-0.29309249999999898</v>
      </c>
      <c r="AH864">
        <v>0.375959713275555</v>
      </c>
      <c r="AI864">
        <v>127.69503259987</v>
      </c>
      <c r="AJ864">
        <v>82.407075417903101</v>
      </c>
      <c r="AK864">
        <v>0.47933347623559602</v>
      </c>
      <c r="AL864">
        <v>80.505036914293299</v>
      </c>
      <c r="AM864">
        <v>88.9541572550974</v>
      </c>
      <c r="AN864">
        <v>0.99999999922793903</v>
      </c>
    </row>
    <row r="865" spans="1:40" x14ac:dyDescent="0.25">
      <c r="A865" t="str">
        <f>"20190303162228914"</f>
        <v>20190303162228914</v>
      </c>
      <c r="B865" t="str">
        <f>"1551601348905040"</f>
        <v>1551601348905040</v>
      </c>
      <c r="C865" t="s">
        <v>40</v>
      </c>
      <c r="D865">
        <v>5.6093229999999998</v>
      </c>
      <c r="E865">
        <v>0.52355750000000001</v>
      </c>
      <c r="F865" t="s">
        <v>42</v>
      </c>
      <c r="G865">
        <v>-309.66019999999997</v>
      </c>
      <c r="H865">
        <v>0.79027760000000002</v>
      </c>
      <c r="I865">
        <v>366.76560000000001</v>
      </c>
      <c r="J865">
        <v>-310.13799999999998</v>
      </c>
      <c r="K865">
        <v>1.0717829999999999</v>
      </c>
      <c r="L865">
        <v>366.82389999999998</v>
      </c>
      <c r="M865">
        <v>0.99986339999999996</v>
      </c>
      <c r="N865">
        <v>-1.4733059999999999E-2</v>
      </c>
      <c r="O865">
        <v>7.4970169999999999E-3</v>
      </c>
      <c r="P865">
        <v>0.98856659999999996</v>
      </c>
      <c r="Q865">
        <v>0.15044389999999999</v>
      </c>
      <c r="R865">
        <v>-1.013994E-2</v>
      </c>
      <c r="S865">
        <v>3.2098080000000002</v>
      </c>
      <c r="T865">
        <v>-1.1683749999999999</v>
      </c>
      <c r="U865">
        <v>-0.23129269999999999</v>
      </c>
      <c r="V865">
        <v>1.7519059999999999E-2</v>
      </c>
      <c r="W865">
        <v>0.16499430000000001</v>
      </c>
      <c r="X865">
        <v>0.98613890000000004</v>
      </c>
      <c r="Y865">
        <v>7.3977459999999995E-2</v>
      </c>
      <c r="Z865">
        <v>-1.6127249999999999E-2</v>
      </c>
      <c r="AA865">
        <v>0.9971295</v>
      </c>
      <c r="AB865">
        <v>30</v>
      </c>
      <c r="AC865">
        <v>0.477800000000002</v>
      </c>
      <c r="AD865">
        <v>-0.28150539999999902</v>
      </c>
      <c r="AE865">
        <v>-5.8299999999974199E-2</v>
      </c>
      <c r="AF865">
        <v>4.6109901301507501E-2</v>
      </c>
      <c r="AG865">
        <v>-0.28150539999999902</v>
      </c>
      <c r="AH865">
        <v>0.35569234844931202</v>
      </c>
      <c r="AI865">
        <v>128.12702511740301</v>
      </c>
      <c r="AJ865">
        <v>82.613698004323297</v>
      </c>
      <c r="AK865">
        <v>0.455947869797175</v>
      </c>
      <c r="AL865">
        <v>80.503096495681902</v>
      </c>
      <c r="AM865">
        <v>88.982229967233195</v>
      </c>
      <c r="AN865">
        <v>0.99999998329449102</v>
      </c>
    </row>
    <row r="866" spans="1:40" x14ac:dyDescent="0.25">
      <c r="A866" t="str">
        <f>"20190303162228938"</f>
        <v>20190303162228938</v>
      </c>
      <c r="B866" t="str">
        <f>"1551601348935296"</f>
        <v>1551601348935296</v>
      </c>
      <c r="C866" t="s">
        <v>40</v>
      </c>
      <c r="D866">
        <v>5.5388440000000001</v>
      </c>
      <c r="E866">
        <v>0.52172149999999995</v>
      </c>
      <c r="F866" t="s">
        <v>42</v>
      </c>
      <c r="G866">
        <v>-309.3895</v>
      </c>
      <c r="H866">
        <v>0.80032340000000002</v>
      </c>
      <c r="I866">
        <v>366.77370000000002</v>
      </c>
      <c r="J866">
        <v>-309.82940000000002</v>
      </c>
      <c r="K866">
        <v>1.071615</v>
      </c>
      <c r="L866">
        <v>366.82639999999998</v>
      </c>
      <c r="M866">
        <v>0.99986379999999997</v>
      </c>
      <c r="N866">
        <v>-1.4649010000000001E-2</v>
      </c>
      <c r="O866">
        <v>7.6170079999999998E-3</v>
      </c>
      <c r="P866">
        <v>0.98858729999999995</v>
      </c>
      <c r="Q866">
        <v>0.15035009999999999</v>
      </c>
      <c r="R866">
        <v>-9.5065029999999995E-3</v>
      </c>
      <c r="S866">
        <v>3.2095950000000002</v>
      </c>
      <c r="T866">
        <v>-1.1640440000000001</v>
      </c>
      <c r="U866">
        <v>-0.2152405</v>
      </c>
      <c r="V866">
        <v>1.7004390000000001E-2</v>
      </c>
      <c r="W866">
        <v>0.16481750000000001</v>
      </c>
      <c r="X866">
        <v>0.98617750000000004</v>
      </c>
      <c r="Y866">
        <v>6.9465899999999997E-2</v>
      </c>
      <c r="Z866">
        <v>-1.5287459999999999E-2</v>
      </c>
      <c r="AA866">
        <v>0.9974672</v>
      </c>
      <c r="AB866">
        <v>30</v>
      </c>
      <c r="AC866">
        <v>0.439900000000022</v>
      </c>
      <c r="AD866">
        <v>-0.27129160000000002</v>
      </c>
      <c r="AE866">
        <v>-5.2699999999958801E-2</v>
      </c>
      <c r="AF866">
        <v>4.07647234458096E-2</v>
      </c>
      <c r="AG866">
        <v>-0.27129160000000002</v>
      </c>
      <c r="AH866">
        <v>0.31963709861108403</v>
      </c>
      <c r="AI866">
        <v>130.095011732448</v>
      </c>
      <c r="AJ866">
        <v>82.732052492732393</v>
      </c>
      <c r="AK866">
        <v>0.42122294538247201</v>
      </c>
      <c r="AL866">
        <v>80.513367251374603</v>
      </c>
      <c r="AM866">
        <v>89.012162371881701</v>
      </c>
      <c r="AN866">
        <v>1.0000000095458801</v>
      </c>
    </row>
    <row r="867" spans="1:40" x14ac:dyDescent="0.25">
      <c r="A867" t="str">
        <f>"20190303162228959"</f>
        <v>20190303162228959</v>
      </c>
      <c r="B867" t="str">
        <f>"1551601348954816"</f>
        <v>1551601348954816</v>
      </c>
      <c r="C867" t="s">
        <v>40</v>
      </c>
      <c r="D867">
        <v>5.5609029999999997</v>
      </c>
      <c r="E867">
        <v>0.52075099999999996</v>
      </c>
      <c r="F867" t="s">
        <v>42</v>
      </c>
      <c r="G867">
        <v>-309.11750000000001</v>
      </c>
      <c r="H867">
        <v>0.81454659999999901</v>
      </c>
      <c r="I867">
        <v>366.78230000000002</v>
      </c>
      <c r="J867">
        <v>-309.5444</v>
      </c>
      <c r="K867">
        <v>1.0714939999999999</v>
      </c>
      <c r="L867">
        <v>366.82859999999999</v>
      </c>
      <c r="M867">
        <v>0.99986390000000003</v>
      </c>
      <c r="N867">
        <v>-1.45793E-2</v>
      </c>
      <c r="O867">
        <v>7.7277169999999899E-3</v>
      </c>
      <c r="P867">
        <v>0.98855380000000004</v>
      </c>
      <c r="Q867">
        <v>0.15056629999999999</v>
      </c>
      <c r="R867">
        <v>-9.5590970000000008E-3</v>
      </c>
      <c r="S867">
        <v>3.2089840000000001</v>
      </c>
      <c r="T867">
        <v>-1.158782</v>
      </c>
      <c r="U867">
        <v>-0.19741819999999999</v>
      </c>
      <c r="V867">
        <v>1.7166299999999999E-2</v>
      </c>
      <c r="W867">
        <v>0.16496469999999999</v>
      </c>
      <c r="X867">
        <v>0.98615010000000003</v>
      </c>
      <c r="Y867">
        <v>6.4435500000000007E-2</v>
      </c>
      <c r="Z867">
        <v>-1.4346630000000001E-2</v>
      </c>
      <c r="AA867">
        <v>0.99781880000000001</v>
      </c>
      <c r="AB867">
        <v>30</v>
      </c>
      <c r="AC867">
        <v>0.42689999999998901</v>
      </c>
      <c r="AD867">
        <v>-0.25694739999999999</v>
      </c>
      <c r="AE867">
        <v>-4.62999999999738E-2</v>
      </c>
      <c r="AF867">
        <v>3.65211262079944E-2</v>
      </c>
      <c r="AG867">
        <v>-0.25694739999999999</v>
      </c>
      <c r="AH867">
        <v>0.31407227493219397</v>
      </c>
      <c r="AI867">
        <v>129.09868513788501</v>
      </c>
      <c r="AJ867">
        <v>83.367288427405498</v>
      </c>
      <c r="AK867">
        <v>0.40742748177723997</v>
      </c>
      <c r="AL867">
        <v>80.504816431368994</v>
      </c>
      <c r="AM867">
        <v>89.002730706970397</v>
      </c>
      <c r="AN867">
        <v>1.00000002691589</v>
      </c>
    </row>
    <row r="868" spans="1:40" x14ac:dyDescent="0.25">
      <c r="A868" t="str">
        <f>"20190303162228982"</f>
        <v>20190303162228982</v>
      </c>
      <c r="B868" t="str">
        <f>"1551601348975312"</f>
        <v>1551601348975312</v>
      </c>
      <c r="C868" t="s">
        <v>40</v>
      </c>
      <c r="D868">
        <v>5.5651089999999996</v>
      </c>
      <c r="E868">
        <v>0.5197659</v>
      </c>
      <c r="F868" t="s">
        <v>42</v>
      </c>
      <c r="G868">
        <v>-308.84879999999998</v>
      </c>
      <c r="H868">
        <v>0.82087619999999895</v>
      </c>
      <c r="I868">
        <v>366.78739999999999</v>
      </c>
      <c r="J868">
        <v>-309.24459999999999</v>
      </c>
      <c r="K868">
        <v>1.0713900000000001</v>
      </c>
      <c r="L868">
        <v>366.83109999999999</v>
      </c>
      <c r="M868">
        <v>0.99986399999999998</v>
      </c>
      <c r="N868">
        <v>-1.451349E-2</v>
      </c>
      <c r="O868">
        <v>7.843704E-3</v>
      </c>
      <c r="P868">
        <v>0.98859070000000004</v>
      </c>
      <c r="Q868">
        <v>0.1502878</v>
      </c>
      <c r="R868">
        <v>-1.009822E-2</v>
      </c>
      <c r="S868">
        <v>3.208923</v>
      </c>
      <c r="T868">
        <v>-1.1559440000000001</v>
      </c>
      <c r="U868">
        <v>-0.1897278</v>
      </c>
      <c r="V868">
        <v>1.7820280000000001E-2</v>
      </c>
      <c r="W868">
        <v>0.1646223</v>
      </c>
      <c r="X868">
        <v>0.98619570000000001</v>
      </c>
      <c r="Y868">
        <v>6.2322610000000001E-2</v>
      </c>
      <c r="Z868">
        <v>-1.396814E-2</v>
      </c>
      <c r="AA868">
        <v>0.99795829999999996</v>
      </c>
      <c r="AB868">
        <v>30</v>
      </c>
      <c r="AC868">
        <v>0.39580000000000798</v>
      </c>
      <c r="AD868">
        <v>-0.25051380000000001</v>
      </c>
      <c r="AE868">
        <v>-4.3700000000001099E-2</v>
      </c>
      <c r="AF868">
        <v>3.3532254368322897E-2</v>
      </c>
      <c r="AG868">
        <v>-0.25051380000000001</v>
      </c>
      <c r="AH868">
        <v>0.28331550287131002</v>
      </c>
      <c r="AI868">
        <v>131.28614472145</v>
      </c>
      <c r="AJ868">
        <v>83.250068837597993</v>
      </c>
      <c r="AK868">
        <v>0.37966992274959799</v>
      </c>
      <c r="AL868">
        <v>80.524706291553699</v>
      </c>
      <c r="AM868">
        <v>88.964793976768703</v>
      </c>
      <c r="AN868">
        <v>1.00000001136752</v>
      </c>
    </row>
    <row r="869" spans="1:40" x14ac:dyDescent="0.25">
      <c r="A869" t="str">
        <f>"20190303162228994"</f>
        <v>20190303162228994</v>
      </c>
      <c r="B869" t="str">
        <f>"1551601348985073"</f>
        <v>1551601348985073</v>
      </c>
      <c r="C869" t="s">
        <v>40</v>
      </c>
      <c r="D869">
        <v>5.5824959999999999</v>
      </c>
      <c r="E869">
        <v>0.51943980000000001</v>
      </c>
      <c r="F869" t="s">
        <v>42</v>
      </c>
      <c r="G869">
        <v>-308.57839999999999</v>
      </c>
      <c r="H869">
        <v>0.83140949999999902</v>
      </c>
      <c r="I869">
        <v>366.79270000000002</v>
      </c>
      <c r="J869">
        <v>-309.07100000000003</v>
      </c>
      <c r="K869">
        <v>1.07134</v>
      </c>
      <c r="L869">
        <v>366.83249999999998</v>
      </c>
      <c r="M869">
        <v>0.99986399999999998</v>
      </c>
      <c r="N869">
        <v>-1.44771E-2</v>
      </c>
      <c r="O869">
        <v>7.9109579999999992E-3</v>
      </c>
      <c r="P869">
        <v>0.98859359999999996</v>
      </c>
      <c r="Q869">
        <v>0.1502694</v>
      </c>
      <c r="R869">
        <v>-1.0098909999999999E-2</v>
      </c>
      <c r="S869">
        <v>3.208405</v>
      </c>
      <c r="T869">
        <v>-1.1557379999999999</v>
      </c>
      <c r="U869">
        <v>-0.183197</v>
      </c>
      <c r="V869">
        <v>1.7887520000000001E-2</v>
      </c>
      <c r="W869">
        <v>0.164567299999999</v>
      </c>
      <c r="X869">
        <v>0.98620370000000002</v>
      </c>
      <c r="Y869">
        <v>6.04904E-2</v>
      </c>
      <c r="Z869">
        <v>-1.365686E-2</v>
      </c>
      <c r="AA869">
        <v>0.99807539999999995</v>
      </c>
      <c r="AB869">
        <v>30</v>
      </c>
      <c r="AC869">
        <v>0.492599999999981</v>
      </c>
      <c r="AD869">
        <v>-0.23993049999999999</v>
      </c>
      <c r="AE869">
        <v>-3.9799999999956898E-2</v>
      </c>
      <c r="AF869">
        <v>3.5361466412287802E-2</v>
      </c>
      <c r="AG869">
        <v>-0.23993049999999999</v>
      </c>
      <c r="AH869">
        <v>0.39837372452035902</v>
      </c>
      <c r="AI869">
        <v>120.960223273586</v>
      </c>
      <c r="AJ869">
        <v>84.927460174413199</v>
      </c>
      <c r="AK869">
        <v>0.46638900343522299</v>
      </c>
      <c r="AL869">
        <v>80.5279014903019</v>
      </c>
      <c r="AM869">
        <v>88.960897189391204</v>
      </c>
      <c r="AN869">
        <v>1.0000000487473599</v>
      </c>
    </row>
    <row r="870" spans="1:40" x14ac:dyDescent="0.25">
      <c r="A870" t="str">
        <f>"20190303162229015"</f>
        <v>20190303162229015</v>
      </c>
      <c r="B870" t="str">
        <f>"1551601349005567"</f>
        <v>1551601349005567</v>
      </c>
      <c r="C870" t="s">
        <v>40</v>
      </c>
      <c r="D870">
        <v>5.5902379999999896</v>
      </c>
      <c r="E870">
        <v>0.51886589999999999</v>
      </c>
      <c r="F870" t="s">
        <v>42</v>
      </c>
      <c r="G870">
        <v>-308.32470000000001</v>
      </c>
      <c r="H870">
        <v>0.80274319999999999</v>
      </c>
      <c r="I870">
        <v>366.79039999999998</v>
      </c>
      <c r="J870">
        <v>-308.8005</v>
      </c>
      <c r="K870">
        <v>1.0712710000000001</v>
      </c>
      <c r="L870">
        <v>366.8347</v>
      </c>
      <c r="M870">
        <v>0.99986399999999998</v>
      </c>
      <c r="N870">
        <v>-1.442158E-2</v>
      </c>
      <c r="O870">
        <v>8.0157779999999994E-3</v>
      </c>
      <c r="P870">
        <v>0.98856379999999999</v>
      </c>
      <c r="Q870">
        <v>0.15042269999999999</v>
      </c>
      <c r="R870">
        <v>-1.07168E-2</v>
      </c>
      <c r="S870">
        <v>3.2082820000000001</v>
      </c>
      <c r="T870">
        <v>-1.1547459999999901</v>
      </c>
      <c r="U870">
        <v>-0.18078610000000001</v>
      </c>
      <c r="V870">
        <v>1.8608670000000001E-2</v>
      </c>
      <c r="W870">
        <v>0.1646656</v>
      </c>
      <c r="X870">
        <v>0.98617390000000005</v>
      </c>
      <c r="Y870">
        <v>5.9889919999999999E-2</v>
      </c>
      <c r="Z870">
        <v>-1.3571400000000001E-2</v>
      </c>
      <c r="AA870">
        <v>0.99811269999999996</v>
      </c>
      <c r="AB870">
        <v>30</v>
      </c>
      <c r="AC870">
        <v>0.47579999999999201</v>
      </c>
      <c r="AD870">
        <v>-0.26852779999999898</v>
      </c>
      <c r="AE870">
        <v>-4.43000000000211E-2</v>
      </c>
      <c r="AF870">
        <v>3.6566124143491703E-2</v>
      </c>
      <c r="AG870">
        <v>-0.26852779999999898</v>
      </c>
      <c r="AH870">
        <v>0.36132979186321801</v>
      </c>
      <c r="AI870">
        <v>126.478811481275</v>
      </c>
      <c r="AJ870">
        <v>84.221411545354897</v>
      </c>
      <c r="AK870">
        <v>0.45166744325403102</v>
      </c>
      <c r="AL870">
        <v>80.522190966950006</v>
      </c>
      <c r="AM870">
        <v>88.918982000309597</v>
      </c>
      <c r="AN870">
        <v>1.00000000173186</v>
      </c>
    </row>
    <row r="871" spans="1:40" x14ac:dyDescent="0.25">
      <c r="A871" t="str">
        <f>"20190303162229028"</f>
        <v>20190303162229028</v>
      </c>
      <c r="B871" t="str">
        <f>"1551601349015328"</f>
        <v>1551601349015328</v>
      </c>
      <c r="C871" t="s">
        <v>40</v>
      </c>
      <c r="D871">
        <v>5.5885249999999997</v>
      </c>
      <c r="E871">
        <v>0.51859279999999996</v>
      </c>
      <c r="F871" t="s">
        <v>42</v>
      </c>
      <c r="G871">
        <v>-308.05860000000001</v>
      </c>
      <c r="H871">
        <v>0.80481279999999999</v>
      </c>
      <c r="I871">
        <v>366.79340000000002</v>
      </c>
      <c r="J871">
        <v>-308.63819999999998</v>
      </c>
      <c r="K871">
        <v>1.071237</v>
      </c>
      <c r="L871">
        <v>366.83620000000002</v>
      </c>
      <c r="M871">
        <v>0.99986390000000003</v>
      </c>
      <c r="N871">
        <v>-1.4389219999999999E-2</v>
      </c>
      <c r="O871">
        <v>8.0788289999999992E-3</v>
      </c>
      <c r="P871">
        <v>0.98856710000000003</v>
      </c>
      <c r="Q871">
        <v>0.1503948</v>
      </c>
      <c r="R871">
        <v>-1.0805250000000001E-2</v>
      </c>
      <c r="S871">
        <v>3.2081300000000001</v>
      </c>
      <c r="T871">
        <v>-1.1521939999999999</v>
      </c>
      <c r="U871">
        <v>-0.1782532</v>
      </c>
      <c r="V871">
        <v>1.8759399999999999E-2</v>
      </c>
      <c r="W871">
        <v>0.1646058</v>
      </c>
      <c r="X871">
        <v>0.98618099999999997</v>
      </c>
      <c r="Y871">
        <v>5.9227519999999999E-2</v>
      </c>
      <c r="Z871">
        <v>-1.344478E-2</v>
      </c>
      <c r="AA871">
        <v>0.99815399999999999</v>
      </c>
      <c r="AB871">
        <v>30</v>
      </c>
      <c r="AC871">
        <v>0.57959999999997003</v>
      </c>
      <c r="AD871">
        <v>-0.266424199999999</v>
      </c>
      <c r="AE871">
        <v>-4.2799999999999699E-2</v>
      </c>
      <c r="AF871">
        <v>3.9236117272980202E-2</v>
      </c>
      <c r="AG871">
        <v>-0.266424199999999</v>
      </c>
      <c r="AH871">
        <v>0.478647605958677</v>
      </c>
      <c r="AI871">
        <v>119.019670630071</v>
      </c>
      <c r="AJ871">
        <v>85.313778292030307</v>
      </c>
      <c r="AK871">
        <v>0.54920384005783496</v>
      </c>
      <c r="AL871">
        <v>80.525664395749104</v>
      </c>
      <c r="AM871">
        <v>88.910235714774302</v>
      </c>
      <c r="AN871">
        <v>0.99999997462149903</v>
      </c>
    </row>
    <row r="872" spans="1:40" x14ac:dyDescent="0.25">
      <c r="A872" t="str">
        <f>"20190303162229040"</f>
        <v>20190303162229040</v>
      </c>
      <c r="B872" t="str">
        <f>"1551601349034848"</f>
        <v>1551601349034848</v>
      </c>
      <c r="C872" t="s">
        <v>40</v>
      </c>
      <c r="D872">
        <v>5.6872850000000001</v>
      </c>
      <c r="E872">
        <v>0.51814720000000003</v>
      </c>
      <c r="F872" t="s">
        <v>42</v>
      </c>
      <c r="G872">
        <v>-307.8064</v>
      </c>
      <c r="H872">
        <v>0.77259239999999996</v>
      </c>
      <c r="I872">
        <v>366.79020000000003</v>
      </c>
      <c r="J872">
        <v>-308.46210000000002</v>
      </c>
      <c r="K872">
        <v>1.071197</v>
      </c>
      <c r="L872">
        <v>366.83760000000001</v>
      </c>
      <c r="M872">
        <v>0.99986370000000002</v>
      </c>
      <c r="N872">
        <v>-1.4355150000000001E-2</v>
      </c>
      <c r="O872">
        <v>8.1471959999999902E-3</v>
      </c>
      <c r="P872">
        <v>0.98856379999999999</v>
      </c>
      <c r="Q872">
        <v>0.15042130000000001</v>
      </c>
      <c r="R872">
        <v>-1.073233E-2</v>
      </c>
      <c r="S872">
        <v>3.2079770000000001</v>
      </c>
      <c r="T872">
        <v>-1.1517269999999999</v>
      </c>
      <c r="U872">
        <v>-0.1769714</v>
      </c>
      <c r="V872">
        <v>1.8754179999999999E-2</v>
      </c>
      <c r="W872">
        <v>0.1645992</v>
      </c>
      <c r="X872">
        <v>0.98618220000000001</v>
      </c>
      <c r="Y872">
        <v>5.8919970000000002E-2</v>
      </c>
      <c r="Z872">
        <v>-1.340676E-2</v>
      </c>
      <c r="AA872">
        <v>0.99817270000000002</v>
      </c>
      <c r="AB872">
        <v>30</v>
      </c>
      <c r="AC872">
        <v>0.65570000000002404</v>
      </c>
      <c r="AD872">
        <v>-0.2986046</v>
      </c>
      <c r="AE872">
        <v>-4.7399999999981901E-2</v>
      </c>
      <c r="AF872">
        <v>4.3721033405483403E-2</v>
      </c>
      <c r="AG872">
        <v>-0.2986046</v>
      </c>
      <c r="AH872">
        <v>0.54322051517513903</v>
      </c>
      <c r="AI872">
        <v>118.719275822767</v>
      </c>
      <c r="AJ872">
        <v>85.398475379135604</v>
      </c>
      <c r="AK872">
        <v>0.621421567062447</v>
      </c>
      <c r="AL872">
        <v>80.526047768924599</v>
      </c>
      <c r="AM872">
        <v>88.910540205382404</v>
      </c>
      <c r="AN872">
        <v>0.99999997375247496</v>
      </c>
    </row>
    <row r="873" spans="1:40" x14ac:dyDescent="0.25">
      <c r="A873" t="str">
        <f>"20190303162229053"</f>
        <v>20190303162229053</v>
      </c>
      <c r="B873" t="str">
        <f>"1551601349045584"</f>
        <v>1551601349045584</v>
      </c>
      <c r="C873" t="s">
        <v>40</v>
      </c>
      <c r="D873">
        <v>5.6449759999999998</v>
      </c>
      <c r="E873">
        <v>0.51823900000000001</v>
      </c>
      <c r="F873" t="s">
        <v>42</v>
      </c>
      <c r="G873">
        <v>-307.78410000000002</v>
      </c>
      <c r="H873">
        <v>0.82796419999999904</v>
      </c>
      <c r="I873">
        <v>366.80079999999998</v>
      </c>
      <c r="J873">
        <v>-308.29629999999997</v>
      </c>
      <c r="K873">
        <v>1.0711710000000001</v>
      </c>
      <c r="L873">
        <v>366.83909999999997</v>
      </c>
      <c r="M873">
        <v>0.99986370000000002</v>
      </c>
      <c r="N873">
        <v>-1.4323280000000001E-2</v>
      </c>
      <c r="O873">
        <v>8.2117289999999992E-3</v>
      </c>
      <c r="P873">
        <v>0.98854750000000002</v>
      </c>
      <c r="Q873">
        <v>0.15052860000000001</v>
      </c>
      <c r="R873">
        <v>-1.0740799999999899E-2</v>
      </c>
      <c r="S873">
        <v>3.207916</v>
      </c>
      <c r="T873">
        <v>-1.1507400000000001</v>
      </c>
      <c r="U873">
        <v>-0.17407230000000001</v>
      </c>
      <c r="V873">
        <v>1.882638E-2</v>
      </c>
      <c r="W873">
        <v>0.1646745</v>
      </c>
      <c r="X873">
        <v>0.9861683</v>
      </c>
      <c r="Y873">
        <v>5.8139820000000002E-2</v>
      </c>
      <c r="Z873">
        <v>-1.3276130000000001E-2</v>
      </c>
      <c r="AA873">
        <v>0.99822010000000005</v>
      </c>
      <c r="AB873">
        <v>30</v>
      </c>
      <c r="AC873">
        <v>0.51219999999995003</v>
      </c>
      <c r="AD873">
        <v>-0.243206799999999</v>
      </c>
      <c r="AE873">
        <v>-3.8299999999992403E-2</v>
      </c>
      <c r="AF873">
        <v>3.4720565463918697E-2</v>
      </c>
      <c r="AG873">
        <v>-0.243206799999999</v>
      </c>
      <c r="AH873">
        <v>0.41812197262968898</v>
      </c>
      <c r="AI873">
        <v>120.09956532843999</v>
      </c>
      <c r="AJ873">
        <v>85.253088101046103</v>
      </c>
      <c r="AK873">
        <v>0.48495468780919698</v>
      </c>
      <c r="AL873">
        <v>80.521674149092703</v>
      </c>
      <c r="AM873">
        <v>88.906331599383606</v>
      </c>
      <c r="AN873">
        <v>1.00000001972952</v>
      </c>
    </row>
    <row r="874" spans="1:40" x14ac:dyDescent="0.25">
      <c r="A874" t="str">
        <f>"20190303162229065"</f>
        <v>20190303162229065</v>
      </c>
      <c r="B874" t="str">
        <f>"1551601349055344"</f>
        <v>1551601349055344</v>
      </c>
      <c r="C874" t="s">
        <v>40</v>
      </c>
      <c r="D874">
        <v>5.6247879999999997</v>
      </c>
      <c r="E874">
        <v>0.51851550000000002</v>
      </c>
      <c r="F874" t="s">
        <v>42</v>
      </c>
      <c r="G874">
        <v>-307.53190000000001</v>
      </c>
      <c r="H874">
        <v>0.797081699999999</v>
      </c>
      <c r="I874">
        <v>366.7971</v>
      </c>
      <c r="J874">
        <v>-308.1431</v>
      </c>
      <c r="K874">
        <v>1.071143</v>
      </c>
      <c r="L874">
        <v>366.84039999999999</v>
      </c>
      <c r="M874">
        <v>0.99986370000000002</v>
      </c>
      <c r="N874">
        <v>-1.429387E-2</v>
      </c>
      <c r="O874">
        <v>8.2713590000000007E-3</v>
      </c>
      <c r="P874">
        <v>0.98842529999999995</v>
      </c>
      <c r="Q874">
        <v>0.1513506</v>
      </c>
      <c r="R874">
        <v>-1.043322E-2</v>
      </c>
      <c r="S874">
        <v>3.2080380000000002</v>
      </c>
      <c r="T874">
        <v>-1.1503749999999999</v>
      </c>
      <c r="U874">
        <v>-0.17495729999999901</v>
      </c>
      <c r="V874">
        <v>1.857669E-2</v>
      </c>
      <c r="W874">
        <v>0.165466</v>
      </c>
      <c r="X874">
        <v>0.98604049999999999</v>
      </c>
      <c r="Y874">
        <v>5.845144E-2</v>
      </c>
      <c r="Z874">
        <v>-1.3347400000000001E-2</v>
      </c>
      <c r="AA874">
        <v>0.998201</v>
      </c>
      <c r="AB874">
        <v>30</v>
      </c>
      <c r="AC874">
        <v>0.61119999999999597</v>
      </c>
      <c r="AD874">
        <v>-0.27406130000000001</v>
      </c>
      <c r="AE874">
        <v>-4.3299999999987897E-2</v>
      </c>
      <c r="AF874">
        <v>4.0293482140245099E-2</v>
      </c>
      <c r="AG874">
        <v>-0.27406130000000001</v>
      </c>
      <c r="AH874">
        <v>0.50899309357600497</v>
      </c>
      <c r="AI874">
        <v>118.225075171434</v>
      </c>
      <c r="AJ874">
        <v>85.473726575479901</v>
      </c>
      <c r="AK874">
        <v>0.579488679931496</v>
      </c>
      <c r="AL874">
        <v>80.475693381209595</v>
      </c>
      <c r="AM874">
        <v>88.920693384593406</v>
      </c>
      <c r="AN874">
        <v>0.99999997910380201</v>
      </c>
    </row>
    <row r="875" spans="1:40" x14ac:dyDescent="0.25">
      <c r="A875" t="str">
        <f>"20190303162229076"</f>
        <v>20190303162229076</v>
      </c>
      <c r="B875" t="str">
        <f>"1551601349065104"</f>
        <v>1551601349065104</v>
      </c>
      <c r="C875" t="s">
        <v>40</v>
      </c>
      <c r="D875">
        <v>5.6052089999999897</v>
      </c>
      <c r="E875">
        <v>0.51883179999999995</v>
      </c>
      <c r="F875" t="s">
        <v>42</v>
      </c>
      <c r="G875">
        <v>-307.28089999999997</v>
      </c>
      <c r="H875">
        <v>0.76290419999999903</v>
      </c>
      <c r="I875">
        <v>366.79300000000001</v>
      </c>
      <c r="J875">
        <v>-307.97710000000001</v>
      </c>
      <c r="K875">
        <v>1.071126</v>
      </c>
      <c r="L875">
        <v>366.84179999999998</v>
      </c>
      <c r="M875">
        <v>0.99986359999999996</v>
      </c>
      <c r="N875">
        <v>-1.426204E-2</v>
      </c>
      <c r="O875">
        <v>8.3357169999999994E-3</v>
      </c>
      <c r="P875">
        <v>0.98838320000000002</v>
      </c>
      <c r="Q875">
        <v>0.1516605</v>
      </c>
      <c r="R875">
        <v>-9.8906289999999997E-3</v>
      </c>
      <c r="S875">
        <v>3.2089840000000001</v>
      </c>
      <c r="T875">
        <v>-1.1472290000000001</v>
      </c>
      <c r="U875">
        <v>-0.17590329999999901</v>
      </c>
      <c r="V875">
        <v>1.8097160000000001E-2</v>
      </c>
      <c r="W875">
        <v>0.165743</v>
      </c>
      <c r="X875">
        <v>0.98600290000000002</v>
      </c>
      <c r="Y875">
        <v>5.8792480000000001E-2</v>
      </c>
      <c r="Z875">
        <v>-1.3392360000000001E-2</v>
      </c>
      <c r="AA875">
        <v>0.99818039999999997</v>
      </c>
      <c r="AB875">
        <v>30</v>
      </c>
      <c r="AC875">
        <v>0.69620000000003202</v>
      </c>
      <c r="AD875">
        <v>-0.30822179999999999</v>
      </c>
      <c r="AE875">
        <v>-4.8799999999971498E-2</v>
      </c>
      <c r="AF875">
        <v>4.5690595463566297E-2</v>
      </c>
      <c r="AG875">
        <v>-0.30822179999999999</v>
      </c>
      <c r="AH875">
        <v>0.58221257144833305</v>
      </c>
      <c r="AI875">
        <v>117.823956189841</v>
      </c>
      <c r="AJ875">
        <v>85.512766429653695</v>
      </c>
      <c r="AK875">
        <v>0.66034823151238597</v>
      </c>
      <c r="AL875">
        <v>80.459600287202505</v>
      </c>
      <c r="AM875">
        <v>88.948507677156002</v>
      </c>
      <c r="AN875">
        <v>0.99999998402873702</v>
      </c>
    </row>
    <row r="876" spans="1:40" x14ac:dyDescent="0.25">
      <c r="A876" t="str">
        <f>"20190303162229093"</f>
        <v>20190303162229093</v>
      </c>
      <c r="B876" t="str">
        <f>"1551601349085600"</f>
        <v>1551601349085600</v>
      </c>
      <c r="C876" t="s">
        <v>40</v>
      </c>
      <c r="D876">
        <v>5.6025140000000002</v>
      </c>
      <c r="E876">
        <v>0.51943260000000002</v>
      </c>
      <c r="F876" t="s">
        <v>42</v>
      </c>
      <c r="G876">
        <v>-307.2602</v>
      </c>
      <c r="H876">
        <v>0.81504619999999905</v>
      </c>
      <c r="I876">
        <v>366.80239999999998</v>
      </c>
      <c r="J876">
        <v>-307.76850000000002</v>
      </c>
      <c r="K876">
        <v>1.0711029999999999</v>
      </c>
      <c r="L876">
        <v>366.84359999999998</v>
      </c>
      <c r="M876">
        <v>0.99986339999999996</v>
      </c>
      <c r="N876">
        <v>-1.422291E-2</v>
      </c>
      <c r="O876">
        <v>8.4163980000000003E-3</v>
      </c>
      <c r="P876">
        <v>0.98823609999999995</v>
      </c>
      <c r="Q876">
        <v>0.15262829999999999</v>
      </c>
      <c r="R876">
        <v>-9.7009460000000002E-3</v>
      </c>
      <c r="S876">
        <v>3.2094119999999999</v>
      </c>
      <c r="T876">
        <v>-1.1463509999999999</v>
      </c>
      <c r="U876">
        <v>-0.17581179999999999</v>
      </c>
      <c r="V876">
        <v>1.7985830000000001E-2</v>
      </c>
      <c r="W876">
        <v>0.16667019999999999</v>
      </c>
      <c r="X876">
        <v>0.98584870000000002</v>
      </c>
      <c r="Y876">
        <v>5.8837529999999999E-2</v>
      </c>
      <c r="Z876">
        <v>-1.3415359999999999E-2</v>
      </c>
      <c r="AA876">
        <v>0.99817739999999999</v>
      </c>
      <c r="AB876">
        <v>30</v>
      </c>
      <c r="AC876">
        <v>0.50830000000001896</v>
      </c>
      <c r="AD876">
        <v>-0.25605679999999997</v>
      </c>
      <c r="AE876">
        <v>-4.1200000000003401E-2</v>
      </c>
      <c r="AF876">
        <v>3.6320340577968901E-2</v>
      </c>
      <c r="AG876">
        <v>-0.25605679999999997</v>
      </c>
      <c r="AH876">
        <v>0.40566369816686398</v>
      </c>
      <c r="AI876">
        <v>122.157156425727</v>
      </c>
      <c r="AJ876">
        <v>84.883771301849904</v>
      </c>
      <c r="AK876">
        <v>0.48108968807942198</v>
      </c>
      <c r="AL876">
        <v>80.405726964457401</v>
      </c>
      <c r="AM876">
        <v>88.954811382634603</v>
      </c>
      <c r="AN876">
        <v>1.0000000524702499</v>
      </c>
    </row>
    <row r="877" spans="1:40" x14ac:dyDescent="0.25">
      <c r="A877" t="str">
        <f>"20190303162229105"</f>
        <v>20190303162229105</v>
      </c>
      <c r="B877" t="str">
        <f>"1551601349095360"</f>
        <v>1551601349095360</v>
      </c>
      <c r="C877" t="s">
        <v>40</v>
      </c>
      <c r="D877">
        <v>5.601858</v>
      </c>
      <c r="E877">
        <v>0.51969430000000005</v>
      </c>
      <c r="F877" t="s">
        <v>42</v>
      </c>
      <c r="G877">
        <v>-307.00259999999997</v>
      </c>
      <c r="H877">
        <v>0.798317099999999</v>
      </c>
      <c r="I877">
        <v>366.80020000000002</v>
      </c>
      <c r="J877">
        <v>-307.61070000000001</v>
      </c>
      <c r="K877">
        <v>1.0710789999999999</v>
      </c>
      <c r="L877">
        <v>366.84500000000003</v>
      </c>
      <c r="M877">
        <v>0.99986339999999996</v>
      </c>
      <c r="N877">
        <v>-1.4194E-2</v>
      </c>
      <c r="O877">
        <v>8.4773969999999994E-3</v>
      </c>
      <c r="P877">
        <v>0.98816720000000002</v>
      </c>
      <c r="Q877">
        <v>0.1531006</v>
      </c>
      <c r="R877">
        <v>-9.2817100000000003E-3</v>
      </c>
      <c r="S877">
        <v>3.2105410000000001</v>
      </c>
      <c r="T877">
        <v>-1.1435249999999999</v>
      </c>
      <c r="U877">
        <v>-0.1802368</v>
      </c>
      <c r="V877">
        <v>1.762623E-2</v>
      </c>
      <c r="W877">
        <v>0.16711309999999999</v>
      </c>
      <c r="X877">
        <v>0.9857802</v>
      </c>
      <c r="Y877">
        <v>6.0184719999999997E-2</v>
      </c>
      <c r="Z877">
        <v>-1.3642140000000001E-2</v>
      </c>
      <c r="AA877">
        <v>0.99809400000000004</v>
      </c>
      <c r="AB877">
        <v>30</v>
      </c>
      <c r="AC877">
        <v>0.60810000000003495</v>
      </c>
      <c r="AD877">
        <v>-0.2727619</v>
      </c>
      <c r="AE877">
        <v>-4.4800000000009201E-2</v>
      </c>
      <c r="AF877">
        <v>4.1624564171525297E-2</v>
      </c>
      <c r="AG877">
        <v>-0.2727619</v>
      </c>
      <c r="AH877">
        <v>0.50636927181759295</v>
      </c>
      <c r="AI877">
        <v>118.229184550827</v>
      </c>
      <c r="AJ877">
        <v>85.300738200941794</v>
      </c>
      <c r="AK877">
        <v>0.57666411183214605</v>
      </c>
      <c r="AL877">
        <v>80.379989560090706</v>
      </c>
      <c r="AM877">
        <v>88.975632720357694</v>
      </c>
      <c r="AN877">
        <v>1.00000003744383</v>
      </c>
    </row>
    <row r="878" spans="1:40" x14ac:dyDescent="0.25">
      <c r="A878" t="str">
        <f>"20190303162229118"</f>
        <v>20190303162229118</v>
      </c>
      <c r="B878" t="str">
        <f>"1551601349105121"</f>
        <v>1551601349105121</v>
      </c>
      <c r="C878" t="s">
        <v>40</v>
      </c>
      <c r="D878">
        <v>5.6200239999999999</v>
      </c>
      <c r="E878">
        <v>0.51993420000000001</v>
      </c>
      <c r="F878" t="s">
        <v>42</v>
      </c>
      <c r="G878">
        <v>-306.75170000000003</v>
      </c>
      <c r="H878">
        <v>0.76544449999999997</v>
      </c>
      <c r="I878">
        <v>366.79660000000001</v>
      </c>
      <c r="J878">
        <v>-307.4314</v>
      </c>
      <c r="K878">
        <v>1.071062</v>
      </c>
      <c r="L878">
        <v>366.84660000000002</v>
      </c>
      <c r="M878">
        <v>0.99986330000000001</v>
      </c>
      <c r="N878">
        <v>-1.4162650000000001E-2</v>
      </c>
      <c r="O878">
        <v>8.5469329999999996E-3</v>
      </c>
      <c r="P878">
        <v>0.98812069999999996</v>
      </c>
      <c r="Q878">
        <v>0.15340329999999999</v>
      </c>
      <c r="R878">
        <v>-9.2164550000000001E-3</v>
      </c>
      <c r="S878">
        <v>3.2112120000000002</v>
      </c>
      <c r="T878">
        <v>-1.1424859999999999</v>
      </c>
      <c r="U878">
        <v>-0.18139649999999999</v>
      </c>
      <c r="V878">
        <v>1.7629410000000002E-2</v>
      </c>
      <c r="W878">
        <v>0.16738439999999999</v>
      </c>
      <c r="X878">
        <v>0.98573409999999995</v>
      </c>
      <c r="Y878">
        <v>6.0582070000000002E-2</v>
      </c>
      <c r="Z878">
        <v>-1.372171E-2</v>
      </c>
      <c r="AA878">
        <v>0.99806890000000004</v>
      </c>
      <c r="AB878">
        <v>30</v>
      </c>
      <c r="AC878">
        <v>0.679699999999968</v>
      </c>
      <c r="AD878">
        <v>-0.30561749999999999</v>
      </c>
      <c r="AE878">
        <v>-5.0000000000011299E-2</v>
      </c>
      <c r="AF878">
        <v>4.6464770824927497E-2</v>
      </c>
      <c r="AG878">
        <v>-0.30561749999999999</v>
      </c>
      <c r="AH878">
        <v>0.56552882407140503</v>
      </c>
      <c r="AI878">
        <v>118.306695678986</v>
      </c>
      <c r="AJ878">
        <v>85.303035326621796</v>
      </c>
      <c r="AK878">
        <v>0.64450281775151996</v>
      </c>
      <c r="AL878">
        <v>80.364223017249401</v>
      </c>
      <c r="AM878">
        <v>88.975400045442399</v>
      </c>
      <c r="AN878">
        <v>1.0000000246815499</v>
      </c>
    </row>
    <row r="879" spans="1:40" x14ac:dyDescent="0.25">
      <c r="A879" t="str">
        <f>"20190303162229138"</f>
        <v>20190303162229138</v>
      </c>
      <c r="B879" t="str">
        <f>"1551601349135376"</f>
        <v>1551601349135376</v>
      </c>
      <c r="C879" t="s">
        <v>40</v>
      </c>
      <c r="D879">
        <v>5.622147</v>
      </c>
      <c r="E879">
        <v>0.52060130000000004</v>
      </c>
      <c r="F879" t="s">
        <v>42</v>
      </c>
      <c r="G879">
        <v>-306.7294</v>
      </c>
      <c r="H879">
        <v>0.82140089999999999</v>
      </c>
      <c r="I879">
        <v>366.80650000000003</v>
      </c>
      <c r="J879">
        <v>-307.17349999999999</v>
      </c>
      <c r="K879">
        <v>1.0710390000000001</v>
      </c>
      <c r="L879">
        <v>366.84890000000001</v>
      </c>
      <c r="M879">
        <v>0.99986299999999995</v>
      </c>
      <c r="N879">
        <v>-1.412016E-2</v>
      </c>
      <c r="O879">
        <v>8.6469419999999995E-3</v>
      </c>
      <c r="P879">
        <v>0.98812100000000003</v>
      </c>
      <c r="Q879">
        <v>0.1534266</v>
      </c>
      <c r="R879">
        <v>-8.8045629999999996E-3</v>
      </c>
      <c r="S879">
        <v>3.2116699999999998</v>
      </c>
      <c r="T879">
        <v>-1.142223</v>
      </c>
      <c r="U879">
        <v>-0.1838379</v>
      </c>
      <c r="V879">
        <v>1.7316350000000001E-2</v>
      </c>
      <c r="W879">
        <v>0.1673656</v>
      </c>
      <c r="X879">
        <v>0.98574280000000003</v>
      </c>
      <c r="Y879">
        <v>6.1377420000000002E-2</v>
      </c>
      <c r="Z879">
        <v>-1.3891799999999999E-2</v>
      </c>
      <c r="AA879">
        <v>0.99801799999999996</v>
      </c>
      <c r="AB879">
        <v>30</v>
      </c>
      <c r="AC879">
        <v>0.444099999999991</v>
      </c>
      <c r="AD879">
        <v>-0.249638099999999</v>
      </c>
      <c r="AE879">
        <v>-4.23999999999864E-2</v>
      </c>
      <c r="AF879">
        <v>3.5212840967254203E-2</v>
      </c>
      <c r="AG879">
        <v>-0.249638099999999</v>
      </c>
      <c r="AH879">
        <v>0.33790866945834502</v>
      </c>
      <c r="AI879">
        <v>126.308258342198</v>
      </c>
      <c r="AJ879">
        <v>84.050785036545903</v>
      </c>
      <c r="AK879">
        <v>0.42159387333748599</v>
      </c>
      <c r="AL879">
        <v>80.365315193774194</v>
      </c>
      <c r="AM879">
        <v>88.993599817959193</v>
      </c>
      <c r="AN879">
        <v>0.99999998389626099</v>
      </c>
    </row>
    <row r="880" spans="1:40" x14ac:dyDescent="0.25">
      <c r="A880" t="str">
        <f>"20190303162229160"</f>
        <v>20190303162229160</v>
      </c>
      <c r="B880" t="str">
        <f>"1551601349154897"</f>
        <v>1551601349154897</v>
      </c>
      <c r="C880" t="s">
        <v>40</v>
      </c>
      <c r="D880">
        <v>5.6238539999999997</v>
      </c>
      <c r="E880">
        <v>0.52099030000000002</v>
      </c>
      <c r="F880" t="s">
        <v>42</v>
      </c>
      <c r="G880">
        <v>-306.4665</v>
      </c>
      <c r="H880">
        <v>0.81942429999999999</v>
      </c>
      <c r="I880">
        <v>366.80689999999998</v>
      </c>
      <c r="J880">
        <v>-306.8861</v>
      </c>
      <c r="K880">
        <v>1.0710150000000001</v>
      </c>
      <c r="L880">
        <v>366.85160000000002</v>
      </c>
      <c r="M880">
        <v>0.99986269999999999</v>
      </c>
      <c r="N880">
        <v>-1.4076480000000001E-2</v>
      </c>
      <c r="O880">
        <v>8.7586969999999993E-3</v>
      </c>
      <c r="P880">
        <v>0.98814329999999995</v>
      </c>
      <c r="Q880">
        <v>0.15330679999999999</v>
      </c>
      <c r="R880">
        <v>-8.3715839999999996E-3</v>
      </c>
      <c r="S880">
        <v>3.2119140000000002</v>
      </c>
      <c r="T880">
        <v>-1.1431450000000001</v>
      </c>
      <c r="U880">
        <v>-0.18841550000000001</v>
      </c>
      <c r="V880">
        <v>1.6994249999999999E-2</v>
      </c>
      <c r="W880">
        <v>0.167203399999999</v>
      </c>
      <c r="X880">
        <v>0.98577590000000004</v>
      </c>
      <c r="Y880">
        <v>6.2799649999999999E-2</v>
      </c>
      <c r="Z880">
        <v>-1.4192389999999999E-2</v>
      </c>
      <c r="AA880">
        <v>0.99792519999999996</v>
      </c>
      <c r="AB880">
        <v>30</v>
      </c>
      <c r="AC880">
        <v>0.41960000000000203</v>
      </c>
      <c r="AD880">
        <v>-0.2515907</v>
      </c>
      <c r="AE880">
        <v>-4.4700000000034303E-2</v>
      </c>
      <c r="AF880">
        <v>3.5687531716664098E-2</v>
      </c>
      <c r="AG880">
        <v>-0.2515907</v>
      </c>
      <c r="AH880">
        <v>0.309257095567044</v>
      </c>
      <c r="AI880">
        <v>128.94407821075299</v>
      </c>
      <c r="AJ880">
        <v>83.417320223536095</v>
      </c>
      <c r="AK880">
        <v>0.40026420200297902</v>
      </c>
      <c r="AL880">
        <v>80.374741099503495</v>
      </c>
      <c r="AM880">
        <v>89.012349198882106</v>
      </c>
      <c r="AN880">
        <v>0.99999995326271496</v>
      </c>
    </row>
    <row r="881" spans="1:40" x14ac:dyDescent="0.25">
      <c r="A881" t="str">
        <f>"20190303162229173"</f>
        <v>20190303162229173</v>
      </c>
      <c r="B881" t="str">
        <f>"1551601349165633"</f>
        <v>1551601349165633</v>
      </c>
      <c r="C881" t="s">
        <v>40</v>
      </c>
      <c r="D881">
        <v>5.6364359999999998</v>
      </c>
      <c r="E881">
        <v>0.52116499999999999</v>
      </c>
      <c r="F881" t="s">
        <v>42</v>
      </c>
      <c r="G881">
        <v>-306.2</v>
      </c>
      <c r="H881">
        <v>0.82654640000000001</v>
      </c>
      <c r="I881">
        <v>366.8109</v>
      </c>
      <c r="J881">
        <v>-306.71289999999999</v>
      </c>
      <c r="K881">
        <v>1.071</v>
      </c>
      <c r="L881">
        <v>366.85309999999998</v>
      </c>
      <c r="M881">
        <v>0.99986240000000004</v>
      </c>
      <c r="N881">
        <v>-1.405234E-2</v>
      </c>
      <c r="O881">
        <v>8.8263279999999996E-3</v>
      </c>
      <c r="P881">
        <v>0.98817829999999995</v>
      </c>
      <c r="Q881">
        <v>0.15307970000000001</v>
      </c>
      <c r="R881">
        <v>-8.3852709999999997E-3</v>
      </c>
      <c r="S881">
        <v>3.2119749999999998</v>
      </c>
      <c r="T881">
        <v>-1.144617</v>
      </c>
      <c r="U881">
        <v>-0.19058230000000001</v>
      </c>
      <c r="V881">
        <v>1.7075259999999998E-2</v>
      </c>
      <c r="W881">
        <v>0.16695279999999901</v>
      </c>
      <c r="X881">
        <v>0.98581700000000005</v>
      </c>
      <c r="Y881">
        <v>6.3478989999999999E-2</v>
      </c>
      <c r="Z881">
        <v>-1.435287E-2</v>
      </c>
      <c r="AA881">
        <v>0.99787999999999999</v>
      </c>
      <c r="AB881">
        <v>30</v>
      </c>
      <c r="AC881">
        <v>0.51290000000000102</v>
      </c>
      <c r="AD881">
        <v>-0.24445359999999899</v>
      </c>
      <c r="AE881">
        <v>-4.2199999999979802E-2</v>
      </c>
      <c r="AF881">
        <v>3.8123915817119103E-2</v>
      </c>
      <c r="AG881">
        <v>-0.24445359999999899</v>
      </c>
      <c r="AH881">
        <v>0.41815832426247201</v>
      </c>
      <c r="AI881">
        <v>120.207160451908</v>
      </c>
      <c r="AJ881">
        <v>84.790687721161603</v>
      </c>
      <c r="AK881">
        <v>0.48586765652818398</v>
      </c>
      <c r="AL881">
        <v>80.389304381959306</v>
      </c>
      <c r="AM881">
        <v>89.007683463584002</v>
      </c>
      <c r="AN881">
        <v>0.99999997971045296</v>
      </c>
    </row>
    <row r="882" spans="1:40" x14ac:dyDescent="0.25">
      <c r="A882" t="str">
        <f>"20190303162229188"</f>
        <v>20190303162229188</v>
      </c>
      <c r="B882" t="str">
        <f>"1551601349185152"</f>
        <v>1551601349185152</v>
      </c>
      <c r="C882" t="s">
        <v>40</v>
      </c>
      <c r="D882">
        <v>5.6153729999999999</v>
      </c>
      <c r="E882">
        <v>0.52147540000000003</v>
      </c>
      <c r="F882" t="s">
        <v>42</v>
      </c>
      <c r="G882">
        <v>-305.94819999999999</v>
      </c>
      <c r="H882">
        <v>0.79807759999999905</v>
      </c>
      <c r="I882">
        <v>366.8073</v>
      </c>
      <c r="J882">
        <v>-306.5215</v>
      </c>
      <c r="K882">
        <v>1.0709919999999999</v>
      </c>
      <c r="L882">
        <v>366.85489999999999</v>
      </c>
      <c r="M882">
        <v>0.99986209999999998</v>
      </c>
      <c r="N882">
        <v>-1.402694E-2</v>
      </c>
      <c r="O882">
        <v>8.9008239999999999E-3</v>
      </c>
      <c r="P882">
        <v>0.98817310000000003</v>
      </c>
      <c r="Q882">
        <v>0.1531323</v>
      </c>
      <c r="R882">
        <v>-8.0466740000000002E-3</v>
      </c>
      <c r="S882">
        <v>3.2118530000000001</v>
      </c>
      <c r="T882">
        <v>-1.146288</v>
      </c>
      <c r="U882">
        <v>-0.19186400000000001</v>
      </c>
      <c r="V882">
        <v>1.6810209999999999E-2</v>
      </c>
      <c r="W882">
        <v>0.16698009999999999</v>
      </c>
      <c r="X882">
        <v>0.98581700000000005</v>
      </c>
      <c r="Y882">
        <v>6.3907839999999994E-2</v>
      </c>
      <c r="Z882">
        <v>-1.4473959999999999E-2</v>
      </c>
      <c r="AA882">
        <v>0.99785080000000004</v>
      </c>
      <c r="AB882">
        <v>29</v>
      </c>
      <c r="AC882">
        <v>0.57330000000001702</v>
      </c>
      <c r="AD882">
        <v>-0.2729144</v>
      </c>
      <c r="AE882">
        <v>-4.7599999999988499E-2</v>
      </c>
      <c r="AF882">
        <v>4.30193621497236E-2</v>
      </c>
      <c r="AG882">
        <v>-0.2729144</v>
      </c>
      <c r="AH882">
        <v>0.46761125548238403</v>
      </c>
      <c r="AI882">
        <v>120.16433827439199</v>
      </c>
      <c r="AJ882">
        <v>84.743691171407505</v>
      </c>
      <c r="AK882">
        <v>0.54313278440998203</v>
      </c>
      <c r="AL882">
        <v>80.387718592659397</v>
      </c>
      <c r="AM882">
        <v>89.023083646324295</v>
      </c>
      <c r="AN882">
        <v>1.00000004722262</v>
      </c>
    </row>
    <row r="883" spans="1:40" x14ac:dyDescent="0.25">
      <c r="A883" t="str">
        <f>"20190303162229206"</f>
        <v>20190303162229206</v>
      </c>
      <c r="B883" t="str">
        <f>"1551601349194913"</f>
        <v>1551601349194913</v>
      </c>
      <c r="C883" t="s">
        <v>40</v>
      </c>
      <c r="D883">
        <v>5.6193710000000001</v>
      </c>
      <c r="E883">
        <v>0.52162520000000001</v>
      </c>
      <c r="F883" t="s">
        <v>42</v>
      </c>
      <c r="G883">
        <v>-305.69420000000002</v>
      </c>
      <c r="H883">
        <v>0.77533229999999997</v>
      </c>
      <c r="I883">
        <v>366.80500000000001</v>
      </c>
      <c r="J883">
        <v>-306.28680000000003</v>
      </c>
      <c r="K883">
        <v>1.0709869999999999</v>
      </c>
      <c r="L883">
        <v>366.8571</v>
      </c>
      <c r="M883">
        <v>0.99986169999999996</v>
      </c>
      <c r="N883">
        <v>-1.399804E-2</v>
      </c>
      <c r="O883">
        <v>8.991977E-3</v>
      </c>
      <c r="P883">
        <v>0.98818859999999997</v>
      </c>
      <c r="Q883">
        <v>0.15304879999999901</v>
      </c>
      <c r="R883">
        <v>-7.7130489999999996E-3</v>
      </c>
      <c r="S883">
        <v>3.2122190000000002</v>
      </c>
      <c r="T883">
        <v>-1.147859</v>
      </c>
      <c r="U883">
        <v>-0.19287109999999999</v>
      </c>
      <c r="V883">
        <v>1.6567019999999998E-2</v>
      </c>
      <c r="W883">
        <v>0.16686819999999999</v>
      </c>
      <c r="X883">
        <v>0.98584000000000005</v>
      </c>
      <c r="Y883">
        <v>6.4264829999999995E-2</v>
      </c>
      <c r="Z883">
        <v>-1.4584639999999999E-2</v>
      </c>
      <c r="AA883">
        <v>0.99782630000000005</v>
      </c>
      <c r="AB883">
        <v>29</v>
      </c>
      <c r="AC883">
        <v>0.59260000000000401</v>
      </c>
      <c r="AD883">
        <v>-0.29565469999999999</v>
      </c>
      <c r="AE883">
        <v>-5.2099999999995802E-2</v>
      </c>
      <c r="AF883">
        <v>4.60520611647647E-2</v>
      </c>
      <c r="AG883">
        <v>-0.29565469999999999</v>
      </c>
      <c r="AH883">
        <v>0.47482443053395201</v>
      </c>
      <c r="AI883">
        <v>121.78869074128799</v>
      </c>
      <c r="AJ883">
        <v>84.460348739843695</v>
      </c>
      <c r="AK883">
        <v>0.56124035296965602</v>
      </c>
      <c r="AL883">
        <v>80.394220610252404</v>
      </c>
      <c r="AM883">
        <v>89.037236281077199</v>
      </c>
      <c r="AN883">
        <v>0.99999998396145995</v>
      </c>
    </row>
    <row r="884" spans="1:40" x14ac:dyDescent="0.25">
      <c r="A884" t="str">
        <f>"20190303162229219"</f>
        <v>20190303162229219</v>
      </c>
      <c r="B884" t="str">
        <f>"1551601349215409"</f>
        <v>1551601349215409</v>
      </c>
      <c r="C884" t="s">
        <v>40</v>
      </c>
      <c r="D884">
        <v>5.6198230000000002</v>
      </c>
      <c r="E884">
        <v>0.52190950000000003</v>
      </c>
      <c r="F884" t="s">
        <v>42</v>
      </c>
      <c r="G884">
        <v>-305.435</v>
      </c>
      <c r="H884">
        <v>0.76635019999999998</v>
      </c>
      <c r="I884">
        <v>366.8057</v>
      </c>
      <c r="J884">
        <v>-306.10309999999998</v>
      </c>
      <c r="K884">
        <v>1.0709799999999901</v>
      </c>
      <c r="L884">
        <v>366.85879999999997</v>
      </c>
      <c r="M884">
        <v>0.99986129999999995</v>
      </c>
      <c r="N884">
        <v>-1.3977180000000001E-2</v>
      </c>
      <c r="O884">
        <v>9.0631099999999992E-3</v>
      </c>
      <c r="P884">
        <v>0.98810719999999996</v>
      </c>
      <c r="Q884">
        <v>0.15358469999999999</v>
      </c>
      <c r="R884">
        <v>-7.4851090000000002E-3</v>
      </c>
      <c r="S884">
        <v>3.21225</v>
      </c>
      <c r="T884">
        <v>-1.1487989999999999</v>
      </c>
      <c r="U884">
        <v>-0.1932373</v>
      </c>
      <c r="V884">
        <v>1.6408499999999999E-2</v>
      </c>
      <c r="W884">
        <v>0.16738249999999999</v>
      </c>
      <c r="X884">
        <v>0.98575550000000001</v>
      </c>
      <c r="Y884">
        <v>6.4427059999999994E-2</v>
      </c>
      <c r="Z884">
        <v>-1.464795E-2</v>
      </c>
      <c r="AA884">
        <v>0.99781489999999995</v>
      </c>
      <c r="AB884">
        <v>29</v>
      </c>
      <c r="AC884">
        <v>0.66809999999998104</v>
      </c>
      <c r="AD884">
        <v>-0.30462979999999901</v>
      </c>
      <c r="AE884">
        <v>-5.30999999999721E-2</v>
      </c>
      <c r="AF884">
        <v>4.90249875161754E-2</v>
      </c>
      <c r="AG884">
        <v>-0.30462979999999901</v>
      </c>
      <c r="AH884">
        <v>0.55328370430639395</v>
      </c>
      <c r="AI884">
        <v>118.741967763324</v>
      </c>
      <c r="AJ884">
        <v>84.936398645662905</v>
      </c>
      <c r="AK884">
        <v>0.63350266132038202</v>
      </c>
      <c r="AL884">
        <v>80.364333420486403</v>
      </c>
      <c r="AM884">
        <v>89.046364963104907</v>
      </c>
      <c r="AN884">
        <v>1.00000002297937</v>
      </c>
    </row>
    <row r="885" spans="1:40" x14ac:dyDescent="0.25">
      <c r="A885" t="str">
        <f>"20190303162229233"</f>
        <v>20190303162229233</v>
      </c>
      <c r="B885" t="str">
        <f>"1551601349225168"</f>
        <v>1551601349225168</v>
      </c>
      <c r="C885" t="s">
        <v>40</v>
      </c>
      <c r="D885">
        <v>5.625127</v>
      </c>
      <c r="E885">
        <v>0.52204059999999997</v>
      </c>
      <c r="F885" t="s">
        <v>42</v>
      </c>
      <c r="G885">
        <v>-305.41199999999998</v>
      </c>
      <c r="H885">
        <v>0.82410289999999997</v>
      </c>
      <c r="I885">
        <v>366.8168</v>
      </c>
      <c r="J885">
        <v>-305.9205</v>
      </c>
      <c r="K885">
        <v>1.0709740000000001</v>
      </c>
      <c r="L885">
        <v>366.86059999999998</v>
      </c>
      <c r="M885">
        <v>0.99986090000000005</v>
      </c>
      <c r="N885">
        <v>-1.3958E-2</v>
      </c>
      <c r="O885">
        <v>9.1342249999999993E-3</v>
      </c>
      <c r="P885">
        <v>0.98806459999999996</v>
      </c>
      <c r="Q885">
        <v>0.15386639999999999</v>
      </c>
      <c r="R885">
        <v>-7.3082609999999999E-3</v>
      </c>
      <c r="S885">
        <v>3.2130130000000001</v>
      </c>
      <c r="T885">
        <v>-1.1478649999999999</v>
      </c>
      <c r="U885">
        <v>-0.19479369999999999</v>
      </c>
      <c r="V885">
        <v>1.6301630000000001E-2</v>
      </c>
      <c r="W885">
        <v>0.1676443</v>
      </c>
      <c r="X885">
        <v>0.98571279999999994</v>
      </c>
      <c r="Y885">
        <v>6.4938220000000005E-2</v>
      </c>
      <c r="Z885">
        <v>-1.474895E-2</v>
      </c>
      <c r="AA885">
        <v>0.99778029999999995</v>
      </c>
      <c r="AB885">
        <v>29</v>
      </c>
      <c r="AC885">
        <v>0.50849999999996898</v>
      </c>
      <c r="AD885">
        <v>-0.24687109999999901</v>
      </c>
      <c r="AE885">
        <v>-4.3799999999975997E-2</v>
      </c>
      <c r="AF885">
        <v>3.9258352588876097E-2</v>
      </c>
      <c r="AG885">
        <v>-0.24687109999999901</v>
      </c>
      <c r="AH885">
        <v>0.41174526026388802</v>
      </c>
      <c r="AI885">
        <v>120.831521044849</v>
      </c>
      <c r="AJ885">
        <v>84.5535288432866</v>
      </c>
      <c r="AK885">
        <v>0.48168528897297602</v>
      </c>
      <c r="AL885">
        <v>80.349118553097696</v>
      </c>
      <c r="AM885">
        <v>89.0525339019798</v>
      </c>
      <c r="AN885">
        <v>1.00000003927349</v>
      </c>
    </row>
    <row r="886" spans="1:40" x14ac:dyDescent="0.25">
      <c r="A886" t="str">
        <f>"20190303162229250"</f>
        <v>20190303162229250</v>
      </c>
      <c r="B886" t="str">
        <f>"1551601349245664"</f>
        <v>1551601349245664</v>
      </c>
      <c r="C886" t="s">
        <v>40</v>
      </c>
      <c r="D886">
        <v>5.6527450000000004</v>
      </c>
      <c r="E886">
        <v>0.52227669999999904</v>
      </c>
      <c r="F886" t="s">
        <v>42</v>
      </c>
      <c r="G886">
        <v>-305.15949999999998</v>
      </c>
      <c r="H886">
        <v>0.79920389999999997</v>
      </c>
      <c r="I886">
        <v>366.81439999999998</v>
      </c>
      <c r="J886">
        <v>-305.69779999999997</v>
      </c>
      <c r="K886">
        <v>1.0709759999999999</v>
      </c>
      <c r="L886">
        <v>366.86270000000002</v>
      </c>
      <c r="M886">
        <v>0.99986039999999998</v>
      </c>
      <c r="N886">
        <v>-1.393606E-2</v>
      </c>
      <c r="O886">
        <v>9.2209739999999998E-3</v>
      </c>
      <c r="P886">
        <v>0.98803839999999998</v>
      </c>
      <c r="Q886">
        <v>0.1540407</v>
      </c>
      <c r="R886">
        <v>-7.2012669999999999E-3</v>
      </c>
      <c r="S886">
        <v>3.2135310000000001</v>
      </c>
      <c r="T886">
        <v>-1.147483</v>
      </c>
      <c r="U886">
        <v>-0.19485469999999999</v>
      </c>
      <c r="V886">
        <v>1.6280099999999999E-2</v>
      </c>
      <c r="W886">
        <v>0.16779659999999999</v>
      </c>
      <c r="X886">
        <v>0.98568719999999999</v>
      </c>
      <c r="Y886">
        <v>6.5027860000000007E-2</v>
      </c>
      <c r="Z886">
        <v>-1.47867E-2</v>
      </c>
      <c r="AA886">
        <v>0.99777389999999999</v>
      </c>
      <c r="AB886">
        <v>29</v>
      </c>
      <c r="AC886">
        <v>0.53829999999999201</v>
      </c>
      <c r="AD886">
        <v>-0.27177209999999902</v>
      </c>
      <c r="AE886">
        <v>-4.83000000000402E-2</v>
      </c>
      <c r="AF886">
        <v>4.2512426429121203E-2</v>
      </c>
      <c r="AG886">
        <v>-0.27177209999999902</v>
      </c>
      <c r="AH886">
        <v>0.42928347908637798</v>
      </c>
      <c r="AI886">
        <v>122.210982582498</v>
      </c>
      <c r="AJ886">
        <v>84.344374865936999</v>
      </c>
      <c r="AK886">
        <v>0.50985457353622499</v>
      </c>
      <c r="AL886">
        <v>80.340266622425602</v>
      </c>
      <c r="AM886">
        <v>89.0537604478411</v>
      </c>
      <c r="AN886">
        <v>0.99999999843570497</v>
      </c>
    </row>
    <row r="887" spans="1:40" x14ac:dyDescent="0.25">
      <c r="A887" t="str">
        <f>"20190303162229264"</f>
        <v>20190303162229264</v>
      </c>
      <c r="B887" t="str">
        <f>"1551601349255425"</f>
        <v>1551601349255425</v>
      </c>
      <c r="C887" t="s">
        <v>40</v>
      </c>
      <c r="D887">
        <v>5.6375089999999997</v>
      </c>
      <c r="E887">
        <v>0.52238600000000002</v>
      </c>
      <c r="F887" t="s">
        <v>42</v>
      </c>
      <c r="G887">
        <v>-304.90199999999999</v>
      </c>
      <c r="H887">
        <v>0.78681099999999904</v>
      </c>
      <c r="I887">
        <v>366.81380000000001</v>
      </c>
      <c r="J887">
        <v>-305.51839999999999</v>
      </c>
      <c r="K887">
        <v>1.0709740000000001</v>
      </c>
      <c r="L887">
        <v>366.86439999999999</v>
      </c>
      <c r="M887">
        <v>0.99985999999999997</v>
      </c>
      <c r="N887">
        <v>-1.391942E-2</v>
      </c>
      <c r="O887">
        <v>9.2907019999999996E-3</v>
      </c>
      <c r="P887">
        <v>0.98801039999999996</v>
      </c>
      <c r="Q887">
        <v>0.15423110000000001</v>
      </c>
      <c r="R887">
        <v>-6.9551589999999998E-3</v>
      </c>
      <c r="S887">
        <v>3.2138059999999999</v>
      </c>
      <c r="T887">
        <v>-1.1477710000000001</v>
      </c>
      <c r="U887">
        <v>-0.19702149999999999</v>
      </c>
      <c r="V887">
        <v>1.610261E-2</v>
      </c>
      <c r="W887">
        <v>0.1679706</v>
      </c>
      <c r="X887">
        <v>0.98566050000000005</v>
      </c>
      <c r="Y887">
        <v>6.5713359999999998E-2</v>
      </c>
      <c r="Z887">
        <v>-1.493504E-2</v>
      </c>
      <c r="AA887">
        <v>0.99772669999999997</v>
      </c>
      <c r="AB887">
        <v>29</v>
      </c>
      <c r="AC887">
        <v>0.61639999999999795</v>
      </c>
      <c r="AD887">
        <v>-0.284162999999999</v>
      </c>
      <c r="AE887">
        <v>-5.0599999999974402E-2</v>
      </c>
      <c r="AF887">
        <v>4.6507349058044101E-2</v>
      </c>
      <c r="AG887">
        <v>-0.284162999999999</v>
      </c>
      <c r="AH887">
        <v>0.50854764171179401</v>
      </c>
      <c r="AI887">
        <v>119.093818352201</v>
      </c>
      <c r="AJ887">
        <v>84.774760267839596</v>
      </c>
      <c r="AK887">
        <v>0.58440760431058303</v>
      </c>
      <c r="AL887">
        <v>80.330153820824194</v>
      </c>
      <c r="AM887">
        <v>89.064049410890902</v>
      </c>
      <c r="AN887">
        <v>1.00000001888671</v>
      </c>
    </row>
    <row r="888" spans="1:40" x14ac:dyDescent="0.25">
      <c r="A888" t="str">
        <f>"20190303162229276"</f>
        <v>20190303162229276</v>
      </c>
      <c r="B888" t="str">
        <f>"1551601349265184"</f>
        <v>1551601349265184</v>
      </c>
      <c r="C888" t="s">
        <v>40</v>
      </c>
      <c r="D888">
        <v>5.7280189999999997</v>
      </c>
      <c r="E888">
        <v>0.52241709999999997</v>
      </c>
      <c r="F888" t="s">
        <v>42</v>
      </c>
      <c r="G888">
        <v>-304.65019999999998</v>
      </c>
      <c r="H888">
        <v>0.76109950000000004</v>
      </c>
      <c r="I888">
        <v>366.81119999999999</v>
      </c>
      <c r="J888">
        <v>-305.34550000000002</v>
      </c>
      <c r="K888">
        <v>1.07097</v>
      </c>
      <c r="L888">
        <v>366.86610000000002</v>
      </c>
      <c r="M888">
        <v>0.99985959999999996</v>
      </c>
      <c r="N888">
        <v>-1.3904690000000001E-2</v>
      </c>
      <c r="O888">
        <v>9.3579119999999995E-3</v>
      </c>
      <c r="P888">
        <v>0.98799000000000003</v>
      </c>
      <c r="Q888">
        <v>0.15436240000000001</v>
      </c>
      <c r="R888">
        <v>-6.9512740000000003E-3</v>
      </c>
      <c r="S888">
        <v>3.2141419999999998</v>
      </c>
      <c r="T888">
        <v>-1.1472610000000001</v>
      </c>
      <c r="U888">
        <v>-0.19686890000000001</v>
      </c>
      <c r="V888">
        <v>1.616507E-2</v>
      </c>
      <c r="W888">
        <v>0.16808709999999999</v>
      </c>
      <c r="X888">
        <v>0.98563959999999995</v>
      </c>
      <c r="Y888">
        <v>6.5727259999999996E-2</v>
      </c>
      <c r="Z888">
        <v>-1.495199E-2</v>
      </c>
      <c r="AA888">
        <v>0.99772559999999999</v>
      </c>
      <c r="AB888">
        <v>29</v>
      </c>
      <c r="AC888">
        <v>0.695300000000031</v>
      </c>
      <c r="AD888">
        <v>-0.30987049999999899</v>
      </c>
      <c r="AE888">
        <v>-5.4900000000031902E-2</v>
      </c>
      <c r="AF888">
        <v>5.1282351457289502E-2</v>
      </c>
      <c r="AG888">
        <v>-0.30987049999999899</v>
      </c>
      <c r="AH888">
        <v>0.58022695077431796</v>
      </c>
      <c r="AI888">
        <v>118.01193952411801</v>
      </c>
      <c r="AJ888">
        <v>84.949136516444398</v>
      </c>
      <c r="AK888">
        <v>0.65978247987204197</v>
      </c>
      <c r="AL888">
        <v>80.323382423665706</v>
      </c>
      <c r="AM888">
        <v>89.060399706016497</v>
      </c>
      <c r="AN888">
        <v>1.00000000188133</v>
      </c>
    </row>
    <row r="889" spans="1:40" x14ac:dyDescent="0.25">
      <c r="A889" t="str">
        <f>"20190303162229290"</f>
        <v>20190303162229290</v>
      </c>
      <c r="B889" t="str">
        <f>"1551601349285681"</f>
        <v>1551601349285681</v>
      </c>
      <c r="C889" t="s">
        <v>40</v>
      </c>
      <c r="D889">
        <v>5.6168979999999999</v>
      </c>
      <c r="E889">
        <v>0.51446380000000003</v>
      </c>
      <c r="F889" t="s">
        <v>42</v>
      </c>
      <c r="G889">
        <v>-304.62869999999998</v>
      </c>
      <c r="H889">
        <v>0.81543699999999997</v>
      </c>
      <c r="I889">
        <v>366.822</v>
      </c>
      <c r="J889">
        <v>-305.1764</v>
      </c>
      <c r="K889">
        <v>1.070967</v>
      </c>
      <c r="L889">
        <v>366.86770000000001</v>
      </c>
      <c r="M889">
        <v>0.99985919999999895</v>
      </c>
      <c r="N889">
        <v>-1.389104E-2</v>
      </c>
      <c r="O889">
        <v>9.4232629999999994E-3</v>
      </c>
      <c r="P889">
        <v>0.9879291</v>
      </c>
      <c r="Q889">
        <v>0.15475429999999901</v>
      </c>
      <c r="R889">
        <v>-6.8876110000000001E-3</v>
      </c>
      <c r="S889">
        <v>3.2141109999999999</v>
      </c>
      <c r="T889">
        <v>-1.145886</v>
      </c>
      <c r="U889">
        <v>-0.1971436</v>
      </c>
      <c r="V889">
        <v>1.616538E-2</v>
      </c>
      <c r="W889">
        <v>0.16846459999999999</v>
      </c>
      <c r="X889">
        <v>0.98557510000000004</v>
      </c>
      <c r="Y889">
        <v>6.5875740000000002E-2</v>
      </c>
      <c r="Z889">
        <v>-1.498363E-2</v>
      </c>
      <c r="AA889">
        <v>0.99771540000000003</v>
      </c>
      <c r="AB889">
        <v>29</v>
      </c>
      <c r="AC889">
        <v>0.54770000000001995</v>
      </c>
      <c r="AD889">
        <v>-0.25552999999999998</v>
      </c>
      <c r="AE889">
        <v>-4.5700000000067499E-2</v>
      </c>
      <c r="AF889">
        <v>4.1819649664255602E-2</v>
      </c>
      <c r="AG889">
        <v>-0.25552999999999998</v>
      </c>
      <c r="AH889">
        <v>0.44997598731877803</v>
      </c>
      <c r="AI889">
        <v>119.48546962802</v>
      </c>
      <c r="AJ889">
        <v>84.690324861169103</v>
      </c>
      <c r="AK889">
        <v>0.519155904484915</v>
      </c>
      <c r="AL889">
        <v>80.301439955463493</v>
      </c>
      <c r="AM889">
        <v>89.060320209012602</v>
      </c>
      <c r="AN889">
        <v>0.99999995935185604</v>
      </c>
    </row>
    <row r="890" spans="1:40" x14ac:dyDescent="0.25">
      <c r="A890" t="str">
        <f>"20190303162229305"</f>
        <v>20190303162229305</v>
      </c>
      <c r="B890" t="str">
        <f>"1551601349295440"</f>
        <v>1551601349295440</v>
      </c>
      <c r="C890" t="s">
        <v>40</v>
      </c>
      <c r="D890">
        <v>5.8155720000000004</v>
      </c>
      <c r="E890">
        <v>0.51446380000000003</v>
      </c>
      <c r="F890" t="s">
        <v>42</v>
      </c>
      <c r="G890">
        <v>-304.34120000000001</v>
      </c>
      <c r="H890">
        <v>0.87431800000000004</v>
      </c>
      <c r="I890">
        <v>366.83179999999999</v>
      </c>
      <c r="J890">
        <v>-304.98169999999999</v>
      </c>
      <c r="K890">
        <v>1.07097</v>
      </c>
      <c r="L890">
        <v>366.86970000000002</v>
      </c>
      <c r="M890">
        <v>0.99985869999999999</v>
      </c>
      <c r="N890">
        <v>-1.387621E-2</v>
      </c>
      <c r="O890">
        <v>9.4975570000000002E-3</v>
      </c>
      <c r="P890">
        <v>0.98788319999999996</v>
      </c>
      <c r="Q890">
        <v>0.155052</v>
      </c>
      <c r="R890">
        <v>-6.787609E-3</v>
      </c>
      <c r="S890">
        <v>3.1520079999999999</v>
      </c>
      <c r="T890">
        <v>-0.74228169999999905</v>
      </c>
      <c r="U890">
        <v>-0.13436890000000001</v>
      </c>
      <c r="V890">
        <v>1.613858E-2</v>
      </c>
      <c r="W890">
        <v>0.16874700000000001</v>
      </c>
      <c r="X890">
        <v>0.98552729999999999</v>
      </c>
      <c r="Y890">
        <v>5.0389639999999999E-2</v>
      </c>
      <c r="Z890">
        <v>-8.2809319999999995E-3</v>
      </c>
      <c r="AA890">
        <v>0.99869529999999995</v>
      </c>
      <c r="AB890">
        <v>29</v>
      </c>
      <c r="AC890">
        <v>0.64049999999997398</v>
      </c>
      <c r="AD890">
        <v>-0.19665199999999899</v>
      </c>
      <c r="AE890">
        <v>-3.7900000000036002E-2</v>
      </c>
      <c r="AF890">
        <v>4.0205265632936998E-2</v>
      </c>
      <c r="AG890">
        <v>-0.19665199999999899</v>
      </c>
      <c r="AH890">
        <v>0.58514396408876901</v>
      </c>
      <c r="AI890">
        <v>108.535480513276</v>
      </c>
      <c r="AJ890">
        <v>86.069382458298307</v>
      </c>
      <c r="AK890">
        <v>0.61861290901349097</v>
      </c>
      <c r="AL890">
        <v>80.285025324244401</v>
      </c>
      <c r="AM890">
        <v>89.061832298948403</v>
      </c>
      <c r="AN890">
        <v>1.00000003140935</v>
      </c>
    </row>
    <row r="891" spans="1:40" x14ac:dyDescent="0.25">
      <c r="A891" t="str">
        <f>"20190303162229319"</f>
        <v>20190303162229319</v>
      </c>
      <c r="B891" t="str">
        <f>"1551601349305201"</f>
        <v>1551601349305201</v>
      </c>
      <c r="C891" t="s">
        <v>40</v>
      </c>
      <c r="D891">
        <v>5.8748719999999999</v>
      </c>
      <c r="E891">
        <v>0.49764209999999898</v>
      </c>
      <c r="F891" t="s">
        <v>42</v>
      </c>
      <c r="G891">
        <v>-304.08609999999999</v>
      </c>
      <c r="H891">
        <v>0.86036979999999996</v>
      </c>
      <c r="I891">
        <v>366.8313</v>
      </c>
      <c r="J891">
        <v>-304.78980000000001</v>
      </c>
      <c r="K891">
        <v>1.070967</v>
      </c>
      <c r="L891">
        <v>366.8716</v>
      </c>
      <c r="M891">
        <v>0.99985820000000003</v>
      </c>
      <c r="N891">
        <v>-1.386276E-2</v>
      </c>
      <c r="O891">
        <v>9.569569E-3</v>
      </c>
      <c r="P891">
        <v>0.98786790000000002</v>
      </c>
      <c r="Q891">
        <v>0.15515660000000001</v>
      </c>
      <c r="R891">
        <v>-6.5971349999999996E-3</v>
      </c>
      <c r="S891">
        <v>3.1522220000000001</v>
      </c>
      <c r="T891">
        <v>-0.74126709999999996</v>
      </c>
      <c r="U891">
        <v>-0.134491</v>
      </c>
      <c r="V891">
        <v>1.6019809999999999E-2</v>
      </c>
      <c r="W891">
        <v>0.16883779999999901</v>
      </c>
      <c r="X891">
        <v>0.98551369999999905</v>
      </c>
      <c r="Y891">
        <v>5.0497210000000001E-2</v>
      </c>
      <c r="Z891">
        <v>-8.2983840000000007E-3</v>
      </c>
      <c r="AA891">
        <v>0.99868970000000001</v>
      </c>
      <c r="AB891">
        <v>29</v>
      </c>
      <c r="AC891">
        <v>0.70370000000002597</v>
      </c>
      <c r="AD891">
        <v>-0.21059720000000001</v>
      </c>
      <c r="AE891">
        <v>-4.0300000000002001E-2</v>
      </c>
      <c r="AF891">
        <v>4.3178352698938001E-2</v>
      </c>
      <c r="AG891">
        <v>-0.21059720000000001</v>
      </c>
      <c r="AH891">
        <v>0.64564501604547397</v>
      </c>
      <c r="AI891">
        <v>108.027692033203</v>
      </c>
      <c r="AJ891">
        <v>86.173967116199606</v>
      </c>
      <c r="AK891">
        <v>0.68049470059214501</v>
      </c>
      <c r="AL891">
        <v>80.279747267120001</v>
      </c>
      <c r="AM891">
        <v>89.068722565344601</v>
      </c>
      <c r="AN891">
        <v>1.0000000449544799</v>
      </c>
    </row>
    <row r="892" spans="1:40" x14ac:dyDescent="0.25">
      <c r="A892" t="str">
        <f>"20190303162229339"</f>
        <v>20190303162229339</v>
      </c>
      <c r="B892" t="str">
        <f>"1551601349324720"</f>
        <v>1551601349324720</v>
      </c>
      <c r="C892" t="s">
        <v>40</v>
      </c>
      <c r="D892">
        <v>5.8714019999999998</v>
      </c>
      <c r="E892">
        <v>0.49598930000000002</v>
      </c>
      <c r="F892" t="s">
        <v>43</v>
      </c>
      <c r="G892">
        <v>-287.774</v>
      </c>
      <c r="H892">
        <v>-0.05</v>
      </c>
      <c r="I892">
        <v>366.87020000000001</v>
      </c>
      <c r="J892">
        <v>-304.5299</v>
      </c>
      <c r="K892">
        <v>1.0709550000000001</v>
      </c>
      <c r="L892">
        <v>366.87419999999997</v>
      </c>
      <c r="M892">
        <v>0.99985749999999995</v>
      </c>
      <c r="N892">
        <v>-1.3846000000000001E-2</v>
      </c>
      <c r="O892">
        <v>9.6661500000000001E-3</v>
      </c>
      <c r="P892">
        <v>0.98785100000000003</v>
      </c>
      <c r="Q892">
        <v>0.15527369999999999</v>
      </c>
      <c r="R892">
        <v>-6.3995909999999996E-3</v>
      </c>
      <c r="S892">
        <v>3.0686339999999999</v>
      </c>
      <c r="T892">
        <v>-0.2021559</v>
      </c>
      <c r="U892">
        <v>-2.4414059999999999E-4</v>
      </c>
      <c r="V892">
        <v>1.5918120000000001E-2</v>
      </c>
      <c r="W892">
        <v>0.1689379</v>
      </c>
      <c r="X892">
        <v>0.98549810000000004</v>
      </c>
      <c r="Y892">
        <v>9.7080880000000001E-3</v>
      </c>
      <c r="Z892">
        <v>-8.8909000000000004E-4</v>
      </c>
      <c r="AA892">
        <v>0.99995250000000002</v>
      </c>
      <c r="AB892">
        <v>29</v>
      </c>
      <c r="AC892">
        <v>16.755899999999901</v>
      </c>
      <c r="AD892">
        <v>-1.1209549999999999</v>
      </c>
      <c r="AE892">
        <v>-3.9999999999622499E-3</v>
      </c>
      <c r="AF892">
        <v>0.165240835835403</v>
      </c>
      <c r="AG892">
        <v>-1.1209549999999999</v>
      </c>
      <c r="AH892">
        <v>16.680425259713601</v>
      </c>
      <c r="AI892">
        <v>93.844412257406702</v>
      </c>
      <c r="AJ892">
        <v>89.432430968109202</v>
      </c>
      <c r="AK892">
        <v>16.718864539517799</v>
      </c>
      <c r="AL892">
        <v>80.273927468538204</v>
      </c>
      <c r="AM892">
        <v>89.0746184194482</v>
      </c>
      <c r="AN892">
        <v>0.99999995285217602</v>
      </c>
    </row>
    <row r="893" spans="1:40" x14ac:dyDescent="0.25">
      <c r="A893" t="str">
        <f>"20190303162229361"</f>
        <v>20190303162229361</v>
      </c>
      <c r="B893" t="str">
        <f>"1551601349354977"</f>
        <v>1551601349354977</v>
      </c>
      <c r="C893" t="s">
        <v>40</v>
      </c>
      <c r="D893">
        <v>5.843229</v>
      </c>
      <c r="E893">
        <v>0.49675940000000002</v>
      </c>
      <c r="F893" t="s">
        <v>43</v>
      </c>
      <c r="G893">
        <v>-282.0616</v>
      </c>
      <c r="H893">
        <v>-0.05</v>
      </c>
      <c r="I893">
        <v>366.97359999999998</v>
      </c>
      <c r="J893">
        <v>-304.24</v>
      </c>
      <c r="K893">
        <v>1.070951</v>
      </c>
      <c r="L893">
        <v>366.87709999999998</v>
      </c>
      <c r="M893">
        <v>0.99985670000000004</v>
      </c>
      <c r="N893">
        <v>-1.3828969999999999E-2</v>
      </c>
      <c r="O893">
        <v>9.7727449999999993E-3</v>
      </c>
      <c r="P893">
        <v>0.98779729999999999</v>
      </c>
      <c r="Q893">
        <v>0.15561059999999999</v>
      </c>
      <c r="R893">
        <v>-6.4686219999999899E-3</v>
      </c>
      <c r="S893">
        <v>3.0610050000000002</v>
      </c>
      <c r="T893">
        <v>-0.15271479999999901</v>
      </c>
      <c r="U893">
        <v>1.3549800000000001E-2</v>
      </c>
      <c r="V893">
        <v>1.609259E-2</v>
      </c>
      <c r="W893">
        <v>0.16925699999999999</v>
      </c>
      <c r="X893">
        <v>0.9854406</v>
      </c>
      <c r="Y893">
        <v>5.3324280000000002E-3</v>
      </c>
      <c r="Z893">
        <v>-5.2199560000000002E-4</v>
      </c>
      <c r="AA893">
        <v>0.99998560000000003</v>
      </c>
      <c r="AB893">
        <v>29</v>
      </c>
      <c r="AC893">
        <v>22.1784</v>
      </c>
      <c r="AD893">
        <v>-1.120951</v>
      </c>
      <c r="AE893">
        <v>9.6499999999991801E-2</v>
      </c>
      <c r="AF893">
        <v>0.11996272293568</v>
      </c>
      <c r="AG893">
        <v>-1.120951</v>
      </c>
      <c r="AH893">
        <v>22.121773938153801</v>
      </c>
      <c r="AI893">
        <v>92.900758985024495</v>
      </c>
      <c r="AJ893">
        <v>89.689297505332902</v>
      </c>
      <c r="AK893">
        <v>22.150480906067799</v>
      </c>
      <c r="AL893">
        <v>80.255378104540199</v>
      </c>
      <c r="AM893">
        <v>89.064423022089599</v>
      </c>
      <c r="AN893">
        <v>1.0000000398151301</v>
      </c>
    </row>
    <row r="894" spans="1:40" x14ac:dyDescent="0.25">
      <c r="A894" t="str">
        <f>"20190303162229384"</f>
        <v>20190303162229384</v>
      </c>
      <c r="B894" t="str">
        <f>"1551601349375561"</f>
        <v>1551601349375561</v>
      </c>
      <c r="C894" t="s">
        <v>40</v>
      </c>
      <c r="D894">
        <v>5.6553240000000002</v>
      </c>
      <c r="E894">
        <v>0.49695339999999999</v>
      </c>
      <c r="F894" t="s">
        <v>43</v>
      </c>
      <c r="G894">
        <v>-282.71789999999999</v>
      </c>
      <c r="H894">
        <v>-0.05</v>
      </c>
      <c r="I894">
        <v>366.92599999999999</v>
      </c>
      <c r="J894">
        <v>-303.9572</v>
      </c>
      <c r="K894">
        <v>1.070943</v>
      </c>
      <c r="L894">
        <v>366.88</v>
      </c>
      <c r="M894">
        <v>0.99985599999999997</v>
      </c>
      <c r="N894">
        <v>-1.3810640000000001E-2</v>
      </c>
      <c r="O894">
        <v>9.8748329999999995E-3</v>
      </c>
      <c r="P894">
        <v>0.98780330000000005</v>
      </c>
      <c r="Q894">
        <v>0.15557850000000001</v>
      </c>
      <c r="R894">
        <v>-6.342706E-3</v>
      </c>
      <c r="S894">
        <v>3.0622250000000002</v>
      </c>
      <c r="T894">
        <v>-0.15949250000000001</v>
      </c>
      <c r="U894">
        <v>6.9580079999999999E-3</v>
      </c>
      <c r="V894">
        <v>1.6068180000000001E-2</v>
      </c>
      <c r="W894">
        <v>0.1692072</v>
      </c>
      <c r="X894">
        <v>0.98544949999999998</v>
      </c>
      <c r="Y894">
        <v>7.5834240000000001E-3</v>
      </c>
      <c r="Z894">
        <v>-6.2741070000000003E-4</v>
      </c>
      <c r="AA894">
        <v>0.99997100000000005</v>
      </c>
      <c r="AB894">
        <v>29</v>
      </c>
      <c r="AC894">
        <v>21.2393</v>
      </c>
      <c r="AD894">
        <v>-1.120943</v>
      </c>
      <c r="AE894">
        <v>4.59999999999922E-2</v>
      </c>
      <c r="AF894">
        <v>0.16330190237300801</v>
      </c>
      <c r="AG894">
        <v>-1.120943</v>
      </c>
      <c r="AH894">
        <v>21.179724911009298</v>
      </c>
      <c r="AI894">
        <v>93.029479057300705</v>
      </c>
      <c r="AJ894">
        <v>89.558241458385695</v>
      </c>
      <c r="AK894">
        <v>21.2099959459354</v>
      </c>
      <c r="AL894">
        <v>80.258272702274098</v>
      </c>
      <c r="AM894">
        <v>89.065850333005002</v>
      </c>
      <c r="AN894">
        <v>0.99999998999530104</v>
      </c>
    </row>
    <row r="895" spans="1:40" x14ac:dyDescent="0.25">
      <c r="A895" t="str">
        <f>"20190303162229396"</f>
        <v>20190303162229396</v>
      </c>
      <c r="B895" t="str">
        <f>"1551601349385317"</f>
        <v>1551601349385317</v>
      </c>
      <c r="C895" t="s">
        <v>40</v>
      </c>
      <c r="D895">
        <v>5.8189710000000003</v>
      </c>
      <c r="E895">
        <v>0.49685210000000002</v>
      </c>
      <c r="F895" t="s">
        <v>43</v>
      </c>
      <c r="G895">
        <v>-283.22519999999997</v>
      </c>
      <c r="H895">
        <v>-0.05</v>
      </c>
      <c r="I895">
        <v>366.91609999999997</v>
      </c>
      <c r="J895">
        <v>-303.78120000000001</v>
      </c>
      <c r="K895">
        <v>1.0709379999999999</v>
      </c>
      <c r="L895">
        <v>366.8818</v>
      </c>
      <c r="M895">
        <v>0.99985539999999995</v>
      </c>
      <c r="N895">
        <v>-1.379767E-2</v>
      </c>
      <c r="O895">
        <v>9.9379740000000005E-3</v>
      </c>
      <c r="P895">
        <v>0.98777280000000001</v>
      </c>
      <c r="Q895">
        <v>0.1557703</v>
      </c>
      <c r="R895">
        <v>-6.3730530000000001E-3</v>
      </c>
      <c r="S895">
        <v>3.063202</v>
      </c>
      <c r="T895">
        <v>-0.1656213</v>
      </c>
      <c r="U895">
        <v>5.3405759999999997E-3</v>
      </c>
      <c r="V895">
        <v>1.6160649999999999E-2</v>
      </c>
      <c r="W895">
        <v>0.1693857</v>
      </c>
      <c r="X895">
        <v>0.98541730000000005</v>
      </c>
      <c r="Y895">
        <v>8.172492E-3</v>
      </c>
      <c r="Z895">
        <v>-6.770805E-4</v>
      </c>
      <c r="AA895">
        <v>0.99996640000000003</v>
      </c>
      <c r="AB895">
        <v>29</v>
      </c>
      <c r="AC895">
        <v>20.556000000000001</v>
      </c>
      <c r="AD895">
        <v>-1.120938</v>
      </c>
      <c r="AE895">
        <v>3.4299999999973303E-2</v>
      </c>
      <c r="AF895">
        <v>0.169502105993179</v>
      </c>
      <c r="AG895">
        <v>-1.120938</v>
      </c>
      <c r="AH895">
        <v>20.494383189281901</v>
      </c>
      <c r="AI895">
        <v>93.1305600637547</v>
      </c>
      <c r="AJ895">
        <v>89.526136806805695</v>
      </c>
      <c r="AK895">
        <v>20.525714975924799</v>
      </c>
      <c r="AL895">
        <v>80.247895402926503</v>
      </c>
      <c r="AM895">
        <v>89.060444705781606</v>
      </c>
      <c r="AN895">
        <v>0.99999996855609996</v>
      </c>
    </row>
    <row r="896" spans="1:40" x14ac:dyDescent="0.25">
      <c r="A896" t="str">
        <f>"20190303162229409"</f>
        <v>20190303162229409</v>
      </c>
      <c r="B896" t="str">
        <f>"1551601349395077"</f>
        <v>1551601349395077</v>
      </c>
      <c r="C896" t="s">
        <v>40</v>
      </c>
      <c r="D896">
        <v>5.8394629999999896</v>
      </c>
      <c r="E896">
        <v>0.49700169999999999</v>
      </c>
      <c r="F896" t="s">
        <v>43</v>
      </c>
      <c r="G896">
        <v>-283.24349999999998</v>
      </c>
      <c r="H896">
        <v>-0.05</v>
      </c>
      <c r="I896">
        <v>366.92079999999999</v>
      </c>
      <c r="J896">
        <v>-303.6354</v>
      </c>
      <c r="K896">
        <v>1.07094</v>
      </c>
      <c r="L896">
        <v>366.88330000000002</v>
      </c>
      <c r="M896">
        <v>0.9998551</v>
      </c>
      <c r="N896">
        <v>-1.3786730000000001E-2</v>
      </c>
      <c r="O896">
        <v>9.9901950000000003E-3</v>
      </c>
      <c r="P896">
        <v>0.9877821</v>
      </c>
      <c r="Q896">
        <v>0.15572759999999999</v>
      </c>
      <c r="R896">
        <v>-5.9687250000000002E-3</v>
      </c>
      <c r="S896">
        <v>3.0635680000000001</v>
      </c>
      <c r="T896">
        <v>-0.16720839999999901</v>
      </c>
      <c r="U896">
        <v>5.8288569999999998E-3</v>
      </c>
      <c r="V896">
        <v>1.5808160000000002E-2</v>
      </c>
      <c r="W896">
        <v>0.16933219999999999</v>
      </c>
      <c r="X896">
        <v>0.98543230000000004</v>
      </c>
      <c r="Y896">
        <v>8.0652420000000002E-3</v>
      </c>
      <c r="Z896">
        <v>-6.8276929999999995E-4</v>
      </c>
      <c r="AA896">
        <v>0.99996719999999895</v>
      </c>
      <c r="AB896">
        <v>29</v>
      </c>
      <c r="AC896">
        <v>20.3919</v>
      </c>
      <c r="AD896">
        <v>-1.12094</v>
      </c>
      <c r="AE896">
        <v>3.7499999999965797E-2</v>
      </c>
      <c r="AF896">
        <v>0.16573947170393</v>
      </c>
      <c r="AG896">
        <v>-1.12094</v>
      </c>
      <c r="AH896">
        <v>20.329826705331701</v>
      </c>
      <c r="AI896">
        <v>93.155857534062505</v>
      </c>
      <c r="AJ896">
        <v>89.532904928812499</v>
      </c>
      <c r="AK896">
        <v>20.3613808452398</v>
      </c>
      <c r="AL896">
        <v>80.251006506400302</v>
      </c>
      <c r="AM896">
        <v>89.080948364391602</v>
      </c>
      <c r="AN896">
        <v>1.0000000548813499</v>
      </c>
    </row>
    <row r="897" spans="1:40" x14ac:dyDescent="0.25">
      <c r="A897" t="str">
        <f>"20190303162229421"</f>
        <v>20190303162229421</v>
      </c>
      <c r="B897" t="str">
        <f>"1551601349404837"</f>
        <v>1551601349404837</v>
      </c>
      <c r="C897" t="s">
        <v>40</v>
      </c>
      <c r="D897">
        <v>5.836252</v>
      </c>
      <c r="E897">
        <v>0.49722339999999998</v>
      </c>
      <c r="F897" t="s">
        <v>43</v>
      </c>
      <c r="G897">
        <v>-283.38639999999998</v>
      </c>
      <c r="H897">
        <v>-0.05</v>
      </c>
      <c r="I897">
        <v>366.9212</v>
      </c>
      <c r="J897">
        <v>-303.46170000000001</v>
      </c>
      <c r="K897">
        <v>1.070937</v>
      </c>
      <c r="L897">
        <v>366.88499999999999</v>
      </c>
      <c r="M897">
        <v>0.99985449999999998</v>
      </c>
      <c r="N897">
        <v>-1.377343E-2</v>
      </c>
      <c r="O897">
        <v>1.0052500000000001E-2</v>
      </c>
      <c r="P897">
        <v>0.98779490000000003</v>
      </c>
      <c r="Q897">
        <v>0.15565880000000001</v>
      </c>
      <c r="R897">
        <v>-5.6316550000000002E-3</v>
      </c>
      <c r="S897">
        <v>3.063904</v>
      </c>
      <c r="T897">
        <v>-0.16961089999999901</v>
      </c>
      <c r="U897">
        <v>5.7373049999999998E-3</v>
      </c>
      <c r="V897">
        <v>1.553298E-2</v>
      </c>
      <c r="W897">
        <v>0.1692504</v>
      </c>
      <c r="X897">
        <v>0.98545070000000001</v>
      </c>
      <c r="Y897">
        <v>8.1567059999999997E-3</v>
      </c>
      <c r="Z897">
        <v>-6.9948809999999999E-4</v>
      </c>
      <c r="AA897">
        <v>0.99996649999999998</v>
      </c>
      <c r="AB897">
        <v>29</v>
      </c>
      <c r="AC897">
        <v>20.075299999999999</v>
      </c>
      <c r="AD897">
        <v>-1.1209370000000001</v>
      </c>
      <c r="AE897">
        <v>3.6200000000007997E-2</v>
      </c>
      <c r="AF897">
        <v>0.165113173224325</v>
      </c>
      <c r="AG897">
        <v>-1.1209370000000001</v>
      </c>
      <c r="AH897">
        <v>20.012256799973301</v>
      </c>
      <c r="AI897">
        <v>93.205822334143406</v>
      </c>
      <c r="AJ897">
        <v>89.527286032281907</v>
      </c>
      <c r="AK897">
        <v>20.0443055341416</v>
      </c>
      <c r="AL897">
        <v>80.255761663758804</v>
      </c>
      <c r="AM897">
        <v>89.096960909946105</v>
      </c>
      <c r="AN897">
        <v>1.00000002674916</v>
      </c>
    </row>
    <row r="898" spans="1:40" x14ac:dyDescent="0.25">
      <c r="A898" t="str">
        <f>"20190303162229434"</f>
        <v>20190303162229434</v>
      </c>
      <c r="B898" t="str">
        <f>"1551601349425333"</f>
        <v>1551601349425333</v>
      </c>
      <c r="C898" t="s">
        <v>40</v>
      </c>
      <c r="D898">
        <v>5.8371019999999998</v>
      </c>
      <c r="E898">
        <v>0.497332</v>
      </c>
      <c r="F898" t="s">
        <v>43</v>
      </c>
      <c r="G898">
        <v>-283.5204</v>
      </c>
      <c r="H898">
        <v>-0.05</v>
      </c>
      <c r="I898">
        <v>366.91860000000003</v>
      </c>
      <c r="J898">
        <v>-303.3</v>
      </c>
      <c r="K898">
        <v>1.070935</v>
      </c>
      <c r="L898">
        <v>366.88679999999999</v>
      </c>
      <c r="M898">
        <v>0.99985429999999997</v>
      </c>
      <c r="N898">
        <v>-1.376113E-2</v>
      </c>
      <c r="O898">
        <v>1.010963E-2</v>
      </c>
      <c r="P898">
        <v>0.98778060000000001</v>
      </c>
      <c r="Q898">
        <v>0.1557608</v>
      </c>
      <c r="R898">
        <v>-5.3334169999999896E-3</v>
      </c>
      <c r="S898">
        <v>3.06427</v>
      </c>
      <c r="T898">
        <v>-0.1722475</v>
      </c>
      <c r="U898">
        <v>5.1574709999999899E-3</v>
      </c>
      <c r="V898">
        <v>1.5290969999999999E-2</v>
      </c>
      <c r="W898">
        <v>0.1693402</v>
      </c>
      <c r="X898">
        <v>0.98543910000000001</v>
      </c>
      <c r="Y898">
        <v>8.4019419999999904E-3</v>
      </c>
      <c r="Z898">
        <v>-7.2260229999999905E-4</v>
      </c>
      <c r="AA898">
        <v>0.99996439999999998</v>
      </c>
      <c r="AB898">
        <v>29</v>
      </c>
      <c r="AC898">
        <v>19.779599999999999</v>
      </c>
      <c r="AD898">
        <v>-1.120935</v>
      </c>
      <c r="AE898">
        <v>3.18000000000324E-2</v>
      </c>
      <c r="AF898">
        <v>0.16764656192327301</v>
      </c>
      <c r="AG898">
        <v>-1.120935</v>
      </c>
      <c r="AH898">
        <v>19.715591444858099</v>
      </c>
      <c r="AI898">
        <v>93.253945574379699</v>
      </c>
      <c r="AJ898">
        <v>89.512811523958305</v>
      </c>
      <c r="AK898">
        <v>19.748142866216799</v>
      </c>
      <c r="AL898">
        <v>80.250541557245</v>
      </c>
      <c r="AM898">
        <v>89.111017879246404</v>
      </c>
      <c r="AN898">
        <v>1.0000000684541901</v>
      </c>
    </row>
    <row r="899" spans="1:40" x14ac:dyDescent="0.25">
      <c r="A899" t="str">
        <f>"20190303162229446"</f>
        <v>20190303162229446</v>
      </c>
      <c r="B899" t="str">
        <f>"1551601349435093"</f>
        <v>1551601349435093</v>
      </c>
      <c r="C899" t="s">
        <v>40</v>
      </c>
      <c r="D899">
        <v>5.8923249999999996</v>
      </c>
      <c r="E899">
        <v>0.49734899999999999</v>
      </c>
      <c r="F899" t="s">
        <v>43</v>
      </c>
      <c r="G899">
        <v>-283.69529999999997</v>
      </c>
      <c r="H899">
        <v>-0.05</v>
      </c>
      <c r="I899">
        <v>366.92149999999998</v>
      </c>
      <c r="J899">
        <v>-303.13069999999999</v>
      </c>
      <c r="K899">
        <v>1.070927</v>
      </c>
      <c r="L899">
        <v>366.88850000000002</v>
      </c>
      <c r="M899">
        <v>0.99985380000000001</v>
      </c>
      <c r="N899">
        <v>-1.3748410000000001E-2</v>
      </c>
      <c r="O899">
        <v>1.016979E-2</v>
      </c>
      <c r="P899">
        <v>0.98778560000000004</v>
      </c>
      <c r="Q899">
        <v>0.15573989999999999</v>
      </c>
      <c r="R899">
        <v>-4.9870970000000002E-3</v>
      </c>
      <c r="S899">
        <v>3.0647890000000002</v>
      </c>
      <c r="T899">
        <v>-0.1752349</v>
      </c>
      <c r="U899">
        <v>5.432129E-3</v>
      </c>
      <c r="V899">
        <v>1.500407E-2</v>
      </c>
      <c r="W899">
        <v>0.16930729999999999</v>
      </c>
      <c r="X899">
        <v>0.98544909999999997</v>
      </c>
      <c r="Y899">
        <v>8.3718519999999904E-3</v>
      </c>
      <c r="Z899">
        <v>-7.3800570000000004E-4</v>
      </c>
      <c r="AA899">
        <v>0.99996470000000004</v>
      </c>
      <c r="AB899">
        <v>29</v>
      </c>
      <c r="AC899">
        <v>19.435400000000001</v>
      </c>
      <c r="AD899">
        <v>-1.120927</v>
      </c>
      <c r="AE899">
        <v>3.2999999999958597E-2</v>
      </c>
      <c r="AF899">
        <v>0.16412837331020499</v>
      </c>
      <c r="AG899">
        <v>-1.120927</v>
      </c>
      <c r="AH899">
        <v>19.370298200756402</v>
      </c>
      <c r="AI899">
        <v>93.311799397145506</v>
      </c>
      <c r="AJ899">
        <v>89.514533129491795</v>
      </c>
      <c r="AK899">
        <v>19.403398358238199</v>
      </c>
      <c r="AL899">
        <v>80.252453594415996</v>
      </c>
      <c r="AM899">
        <v>89.127703839424399</v>
      </c>
      <c r="AN899">
        <v>1.00000000632033</v>
      </c>
    </row>
    <row r="900" spans="1:40" x14ac:dyDescent="0.25">
      <c r="A900" t="str">
        <f>"20190303162229461"</f>
        <v>20190303162229461</v>
      </c>
      <c r="B900" t="str">
        <f>"1551601349455588"</f>
        <v>1551601349455588</v>
      </c>
      <c r="C900" t="s">
        <v>40</v>
      </c>
      <c r="D900">
        <v>5.8955970000000004</v>
      </c>
      <c r="E900">
        <v>0.49747340000000001</v>
      </c>
      <c r="F900" t="s">
        <v>43</v>
      </c>
      <c r="G900">
        <v>-283.70339999999999</v>
      </c>
      <c r="H900">
        <v>-0.05</v>
      </c>
      <c r="I900">
        <v>366.92739999999998</v>
      </c>
      <c r="J900">
        <v>-302.93599999999998</v>
      </c>
      <c r="K900">
        <v>1.070924</v>
      </c>
      <c r="L900">
        <v>366.89060000000001</v>
      </c>
      <c r="M900">
        <v>0.99985329999999994</v>
      </c>
      <c r="N900">
        <v>-1.3734140000000001E-2</v>
      </c>
      <c r="O900">
        <v>1.0239150000000001E-2</v>
      </c>
      <c r="P900">
        <v>0.98774799999999996</v>
      </c>
      <c r="Q900">
        <v>0.15598489999999901</v>
      </c>
      <c r="R900">
        <v>-4.7721029999999998E-3</v>
      </c>
      <c r="S900">
        <v>3.0650019999999998</v>
      </c>
      <c r="T900">
        <v>-0.17684610000000001</v>
      </c>
      <c r="U900">
        <v>6.1340329999999997E-3</v>
      </c>
      <c r="V900">
        <v>1.485715E-2</v>
      </c>
      <c r="W900">
        <v>0.16953750000000001</v>
      </c>
      <c r="X900">
        <v>0.98541179999999995</v>
      </c>
      <c r="Y900">
        <v>8.2120860000000004E-3</v>
      </c>
      <c r="Z900">
        <v>-7.4290689999999997E-4</v>
      </c>
      <c r="AA900">
        <v>0.99996600000000002</v>
      </c>
      <c r="AB900">
        <v>29</v>
      </c>
      <c r="AC900">
        <v>19.232599999999898</v>
      </c>
      <c r="AD900">
        <v>-1.120924</v>
      </c>
      <c r="AE900">
        <v>3.6799999999971002E-2</v>
      </c>
      <c r="AF900">
        <v>0.15960382416019001</v>
      </c>
      <c r="AG900">
        <v>-1.120924</v>
      </c>
      <c r="AH900">
        <v>19.1668617338524</v>
      </c>
      <c r="AI900">
        <v>93.346866403920103</v>
      </c>
      <c r="AJ900">
        <v>89.522904986159702</v>
      </c>
      <c r="AK900">
        <v>19.200274287600202</v>
      </c>
      <c r="AL900">
        <v>80.239071137142105</v>
      </c>
      <c r="AM900">
        <v>89.136211381366493</v>
      </c>
      <c r="AN900">
        <v>1.0000000571958001</v>
      </c>
    </row>
    <row r="901" spans="1:40" x14ac:dyDescent="0.25">
      <c r="A901" t="str">
        <f>"20190303162229483"</f>
        <v>20190303162229483</v>
      </c>
      <c r="B901" t="str">
        <f>"1551601349475109"</f>
        <v>1551601349475109</v>
      </c>
      <c r="C901" t="s">
        <v>40</v>
      </c>
      <c r="D901">
        <v>5.8320619999999996</v>
      </c>
      <c r="E901">
        <v>0.49751109999999998</v>
      </c>
      <c r="F901" t="s">
        <v>43</v>
      </c>
      <c r="G901">
        <v>-283.80520000000001</v>
      </c>
      <c r="H901">
        <v>-0.05</v>
      </c>
      <c r="I901">
        <v>366.92649999999998</v>
      </c>
      <c r="J901">
        <v>-302.65289999999999</v>
      </c>
      <c r="K901">
        <v>1.0709299999999999</v>
      </c>
      <c r="L901">
        <v>366.89359999999999</v>
      </c>
      <c r="M901">
        <v>0.99985250000000003</v>
      </c>
      <c r="N901">
        <v>-1.37147E-2</v>
      </c>
      <c r="O901">
        <v>1.0340240000000001E-2</v>
      </c>
      <c r="P901">
        <v>0.98778489999999997</v>
      </c>
      <c r="Q901">
        <v>0.15575890000000001</v>
      </c>
      <c r="R901">
        <v>-4.4896529999999997E-3</v>
      </c>
      <c r="S901">
        <v>3.0656129999999999</v>
      </c>
      <c r="T901">
        <v>-0.17962229999999901</v>
      </c>
      <c r="U901">
        <v>5.7373049999999998E-3</v>
      </c>
      <c r="V901">
        <v>1.467538E-2</v>
      </c>
      <c r="W901">
        <v>0.16929269999999999</v>
      </c>
      <c r="X901">
        <v>0.98545649999999996</v>
      </c>
      <c r="Y901">
        <v>8.4415180000000003E-3</v>
      </c>
      <c r="Z901">
        <v>-7.6864719999999997E-4</v>
      </c>
      <c r="AA901">
        <v>0.99996410000000002</v>
      </c>
      <c r="AB901">
        <v>29</v>
      </c>
      <c r="AC901">
        <v>18.8476999999999</v>
      </c>
      <c r="AD901">
        <v>-1.12093</v>
      </c>
      <c r="AE901">
        <v>3.2899999999983699E-2</v>
      </c>
      <c r="AF901">
        <v>0.16143881432148499</v>
      </c>
      <c r="AG901">
        <v>-1.12093</v>
      </c>
      <c r="AH901">
        <v>18.780604813220702</v>
      </c>
      <c r="AI901">
        <v>93.415549893451001</v>
      </c>
      <c r="AJ901">
        <v>89.507495366372495</v>
      </c>
      <c r="AK901">
        <v>18.814719336361101</v>
      </c>
      <c r="AL901">
        <v>80.253301803214299</v>
      </c>
      <c r="AM901">
        <v>89.146816538955605</v>
      </c>
      <c r="AN901">
        <v>0.99999994922183999</v>
      </c>
    </row>
    <row r="902" spans="1:40" x14ac:dyDescent="0.25">
      <c r="A902" t="str">
        <f>"20190303162229496"</f>
        <v>20190303162229496</v>
      </c>
      <c r="B902" t="str">
        <f>"1551601349484868"</f>
        <v>1551601349484868</v>
      </c>
      <c r="C902" t="s">
        <v>40</v>
      </c>
      <c r="D902">
        <v>5.7718259999999999</v>
      </c>
      <c r="E902">
        <v>0.49740889999999999</v>
      </c>
      <c r="F902" t="s">
        <v>43</v>
      </c>
      <c r="G902">
        <v>-283.8716</v>
      </c>
      <c r="H902">
        <v>-0.05</v>
      </c>
      <c r="I902">
        <v>366.93329999999997</v>
      </c>
      <c r="J902">
        <v>-302.48239999999998</v>
      </c>
      <c r="K902">
        <v>1.0709280000000001</v>
      </c>
      <c r="L902">
        <v>366.8954</v>
      </c>
      <c r="M902">
        <v>0.99985199999999996</v>
      </c>
      <c r="N902">
        <v>-1.3703709999999999E-2</v>
      </c>
      <c r="O902">
        <v>1.040116E-2</v>
      </c>
      <c r="P902">
        <v>0.98782239999999999</v>
      </c>
      <c r="Q902">
        <v>0.15552149999999901</v>
      </c>
      <c r="R902">
        <v>-4.4775830000000003E-3</v>
      </c>
      <c r="S902">
        <v>3.0660099999999999</v>
      </c>
      <c r="T902">
        <v>-0.1829895</v>
      </c>
      <c r="U902">
        <v>6.4697269999999998E-3</v>
      </c>
      <c r="V902">
        <v>1.4723969999999999E-2</v>
      </c>
      <c r="W902">
        <v>0.169045</v>
      </c>
      <c r="X902">
        <v>0.9854984</v>
      </c>
      <c r="Y902">
        <v>8.2630250000000002E-3</v>
      </c>
      <c r="Z902">
        <v>-7.8081149999999905E-4</v>
      </c>
      <c r="AA902">
        <v>0.99996549999999995</v>
      </c>
      <c r="AB902">
        <v>29</v>
      </c>
      <c r="AC902">
        <v>18.610799999999902</v>
      </c>
      <c r="AD902">
        <v>-1.1209279999999999</v>
      </c>
      <c r="AE902">
        <v>3.7899999999979103E-2</v>
      </c>
      <c r="AF902">
        <v>0.15513137765208601</v>
      </c>
      <c r="AG902">
        <v>-1.1209279999999999</v>
      </c>
      <c r="AH902">
        <v>18.542920386202301</v>
      </c>
      <c r="AI902">
        <v>93.459225576244407</v>
      </c>
      <c r="AJ902">
        <v>89.520670656833005</v>
      </c>
      <c r="AK902">
        <v>18.5774175216727</v>
      </c>
      <c r="AL902">
        <v>80.267702518976293</v>
      </c>
      <c r="AM902">
        <v>89.144028467906494</v>
      </c>
      <c r="AN902">
        <v>1.00000005186005</v>
      </c>
    </row>
    <row r="903" spans="1:40" x14ac:dyDescent="0.25">
      <c r="A903" t="str">
        <f>"20190303162229508"</f>
        <v>20190303162229508</v>
      </c>
      <c r="B903" t="str">
        <f>"1551601349495605"</f>
        <v>1551601349495605</v>
      </c>
      <c r="C903" t="s">
        <v>40</v>
      </c>
      <c r="D903">
        <v>5.8336709999999998</v>
      </c>
      <c r="E903">
        <v>0.49739</v>
      </c>
      <c r="F903" t="s">
        <v>43</v>
      </c>
      <c r="G903">
        <v>-283.8075</v>
      </c>
      <c r="H903">
        <v>-0.05</v>
      </c>
      <c r="I903">
        <v>366.94</v>
      </c>
      <c r="J903">
        <v>-302.334</v>
      </c>
      <c r="K903">
        <v>1.0709200000000001</v>
      </c>
      <c r="L903">
        <v>366.89699999999999</v>
      </c>
      <c r="M903">
        <v>0.99985159999999995</v>
      </c>
      <c r="N903">
        <v>-1.369446E-2</v>
      </c>
      <c r="O903">
        <v>1.045421E-2</v>
      </c>
      <c r="P903">
        <v>0.98792120000000005</v>
      </c>
      <c r="Q903">
        <v>0.15489849999999999</v>
      </c>
      <c r="R903">
        <v>-4.2828620000000001E-3</v>
      </c>
      <c r="S903">
        <v>3.065979</v>
      </c>
      <c r="T903">
        <v>-0.18403030000000001</v>
      </c>
      <c r="U903">
        <v>7.3242189999999999E-3</v>
      </c>
      <c r="V903">
        <v>1.4582950000000001E-2</v>
      </c>
      <c r="W903">
        <v>0.1684138</v>
      </c>
      <c r="X903">
        <v>0.9856085</v>
      </c>
      <c r="Y903">
        <v>8.037453E-3</v>
      </c>
      <c r="Z903">
        <v>-7.7994469999999999E-4</v>
      </c>
      <c r="AA903">
        <v>0.99996739999999995</v>
      </c>
      <c r="AB903">
        <v>29</v>
      </c>
      <c r="AC903">
        <v>18.526499999999999</v>
      </c>
      <c r="AD903">
        <v>-1.1209199999999999</v>
      </c>
      <c r="AE903">
        <v>4.3000000000006297E-2</v>
      </c>
      <c r="AF903">
        <v>0.15015077876037999</v>
      </c>
      <c r="AG903">
        <v>-1.1209199999999999</v>
      </c>
      <c r="AH903">
        <v>18.458367049095902</v>
      </c>
      <c r="AI903">
        <v>93.475014593518395</v>
      </c>
      <c r="AJ903">
        <v>89.533934061376101</v>
      </c>
      <c r="AK903">
        <v>18.492980317458599</v>
      </c>
      <c r="AL903">
        <v>80.304393098962606</v>
      </c>
      <c r="AM903">
        <v>89.152320090473907</v>
      </c>
      <c r="AN903">
        <v>0.99999999286669605</v>
      </c>
    </row>
    <row r="904" spans="1:40" x14ac:dyDescent="0.25">
      <c r="A904" t="str">
        <f>"20190303162229541"</f>
        <v>20190303162229541</v>
      </c>
      <c r="B904" t="str">
        <f>"1551601349535620"</f>
        <v>1551601349535620</v>
      </c>
      <c r="C904" t="s">
        <v>40</v>
      </c>
      <c r="D904">
        <v>5.7157119999999999</v>
      </c>
      <c r="E904">
        <v>0.4974095</v>
      </c>
      <c r="F904" t="s">
        <v>43</v>
      </c>
      <c r="G904">
        <v>-283.94029999999998</v>
      </c>
      <c r="H904">
        <v>-0.05</v>
      </c>
      <c r="I904">
        <v>366.94369999999998</v>
      </c>
      <c r="J904">
        <v>-301.9076</v>
      </c>
      <c r="K904">
        <v>1.070919</v>
      </c>
      <c r="L904">
        <v>366.90170000000001</v>
      </c>
      <c r="M904">
        <v>0.99985029999999997</v>
      </c>
      <c r="N904">
        <v>-1.3666970000000001E-2</v>
      </c>
      <c r="O904">
        <v>1.0607149999999999E-2</v>
      </c>
      <c r="P904">
        <v>0.98800790000000005</v>
      </c>
      <c r="Q904">
        <v>0.1543688</v>
      </c>
      <c r="R904">
        <v>-3.262689E-3</v>
      </c>
      <c r="S904">
        <v>3.065979</v>
      </c>
      <c r="T904">
        <v>-0.1868418</v>
      </c>
      <c r="U904">
        <v>7.7819819999999998E-3</v>
      </c>
      <c r="V904">
        <v>1.371519E-2</v>
      </c>
      <c r="W904">
        <v>0.1678587</v>
      </c>
      <c r="X904">
        <v>0.98571560000000003</v>
      </c>
      <c r="Y904">
        <v>8.0399809999999999E-3</v>
      </c>
      <c r="Z904">
        <v>-8.0067820000000005E-4</v>
      </c>
      <c r="AA904">
        <v>0.9999673</v>
      </c>
      <c r="AB904">
        <v>29</v>
      </c>
      <c r="AC904">
        <v>17.967300000000002</v>
      </c>
      <c r="AD904">
        <v>-1.120919</v>
      </c>
      <c r="AE904">
        <v>4.1999999999973101E-2</v>
      </c>
      <c r="AF904">
        <v>0.14802589169661801</v>
      </c>
      <c r="AG904">
        <v>-1.120919</v>
      </c>
      <c r="AH904">
        <v>17.8970779103716</v>
      </c>
      <c r="AI904">
        <v>93.583711282832297</v>
      </c>
      <c r="AJ904">
        <v>89.526120101499799</v>
      </c>
      <c r="AK904">
        <v>17.9327568655543</v>
      </c>
      <c r="AL904">
        <v>80.336656858691896</v>
      </c>
      <c r="AM904">
        <v>89.202841268878203</v>
      </c>
      <c r="AN904">
        <v>0.99999994684289095</v>
      </c>
    </row>
    <row r="905" spans="1:40" x14ac:dyDescent="0.25">
      <c r="A905" t="str">
        <f>"20190303162229562"</f>
        <v>20190303162229562</v>
      </c>
      <c r="B905" t="str">
        <f>"1551601349555140"</f>
        <v>1551601349555140</v>
      </c>
      <c r="C905" t="s">
        <v>40</v>
      </c>
      <c r="D905">
        <v>5.552505</v>
      </c>
      <c r="E905">
        <v>0.49728630000000001</v>
      </c>
      <c r="F905" t="s">
        <v>43</v>
      </c>
      <c r="G905">
        <v>-283.6918</v>
      </c>
      <c r="H905">
        <v>-0.05</v>
      </c>
      <c r="I905">
        <v>366.96609999999998</v>
      </c>
      <c r="J905">
        <v>-301.62849999999997</v>
      </c>
      <c r="K905">
        <v>1.0709139999999999</v>
      </c>
      <c r="L905">
        <v>366.90480000000002</v>
      </c>
      <c r="M905">
        <v>0.99984969999999995</v>
      </c>
      <c r="N905">
        <v>-1.3645559999999999E-2</v>
      </c>
      <c r="O905">
        <v>1.070743E-2</v>
      </c>
      <c r="P905">
        <v>0.98800370000000004</v>
      </c>
      <c r="Q905">
        <v>0.1544179</v>
      </c>
      <c r="R905">
        <v>-1.9876389999999998E-3</v>
      </c>
      <c r="S905">
        <v>3.0659480000000001</v>
      </c>
      <c r="T905">
        <v>-0.18866459999999999</v>
      </c>
      <c r="U905">
        <v>1.083374E-2</v>
      </c>
      <c r="V905">
        <v>1.2539120000000001E-2</v>
      </c>
      <c r="W905">
        <v>0.16788649999999999</v>
      </c>
      <c r="X905">
        <v>0.98572660000000001</v>
      </c>
      <c r="Y905">
        <v>7.1462260000000003E-3</v>
      </c>
      <c r="Z905">
        <v>-7.8071919999999999E-4</v>
      </c>
      <c r="AA905">
        <v>0.99997409999999998</v>
      </c>
      <c r="AB905">
        <v>29</v>
      </c>
      <c r="AC905">
        <v>17.936699999999899</v>
      </c>
      <c r="AD905">
        <v>-1.120914</v>
      </c>
      <c r="AE905">
        <v>6.1299999999960102E-2</v>
      </c>
      <c r="AF905">
        <v>0.130268593277409</v>
      </c>
      <c r="AG905">
        <v>-1.120914</v>
      </c>
      <c r="AH905">
        <v>17.8665537367241</v>
      </c>
      <c r="AI905">
        <v>93.589829212470207</v>
      </c>
      <c r="AJ905">
        <v>89.582252489824199</v>
      </c>
      <c r="AK905">
        <v>17.902155192295801</v>
      </c>
      <c r="AL905">
        <v>80.335041802391103</v>
      </c>
      <c r="AM905">
        <v>89.271197604920701</v>
      </c>
      <c r="AN905">
        <v>1.0000000181800901</v>
      </c>
    </row>
    <row r="906" spans="1:40" x14ac:dyDescent="0.25">
      <c r="A906" t="str">
        <f>"20190303162229575"</f>
        <v>20190303162229575</v>
      </c>
      <c r="B906" t="str">
        <f>"1551601349564901"</f>
        <v>1551601349564901</v>
      </c>
      <c r="C906" t="s">
        <v>40</v>
      </c>
      <c r="D906">
        <v>5.7118520000000004</v>
      </c>
      <c r="E906">
        <v>0.49728139999999998</v>
      </c>
      <c r="F906" t="s">
        <v>43</v>
      </c>
      <c r="G906">
        <v>-283.28890000000001</v>
      </c>
      <c r="H906">
        <v>-0.05</v>
      </c>
      <c r="I906">
        <v>366.99549999999999</v>
      </c>
      <c r="J906">
        <v>-301.4624</v>
      </c>
      <c r="K906">
        <v>1.0709139999999999</v>
      </c>
      <c r="L906">
        <v>366.90660000000003</v>
      </c>
      <c r="M906">
        <v>0.99984910000000005</v>
      </c>
      <c r="N906">
        <v>-1.363223E-2</v>
      </c>
      <c r="O906">
        <v>1.076688E-2</v>
      </c>
      <c r="P906">
        <v>0.98798759999999997</v>
      </c>
      <c r="Q906">
        <v>0.15453020000000001</v>
      </c>
      <c r="R906">
        <v>-1.135407E-3</v>
      </c>
      <c r="S906">
        <v>3.0657649999999999</v>
      </c>
      <c r="T906">
        <v>-0.1873794</v>
      </c>
      <c r="U906">
        <v>1.516724E-2</v>
      </c>
      <c r="V906">
        <v>1.1745439999999999E-2</v>
      </c>
      <c r="W906">
        <v>0.16798560000000001</v>
      </c>
      <c r="X906">
        <v>0.98571949999999997</v>
      </c>
      <c r="Y906">
        <v>5.7954469999999996E-3</v>
      </c>
      <c r="Z906">
        <v>-7.2725229999999995E-4</v>
      </c>
      <c r="AA906">
        <v>0.99998299999999996</v>
      </c>
      <c r="AB906">
        <v>29</v>
      </c>
      <c r="AC906">
        <v>18.173499999999901</v>
      </c>
      <c r="AD906">
        <v>-1.120914</v>
      </c>
      <c r="AE906">
        <v>8.8899999999966894E-2</v>
      </c>
      <c r="AF906">
        <v>0.106390508276431</v>
      </c>
      <c r="AG906">
        <v>-1.120914</v>
      </c>
      <c r="AH906">
        <v>18.104531390653001</v>
      </c>
      <c r="AI906">
        <v>93.542796070909702</v>
      </c>
      <c r="AJ906">
        <v>89.663307665522794</v>
      </c>
      <c r="AK906">
        <v>18.139510026756199</v>
      </c>
      <c r="AL906">
        <v>80.329282055101402</v>
      </c>
      <c r="AM906">
        <v>89.317318675605094</v>
      </c>
      <c r="AN906">
        <v>1.0000000249242</v>
      </c>
    </row>
    <row r="907" spans="1:40" x14ac:dyDescent="0.25">
      <c r="A907" t="str">
        <f>"20190303162229596"</f>
        <v>20190303162229596</v>
      </c>
      <c r="B907" t="str">
        <f>"1551601349585397"</f>
        <v>1551601349585397</v>
      </c>
      <c r="C907" t="s">
        <v>40</v>
      </c>
      <c r="D907">
        <v>5.7106329999999996</v>
      </c>
      <c r="E907">
        <v>0.49731239999999999</v>
      </c>
      <c r="F907" t="s">
        <v>43</v>
      </c>
      <c r="G907">
        <v>-283.03399999999999</v>
      </c>
      <c r="H907">
        <v>-0.05</v>
      </c>
      <c r="I907">
        <v>367.01249999999999</v>
      </c>
      <c r="J907">
        <v>-301.20650000000001</v>
      </c>
      <c r="K907">
        <v>1.07091</v>
      </c>
      <c r="L907">
        <v>366.90949999999998</v>
      </c>
      <c r="M907">
        <v>0.99984850000000003</v>
      </c>
      <c r="N907">
        <v>-1.361193E-2</v>
      </c>
      <c r="O907">
        <v>1.0858029999999999E-2</v>
      </c>
      <c r="P907">
        <v>0.98805860000000001</v>
      </c>
      <c r="Q907">
        <v>0.15407899999999999</v>
      </c>
      <c r="R907">
        <v>3.7429390000000002E-4</v>
      </c>
      <c r="S907">
        <v>3.065674</v>
      </c>
      <c r="T907">
        <v>-0.18647089999999999</v>
      </c>
      <c r="U907">
        <v>1.7608639999999998E-2</v>
      </c>
      <c r="V907">
        <v>1.0326770000000001E-2</v>
      </c>
      <c r="W907">
        <v>0.167515</v>
      </c>
      <c r="X907">
        <v>0.98581540000000001</v>
      </c>
      <c r="Y907">
        <v>5.091875E-3</v>
      </c>
      <c r="Z907">
        <v>-7.0152210000000003E-4</v>
      </c>
      <c r="AA907">
        <v>0.99998679999999995</v>
      </c>
      <c r="AB907">
        <v>29</v>
      </c>
      <c r="AC907">
        <v>18.172499999999999</v>
      </c>
      <c r="AD907">
        <v>-1.1209100000000001</v>
      </c>
      <c r="AE907">
        <v>0.103000000000008</v>
      </c>
      <c r="AF907">
        <v>9.3984321648674096E-2</v>
      </c>
      <c r="AG907">
        <v>-1.1209100000000001</v>
      </c>
      <c r="AH907">
        <v>18.103671498622301</v>
      </c>
      <c r="AI907">
        <v>93.542964703848099</v>
      </c>
      <c r="AJ907">
        <v>89.702554446175199</v>
      </c>
      <c r="AK907">
        <v>18.138583021031302</v>
      </c>
      <c r="AL907">
        <v>80.356632394276204</v>
      </c>
      <c r="AM907">
        <v>89.399828105634001</v>
      </c>
      <c r="AN907">
        <v>0.99999996014039505</v>
      </c>
    </row>
    <row r="908" spans="1:40" x14ac:dyDescent="0.25">
      <c r="A908" t="str">
        <f>"20190303162229608"</f>
        <v>20190303162229608</v>
      </c>
      <c r="B908" t="str">
        <f>"1551601349595157"</f>
        <v>1551601349595157</v>
      </c>
      <c r="C908" t="s">
        <v>40</v>
      </c>
      <c r="D908">
        <v>5.5327630000000001</v>
      </c>
      <c r="E908">
        <v>0.49723129999999999</v>
      </c>
      <c r="F908" t="s">
        <v>43</v>
      </c>
      <c r="G908">
        <v>-282.83199999999999</v>
      </c>
      <c r="H908">
        <v>-0.05</v>
      </c>
      <c r="I908">
        <v>367.04379999999998</v>
      </c>
      <c r="J908">
        <v>-301.03469999999999</v>
      </c>
      <c r="K908">
        <v>1.0709109999999999</v>
      </c>
      <c r="L908">
        <v>366.91140000000001</v>
      </c>
      <c r="M908">
        <v>0.99984790000000001</v>
      </c>
      <c r="N908">
        <v>-1.359871E-2</v>
      </c>
      <c r="O908">
        <v>1.091963E-2</v>
      </c>
      <c r="P908">
        <v>0.98807690000000004</v>
      </c>
      <c r="Q908">
        <v>0.15395610000000001</v>
      </c>
      <c r="R908">
        <v>1.300893E-3</v>
      </c>
      <c r="S908">
        <v>3.0654300000000001</v>
      </c>
      <c r="T908">
        <v>-0.1870019</v>
      </c>
      <c r="U908">
        <v>2.23999E-2</v>
      </c>
      <c r="V908">
        <v>9.4612900000000007E-3</v>
      </c>
      <c r="W908">
        <v>0.16737969999999999</v>
      </c>
      <c r="X908">
        <v>0.98584709999999998</v>
      </c>
      <c r="Y908">
        <v>3.5932920000000001E-3</v>
      </c>
      <c r="Z908">
        <v>-6.5105730000000002E-4</v>
      </c>
      <c r="AA908">
        <v>0.99999329999999997</v>
      </c>
      <c r="AB908">
        <v>29</v>
      </c>
      <c r="AC908">
        <v>18.2027</v>
      </c>
      <c r="AD908">
        <v>-1.120911</v>
      </c>
      <c r="AE908">
        <v>0.13239999999996099</v>
      </c>
      <c r="AF908">
        <v>6.6142227248503299E-2</v>
      </c>
      <c r="AG908">
        <v>-1.120911</v>
      </c>
      <c r="AH908">
        <v>18.134298442315899</v>
      </c>
      <c r="AI908">
        <v>93.537023430482805</v>
      </c>
      <c r="AJ908">
        <v>89.791022868835597</v>
      </c>
      <c r="AK908">
        <v>18.169028489688898</v>
      </c>
      <c r="AL908">
        <v>80.364495845699807</v>
      </c>
      <c r="AM908">
        <v>89.450142579306799</v>
      </c>
      <c r="AN908">
        <v>0.999999992279482</v>
      </c>
    </row>
    <row r="909" spans="1:40" x14ac:dyDescent="0.25">
      <c r="A909" t="str">
        <f>"20190303162229622"</f>
        <v>20190303162229622</v>
      </c>
      <c r="B909" t="str">
        <f>"1551601349615653"</f>
        <v>1551601349615653</v>
      </c>
      <c r="C909" t="s">
        <v>40</v>
      </c>
      <c r="D909">
        <v>5.5297150000000004</v>
      </c>
      <c r="E909">
        <v>0.49718370000000001</v>
      </c>
      <c r="F909" t="s">
        <v>43</v>
      </c>
      <c r="G909">
        <v>-282.64249999999998</v>
      </c>
      <c r="H909">
        <v>-0.05</v>
      </c>
      <c r="I909">
        <v>367.06700000000001</v>
      </c>
      <c r="J909">
        <v>-300.85899999999998</v>
      </c>
      <c r="K909">
        <v>1.0709070000000001</v>
      </c>
      <c r="L909">
        <v>366.91340000000002</v>
      </c>
      <c r="M909">
        <v>0.99984740000000005</v>
      </c>
      <c r="N909">
        <v>-1.35856E-2</v>
      </c>
      <c r="O909">
        <v>1.0982779999999999E-2</v>
      </c>
      <c r="P909">
        <v>0.98803419999999997</v>
      </c>
      <c r="Q909">
        <v>0.1542231</v>
      </c>
      <c r="R909">
        <v>1.9098800000000001E-3</v>
      </c>
      <c r="S909">
        <v>3.065277</v>
      </c>
      <c r="T909">
        <v>-0.18681310000000001</v>
      </c>
      <c r="U909">
        <v>2.5939940000000002E-2</v>
      </c>
      <c r="V909">
        <v>8.91434199999999E-3</v>
      </c>
      <c r="W909">
        <v>0.16763259999999999</v>
      </c>
      <c r="X909">
        <v>0.9858093</v>
      </c>
      <c r="Y909">
        <v>2.5037150000000001E-3</v>
      </c>
      <c r="Z909">
        <v>-6.1283589999999895E-4</v>
      </c>
      <c r="AA909">
        <v>0.99999669999999896</v>
      </c>
      <c r="AB909">
        <v>29</v>
      </c>
      <c r="AC909">
        <v>18.2165</v>
      </c>
      <c r="AD909">
        <v>-1.1209069999999901</v>
      </c>
      <c r="AE909">
        <v>0.15359999999992599</v>
      </c>
      <c r="AF909">
        <v>4.6320174633296102E-2</v>
      </c>
      <c r="AG909">
        <v>-1.1209069999999901</v>
      </c>
      <c r="AH909">
        <v>18.148378810145399</v>
      </c>
      <c r="AI909">
        <v>93.534285585772196</v>
      </c>
      <c r="AJ909">
        <v>89.8537640867128</v>
      </c>
      <c r="AK909">
        <v>18.183020417349901</v>
      </c>
      <c r="AL909">
        <v>80.349798787293594</v>
      </c>
      <c r="AM909">
        <v>89.481907653942201</v>
      </c>
      <c r="AN909">
        <v>1.0000000650212599</v>
      </c>
    </row>
    <row r="910" spans="1:40" x14ac:dyDescent="0.25">
      <c r="A910" t="str">
        <f>"20190303162229641"</f>
        <v>20190303162229641</v>
      </c>
      <c r="B910" t="str">
        <f>"1551601349635173"</f>
        <v>1551601349635173</v>
      </c>
      <c r="C910" t="s">
        <v>40</v>
      </c>
      <c r="D910">
        <v>5.4100900000000003</v>
      </c>
      <c r="E910">
        <v>0.49711230000000001</v>
      </c>
      <c r="F910" t="s">
        <v>43</v>
      </c>
      <c r="G910">
        <v>-282.2457</v>
      </c>
      <c r="H910">
        <v>-0.05</v>
      </c>
      <c r="I910">
        <v>367.0865</v>
      </c>
      <c r="J910">
        <v>-300.62349999999998</v>
      </c>
      <c r="K910">
        <v>1.0709070000000001</v>
      </c>
      <c r="L910">
        <v>366.91609999999997</v>
      </c>
      <c r="M910">
        <v>0.99984680000000004</v>
      </c>
      <c r="N910">
        <v>-1.356888E-2</v>
      </c>
      <c r="O910">
        <v>1.106621E-2</v>
      </c>
      <c r="P910">
        <v>0.98805220000000005</v>
      </c>
      <c r="Q910">
        <v>0.15409</v>
      </c>
      <c r="R910">
        <v>3.0405950000000001E-3</v>
      </c>
      <c r="S910">
        <v>3.0651250000000001</v>
      </c>
      <c r="T910">
        <v>-0.18458340000000001</v>
      </c>
      <c r="U910">
        <v>2.8503420000000002E-2</v>
      </c>
      <c r="V910">
        <v>7.8663540000000007E-3</v>
      </c>
      <c r="W910">
        <v>0.16748360000000001</v>
      </c>
      <c r="X910">
        <v>0.98584349999999998</v>
      </c>
      <c r="Y910">
        <v>1.7525329999999999E-3</v>
      </c>
      <c r="Z910">
        <v>-5.8034250000000003E-4</v>
      </c>
      <c r="AA910">
        <v>0.99999830000000001</v>
      </c>
      <c r="AB910">
        <v>29</v>
      </c>
      <c r="AC910">
        <v>18.377799999999901</v>
      </c>
      <c r="AD910">
        <v>-1.1209069999999901</v>
      </c>
      <c r="AE910">
        <v>0.170400000000029</v>
      </c>
      <c r="AF910">
        <v>3.28794307696108E-2</v>
      </c>
      <c r="AG910">
        <v>-1.1209069999999901</v>
      </c>
      <c r="AH910">
        <v>18.3104498742752</v>
      </c>
      <c r="AI910">
        <v>93.503086602509001</v>
      </c>
      <c r="AJ910">
        <v>89.897116094685899</v>
      </c>
      <c r="AK910">
        <v>18.344756421330899</v>
      </c>
      <c r="AL910">
        <v>80.358457856996495</v>
      </c>
      <c r="AM910">
        <v>89.542828735736705</v>
      </c>
      <c r="AN910">
        <v>1.0000000211432301</v>
      </c>
    </row>
    <row r="911" spans="1:40" x14ac:dyDescent="0.25">
      <c r="A911" t="str">
        <f>"20190303162229653"</f>
        <v>20190303162229653</v>
      </c>
      <c r="B911" t="str">
        <f>"1551601349644934"</f>
        <v>1551601349644934</v>
      </c>
      <c r="C911" t="s">
        <v>40</v>
      </c>
      <c r="D911">
        <v>5.4707150000000002</v>
      </c>
      <c r="E911">
        <v>0.49715090000000001</v>
      </c>
      <c r="F911" t="s">
        <v>43</v>
      </c>
      <c r="G911">
        <v>-281.87569999999999</v>
      </c>
      <c r="H911">
        <v>-0.05</v>
      </c>
      <c r="I911">
        <v>367.10890000000001</v>
      </c>
      <c r="J911">
        <v>-300.46620000000001</v>
      </c>
      <c r="K911">
        <v>1.0709040000000001</v>
      </c>
      <c r="L911">
        <v>366.91789999999997</v>
      </c>
      <c r="M911">
        <v>0.99984640000000002</v>
      </c>
      <c r="N911">
        <v>-1.355838E-2</v>
      </c>
      <c r="O911">
        <v>1.11211E-2</v>
      </c>
      <c r="P911">
        <v>0.98801110000000003</v>
      </c>
      <c r="Q911">
        <v>0.1543457</v>
      </c>
      <c r="R911">
        <v>3.446902E-3</v>
      </c>
      <c r="S911">
        <v>3.0647890000000002</v>
      </c>
      <c r="T911">
        <v>-0.18324029999999999</v>
      </c>
      <c r="U911">
        <v>3.1524660000000003E-2</v>
      </c>
      <c r="V911">
        <v>7.5140919999999896E-3</v>
      </c>
      <c r="W911">
        <v>0.1677285</v>
      </c>
      <c r="X911">
        <v>0.98580460000000003</v>
      </c>
      <c r="Y911">
        <v>8.2296379999999996E-4</v>
      </c>
      <c r="Z911">
        <v>-5.4376529999999998E-4</v>
      </c>
      <c r="AA911">
        <v>0.99999950000000004</v>
      </c>
      <c r="AB911">
        <v>29</v>
      </c>
      <c r="AC911">
        <v>18.590499999999999</v>
      </c>
      <c r="AD911">
        <v>-1.1209039999999999</v>
      </c>
      <c r="AE911">
        <v>0.19100000000003001</v>
      </c>
      <c r="AF911">
        <v>1.5720450369790299E-2</v>
      </c>
      <c r="AG911">
        <v>-1.1209039999999999</v>
      </c>
      <c r="AH911">
        <v>18.524138520308099</v>
      </c>
      <c r="AI911">
        <v>93.462770077467695</v>
      </c>
      <c r="AJ911">
        <v>89.951376133307605</v>
      </c>
      <c r="AK911">
        <v>18.558027395963599</v>
      </c>
      <c r="AL911">
        <v>80.344224675149405</v>
      </c>
      <c r="AM911">
        <v>89.5632832094647</v>
      </c>
      <c r="AN911">
        <v>1.0000000103359901</v>
      </c>
    </row>
    <row r="912" spans="1:40" x14ac:dyDescent="0.25">
      <c r="A912" t="str">
        <f>"20190303162229666"</f>
        <v>20190303162229666</v>
      </c>
      <c r="B912" t="str">
        <f>"1551601349655669"</f>
        <v>1551601349655669</v>
      </c>
      <c r="C912" t="s">
        <v>40</v>
      </c>
      <c r="D912">
        <v>5.4665429999999997</v>
      </c>
      <c r="E912">
        <v>0.49716280000000002</v>
      </c>
      <c r="F912" t="s">
        <v>43</v>
      </c>
      <c r="G912">
        <v>-281.5591</v>
      </c>
      <c r="H912">
        <v>-0.05</v>
      </c>
      <c r="I912">
        <v>367.11750000000001</v>
      </c>
      <c r="J912">
        <v>-300.28859999999997</v>
      </c>
      <c r="K912">
        <v>1.070902</v>
      </c>
      <c r="L912">
        <v>366.92</v>
      </c>
      <c r="M912">
        <v>0.99984569999999995</v>
      </c>
      <c r="N912">
        <v>-1.354692E-2</v>
      </c>
      <c r="O912">
        <v>1.118249E-2</v>
      </c>
      <c r="P912">
        <v>0.98797299999999999</v>
      </c>
      <c r="Q912">
        <v>0.1545735</v>
      </c>
      <c r="R912">
        <v>4.0568849999999997E-3</v>
      </c>
      <c r="S912">
        <v>3.0647280000000001</v>
      </c>
      <c r="T912">
        <v>-0.18169160000000001</v>
      </c>
      <c r="U912">
        <v>3.2348630000000003E-2</v>
      </c>
      <c r="V912">
        <v>6.9649550000000001E-3</v>
      </c>
      <c r="W912">
        <v>0.16794429999999999</v>
      </c>
      <c r="X912">
        <v>0.98577190000000003</v>
      </c>
      <c r="Y912">
        <v>6.1598730000000002E-4</v>
      </c>
      <c r="Z912">
        <v>-5.3335820000000001E-4</v>
      </c>
      <c r="AA912">
        <v>0.99999959999999999</v>
      </c>
      <c r="AB912">
        <v>29</v>
      </c>
      <c r="AC912">
        <v>18.729499999999899</v>
      </c>
      <c r="AD912">
        <v>-1.1209020000000001</v>
      </c>
      <c r="AE912">
        <v>0.19749999999998999</v>
      </c>
      <c r="AF912">
        <v>1.1931290606196699E-2</v>
      </c>
      <c r="AG912">
        <v>-1.1209020000000001</v>
      </c>
      <c r="AH912">
        <v>18.663698081149001</v>
      </c>
      <c r="AI912">
        <v>93.436933606968694</v>
      </c>
      <c r="AJ912">
        <v>89.963372076649406</v>
      </c>
      <c r="AK912">
        <v>18.697331085306899</v>
      </c>
      <c r="AL912">
        <v>80.331682412461006</v>
      </c>
      <c r="AM912">
        <v>89.595184356891707</v>
      </c>
      <c r="AN912">
        <v>1.0000000186651199</v>
      </c>
    </row>
    <row r="913" spans="1:40" x14ac:dyDescent="0.25">
      <c r="A913" t="str">
        <f>"20190303162229685"</f>
        <v>20190303162229685</v>
      </c>
      <c r="B913" t="str">
        <f>"1551601349675480"</f>
        <v>1551601349675480</v>
      </c>
      <c r="C913" t="s">
        <v>40</v>
      </c>
      <c r="D913">
        <v>5.41</v>
      </c>
      <c r="E913">
        <v>0.49730380000000002</v>
      </c>
      <c r="F913" t="s">
        <v>43</v>
      </c>
      <c r="G913">
        <v>-281.20620000000002</v>
      </c>
      <c r="H913">
        <v>-0.05</v>
      </c>
      <c r="I913">
        <v>367.13150000000002</v>
      </c>
      <c r="J913">
        <v>-300.04750000000001</v>
      </c>
      <c r="K913">
        <v>1.0709</v>
      </c>
      <c r="L913">
        <v>366.9228</v>
      </c>
      <c r="M913">
        <v>0.99984510000000004</v>
      </c>
      <c r="N913">
        <v>-1.353241E-2</v>
      </c>
      <c r="O913">
        <v>1.1262650000000001E-2</v>
      </c>
      <c r="P913">
        <v>0.98796019999999896</v>
      </c>
      <c r="Q913">
        <v>0.15463859999999999</v>
      </c>
      <c r="R913">
        <v>4.7130109999999996E-3</v>
      </c>
      <c r="S913">
        <v>3.0645449999999999</v>
      </c>
      <c r="T913">
        <v>-0.18001210000000001</v>
      </c>
      <c r="U913">
        <v>3.3966059999999999E-2</v>
      </c>
      <c r="V913">
        <v>6.3888829999999997E-3</v>
      </c>
      <c r="W913">
        <v>0.16799500000000001</v>
      </c>
      <c r="X913">
        <v>0.98576710000000001</v>
      </c>
      <c r="Y913">
        <v>1.6895669999999999E-4</v>
      </c>
      <c r="Z913">
        <v>-5.1474539999999997E-4</v>
      </c>
      <c r="AA913">
        <v>0.99999990000000005</v>
      </c>
      <c r="AB913">
        <v>29</v>
      </c>
      <c r="AC913">
        <v>18.841299999999901</v>
      </c>
      <c r="AD913">
        <v>-1.1209</v>
      </c>
      <c r="AE913">
        <v>0.20870000000002101</v>
      </c>
      <c r="AF913">
        <v>3.5231506695100299E-3</v>
      </c>
      <c r="AG913">
        <v>-1.1209</v>
      </c>
      <c r="AH913">
        <v>18.7760105292231</v>
      </c>
      <c r="AI913">
        <v>93.416418300855497</v>
      </c>
      <c r="AJ913">
        <v>89.9892489588633</v>
      </c>
      <c r="AK913">
        <v>18.809439136138199</v>
      </c>
      <c r="AL913">
        <v>80.328735043818895</v>
      </c>
      <c r="AM913">
        <v>89.628663904045197</v>
      </c>
      <c r="AN913">
        <v>0.99999995664669705</v>
      </c>
    </row>
    <row r="914" spans="1:40" x14ac:dyDescent="0.25">
      <c r="A914" t="str">
        <f>"20190303162229711"</f>
        <v>20190303162229711</v>
      </c>
      <c r="B914" t="str">
        <f>"1551601349704760"</f>
        <v>1551601349704760</v>
      </c>
      <c r="C914" t="s">
        <v>40</v>
      </c>
      <c r="D914">
        <v>5.413837</v>
      </c>
      <c r="E914">
        <v>0.49735040000000003</v>
      </c>
      <c r="F914" t="s">
        <v>43</v>
      </c>
      <c r="G914">
        <v>-280.78460000000001</v>
      </c>
      <c r="H914">
        <v>-0.05</v>
      </c>
      <c r="I914">
        <v>367.14049999999997</v>
      </c>
      <c r="J914">
        <v>-299.72269999999997</v>
      </c>
      <c r="K914">
        <v>1.0708949999999999</v>
      </c>
      <c r="L914">
        <v>366.92660000000001</v>
      </c>
      <c r="M914">
        <v>0.99984419999999996</v>
      </c>
      <c r="N914">
        <v>-1.3514689999999999E-2</v>
      </c>
      <c r="O914">
        <v>1.1364600000000001E-2</v>
      </c>
      <c r="P914">
        <v>0.98796249999999997</v>
      </c>
      <c r="Q914">
        <v>0.15460750000000001</v>
      </c>
      <c r="R914">
        <v>5.1735119999999999E-3</v>
      </c>
      <c r="S914">
        <v>3.0643009999999999</v>
      </c>
      <c r="T914">
        <v>-0.17830979999999999</v>
      </c>
      <c r="U914">
        <v>3.463745E-2</v>
      </c>
      <c r="V914">
        <v>6.0315890000000004E-3</v>
      </c>
      <c r="W914">
        <v>0.16794609999999999</v>
      </c>
      <c r="X914">
        <v>0.98577769999999998</v>
      </c>
      <c r="Y914" s="1">
        <v>5.1385850000000002E-5</v>
      </c>
      <c r="Z914">
        <v>-5.0904309999999996E-4</v>
      </c>
      <c r="AA914">
        <v>0.99999990000000005</v>
      </c>
      <c r="AB914">
        <v>29</v>
      </c>
      <c r="AC914">
        <v>18.938099999999899</v>
      </c>
      <c r="AD914">
        <v>-1.120895</v>
      </c>
      <c r="AE914">
        <v>0.21389999999996601</v>
      </c>
      <c r="AF914">
        <v>1.3526428055599901E-3</v>
      </c>
      <c r="AG914">
        <v>-1.120895</v>
      </c>
      <c r="AH914">
        <v>18.873200915454799</v>
      </c>
      <c r="AI914">
        <v>93.398851217937803</v>
      </c>
      <c r="AJ914">
        <v>89.995893609983696</v>
      </c>
      <c r="AK914">
        <v>18.906457104010499</v>
      </c>
      <c r="AL914">
        <v>80.331577350242199</v>
      </c>
      <c r="AM914">
        <v>89.649433862259201</v>
      </c>
      <c r="AN914">
        <v>0.99999997319418199</v>
      </c>
    </row>
    <row r="915" spans="1:40" x14ac:dyDescent="0.25">
      <c r="A915" t="str">
        <f>"20190303162229725"</f>
        <v>20190303162229725</v>
      </c>
      <c r="B915" t="str">
        <f>"1551601349715027"</f>
        <v>1551601349715027</v>
      </c>
      <c r="C915" t="s">
        <v>40</v>
      </c>
      <c r="D915">
        <v>5.3551409999999997</v>
      </c>
      <c r="E915">
        <v>0.49730249999999998</v>
      </c>
      <c r="F915" t="s">
        <v>43</v>
      </c>
      <c r="G915">
        <v>-280.2079</v>
      </c>
      <c r="H915">
        <v>-0.05</v>
      </c>
      <c r="I915">
        <v>367.15359999999998</v>
      </c>
      <c r="J915">
        <v>-299.53719999999998</v>
      </c>
      <c r="K915">
        <v>1.070883</v>
      </c>
      <c r="L915">
        <v>366.92869999999999</v>
      </c>
      <c r="M915">
        <v>0.9998437</v>
      </c>
      <c r="N915">
        <v>-1.350527E-2</v>
      </c>
      <c r="O915">
        <v>1.1419260000000001E-2</v>
      </c>
      <c r="P915">
        <v>0.98803759999999996</v>
      </c>
      <c r="Q915">
        <v>0.15410599999999999</v>
      </c>
      <c r="R915">
        <v>5.7980999999999996E-3</v>
      </c>
      <c r="S915">
        <v>3.0639340000000002</v>
      </c>
      <c r="T915">
        <v>-0.17598610000000001</v>
      </c>
      <c r="U915">
        <v>3.5644530000000001E-2</v>
      </c>
      <c r="V915">
        <v>5.463285E-3</v>
      </c>
      <c r="W915">
        <v>0.16743649999999999</v>
      </c>
      <c r="X915">
        <v>0.98586770000000001</v>
      </c>
      <c r="Y915">
        <v>-2.2306330000000001E-4</v>
      </c>
      <c r="Z915">
        <v>-4.9327629999999995E-4</v>
      </c>
      <c r="AA915">
        <v>0.99999990000000005</v>
      </c>
      <c r="AB915">
        <v>29</v>
      </c>
      <c r="AC915">
        <v>19.3292999999999</v>
      </c>
      <c r="AD915">
        <v>-1.1208830000000001</v>
      </c>
      <c r="AE915">
        <v>0.224899999999991</v>
      </c>
      <c r="AF915">
        <v>-4.1250533900912198E-3</v>
      </c>
      <c r="AG915">
        <v>-1.1208830000000001</v>
      </c>
      <c r="AH915">
        <v>19.265831419231901</v>
      </c>
      <c r="AI915">
        <v>93.329705724903306</v>
      </c>
      <c r="AJ915">
        <v>90.012267736634996</v>
      </c>
      <c r="AK915">
        <v>19.298410711507199</v>
      </c>
      <c r="AL915">
        <v>80.361194697186505</v>
      </c>
      <c r="AM915">
        <v>89.682492926189298</v>
      </c>
      <c r="AN915">
        <v>0.999999975459265</v>
      </c>
    </row>
    <row r="916" spans="1:40" x14ac:dyDescent="0.25">
      <c r="A916" t="str">
        <f>"20190303162229741"</f>
        <v>20190303162229741</v>
      </c>
      <c r="B916" t="str">
        <f>"1551601349735524"</f>
        <v>1551601349735524</v>
      </c>
      <c r="C916" t="s">
        <v>40</v>
      </c>
      <c r="D916">
        <v>5.352004</v>
      </c>
      <c r="E916">
        <v>0.49737720000000002</v>
      </c>
      <c r="F916" t="s">
        <v>43</v>
      </c>
      <c r="G916">
        <v>-280.08539999999999</v>
      </c>
      <c r="H916">
        <v>-0.05</v>
      </c>
      <c r="I916">
        <v>367.16669999999999</v>
      </c>
      <c r="J916">
        <v>-299.32209999999998</v>
      </c>
      <c r="K916">
        <v>1.070875</v>
      </c>
      <c r="L916">
        <v>366.93119999999999</v>
      </c>
      <c r="M916">
        <v>0.99984309999999998</v>
      </c>
      <c r="N916">
        <v>-1.3495129999999999E-2</v>
      </c>
      <c r="O916">
        <v>1.147741E-2</v>
      </c>
      <c r="P916">
        <v>0.98810960000000003</v>
      </c>
      <c r="Q916">
        <v>0.15361540000000001</v>
      </c>
      <c r="R916">
        <v>6.4771500000000001E-3</v>
      </c>
      <c r="S916">
        <v>3.063599</v>
      </c>
      <c r="T916">
        <v>-0.1765361</v>
      </c>
      <c r="U916">
        <v>3.7475590000000003E-2</v>
      </c>
      <c r="V916">
        <v>4.8448390000000001E-3</v>
      </c>
      <c r="W916">
        <v>0.1669368</v>
      </c>
      <c r="X916">
        <v>0.98595569999999999</v>
      </c>
      <c r="Y916">
        <v>-7.6281690000000002E-4</v>
      </c>
      <c r="Z916">
        <v>-4.7886709999999999E-4</v>
      </c>
      <c r="AA916">
        <v>0.99999959999999999</v>
      </c>
      <c r="AB916">
        <v>29</v>
      </c>
      <c r="AC916">
        <v>19.2366999999999</v>
      </c>
      <c r="AD916">
        <v>-1.1208750000000001</v>
      </c>
      <c r="AE916">
        <v>0.23550000000000099</v>
      </c>
      <c r="AF916">
        <v>-1.46272395136226E-2</v>
      </c>
      <c r="AG916">
        <v>-1.1208750000000001</v>
      </c>
      <c r="AH916">
        <v>19.173051100455201</v>
      </c>
      <c r="AI916">
        <v>93.345757268270901</v>
      </c>
      <c r="AJ916">
        <v>90.043711296813001</v>
      </c>
      <c r="AK916">
        <v>19.205792439324899</v>
      </c>
      <c r="AL916">
        <v>80.390234408204407</v>
      </c>
      <c r="AM916">
        <v>89.718459365933398</v>
      </c>
      <c r="AN916">
        <v>1.00000000501083</v>
      </c>
    </row>
    <row r="917" spans="1:40" x14ac:dyDescent="0.25">
      <c r="A917" t="str">
        <f>"20190303162229764"</f>
        <v>20190303162229764</v>
      </c>
      <c r="B917" t="str">
        <f>"1551601349755043"</f>
        <v>1551601349755043</v>
      </c>
      <c r="C917" t="s">
        <v>40</v>
      </c>
      <c r="D917">
        <v>5.1695710000000004</v>
      </c>
      <c r="E917">
        <v>0.49748140000000002</v>
      </c>
      <c r="F917" t="s">
        <v>43</v>
      </c>
      <c r="G917">
        <v>-279.9008</v>
      </c>
      <c r="H917">
        <v>-0.05</v>
      </c>
      <c r="I917">
        <v>367.17430000000002</v>
      </c>
      <c r="J917">
        <v>-299.03469999999999</v>
      </c>
      <c r="K917">
        <v>1.070867</v>
      </c>
      <c r="L917">
        <v>366.93459999999999</v>
      </c>
      <c r="M917">
        <v>0.99984240000000002</v>
      </c>
      <c r="N917">
        <v>-1.34827E-2</v>
      </c>
      <c r="O917">
        <v>1.154525E-2</v>
      </c>
      <c r="P917">
        <v>0.98805299999999996</v>
      </c>
      <c r="Q917">
        <v>0.1539739</v>
      </c>
      <c r="R917">
        <v>6.5732350000000002E-3</v>
      </c>
      <c r="S917">
        <v>3.0633240000000002</v>
      </c>
      <c r="T917">
        <v>-0.17679520000000001</v>
      </c>
      <c r="U917">
        <v>3.8330080000000002E-2</v>
      </c>
      <c r="V917">
        <v>4.8185950000000002E-3</v>
      </c>
      <c r="W917">
        <v>0.16728229999999999</v>
      </c>
      <c r="X917">
        <v>0.98589720000000003</v>
      </c>
      <c r="Y917">
        <v>-9.7464549999999996E-4</v>
      </c>
      <c r="Z917">
        <v>-4.7546740000000001E-4</v>
      </c>
      <c r="AA917">
        <v>0.99999939999999998</v>
      </c>
      <c r="AB917">
        <v>29</v>
      </c>
      <c r="AC917">
        <v>19.133899999999901</v>
      </c>
      <c r="AD917">
        <v>-1.1208670000000001</v>
      </c>
      <c r="AE917">
        <v>0.239700000000027</v>
      </c>
      <c r="AF917">
        <v>-1.8694128909573501E-2</v>
      </c>
      <c r="AG917">
        <v>-1.1208670000000001</v>
      </c>
      <c r="AH917">
        <v>19.069961278433201</v>
      </c>
      <c r="AI917">
        <v>93.363778002820098</v>
      </c>
      <c r="AJ917">
        <v>90.056166571575901</v>
      </c>
      <c r="AK917">
        <v>19.102882386254802</v>
      </c>
      <c r="AL917">
        <v>80.370155733114004</v>
      </c>
      <c r="AM917">
        <v>89.719967803589</v>
      </c>
      <c r="AN917">
        <v>0.99999993785944996</v>
      </c>
    </row>
    <row r="918" spans="1:40" x14ac:dyDescent="0.25">
      <c r="A918" t="str">
        <f>"20190303162229776"</f>
        <v>20190303162229776</v>
      </c>
      <c r="B918" t="str">
        <f>"1551601349765780"</f>
        <v>1551601349765780</v>
      </c>
      <c r="C918" t="s">
        <v>40</v>
      </c>
      <c r="D918">
        <v>5.190836</v>
      </c>
      <c r="E918">
        <v>0.49749159999999998</v>
      </c>
      <c r="F918" t="s">
        <v>43</v>
      </c>
      <c r="G918">
        <v>-279.36270000000002</v>
      </c>
      <c r="H918">
        <v>-0.05</v>
      </c>
      <c r="I918">
        <v>367.17590000000001</v>
      </c>
      <c r="J918">
        <v>-298.87049999999999</v>
      </c>
      <c r="K918">
        <v>1.070867</v>
      </c>
      <c r="L918">
        <v>366.9366</v>
      </c>
      <c r="M918">
        <v>0.99984209999999996</v>
      </c>
      <c r="N918">
        <v>-1.3476129999999999E-2</v>
      </c>
      <c r="O918">
        <v>1.157769E-2</v>
      </c>
      <c r="P918">
        <v>0.98802040000000002</v>
      </c>
      <c r="Q918">
        <v>0.15417169999999999</v>
      </c>
      <c r="R918">
        <v>6.8500820000000004E-3</v>
      </c>
      <c r="S918">
        <v>3.0632320000000002</v>
      </c>
      <c r="T918">
        <v>-0.17453560000000001</v>
      </c>
      <c r="U918">
        <v>3.7567139999999999E-2</v>
      </c>
      <c r="V918">
        <v>4.5756030000000001E-3</v>
      </c>
      <c r="W918">
        <v>0.16747319999999999</v>
      </c>
      <c r="X918">
        <v>0.98586600000000002</v>
      </c>
      <c r="Y918">
        <v>-6.9382179999999904E-4</v>
      </c>
      <c r="Z918">
        <v>-4.7872499999999999E-4</v>
      </c>
      <c r="AA918">
        <v>0.99999959999999999</v>
      </c>
      <c r="AB918">
        <v>29</v>
      </c>
      <c r="AC918">
        <v>19.5077999999999</v>
      </c>
      <c r="AD918">
        <v>-1.1208670000000001</v>
      </c>
      <c r="AE918">
        <v>0.239300000000014</v>
      </c>
      <c r="AF918">
        <v>-1.33640591518751E-2</v>
      </c>
      <c r="AG918">
        <v>-1.1208670000000001</v>
      </c>
      <c r="AH918">
        <v>19.445077720321301</v>
      </c>
      <c r="AI918">
        <v>93.299032648172997</v>
      </c>
      <c r="AJ918">
        <v>90.039377783777496</v>
      </c>
      <c r="AK918">
        <v>19.477360421245599</v>
      </c>
      <c r="AL918">
        <v>80.359061961100196</v>
      </c>
      <c r="AM918">
        <v>89.734080637472601</v>
      </c>
      <c r="AN918">
        <v>0.99999998940852597</v>
      </c>
    </row>
    <row r="919" spans="1:40" x14ac:dyDescent="0.25">
      <c r="A919" t="str">
        <f>"20190303162229788"</f>
        <v>20190303162229788</v>
      </c>
      <c r="B919" t="str">
        <f>"1551601349775365"</f>
        <v>1551601349775365</v>
      </c>
      <c r="C919" t="s">
        <v>40</v>
      </c>
      <c r="D919">
        <v>5.1474330000000004</v>
      </c>
      <c r="E919">
        <v>0.49758459999999899</v>
      </c>
      <c r="F919" t="s">
        <v>41</v>
      </c>
      <c r="G919">
        <v>-279.92140000000001</v>
      </c>
      <c r="H919" s="1">
        <v>-6.6282759999999999E-7</v>
      </c>
      <c r="I919">
        <v>367.17320000000001</v>
      </c>
      <c r="J919">
        <v>-298.72640000000001</v>
      </c>
      <c r="K919">
        <v>1.070862</v>
      </c>
      <c r="L919">
        <v>366.93830000000003</v>
      </c>
      <c r="M919">
        <v>0.99984200000000001</v>
      </c>
      <c r="N919">
        <v>-1.3470569999999999E-2</v>
      </c>
      <c r="O919">
        <v>1.1604E-2</v>
      </c>
      <c r="P919">
        <v>0.98802999999999996</v>
      </c>
      <c r="Q919">
        <v>0.15410940000000001</v>
      </c>
      <c r="R919">
        <v>6.8670229999999999E-3</v>
      </c>
      <c r="S919">
        <v>3.06311</v>
      </c>
      <c r="T919">
        <v>-0.17310519999999999</v>
      </c>
      <c r="U919">
        <v>3.8269039999999997E-2</v>
      </c>
      <c r="V919">
        <v>4.5866099999999996E-3</v>
      </c>
      <c r="W919">
        <v>0.16740550000000001</v>
      </c>
      <c r="X919">
        <v>0.98587749999999996</v>
      </c>
      <c r="Y919">
        <v>-8.9653020000000005E-4</v>
      </c>
      <c r="Z919">
        <v>-4.6762380000000002E-4</v>
      </c>
      <c r="AA919">
        <v>0.99999950000000004</v>
      </c>
      <c r="AB919">
        <v>29</v>
      </c>
      <c r="AC919">
        <v>18.805</v>
      </c>
      <c r="AD919">
        <v>-1.0708626628275999</v>
      </c>
      <c r="AE919">
        <v>0.23489999999998101</v>
      </c>
      <c r="AF919">
        <v>-1.65973618657838E-2</v>
      </c>
      <c r="AG919">
        <v>-1.0708626628275999</v>
      </c>
      <c r="AH919">
        <v>18.745680572230501</v>
      </c>
      <c r="AI919">
        <v>93.269514543660904</v>
      </c>
      <c r="AJ919">
        <v>90.050729475187694</v>
      </c>
      <c r="AK919">
        <v>18.776249956558399</v>
      </c>
      <c r="AL919">
        <v>80.3629969396451</v>
      </c>
      <c r="AM919">
        <v>89.733444064470902</v>
      </c>
      <c r="AN919">
        <v>1.0000000417138899</v>
      </c>
    </row>
    <row r="920" spans="1:40" x14ac:dyDescent="0.25">
      <c r="A920" t="str">
        <f>"20190303162229801"</f>
        <v>20190303162229801</v>
      </c>
      <c r="B920" t="str">
        <f>"1551601349795859"</f>
        <v>1551601349795859</v>
      </c>
      <c r="C920" t="s">
        <v>40</v>
      </c>
      <c r="D920">
        <v>5.3425789999999997</v>
      </c>
      <c r="E920">
        <v>0.49775779999999997</v>
      </c>
      <c r="F920" t="s">
        <v>41</v>
      </c>
      <c r="G920">
        <v>-279.69549999999998</v>
      </c>
      <c r="H920" s="1">
        <v>-7.4036419999999903E-7</v>
      </c>
      <c r="I920">
        <v>367.17090000000002</v>
      </c>
      <c r="J920">
        <v>-298.55650000000003</v>
      </c>
      <c r="K920">
        <v>1.0708530000000001</v>
      </c>
      <c r="L920">
        <v>366.9402</v>
      </c>
      <c r="M920">
        <v>0.99984170000000006</v>
      </c>
      <c r="N920">
        <v>-1.3464250000000001E-2</v>
      </c>
      <c r="O920">
        <v>1.163226E-2</v>
      </c>
      <c r="P920">
        <v>0.9879559</v>
      </c>
      <c r="Q920">
        <v>0.15458669999999999</v>
      </c>
      <c r="R920">
        <v>6.7872169999999999E-3</v>
      </c>
      <c r="S920">
        <v>3.0629580000000001</v>
      </c>
      <c r="T920">
        <v>-0.17235049999999999</v>
      </c>
      <c r="U920">
        <v>3.7445069999999997E-2</v>
      </c>
      <c r="V920">
        <v>4.6957470000000001E-3</v>
      </c>
      <c r="W920">
        <v>0.1678751</v>
      </c>
      <c r="X920">
        <v>0.98579709999999998</v>
      </c>
      <c r="Y920">
        <v>-6.0041230000000003E-4</v>
      </c>
      <c r="Z920">
        <v>-4.7651799999999999E-4</v>
      </c>
      <c r="AA920">
        <v>0.99999970000000005</v>
      </c>
      <c r="AB920">
        <v>29</v>
      </c>
      <c r="AC920">
        <v>18.861000000000001</v>
      </c>
      <c r="AD920">
        <v>-1.07085374036419</v>
      </c>
      <c r="AE920">
        <v>0.23070000000001301</v>
      </c>
      <c r="AF920">
        <v>-1.12322436773675E-2</v>
      </c>
      <c r="AG920">
        <v>-1.07085374036419</v>
      </c>
      <c r="AH920">
        <v>18.801808483661201</v>
      </c>
      <c r="AI920">
        <v>93.259748930334894</v>
      </c>
      <c r="AJ920">
        <v>90.034228626526797</v>
      </c>
      <c r="AK920">
        <v>18.832282287413399</v>
      </c>
      <c r="AL920">
        <v>80.335704306033705</v>
      </c>
      <c r="AM920">
        <v>89.727079284467806</v>
      </c>
      <c r="AN920">
        <v>1.00000001080415</v>
      </c>
    </row>
    <row r="921" spans="1:40" x14ac:dyDescent="0.25">
      <c r="A921" t="str">
        <f>"20190303162229816"</f>
        <v>20190303162229816</v>
      </c>
      <c r="B921" t="str">
        <f>"1551601349805619"</f>
        <v>1551601349805619</v>
      </c>
      <c r="C921" t="s">
        <v>40</v>
      </c>
      <c r="D921">
        <v>5.1151759999999999</v>
      </c>
      <c r="E921">
        <v>0.49785410000000002</v>
      </c>
      <c r="F921" t="s">
        <v>41</v>
      </c>
      <c r="G921">
        <v>-279.21719999999999</v>
      </c>
      <c r="H921" s="1">
        <v>-9.045714E-7</v>
      </c>
      <c r="I921">
        <v>367.16550000000001</v>
      </c>
      <c r="J921">
        <v>-298.3732</v>
      </c>
      <c r="K921">
        <v>1.0708519999999999</v>
      </c>
      <c r="L921">
        <v>366.94240000000002</v>
      </c>
      <c r="M921">
        <v>0.9998416</v>
      </c>
      <c r="N921">
        <v>-1.345788E-2</v>
      </c>
      <c r="O921">
        <v>1.1657010000000001E-2</v>
      </c>
      <c r="P921">
        <v>0.98797849999999998</v>
      </c>
      <c r="Q921">
        <v>0.1544335</v>
      </c>
      <c r="R921">
        <v>7.0383009999999899E-3</v>
      </c>
      <c r="S921">
        <v>3.0628660000000001</v>
      </c>
      <c r="T921">
        <v>-0.16959540000000001</v>
      </c>
      <c r="U921">
        <v>3.567505E-2</v>
      </c>
      <c r="V921">
        <v>4.4715889999999998E-3</v>
      </c>
      <c r="W921">
        <v>0.16771629999999901</v>
      </c>
      <c r="X921">
        <v>0.98582519999999996</v>
      </c>
      <c r="Y921" s="1">
        <v>1.0193130000000001E-6</v>
      </c>
      <c r="Z921">
        <v>-4.881679E-4</v>
      </c>
      <c r="AA921">
        <v>0.99999990000000005</v>
      </c>
      <c r="AB921">
        <v>29</v>
      </c>
      <c r="AC921">
        <v>19.155999999999999</v>
      </c>
      <c r="AD921">
        <v>-1.0708529045713999</v>
      </c>
      <c r="AE921">
        <v>0.223099999999988</v>
      </c>
      <c r="AF921">
        <v>2.3630568526769499E-4</v>
      </c>
      <c r="AG921">
        <v>-1.0708529045713999</v>
      </c>
      <c r="AH921">
        <v>19.097627134197399</v>
      </c>
      <c r="AI921">
        <v>93.209360482071801</v>
      </c>
      <c r="AJ921">
        <v>89.999291047084299</v>
      </c>
      <c r="AK921">
        <v>19.1276263074094</v>
      </c>
      <c r="AL921">
        <v>80.344934004135396</v>
      </c>
      <c r="AM921">
        <v>89.740114758299498</v>
      </c>
      <c r="AN921">
        <v>1.0000000386744501</v>
      </c>
    </row>
    <row r="922" spans="1:40" x14ac:dyDescent="0.25">
      <c r="A922" t="str">
        <f>"20190303162229831"</f>
        <v>20190303162229831</v>
      </c>
      <c r="B922" t="str">
        <f>"1551601349825139"</f>
        <v>1551601349825139</v>
      </c>
      <c r="C922" t="s">
        <v>40</v>
      </c>
      <c r="D922">
        <v>5.3462699999999996</v>
      </c>
      <c r="E922">
        <v>0.4980231</v>
      </c>
      <c r="F922" t="s">
        <v>41</v>
      </c>
      <c r="G922">
        <v>-279.01459999999997</v>
      </c>
      <c r="H922" s="1">
        <v>-9.7343070000000005E-7</v>
      </c>
      <c r="I922">
        <v>367.16570000000002</v>
      </c>
      <c r="J922">
        <v>-298.17219999999998</v>
      </c>
      <c r="K922">
        <v>1.0708439999999999</v>
      </c>
      <c r="L922">
        <v>366.94479999999999</v>
      </c>
      <c r="M922">
        <v>0.99984150000000005</v>
      </c>
      <c r="N922">
        <v>-1.345122E-2</v>
      </c>
      <c r="O922">
        <v>1.167924E-2</v>
      </c>
      <c r="P922">
        <v>0.9879561</v>
      </c>
      <c r="Q922">
        <v>0.1545842</v>
      </c>
      <c r="R922">
        <v>6.8298719999999999E-3</v>
      </c>
      <c r="S922">
        <v>3.0627439999999999</v>
      </c>
      <c r="T922">
        <v>-0.1694204</v>
      </c>
      <c r="U922">
        <v>3.533936E-2</v>
      </c>
      <c r="V922">
        <v>4.7043379999999997E-3</v>
      </c>
      <c r="W922">
        <v>0.1678596</v>
      </c>
      <c r="X922">
        <v>0.98579969999999995</v>
      </c>
      <c r="Y922">
        <v>1.32139E-4</v>
      </c>
      <c r="Z922">
        <v>-4.9304320000000004E-4</v>
      </c>
      <c r="AA922">
        <v>0.99999990000000005</v>
      </c>
      <c r="AB922">
        <v>29</v>
      </c>
      <c r="AC922">
        <v>19.157599999999999</v>
      </c>
      <c r="AD922">
        <v>-1.0708449734307</v>
      </c>
      <c r="AE922">
        <v>0.22090000000002799</v>
      </c>
      <c r="AF922">
        <v>2.8725072815554099E-3</v>
      </c>
      <c r="AG922">
        <v>-1.0708449734307</v>
      </c>
      <c r="AH922">
        <v>19.099207073207101</v>
      </c>
      <c r="AI922">
        <v>93.209071795766803</v>
      </c>
      <c r="AJ922">
        <v>89.991382755211603</v>
      </c>
      <c r="AK922">
        <v>19.129203538926099</v>
      </c>
      <c r="AL922">
        <v>80.336605189025406</v>
      </c>
      <c r="AM922">
        <v>89.726580697107806</v>
      </c>
      <c r="AN922">
        <v>1.0000000123141299</v>
      </c>
    </row>
    <row r="923" spans="1:40" x14ac:dyDescent="0.25">
      <c r="A923" t="str">
        <f>"20190303162229853"</f>
        <v>20190303162229853</v>
      </c>
      <c r="B923" t="str">
        <f>"1551601349845635"</f>
        <v>1551601349845635</v>
      </c>
      <c r="C923" t="s">
        <v>40</v>
      </c>
      <c r="D923">
        <v>5.1918319999999998</v>
      </c>
      <c r="E923">
        <v>0.4980716</v>
      </c>
      <c r="F923" t="s">
        <v>41</v>
      </c>
      <c r="G923">
        <v>-278.62110000000001</v>
      </c>
      <c r="H923" s="1">
        <v>-1.1096539999999999E-6</v>
      </c>
      <c r="I923">
        <v>367.15710000000001</v>
      </c>
      <c r="J923">
        <v>-297.89420000000001</v>
      </c>
      <c r="K923">
        <v>1.070837</v>
      </c>
      <c r="L923">
        <v>366.94810000000001</v>
      </c>
      <c r="M923">
        <v>0.99984119999999999</v>
      </c>
      <c r="N923">
        <v>-1.3442600000000001E-2</v>
      </c>
      <c r="O923">
        <v>1.170182E-2</v>
      </c>
      <c r="P923">
        <v>0.98790359999999999</v>
      </c>
      <c r="Q923">
        <v>0.15494759999999999</v>
      </c>
      <c r="R923">
        <v>6.1358410000000004E-3</v>
      </c>
      <c r="S923">
        <v>3.062592</v>
      </c>
      <c r="T923">
        <v>-0.16774169999999999</v>
      </c>
      <c r="U923">
        <v>3.3264160000000001E-2</v>
      </c>
      <c r="V923">
        <v>5.423321E-3</v>
      </c>
      <c r="W923">
        <v>0.168214</v>
      </c>
      <c r="X923">
        <v>0.98573560000000005</v>
      </c>
      <c r="Y923">
        <v>8.3059399999999895E-4</v>
      </c>
      <c r="Z923">
        <v>-5.1149729999999997E-4</v>
      </c>
      <c r="AA923">
        <v>0.99999950000000004</v>
      </c>
      <c r="AB923">
        <v>29</v>
      </c>
      <c r="AC923">
        <v>19.273099999999999</v>
      </c>
      <c r="AD923">
        <v>-1.0708381096540001</v>
      </c>
      <c r="AE923">
        <v>0.20900000000000299</v>
      </c>
      <c r="AF923">
        <v>1.6514058654207599E-2</v>
      </c>
      <c r="AG923">
        <v>-1.0708381096540001</v>
      </c>
      <c r="AH923">
        <v>19.214915517049899</v>
      </c>
      <c r="AI923">
        <v>93.189765878511594</v>
      </c>
      <c r="AJ923">
        <v>89.950757752241103</v>
      </c>
      <c r="AK923">
        <v>19.244738119771501</v>
      </c>
      <c r="AL923">
        <v>80.316006721079006</v>
      </c>
      <c r="AM923">
        <v>89.684773209955097</v>
      </c>
      <c r="AN923">
        <v>1.0000000176570101</v>
      </c>
    </row>
    <row r="924" spans="1:40" x14ac:dyDescent="0.25">
      <c r="A924" t="str">
        <f>"20190303162229875"</f>
        <v>20190303162229875</v>
      </c>
      <c r="B924" t="str">
        <f>"1551601349865155"</f>
        <v>1551601349865155</v>
      </c>
      <c r="C924" t="s">
        <v>40</v>
      </c>
      <c r="D924">
        <v>5.1101809999999999</v>
      </c>
      <c r="E924">
        <v>0.52709079999999997</v>
      </c>
      <c r="F924" t="s">
        <v>41</v>
      </c>
      <c r="G924">
        <v>-278.16809999999998</v>
      </c>
      <c r="H924" s="1">
        <v>-1.26672E-6</v>
      </c>
      <c r="I924">
        <v>367.14609999999999</v>
      </c>
      <c r="J924">
        <v>-297.62049999999999</v>
      </c>
      <c r="K924">
        <v>1.070838</v>
      </c>
      <c r="L924">
        <v>366.9513</v>
      </c>
      <c r="M924">
        <v>0.99984110000000004</v>
      </c>
      <c r="N924">
        <v>-1.343481E-2</v>
      </c>
      <c r="O924">
        <v>1.171696E-2</v>
      </c>
      <c r="P924">
        <v>0.98783790000000005</v>
      </c>
      <c r="Q924">
        <v>0.15538450000000001</v>
      </c>
      <c r="R924">
        <v>5.6789669999999896E-3</v>
      </c>
      <c r="S924">
        <v>3.0626530000000001</v>
      </c>
      <c r="T924">
        <v>-0.1662563</v>
      </c>
      <c r="U924">
        <v>3.0761719999999999E-2</v>
      </c>
      <c r="V924">
        <v>5.8969890000000001E-3</v>
      </c>
      <c r="W924">
        <v>0.16864179999999901</v>
      </c>
      <c r="X924">
        <v>0.98565979999999997</v>
      </c>
      <c r="Y924">
        <v>1.661659E-3</v>
      </c>
      <c r="Z924">
        <v>-5.3445599999999999E-4</v>
      </c>
      <c r="AA924">
        <v>0.99999850000000001</v>
      </c>
      <c r="AB924">
        <v>29</v>
      </c>
      <c r="AC924">
        <v>19.452400000000001</v>
      </c>
      <c r="AD924">
        <v>-1.07083926672</v>
      </c>
      <c r="AE924">
        <v>0.19479999999998601</v>
      </c>
      <c r="AF924">
        <v>3.3056773051401402E-2</v>
      </c>
      <c r="AG924">
        <v>-1.07083926672</v>
      </c>
      <c r="AH924">
        <v>19.3945793582159</v>
      </c>
      <c r="AI924">
        <v>93.160277293141206</v>
      </c>
      <c r="AJ924">
        <v>89.902343241836107</v>
      </c>
      <c r="AK924">
        <v>19.424147290615601</v>
      </c>
      <c r="AL924">
        <v>80.291140527572097</v>
      </c>
      <c r="AM924">
        <v>89.657215856438995</v>
      </c>
      <c r="AN924">
        <v>1.00000003626127</v>
      </c>
    </row>
    <row r="925" spans="1:40" x14ac:dyDescent="0.25">
      <c r="A925" t="str">
        <f>"20190303162229896"</f>
        <v>20190303162229896</v>
      </c>
      <c r="B925" t="str">
        <f>"1551601349885183"</f>
        <v>1551601349885183</v>
      </c>
      <c r="C925" t="s">
        <v>40</v>
      </c>
      <c r="D925">
        <v>5.093464</v>
      </c>
      <c r="E925">
        <v>0.53606339999999997</v>
      </c>
      <c r="F925" t="s">
        <v>41</v>
      </c>
      <c r="G925">
        <v>-257.2978</v>
      </c>
      <c r="H925" s="1">
        <v>-2.3232679999999998E-6</v>
      </c>
      <c r="I925">
        <v>364.28840000000002</v>
      </c>
      <c r="J925">
        <v>-297.33199999999999</v>
      </c>
      <c r="K925">
        <v>1.0708329999999999</v>
      </c>
      <c r="L925">
        <v>366.9547</v>
      </c>
      <c r="M925">
        <v>0.99984110000000004</v>
      </c>
      <c r="N925">
        <v>-1.3427120000000001E-2</v>
      </c>
      <c r="O925">
        <v>1.172837E-2</v>
      </c>
      <c r="P925">
        <v>0.98770840000000004</v>
      </c>
      <c r="Q925">
        <v>0.156218</v>
      </c>
      <c r="R925">
        <v>5.3023430000000002E-3</v>
      </c>
      <c r="S925">
        <v>3.0508730000000002</v>
      </c>
      <c r="T925">
        <v>-8.1020949999999994E-2</v>
      </c>
      <c r="U925">
        <v>-0.20147709999999999</v>
      </c>
      <c r="V925">
        <v>6.2855569999999998E-3</v>
      </c>
      <c r="W925">
        <v>0.16946610000000001</v>
      </c>
      <c r="X925">
        <v>0.98551599999999995</v>
      </c>
      <c r="Y925">
        <v>7.7552969999999999E-2</v>
      </c>
      <c r="Z925">
        <v>-1.7036659999999999E-3</v>
      </c>
      <c r="AA925">
        <v>0.99698679999999995</v>
      </c>
      <c r="AB925">
        <v>29</v>
      </c>
      <c r="AC925">
        <v>40.034199999999998</v>
      </c>
      <c r="AD925">
        <v>-1.0708353232679999</v>
      </c>
      <c r="AE925">
        <v>-2.6662999999999699</v>
      </c>
      <c r="AF925">
        <v>3.1334628501392401</v>
      </c>
      <c r="AG925">
        <v>-1.0708353232679999</v>
      </c>
      <c r="AH925">
        <v>39.971700080676698</v>
      </c>
      <c r="AI925">
        <v>91.529886162845301</v>
      </c>
      <c r="AJ925">
        <v>85.517634180705699</v>
      </c>
      <c r="AK925">
        <v>40.108628561225203</v>
      </c>
      <c r="AL925">
        <v>80.243221821000404</v>
      </c>
      <c r="AM925">
        <v>89.6345761967345</v>
      </c>
      <c r="AN925">
        <v>1.0000000267660001</v>
      </c>
    </row>
    <row r="926" spans="1:40" x14ac:dyDescent="0.25">
      <c r="A926" t="str">
        <f>"20190303162229919"</f>
        <v>20190303162229919</v>
      </c>
      <c r="B926" t="str">
        <f>"1551601349915439"</f>
        <v>1551601349915439</v>
      </c>
      <c r="C926" t="s">
        <v>40</v>
      </c>
      <c r="D926">
        <v>5.0831900000000001</v>
      </c>
      <c r="E926">
        <v>0.53955069999999905</v>
      </c>
      <c r="F926" t="s">
        <v>41</v>
      </c>
      <c r="G926">
        <v>-253.04040000000001</v>
      </c>
      <c r="H926" s="1">
        <v>-4.1458280000000001E-6</v>
      </c>
      <c r="I926">
        <v>362.976</v>
      </c>
      <c r="J926">
        <v>-297.05149999999998</v>
      </c>
      <c r="K926">
        <v>1.070838</v>
      </c>
      <c r="L926">
        <v>366.95800000000003</v>
      </c>
      <c r="M926">
        <v>0.99984110000000004</v>
      </c>
      <c r="N926">
        <v>-1.3420100000000001E-2</v>
      </c>
      <c r="O926">
        <v>1.173624E-2</v>
      </c>
      <c r="P926">
        <v>0.98763469999999998</v>
      </c>
      <c r="Q926">
        <v>0.15668499999999999</v>
      </c>
      <c r="R926">
        <v>5.2637869999999998E-3</v>
      </c>
      <c r="S926">
        <v>3.050446</v>
      </c>
      <c r="T926">
        <v>-7.3750499999999997E-2</v>
      </c>
      <c r="U926">
        <v>-0.27401730000000002</v>
      </c>
      <c r="V926">
        <v>6.3322489999999999E-3</v>
      </c>
      <c r="W926">
        <v>0.16992479999999999</v>
      </c>
      <c r="X926">
        <v>0.98543670000000005</v>
      </c>
      <c r="Y926">
        <v>0.1011061</v>
      </c>
      <c r="Z926">
        <v>-2.0255640000000001E-3</v>
      </c>
      <c r="AA926">
        <v>0.99487360000000002</v>
      </c>
      <c r="AB926">
        <v>29</v>
      </c>
      <c r="AC926">
        <v>44.0110999999999</v>
      </c>
      <c r="AD926">
        <v>-1.070842145828</v>
      </c>
      <c r="AE926">
        <v>-3.9820000000000202</v>
      </c>
      <c r="AF926">
        <v>4.4956571889900703</v>
      </c>
      <c r="AG926">
        <v>-1.070842145828</v>
      </c>
      <c r="AH926">
        <v>43.935531478480797</v>
      </c>
      <c r="AI926">
        <v>91.388946016479295</v>
      </c>
      <c r="AJ926">
        <v>84.157603156331803</v>
      </c>
      <c r="AK926">
        <v>44.177919402782898</v>
      </c>
      <c r="AL926">
        <v>80.216553322051297</v>
      </c>
      <c r="AM926">
        <v>89.631832111588295</v>
      </c>
      <c r="AN926">
        <v>1.00000001236966</v>
      </c>
    </row>
    <row r="927" spans="1:40" x14ac:dyDescent="0.25">
      <c r="A927" t="str">
        <f>"20190303162229942"</f>
        <v>20190303162229942</v>
      </c>
      <c r="B927" t="str">
        <f>"1551601349934961"</f>
        <v>1551601349934961</v>
      </c>
      <c r="C927" t="s">
        <v>40</v>
      </c>
      <c r="D927">
        <v>5.1142409999999998</v>
      </c>
      <c r="E927">
        <v>0.54146079999999996</v>
      </c>
      <c r="F927" t="s">
        <v>41</v>
      </c>
      <c r="G927">
        <v>-254.1909</v>
      </c>
      <c r="H927" s="1">
        <v>-3.799798E-6</v>
      </c>
      <c r="I927">
        <v>362.71280000000002</v>
      </c>
      <c r="J927">
        <v>-296.75220000000002</v>
      </c>
      <c r="K927">
        <v>1.0708420000000001</v>
      </c>
      <c r="L927">
        <v>366.9615</v>
      </c>
      <c r="M927">
        <v>0.99984119999999999</v>
      </c>
      <c r="N927">
        <v>-1.3413039999999999E-2</v>
      </c>
      <c r="O927">
        <v>1.174246E-2</v>
      </c>
      <c r="P927">
        <v>0.98750819999999995</v>
      </c>
      <c r="Q927">
        <v>0.1574605</v>
      </c>
      <c r="R927">
        <v>5.8145660000000002E-3</v>
      </c>
      <c r="S927">
        <v>3.0512389999999998</v>
      </c>
      <c r="T927">
        <v>-7.6232910000000001E-2</v>
      </c>
      <c r="U927">
        <v>-0.30221559999999997</v>
      </c>
      <c r="V927">
        <v>5.7867250000000004E-3</v>
      </c>
      <c r="W927">
        <v>0.1706916</v>
      </c>
      <c r="X927">
        <v>0.9853075</v>
      </c>
      <c r="Y927">
        <v>0.11019080000000001</v>
      </c>
      <c r="Z927">
        <v>-2.2495140000000002E-3</v>
      </c>
      <c r="AA927">
        <v>0.99390789999999996</v>
      </c>
      <c r="AB927">
        <v>29</v>
      </c>
      <c r="AC927">
        <v>42.561300000000003</v>
      </c>
      <c r="AD927">
        <v>-1.0708457997980001</v>
      </c>
      <c r="AE927">
        <v>-4.2486999999999799</v>
      </c>
      <c r="AF927">
        <v>4.74525204451077</v>
      </c>
      <c r="AG927">
        <v>-1.0708457997980001</v>
      </c>
      <c r="AH927">
        <v>42.481843479050902</v>
      </c>
      <c r="AI927">
        <v>91.435036001665907</v>
      </c>
      <c r="AJ927">
        <v>83.626440904618093</v>
      </c>
      <c r="AK927">
        <v>42.759456884664203</v>
      </c>
      <c r="AL927">
        <v>80.171967325621694</v>
      </c>
      <c r="AM927">
        <v>89.663504938558205</v>
      </c>
      <c r="AN927">
        <v>0.99999998902651699</v>
      </c>
    </row>
    <row r="928" spans="1:40" x14ac:dyDescent="0.25">
      <c r="A928" t="str">
        <f>"20190303162229965"</f>
        <v>20190303162229965</v>
      </c>
      <c r="B928" t="str">
        <f>"1551601349955455"</f>
        <v>1551601349955455</v>
      </c>
      <c r="C928" t="s">
        <v>40</v>
      </c>
      <c r="D928">
        <v>5.1114490000000004</v>
      </c>
      <c r="E928">
        <v>0.54210040000000004</v>
      </c>
      <c r="F928" t="s">
        <v>41</v>
      </c>
      <c r="G928">
        <v>-251.22389999999999</v>
      </c>
      <c r="H928" s="1">
        <v>-5.0524019999999997E-6</v>
      </c>
      <c r="I928">
        <v>362.25850000000003</v>
      </c>
      <c r="J928">
        <v>-296.46719999999999</v>
      </c>
      <c r="K928">
        <v>1.070848</v>
      </c>
      <c r="L928">
        <v>366.96480000000003</v>
      </c>
      <c r="M928">
        <v>0.99984119999999999</v>
      </c>
      <c r="N928">
        <v>-1.340673E-2</v>
      </c>
      <c r="O928">
        <v>1.1747199999999999E-2</v>
      </c>
      <c r="P928">
        <v>0.98741900000000005</v>
      </c>
      <c r="Q928">
        <v>0.1580057</v>
      </c>
      <c r="R928">
        <v>6.1612790000000004E-3</v>
      </c>
      <c r="S928">
        <v>3.0512389999999998</v>
      </c>
      <c r="T928">
        <v>-7.1766380000000005E-2</v>
      </c>
      <c r="U928">
        <v>-0.31518550000000001</v>
      </c>
      <c r="V928">
        <v>5.4440419999999996E-3</v>
      </c>
      <c r="W928">
        <v>0.17122950000000001</v>
      </c>
      <c r="X928">
        <v>0.98521610000000004</v>
      </c>
      <c r="Y928">
        <v>0.11437990000000001</v>
      </c>
      <c r="Z928">
        <v>-2.2288569999999999E-3</v>
      </c>
      <c r="AA928">
        <v>0.99343459999999995</v>
      </c>
      <c r="AB928">
        <v>29</v>
      </c>
      <c r="AC928">
        <v>45.243299999999998</v>
      </c>
      <c r="AD928">
        <v>-1.0708530524019999</v>
      </c>
      <c r="AE928">
        <v>-4.7062999999999899</v>
      </c>
      <c r="AF928">
        <v>5.2346039365875301</v>
      </c>
      <c r="AG928">
        <v>-1.0708530524019999</v>
      </c>
      <c r="AH928">
        <v>45.1598586011199</v>
      </c>
      <c r="AI928">
        <v>91.349340399736604</v>
      </c>
      <c r="AJ928">
        <v>83.388194162247302</v>
      </c>
      <c r="AK928">
        <v>45.474835167440901</v>
      </c>
      <c r="AL928">
        <v>80.140687243630197</v>
      </c>
      <c r="AM928">
        <v>89.6834019912489</v>
      </c>
      <c r="AN928">
        <v>0.99999997148137798</v>
      </c>
    </row>
    <row r="929" spans="1:40" x14ac:dyDescent="0.25">
      <c r="A929" t="str">
        <f>"20190303162229985"</f>
        <v>20190303162229985</v>
      </c>
      <c r="B929" t="str">
        <f>"1551601349974975"</f>
        <v>1551601349974975</v>
      </c>
      <c r="C929" t="s">
        <v>40</v>
      </c>
      <c r="D929">
        <v>5.1624169999999996</v>
      </c>
      <c r="E929">
        <v>0.54264109999999999</v>
      </c>
      <c r="F929" t="s">
        <v>41</v>
      </c>
      <c r="G929">
        <v>-251.14359999999999</v>
      </c>
      <c r="H929" s="1">
        <v>-5.0899119999999997E-6</v>
      </c>
      <c r="I929">
        <v>362.24119999999999</v>
      </c>
      <c r="J929">
        <v>-296.1979</v>
      </c>
      <c r="K929">
        <v>1.0708530000000001</v>
      </c>
      <c r="L929">
        <v>366.96800000000002</v>
      </c>
      <c r="M929">
        <v>0.99984119999999999</v>
      </c>
      <c r="N929">
        <v>-1.3401089999999999E-2</v>
      </c>
      <c r="O929">
        <v>1.1751889999999999E-2</v>
      </c>
      <c r="P929">
        <v>0.98727860000000001</v>
      </c>
      <c r="Q929">
        <v>0.158904399999999</v>
      </c>
      <c r="R929">
        <v>5.5529869999999997E-3</v>
      </c>
      <c r="S929">
        <v>3.0517880000000002</v>
      </c>
      <c r="T929">
        <v>-7.2103860000000006E-2</v>
      </c>
      <c r="U929">
        <v>-0.31805420000000001</v>
      </c>
      <c r="V929">
        <v>6.055174E-3</v>
      </c>
      <c r="W929">
        <v>0.17212069999999999</v>
      </c>
      <c r="X929">
        <v>0.98505730000000002</v>
      </c>
      <c r="Y929">
        <v>0.1152893</v>
      </c>
      <c r="Z929">
        <v>-2.25275E-3</v>
      </c>
      <c r="AA929">
        <v>0.99332940000000003</v>
      </c>
      <c r="AB929">
        <v>29</v>
      </c>
      <c r="AC929">
        <v>45.054299999999998</v>
      </c>
      <c r="AD929">
        <v>-1.0708580899119999</v>
      </c>
      <c r="AE929">
        <v>-4.7268000000000203</v>
      </c>
      <c r="AF929">
        <v>5.2530589439573196</v>
      </c>
      <c r="AG929">
        <v>-1.0708580899119999</v>
      </c>
      <c r="AH929">
        <v>44.970505948209698</v>
      </c>
      <c r="AI929">
        <v>91.354886477034995</v>
      </c>
      <c r="AJ929">
        <v>83.337404916362203</v>
      </c>
      <c r="AK929">
        <v>45.288936513848299</v>
      </c>
      <c r="AL929">
        <v>80.088856441233105</v>
      </c>
      <c r="AM929">
        <v>89.647805721809704</v>
      </c>
      <c r="AN929">
        <v>1.0000000423919699</v>
      </c>
    </row>
    <row r="930" spans="1:40" x14ac:dyDescent="0.25">
      <c r="A930" t="str">
        <f>"20190303162230009"</f>
        <v>20190303162230009</v>
      </c>
      <c r="B930" t="str">
        <f>"1551601350005231"</f>
        <v>1551601350005231</v>
      </c>
      <c r="C930" t="s">
        <v>40</v>
      </c>
      <c r="D930">
        <v>5.185759</v>
      </c>
      <c r="E930">
        <v>0.54309580000000002</v>
      </c>
      <c r="F930" t="s">
        <v>41</v>
      </c>
      <c r="G930">
        <v>-249.54730000000001</v>
      </c>
      <c r="H930" s="1">
        <v>-2.1834320000000002E-6</v>
      </c>
      <c r="I930">
        <v>362.0043</v>
      </c>
      <c r="J930">
        <v>-295.9042</v>
      </c>
      <c r="K930">
        <v>1.070848</v>
      </c>
      <c r="L930">
        <v>366.97140000000002</v>
      </c>
      <c r="M930">
        <v>0.99984119999999999</v>
      </c>
      <c r="N930">
        <v>-1.3395209999999999E-2</v>
      </c>
      <c r="O930">
        <v>1.1757470000000001E-2</v>
      </c>
      <c r="P930">
        <v>0.98711720000000003</v>
      </c>
      <c r="Q930">
        <v>0.1599286</v>
      </c>
      <c r="R930">
        <v>4.7591559999999996E-3</v>
      </c>
      <c r="S930">
        <v>3.051758</v>
      </c>
      <c r="T930">
        <v>-7.0052390000000006E-2</v>
      </c>
      <c r="U930">
        <v>-0.32470700000000002</v>
      </c>
      <c r="V930">
        <v>6.8526979999999999E-3</v>
      </c>
      <c r="W930">
        <v>0.1731366</v>
      </c>
      <c r="X930">
        <v>0.98487400000000003</v>
      </c>
      <c r="Y930">
        <v>0.1174388</v>
      </c>
      <c r="Z930">
        <v>-2.2449979999999998E-3</v>
      </c>
      <c r="AA930">
        <v>0.9930776</v>
      </c>
      <c r="AB930">
        <v>28</v>
      </c>
      <c r="AC930">
        <v>46.356900000000003</v>
      </c>
      <c r="AD930">
        <v>-1.0708501834319999</v>
      </c>
      <c r="AE930">
        <v>-4.9671000000000101</v>
      </c>
      <c r="AF930">
        <v>5.5089390558817</v>
      </c>
      <c r="AG930">
        <v>-1.0708501834319999</v>
      </c>
      <c r="AH930">
        <v>46.270878788708202</v>
      </c>
      <c r="AI930">
        <v>91.316469291139597</v>
      </c>
      <c r="AJ930">
        <v>83.210413594988495</v>
      </c>
      <c r="AK930">
        <v>46.609970537601697</v>
      </c>
      <c r="AL930">
        <v>80.029762242084104</v>
      </c>
      <c r="AM930">
        <v>89.601345616067505</v>
      </c>
      <c r="AN930">
        <v>1.0000000188027101</v>
      </c>
    </row>
    <row r="931" spans="1:40" x14ac:dyDescent="0.25">
      <c r="A931" t="str">
        <f>"20190303162230031"</f>
        <v>20190303162230031</v>
      </c>
      <c r="B931" t="str">
        <f>"1551601350025726"</f>
        <v>1551601350025726</v>
      </c>
      <c r="C931" t="s">
        <v>40</v>
      </c>
      <c r="D931">
        <v>5.1864420000000004</v>
      </c>
      <c r="E931">
        <v>0.54328520000000002</v>
      </c>
      <c r="F931" t="s">
        <v>41</v>
      </c>
      <c r="G931">
        <v>-247.28200000000001</v>
      </c>
      <c r="H931" s="1">
        <v>-3.1337600000000001E-6</v>
      </c>
      <c r="I931">
        <v>361.70209999999997</v>
      </c>
      <c r="J931">
        <v>-295.62090000000001</v>
      </c>
      <c r="K931">
        <v>1.0708439999999999</v>
      </c>
      <c r="L931">
        <v>366.97480000000002</v>
      </c>
      <c r="M931">
        <v>0.99984119999999999</v>
      </c>
      <c r="N931">
        <v>-1.338978E-2</v>
      </c>
      <c r="O931">
        <v>1.176341E-2</v>
      </c>
      <c r="P931">
        <v>0.98718830000000002</v>
      </c>
      <c r="Q931">
        <v>0.15951379999999901</v>
      </c>
      <c r="R931">
        <v>3.84388E-3</v>
      </c>
      <c r="S931">
        <v>3.0516359999999998</v>
      </c>
      <c r="T931">
        <v>-6.720901E-2</v>
      </c>
      <c r="U931">
        <v>-0.33071899999999999</v>
      </c>
      <c r="V931">
        <v>7.7744449999999996E-3</v>
      </c>
      <c r="W931">
        <v>0.17271719999999999</v>
      </c>
      <c r="X931">
        <v>0.98494079999999995</v>
      </c>
      <c r="Y931">
        <v>0.1193853</v>
      </c>
      <c r="Z931">
        <v>-2.2137659999999998E-3</v>
      </c>
      <c r="AA931">
        <v>0.99284550000000005</v>
      </c>
      <c r="AB931">
        <v>28</v>
      </c>
      <c r="AC931">
        <v>48.338900000000002</v>
      </c>
      <c r="AD931">
        <v>-1.0708471337600001</v>
      </c>
      <c r="AE931">
        <v>-5.2727000000000404</v>
      </c>
      <c r="AF931">
        <v>5.8381849558716103</v>
      </c>
      <c r="AG931">
        <v>-1.0708471337600001</v>
      </c>
      <c r="AH931">
        <v>48.250123886658599</v>
      </c>
      <c r="AI931">
        <v>91.262191638604605</v>
      </c>
      <c r="AJ931">
        <v>83.1008445214988</v>
      </c>
      <c r="AK931">
        <v>48.613841364787802</v>
      </c>
      <c r="AL931">
        <v>80.054159722612994</v>
      </c>
      <c r="AM931">
        <v>89.547755930215203</v>
      </c>
      <c r="AN931">
        <v>1.00000002633776</v>
      </c>
    </row>
    <row r="932" spans="1:40" x14ac:dyDescent="0.25">
      <c r="A932" t="str">
        <f>"20190303162230053"</f>
        <v>20190303162230053</v>
      </c>
      <c r="B932" t="str">
        <f>"1551601350045231"</f>
        <v>1551601350045231</v>
      </c>
      <c r="C932" t="s">
        <v>40</v>
      </c>
      <c r="D932">
        <v>5.2525300000000001</v>
      </c>
      <c r="E932">
        <v>0.54348469999999904</v>
      </c>
      <c r="F932" t="s">
        <v>41</v>
      </c>
      <c r="G932">
        <v>-251.3596</v>
      </c>
      <c r="H932" s="1">
        <v>-5.0190539999999999E-6</v>
      </c>
      <c r="I932">
        <v>362.1182</v>
      </c>
      <c r="J932">
        <v>-295.34820000000002</v>
      </c>
      <c r="K932">
        <v>1.0708340000000001</v>
      </c>
      <c r="L932">
        <v>366.97789999999998</v>
      </c>
      <c r="M932">
        <v>0.99984119999999999</v>
      </c>
      <c r="N932">
        <v>-1.3384750000000001E-2</v>
      </c>
      <c r="O932">
        <v>1.176964E-2</v>
      </c>
      <c r="P932">
        <v>0.98739060000000001</v>
      </c>
      <c r="Q932">
        <v>0.15827939999999999</v>
      </c>
      <c r="R932">
        <v>2.7251469999999998E-3</v>
      </c>
      <c r="S932">
        <v>3.0521850000000001</v>
      </c>
      <c r="T932">
        <v>-7.3843839999999994E-2</v>
      </c>
      <c r="U932">
        <v>-0.33489989999999997</v>
      </c>
      <c r="V932">
        <v>8.9016579999999998E-3</v>
      </c>
      <c r="W932">
        <v>0.17148039999999901</v>
      </c>
      <c r="X932">
        <v>0.98514729999999995</v>
      </c>
      <c r="Y932">
        <v>0.12070790000000001</v>
      </c>
      <c r="Z932">
        <v>-2.3929300000000001E-3</v>
      </c>
      <c r="AA932">
        <v>0.99268520000000005</v>
      </c>
      <c r="AB932">
        <v>28</v>
      </c>
      <c r="AC932">
        <v>43.988599999999998</v>
      </c>
      <c r="AD932">
        <v>-1.070839019054</v>
      </c>
      <c r="AE932">
        <v>-4.8596999999999699</v>
      </c>
      <c r="AF932">
        <v>5.3739934012802504</v>
      </c>
      <c r="AG932">
        <v>-1.070839019054</v>
      </c>
      <c r="AH932">
        <v>43.902647175743198</v>
      </c>
      <c r="AI932">
        <v>91.386889283401501</v>
      </c>
      <c r="AJ932">
        <v>83.021309667980503</v>
      </c>
      <c r="AK932">
        <v>44.243292489591298</v>
      </c>
      <c r="AL932">
        <v>80.126096050816898</v>
      </c>
      <c r="AM932">
        <v>89.482297161006599</v>
      </c>
      <c r="AN932">
        <v>0.999999984898299</v>
      </c>
    </row>
    <row r="933" spans="1:40" x14ac:dyDescent="0.25">
      <c r="A933" t="str">
        <f>"20190303162230075"</f>
        <v>20190303162230075</v>
      </c>
      <c r="B933" t="str">
        <f>"1551601350064753"</f>
        <v>1551601350064753</v>
      </c>
      <c r="C933" t="s">
        <v>40</v>
      </c>
      <c r="D933">
        <v>5.2494500000000004</v>
      </c>
      <c r="E933">
        <v>0.54403020000000002</v>
      </c>
      <c r="F933" t="s">
        <v>41</v>
      </c>
      <c r="G933">
        <v>-256.03070000000002</v>
      </c>
      <c r="H933" s="1">
        <v>-3.2017429999999999E-6</v>
      </c>
      <c r="I933">
        <v>362.60739999999998</v>
      </c>
      <c r="J933">
        <v>-295.06119999999999</v>
      </c>
      <c r="K933">
        <v>1.0708340000000001</v>
      </c>
      <c r="L933">
        <v>366.98140000000001</v>
      </c>
      <c r="M933">
        <v>0.99984110000000004</v>
      </c>
      <c r="N933">
        <v>-1.337963E-2</v>
      </c>
      <c r="O933">
        <v>1.1776180000000001E-2</v>
      </c>
      <c r="P933">
        <v>0.98747870000000004</v>
      </c>
      <c r="Q933">
        <v>0.15774060000000001</v>
      </c>
      <c r="R933">
        <v>1.9497480000000001E-3</v>
      </c>
      <c r="S933">
        <v>3.0525820000000001</v>
      </c>
      <c r="T933">
        <v>-8.3138820000000002E-2</v>
      </c>
      <c r="U933">
        <v>-0.33932499999999999</v>
      </c>
      <c r="V933">
        <v>9.6844050000000001E-3</v>
      </c>
      <c r="W933">
        <v>0.1709378</v>
      </c>
      <c r="X933">
        <v>0.98523419999999895</v>
      </c>
      <c r="Y933">
        <v>0.12210890000000001</v>
      </c>
      <c r="Z933">
        <v>-2.6397870000000002E-3</v>
      </c>
      <c r="AA933">
        <v>0.99251319999999998</v>
      </c>
      <c r="AB933">
        <v>28</v>
      </c>
      <c r="AC933">
        <v>39.030499999999897</v>
      </c>
      <c r="AD933">
        <v>-1.0708372017429999</v>
      </c>
      <c r="AE933">
        <v>-4.3740000000000201</v>
      </c>
      <c r="AF933">
        <v>4.8297775811954304</v>
      </c>
      <c r="AG933">
        <v>-1.0708372017429999</v>
      </c>
      <c r="AH933">
        <v>38.947326287400003</v>
      </c>
      <c r="AI933">
        <v>91.562956257492104</v>
      </c>
      <c r="AJ933">
        <v>82.930957018164193</v>
      </c>
      <c r="AK933">
        <v>39.260255586708197</v>
      </c>
      <c r="AL933">
        <v>80.157650546161193</v>
      </c>
      <c r="AM933">
        <v>89.436826630719594</v>
      </c>
      <c r="AN933">
        <v>0.99999997400934104</v>
      </c>
    </row>
    <row r="934" spans="1:40" x14ac:dyDescent="0.25">
      <c r="A934" t="str">
        <f>"20190303162230097"</f>
        <v>20190303162230097</v>
      </c>
      <c r="B934" t="str">
        <f>"1551601350085247"</f>
        <v>1551601350085247</v>
      </c>
      <c r="C934" t="s">
        <v>40</v>
      </c>
      <c r="D934">
        <v>5.2355369999999999</v>
      </c>
      <c r="E934">
        <v>0.54411779999999998</v>
      </c>
      <c r="F934" t="s">
        <v>41</v>
      </c>
      <c r="G934">
        <v>-257.8612</v>
      </c>
      <c r="H934" s="1">
        <v>-2.5357870000000002E-6</v>
      </c>
      <c r="I934">
        <v>362.76909999999998</v>
      </c>
      <c r="J934">
        <v>-294.77370000000002</v>
      </c>
      <c r="K934">
        <v>1.0708359999999999</v>
      </c>
      <c r="L934">
        <v>366.98469999999998</v>
      </c>
      <c r="M934">
        <v>0.99984119999999999</v>
      </c>
      <c r="N934">
        <v>-1.337467E-2</v>
      </c>
      <c r="O934">
        <v>1.178277E-2</v>
      </c>
      <c r="P934">
        <v>0.98738409999999999</v>
      </c>
      <c r="Q934">
        <v>0.15833059999999999</v>
      </c>
      <c r="R934">
        <v>2.1189080000000001E-3</v>
      </c>
      <c r="S934">
        <v>3.052765</v>
      </c>
      <c r="T934">
        <v>-8.787644E-2</v>
      </c>
      <c r="U934">
        <v>-0.345672599999999</v>
      </c>
      <c r="V934">
        <v>9.5205570000000007E-3</v>
      </c>
      <c r="W934">
        <v>0.17152120000000001</v>
      </c>
      <c r="X934">
        <v>0.98513439999999997</v>
      </c>
      <c r="Y934">
        <v>0.12413879999999999</v>
      </c>
      <c r="Z934">
        <v>-2.7947760000000001E-3</v>
      </c>
      <c r="AA934">
        <v>0.9922609</v>
      </c>
      <c r="AB934">
        <v>28</v>
      </c>
      <c r="AC934">
        <v>36.912500000000001</v>
      </c>
      <c r="AD934">
        <v>-1.0708385357870001</v>
      </c>
      <c r="AE934">
        <v>-4.2155999999999896</v>
      </c>
      <c r="AF934">
        <v>4.6464176395438104</v>
      </c>
      <c r="AG934">
        <v>-1.0708385357870001</v>
      </c>
      <c r="AH934">
        <v>36.829664770363202</v>
      </c>
      <c r="AI934">
        <v>91.652340250617797</v>
      </c>
      <c r="AJ934">
        <v>82.8095721310671</v>
      </c>
      <c r="AK934">
        <v>37.137044835960303</v>
      </c>
      <c r="AL934">
        <v>80.123723124039699</v>
      </c>
      <c r="AM934">
        <v>89.446298136246895</v>
      </c>
      <c r="AN934">
        <v>0.99999997455919398</v>
      </c>
    </row>
    <row r="935" spans="1:40" x14ac:dyDescent="0.25">
      <c r="A935" t="str">
        <f>"20190303162230120"</f>
        <v>20190303162230120</v>
      </c>
      <c r="B935" t="str">
        <f>"1551601350115504"</f>
        <v>1551601350115504</v>
      </c>
      <c r="C935" t="s">
        <v>40</v>
      </c>
      <c r="D935">
        <v>5.2606109999999999</v>
      </c>
      <c r="E935">
        <v>0.54435100000000003</v>
      </c>
      <c r="F935" t="s">
        <v>41</v>
      </c>
      <c r="G935">
        <v>-258.10210000000001</v>
      </c>
      <c r="H935" s="1">
        <v>-2.4365950000000002E-6</v>
      </c>
      <c r="I935">
        <v>362.8338</v>
      </c>
      <c r="J935">
        <v>-294.4948</v>
      </c>
      <c r="K935">
        <v>1.0708299999999999</v>
      </c>
      <c r="L935">
        <v>366.988</v>
      </c>
      <c r="M935">
        <v>0.99984119999999999</v>
      </c>
      <c r="N935">
        <v>-1.3369999999999899E-2</v>
      </c>
      <c r="O935">
        <v>1.178948E-2</v>
      </c>
      <c r="P935">
        <v>0.98737929999999996</v>
      </c>
      <c r="Q935">
        <v>0.158354299999999</v>
      </c>
      <c r="R935">
        <v>2.5377680000000001E-3</v>
      </c>
      <c r="S935">
        <v>3.053375</v>
      </c>
      <c r="T935">
        <v>-8.916056E-2</v>
      </c>
      <c r="U935">
        <v>-0.34561160000000002</v>
      </c>
      <c r="V935">
        <v>9.1082650000000008E-3</v>
      </c>
      <c r="W935">
        <v>0.171541</v>
      </c>
      <c r="X935">
        <v>0.98513490000000004</v>
      </c>
      <c r="Y935">
        <v>0.1241018</v>
      </c>
      <c r="Z935">
        <v>-2.8243880000000002E-3</v>
      </c>
      <c r="AA935">
        <v>0.99226550000000002</v>
      </c>
      <c r="AB935">
        <v>28</v>
      </c>
      <c r="AC935">
        <v>36.392699999999898</v>
      </c>
      <c r="AD935">
        <v>-1.0708324365949999</v>
      </c>
      <c r="AE935">
        <v>-4.1542000000000598</v>
      </c>
      <c r="AF935">
        <v>4.5790870115325202</v>
      </c>
      <c r="AG935">
        <v>-1.0708324365949999</v>
      </c>
      <c r="AH935">
        <v>36.310157333330402</v>
      </c>
      <c r="AI935">
        <v>91.675968425027307</v>
      </c>
      <c r="AJ935">
        <v>82.812352048695701</v>
      </c>
      <c r="AK935">
        <v>36.613416195947302</v>
      </c>
      <c r="AL935">
        <v>80.122572085621002</v>
      </c>
      <c r="AM935">
        <v>89.470275315852803</v>
      </c>
      <c r="AN935">
        <v>1.00000002318515</v>
      </c>
    </row>
    <row r="936" spans="1:40" x14ac:dyDescent="0.25">
      <c r="A936" t="str">
        <f>"20190303162230143"</f>
        <v>20190303162230143</v>
      </c>
      <c r="B936" t="str">
        <f>"1551601350135023"</f>
        <v>1551601350135023</v>
      </c>
      <c r="C936" t="s">
        <v>40</v>
      </c>
      <c r="D936">
        <v>5.2469799999999998</v>
      </c>
      <c r="E936">
        <v>0.54464899999999905</v>
      </c>
      <c r="F936" t="s">
        <v>41</v>
      </c>
      <c r="G936">
        <v>-259.40929999999997</v>
      </c>
      <c r="H936" s="1">
        <v>-1.9436509999999998E-6</v>
      </c>
      <c r="I936">
        <v>363.0145</v>
      </c>
      <c r="J936">
        <v>-294.20350000000002</v>
      </c>
      <c r="K936">
        <v>1.0708260000000001</v>
      </c>
      <c r="L936">
        <v>366.99149999999997</v>
      </c>
      <c r="M936">
        <v>0.99984110000000004</v>
      </c>
      <c r="N936">
        <v>-1.3365230000000001E-2</v>
      </c>
      <c r="O936">
        <v>1.179672E-2</v>
      </c>
      <c r="P936">
        <v>0.98743700000000001</v>
      </c>
      <c r="Q936">
        <v>0.15797820000000001</v>
      </c>
      <c r="R936">
        <v>3.3324169999999998E-3</v>
      </c>
      <c r="S936">
        <v>3.0541990000000001</v>
      </c>
      <c r="T936">
        <v>-9.3215939999999997E-2</v>
      </c>
      <c r="U936">
        <v>-0.34588619999999998</v>
      </c>
      <c r="V936">
        <v>8.3214020000000003E-3</v>
      </c>
      <c r="W936">
        <v>0.17116099999999901</v>
      </c>
      <c r="X936">
        <v>0.98520790000000003</v>
      </c>
      <c r="Y936">
        <v>0.12416099999999999</v>
      </c>
      <c r="Z936">
        <v>-2.9226769999999998E-3</v>
      </c>
      <c r="AA936">
        <v>0.99225779999999997</v>
      </c>
      <c r="AB936">
        <v>28</v>
      </c>
      <c r="AC936">
        <v>34.794199999999996</v>
      </c>
      <c r="AD936">
        <v>-1.070827943651</v>
      </c>
      <c r="AE936">
        <v>-3.9769999999999701</v>
      </c>
      <c r="AF936">
        <v>4.3831193136777999</v>
      </c>
      <c r="AG936">
        <v>-1.070827943651</v>
      </c>
      <c r="AH936">
        <v>34.712404338980903</v>
      </c>
      <c r="AI936">
        <v>91.753021336051802</v>
      </c>
      <c r="AJ936">
        <v>82.803374682911496</v>
      </c>
      <c r="AK936">
        <v>35.004420040842597</v>
      </c>
      <c r="AL936">
        <v>80.1446707982319</v>
      </c>
      <c r="AM936">
        <v>89.516071809054793</v>
      </c>
      <c r="AN936">
        <v>0.99999996993732698</v>
      </c>
    </row>
    <row r="937" spans="1:40" x14ac:dyDescent="0.25">
      <c r="A937" t="str">
        <f>"20190303162230166"</f>
        <v>20190303162230166</v>
      </c>
      <c r="B937" t="str">
        <f>"1551601350155519"</f>
        <v>1551601350155519</v>
      </c>
      <c r="C937" t="s">
        <v>40</v>
      </c>
      <c r="D937">
        <v>5.2307649999999999</v>
      </c>
      <c r="E937">
        <v>0.54492359999999995</v>
      </c>
      <c r="F937" t="s">
        <v>41</v>
      </c>
      <c r="G937">
        <v>-260.03739999999999</v>
      </c>
      <c r="H937" s="1">
        <v>-5.4068789999999999E-6</v>
      </c>
      <c r="I937">
        <v>363.12950000000001</v>
      </c>
      <c r="J937">
        <v>-293.92070000000001</v>
      </c>
      <c r="K937">
        <v>1.0708260000000001</v>
      </c>
      <c r="L937">
        <v>366.9948</v>
      </c>
      <c r="M937">
        <v>0.99984119999999999</v>
      </c>
      <c r="N937">
        <v>-1.3360729999999999E-2</v>
      </c>
      <c r="O937">
        <v>1.1803309999999999E-2</v>
      </c>
      <c r="P937">
        <v>0.98731959999999996</v>
      </c>
      <c r="Q937">
        <v>0.15871479999999999</v>
      </c>
      <c r="R937">
        <v>3.1195889999999999E-3</v>
      </c>
      <c r="S937">
        <v>3.0546880000000001</v>
      </c>
      <c r="T937">
        <v>-9.5739599999999994E-2</v>
      </c>
      <c r="U937">
        <v>-0.34527590000000002</v>
      </c>
      <c r="V937">
        <v>8.5395169999999999E-3</v>
      </c>
      <c r="W937">
        <v>0.1718914</v>
      </c>
      <c r="X937">
        <v>0.98507889999999998</v>
      </c>
      <c r="Y937">
        <v>0.1239502</v>
      </c>
      <c r="Z937">
        <v>-2.9783330000000001E-3</v>
      </c>
      <c r="AA937">
        <v>0.9922839</v>
      </c>
      <c r="AB937">
        <v>28</v>
      </c>
      <c r="AC937">
        <v>33.883299999999998</v>
      </c>
      <c r="AD937">
        <v>-1.0708314068789999</v>
      </c>
      <c r="AE937">
        <v>-3.8652999999999902</v>
      </c>
      <c r="AF937">
        <v>4.26080049081623</v>
      </c>
      <c r="AG937">
        <v>-1.0708314068789999</v>
      </c>
      <c r="AH937">
        <v>33.801984699313202</v>
      </c>
      <c r="AI937">
        <v>91.800260863373197</v>
      </c>
      <c r="AJ937">
        <v>82.815655660016802</v>
      </c>
      <c r="AK937">
        <v>34.086291531011398</v>
      </c>
      <c r="AL937">
        <v>80.102192790450601</v>
      </c>
      <c r="AM937">
        <v>89.503323005460601</v>
      </c>
      <c r="AN937">
        <v>1.0000000079848801</v>
      </c>
    </row>
    <row r="938" spans="1:40" x14ac:dyDescent="0.25">
      <c r="A938" t="str">
        <f>"20190303162230188"</f>
        <v>20190303162230188</v>
      </c>
      <c r="B938" t="str">
        <f>"1551601350175040"</f>
        <v>1551601350175040</v>
      </c>
      <c r="C938" t="s">
        <v>40</v>
      </c>
      <c r="D938">
        <v>5.2326449999999998</v>
      </c>
      <c r="E938">
        <v>0.54490839999999996</v>
      </c>
      <c r="F938" t="s">
        <v>41</v>
      </c>
      <c r="G938">
        <v>-259.22919999999999</v>
      </c>
      <c r="H938" s="1">
        <v>-1.997433E-6</v>
      </c>
      <c r="I938">
        <v>363.0428</v>
      </c>
      <c r="J938">
        <v>-293.63499999999999</v>
      </c>
      <c r="K938">
        <v>1.070832</v>
      </c>
      <c r="L938">
        <v>366.99810000000002</v>
      </c>
      <c r="M938">
        <v>0.99984110000000004</v>
      </c>
      <c r="N938">
        <v>-1.335626E-2</v>
      </c>
      <c r="O938">
        <v>1.18102E-2</v>
      </c>
      <c r="P938">
        <v>0.9872455</v>
      </c>
      <c r="Q938">
        <v>0.15919169999999999</v>
      </c>
      <c r="R938">
        <v>2.1283600000000001E-3</v>
      </c>
      <c r="S938">
        <v>3.0547789999999999</v>
      </c>
      <c r="T938">
        <v>-9.429216E-2</v>
      </c>
      <c r="U938">
        <v>-0.34799190000000002</v>
      </c>
      <c r="V938">
        <v>9.5365099999999998E-3</v>
      </c>
      <c r="W938">
        <v>0.1723626</v>
      </c>
      <c r="X938">
        <v>0.98498739999999996</v>
      </c>
      <c r="Y938">
        <v>0.1248264</v>
      </c>
      <c r="Z938">
        <v>-2.9626129999999998E-3</v>
      </c>
      <c r="AA938">
        <v>0.99217409999999995</v>
      </c>
      <c r="AB938">
        <v>28</v>
      </c>
      <c r="AC938">
        <v>34.405799999999999</v>
      </c>
      <c r="AD938">
        <v>-1.0708339974329999</v>
      </c>
      <c r="AE938">
        <v>-3.9553000000000198</v>
      </c>
      <c r="AF938">
        <v>4.3572339867086498</v>
      </c>
      <c r="AG938">
        <v>-1.0708339974329999</v>
      </c>
      <c r="AH938">
        <v>34.323867752356797</v>
      </c>
      <c r="AI938">
        <v>91.772713413160105</v>
      </c>
      <c r="AJ938">
        <v>82.765299671076093</v>
      </c>
      <c r="AK938">
        <v>34.615893328733598</v>
      </c>
      <c r="AL938">
        <v>80.074785830940101</v>
      </c>
      <c r="AM938">
        <v>89.445287622664196</v>
      </c>
      <c r="AN938">
        <v>0.99999999453025001</v>
      </c>
    </row>
    <row r="939" spans="1:40" x14ac:dyDescent="0.25">
      <c r="A939" t="str">
        <f>"20190303162230210"</f>
        <v>20190303162230210</v>
      </c>
      <c r="B939" t="str">
        <f>"1551601350205297"</f>
        <v>1551601350205297</v>
      </c>
      <c r="C939" t="s">
        <v>40</v>
      </c>
      <c r="D939">
        <v>5.244224</v>
      </c>
      <c r="E939">
        <v>0.54490380000000005</v>
      </c>
      <c r="F939" t="s">
        <v>41</v>
      </c>
      <c r="G939">
        <v>-259.24110000000002</v>
      </c>
      <c r="H939" s="1">
        <v>-1.9914729999999998E-6</v>
      </c>
      <c r="I939">
        <v>363.04989999999998</v>
      </c>
      <c r="J939">
        <v>-293.35660000000001</v>
      </c>
      <c r="K939">
        <v>1.0708279999999999</v>
      </c>
      <c r="L939">
        <v>367.00150000000002</v>
      </c>
      <c r="M939">
        <v>0.99984119999999999</v>
      </c>
      <c r="N939">
        <v>-1.3351999999999999E-2</v>
      </c>
      <c r="O939">
        <v>1.181624E-2</v>
      </c>
      <c r="P939">
        <v>0.98722469999999996</v>
      </c>
      <c r="Q939">
        <v>0.1593329</v>
      </c>
      <c r="R939">
        <v>9.9565039999999997E-4</v>
      </c>
      <c r="S939">
        <v>3.05484</v>
      </c>
      <c r="T939">
        <v>-9.5110539999999993E-2</v>
      </c>
      <c r="U939">
        <v>-0.35067749999999998</v>
      </c>
      <c r="V939">
        <v>1.067482E-2</v>
      </c>
      <c r="W939">
        <v>0.17249929999999999</v>
      </c>
      <c r="X939">
        <v>0.98495180000000004</v>
      </c>
      <c r="Y939">
        <v>0.1256893</v>
      </c>
      <c r="Z939">
        <v>-3.0013689999999998E-3</v>
      </c>
      <c r="AA939">
        <v>0.99206510000000003</v>
      </c>
      <c r="AB939">
        <v>28</v>
      </c>
      <c r="AC939">
        <v>34.115499999999997</v>
      </c>
      <c r="AD939">
        <v>-1.070829991473</v>
      </c>
      <c r="AE939">
        <v>-3.95160000000004</v>
      </c>
      <c r="AF939">
        <v>4.3502476294543797</v>
      </c>
      <c r="AG939">
        <v>-1.070829991473</v>
      </c>
      <c r="AH939">
        <v>34.033333875076003</v>
      </c>
      <c r="AI939">
        <v>91.787633433106706</v>
      </c>
      <c r="AJ939">
        <v>82.715773848955607</v>
      </c>
      <c r="AK939">
        <v>34.3269448969845</v>
      </c>
      <c r="AL939">
        <v>80.066834496206894</v>
      </c>
      <c r="AM939">
        <v>89.379057749181499</v>
      </c>
      <c r="AN939">
        <v>1.0000000043028801</v>
      </c>
    </row>
    <row r="940" spans="1:40" x14ac:dyDescent="0.25">
      <c r="A940" t="str">
        <f>"20190303162230232"</f>
        <v>20190303162230232</v>
      </c>
      <c r="B940" t="str">
        <f>"1551601350224817"</f>
        <v>1551601350224817</v>
      </c>
      <c r="C940" t="s">
        <v>40</v>
      </c>
      <c r="D940">
        <v>5.2231239999999897</v>
      </c>
      <c r="E940">
        <v>0.54515959999999997</v>
      </c>
      <c r="F940" t="s">
        <v>41</v>
      </c>
      <c r="G940">
        <v>-259.4991</v>
      </c>
      <c r="H940" s="1">
        <v>-1.8960529999999999E-6</v>
      </c>
      <c r="I940">
        <v>363.07850000000002</v>
      </c>
      <c r="J940">
        <v>-293.07409999999999</v>
      </c>
      <c r="K940">
        <v>1.070824</v>
      </c>
      <c r="L940">
        <v>367.00479999999999</v>
      </c>
      <c r="M940">
        <v>0.99984099999999998</v>
      </c>
      <c r="N940">
        <v>-1.334772E-2</v>
      </c>
      <c r="O940">
        <v>1.1820789999999999E-2</v>
      </c>
      <c r="P940">
        <v>0.98727200000000004</v>
      </c>
      <c r="Q940">
        <v>0.1590406</v>
      </c>
      <c r="R940" s="1">
        <v>-9.2316420000000004E-5</v>
      </c>
      <c r="S940">
        <v>3.0547789999999999</v>
      </c>
      <c r="T940">
        <v>-9.6615199999999998E-2</v>
      </c>
      <c r="U940">
        <v>-0.3539429</v>
      </c>
      <c r="V940">
        <v>1.1768259999999999E-2</v>
      </c>
      <c r="W940">
        <v>0.17220289999999999</v>
      </c>
      <c r="X940">
        <v>0.98499119999999996</v>
      </c>
      <c r="Y940">
        <v>0.1267393</v>
      </c>
      <c r="Z940">
        <v>-3.0614140000000001E-3</v>
      </c>
      <c r="AA940">
        <v>0.99193129999999996</v>
      </c>
      <c r="AB940">
        <v>28</v>
      </c>
      <c r="AC940">
        <v>33.574999999999903</v>
      </c>
      <c r="AD940">
        <v>-1.0708258960529999</v>
      </c>
      <c r="AE940">
        <v>-3.9262999999999599</v>
      </c>
      <c r="AF940">
        <v>4.3186104078653704</v>
      </c>
      <c r="AG940">
        <v>-1.0708258960529999</v>
      </c>
      <c r="AH940">
        <v>33.4926286215874</v>
      </c>
      <c r="AI940">
        <v>91.816210351010696</v>
      </c>
      <c r="AJ940">
        <v>82.652700871495497</v>
      </c>
      <c r="AK940">
        <v>33.786879641928401</v>
      </c>
      <c r="AL940">
        <v>80.084074889538499</v>
      </c>
      <c r="AM940">
        <v>89.315486727116706</v>
      </c>
      <c r="AN940">
        <v>0.99999999739463796</v>
      </c>
    </row>
    <row r="941" spans="1:40" x14ac:dyDescent="0.25">
      <c r="A941" t="str">
        <f>"20190303162230254"</f>
        <v>20190303162230254</v>
      </c>
      <c r="B941" t="str">
        <f>"1551601350245312"</f>
        <v>1551601350245312</v>
      </c>
      <c r="C941" t="s">
        <v>40</v>
      </c>
      <c r="D941">
        <v>5.2452300000000003</v>
      </c>
      <c r="E941">
        <v>0.54521450000000005</v>
      </c>
      <c r="F941" t="s">
        <v>41</v>
      </c>
      <c r="G941">
        <v>-259.62880000000001</v>
      </c>
      <c r="H941" s="1">
        <v>-1.854033E-6</v>
      </c>
      <c r="I941">
        <v>363.07060000000001</v>
      </c>
      <c r="J941">
        <v>-292.80380000000002</v>
      </c>
      <c r="K941">
        <v>1.0708260000000001</v>
      </c>
      <c r="L941">
        <v>367.00799999999998</v>
      </c>
      <c r="M941">
        <v>0.99984110000000004</v>
      </c>
      <c r="N941">
        <v>-1.33437E-2</v>
      </c>
      <c r="O941">
        <v>1.1823480000000001E-2</v>
      </c>
      <c r="P941">
        <v>0.98726119999999995</v>
      </c>
      <c r="Q941">
        <v>0.15910769999999999</v>
      </c>
      <c r="R941">
        <v>-6.5251350000000003E-4</v>
      </c>
      <c r="S941">
        <v>3.0544129999999998</v>
      </c>
      <c r="T941">
        <v>-9.7793459999999999E-2</v>
      </c>
      <c r="U941">
        <v>-0.35928339999999998</v>
      </c>
      <c r="V941">
        <v>1.233131E-2</v>
      </c>
      <c r="W941">
        <v>0.1722658</v>
      </c>
      <c r="X941">
        <v>0.98497330000000005</v>
      </c>
      <c r="Y941">
        <v>0.1284633</v>
      </c>
      <c r="Z941">
        <v>-3.129335E-3</v>
      </c>
      <c r="AA941">
        <v>0.99170939999999996</v>
      </c>
      <c r="AB941">
        <v>28</v>
      </c>
      <c r="AC941">
        <v>33.174999999999997</v>
      </c>
      <c r="AD941">
        <v>-1.0708278540330001</v>
      </c>
      <c r="AE941">
        <v>-3.9374000000000202</v>
      </c>
      <c r="AF941">
        <v>4.3249600926274301</v>
      </c>
      <c r="AG941">
        <v>-1.0708278540330001</v>
      </c>
      <c r="AH941">
        <v>33.092123667625899</v>
      </c>
      <c r="AI941">
        <v>91.837768896425999</v>
      </c>
      <c r="AJ941">
        <v>82.553958125251199</v>
      </c>
      <c r="AK941">
        <v>33.390726271365203</v>
      </c>
      <c r="AL941">
        <v>80.0804161808516</v>
      </c>
      <c r="AM941">
        <v>89.2827266391146</v>
      </c>
      <c r="AN941">
        <v>0.99999998438442295</v>
      </c>
    </row>
    <row r="942" spans="1:40" x14ac:dyDescent="0.25">
      <c r="A942" t="str">
        <f>"20190303162230277"</f>
        <v>20190303162230277</v>
      </c>
      <c r="B942" t="str">
        <f>"1551601350264832"</f>
        <v>1551601350264832</v>
      </c>
      <c r="C942" t="s">
        <v>40</v>
      </c>
      <c r="D942">
        <v>5.2624430000000002</v>
      </c>
      <c r="E942">
        <v>0.54542919999999995</v>
      </c>
      <c r="F942" t="s">
        <v>41</v>
      </c>
      <c r="G942">
        <v>-259.56420000000003</v>
      </c>
      <c r="H942" s="1">
        <v>-1.875391E-6</v>
      </c>
      <c r="I942">
        <v>363.07299999999998</v>
      </c>
      <c r="J942">
        <v>-292.51560000000001</v>
      </c>
      <c r="K942">
        <v>1.0708200000000001</v>
      </c>
      <c r="L942">
        <v>367.01139999999998</v>
      </c>
      <c r="M942">
        <v>0.99984119999999999</v>
      </c>
      <c r="N942">
        <v>-1.3339459999999999E-2</v>
      </c>
      <c r="O942">
        <v>1.182569E-2</v>
      </c>
      <c r="P942">
        <v>0.98723550000000004</v>
      </c>
      <c r="Q942">
        <v>0.1592681</v>
      </c>
      <c r="R942">
        <v>-3.2130070000000003E-4</v>
      </c>
      <c r="S942">
        <v>3.0543209999999998</v>
      </c>
      <c r="T942">
        <v>-9.8395819999999995E-2</v>
      </c>
      <c r="U942">
        <v>-0.36157230000000001</v>
      </c>
      <c r="V942">
        <v>1.2002519999999999E-2</v>
      </c>
      <c r="W942">
        <v>0.17242170000000001</v>
      </c>
      <c r="X942">
        <v>0.98495010000000005</v>
      </c>
      <c r="Y942">
        <v>0.12920029999999999</v>
      </c>
      <c r="Z942">
        <v>-3.1608669999999999E-3</v>
      </c>
      <c r="AA942">
        <v>0.99161350000000004</v>
      </c>
      <c r="AB942">
        <v>28</v>
      </c>
      <c r="AC942">
        <v>32.9513999999999</v>
      </c>
      <c r="AD942">
        <v>-1.0708218753909999</v>
      </c>
      <c r="AE942">
        <v>-3.9383999999999402</v>
      </c>
      <c r="AF942">
        <v>4.3233308554501404</v>
      </c>
      <c r="AG942">
        <v>-1.0708218753909999</v>
      </c>
      <c r="AH942">
        <v>32.8682951266697</v>
      </c>
      <c r="AI942">
        <v>91.850064562283293</v>
      </c>
      <c r="AJ942">
        <v>82.506618110332198</v>
      </c>
      <c r="AK942">
        <v>33.168700211319099</v>
      </c>
      <c r="AL942">
        <v>80.0713482511932</v>
      </c>
      <c r="AM942">
        <v>89.301832953262902</v>
      </c>
      <c r="AN942">
        <v>1.0000000013036201</v>
      </c>
    </row>
    <row r="943" spans="1:40" x14ac:dyDescent="0.25">
      <c r="A943" t="str">
        <f>"20190303162230298"</f>
        <v>20190303162230298</v>
      </c>
      <c r="B943" t="str">
        <f>"1551601350295087"</f>
        <v>1551601350295087</v>
      </c>
      <c r="C943" t="s">
        <v>40</v>
      </c>
      <c r="D943">
        <v>5.2132969999999998</v>
      </c>
      <c r="E943">
        <v>0.54545529999999998</v>
      </c>
      <c r="F943" t="s">
        <v>41</v>
      </c>
      <c r="G943">
        <v>-259.20620000000002</v>
      </c>
      <c r="H943" s="1">
        <v>-2.0010809999999999E-6</v>
      </c>
      <c r="I943">
        <v>363.05849999999998</v>
      </c>
      <c r="J943">
        <v>-292.23559999999998</v>
      </c>
      <c r="K943">
        <v>1.070821</v>
      </c>
      <c r="L943">
        <v>367.0147</v>
      </c>
      <c r="M943">
        <v>0.99984130000000004</v>
      </c>
      <c r="N943">
        <v>-1.3335410000000001E-2</v>
      </c>
      <c r="O943">
        <v>1.182653E-2</v>
      </c>
      <c r="P943">
        <v>0.98723340000000004</v>
      </c>
      <c r="Q943">
        <v>0.15927859999999999</v>
      </c>
      <c r="R943">
        <v>9.4581950000000004E-4</v>
      </c>
      <c r="S943">
        <v>3.054535</v>
      </c>
      <c r="T943">
        <v>-9.8196030000000004E-2</v>
      </c>
      <c r="U943">
        <v>-0.36248780000000003</v>
      </c>
      <c r="V943">
        <v>1.073701E-2</v>
      </c>
      <c r="W943">
        <v>0.17242829999999901</v>
      </c>
      <c r="X943">
        <v>0.98496349999999999</v>
      </c>
      <c r="Y943">
        <v>0.1294863</v>
      </c>
      <c r="Z943">
        <v>-3.1619859999999999E-3</v>
      </c>
      <c r="AA943">
        <v>0.99157620000000002</v>
      </c>
      <c r="AB943">
        <v>28</v>
      </c>
      <c r="AC943">
        <v>33.029399999999903</v>
      </c>
      <c r="AD943">
        <v>-1.070823001081</v>
      </c>
      <c r="AE943">
        <v>-3.9562000000000199</v>
      </c>
      <c r="AF943">
        <v>4.3420818284041003</v>
      </c>
      <c r="AG943">
        <v>-1.070823001081</v>
      </c>
      <c r="AH943">
        <v>32.946158258944102</v>
      </c>
      <c r="AI943">
        <v>91.845635537160902</v>
      </c>
      <c r="AJ943">
        <v>82.492072069979002</v>
      </c>
      <c r="AK943">
        <v>33.248303423296498</v>
      </c>
      <c r="AL943">
        <v>80.070963826417596</v>
      </c>
      <c r="AM943">
        <v>89.375447930998803</v>
      </c>
      <c r="AN943">
        <v>0.99999994917843804</v>
      </c>
    </row>
    <row r="944" spans="1:40" x14ac:dyDescent="0.25">
      <c r="A944" t="str">
        <f>"20190303162230321"</f>
        <v>20190303162230321</v>
      </c>
      <c r="B944" t="str">
        <f>"1551601350315587"</f>
        <v>1551601350315587</v>
      </c>
      <c r="C944" t="s">
        <v>40</v>
      </c>
      <c r="D944">
        <v>5.2686580000000003</v>
      </c>
      <c r="E944">
        <v>0.5456278</v>
      </c>
      <c r="F944" t="s">
        <v>41</v>
      </c>
      <c r="G944">
        <v>-259.4162</v>
      </c>
      <c r="H944" s="1">
        <v>-1.9022E-6</v>
      </c>
      <c r="I944">
        <v>363.16149999999999</v>
      </c>
      <c r="J944">
        <v>-291.952</v>
      </c>
      <c r="K944">
        <v>1.070832</v>
      </c>
      <c r="L944">
        <v>367.0181</v>
      </c>
      <c r="M944">
        <v>0.99984130000000004</v>
      </c>
      <c r="N944">
        <v>-1.333136E-2</v>
      </c>
      <c r="O944">
        <v>1.1827030000000001E-2</v>
      </c>
      <c r="P944">
        <v>0.98713300000000004</v>
      </c>
      <c r="Q944">
        <v>0.15988759999999999</v>
      </c>
      <c r="R944">
        <v>2.1413809999999999E-3</v>
      </c>
      <c r="S944">
        <v>3.0552060000000001</v>
      </c>
      <c r="T944">
        <v>-9.9684239999999993E-2</v>
      </c>
      <c r="U944">
        <v>-0.35870360000000001</v>
      </c>
      <c r="V944">
        <v>9.5409989999999997E-3</v>
      </c>
      <c r="W944">
        <v>0.1730323</v>
      </c>
      <c r="X944">
        <v>0.98487000000000002</v>
      </c>
      <c r="Y944">
        <v>0.12824829999999901</v>
      </c>
      <c r="Z944">
        <v>-3.1700919999999998E-3</v>
      </c>
      <c r="AA944">
        <v>0.99173699999999998</v>
      </c>
      <c r="AB944">
        <v>28</v>
      </c>
      <c r="AC944">
        <v>32.535799999999902</v>
      </c>
      <c r="AD944">
        <v>-1.0708339022</v>
      </c>
      <c r="AE944">
        <v>-3.85660000000001</v>
      </c>
      <c r="AF944">
        <v>4.23664057738194</v>
      </c>
      <c r="AG944">
        <v>-1.0708339022</v>
      </c>
      <c r="AH944">
        <v>32.4532405291678</v>
      </c>
      <c r="AI944">
        <v>91.873968461585406</v>
      </c>
      <c r="AJ944">
        <v>82.562326709720196</v>
      </c>
      <c r="AK944">
        <v>32.746123884698697</v>
      </c>
      <c r="AL944">
        <v>80.035830205894101</v>
      </c>
      <c r="AM944">
        <v>89.444960375623594</v>
      </c>
      <c r="AN944">
        <v>1.0000000622026</v>
      </c>
    </row>
    <row r="945" spans="1:40" x14ac:dyDescent="0.25">
      <c r="A945" t="str">
        <f>"20190303162230344"</f>
        <v>20190303162230344</v>
      </c>
      <c r="B945" t="str">
        <f>"1551601350335104"</f>
        <v>1551601350335104</v>
      </c>
      <c r="C945" t="s">
        <v>40</v>
      </c>
      <c r="D945">
        <v>5.367159</v>
      </c>
      <c r="E945">
        <v>0.54553069999999904</v>
      </c>
      <c r="F945" t="s">
        <v>41</v>
      </c>
      <c r="G945">
        <v>-258.49590000000001</v>
      </c>
      <c r="H945" s="1">
        <v>-2.228704E-6</v>
      </c>
      <c r="I945">
        <v>363.11149999999998</v>
      </c>
      <c r="J945">
        <v>-291.66570000000002</v>
      </c>
      <c r="K945">
        <v>1.0708310000000001</v>
      </c>
      <c r="L945">
        <v>367.0215</v>
      </c>
      <c r="M945">
        <v>0.99984130000000004</v>
      </c>
      <c r="N945">
        <v>-1.332732E-2</v>
      </c>
      <c r="O945">
        <v>1.182676E-2</v>
      </c>
      <c r="P945">
        <v>0.98712420000000001</v>
      </c>
      <c r="Q945">
        <v>0.15993060000000001</v>
      </c>
      <c r="R945">
        <v>2.913798E-3</v>
      </c>
      <c r="S945">
        <v>3.0557249999999998</v>
      </c>
      <c r="T945">
        <v>-9.7804669999999996E-2</v>
      </c>
      <c r="U945">
        <v>-0.3568115</v>
      </c>
      <c r="V945">
        <v>8.7681700000000005E-3</v>
      </c>
      <c r="W945">
        <v>0.17307129999999901</v>
      </c>
      <c r="X945">
        <v>0.98487029999999998</v>
      </c>
      <c r="Y945">
        <v>0.1276264</v>
      </c>
      <c r="Z945">
        <v>-3.1088959999999999E-3</v>
      </c>
      <c r="AA945">
        <v>0.99181750000000002</v>
      </c>
      <c r="AB945">
        <v>28</v>
      </c>
      <c r="AC945">
        <v>33.169800000000002</v>
      </c>
      <c r="AD945">
        <v>-1.0708332287040001</v>
      </c>
      <c r="AE945">
        <v>-3.9100000000000201</v>
      </c>
      <c r="AF945">
        <v>4.29763489517227</v>
      </c>
      <c r="AG945">
        <v>-1.0708332287040001</v>
      </c>
      <c r="AH945">
        <v>33.087221552177603</v>
      </c>
      <c r="AI945">
        <v>91.838240003121399</v>
      </c>
      <c r="AJ945">
        <v>82.599395270824999</v>
      </c>
      <c r="AK945">
        <v>33.382339335924101</v>
      </c>
      <c r="AL945">
        <v>80.033561134609599</v>
      </c>
      <c r="AM945">
        <v>89.489916730506295</v>
      </c>
      <c r="AN945">
        <v>1.00000003175546</v>
      </c>
    </row>
    <row r="946" spans="1:40" x14ac:dyDescent="0.25">
      <c r="A946" t="str">
        <f>"20190303162230367"</f>
        <v>20190303162230367</v>
      </c>
      <c r="B946" t="str">
        <f>"1551601350355600"</f>
        <v>1551601350355600</v>
      </c>
      <c r="C946" t="s">
        <v>40</v>
      </c>
      <c r="D946">
        <v>5.5025089999999999</v>
      </c>
      <c r="E946">
        <v>0.50657050000000003</v>
      </c>
      <c r="F946" t="s">
        <v>41</v>
      </c>
      <c r="G946">
        <v>-257.91890000000001</v>
      </c>
      <c r="H946" s="1">
        <v>-2.4232559999999998E-6</v>
      </c>
      <c r="I946">
        <v>363.1182</v>
      </c>
      <c r="J946">
        <v>-291.38350000000003</v>
      </c>
      <c r="K946">
        <v>1.070829</v>
      </c>
      <c r="L946">
        <v>367.02480000000003</v>
      </c>
      <c r="M946">
        <v>0.99984130000000004</v>
      </c>
      <c r="N946">
        <v>-1.3323349999999999E-2</v>
      </c>
      <c r="O946">
        <v>1.1826420000000001E-2</v>
      </c>
      <c r="P946">
        <v>0.98712789999999995</v>
      </c>
      <c r="Q946">
        <v>0.15986510000000001</v>
      </c>
      <c r="R946">
        <v>4.6786129999999999E-3</v>
      </c>
      <c r="S946">
        <v>3.055847</v>
      </c>
      <c r="T946">
        <v>-9.6966269999999993E-2</v>
      </c>
      <c r="U946">
        <v>-0.35345460000000001</v>
      </c>
      <c r="V946">
        <v>7.0032860000000001E-3</v>
      </c>
      <c r="W946">
        <v>0.1730023</v>
      </c>
      <c r="X946">
        <v>0.98489649999999995</v>
      </c>
      <c r="Y946">
        <v>0.12654849999999901</v>
      </c>
      <c r="Z946">
        <v>-3.063755E-3</v>
      </c>
      <c r="AA946">
        <v>0.9919557</v>
      </c>
      <c r="AB946">
        <v>28</v>
      </c>
      <c r="AC946">
        <v>33.464599999999997</v>
      </c>
      <c r="AD946">
        <v>-1.0708314232559999</v>
      </c>
      <c r="AE946">
        <v>-3.9066000000000201</v>
      </c>
      <c r="AF946">
        <v>4.2977868161805297</v>
      </c>
      <c r="AG946">
        <v>-1.0708314232559999</v>
      </c>
      <c r="AH946">
        <v>33.382332387995802</v>
      </c>
      <c r="AI946">
        <v>91.822262167340995</v>
      </c>
      <c r="AJ946">
        <v>82.663846779650896</v>
      </c>
      <c r="AK946">
        <v>33.674883327444597</v>
      </c>
      <c r="AL946">
        <v>80.037574559089293</v>
      </c>
      <c r="AM946">
        <v>89.592594787431807</v>
      </c>
      <c r="AN946">
        <v>0.99999997876616797</v>
      </c>
    </row>
    <row r="947" spans="1:40" x14ac:dyDescent="0.25">
      <c r="A947" t="str">
        <f>"20190303162230380"</f>
        <v>20190303162230380</v>
      </c>
      <c r="B947" t="str">
        <f>"1551601350365359"</f>
        <v>1551601350365359</v>
      </c>
      <c r="C947" t="s">
        <v>40</v>
      </c>
      <c r="D947">
        <v>5.5108480000000002</v>
      </c>
      <c r="E947">
        <v>0.50103109999999995</v>
      </c>
      <c r="F947" t="s">
        <v>41</v>
      </c>
      <c r="G947">
        <v>-263.16809999999998</v>
      </c>
      <c r="H947" s="1">
        <v>-3.4337080000000001E-6</v>
      </c>
      <c r="I947">
        <v>366.68180000000001</v>
      </c>
      <c r="J947">
        <v>-291.2183</v>
      </c>
      <c r="K947">
        <v>1.0708279999999999</v>
      </c>
      <c r="L947">
        <v>367.02679999999998</v>
      </c>
      <c r="M947">
        <v>0.99984150000000005</v>
      </c>
      <c r="N947">
        <v>-1.3321049999999999E-2</v>
      </c>
      <c r="O947">
        <v>1.182596E-2</v>
      </c>
      <c r="P947">
        <v>0.98709199999999997</v>
      </c>
      <c r="Q947">
        <v>0.160054799999999</v>
      </c>
      <c r="R947">
        <v>5.6756659999999898E-3</v>
      </c>
      <c r="S947">
        <v>3.0581360000000002</v>
      </c>
      <c r="T947">
        <v>-0.1160622</v>
      </c>
      <c r="U947">
        <v>-3.7170410000000001E-2</v>
      </c>
      <c r="V947">
        <v>6.005509E-3</v>
      </c>
      <c r="W947">
        <v>0.17318919999999999</v>
      </c>
      <c r="X947">
        <v>0.98487029999999998</v>
      </c>
      <c r="Y947">
        <v>2.39521E-2</v>
      </c>
      <c r="Z947">
        <v>-9.0509979999999998E-4</v>
      </c>
      <c r="AA947">
        <v>0.99971270000000001</v>
      </c>
      <c r="AB947">
        <v>28</v>
      </c>
      <c r="AC947">
        <v>28.0502</v>
      </c>
      <c r="AD947">
        <v>-1.070831433708</v>
      </c>
      <c r="AE947">
        <v>-0.34499999999997</v>
      </c>
      <c r="AF947">
        <v>0.67574113772585498</v>
      </c>
      <c r="AG947">
        <v>-1.070831433708</v>
      </c>
      <c r="AH947">
        <v>28.003352691647599</v>
      </c>
      <c r="AI947">
        <v>92.189252637295496</v>
      </c>
      <c r="AJ947">
        <v>88.617679697149697</v>
      </c>
      <c r="AK947">
        <v>28.0319651115908</v>
      </c>
      <c r="AL947">
        <v>80.026702435645703</v>
      </c>
      <c r="AM947">
        <v>89.650628052362805</v>
      </c>
      <c r="AN947">
        <v>1.00000003647853</v>
      </c>
    </row>
    <row r="948" spans="1:40" x14ac:dyDescent="0.25">
      <c r="A948" t="str">
        <f>"20190303162230391"</f>
        <v>20190303162230391</v>
      </c>
      <c r="B948" t="str">
        <f>"1551601350384881"</f>
        <v>1551601350384881</v>
      </c>
      <c r="C948" t="s">
        <v>40</v>
      </c>
      <c r="D948">
        <v>5.5003479999999998</v>
      </c>
      <c r="E948">
        <v>0.4954539</v>
      </c>
      <c r="F948" t="s">
        <v>41</v>
      </c>
      <c r="G948">
        <v>-261.00560000000002</v>
      </c>
      <c r="H948" s="1">
        <v>-4.2828260000000002E-6</v>
      </c>
      <c r="I948">
        <v>367.12470000000002</v>
      </c>
      <c r="J948">
        <v>-291.07569999999998</v>
      </c>
      <c r="K948">
        <v>1.070827</v>
      </c>
      <c r="L948">
        <v>367.02850000000001</v>
      </c>
      <c r="M948">
        <v>0.99984139999999999</v>
      </c>
      <c r="N948">
        <v>-1.3319070000000001E-2</v>
      </c>
      <c r="O948">
        <v>1.1825799999999999E-2</v>
      </c>
      <c r="P948">
        <v>0.98709740000000001</v>
      </c>
      <c r="Q948">
        <v>0.1599864</v>
      </c>
      <c r="R948">
        <v>6.5762440000000002E-3</v>
      </c>
      <c r="S948">
        <v>3.0567630000000001</v>
      </c>
      <c r="T948">
        <v>-0.1083413</v>
      </c>
      <c r="U948">
        <v>9.9182130000000004E-3</v>
      </c>
      <c r="V948">
        <v>5.1049470000000003E-3</v>
      </c>
      <c r="W948">
        <v>0.17311969999999999</v>
      </c>
      <c r="X948">
        <v>0.98488750000000003</v>
      </c>
      <c r="Y948">
        <v>8.5720509999999903E-3</v>
      </c>
      <c r="Z948">
        <v>-4.7048929999999998E-4</v>
      </c>
      <c r="AA948">
        <v>0.99996320000000005</v>
      </c>
      <c r="AB948">
        <v>28</v>
      </c>
      <c r="AC948">
        <v>30.070099999999901</v>
      </c>
      <c r="AD948">
        <v>-1.070831282826</v>
      </c>
      <c r="AE948">
        <v>9.6200000000010194E-2</v>
      </c>
      <c r="AF948">
        <v>0.25911265800606598</v>
      </c>
      <c r="AG948">
        <v>-1.070831282826</v>
      </c>
      <c r="AH948">
        <v>30.031051012266399</v>
      </c>
      <c r="AI948">
        <v>92.042081349075701</v>
      </c>
      <c r="AJ948">
        <v>89.505655219093896</v>
      </c>
      <c r="AK948">
        <v>30.0512536162332</v>
      </c>
      <c r="AL948">
        <v>80.030744586571998</v>
      </c>
      <c r="AM948">
        <v>89.703022631132896</v>
      </c>
      <c r="AN948">
        <v>0.99999993933410403</v>
      </c>
    </row>
    <row r="949" spans="1:40" x14ac:dyDescent="0.25">
      <c r="A949" t="str">
        <f>"20190303162230404"</f>
        <v>20190303162230404</v>
      </c>
      <c r="B949" t="str">
        <f>"1551601350395616"</f>
        <v>1551601350395616</v>
      </c>
      <c r="C949" t="s">
        <v>40</v>
      </c>
      <c r="D949">
        <v>5.4976960000000004</v>
      </c>
      <c r="E949">
        <v>0.49424810000000002</v>
      </c>
      <c r="F949" t="s">
        <v>41</v>
      </c>
      <c r="G949">
        <v>-259.25490000000002</v>
      </c>
      <c r="H949" s="1">
        <v>-7.6932120000000002E-7</v>
      </c>
      <c r="I949">
        <v>367.62560000000002</v>
      </c>
      <c r="J949">
        <v>-290.91989999999998</v>
      </c>
      <c r="K949">
        <v>1.0708279999999999</v>
      </c>
      <c r="L949">
        <v>367.03030000000001</v>
      </c>
      <c r="M949">
        <v>0.99984150000000005</v>
      </c>
      <c r="N949">
        <v>-1.3316919999999999E-2</v>
      </c>
      <c r="O949">
        <v>1.182563E-2</v>
      </c>
      <c r="P949">
        <v>0.98706369999999999</v>
      </c>
      <c r="Q949">
        <v>0.16017139999999999</v>
      </c>
      <c r="R949">
        <v>7.1373859999999999E-3</v>
      </c>
      <c r="S949">
        <v>3.0555110000000001</v>
      </c>
      <c r="T949">
        <v>-0.1028231</v>
      </c>
      <c r="U949">
        <v>5.7342530000000003E-2</v>
      </c>
      <c r="V949">
        <v>4.543035E-3</v>
      </c>
      <c r="W949">
        <v>0.17330190000000001</v>
      </c>
      <c r="X949">
        <v>0.98485829999999996</v>
      </c>
      <c r="Y949">
        <v>-6.9346690000000001E-3</v>
      </c>
      <c r="Z949" s="1">
        <v>-7.7495719999999999E-5</v>
      </c>
      <c r="AA949">
        <v>0.99997599999999998</v>
      </c>
      <c r="AB949">
        <v>28</v>
      </c>
      <c r="AC949">
        <v>31.6649999999999</v>
      </c>
      <c r="AD949">
        <v>-1.0708287693212</v>
      </c>
      <c r="AE949">
        <v>0.59530000000000804</v>
      </c>
      <c r="AF949">
        <v>-0.22051452865159599</v>
      </c>
      <c r="AG949">
        <v>-1.0708287693212</v>
      </c>
      <c r="AH949">
        <v>31.633661795990399</v>
      </c>
      <c r="AI949">
        <v>91.938727857565496</v>
      </c>
      <c r="AJ949">
        <v>90.399395657998895</v>
      </c>
      <c r="AK949">
        <v>31.652549021108101</v>
      </c>
      <c r="AL949">
        <v>80.020145988949906</v>
      </c>
      <c r="AM949">
        <v>89.735703211876299</v>
      </c>
      <c r="AN949">
        <v>1.00000002939475</v>
      </c>
    </row>
    <row r="950" spans="1:40" x14ac:dyDescent="0.25">
      <c r="A950" t="str">
        <f>"20190303162230417"</f>
        <v>20190303162230417</v>
      </c>
      <c r="B950" t="str">
        <f>"1551601350405376"</f>
        <v>1551601350405376</v>
      </c>
      <c r="C950" t="s">
        <v>40</v>
      </c>
      <c r="D950">
        <v>5.4954450000000001</v>
      </c>
      <c r="E950">
        <v>0.49347259999999998</v>
      </c>
      <c r="F950" t="s">
        <v>41</v>
      </c>
      <c r="G950">
        <v>-258.3032</v>
      </c>
      <c r="H950" s="1">
        <v>-1.056794E-6</v>
      </c>
      <c r="I950">
        <v>367.76240000000001</v>
      </c>
      <c r="J950">
        <v>-290.74939999999998</v>
      </c>
      <c r="K950">
        <v>1.070827</v>
      </c>
      <c r="L950">
        <v>367.03230000000002</v>
      </c>
      <c r="M950">
        <v>0.99984150000000005</v>
      </c>
      <c r="N950">
        <v>-1.331457E-2</v>
      </c>
      <c r="O950">
        <v>1.182565E-2</v>
      </c>
      <c r="P950">
        <v>0.98703439999999998</v>
      </c>
      <c r="Q950">
        <v>0.16032109999999999</v>
      </c>
      <c r="R950">
        <v>7.7677559999999998E-3</v>
      </c>
      <c r="S950">
        <v>3.0550839999999999</v>
      </c>
      <c r="T950">
        <v>-0.1003003</v>
      </c>
      <c r="U950">
        <v>6.8572999999999995E-2</v>
      </c>
      <c r="V950">
        <v>3.9126179999999997E-3</v>
      </c>
      <c r="W950">
        <v>0.17344889999999999</v>
      </c>
      <c r="X950">
        <v>0.98483509999999996</v>
      </c>
      <c r="Y950">
        <v>-1.060881E-2</v>
      </c>
      <c r="Z950" s="1">
        <v>1.409592E-5</v>
      </c>
      <c r="AA950">
        <v>0.99994369999999999</v>
      </c>
      <c r="AB950">
        <v>28</v>
      </c>
      <c r="AC950">
        <v>32.446199999999898</v>
      </c>
      <c r="AD950">
        <v>-1.0708280567940001</v>
      </c>
      <c r="AE950">
        <v>0.73009999999999298</v>
      </c>
      <c r="AF950">
        <v>-0.34594093510573598</v>
      </c>
      <c r="AG950">
        <v>-1.0708280567940001</v>
      </c>
      <c r="AH950">
        <v>32.417274090272699</v>
      </c>
      <c r="AI950">
        <v>91.8918351277825</v>
      </c>
      <c r="AJ950">
        <v>90.611408693065997</v>
      </c>
      <c r="AK950">
        <v>32.436800201340198</v>
      </c>
      <c r="AL950">
        <v>80.011593718593502</v>
      </c>
      <c r="AM950">
        <v>89.772372736495797</v>
      </c>
      <c r="AN950">
        <v>1.0000000018414099</v>
      </c>
    </row>
    <row r="951" spans="1:40" x14ac:dyDescent="0.25">
      <c r="A951" t="str">
        <f>"20190303162230428"</f>
        <v>20190303162230428</v>
      </c>
      <c r="B951" t="str">
        <f>"1551601350415137"</f>
        <v>1551601350415137</v>
      </c>
      <c r="C951" t="s">
        <v>40</v>
      </c>
      <c r="D951">
        <v>5.4345749999999997</v>
      </c>
      <c r="E951">
        <v>0.49278820000000001</v>
      </c>
      <c r="F951" t="s">
        <v>41</v>
      </c>
      <c r="G951">
        <v>-257.87419999999997</v>
      </c>
      <c r="H951" s="1">
        <v>-1.2062589999999999E-6</v>
      </c>
      <c r="I951">
        <v>367.85759999999999</v>
      </c>
      <c r="J951">
        <v>-290.6071</v>
      </c>
      <c r="K951">
        <v>1.070827</v>
      </c>
      <c r="L951">
        <v>367.03399999999999</v>
      </c>
      <c r="M951">
        <v>0.9998416</v>
      </c>
      <c r="N951">
        <v>-1.3312620000000001E-2</v>
      </c>
      <c r="O951">
        <v>1.1825479999999999E-2</v>
      </c>
      <c r="P951">
        <v>0.98704080000000005</v>
      </c>
      <c r="Q951">
        <v>0.1602604</v>
      </c>
      <c r="R951">
        <v>8.2341619999999997E-3</v>
      </c>
      <c r="S951">
        <v>3.0549620000000002</v>
      </c>
      <c r="T951">
        <v>-9.9507689999999996E-2</v>
      </c>
      <c r="U951">
        <v>7.6690670000000002E-2</v>
      </c>
      <c r="V951">
        <v>3.446134E-3</v>
      </c>
      <c r="W951">
        <v>0.1733864</v>
      </c>
      <c r="X951">
        <v>0.98484780000000005</v>
      </c>
      <c r="Y951">
        <v>-1.3263459999999999E-2</v>
      </c>
      <c r="Z951" s="1">
        <v>7.6649859999999997E-5</v>
      </c>
      <c r="AA951">
        <v>0.99991200000000002</v>
      </c>
      <c r="AB951">
        <v>28</v>
      </c>
      <c r="AC951">
        <v>32.732900000000001</v>
      </c>
      <c r="AD951">
        <v>-1.070828206259</v>
      </c>
      <c r="AE951">
        <v>0.823599999999999</v>
      </c>
      <c r="AF951">
        <v>-0.43595962332352201</v>
      </c>
      <c r="AG951">
        <v>-1.070828206259</v>
      </c>
      <c r="AH951">
        <v>32.705371523190003</v>
      </c>
      <c r="AI951">
        <v>91.875122635052506</v>
      </c>
      <c r="AJ951">
        <v>90.763702290881994</v>
      </c>
      <c r="AK951">
        <v>32.725801140848702</v>
      </c>
      <c r="AL951">
        <v>80.015229318310702</v>
      </c>
      <c r="AM951">
        <v>89.799514069095295</v>
      </c>
      <c r="AN951">
        <v>0.99999995435467104</v>
      </c>
    </row>
    <row r="952" spans="1:40" x14ac:dyDescent="0.25">
      <c r="A952" t="str">
        <f>"20190303162230444"</f>
        <v>20190303162230444</v>
      </c>
      <c r="B952" t="str">
        <f>"1551601350435632"</f>
        <v>1551601350435632</v>
      </c>
      <c r="C952" t="s">
        <v>40</v>
      </c>
      <c r="D952">
        <v>5.4508130000000001</v>
      </c>
      <c r="E952">
        <v>0.49138500000000002</v>
      </c>
      <c r="F952" t="s">
        <v>41</v>
      </c>
      <c r="G952">
        <v>-257.8655</v>
      </c>
      <c r="H952" s="1">
        <v>-1.1972139999999999E-6</v>
      </c>
      <c r="I952">
        <v>367.92950000000002</v>
      </c>
      <c r="J952">
        <v>-290.4178</v>
      </c>
      <c r="K952">
        <v>1.070824</v>
      </c>
      <c r="L952">
        <v>367.03629999999998</v>
      </c>
      <c r="M952">
        <v>0.9998416</v>
      </c>
      <c r="N952">
        <v>-1.3310020000000001E-2</v>
      </c>
      <c r="O952">
        <v>1.182568E-2</v>
      </c>
      <c r="P952">
        <v>0.98714469999999999</v>
      </c>
      <c r="Q952">
        <v>0.15957560000000001</v>
      </c>
      <c r="R952">
        <v>9.0179000000000006E-3</v>
      </c>
      <c r="S952">
        <v>3.054932</v>
      </c>
      <c r="T952">
        <v>-9.9912879999999996E-2</v>
      </c>
      <c r="U952">
        <v>8.3557129999999993E-2</v>
      </c>
      <c r="V952">
        <v>2.663767E-3</v>
      </c>
      <c r="W952">
        <v>0.17270070000000001</v>
      </c>
      <c r="X952">
        <v>0.98497069999999998</v>
      </c>
      <c r="Y952">
        <v>-1.5507679999999999E-2</v>
      </c>
      <c r="Z952">
        <v>1.2753969999999999E-4</v>
      </c>
      <c r="AA952">
        <v>0.99987969999999904</v>
      </c>
      <c r="AB952">
        <v>28</v>
      </c>
      <c r="AC952">
        <v>32.552300000000002</v>
      </c>
      <c r="AD952">
        <v>-1.0708251972139999</v>
      </c>
      <c r="AE952">
        <v>0.89320000000003497</v>
      </c>
      <c r="AF952">
        <v>-0.50760151864535896</v>
      </c>
      <c r="AG952">
        <v>-1.0708251972139999</v>
      </c>
      <c r="AH952">
        <v>32.525417189406298</v>
      </c>
      <c r="AI952">
        <v>91.885422379341307</v>
      </c>
      <c r="AJ952">
        <v>90.894102717089496</v>
      </c>
      <c r="AK952">
        <v>32.5469981603473</v>
      </c>
      <c r="AL952">
        <v>80.055118795757394</v>
      </c>
      <c r="AM952">
        <v>89.845048959708393</v>
      </c>
      <c r="AN952">
        <v>0.99999995364680405</v>
      </c>
    </row>
    <row r="953" spans="1:40" x14ac:dyDescent="0.25">
      <c r="A953" t="str">
        <f>"20190303162230466"</f>
        <v>20190303162230466</v>
      </c>
      <c r="B953" t="str">
        <f>"1551601350455152"</f>
        <v>1551601350455152</v>
      </c>
      <c r="C953" t="s">
        <v>40</v>
      </c>
      <c r="D953">
        <v>5.2850630000000001</v>
      </c>
      <c r="E953">
        <v>0.46105839999999998</v>
      </c>
      <c r="F953" t="s">
        <v>41</v>
      </c>
      <c r="G953">
        <v>-258.2482</v>
      </c>
      <c r="H953" s="1">
        <v>-1.0107689999999999E-6</v>
      </c>
      <c r="I953">
        <v>368.05509999999998</v>
      </c>
      <c r="J953">
        <v>-290.13130000000001</v>
      </c>
      <c r="K953">
        <v>1.070819</v>
      </c>
      <c r="L953">
        <v>367.03969999999998</v>
      </c>
      <c r="M953">
        <v>0.9998416</v>
      </c>
      <c r="N953">
        <v>-1.3306119999999999E-2</v>
      </c>
      <c r="O953">
        <v>1.182588E-2</v>
      </c>
      <c r="P953">
        <v>0.98733930000000003</v>
      </c>
      <c r="Q953">
        <v>0.15830849999999999</v>
      </c>
      <c r="R953">
        <v>9.9989250000000005E-3</v>
      </c>
      <c r="S953">
        <v>3.0546259999999998</v>
      </c>
      <c r="T953">
        <v>-0.10167900000000001</v>
      </c>
      <c r="U953">
        <v>9.6740720000000002E-2</v>
      </c>
      <c r="V953">
        <v>1.685179E-3</v>
      </c>
      <c r="W953">
        <v>0.17143249999999999</v>
      </c>
      <c r="X953">
        <v>0.98519440000000003</v>
      </c>
      <c r="Y953">
        <v>-1.981815E-2</v>
      </c>
      <c r="Z953">
        <v>2.2550390000000001E-4</v>
      </c>
      <c r="AA953">
        <v>0.99980360000000001</v>
      </c>
      <c r="AB953">
        <v>28</v>
      </c>
      <c r="AC953">
        <v>31.883099999999999</v>
      </c>
      <c r="AD953">
        <v>-1.070820010769</v>
      </c>
      <c r="AE953">
        <v>1.0153999999999901</v>
      </c>
      <c r="AF953">
        <v>-0.63753149774329299</v>
      </c>
      <c r="AG953">
        <v>-1.070820010769</v>
      </c>
      <c r="AH953">
        <v>31.8569806467554</v>
      </c>
      <c r="AI953">
        <v>91.924793451927698</v>
      </c>
      <c r="AJ953">
        <v>91.146467373314294</v>
      </c>
      <c r="AK953">
        <v>31.881347490873502</v>
      </c>
      <c r="AL953">
        <v>80.128881660199596</v>
      </c>
      <c r="AM953">
        <v>89.901995433329802</v>
      </c>
      <c r="AN953">
        <v>0.99999997383793504</v>
      </c>
    </row>
    <row r="954" spans="1:40" x14ac:dyDescent="0.25">
      <c r="A954" t="str">
        <f>"20190303162230479"</f>
        <v>20190303162230479</v>
      </c>
      <c r="B954" t="str">
        <f>"1551601350464912"</f>
        <v>1551601350464912</v>
      </c>
      <c r="C954" t="s">
        <v>40</v>
      </c>
      <c r="D954">
        <v>5.4728839999999996</v>
      </c>
      <c r="E954">
        <v>0.45533829999999997</v>
      </c>
      <c r="F954" t="s">
        <v>41</v>
      </c>
      <c r="G954">
        <v>-262.47829999999999</v>
      </c>
      <c r="H954" s="1">
        <v>-3.3450019999999998E-6</v>
      </c>
      <c r="I954">
        <v>370.12709999999998</v>
      </c>
      <c r="J954">
        <v>-289.97640000000001</v>
      </c>
      <c r="K954">
        <v>1.0708139999999999</v>
      </c>
      <c r="L954">
        <v>367.04149999999998</v>
      </c>
      <c r="M954">
        <v>0.99984170000000006</v>
      </c>
      <c r="N954">
        <v>-1.330402E-2</v>
      </c>
      <c r="O954">
        <v>1.18259E-2</v>
      </c>
      <c r="P954">
        <v>0.98747790000000002</v>
      </c>
      <c r="Q954">
        <v>0.15740489999999999</v>
      </c>
      <c r="R954">
        <v>1.0558659999999999E-2</v>
      </c>
      <c r="S954">
        <v>3.0539550000000002</v>
      </c>
      <c r="T954">
        <v>-0.1182597</v>
      </c>
      <c r="U954">
        <v>0.34097290000000002</v>
      </c>
      <c r="V954">
        <v>1.1272039999999999E-3</v>
      </c>
      <c r="W954">
        <v>0.17052899999999999</v>
      </c>
      <c r="X954">
        <v>0.98535200000000001</v>
      </c>
      <c r="Y954">
        <v>-9.9103410000000003E-2</v>
      </c>
      <c r="Z954">
        <v>2.27437E-3</v>
      </c>
      <c r="AA954">
        <v>0.99507460000000003</v>
      </c>
      <c r="AB954">
        <v>28</v>
      </c>
      <c r="AC954">
        <v>27.498100000000001</v>
      </c>
      <c r="AD954">
        <v>-1.070817345002</v>
      </c>
      <c r="AE954">
        <v>3.0855999999999901</v>
      </c>
      <c r="AF954">
        <v>-2.7560382731418902</v>
      </c>
      <c r="AG954">
        <v>-1.070817345002</v>
      </c>
      <c r="AH954">
        <v>27.4914991548284</v>
      </c>
      <c r="AI954">
        <v>92.219477906608603</v>
      </c>
      <c r="AJ954">
        <v>95.724806857014997</v>
      </c>
      <c r="AK954">
        <v>27.650043807005201</v>
      </c>
      <c r="AL954">
        <v>80.181422223507496</v>
      </c>
      <c r="AM954">
        <v>89.934455906439794</v>
      </c>
      <c r="AN954">
        <v>0.99999998716692795</v>
      </c>
    </row>
    <row r="955" spans="1:40" x14ac:dyDescent="0.25">
      <c r="A955" t="str">
        <f>"20190303162230491"</f>
        <v>20190303162230491</v>
      </c>
      <c r="B955" t="str">
        <f>"1551601350485408"</f>
        <v>1551601350485408</v>
      </c>
      <c r="C955" t="s">
        <v>40</v>
      </c>
      <c r="D955">
        <v>5.4246100000000004</v>
      </c>
      <c r="E955">
        <v>0.44881280000000001</v>
      </c>
      <c r="F955" t="s">
        <v>41</v>
      </c>
      <c r="G955">
        <v>-266.52260000000001</v>
      </c>
      <c r="H955" s="1">
        <v>-1.5807820000000001E-6</v>
      </c>
      <c r="I955">
        <v>370.0172</v>
      </c>
      <c r="J955">
        <v>-289.8349</v>
      </c>
      <c r="K955">
        <v>1.070811</v>
      </c>
      <c r="L955">
        <v>367.04320000000001</v>
      </c>
      <c r="M955">
        <v>0.9998416</v>
      </c>
      <c r="N955">
        <v>-1.3302090000000001E-2</v>
      </c>
      <c r="O955">
        <v>1.1826089999999999E-2</v>
      </c>
      <c r="P955">
        <v>0.98753820000000003</v>
      </c>
      <c r="Q955">
        <v>0.1569575</v>
      </c>
      <c r="R955">
        <v>1.151776E-2</v>
      </c>
      <c r="S955">
        <v>3.056152</v>
      </c>
      <c r="T955">
        <v>-0.13953279999999901</v>
      </c>
      <c r="U955">
        <v>0.3877563</v>
      </c>
      <c r="V955">
        <v>1.6923050000000001E-4</v>
      </c>
      <c r="W955">
        <v>0.1700807</v>
      </c>
      <c r="X955">
        <v>0.98543009999999998</v>
      </c>
      <c r="Y955">
        <v>-0.1139811</v>
      </c>
      <c r="Z955">
        <v>2.9711889999999999E-3</v>
      </c>
      <c r="AA955">
        <v>0.99347850000000004</v>
      </c>
      <c r="AB955">
        <v>28</v>
      </c>
      <c r="AC955">
        <v>23.3123</v>
      </c>
      <c r="AD955">
        <v>-1.0708125807819999</v>
      </c>
      <c r="AE955">
        <v>2.9739999999999802</v>
      </c>
      <c r="AF955">
        <v>-2.6924844082701598</v>
      </c>
      <c r="AG955">
        <v>-1.0708125807819999</v>
      </c>
      <c r="AH955">
        <v>23.297475779333901</v>
      </c>
      <c r="AI955">
        <v>92.614234879868306</v>
      </c>
      <c r="AJ955">
        <v>96.592414820879199</v>
      </c>
      <c r="AK955">
        <v>23.476977862590999</v>
      </c>
      <c r="AL955">
        <v>80.207488621475505</v>
      </c>
      <c r="AM955">
        <v>89.990160445353098</v>
      </c>
      <c r="AN955">
        <v>0.99999997756873005</v>
      </c>
    </row>
    <row r="956" spans="1:40" x14ac:dyDescent="0.25">
      <c r="A956" t="str">
        <f>"20190303162230502"</f>
        <v>20190303162230502</v>
      </c>
      <c r="B956" t="str">
        <f>"1551601350495169"</f>
        <v>1551601350495169</v>
      </c>
      <c r="C956" t="s">
        <v>40</v>
      </c>
      <c r="D956">
        <v>5.3902219999999996</v>
      </c>
      <c r="E956">
        <v>0.44765519999999998</v>
      </c>
      <c r="F956" t="s">
        <v>41</v>
      </c>
      <c r="G956">
        <v>-270.34649999999999</v>
      </c>
      <c r="H956" s="1">
        <v>-4.1885660000000003E-6</v>
      </c>
      <c r="I956">
        <v>369.8603</v>
      </c>
      <c r="J956">
        <v>-289.67720000000003</v>
      </c>
      <c r="K956">
        <v>1.070808</v>
      </c>
      <c r="L956">
        <v>367.04500000000002</v>
      </c>
      <c r="M956">
        <v>0.9998416</v>
      </c>
      <c r="N956">
        <v>-1.329994E-2</v>
      </c>
      <c r="O956">
        <v>1.1826100000000001E-2</v>
      </c>
      <c r="P956">
        <v>0.98760320000000001</v>
      </c>
      <c r="Q956">
        <v>0.15648110000000001</v>
      </c>
      <c r="R956">
        <v>1.2388949999999999E-2</v>
      </c>
      <c r="S956">
        <v>3.0594480000000002</v>
      </c>
      <c r="T956">
        <v>-0.16810449999999999</v>
      </c>
      <c r="U956">
        <v>0.44226070000000001</v>
      </c>
      <c r="V956">
        <v>-7.0143149999999895E-4</v>
      </c>
      <c r="W956">
        <v>0.169603799999999</v>
      </c>
      <c r="X956">
        <v>0.9855121</v>
      </c>
      <c r="Y956">
        <v>-0.13112179999999901</v>
      </c>
      <c r="Z956">
        <v>3.9689520000000004E-3</v>
      </c>
      <c r="AA956">
        <v>0.99135830000000003</v>
      </c>
      <c r="AB956">
        <v>28</v>
      </c>
      <c r="AC956">
        <v>19.3307</v>
      </c>
      <c r="AD956">
        <v>-1.070812188566</v>
      </c>
      <c r="AE956">
        <v>2.8152999999999699</v>
      </c>
      <c r="AF956">
        <v>-2.5787275027382499</v>
      </c>
      <c r="AG956">
        <v>-1.070812188566</v>
      </c>
      <c r="AH956">
        <v>19.304638265895399</v>
      </c>
      <c r="AI956">
        <v>93.146999433242499</v>
      </c>
      <c r="AJ956">
        <v>97.608569613925098</v>
      </c>
      <c r="AK956">
        <v>19.505525700519598</v>
      </c>
      <c r="AL956">
        <v>80.235216240345295</v>
      </c>
      <c r="AM956">
        <v>90.040779872495904</v>
      </c>
      <c r="AN956">
        <v>1.00000002011349</v>
      </c>
    </row>
    <row r="957" spans="1:40" x14ac:dyDescent="0.25">
      <c r="A957" t="str">
        <f>"20190303162230515"</f>
        <v>20190303162230515</v>
      </c>
      <c r="B957" t="str">
        <f>"1551601350504928"</f>
        <v>1551601350504928</v>
      </c>
      <c r="C957" t="s">
        <v>40</v>
      </c>
      <c r="D957">
        <v>5.3804019999999904</v>
      </c>
      <c r="E957">
        <v>0.44737650000000001</v>
      </c>
      <c r="F957" t="s">
        <v>41</v>
      </c>
      <c r="G957">
        <v>-271.29320000000001</v>
      </c>
      <c r="H957" s="1">
        <v>-3.758013E-6</v>
      </c>
      <c r="I957">
        <v>369.76859999999999</v>
      </c>
      <c r="J957">
        <v>-289.52179999999998</v>
      </c>
      <c r="K957">
        <v>1.0708089999999999</v>
      </c>
      <c r="L957">
        <v>367.04689999999999</v>
      </c>
      <c r="M957">
        <v>0.99984170000000006</v>
      </c>
      <c r="N957">
        <v>-1.329785E-2</v>
      </c>
      <c r="O957">
        <v>1.1826120000000001E-2</v>
      </c>
      <c r="P957">
        <v>0.98761319999999997</v>
      </c>
      <c r="Q957">
        <v>0.1563581</v>
      </c>
      <c r="R957">
        <v>1.313659E-2</v>
      </c>
      <c r="S957">
        <v>3.0602109999999998</v>
      </c>
      <c r="T957">
        <v>-0.17824709999999999</v>
      </c>
      <c r="U957">
        <v>0.45336910000000002</v>
      </c>
      <c r="V957">
        <v>-1.4486499999999999E-3</v>
      </c>
      <c r="W957">
        <v>0.16947880000000001</v>
      </c>
      <c r="X957">
        <v>0.98553279999999999</v>
      </c>
      <c r="Y957">
        <v>-0.134577</v>
      </c>
      <c r="Z957">
        <v>4.2674059999999996E-3</v>
      </c>
      <c r="AA957">
        <v>0.99089400000000005</v>
      </c>
      <c r="AB957">
        <v>28</v>
      </c>
      <c r="AC957">
        <v>18.228599999999901</v>
      </c>
      <c r="AD957">
        <v>-1.070812758013</v>
      </c>
      <c r="AE957">
        <v>2.72169999999999</v>
      </c>
      <c r="AF957">
        <v>-2.49748657527822</v>
      </c>
      <c r="AG957">
        <v>-1.070812758013</v>
      </c>
      <c r="AH957">
        <v>18.198086419228002</v>
      </c>
      <c r="AI957">
        <v>93.336317508994398</v>
      </c>
      <c r="AJ957">
        <v>97.814397401454997</v>
      </c>
      <c r="AK957">
        <v>18.3998485993258</v>
      </c>
      <c r="AL957">
        <v>80.242483526797997</v>
      </c>
      <c r="AM957">
        <v>90.084219897310902</v>
      </c>
      <c r="AN957">
        <v>1.00000003105605</v>
      </c>
    </row>
    <row r="958" spans="1:40" x14ac:dyDescent="0.25">
      <c r="A958" t="str">
        <f>"20190303162230529"</f>
        <v>20190303162230529</v>
      </c>
      <c r="B958" t="str">
        <f>"1551601350515664"</f>
        <v>1551601350515664</v>
      </c>
      <c r="C958" t="s">
        <v>40</v>
      </c>
      <c r="D958">
        <v>5.5181849999999999</v>
      </c>
      <c r="E958">
        <v>0.44738470000000002</v>
      </c>
      <c r="F958" t="s">
        <v>41</v>
      </c>
      <c r="G958">
        <v>-271.85340000000002</v>
      </c>
      <c r="H958" s="1">
        <v>-3.4961930000000001E-6</v>
      </c>
      <c r="I958">
        <v>369.68770000000001</v>
      </c>
      <c r="J958">
        <v>-289.35520000000002</v>
      </c>
      <c r="K958">
        <v>1.0708120000000001</v>
      </c>
      <c r="L958">
        <v>367.0489</v>
      </c>
      <c r="M958">
        <v>0.99984189999999995</v>
      </c>
      <c r="N958">
        <v>-1.3295599999999999E-2</v>
      </c>
      <c r="O958">
        <v>1.1826130000000001E-2</v>
      </c>
      <c r="P958">
        <v>0.98753029999999997</v>
      </c>
      <c r="Q958">
        <v>0.15678520000000001</v>
      </c>
      <c r="R958">
        <v>1.423699E-2</v>
      </c>
      <c r="S958">
        <v>3.0609130000000002</v>
      </c>
      <c r="T958">
        <v>-0.1855086</v>
      </c>
      <c r="U958">
        <v>0.45748899999999998</v>
      </c>
      <c r="V958">
        <v>-2.5499960000000001E-3</v>
      </c>
      <c r="W958">
        <v>0.16990269999999999</v>
      </c>
      <c r="X958">
        <v>0.98545749999999999</v>
      </c>
      <c r="Y958">
        <v>-0.135826799999999</v>
      </c>
      <c r="Z958">
        <v>4.4428230000000003E-3</v>
      </c>
      <c r="AA958">
        <v>0.99072269999999896</v>
      </c>
      <c r="AB958">
        <v>28</v>
      </c>
      <c r="AC958">
        <v>17.501799999999999</v>
      </c>
      <c r="AD958">
        <v>-1.0708154961929901</v>
      </c>
      <c r="AE958">
        <v>2.6387999999999998</v>
      </c>
      <c r="AF958">
        <v>-2.42275093047544</v>
      </c>
      <c r="AG958">
        <v>-1.0708154961929901</v>
      </c>
      <c r="AH958">
        <v>17.467850026856201</v>
      </c>
      <c r="AI958">
        <v>93.474780079763505</v>
      </c>
      <c r="AJ958">
        <v>97.896416408307203</v>
      </c>
      <c r="AK958">
        <v>17.667545173530701</v>
      </c>
      <c r="AL958">
        <v>80.2178376971669</v>
      </c>
      <c r="AM958">
        <v>90.148259749894393</v>
      </c>
      <c r="AN958">
        <v>0.99999995712656897</v>
      </c>
    </row>
    <row r="959" spans="1:40" x14ac:dyDescent="0.25">
      <c r="A959" t="str">
        <f>"20190303162230545"</f>
        <v>20190303162230545</v>
      </c>
      <c r="B959" t="str">
        <f>"1551601350535184"</f>
        <v>1551601350535184</v>
      </c>
      <c r="C959" t="s">
        <v>40</v>
      </c>
      <c r="D959">
        <v>5.4247589999999999</v>
      </c>
      <c r="E959">
        <v>0.44717499999999999</v>
      </c>
      <c r="F959" t="s">
        <v>41</v>
      </c>
      <c r="G959">
        <v>-271.32249999999999</v>
      </c>
      <c r="H959" s="1">
        <v>-3.7429409999999998E-6</v>
      </c>
      <c r="I959">
        <v>369.75909999999999</v>
      </c>
      <c r="J959">
        <v>-289.15100000000001</v>
      </c>
      <c r="K959">
        <v>1.0708120000000001</v>
      </c>
      <c r="L959">
        <v>367.05130000000003</v>
      </c>
      <c r="M959">
        <v>0.99984189999999995</v>
      </c>
      <c r="N959">
        <v>-1.329284E-2</v>
      </c>
      <c r="O959">
        <v>1.1825789999999999E-2</v>
      </c>
      <c r="P959">
        <v>0.98748199999999997</v>
      </c>
      <c r="Q959">
        <v>0.1569595</v>
      </c>
      <c r="R959">
        <v>1.560868E-2</v>
      </c>
      <c r="S959">
        <v>3.06012</v>
      </c>
      <c r="T959">
        <v>-0.18171490000000001</v>
      </c>
      <c r="U959">
        <v>0.45993040000000002</v>
      </c>
      <c r="V959">
        <v>-3.9224619999999998E-3</v>
      </c>
      <c r="W959">
        <v>0.17007369999999999</v>
      </c>
      <c r="X959">
        <v>0.98542359999999896</v>
      </c>
      <c r="Y959">
        <v>-0.1366462</v>
      </c>
      <c r="Z959">
        <v>4.4039869999999998E-3</v>
      </c>
      <c r="AA959">
        <v>0.99061010000000005</v>
      </c>
      <c r="AB959">
        <v>28</v>
      </c>
      <c r="AC959">
        <v>17.828499999999998</v>
      </c>
      <c r="AD959">
        <v>-1.0708157429409999</v>
      </c>
      <c r="AE959">
        <v>2.7077999999999598</v>
      </c>
      <c r="AF959">
        <v>-2.48798303540591</v>
      </c>
      <c r="AG959">
        <v>-1.0708157429409999</v>
      </c>
      <c r="AH959">
        <v>17.796525324133199</v>
      </c>
      <c r="AI959">
        <v>93.410246707556695</v>
      </c>
      <c r="AJ959">
        <v>97.958462140297698</v>
      </c>
      <c r="AK959">
        <v>18.0014727050959</v>
      </c>
      <c r="AL959">
        <v>80.207896439610906</v>
      </c>
      <c r="AM959">
        <v>90.228063678365004</v>
      </c>
      <c r="AN959">
        <v>1.0000000602883901</v>
      </c>
    </row>
    <row r="960" spans="1:40" x14ac:dyDescent="0.25">
      <c r="A960" t="str">
        <f>"20190303162230559"</f>
        <v>20190303162230559</v>
      </c>
      <c r="B960" t="str">
        <f>"1551601350544944"</f>
        <v>1551601350544944</v>
      </c>
      <c r="C960" t="s">
        <v>40</v>
      </c>
      <c r="D960">
        <v>5.3860769999999896</v>
      </c>
      <c r="E960">
        <v>0.44688670000000003</v>
      </c>
      <c r="F960" t="s">
        <v>41</v>
      </c>
      <c r="G960">
        <v>-271.31139999999999</v>
      </c>
      <c r="H960" s="1">
        <v>-3.7504449999999999E-6</v>
      </c>
      <c r="I960">
        <v>369.76940000000002</v>
      </c>
      <c r="J960">
        <v>-288.9683</v>
      </c>
      <c r="K960">
        <v>1.070811</v>
      </c>
      <c r="L960">
        <v>367.05349999999999</v>
      </c>
      <c r="M960">
        <v>0.99984189999999995</v>
      </c>
      <c r="N960">
        <v>-1.3290389999999999E-2</v>
      </c>
      <c r="O960">
        <v>1.182449E-2</v>
      </c>
      <c r="P960">
        <v>0.98741760000000001</v>
      </c>
      <c r="Q960">
        <v>0.1572896</v>
      </c>
      <c r="R960">
        <v>1.632509E-2</v>
      </c>
      <c r="S960">
        <v>3.0598450000000001</v>
      </c>
      <c r="T960">
        <v>-0.18366550000000001</v>
      </c>
      <c r="U960">
        <v>0.46621699999999999</v>
      </c>
      <c r="V960">
        <v>-4.640651E-3</v>
      </c>
      <c r="W960">
        <v>0.17040079999999999</v>
      </c>
      <c r="X960">
        <v>0.98536389999999996</v>
      </c>
      <c r="Y960">
        <v>-0.1386404</v>
      </c>
      <c r="Z960">
        <v>4.5122859999999999E-3</v>
      </c>
      <c r="AA960">
        <v>0.99033249999999995</v>
      </c>
      <c r="AB960">
        <v>28</v>
      </c>
      <c r="AC960">
        <v>17.6569</v>
      </c>
      <c r="AD960">
        <v>-1.0708147504450001</v>
      </c>
      <c r="AE960">
        <v>2.7159000000000302</v>
      </c>
      <c r="AF960">
        <v>-2.4979330343413402</v>
      </c>
      <c r="AG960">
        <v>-1.0708147504450001</v>
      </c>
      <c r="AH960">
        <v>17.624459506247302</v>
      </c>
      <c r="AI960">
        <v>93.442542953833893</v>
      </c>
      <c r="AJ960">
        <v>98.066862075795797</v>
      </c>
      <c r="AK960">
        <v>17.832775626951001</v>
      </c>
      <c r="AL960">
        <v>80.188876693790405</v>
      </c>
      <c r="AM960">
        <v>90.269837113673901</v>
      </c>
      <c r="AN960">
        <v>0.99999999185277599</v>
      </c>
    </row>
    <row r="961" spans="1:40" x14ac:dyDescent="0.25">
      <c r="A961" t="str">
        <f>"20190303162230574"</f>
        <v>20190303162230574</v>
      </c>
      <c r="B961" t="str">
        <f>"1551601350566416"</f>
        <v>1551601350566416</v>
      </c>
      <c r="C961" t="s">
        <v>40</v>
      </c>
      <c r="D961">
        <v>5.4513360000000004</v>
      </c>
      <c r="E961">
        <v>0.44694509999999998</v>
      </c>
      <c r="F961" t="s">
        <v>41</v>
      </c>
      <c r="G961">
        <v>-271.01420000000002</v>
      </c>
      <c r="H961" s="1">
        <v>-3.8901640000000003E-6</v>
      </c>
      <c r="I961">
        <v>369.81529999999998</v>
      </c>
      <c r="J961">
        <v>-288.79410000000001</v>
      </c>
      <c r="K961">
        <v>1.0708089999999999</v>
      </c>
      <c r="L961">
        <v>367.05549999999999</v>
      </c>
      <c r="M961">
        <v>0.99984200000000001</v>
      </c>
      <c r="N961">
        <v>-1.3288070000000001E-2</v>
      </c>
      <c r="O961">
        <v>1.1820900000000001E-2</v>
      </c>
      <c r="P961">
        <v>0.98735779999999995</v>
      </c>
      <c r="Q961">
        <v>0.15763550000000001</v>
      </c>
      <c r="R961">
        <v>1.661559E-2</v>
      </c>
      <c r="S961">
        <v>3.0595089999999998</v>
      </c>
      <c r="T961">
        <v>-0.18247369999999999</v>
      </c>
      <c r="U961">
        <v>0.47064210000000001</v>
      </c>
      <c r="V961">
        <v>-4.9349540000000001E-3</v>
      </c>
      <c r="W961">
        <v>0.1707437</v>
      </c>
      <c r="X961">
        <v>0.98530309999999999</v>
      </c>
      <c r="Y961">
        <v>-0.14005979999999901</v>
      </c>
      <c r="Z961">
        <v>4.5416670000000001E-3</v>
      </c>
      <c r="AA961">
        <v>0.99013260000000003</v>
      </c>
      <c r="AB961">
        <v>28</v>
      </c>
      <c r="AC961">
        <v>17.779899999999898</v>
      </c>
      <c r="AD961">
        <v>-1.0708128901639999</v>
      </c>
      <c r="AE961">
        <v>2.7597999999999798</v>
      </c>
      <c r="AF961">
        <v>-2.5404164474010198</v>
      </c>
      <c r="AG961">
        <v>-1.0708128901639999</v>
      </c>
      <c r="AH961">
        <v>17.748421625609101</v>
      </c>
      <c r="AI961">
        <v>93.417881891014403</v>
      </c>
      <c r="AJ961">
        <v>98.145691107364499</v>
      </c>
      <c r="AK961">
        <v>17.9612590363915</v>
      </c>
      <c r="AL961">
        <v>80.168937670043405</v>
      </c>
      <c r="AM961">
        <v>90.286967200225902</v>
      </c>
      <c r="AN961">
        <v>0.99999998186514005</v>
      </c>
    </row>
    <row r="962" spans="1:40" x14ac:dyDescent="0.25">
      <c r="A962" t="str">
        <f>"20190303162230589"</f>
        <v>20190303162230589</v>
      </c>
      <c r="B962" t="str">
        <f>"1551601350575200"</f>
        <v>1551601350575200</v>
      </c>
      <c r="C962" t="s">
        <v>40</v>
      </c>
      <c r="D962">
        <v>5.5116500000000004</v>
      </c>
      <c r="E962">
        <v>0.44712590000000002</v>
      </c>
      <c r="F962" t="s">
        <v>41</v>
      </c>
      <c r="G962">
        <v>-270.8082</v>
      </c>
      <c r="H962" s="1">
        <v>-3.9807010000000001E-6</v>
      </c>
      <c r="I962">
        <v>369.82339999999999</v>
      </c>
      <c r="J962">
        <v>-288.59989999999999</v>
      </c>
      <c r="K962">
        <v>1.070805</v>
      </c>
      <c r="L962">
        <v>367.05790000000002</v>
      </c>
      <c r="M962">
        <v>0.99984200000000001</v>
      </c>
      <c r="N962">
        <v>-1.3285480000000001E-2</v>
      </c>
      <c r="O962">
        <v>1.1815040000000001E-2</v>
      </c>
      <c r="P962">
        <v>0.98732260000000005</v>
      </c>
      <c r="Q962">
        <v>0.1578447</v>
      </c>
      <c r="R962">
        <v>1.6721429999999999E-2</v>
      </c>
      <c r="S962">
        <v>3.0596009999999998</v>
      </c>
      <c r="T962">
        <v>-0.18215600000000001</v>
      </c>
      <c r="U962">
        <v>0.47085569999999999</v>
      </c>
      <c r="V962">
        <v>-5.0461209999999998E-3</v>
      </c>
      <c r="W962">
        <v>0.17094999999999999</v>
      </c>
      <c r="X962">
        <v>0.9852668</v>
      </c>
      <c r="Y962">
        <v>-0.14012949999999999</v>
      </c>
      <c r="Z962">
        <v>4.5381359999999999E-3</v>
      </c>
      <c r="AA962">
        <v>0.99012279999999997</v>
      </c>
      <c r="AB962">
        <v>28</v>
      </c>
      <c r="AC962">
        <v>17.791699999999899</v>
      </c>
      <c r="AD962">
        <v>-1.0708089807009999</v>
      </c>
      <c r="AE962">
        <v>2.7654999999999701</v>
      </c>
      <c r="AF962">
        <v>-2.5460735765277001</v>
      </c>
      <c r="AG962">
        <v>-1.0708089807009999</v>
      </c>
      <c r="AH962">
        <v>17.760319088603801</v>
      </c>
      <c r="AI962">
        <v>93.415478780284602</v>
      </c>
      <c r="AJ962">
        <v>98.158191047576196</v>
      </c>
      <c r="AK962">
        <v>17.973815862505798</v>
      </c>
      <c r="AL962">
        <v>80.1569415175519</v>
      </c>
      <c r="AM962">
        <v>90.293442251695296</v>
      </c>
      <c r="AN962">
        <v>1.0000000165096901</v>
      </c>
    </row>
    <row r="963" spans="1:40" x14ac:dyDescent="0.25">
      <c r="A963" t="str">
        <f>"20190303162230600"</f>
        <v>20190303162230600</v>
      </c>
      <c r="B963" t="str">
        <f>"1551601350595696"</f>
        <v>1551601350595696</v>
      </c>
      <c r="C963" t="s">
        <v>40</v>
      </c>
      <c r="D963">
        <v>5.4633269999999996</v>
      </c>
      <c r="E963">
        <v>0.44754959999999999</v>
      </c>
      <c r="F963" t="s">
        <v>41</v>
      </c>
      <c r="G963">
        <v>-270.38619999999997</v>
      </c>
      <c r="H963" s="1">
        <v>-4.1694180000000003E-6</v>
      </c>
      <c r="I963">
        <v>369.85230000000001</v>
      </c>
      <c r="J963">
        <v>-288.4563</v>
      </c>
      <c r="K963">
        <v>1.0708040000000001</v>
      </c>
      <c r="L963">
        <v>367.05950000000001</v>
      </c>
      <c r="M963">
        <v>0.99984209999999996</v>
      </c>
      <c r="N963">
        <v>-1.328356E-2</v>
      </c>
      <c r="O963">
        <v>1.1808809999999999E-2</v>
      </c>
      <c r="P963">
        <v>0.98732370000000003</v>
      </c>
      <c r="Q963">
        <v>0.157849499999999</v>
      </c>
      <c r="R963">
        <v>1.6598089999999999E-2</v>
      </c>
      <c r="S963">
        <v>3.059326</v>
      </c>
      <c r="T963">
        <v>-0.17986150000000001</v>
      </c>
      <c r="U963">
        <v>0.4693909</v>
      </c>
      <c r="V963">
        <v>-4.927257E-3</v>
      </c>
      <c r="W963">
        <v>0.1709523</v>
      </c>
      <c r="X963">
        <v>0.985267</v>
      </c>
      <c r="Y963">
        <v>-0.13969300000000001</v>
      </c>
      <c r="Z963">
        <v>4.4796569999999997E-3</v>
      </c>
      <c r="AA963">
        <v>0.99018470000000003</v>
      </c>
      <c r="AB963">
        <v>28</v>
      </c>
      <c r="AC963">
        <v>18.0701</v>
      </c>
      <c r="AD963">
        <v>-1.0708081694180001</v>
      </c>
      <c r="AE963">
        <v>2.7928000000000002</v>
      </c>
      <c r="AF963">
        <v>-2.5703845117378399</v>
      </c>
      <c r="AG963">
        <v>-1.0708081694180001</v>
      </c>
      <c r="AH963">
        <v>18.039951578507001</v>
      </c>
      <c r="AI963">
        <v>93.363067209208694</v>
      </c>
      <c r="AJ963">
        <v>98.109087241611803</v>
      </c>
      <c r="AK963">
        <v>18.253584843223301</v>
      </c>
      <c r="AL963">
        <v>80.156807743586796</v>
      </c>
      <c r="AM963">
        <v>90.286530125579105</v>
      </c>
      <c r="AN963">
        <v>1.0000000140129099</v>
      </c>
    </row>
    <row r="964" spans="1:40" x14ac:dyDescent="0.25">
      <c r="A964" t="str">
        <f>"20190303162230613"</f>
        <v>20190303162230613</v>
      </c>
      <c r="B964" t="str">
        <f>"1551601350605456"</f>
        <v>1551601350605456</v>
      </c>
      <c r="C964" t="s">
        <v>40</v>
      </c>
      <c r="D964">
        <v>5.5128830000000004</v>
      </c>
      <c r="E964">
        <v>0.4476945</v>
      </c>
      <c r="F964" t="s">
        <v>41</v>
      </c>
      <c r="G964">
        <v>-270.68270000000001</v>
      </c>
      <c r="H964" s="1">
        <v>-4.0183769999999999E-6</v>
      </c>
      <c r="I964">
        <v>369.7627</v>
      </c>
      <c r="J964">
        <v>-288.3039</v>
      </c>
      <c r="K964">
        <v>1.070805</v>
      </c>
      <c r="L964">
        <v>367.06130000000002</v>
      </c>
      <c r="M964">
        <v>0.99984220000000001</v>
      </c>
      <c r="N964">
        <v>-1.328154E-2</v>
      </c>
      <c r="O964">
        <v>1.17999E-2</v>
      </c>
      <c r="P964">
        <v>0.98730399999999996</v>
      </c>
      <c r="Q964">
        <v>0.15802140000000001</v>
      </c>
      <c r="R964">
        <v>1.6131799999999901E-2</v>
      </c>
      <c r="S964">
        <v>3.0601500000000001</v>
      </c>
      <c r="T964">
        <v>-0.18436379999999999</v>
      </c>
      <c r="U964">
        <v>0.46542359999999999</v>
      </c>
      <c r="V964">
        <v>-4.4690559999999999E-3</v>
      </c>
      <c r="W964">
        <v>0.17112239999999901</v>
      </c>
      <c r="X964">
        <v>0.98523959999999999</v>
      </c>
      <c r="Y964">
        <v>-0.13839770000000001</v>
      </c>
      <c r="Z964">
        <v>4.5165550000000002E-3</v>
      </c>
      <c r="AA964">
        <v>0.99036650000000004</v>
      </c>
      <c r="AB964">
        <v>28</v>
      </c>
      <c r="AC964">
        <v>17.621199999999899</v>
      </c>
      <c r="AD964">
        <v>-1.070809018377</v>
      </c>
      <c r="AE964">
        <v>2.7013999999999698</v>
      </c>
      <c r="AF964">
        <v>-2.4843018430869899</v>
      </c>
      <c r="AG964">
        <v>-1.070809018377</v>
      </c>
      <c r="AH964">
        <v>17.588393431159101</v>
      </c>
      <c r="AI964">
        <v>93.449797871470295</v>
      </c>
      <c r="AJ964">
        <v>98.039653694385606</v>
      </c>
      <c r="AK964">
        <v>17.795223266108302</v>
      </c>
      <c r="AL964">
        <v>80.146915422679896</v>
      </c>
      <c r="AM964">
        <v>90.259892406948893</v>
      </c>
      <c r="AN964">
        <v>0.99999995882572401</v>
      </c>
    </row>
    <row r="965" spans="1:40" x14ac:dyDescent="0.25">
      <c r="A965" t="str">
        <f>"20190303162230624"</f>
        <v>20190303162230624</v>
      </c>
      <c r="B965" t="str">
        <f>"1551601350615216"</f>
        <v>1551601350615216</v>
      </c>
      <c r="C965" t="s">
        <v>40</v>
      </c>
      <c r="D965">
        <v>5.5131050000000004</v>
      </c>
      <c r="E965">
        <v>0.44779590000000002</v>
      </c>
      <c r="F965" t="s">
        <v>41</v>
      </c>
      <c r="G965">
        <v>-270.3501</v>
      </c>
      <c r="H965" s="1">
        <v>-4.1647019999999998E-6</v>
      </c>
      <c r="I965">
        <v>369.7765</v>
      </c>
      <c r="J965">
        <v>-288.16199999999998</v>
      </c>
      <c r="K965">
        <v>1.0708029999999999</v>
      </c>
      <c r="L965">
        <v>367.06299999999999</v>
      </c>
      <c r="M965">
        <v>0.99984229999999996</v>
      </c>
      <c r="N965">
        <v>-1.327965E-2</v>
      </c>
      <c r="O965">
        <v>1.1790989999999999E-2</v>
      </c>
      <c r="P965">
        <v>0.98728930000000004</v>
      </c>
      <c r="Q965">
        <v>0.15815760000000001</v>
      </c>
      <c r="R965">
        <v>1.5685169999999998E-2</v>
      </c>
      <c r="S965">
        <v>3.0602109999999998</v>
      </c>
      <c r="T965">
        <v>-0.1825176</v>
      </c>
      <c r="U965">
        <v>0.46279910000000002</v>
      </c>
      <c r="V965">
        <v>-4.0301670000000003E-3</v>
      </c>
      <c r="W965">
        <v>0.1712563</v>
      </c>
      <c r="X965">
        <v>0.98521829999999999</v>
      </c>
      <c r="Y965">
        <v>-0.13758010000000001</v>
      </c>
      <c r="Z965">
        <v>4.4528670000000001E-3</v>
      </c>
      <c r="AA965">
        <v>0.99048069999999999</v>
      </c>
      <c r="AB965">
        <v>28</v>
      </c>
      <c r="AC965">
        <v>17.811900000000001</v>
      </c>
      <c r="AD965">
        <v>-1.0708071647020001</v>
      </c>
      <c r="AE965">
        <v>2.7134999999999501</v>
      </c>
      <c r="AF965">
        <v>-2.4944620863948499</v>
      </c>
      <c r="AG965">
        <v>-1.0708071647020001</v>
      </c>
      <c r="AH965">
        <v>17.779858266539598</v>
      </c>
      <c r="AI965">
        <v>93.413176942052502</v>
      </c>
      <c r="AJ965">
        <v>97.986303584818501</v>
      </c>
      <c r="AK965">
        <v>17.985892501142999</v>
      </c>
      <c r="AL965">
        <v>80.1391292838656</v>
      </c>
      <c r="AM965">
        <v>90.234374728805093</v>
      </c>
      <c r="AN965">
        <v>1.0000000305953101</v>
      </c>
    </row>
    <row r="966" spans="1:40" x14ac:dyDescent="0.25">
      <c r="A966" t="str">
        <f>"20190303162230647"</f>
        <v>20190303162230647</v>
      </c>
      <c r="B966" t="str">
        <f>"1551601350635712"</f>
        <v>1551601350635712</v>
      </c>
      <c r="C966" t="s">
        <v>40</v>
      </c>
      <c r="D966">
        <v>5.410628</v>
      </c>
      <c r="E966">
        <v>0.44772820000000002</v>
      </c>
      <c r="F966" t="s">
        <v>41</v>
      </c>
      <c r="G966">
        <v>-269.98250000000002</v>
      </c>
      <c r="H966" s="1">
        <v>-4.3144520000000003E-6</v>
      </c>
      <c r="I966">
        <v>369.79919999999998</v>
      </c>
      <c r="J966">
        <v>-287.88749999999999</v>
      </c>
      <c r="K966">
        <v>1.0707990000000001</v>
      </c>
      <c r="L966">
        <v>367.06619999999998</v>
      </c>
      <c r="M966">
        <v>0.99984260000000003</v>
      </c>
      <c r="N966">
        <v>-1.3276049999999999E-2</v>
      </c>
      <c r="O966">
        <v>1.1770020000000001E-2</v>
      </c>
      <c r="P966">
        <v>0.98738749999999997</v>
      </c>
      <c r="Q966">
        <v>0.15769530000000001</v>
      </c>
      <c r="R966">
        <v>1.40786E-2</v>
      </c>
      <c r="S966">
        <v>3.060181</v>
      </c>
      <c r="T966">
        <v>-0.1802491</v>
      </c>
      <c r="U966">
        <v>0.46060180000000001</v>
      </c>
      <c r="V966">
        <v>-2.441538E-3</v>
      </c>
      <c r="W966">
        <v>0.1707912</v>
      </c>
      <c r="X966">
        <v>0.98530419999999996</v>
      </c>
      <c r="Y966">
        <v>-0.13691449999999999</v>
      </c>
      <c r="Z966">
        <v>4.3878420000000003E-3</v>
      </c>
      <c r="AA966">
        <v>0.99057320000000004</v>
      </c>
      <c r="AB966">
        <v>28</v>
      </c>
      <c r="AC966">
        <v>17.904999999999902</v>
      </c>
      <c r="AD966">
        <v>-1.0708033144519999</v>
      </c>
      <c r="AE966">
        <v>2.7330000000000001</v>
      </c>
      <c r="AF966">
        <v>-2.5132655811724001</v>
      </c>
      <c r="AG966">
        <v>-1.0708033144519999</v>
      </c>
      <c r="AH966">
        <v>17.873459031501799</v>
      </c>
      <c r="AI966">
        <v>93.395184317155696</v>
      </c>
      <c r="AJ966">
        <v>98.004132869568295</v>
      </c>
      <c r="AK966">
        <v>18.081030428892099</v>
      </c>
      <c r="AL966">
        <v>80.166175538295903</v>
      </c>
      <c r="AM966">
        <v>90.141975987316599</v>
      </c>
      <c r="AN966">
        <v>0.99999998082144204</v>
      </c>
    </row>
    <row r="967" spans="1:40" x14ac:dyDescent="0.25">
      <c r="A967" t="str">
        <f>"20190303162230658"</f>
        <v>20190303162230658</v>
      </c>
      <c r="B967" t="str">
        <f>"1551601350645472"</f>
        <v>1551601350645472</v>
      </c>
      <c r="C967" t="s">
        <v>40</v>
      </c>
      <c r="D967">
        <v>5.4186050000000003</v>
      </c>
      <c r="E967">
        <v>0.44760810000000001</v>
      </c>
      <c r="F967" t="s">
        <v>41</v>
      </c>
      <c r="G967">
        <v>-269.85399999999998</v>
      </c>
      <c r="H967" s="1">
        <v>-8.1992720000000002E-8</v>
      </c>
      <c r="I967">
        <v>369.75540000000001</v>
      </c>
      <c r="J967">
        <v>-287.74209999999999</v>
      </c>
      <c r="K967">
        <v>1.070797</v>
      </c>
      <c r="L967">
        <v>367.06790000000001</v>
      </c>
      <c r="M967">
        <v>0.99984280000000003</v>
      </c>
      <c r="N967">
        <v>-1.327419E-2</v>
      </c>
      <c r="O967">
        <v>1.175725E-2</v>
      </c>
      <c r="P967">
        <v>0.98742209999999997</v>
      </c>
      <c r="Q967">
        <v>0.15754270000000001</v>
      </c>
      <c r="R967">
        <v>1.334755E-2</v>
      </c>
      <c r="S967">
        <v>3.060883</v>
      </c>
      <c r="T967">
        <v>-0.18174960000000001</v>
      </c>
      <c r="U967">
        <v>0.45645140000000001</v>
      </c>
      <c r="V967">
        <v>-1.721804E-3</v>
      </c>
      <c r="W967">
        <v>0.1706376</v>
      </c>
      <c r="X967">
        <v>0.9853324</v>
      </c>
      <c r="Y967">
        <v>-0.1355787</v>
      </c>
      <c r="Z967">
        <v>4.3670269999999999E-3</v>
      </c>
      <c r="AA967">
        <v>0.99075690000000005</v>
      </c>
      <c r="AB967">
        <v>28</v>
      </c>
      <c r="AC967">
        <v>17.888099999999898</v>
      </c>
      <c r="AD967">
        <v>-1.0707970819927199</v>
      </c>
      <c r="AE967">
        <v>2.6875</v>
      </c>
      <c r="AF967">
        <v>-2.4683312318388499</v>
      </c>
      <c r="AG967">
        <v>-1.0707970819927199</v>
      </c>
      <c r="AH967">
        <v>17.855892692250599</v>
      </c>
      <c r="AI967">
        <v>93.399599845007899</v>
      </c>
      <c r="AJ967">
        <v>97.870472360016905</v>
      </c>
      <c r="AK967">
        <v>18.057468518539402</v>
      </c>
      <c r="AL967">
        <v>80.175107938105995</v>
      </c>
      <c r="AM967">
        <v>90.100120529819804</v>
      </c>
      <c r="AN967">
        <v>1.00000004681626</v>
      </c>
    </row>
    <row r="968" spans="1:40" x14ac:dyDescent="0.25">
      <c r="A968" t="str">
        <f>"20190303162230671"</f>
        <v>20190303162230671</v>
      </c>
      <c r="B968" t="str">
        <f>"1551601350664993"</f>
        <v>1551601350664993</v>
      </c>
      <c r="C968" t="s">
        <v>40</v>
      </c>
      <c r="D968">
        <v>5.5049849999999996</v>
      </c>
      <c r="E968">
        <v>0.44771509999999998</v>
      </c>
      <c r="F968" t="s">
        <v>41</v>
      </c>
      <c r="G968">
        <v>-269.85300000000001</v>
      </c>
      <c r="H968" s="1">
        <v>-7.4926529999999996E-8</v>
      </c>
      <c r="I968">
        <v>369.72730000000001</v>
      </c>
      <c r="J968">
        <v>-287.58440000000002</v>
      </c>
      <c r="K968">
        <v>1.0707990000000001</v>
      </c>
      <c r="L968">
        <v>367.06970000000001</v>
      </c>
      <c r="M968">
        <v>0.99984289999999998</v>
      </c>
      <c r="N968">
        <v>-1.327222E-2</v>
      </c>
      <c r="O968">
        <v>1.174246E-2</v>
      </c>
      <c r="P968">
        <v>0.98745329999999998</v>
      </c>
      <c r="Q968">
        <v>0.1573821</v>
      </c>
      <c r="R968">
        <v>1.2913020000000001E-2</v>
      </c>
      <c r="S968">
        <v>3.0612789999999999</v>
      </c>
      <c r="T968">
        <v>-0.18324019999999999</v>
      </c>
      <c r="U968">
        <v>0.45510859999999898</v>
      </c>
      <c r="V968">
        <v>-1.3013320000000001E-3</v>
      </c>
      <c r="W968">
        <v>0.1704754</v>
      </c>
      <c r="X968">
        <v>0.98536100000000004</v>
      </c>
      <c r="Y968">
        <v>-0.1351464</v>
      </c>
      <c r="Z968">
        <v>4.378542E-3</v>
      </c>
      <c r="AA968">
        <v>0.99081589999999997</v>
      </c>
      <c r="AB968">
        <v>28</v>
      </c>
      <c r="AC968">
        <v>17.731400000000001</v>
      </c>
      <c r="AD968">
        <v>-1.0707990749265299</v>
      </c>
      <c r="AE968">
        <v>2.6576</v>
      </c>
      <c r="AF968">
        <v>-2.4404833527296401</v>
      </c>
      <c r="AG968">
        <v>-1.0707990749265299</v>
      </c>
      <c r="AH968">
        <v>17.698260213763401</v>
      </c>
      <c r="AI968">
        <v>93.429972010077194</v>
      </c>
      <c r="AJ968">
        <v>97.851229268420994</v>
      </c>
      <c r="AK968">
        <v>17.897792719994701</v>
      </c>
      <c r="AL968">
        <v>80.184538326575193</v>
      </c>
      <c r="AM968">
        <v>90.075668499155896</v>
      </c>
      <c r="AN968">
        <v>0.99999992789556402</v>
      </c>
    </row>
    <row r="969" spans="1:40" x14ac:dyDescent="0.25">
      <c r="A969" t="str">
        <f>"20190303162230684"</f>
        <v>20190303162230684</v>
      </c>
      <c r="B969" t="str">
        <f>"1551601350675728"</f>
        <v>1551601350675728</v>
      </c>
      <c r="C969" t="s">
        <v>40</v>
      </c>
      <c r="D969">
        <v>5.38558</v>
      </c>
      <c r="E969">
        <v>0.44769969999999998</v>
      </c>
      <c r="F969" t="s">
        <v>41</v>
      </c>
      <c r="G969">
        <v>-269.42619999999999</v>
      </c>
      <c r="H969" s="1">
        <v>-2.6561649999999998E-7</v>
      </c>
      <c r="I969">
        <v>369.7559</v>
      </c>
      <c r="J969">
        <v>-287.41739999999999</v>
      </c>
      <c r="K969">
        <v>1.0707979999999999</v>
      </c>
      <c r="L969">
        <v>367.07170000000002</v>
      </c>
      <c r="M969">
        <v>0.99984340000000005</v>
      </c>
      <c r="N969">
        <v>-1.327015E-2</v>
      </c>
      <c r="O969">
        <v>1.1725889999999999E-2</v>
      </c>
      <c r="P969">
        <v>0.98745309999999997</v>
      </c>
      <c r="Q969">
        <v>0.1574509</v>
      </c>
      <c r="R969">
        <v>1.2078419999999999E-2</v>
      </c>
      <c r="S969">
        <v>3.0609739999999999</v>
      </c>
      <c r="T969">
        <v>-0.1805069</v>
      </c>
      <c r="U969">
        <v>0.45281979999999999</v>
      </c>
      <c r="V969">
        <v>-4.8283529999999997E-4</v>
      </c>
      <c r="W969">
        <v>0.17054169999999999</v>
      </c>
      <c r="X969">
        <v>0.98535039999999996</v>
      </c>
      <c r="Y969">
        <v>-0.13446089999999999</v>
      </c>
      <c r="Z969">
        <v>4.305456E-3</v>
      </c>
      <c r="AA969">
        <v>0.9909095</v>
      </c>
      <c r="AB969">
        <v>28</v>
      </c>
      <c r="AC969">
        <v>17.9911999999999</v>
      </c>
      <c r="AD969">
        <v>-1.0707982656164901</v>
      </c>
      <c r="AE969">
        <v>2.6841999999999699</v>
      </c>
      <c r="AF969">
        <v>-2.4644939846043901</v>
      </c>
      <c r="AG969">
        <v>-1.0707982656164901</v>
      </c>
      <c r="AH969">
        <v>17.959207210713998</v>
      </c>
      <c r="AI969">
        <v>93.380551965948101</v>
      </c>
      <c r="AJ969">
        <v>97.813742775932795</v>
      </c>
      <c r="AK969">
        <v>18.159115153640101</v>
      </c>
      <c r="AL969">
        <v>80.180684448801202</v>
      </c>
      <c r="AM969">
        <v>90.028075720754401</v>
      </c>
      <c r="AN969">
        <v>1.0000000576744801</v>
      </c>
    </row>
    <row r="970" spans="1:40" x14ac:dyDescent="0.25">
      <c r="A970" t="str">
        <f>"20190303162230696"</f>
        <v>20190303162230696</v>
      </c>
      <c r="B970" t="str">
        <f>"1551601350685489"</f>
        <v>1551601350685489</v>
      </c>
      <c r="C970" t="s">
        <v>40</v>
      </c>
      <c r="D970">
        <v>5.3578729999999997</v>
      </c>
      <c r="E970">
        <v>0.44774510000000001</v>
      </c>
      <c r="F970" t="s">
        <v>41</v>
      </c>
      <c r="G970">
        <v>-269.12909999999999</v>
      </c>
      <c r="H970" s="1">
        <v>-3.945871E-7</v>
      </c>
      <c r="I970">
        <v>369.76150000000001</v>
      </c>
      <c r="J970">
        <v>-287.27390000000003</v>
      </c>
      <c r="K970">
        <v>1.070797</v>
      </c>
      <c r="L970">
        <v>367.07330000000002</v>
      </c>
      <c r="M970">
        <v>0.9998435</v>
      </c>
      <c r="N970">
        <v>-1.32684E-2</v>
      </c>
      <c r="O970">
        <v>1.171117E-2</v>
      </c>
      <c r="P970">
        <v>0.98739759999999999</v>
      </c>
      <c r="Q970">
        <v>0.15782449999999901</v>
      </c>
      <c r="R970">
        <v>1.174013E-2</v>
      </c>
      <c r="S970">
        <v>3.0612180000000002</v>
      </c>
      <c r="T970">
        <v>-0.17923649999999999</v>
      </c>
      <c r="U970">
        <v>0.4502563</v>
      </c>
      <c r="V970">
        <v>-1.59567E-4</v>
      </c>
      <c r="W970">
        <v>0.17091239999999999</v>
      </c>
      <c r="X970">
        <v>0.9852862</v>
      </c>
      <c r="Y970">
        <v>-0.1336569</v>
      </c>
      <c r="Z970">
        <v>4.2542480000000004E-3</v>
      </c>
      <c r="AA970">
        <v>0.99101850000000002</v>
      </c>
      <c r="AB970">
        <v>28</v>
      </c>
      <c r="AC970">
        <v>18.1448</v>
      </c>
      <c r="AD970">
        <v>-1.0707973945871001</v>
      </c>
      <c r="AE970">
        <v>2.6881999999999899</v>
      </c>
      <c r="AF970">
        <v>-2.4670926045839199</v>
      </c>
      <c r="AG970">
        <v>-1.0707973945871001</v>
      </c>
      <c r="AH970">
        <v>18.113312662474701</v>
      </c>
      <c r="AI970">
        <v>93.352313492735902</v>
      </c>
      <c r="AJ970">
        <v>97.756145835303599</v>
      </c>
      <c r="AK970">
        <v>18.311888176493799</v>
      </c>
      <c r="AL970">
        <v>80.159127703684305</v>
      </c>
      <c r="AM970">
        <v>90.009279045590603</v>
      </c>
      <c r="AN970">
        <v>0.99999998492291298</v>
      </c>
    </row>
    <row r="971" spans="1:40" x14ac:dyDescent="0.25">
      <c r="A971" t="str">
        <f>"20190303162230712"</f>
        <v>20190303162230712</v>
      </c>
      <c r="B971" t="str">
        <f>"1551601350705012"</f>
        <v>1551601350705012</v>
      </c>
      <c r="C971" t="s">
        <v>40</v>
      </c>
      <c r="D971">
        <v>5.387035</v>
      </c>
      <c r="E971">
        <v>0.44785190000000002</v>
      </c>
      <c r="F971" t="s">
        <v>41</v>
      </c>
      <c r="G971">
        <v>-268.72989999999999</v>
      </c>
      <c r="H971" s="1">
        <v>-5.7393769999999998E-7</v>
      </c>
      <c r="I971">
        <v>369.7919</v>
      </c>
      <c r="J971">
        <v>-287.072</v>
      </c>
      <c r="K971">
        <v>1.0707960000000001</v>
      </c>
      <c r="L971">
        <v>367.07569999999998</v>
      </c>
      <c r="M971">
        <v>0.9998437</v>
      </c>
      <c r="N971">
        <v>-1.326592E-2</v>
      </c>
      <c r="O971">
        <v>1.168955E-2</v>
      </c>
      <c r="P971">
        <v>0.98736590000000002</v>
      </c>
      <c r="Q971">
        <v>0.15806010000000001</v>
      </c>
      <c r="R971">
        <v>1.121275E-2</v>
      </c>
      <c r="S971">
        <v>3.0612180000000002</v>
      </c>
      <c r="T971">
        <v>-0.17676539999999999</v>
      </c>
      <c r="U971">
        <v>0.44879150000000001</v>
      </c>
      <c r="V971">
        <v>3.4627570000000002E-4</v>
      </c>
      <c r="W971">
        <v>0.17114499999999999</v>
      </c>
      <c r="X971">
        <v>0.98524579999999995</v>
      </c>
      <c r="Y971">
        <v>-0.13322139999999999</v>
      </c>
      <c r="Z971">
        <v>4.1955220000000001E-3</v>
      </c>
      <c r="AA971">
        <v>0.9910774</v>
      </c>
      <c r="AB971">
        <v>28</v>
      </c>
      <c r="AC971">
        <v>18.342099999999999</v>
      </c>
      <c r="AD971">
        <v>-1.0707965739376999</v>
      </c>
      <c r="AE971">
        <v>2.7162000000000099</v>
      </c>
      <c r="AF971">
        <v>-2.4932695870321302</v>
      </c>
      <c r="AG971">
        <v>-1.0707965739376999</v>
      </c>
      <c r="AH971">
        <v>18.311531666541001</v>
      </c>
      <c r="AI971">
        <v>93.316124033494802</v>
      </c>
      <c r="AJ971">
        <v>97.753623448646493</v>
      </c>
      <c r="AK971">
        <v>18.511488068524098</v>
      </c>
      <c r="AL971">
        <v>80.145601645742204</v>
      </c>
      <c r="AM971">
        <v>89.979862755729499</v>
      </c>
      <c r="AN971">
        <v>1.00000000867475</v>
      </c>
    </row>
    <row r="972" spans="1:40" x14ac:dyDescent="0.25">
      <c r="A972" t="str">
        <f>"20190303162230727"</f>
        <v>20190303162230727</v>
      </c>
      <c r="B972" t="str">
        <f>"1551601350715744"</f>
        <v>1551601350715744</v>
      </c>
      <c r="C972" t="s">
        <v>40</v>
      </c>
      <c r="D972">
        <v>5.2815180000000002</v>
      </c>
      <c r="E972">
        <v>0.44792149999999997</v>
      </c>
      <c r="F972" t="s">
        <v>41</v>
      </c>
      <c r="G972">
        <v>-268.21170000000001</v>
      </c>
      <c r="H972" s="1">
        <v>-8.048718E-7</v>
      </c>
      <c r="I972">
        <v>369.82440000000003</v>
      </c>
      <c r="J972">
        <v>-286.89670000000001</v>
      </c>
      <c r="K972">
        <v>1.0707979999999999</v>
      </c>
      <c r="L972">
        <v>367.07769999999999</v>
      </c>
      <c r="M972">
        <v>0.99984399999999996</v>
      </c>
      <c r="N972">
        <v>-1.3263779999999999E-2</v>
      </c>
      <c r="O972">
        <v>1.167061E-2</v>
      </c>
      <c r="P972">
        <v>0.98738329999999996</v>
      </c>
      <c r="Q972">
        <v>0.15795600000000001</v>
      </c>
      <c r="R972">
        <v>1.1143449999999999E-2</v>
      </c>
      <c r="S972">
        <v>3.0611269999999999</v>
      </c>
      <c r="T972">
        <v>-0.173795799999999</v>
      </c>
      <c r="U972">
        <v>0.44613649999999999</v>
      </c>
      <c r="V972">
        <v>3.9722990000000001E-4</v>
      </c>
      <c r="W972">
        <v>0.17103969999999999</v>
      </c>
      <c r="X972">
        <v>0.98526409999999998</v>
      </c>
      <c r="Y972">
        <v>-0.1324119</v>
      </c>
      <c r="Z972">
        <v>4.1152760000000002E-3</v>
      </c>
      <c r="AA972">
        <v>0.99118629999999996</v>
      </c>
      <c r="AB972">
        <v>28</v>
      </c>
      <c r="AC972">
        <v>18.684999999999999</v>
      </c>
      <c r="AD972">
        <v>-1.0707988048718</v>
      </c>
      <c r="AE972">
        <v>2.7467000000000299</v>
      </c>
      <c r="AF972">
        <v>-2.5203262168599299</v>
      </c>
      <c r="AG972">
        <v>-1.0707988048718</v>
      </c>
      <c r="AH972">
        <v>18.6558122957418</v>
      </c>
      <c r="AI972">
        <v>93.255526355665495</v>
      </c>
      <c r="AJ972">
        <v>97.693851452067506</v>
      </c>
      <c r="AK972">
        <v>18.855714962150302</v>
      </c>
      <c r="AL972">
        <v>80.151725511913796</v>
      </c>
      <c r="AM972">
        <v>89.976900005254194</v>
      </c>
      <c r="AN972">
        <v>1.00000004175824</v>
      </c>
    </row>
    <row r="973" spans="1:40" x14ac:dyDescent="0.25">
      <c r="A973" t="str">
        <f>"20190303162230740"</f>
        <v>20190303162230740</v>
      </c>
      <c r="B973" t="str">
        <f>"1551601350725504"</f>
        <v>1551601350725504</v>
      </c>
      <c r="C973" t="s">
        <v>40</v>
      </c>
      <c r="D973">
        <v>5.2705190000000002</v>
      </c>
      <c r="E973">
        <v>0.44792789999999999</v>
      </c>
      <c r="F973" t="s">
        <v>41</v>
      </c>
      <c r="G973">
        <v>-267.93729999999999</v>
      </c>
      <c r="H973" s="1">
        <v>-9.2606720000000004E-7</v>
      </c>
      <c r="I973">
        <v>369.8374</v>
      </c>
      <c r="J973">
        <v>-286.72859999999997</v>
      </c>
      <c r="K973">
        <v>1.0707960000000001</v>
      </c>
      <c r="L973">
        <v>367.0797</v>
      </c>
      <c r="M973">
        <v>0.99984430000000002</v>
      </c>
      <c r="N973">
        <v>-1.3261719999999999E-2</v>
      </c>
      <c r="O973">
        <v>1.1652869999999999E-2</v>
      </c>
      <c r="P973">
        <v>0.98736769999999996</v>
      </c>
      <c r="Q973">
        <v>0.15805439999999901</v>
      </c>
      <c r="R973">
        <v>1.1145749999999999E-2</v>
      </c>
      <c r="S973">
        <v>3.0609739999999999</v>
      </c>
      <c r="T973">
        <v>-0.17287810000000001</v>
      </c>
      <c r="U973">
        <v>0.44555660000000002</v>
      </c>
      <c r="V973">
        <v>3.7712850000000002E-4</v>
      </c>
      <c r="W973">
        <v>0.1711356</v>
      </c>
      <c r="X973">
        <v>0.9852474</v>
      </c>
      <c r="Y973">
        <v>-0.13225529999999999</v>
      </c>
      <c r="Z973">
        <v>4.0943849999999999E-3</v>
      </c>
      <c r="AA973">
        <v>0.99120719999999995</v>
      </c>
      <c r="AB973">
        <v>28</v>
      </c>
      <c r="AC973">
        <v>18.7912999999999</v>
      </c>
      <c r="AD973">
        <v>-1.0707969260671999</v>
      </c>
      <c r="AE973">
        <v>2.7576999999999998</v>
      </c>
      <c r="AF973">
        <v>-2.5304773512161902</v>
      </c>
      <c r="AG973">
        <v>-1.0707969260671999</v>
      </c>
      <c r="AH973">
        <v>18.762521823008999</v>
      </c>
      <c r="AI973">
        <v>93.237142108993993</v>
      </c>
      <c r="AJ973">
        <v>97.681060629285895</v>
      </c>
      <c r="AK973">
        <v>18.962651366324899</v>
      </c>
      <c r="AL973">
        <v>80.146148080267096</v>
      </c>
      <c r="AM973">
        <v>89.978068584267405</v>
      </c>
      <c r="AN973">
        <v>0.99999998751001196</v>
      </c>
    </row>
    <row r="974" spans="1:40" x14ac:dyDescent="0.25">
      <c r="A974" t="str">
        <f>"20190303162230757"</f>
        <v>20190303162230757</v>
      </c>
      <c r="B974" t="str">
        <f>"1551601350745024"</f>
        <v>1551601350745024</v>
      </c>
      <c r="C974" t="s">
        <v>40</v>
      </c>
      <c r="D974">
        <v>5.2243320000000004</v>
      </c>
      <c r="E974">
        <v>0.44772279999999998</v>
      </c>
      <c r="F974" t="s">
        <v>41</v>
      </c>
      <c r="G974">
        <v>-267.58479999999997</v>
      </c>
      <c r="H974" s="1">
        <v>-1.0849500000000001E-6</v>
      </c>
      <c r="I974">
        <v>369.86619999999999</v>
      </c>
      <c r="J974">
        <v>-286.51420000000002</v>
      </c>
      <c r="K974">
        <v>1.0708</v>
      </c>
      <c r="L974">
        <v>367.08210000000003</v>
      </c>
      <c r="M974">
        <v>0.99984450000000002</v>
      </c>
      <c r="N974">
        <v>-1.3259140000000001E-2</v>
      </c>
      <c r="O974">
        <v>1.163112E-2</v>
      </c>
      <c r="P974">
        <v>0.98734460000000002</v>
      </c>
      <c r="Q974">
        <v>0.15819730000000001</v>
      </c>
      <c r="R974">
        <v>1.116049E-2</v>
      </c>
      <c r="S974">
        <v>3.06073</v>
      </c>
      <c r="T974">
        <v>-0.1711994</v>
      </c>
      <c r="U974">
        <v>0.44552609999999898</v>
      </c>
      <c r="V974">
        <v>3.4056439999999999E-4</v>
      </c>
      <c r="W974">
        <v>0.1712756</v>
      </c>
      <c r="X974">
        <v>0.98522310000000002</v>
      </c>
      <c r="Y974">
        <v>-0.1322825</v>
      </c>
      <c r="Z974">
        <v>4.06662E-3</v>
      </c>
      <c r="AA974">
        <v>0.99120370000000002</v>
      </c>
      <c r="AB974">
        <v>28</v>
      </c>
      <c r="AC974">
        <v>18.929400000000001</v>
      </c>
      <c r="AD974">
        <v>-1.07080108495</v>
      </c>
      <c r="AE974">
        <v>2.7840999999999601</v>
      </c>
      <c r="AF974">
        <v>-2.5557171569010499</v>
      </c>
      <c r="AG974">
        <v>-1.07080108495</v>
      </c>
      <c r="AH974">
        <v>18.9013017148831</v>
      </c>
      <c r="AI974">
        <v>93.213289582206997</v>
      </c>
      <c r="AJ974">
        <v>97.7004789827416</v>
      </c>
      <c r="AK974">
        <v>19.103337710113699</v>
      </c>
      <c r="AL974">
        <v>80.138006606569604</v>
      </c>
      <c r="AM974">
        <v>89.9801944331236</v>
      </c>
      <c r="AN974">
        <v>1.00000000195654</v>
      </c>
    </row>
    <row r="975" spans="1:40" x14ac:dyDescent="0.25">
      <c r="A975" t="str">
        <f>"20190303162230781"</f>
        <v>20190303162230781</v>
      </c>
      <c r="B975" t="str">
        <f>"1551601350775280"</f>
        <v>1551601350775280</v>
      </c>
      <c r="C975" t="s">
        <v>40</v>
      </c>
      <c r="D975">
        <v>5.2115879999999999</v>
      </c>
      <c r="E975">
        <v>0.44754840000000001</v>
      </c>
      <c r="F975" t="s">
        <v>41</v>
      </c>
      <c r="G975">
        <v>-267.30650000000003</v>
      </c>
      <c r="H975" s="1">
        <v>-1.2104089999999999E-6</v>
      </c>
      <c r="I975">
        <v>369.88909999999998</v>
      </c>
      <c r="J975">
        <v>-286.23250000000002</v>
      </c>
      <c r="K975">
        <v>1.070805</v>
      </c>
      <c r="L975">
        <v>367.08530000000002</v>
      </c>
      <c r="M975">
        <v>0.99984490000000004</v>
      </c>
      <c r="N975">
        <v>-1.325572E-2</v>
      </c>
      <c r="O975">
        <v>1.160248E-2</v>
      </c>
      <c r="P975">
        <v>0.98728530000000003</v>
      </c>
      <c r="Q975">
        <v>0.15856799999999999</v>
      </c>
      <c r="R975">
        <v>1.114825E-2</v>
      </c>
      <c r="S975">
        <v>3.0606990000000001</v>
      </c>
      <c r="T975">
        <v>-0.17062929999999901</v>
      </c>
      <c r="U975">
        <v>0.44729609999999898</v>
      </c>
      <c r="V975">
        <v>3.2401190000000001E-4</v>
      </c>
      <c r="W975">
        <v>0.17164199999999999</v>
      </c>
      <c r="X975">
        <v>0.98515929999999996</v>
      </c>
      <c r="Y975">
        <v>-0.13287389999999999</v>
      </c>
      <c r="Z975">
        <v>4.077743E-3</v>
      </c>
      <c r="AA975">
        <v>0.99112460000000002</v>
      </c>
      <c r="AB975">
        <v>28</v>
      </c>
      <c r="AC975">
        <v>18.925999999999899</v>
      </c>
      <c r="AD975">
        <v>-1.0708062104089999</v>
      </c>
      <c r="AE975">
        <v>2.8037999999999599</v>
      </c>
      <c r="AF975">
        <v>-2.5759345966290201</v>
      </c>
      <c r="AG975">
        <v>-1.0708062104089999</v>
      </c>
      <c r="AH975">
        <v>18.8980636500748</v>
      </c>
      <c r="AI975">
        <v>93.213387118231694</v>
      </c>
      <c r="AJ975">
        <v>97.761969001874405</v>
      </c>
      <c r="AK975">
        <v>19.1028499106453</v>
      </c>
      <c r="AL975">
        <v>80.116697496831506</v>
      </c>
      <c r="AM975">
        <v>89.981155825547503</v>
      </c>
      <c r="AN975">
        <v>0.99999996376209999</v>
      </c>
    </row>
    <row r="976" spans="1:40" x14ac:dyDescent="0.25">
      <c r="A976" t="str">
        <f>"20190303162230802"</f>
        <v>20190303162230802</v>
      </c>
      <c r="B976" t="str">
        <f>"1551601350795775"</f>
        <v>1551601350795775</v>
      </c>
      <c r="C976" t="s">
        <v>40</v>
      </c>
      <c r="D976">
        <v>5.1193629999999999</v>
      </c>
      <c r="E976">
        <v>0.44748120000000002</v>
      </c>
      <c r="F976" t="s">
        <v>41</v>
      </c>
      <c r="G976">
        <v>-266.9898</v>
      </c>
      <c r="H976" s="1">
        <v>-1.3508449999999901E-6</v>
      </c>
      <c r="I976">
        <v>369.90629999999999</v>
      </c>
      <c r="J976">
        <v>-285.95749999999998</v>
      </c>
      <c r="K976">
        <v>1.0708009999999999</v>
      </c>
      <c r="L976">
        <v>367.08850000000001</v>
      </c>
      <c r="M976">
        <v>0.99984530000000005</v>
      </c>
      <c r="N976">
        <v>-1.3252359999999999E-2</v>
      </c>
      <c r="O976">
        <v>1.157533E-2</v>
      </c>
      <c r="P976">
        <v>0.98714860000000004</v>
      </c>
      <c r="Q976">
        <v>0.15940299999999999</v>
      </c>
      <c r="R976">
        <v>1.1346810000000001E-2</v>
      </c>
      <c r="S976">
        <v>3.0609130000000002</v>
      </c>
      <c r="T976">
        <v>-0.1703317</v>
      </c>
      <c r="U976">
        <v>0.44873049999999998</v>
      </c>
      <c r="V976" s="1">
        <v>9.7051790000000004E-5</v>
      </c>
      <c r="W976">
        <v>0.17247199999999999</v>
      </c>
      <c r="X976">
        <v>0.98501439999999996</v>
      </c>
      <c r="Y976">
        <v>-0.13334550000000001</v>
      </c>
      <c r="Z976">
        <v>4.0892289999999998E-3</v>
      </c>
      <c r="AA976">
        <v>0.99106119999999998</v>
      </c>
      <c r="AB976">
        <v>28</v>
      </c>
      <c r="AC976">
        <v>18.967699999999901</v>
      </c>
      <c r="AD976">
        <v>-1.070802350845</v>
      </c>
      <c r="AE976">
        <v>2.8177999999999699</v>
      </c>
      <c r="AF976">
        <v>-2.5899584412856198</v>
      </c>
      <c r="AG976">
        <v>-1.070802350845</v>
      </c>
      <c r="AH976">
        <v>18.9399894905387</v>
      </c>
      <c r="AI976">
        <v>93.206089115736106</v>
      </c>
      <c r="AJ976">
        <v>97.786644999049201</v>
      </c>
      <c r="AK976">
        <v>19.146219060270798</v>
      </c>
      <c r="AL976">
        <v>80.068422269880699</v>
      </c>
      <c r="AM976">
        <v>89.994354744516201</v>
      </c>
      <c r="AN976">
        <v>0.99999998420520397</v>
      </c>
    </row>
    <row r="977" spans="1:40" x14ac:dyDescent="0.25">
      <c r="A977" t="str">
        <f>"20190303162230816"</f>
        <v>20190303162230816</v>
      </c>
      <c r="B977" t="str">
        <f>"1551601350805537"</f>
        <v>1551601350805537</v>
      </c>
      <c r="C977" t="s">
        <v>40</v>
      </c>
      <c r="D977">
        <v>5.1293170000000003</v>
      </c>
      <c r="E977">
        <v>0.44747379999999998</v>
      </c>
      <c r="F977" t="s">
        <v>41</v>
      </c>
      <c r="G977">
        <v>-266.26280000000003</v>
      </c>
      <c r="H977" s="1">
        <v>-1.684149E-6</v>
      </c>
      <c r="I977">
        <v>369.98680000000002</v>
      </c>
      <c r="J977">
        <v>-285.80250000000001</v>
      </c>
      <c r="K977">
        <v>1.0708040000000001</v>
      </c>
      <c r="L977">
        <v>367.09030000000001</v>
      </c>
      <c r="M977">
        <v>0.9998454</v>
      </c>
      <c r="N977">
        <v>-1.325048E-2</v>
      </c>
      <c r="O977">
        <v>1.1560259999999999E-2</v>
      </c>
      <c r="P977">
        <v>0.98709800000000003</v>
      </c>
      <c r="Q977">
        <v>0.159720899999999</v>
      </c>
      <c r="R977">
        <v>1.1262360000000001E-2</v>
      </c>
      <c r="S977">
        <v>3.0607600000000001</v>
      </c>
      <c r="T977">
        <v>-0.16641410000000001</v>
      </c>
      <c r="U977">
        <v>0.45043949999999999</v>
      </c>
      <c r="V977">
        <v>1.6591340000000001E-4</v>
      </c>
      <c r="W977">
        <v>0.17278760000000001</v>
      </c>
      <c r="X977">
        <v>0.98495909999999998</v>
      </c>
      <c r="Y977">
        <v>-0.133917799999999</v>
      </c>
      <c r="Z977">
        <v>4.0390130000000002E-3</v>
      </c>
      <c r="AA977">
        <v>0.99098419999999998</v>
      </c>
      <c r="AB977">
        <v>28</v>
      </c>
      <c r="AC977">
        <v>19.5396999999999</v>
      </c>
      <c r="AD977">
        <v>-1.0708056841489999</v>
      </c>
      <c r="AE977">
        <v>2.8965000000000001</v>
      </c>
      <c r="AF977">
        <v>-2.66257822981198</v>
      </c>
      <c r="AG977">
        <v>-1.0708056841489999</v>
      </c>
      <c r="AH977">
        <v>19.514535222683101</v>
      </c>
      <c r="AI977">
        <v>93.112020546182904</v>
      </c>
      <c r="AJ977">
        <v>97.769504777567207</v>
      </c>
      <c r="AK977">
        <v>19.724427307286099</v>
      </c>
      <c r="AL977">
        <v>80.0500643199005</v>
      </c>
      <c r="AM977">
        <v>89.990348698240595</v>
      </c>
      <c r="AN977">
        <v>1.00000000545691</v>
      </c>
    </row>
    <row r="978" spans="1:40" x14ac:dyDescent="0.25">
      <c r="A978" t="str">
        <f>"20190303162230829"</f>
        <v>20190303162230829</v>
      </c>
      <c r="B978" t="str">
        <f>"1551601350825056"</f>
        <v>1551601350825056</v>
      </c>
      <c r="C978" t="s">
        <v>40</v>
      </c>
      <c r="D978">
        <v>5.1422509999999999</v>
      </c>
      <c r="E978">
        <v>0.44738899999999998</v>
      </c>
      <c r="F978" t="s">
        <v>41</v>
      </c>
      <c r="G978">
        <v>-265.86790000000002</v>
      </c>
      <c r="H978" s="1">
        <v>-1.8646459999999999E-6</v>
      </c>
      <c r="I978">
        <v>370.02839999999998</v>
      </c>
      <c r="J978">
        <v>-285.62119999999999</v>
      </c>
      <c r="K978">
        <v>1.0708059999999999</v>
      </c>
      <c r="L978">
        <v>367.09230000000002</v>
      </c>
      <c r="M978">
        <v>0.99984569999999995</v>
      </c>
      <c r="N978">
        <v>-1.324826E-2</v>
      </c>
      <c r="O978">
        <v>1.1542510000000001E-2</v>
      </c>
      <c r="P978">
        <v>0.98709020000000003</v>
      </c>
      <c r="Q978">
        <v>0.15978609999999999</v>
      </c>
      <c r="R978">
        <v>1.102672E-2</v>
      </c>
      <c r="S978">
        <v>3.0606689999999999</v>
      </c>
      <c r="T978">
        <v>-0.16440639999999901</v>
      </c>
      <c r="U978">
        <v>0.45111079999999998</v>
      </c>
      <c r="V978">
        <v>3.8403269999999999E-4</v>
      </c>
      <c r="W978">
        <v>0.17285059999999999</v>
      </c>
      <c r="X978">
        <v>0.98494800000000005</v>
      </c>
      <c r="Y978">
        <v>-0.1341569</v>
      </c>
      <c r="Z978">
        <v>4.0114970000000002E-3</v>
      </c>
      <c r="AA978">
        <v>0.99095200000000006</v>
      </c>
      <c r="AB978">
        <v>28</v>
      </c>
      <c r="AC978">
        <v>19.7532999999999</v>
      </c>
      <c r="AD978">
        <v>-1.070807864646</v>
      </c>
      <c r="AE978">
        <v>2.93609999999995</v>
      </c>
      <c r="AF978">
        <v>-2.7001186009209901</v>
      </c>
      <c r="AG978">
        <v>-1.070807864646</v>
      </c>
      <c r="AH978">
        <v>19.729153477193101</v>
      </c>
      <c r="AI978">
        <v>93.078066495545002</v>
      </c>
      <c r="AJ978">
        <v>97.793046482279607</v>
      </c>
      <c r="AK978">
        <v>19.9418345913476</v>
      </c>
      <c r="AL978">
        <v>80.046399690822</v>
      </c>
      <c r="AM978">
        <v>89.977660290908702</v>
      </c>
      <c r="AN978">
        <v>1.0000000200527299</v>
      </c>
    </row>
    <row r="979" spans="1:40" x14ac:dyDescent="0.25">
      <c r="A979" t="str">
        <f>"20190303162230841"</f>
        <v>20190303162230841</v>
      </c>
      <c r="B979" t="str">
        <f>"1551601350835792"</f>
        <v>1551601350835792</v>
      </c>
      <c r="C979" t="s">
        <v>40</v>
      </c>
      <c r="D979">
        <v>5.1230890000000002</v>
      </c>
      <c r="E979">
        <v>0.44739190000000001</v>
      </c>
      <c r="F979" t="s">
        <v>41</v>
      </c>
      <c r="G979">
        <v>-265.5677</v>
      </c>
      <c r="H979" s="1">
        <v>-1.9986459999999998E-6</v>
      </c>
      <c r="I979">
        <v>370.048</v>
      </c>
      <c r="J979">
        <v>-285.46339999999998</v>
      </c>
      <c r="K979">
        <v>1.0708089999999999</v>
      </c>
      <c r="L979">
        <v>367.09410000000003</v>
      </c>
      <c r="M979">
        <v>0.99984580000000001</v>
      </c>
      <c r="N979">
        <v>-1.3246310000000001E-2</v>
      </c>
      <c r="O979">
        <v>1.1527630000000001E-2</v>
      </c>
      <c r="P979">
        <v>0.98707780000000001</v>
      </c>
      <c r="Q979">
        <v>0.1598947</v>
      </c>
      <c r="R979">
        <v>1.0546E-2</v>
      </c>
      <c r="S979">
        <v>3.0606689999999999</v>
      </c>
      <c r="T979">
        <v>-0.16343189999999999</v>
      </c>
      <c r="U979">
        <v>0.45111079999999998</v>
      </c>
      <c r="V979">
        <v>8.4993089999999905E-4</v>
      </c>
      <c r="W979">
        <v>0.1729562</v>
      </c>
      <c r="X979">
        <v>0.9849291</v>
      </c>
      <c r="Y979">
        <v>-0.13417399999999999</v>
      </c>
      <c r="Z979">
        <v>3.9949470000000004E-3</v>
      </c>
      <c r="AA979">
        <v>0.99094970000000004</v>
      </c>
      <c r="AB979">
        <v>28</v>
      </c>
      <c r="AC979">
        <v>19.895699999999898</v>
      </c>
      <c r="AD979">
        <v>-1.0708109986459999</v>
      </c>
      <c r="AE979">
        <v>2.9538999999999702</v>
      </c>
      <c r="AF979">
        <v>-2.71663368161984</v>
      </c>
      <c r="AG979">
        <v>-1.0708109986459999</v>
      </c>
      <c r="AH979">
        <v>19.872109741889801</v>
      </c>
      <c r="AI979">
        <v>93.056037362101193</v>
      </c>
      <c r="AJ979">
        <v>97.784414667965706</v>
      </c>
      <c r="AK979">
        <v>20.0855042343637</v>
      </c>
      <c r="AL979">
        <v>80.040256039145802</v>
      </c>
      <c r="AM979">
        <v>89.950557414376206</v>
      </c>
      <c r="AN979">
        <v>0.99999995076389103</v>
      </c>
    </row>
    <row r="980" spans="1:40" x14ac:dyDescent="0.25">
      <c r="A980" t="str">
        <f>"20190303162230858"</f>
        <v>20190303162230858</v>
      </c>
      <c r="B980" t="str">
        <f>"1551601350845552"</f>
        <v>1551601350845552</v>
      </c>
      <c r="C980" t="s">
        <v>40</v>
      </c>
      <c r="D980">
        <v>5.1149789999999999</v>
      </c>
      <c r="E980">
        <v>0.44732820000000001</v>
      </c>
      <c r="F980" t="s">
        <v>41</v>
      </c>
      <c r="G980">
        <v>-265.35860000000002</v>
      </c>
      <c r="H980" s="1">
        <v>-2.0892829999999998E-6</v>
      </c>
      <c r="I980">
        <v>370.05149999999998</v>
      </c>
      <c r="J980">
        <v>-285.27330000000001</v>
      </c>
      <c r="K980">
        <v>1.07081</v>
      </c>
      <c r="L980">
        <v>367.09629999999999</v>
      </c>
      <c r="M980">
        <v>0.99984620000000002</v>
      </c>
      <c r="N980">
        <v>-1.3243980000000001E-2</v>
      </c>
      <c r="O980">
        <v>1.150869E-2</v>
      </c>
      <c r="P980">
        <v>0.98704669999999906</v>
      </c>
      <c r="Q980">
        <v>0.1601197</v>
      </c>
      <c r="R980">
        <v>1.004793E-2</v>
      </c>
      <c r="S980">
        <v>3.0608520000000001</v>
      </c>
      <c r="T980">
        <v>-0.16302469999999999</v>
      </c>
      <c r="U980">
        <v>0.4502563</v>
      </c>
      <c r="V980">
        <v>1.328814E-3</v>
      </c>
      <c r="W980">
        <v>0.17317879999999899</v>
      </c>
      <c r="X980">
        <v>0.98488949999999997</v>
      </c>
      <c r="Y980">
        <v>-0.1339148</v>
      </c>
      <c r="Z980">
        <v>3.979458E-3</v>
      </c>
      <c r="AA980">
        <v>0.99098489999999995</v>
      </c>
      <c r="AB980">
        <v>28</v>
      </c>
      <c r="AC980">
        <v>19.9146999999999</v>
      </c>
      <c r="AD980">
        <v>-1.070812089283</v>
      </c>
      <c r="AE980">
        <v>2.9551999999999898</v>
      </c>
      <c r="AF980">
        <v>-2.7181027979335499</v>
      </c>
      <c r="AG980">
        <v>-1.070812089283</v>
      </c>
      <c r="AH980">
        <v>19.891124098223401</v>
      </c>
      <c r="AI980">
        <v>93.053147895903294</v>
      </c>
      <c r="AJ980">
        <v>97.781218698664603</v>
      </c>
      <c r="AK980">
        <v>20.104515394348901</v>
      </c>
      <c r="AL980">
        <v>80.027307034605897</v>
      </c>
      <c r="AM980">
        <v>89.922696517974401</v>
      </c>
      <c r="AN980">
        <v>0.99999999486316804</v>
      </c>
    </row>
    <row r="981" spans="1:40" x14ac:dyDescent="0.25">
      <c r="A981" t="str">
        <f>"20190303162230869"</f>
        <v>20190303162230869</v>
      </c>
      <c r="B981" t="str">
        <f>"1551601350865072"</f>
        <v>1551601350865072</v>
      </c>
      <c r="C981" t="s">
        <v>40</v>
      </c>
      <c r="D981">
        <v>5.1023610000000001</v>
      </c>
      <c r="E981">
        <v>0.44722790000000001</v>
      </c>
      <c r="F981" t="s">
        <v>41</v>
      </c>
      <c r="G981">
        <v>-265.04180000000002</v>
      </c>
      <c r="H981" s="1">
        <v>-2.2283849999999999E-6</v>
      </c>
      <c r="I981">
        <v>370.06360000000001</v>
      </c>
      <c r="J981">
        <v>-285.12389999999999</v>
      </c>
      <c r="K981">
        <v>1.0708009999999999</v>
      </c>
      <c r="L981">
        <v>367.09800000000001</v>
      </c>
      <c r="M981">
        <v>0.99984620000000002</v>
      </c>
      <c r="N981">
        <v>-1.3242159999999999E-2</v>
      </c>
      <c r="O981">
        <v>1.149411E-2</v>
      </c>
      <c r="P981">
        <v>0.98703260000000004</v>
      </c>
      <c r="Q981">
        <v>0.16021099999999999</v>
      </c>
      <c r="R981">
        <v>9.9586859999999996E-3</v>
      </c>
      <c r="S981">
        <v>3.0611570000000001</v>
      </c>
      <c r="T981">
        <v>-0.1620202</v>
      </c>
      <c r="U981">
        <v>0.4489746</v>
      </c>
      <c r="V981">
        <v>1.4034329999999999E-3</v>
      </c>
      <c r="W981">
        <v>0.17326810000000001</v>
      </c>
      <c r="X981">
        <v>0.98487369999999996</v>
      </c>
      <c r="Y981">
        <v>-0.13351199999999999</v>
      </c>
      <c r="Z981">
        <v>3.9483180000000001E-3</v>
      </c>
      <c r="AA981">
        <v>0.99103929999999996</v>
      </c>
      <c r="AB981">
        <v>28</v>
      </c>
      <c r="AC981">
        <v>20.082099999999901</v>
      </c>
      <c r="AD981">
        <v>-1.070803228385</v>
      </c>
      <c r="AE981">
        <v>2.96559999999999</v>
      </c>
      <c r="AF981">
        <v>-2.7269702011244199</v>
      </c>
      <c r="AG981">
        <v>-1.070803228385</v>
      </c>
      <c r="AH981">
        <v>20.059049183211702</v>
      </c>
      <c r="AI981">
        <v>93.027894944933294</v>
      </c>
      <c r="AJ981">
        <v>97.741736404419001</v>
      </c>
      <c r="AK981">
        <v>20.2718632633078</v>
      </c>
      <c r="AL981">
        <v>80.022112082978694</v>
      </c>
      <c r="AM981">
        <v>89.918354268874893</v>
      </c>
      <c r="AN981">
        <v>1.0000000045267401</v>
      </c>
    </row>
    <row r="982" spans="1:40" x14ac:dyDescent="0.25">
      <c r="A982" t="str">
        <f>"20190303162230881"</f>
        <v>20190303162230881</v>
      </c>
      <c r="B982" t="str">
        <f>"1551601350874834"</f>
        <v>1551601350874834</v>
      </c>
      <c r="C982" t="s">
        <v>40</v>
      </c>
      <c r="D982">
        <v>5.1468939999999996</v>
      </c>
      <c r="E982">
        <v>0.44727460000000002</v>
      </c>
      <c r="F982" t="s">
        <v>41</v>
      </c>
      <c r="G982">
        <v>-264.86160000000001</v>
      </c>
      <c r="H982" s="1">
        <v>-2.3089390000000001E-6</v>
      </c>
      <c r="I982">
        <v>370.07569999999998</v>
      </c>
      <c r="J982">
        <v>-284.97070000000002</v>
      </c>
      <c r="K982">
        <v>1.070802</v>
      </c>
      <c r="L982">
        <v>367.09969999999998</v>
      </c>
      <c r="M982">
        <v>0.99984649999999997</v>
      </c>
      <c r="N982">
        <v>-1.32403E-2</v>
      </c>
      <c r="O982">
        <v>1.1479039999999999E-2</v>
      </c>
      <c r="P982">
        <v>0.98704919999999996</v>
      </c>
      <c r="Q982">
        <v>0.1601281</v>
      </c>
      <c r="R982">
        <v>9.6477999999999998E-3</v>
      </c>
      <c r="S982">
        <v>3.0611269999999999</v>
      </c>
      <c r="T982">
        <v>-0.1617709</v>
      </c>
      <c r="U982">
        <v>0.44985960000000003</v>
      </c>
      <c r="V982">
        <v>1.6995949999999999E-3</v>
      </c>
      <c r="W982">
        <v>0.17318349999999999</v>
      </c>
      <c r="X982">
        <v>0.98488810000000004</v>
      </c>
      <c r="Y982">
        <v>-0.13380899999999901</v>
      </c>
      <c r="Z982">
        <v>3.9540560000000001E-3</v>
      </c>
      <c r="AA982">
        <v>0.99099930000000003</v>
      </c>
      <c r="AB982">
        <v>28</v>
      </c>
      <c r="AC982">
        <v>20.109100000000002</v>
      </c>
      <c r="AD982">
        <v>-1.070804308939</v>
      </c>
      <c r="AE982">
        <v>2.9759999999999902</v>
      </c>
      <c r="AF982">
        <v>-2.7373549908247301</v>
      </c>
      <c r="AG982">
        <v>-1.070804308939</v>
      </c>
      <c r="AH982">
        <v>20.086205026000499</v>
      </c>
      <c r="AI982">
        <v>93.023677587161103</v>
      </c>
      <c r="AJ982">
        <v>97.7604809550661</v>
      </c>
      <c r="AK982">
        <v>20.3001321808594</v>
      </c>
      <c r="AL982">
        <v>80.027033578232306</v>
      </c>
      <c r="AM982">
        <v>89.901126306919593</v>
      </c>
      <c r="AN982">
        <v>0.99999999140851203</v>
      </c>
    </row>
    <row r="983" spans="1:40" x14ac:dyDescent="0.25">
      <c r="A983" t="str">
        <f>"20190303162230894"</f>
        <v>20190303162230894</v>
      </c>
      <c r="B983" t="str">
        <f>"1551601350885570"</f>
        <v>1551601350885570</v>
      </c>
      <c r="C983" t="s">
        <v>40</v>
      </c>
      <c r="D983">
        <v>5.0868159999999998</v>
      </c>
      <c r="E983">
        <v>0.44728259999999997</v>
      </c>
      <c r="F983" t="s">
        <v>41</v>
      </c>
      <c r="G983">
        <v>-264.59559999999999</v>
      </c>
      <c r="H983" s="1">
        <v>-2.4255790000000002E-6</v>
      </c>
      <c r="I983">
        <v>370.08530000000002</v>
      </c>
      <c r="J983">
        <v>-284.82380000000001</v>
      </c>
      <c r="K983">
        <v>1.0708040000000001</v>
      </c>
      <c r="L983">
        <v>367.10140000000001</v>
      </c>
      <c r="M983">
        <v>0.99984680000000004</v>
      </c>
      <c r="N983">
        <v>-1.32385E-2</v>
      </c>
      <c r="O983">
        <v>1.146499E-2</v>
      </c>
      <c r="P983">
        <v>0.98705430000000005</v>
      </c>
      <c r="Q983">
        <v>0.1601128</v>
      </c>
      <c r="R983">
        <v>9.4013489999999998E-3</v>
      </c>
      <c r="S983">
        <v>3.0610659999999998</v>
      </c>
      <c r="T983">
        <v>-0.1608726</v>
      </c>
      <c r="U983">
        <v>0.44854739999999999</v>
      </c>
      <c r="V983">
        <v>1.9320100000000001E-3</v>
      </c>
      <c r="W983">
        <v>0.17316609999999999</v>
      </c>
      <c r="X983">
        <v>0.98489079999999996</v>
      </c>
      <c r="Y983">
        <v>-0.1334127</v>
      </c>
      <c r="Z983">
        <v>3.9254429999999998E-3</v>
      </c>
      <c r="AA983">
        <v>0.99105279999999996</v>
      </c>
      <c r="AB983">
        <v>28</v>
      </c>
      <c r="AC983">
        <v>20.228200000000001</v>
      </c>
      <c r="AD983">
        <v>-1.070806425579</v>
      </c>
      <c r="AE983">
        <v>2.9839000000000002</v>
      </c>
      <c r="AF983">
        <v>-2.74424116055703</v>
      </c>
      <c r="AG983">
        <v>-1.070806425579</v>
      </c>
      <c r="AH983">
        <v>20.205668062453601</v>
      </c>
      <c r="AI983">
        <v>93.006025687074896</v>
      </c>
      <c r="AJ983">
        <v>97.734326318358598</v>
      </c>
      <c r="AK983">
        <v>20.419268052464901</v>
      </c>
      <c r="AL983">
        <v>80.0280465034581</v>
      </c>
      <c r="AM983">
        <v>89.887605938659505</v>
      </c>
      <c r="AN983">
        <v>1.0000000593882401</v>
      </c>
    </row>
    <row r="984" spans="1:40" x14ac:dyDescent="0.25">
      <c r="A984" t="str">
        <f>"20190303162230907"</f>
        <v>20190303162230907</v>
      </c>
      <c r="B984" t="str">
        <f>"1551601350895329"</f>
        <v>1551601350895329</v>
      </c>
      <c r="C984" t="s">
        <v>40</v>
      </c>
      <c r="D984">
        <v>5.1595380000000004</v>
      </c>
      <c r="E984">
        <v>0.44725389999999998</v>
      </c>
      <c r="F984" t="s">
        <v>41</v>
      </c>
      <c r="G984">
        <v>-264.36430000000001</v>
      </c>
      <c r="H984" s="1">
        <v>-2.5271310000000001E-6</v>
      </c>
      <c r="I984">
        <v>370.09399999999999</v>
      </c>
      <c r="J984">
        <v>-284.66699999999997</v>
      </c>
      <c r="K984">
        <v>1.070802</v>
      </c>
      <c r="L984">
        <v>367.10320000000002</v>
      </c>
      <c r="M984">
        <v>0.99984689999999998</v>
      </c>
      <c r="N984">
        <v>-1.323658E-2</v>
      </c>
      <c r="O984">
        <v>1.145028E-2</v>
      </c>
      <c r="P984">
        <v>0.98709060000000004</v>
      </c>
      <c r="Q984">
        <v>0.15989790000000001</v>
      </c>
      <c r="R984">
        <v>9.2316700000000008E-3</v>
      </c>
      <c r="S984">
        <v>3.0610659999999998</v>
      </c>
      <c r="T984">
        <v>-0.16020970000000001</v>
      </c>
      <c r="U984">
        <v>0.44775389999999998</v>
      </c>
      <c r="V984">
        <v>2.087598E-3</v>
      </c>
      <c r="W984">
        <v>0.1729501</v>
      </c>
      <c r="X984">
        <v>0.98492840000000004</v>
      </c>
      <c r="Y984">
        <v>-0.13317770000000001</v>
      </c>
      <c r="Z984">
        <v>3.906344E-3</v>
      </c>
      <c r="AA984">
        <v>0.99108450000000003</v>
      </c>
      <c r="AB984">
        <v>28</v>
      </c>
      <c r="AC984">
        <v>20.302700000000002</v>
      </c>
      <c r="AD984">
        <v>-1.0708045271310001</v>
      </c>
      <c r="AE984">
        <v>2.9907999999999699</v>
      </c>
      <c r="AF984">
        <v>-2.7506230079026701</v>
      </c>
      <c r="AG984">
        <v>-1.0708045271310001</v>
      </c>
      <c r="AH984">
        <v>20.2804011780648</v>
      </c>
      <c r="AI984">
        <v>92.995037434353904</v>
      </c>
      <c r="AJ984">
        <v>97.723873415537497</v>
      </c>
      <c r="AK984">
        <v>20.494077710650402</v>
      </c>
      <c r="AL984">
        <v>80.040611629259104</v>
      </c>
      <c r="AM984">
        <v>89.878559319027502</v>
      </c>
      <c r="AN984">
        <v>1.0000000241409801</v>
      </c>
    </row>
    <row r="985" spans="1:40" x14ac:dyDescent="0.25">
      <c r="A985" t="str">
        <f>"20190303162230920"</f>
        <v>20190303162230920</v>
      </c>
      <c r="B985" t="str">
        <f>"1551601350915825"</f>
        <v>1551601350915825</v>
      </c>
      <c r="C985" t="s">
        <v>40</v>
      </c>
      <c r="D985">
        <v>5.1216030000000003</v>
      </c>
      <c r="E985">
        <v>0.44718069999999999</v>
      </c>
      <c r="F985" t="s">
        <v>41</v>
      </c>
      <c r="G985">
        <v>-264.28429999999997</v>
      </c>
      <c r="H985" s="1">
        <v>-2.5583519999999999E-6</v>
      </c>
      <c r="I985">
        <v>370.08229999999998</v>
      </c>
      <c r="J985">
        <v>-284.5027</v>
      </c>
      <c r="K985">
        <v>1.0708029999999999</v>
      </c>
      <c r="L985">
        <v>367.10500000000002</v>
      </c>
      <c r="M985">
        <v>0.99984709999999999</v>
      </c>
      <c r="N985">
        <v>-1.323453E-2</v>
      </c>
      <c r="O985">
        <v>1.143505E-2</v>
      </c>
      <c r="P985">
        <v>0.98706640000000001</v>
      </c>
      <c r="Q985">
        <v>0.16004549999999901</v>
      </c>
      <c r="R985">
        <v>9.2367979999999992E-3</v>
      </c>
      <c r="S985">
        <v>3.0611269999999999</v>
      </c>
      <c r="T985">
        <v>-0.1608154</v>
      </c>
      <c r="U985">
        <v>0.44741819999999999</v>
      </c>
      <c r="V985">
        <v>2.0669780000000001E-3</v>
      </c>
      <c r="W985">
        <v>0.17309530000000001</v>
      </c>
      <c r="X985">
        <v>0.98490290000000003</v>
      </c>
      <c r="Y985">
        <v>-0.13308229999999999</v>
      </c>
      <c r="Z985">
        <v>3.9144469999999997E-3</v>
      </c>
      <c r="AA985">
        <v>0.99109729999999996</v>
      </c>
      <c r="AB985">
        <v>28</v>
      </c>
      <c r="AC985">
        <v>20.218399999999999</v>
      </c>
      <c r="AD985">
        <v>-1.070805558352</v>
      </c>
      <c r="AE985">
        <v>2.9772999999999499</v>
      </c>
      <c r="AF985">
        <v>-2.7383686468002999</v>
      </c>
      <c r="AG985">
        <v>-1.070805558352</v>
      </c>
      <c r="AH985">
        <v>20.195680513574999</v>
      </c>
      <c r="AI985">
        <v>93.007596574136898</v>
      </c>
      <c r="AJ985">
        <v>97.721745816721807</v>
      </c>
      <c r="AK985">
        <v>20.408596198562201</v>
      </c>
      <c r="AL985">
        <v>80.032164531805293</v>
      </c>
      <c r="AM985">
        <v>89.879755718174906</v>
      </c>
      <c r="AN985">
        <v>0.99999998885427599</v>
      </c>
    </row>
    <row r="986" spans="1:40" x14ac:dyDescent="0.25">
      <c r="A986" t="str">
        <f>"20190303162230937"</f>
        <v>20190303162230937</v>
      </c>
      <c r="B986" t="str">
        <f>"1551601350925584"</f>
        <v>1551601350925584</v>
      </c>
      <c r="C986" t="s">
        <v>40</v>
      </c>
      <c r="D986">
        <v>5.1260219999999999</v>
      </c>
      <c r="E986">
        <v>0.44718750000000002</v>
      </c>
      <c r="F986" t="s">
        <v>41</v>
      </c>
      <c r="G986">
        <v>-264.0575</v>
      </c>
      <c r="H986" s="1">
        <v>-2.6600989999999999E-6</v>
      </c>
      <c r="I986">
        <v>370.09910000000002</v>
      </c>
      <c r="J986">
        <v>-284.3109</v>
      </c>
      <c r="K986">
        <v>1.0708070000000001</v>
      </c>
      <c r="L986">
        <v>367.10719999999998</v>
      </c>
      <c r="M986">
        <v>0.99984740000000005</v>
      </c>
      <c r="N986">
        <v>-1.323216E-2</v>
      </c>
      <c r="O986">
        <v>1.141899E-2</v>
      </c>
      <c r="P986">
        <v>0.98707739999999999</v>
      </c>
      <c r="Q986">
        <v>0.15999869999999999</v>
      </c>
      <c r="R986">
        <v>8.8805180000000004E-3</v>
      </c>
      <c r="S986">
        <v>3.061096</v>
      </c>
      <c r="T986">
        <v>-0.1603224</v>
      </c>
      <c r="U986">
        <v>0.44827270000000002</v>
      </c>
      <c r="V986">
        <v>2.4068639999999999E-3</v>
      </c>
      <c r="W986">
        <v>0.173045899999999</v>
      </c>
      <c r="X986">
        <v>0.98491079999999998</v>
      </c>
      <c r="Y986">
        <v>-0.13337109999999999</v>
      </c>
      <c r="Z986">
        <v>3.9154990000000002E-3</v>
      </c>
      <c r="AA986">
        <v>0.99105840000000001</v>
      </c>
      <c r="AB986">
        <v>28</v>
      </c>
      <c r="AC986">
        <v>20.253399999999999</v>
      </c>
      <c r="AD986">
        <v>-1.070809660099</v>
      </c>
      <c r="AE986">
        <v>2.9919000000000402</v>
      </c>
      <c r="AF986">
        <v>-2.7528805184640599</v>
      </c>
      <c r="AG986">
        <v>-1.070809660099</v>
      </c>
      <c r="AH986">
        <v>20.230902979478198</v>
      </c>
      <c r="AI986">
        <v>93.002189000834903</v>
      </c>
      <c r="AJ986">
        <v>97.748819525877295</v>
      </c>
      <c r="AK986">
        <v>20.445400945986801</v>
      </c>
      <c r="AL986">
        <v>80.0350382234991</v>
      </c>
      <c r="AM986">
        <v>89.859984402089594</v>
      </c>
      <c r="AN986">
        <v>0.99999998022888104</v>
      </c>
    </row>
    <row r="987" spans="1:40" x14ac:dyDescent="0.25">
      <c r="A987" t="str">
        <f>"20190303162230950"</f>
        <v>20190303162230950</v>
      </c>
      <c r="B987" t="str">
        <f>"1551601350945106"</f>
        <v>1551601350945106</v>
      </c>
      <c r="C987" t="s">
        <v>40</v>
      </c>
      <c r="D987">
        <v>5.2598609999999999</v>
      </c>
      <c r="E987">
        <v>0.44724849999999999</v>
      </c>
      <c r="F987" t="s">
        <v>41</v>
      </c>
      <c r="G987">
        <v>-263.88799999999998</v>
      </c>
      <c r="H987" s="1">
        <v>-2.7311520000000002E-6</v>
      </c>
      <c r="I987">
        <v>370.09280000000001</v>
      </c>
      <c r="J987">
        <v>-284.13209999999998</v>
      </c>
      <c r="K987">
        <v>1.07081</v>
      </c>
      <c r="L987">
        <v>367.10919999999999</v>
      </c>
      <c r="M987">
        <v>0.99984759999999995</v>
      </c>
      <c r="N987">
        <v>-1.3229950000000001E-2</v>
      </c>
      <c r="O987">
        <v>1.140442E-2</v>
      </c>
      <c r="P987">
        <v>0.98708079999999998</v>
      </c>
      <c r="Q987">
        <v>0.15999469999999999</v>
      </c>
      <c r="R987">
        <v>8.5976980000000008E-3</v>
      </c>
      <c r="S987">
        <v>3.0612789999999999</v>
      </c>
      <c r="T987">
        <v>-0.16050819999999999</v>
      </c>
      <c r="U987">
        <v>0.4475403</v>
      </c>
      <c r="V987">
        <v>2.674765E-3</v>
      </c>
      <c r="W987">
        <v>0.1730399</v>
      </c>
      <c r="X987">
        <v>0.98491119999999999</v>
      </c>
      <c r="Y987">
        <v>-0.13314489999999901</v>
      </c>
      <c r="Z987">
        <v>3.911688E-3</v>
      </c>
      <c r="AA987">
        <v>0.99108890000000005</v>
      </c>
      <c r="AB987">
        <v>28</v>
      </c>
      <c r="AC987">
        <v>20.2441</v>
      </c>
      <c r="AD987">
        <v>-1.0708127311519999</v>
      </c>
      <c r="AE987">
        <v>2.98360000000002</v>
      </c>
      <c r="AF987">
        <v>-2.7449966322979198</v>
      </c>
      <c r="AG987">
        <v>-1.0708127311519999</v>
      </c>
      <c r="AH987">
        <v>20.221437957406199</v>
      </c>
      <c r="AI987">
        <v>93.003730761345096</v>
      </c>
      <c r="AJ987">
        <v>97.730469394353193</v>
      </c>
      <c r="AK987">
        <v>20.434974907783801</v>
      </c>
      <c r="AL987">
        <v>80.035387630053904</v>
      </c>
      <c r="AM987">
        <v>89.844399810935698</v>
      </c>
      <c r="AN987">
        <v>1.0000000166226199</v>
      </c>
    </row>
    <row r="988" spans="1:40" x14ac:dyDescent="0.25">
      <c r="A988" t="str">
        <f>"20190303162230970"</f>
        <v>20190303162230970</v>
      </c>
      <c r="B988" t="str">
        <f>"1551601350954865"</f>
        <v>1551601350954865</v>
      </c>
      <c r="C988" t="s">
        <v>40</v>
      </c>
      <c r="D988">
        <v>5.2544849999999999</v>
      </c>
      <c r="E988">
        <v>0.47830279999999997</v>
      </c>
      <c r="F988" t="s">
        <v>41</v>
      </c>
      <c r="G988">
        <v>-263.64949999999999</v>
      </c>
      <c r="H988" s="1">
        <v>-2.833806E-6</v>
      </c>
      <c r="I988">
        <v>370.0942</v>
      </c>
      <c r="J988">
        <v>-283.89389999999997</v>
      </c>
      <c r="K988">
        <v>1.070811</v>
      </c>
      <c r="L988">
        <v>367.11189999999999</v>
      </c>
      <c r="M988">
        <v>0.99984779999999995</v>
      </c>
      <c r="N988">
        <v>-1.3227030000000001E-2</v>
      </c>
      <c r="O988">
        <v>1.138605E-2</v>
      </c>
      <c r="P988">
        <v>0.98712239999999996</v>
      </c>
      <c r="Q988">
        <v>0.1597662</v>
      </c>
      <c r="R988">
        <v>8.0349180000000003E-3</v>
      </c>
      <c r="S988">
        <v>3.0613100000000002</v>
      </c>
      <c r="T988">
        <v>-0.1600424</v>
      </c>
      <c r="U988">
        <v>0.44613649999999999</v>
      </c>
      <c r="V988">
        <v>3.2191289999999998E-3</v>
      </c>
      <c r="W988">
        <v>0.17280879999999901</v>
      </c>
      <c r="X988">
        <v>0.98495010000000005</v>
      </c>
      <c r="Y988">
        <v>-0.13271849999999999</v>
      </c>
      <c r="Z988">
        <v>3.88996E-3</v>
      </c>
      <c r="AA988">
        <v>0.99114610000000003</v>
      </c>
      <c r="AB988">
        <v>28</v>
      </c>
      <c r="AC988">
        <v>20.244399999999899</v>
      </c>
      <c r="AD988">
        <v>-1.070813833806</v>
      </c>
      <c r="AE988">
        <v>2.9823</v>
      </c>
      <c r="AF988">
        <v>-2.74406844469905</v>
      </c>
      <c r="AG988">
        <v>-1.070813833806</v>
      </c>
      <c r="AH988">
        <v>20.221672384967199</v>
      </c>
      <c r="AI988">
        <v>93.003718059671399</v>
      </c>
      <c r="AJ988">
        <v>97.727798515092005</v>
      </c>
      <c r="AK988">
        <v>20.435082283680899</v>
      </c>
      <c r="AL988">
        <v>80.048830760197902</v>
      </c>
      <c r="AM988">
        <v>89.812739905625094</v>
      </c>
      <c r="AN988">
        <v>0.99999997181948297</v>
      </c>
    </row>
    <row r="989" spans="1:40" x14ac:dyDescent="0.25">
      <c r="A989" t="str">
        <f>"20190303162230991"</f>
        <v>20190303162230991</v>
      </c>
      <c r="B989" t="str">
        <f>"1551601350985120"</f>
        <v>1551601350985120</v>
      </c>
      <c r="C989" t="s">
        <v>40</v>
      </c>
      <c r="D989">
        <v>5.1516190000000002</v>
      </c>
      <c r="E989">
        <v>0.53732230000000003</v>
      </c>
      <c r="F989" t="s">
        <v>41</v>
      </c>
      <c r="G989">
        <v>-234.476</v>
      </c>
      <c r="H989" s="1">
        <v>-2.536117E-6</v>
      </c>
      <c r="I989">
        <v>370.30799999999999</v>
      </c>
      <c r="J989">
        <v>-283.62189999999998</v>
      </c>
      <c r="K989">
        <v>1.070811</v>
      </c>
      <c r="L989">
        <v>367.11500000000001</v>
      </c>
      <c r="M989">
        <v>0.99984799999999996</v>
      </c>
      <c r="N989">
        <v>-1.32237E-2</v>
      </c>
      <c r="O989">
        <v>1.1366670000000001E-2</v>
      </c>
      <c r="P989">
        <v>0.98723280000000002</v>
      </c>
      <c r="Q989">
        <v>0.1591138</v>
      </c>
      <c r="R989">
        <v>7.3632840000000003E-3</v>
      </c>
      <c r="S989">
        <v>3.048187</v>
      </c>
      <c r="T989">
        <v>-6.6049699999999906E-2</v>
      </c>
      <c r="U989">
        <v>0.1971436</v>
      </c>
      <c r="V989">
        <v>3.872328E-3</v>
      </c>
      <c r="W989">
        <v>0.17215449999999999</v>
      </c>
      <c r="X989">
        <v>0.9850624</v>
      </c>
      <c r="Y989">
        <v>-5.3173060000000001E-2</v>
      </c>
      <c r="Z989">
        <v>8.3162479999999896E-4</v>
      </c>
      <c r="AA989">
        <v>0.99858499999999994</v>
      </c>
      <c r="AB989">
        <v>27</v>
      </c>
      <c r="AC989">
        <v>49.145899999999898</v>
      </c>
      <c r="AD989">
        <v>-1.0708135361169999</v>
      </c>
      <c r="AE989">
        <v>3.19300000000004</v>
      </c>
      <c r="AF989">
        <v>-2.6328749675402001</v>
      </c>
      <c r="AG989">
        <v>-1.0708135361169999</v>
      </c>
      <c r="AH989">
        <v>49.155783455541403</v>
      </c>
      <c r="AI989">
        <v>91.246152805738404</v>
      </c>
      <c r="AJ989">
        <v>93.065938570516494</v>
      </c>
      <c r="AK989">
        <v>49.237889062711702</v>
      </c>
      <c r="AL989">
        <v>80.086890567782504</v>
      </c>
      <c r="AM989">
        <v>89.774768676128403</v>
      </c>
      <c r="AN989">
        <v>1.0000000493440699</v>
      </c>
    </row>
    <row r="990" spans="1:40" x14ac:dyDescent="0.25">
      <c r="A990" t="str">
        <f>"20190303162231006"</f>
        <v>20190303162231006</v>
      </c>
      <c r="B990" t="str">
        <f>"1551601350994880"</f>
        <v>1551601350994880</v>
      </c>
      <c r="C990" t="s">
        <v>40</v>
      </c>
      <c r="D990">
        <v>5.1633779999999998</v>
      </c>
      <c r="E990">
        <v>0.54114249999999997</v>
      </c>
      <c r="F990" t="s">
        <v>41</v>
      </c>
      <c r="G990">
        <v>-250.7568</v>
      </c>
      <c r="H990" s="1">
        <v>-4.917019E-6</v>
      </c>
      <c r="I990">
        <v>364.15120000000002</v>
      </c>
      <c r="J990">
        <v>-283.45769999999999</v>
      </c>
      <c r="K990">
        <v>1.070811</v>
      </c>
      <c r="L990">
        <v>367.11680000000001</v>
      </c>
      <c r="M990">
        <v>0.99984819999999996</v>
      </c>
      <c r="N990">
        <v>-1.322167E-2</v>
      </c>
      <c r="O990">
        <v>1.13556E-2</v>
      </c>
      <c r="P990">
        <v>0.98728329999999997</v>
      </c>
      <c r="Q990">
        <v>0.1588117</v>
      </c>
      <c r="R990">
        <v>7.1229739999999998E-3</v>
      </c>
      <c r="S990">
        <v>3.056915</v>
      </c>
      <c r="T990">
        <v>-9.9600670000000002E-2</v>
      </c>
      <c r="U990">
        <v>-0.2756653</v>
      </c>
      <c r="V990">
        <v>4.1020880000000003E-3</v>
      </c>
      <c r="W990">
        <v>0.17185149999999999</v>
      </c>
      <c r="X990">
        <v>0.9851143</v>
      </c>
      <c r="Y990">
        <v>0.10104100000000001</v>
      </c>
      <c r="Z990">
        <v>-2.531274E-3</v>
      </c>
      <c r="AA990">
        <v>0.99487910000000002</v>
      </c>
      <c r="AB990">
        <v>27</v>
      </c>
      <c r="AC990">
        <v>32.700899999999898</v>
      </c>
      <c r="AD990">
        <v>-1.0708159170189999</v>
      </c>
      <c r="AE990">
        <v>-2.96559999999999</v>
      </c>
      <c r="AF990">
        <v>3.33323449955672</v>
      </c>
      <c r="AG990">
        <v>-1.0708159170189999</v>
      </c>
      <c r="AH990">
        <v>32.630408391724103</v>
      </c>
      <c r="AI990">
        <v>91.869849105307097</v>
      </c>
      <c r="AJ990">
        <v>84.167400215040999</v>
      </c>
      <c r="AK990">
        <v>32.817688077740598</v>
      </c>
      <c r="AL990">
        <v>80.104513091023307</v>
      </c>
      <c r="AM990">
        <v>89.761417562248994</v>
      </c>
      <c r="AN990">
        <v>0.99999997462134904</v>
      </c>
    </row>
    <row r="991" spans="1:40" x14ac:dyDescent="0.25">
      <c r="A991" t="str">
        <f>"20190303162231025"</f>
        <v>20190303162231025</v>
      </c>
      <c r="B991" t="str">
        <f>"1551601351015376"</f>
        <v>1551601351015376</v>
      </c>
      <c r="C991" t="s">
        <v>40</v>
      </c>
      <c r="D991">
        <v>5.0770549999999997</v>
      </c>
      <c r="E991">
        <v>0.544261199999999</v>
      </c>
      <c r="F991" t="s">
        <v>41</v>
      </c>
      <c r="G991">
        <v>-254.1953</v>
      </c>
      <c r="H991" s="1">
        <v>-3.4360359999999902E-6</v>
      </c>
      <c r="I991">
        <v>364.18450000000001</v>
      </c>
      <c r="J991">
        <v>-283.22070000000002</v>
      </c>
      <c r="K991">
        <v>1.0708120000000001</v>
      </c>
      <c r="L991">
        <v>367.11950000000002</v>
      </c>
      <c r="M991">
        <v>0.99984839999999997</v>
      </c>
      <c r="N991">
        <v>-1.321875E-2</v>
      </c>
      <c r="O991">
        <v>1.134019E-2</v>
      </c>
      <c r="P991">
        <v>0.98739219999999905</v>
      </c>
      <c r="Q991">
        <v>0.1581747</v>
      </c>
      <c r="R991">
        <v>6.1216659999999996E-3</v>
      </c>
      <c r="S991">
        <v>3.0588679999999999</v>
      </c>
      <c r="T991">
        <v>-0.1119344</v>
      </c>
      <c r="U991">
        <v>-0.30651859999999997</v>
      </c>
      <c r="V991">
        <v>5.0891469999999996E-3</v>
      </c>
      <c r="W991">
        <v>0.17121259999999999</v>
      </c>
      <c r="X991">
        <v>0.98522100000000001</v>
      </c>
      <c r="Y991">
        <v>0.1108821</v>
      </c>
      <c r="Z991">
        <v>-3.0224620000000001E-3</v>
      </c>
      <c r="AA991">
        <v>0.99382899999999996</v>
      </c>
      <c r="AB991">
        <v>27</v>
      </c>
      <c r="AC991">
        <v>29.025400000000001</v>
      </c>
      <c r="AD991">
        <v>-1.070815436036</v>
      </c>
      <c r="AE991">
        <v>-2.9350000000000001</v>
      </c>
      <c r="AF991">
        <v>3.2596019615540199</v>
      </c>
      <c r="AG991">
        <v>-1.070815436036</v>
      </c>
      <c r="AH991">
        <v>28.951241770086501</v>
      </c>
      <c r="AI991">
        <v>92.104937829993702</v>
      </c>
      <c r="AJ991">
        <v>83.576157007916507</v>
      </c>
      <c r="AK991">
        <v>29.153834236268501</v>
      </c>
      <c r="AL991">
        <v>80.141670701544399</v>
      </c>
      <c r="AM991">
        <v>89.704041985436803</v>
      </c>
      <c r="AN991">
        <v>1.00000003632847</v>
      </c>
    </row>
    <row r="992" spans="1:40" x14ac:dyDescent="0.25">
      <c r="A992" t="str">
        <f>"20190303162231037"</f>
        <v>20190303162231037</v>
      </c>
      <c r="B992" t="str">
        <f>"1551601351025137"</f>
        <v>1551601351025137</v>
      </c>
      <c r="C992" t="s">
        <v>40</v>
      </c>
      <c r="D992">
        <v>5.132676</v>
      </c>
      <c r="E992">
        <v>0.54422799999999905</v>
      </c>
      <c r="F992" t="s">
        <v>41</v>
      </c>
      <c r="G992">
        <v>-256.16019999999997</v>
      </c>
      <c r="H992" s="1">
        <v>-2.7447729999999999E-6</v>
      </c>
      <c r="I992">
        <v>364.1592</v>
      </c>
      <c r="J992">
        <v>-283.06670000000003</v>
      </c>
      <c r="K992">
        <v>1.0708089999999999</v>
      </c>
      <c r="L992">
        <v>367.12119999999999</v>
      </c>
      <c r="M992">
        <v>0.99984850000000003</v>
      </c>
      <c r="N992">
        <v>-1.321694E-2</v>
      </c>
      <c r="O992">
        <v>1.133049E-2</v>
      </c>
      <c r="P992">
        <v>0.98737739999999996</v>
      </c>
      <c r="Q992">
        <v>0.15828029999999901</v>
      </c>
      <c r="R992">
        <v>5.771244E-3</v>
      </c>
      <c r="S992">
        <v>3.0597840000000001</v>
      </c>
      <c r="T992">
        <v>-0.12107859999999999</v>
      </c>
      <c r="U992">
        <v>-0.33471679999999998</v>
      </c>
      <c r="V992">
        <v>5.4297859999999998E-3</v>
      </c>
      <c r="W992">
        <v>0.171316</v>
      </c>
      <c r="X992">
        <v>0.9852012</v>
      </c>
      <c r="Y992">
        <v>0.11987299999999999</v>
      </c>
      <c r="Z992">
        <v>-3.4564090000000001E-3</v>
      </c>
      <c r="AA992">
        <v>0.99278319999999998</v>
      </c>
      <c r="AB992">
        <v>27</v>
      </c>
      <c r="AC992">
        <v>26.906500000000001</v>
      </c>
      <c r="AD992">
        <v>-1.0708117447729999</v>
      </c>
      <c r="AE992">
        <v>-2.9619999999999802</v>
      </c>
      <c r="AF992">
        <v>3.2615962775944598</v>
      </c>
      <c r="AG992">
        <v>-1.0708117447729999</v>
      </c>
      <c r="AH992">
        <v>26.829224219501299</v>
      </c>
      <c r="AI992">
        <v>92.268897202651402</v>
      </c>
      <c r="AJ992">
        <v>83.068634123719605</v>
      </c>
      <c r="AK992">
        <v>27.047955935542301</v>
      </c>
      <c r="AL992">
        <v>80.135657404982396</v>
      </c>
      <c r="AM992">
        <v>89.684226255920393</v>
      </c>
      <c r="AN992">
        <v>1.00000002945672</v>
      </c>
    </row>
    <row r="993" spans="1:40" x14ac:dyDescent="0.25">
      <c r="A993" t="str">
        <f>"20190303162231048"</f>
        <v>20190303162231048</v>
      </c>
      <c r="B993" t="str">
        <f>"1551601351034896"</f>
        <v>1551601351034896</v>
      </c>
      <c r="C993" t="s">
        <v>40</v>
      </c>
      <c r="D993">
        <v>5.1166460000000002</v>
      </c>
      <c r="E993">
        <v>0.54458769999999901</v>
      </c>
      <c r="F993" t="s">
        <v>41</v>
      </c>
      <c r="G993">
        <v>-257.48090000000002</v>
      </c>
      <c r="H993" s="1">
        <v>-2.2537870000000002E-6</v>
      </c>
      <c r="I993">
        <v>364.31540000000001</v>
      </c>
      <c r="J993">
        <v>-282.9289</v>
      </c>
      <c r="K993">
        <v>1.07081</v>
      </c>
      <c r="L993">
        <v>367.12279999999998</v>
      </c>
      <c r="M993">
        <v>0.99984870000000003</v>
      </c>
      <c r="N993">
        <v>-1.3215279999999999E-2</v>
      </c>
      <c r="O993">
        <v>1.1321619999999999E-2</v>
      </c>
      <c r="P993">
        <v>0.98740779999999995</v>
      </c>
      <c r="Q993">
        <v>0.1581042</v>
      </c>
      <c r="R993">
        <v>5.3905130000000004E-3</v>
      </c>
      <c r="S993">
        <v>3.0608219999999999</v>
      </c>
      <c r="T993">
        <v>-0.1281002</v>
      </c>
      <c r="U993">
        <v>-0.33566279999999998</v>
      </c>
      <c r="V993">
        <v>5.8020069999999997E-3</v>
      </c>
      <c r="W993">
        <v>0.17113889999999901</v>
      </c>
      <c r="X993">
        <v>0.98522980000000004</v>
      </c>
      <c r="Y993">
        <v>0.12011719999999999</v>
      </c>
      <c r="Z993">
        <v>-3.6246590000000001E-3</v>
      </c>
      <c r="AA993">
        <v>0.99275310000000005</v>
      </c>
      <c r="AB993">
        <v>27</v>
      </c>
      <c r="AC993">
        <v>25.447999999999901</v>
      </c>
      <c r="AD993">
        <v>-1.070812253787</v>
      </c>
      <c r="AE993">
        <v>-2.8073999999999701</v>
      </c>
      <c r="AF993">
        <v>3.0899524779291898</v>
      </c>
      <c r="AG993">
        <v>-1.070812253787</v>
      </c>
      <c r="AH993">
        <v>25.3702013815494</v>
      </c>
      <c r="AI993">
        <v>92.399167846627705</v>
      </c>
      <c r="AJ993">
        <v>83.055887173519494</v>
      </c>
      <c r="AK993">
        <v>25.580100925115399</v>
      </c>
      <c r="AL993">
        <v>80.145956024565606</v>
      </c>
      <c r="AM993">
        <v>89.662589711590101</v>
      </c>
      <c r="AN993">
        <v>0.99999997259323803</v>
      </c>
    </row>
    <row r="994" spans="1:40" x14ac:dyDescent="0.25">
      <c r="A994" t="str">
        <f>"20190303162231069"</f>
        <v>20190303162231069</v>
      </c>
      <c r="B994" t="str">
        <f>"1551601351065153"</f>
        <v>1551601351065153</v>
      </c>
      <c r="C994" t="s">
        <v>40</v>
      </c>
      <c r="D994">
        <v>5.1449049999999996</v>
      </c>
      <c r="E994">
        <v>0.54632190000000003</v>
      </c>
      <c r="F994" t="s">
        <v>41</v>
      </c>
      <c r="G994">
        <v>-258.20409999999998</v>
      </c>
      <c r="H994" s="1">
        <v>-1.990359E-6</v>
      </c>
      <c r="I994">
        <v>364.38049999999998</v>
      </c>
      <c r="J994">
        <v>-282.68119999999999</v>
      </c>
      <c r="K994">
        <v>1.070805</v>
      </c>
      <c r="L994">
        <v>367.12549999999999</v>
      </c>
      <c r="M994">
        <v>0.99984879999999998</v>
      </c>
      <c r="N994">
        <v>-1.321222E-2</v>
      </c>
      <c r="O994">
        <v>1.130573E-2</v>
      </c>
      <c r="P994">
        <v>0.98750020000000005</v>
      </c>
      <c r="Q994">
        <v>0.15755039999999901</v>
      </c>
      <c r="R994">
        <v>4.607575E-3</v>
      </c>
      <c r="S994">
        <v>3.06134</v>
      </c>
      <c r="T994">
        <v>-0.13258399999999901</v>
      </c>
      <c r="U994">
        <v>-0.33953860000000002</v>
      </c>
      <c r="V994">
        <v>6.5702039999999996E-3</v>
      </c>
      <c r="W994">
        <v>0.17058299999999901</v>
      </c>
      <c r="X994">
        <v>0.98532140000000001</v>
      </c>
      <c r="Y994">
        <v>0.12131450000000001</v>
      </c>
      <c r="Z994">
        <v>-3.7612850000000001E-3</v>
      </c>
      <c r="AA994">
        <v>0.99260700000000002</v>
      </c>
      <c r="AB994">
        <v>27</v>
      </c>
      <c r="AC994">
        <v>24.4771</v>
      </c>
      <c r="AD994">
        <v>-1.0708069903590001</v>
      </c>
      <c r="AE994">
        <v>-2.7450000000000001</v>
      </c>
      <c r="AF994">
        <v>3.0158799905259102</v>
      </c>
      <c r="AG994">
        <v>-1.0708069903590001</v>
      </c>
      <c r="AH994">
        <v>24.3983841123815</v>
      </c>
      <c r="AI994">
        <v>92.494052307498706</v>
      </c>
      <c r="AJ994">
        <v>82.953422780477297</v>
      </c>
      <c r="AK994">
        <v>24.6073831811342</v>
      </c>
      <c r="AL994">
        <v>80.178282315934098</v>
      </c>
      <c r="AM994">
        <v>89.617952699943302</v>
      </c>
      <c r="AN994">
        <v>0.99999999438377996</v>
      </c>
    </row>
    <row r="995" spans="1:40" x14ac:dyDescent="0.25">
      <c r="A995" t="str">
        <f>"20190303162231091"</f>
        <v>20190303162231091</v>
      </c>
      <c r="B995" t="str">
        <f>"1551601351085648"</f>
        <v>1551601351085648</v>
      </c>
      <c r="C995" t="s">
        <v>40</v>
      </c>
      <c r="D995">
        <v>5.1809430000000001</v>
      </c>
      <c r="E995">
        <v>0.54764399999999902</v>
      </c>
      <c r="F995" t="s">
        <v>41</v>
      </c>
      <c r="G995">
        <v>-258.08089999999999</v>
      </c>
      <c r="H995" s="1">
        <v>-2.0622840000000001E-6</v>
      </c>
      <c r="I995">
        <v>364.26760000000002</v>
      </c>
      <c r="J995">
        <v>-282.40039999999999</v>
      </c>
      <c r="K995">
        <v>1.070805</v>
      </c>
      <c r="L995">
        <v>367.12880000000001</v>
      </c>
      <c r="M995">
        <v>0.99984910000000005</v>
      </c>
      <c r="N995">
        <v>-1.320876E-2</v>
      </c>
      <c r="O995">
        <v>1.1287810000000001E-2</v>
      </c>
      <c r="P995">
        <v>0.98755150000000003</v>
      </c>
      <c r="Q995">
        <v>0.15723619999999999</v>
      </c>
      <c r="R995">
        <v>4.3940009999999998E-3</v>
      </c>
      <c r="S995">
        <v>3.060883</v>
      </c>
      <c r="T995">
        <v>-0.13323460000000001</v>
      </c>
      <c r="U995">
        <v>-0.35559079999999998</v>
      </c>
      <c r="V995">
        <v>6.7665579999999998E-3</v>
      </c>
      <c r="W995">
        <v>0.1702659</v>
      </c>
      <c r="X995">
        <v>0.98537490000000005</v>
      </c>
      <c r="Y995">
        <v>0.126443</v>
      </c>
      <c r="Z995">
        <v>-3.9208309999999996E-3</v>
      </c>
      <c r="AA995">
        <v>0.99196609999999996</v>
      </c>
      <c r="AB995">
        <v>27</v>
      </c>
      <c r="AC995">
        <v>24.319500000000001</v>
      </c>
      <c r="AD995">
        <v>-1.070807062284</v>
      </c>
      <c r="AE995">
        <v>-2.86119999999999</v>
      </c>
      <c r="AF995">
        <v>3.1295710140275399</v>
      </c>
      <c r="AG995">
        <v>-1.070807062284</v>
      </c>
      <c r="AH995">
        <v>24.239299424484699</v>
      </c>
      <c r="AI995">
        <v>92.508685312414201</v>
      </c>
      <c r="AJ995">
        <v>82.643157818016903</v>
      </c>
      <c r="AK995">
        <v>24.463942427301099</v>
      </c>
      <c r="AL995">
        <v>80.196720385923101</v>
      </c>
      <c r="AM995">
        <v>89.606556731441103</v>
      </c>
      <c r="AN995">
        <v>0.99999997827999298</v>
      </c>
    </row>
    <row r="996" spans="1:40" x14ac:dyDescent="0.25">
      <c r="A996" t="str">
        <f>"20190303162231104"</f>
        <v>20190303162231104</v>
      </c>
      <c r="B996" t="str">
        <f>"1551601351095409"</f>
        <v>1551601351095409</v>
      </c>
      <c r="C996" t="s">
        <v>40</v>
      </c>
      <c r="D996">
        <v>5.194388</v>
      </c>
      <c r="E996">
        <v>0.54762149999999998</v>
      </c>
      <c r="F996" t="s">
        <v>41</v>
      </c>
      <c r="G996">
        <v>-257.21820000000002</v>
      </c>
      <c r="H996" s="1">
        <v>-2.3989789999999999E-6</v>
      </c>
      <c r="I996">
        <v>364.10559999999998</v>
      </c>
      <c r="J996">
        <v>-282.25839999999999</v>
      </c>
      <c r="K996">
        <v>1.0707979999999999</v>
      </c>
      <c r="L996">
        <v>367.13029999999998</v>
      </c>
      <c r="M996">
        <v>0.99984930000000005</v>
      </c>
      <c r="N996">
        <v>-1.320701E-2</v>
      </c>
      <c r="O996">
        <v>1.127858E-2</v>
      </c>
      <c r="P996">
        <v>0.98757340000000005</v>
      </c>
      <c r="Q996">
        <v>0.1571004</v>
      </c>
      <c r="R996">
        <v>4.3151320000000002E-3</v>
      </c>
      <c r="S996">
        <v>3.060181</v>
      </c>
      <c r="T996">
        <v>-0.13012589999999999</v>
      </c>
      <c r="U996">
        <v>-0.36737059999999999</v>
      </c>
      <c r="V996">
        <v>6.8365309999999999E-3</v>
      </c>
      <c r="W996">
        <v>0.17012920000000001</v>
      </c>
      <c r="X996">
        <v>0.98539810000000005</v>
      </c>
      <c r="Y996">
        <v>0.13022709999999901</v>
      </c>
      <c r="Z996">
        <v>-3.9505870000000002E-3</v>
      </c>
      <c r="AA996">
        <v>0.99147629999999998</v>
      </c>
      <c r="AB996">
        <v>27</v>
      </c>
      <c r="AC996">
        <v>25.040199999999899</v>
      </c>
      <c r="AD996">
        <v>-1.07080039897899</v>
      </c>
      <c r="AE996">
        <v>-3.02469999999999</v>
      </c>
      <c r="AF996">
        <v>3.3010003640605001</v>
      </c>
      <c r="AG996">
        <v>-1.07080039897899</v>
      </c>
      <c r="AH996">
        <v>24.959502816136101</v>
      </c>
      <c r="AI996">
        <v>92.435388429830397</v>
      </c>
      <c r="AJ996">
        <v>82.466112084453997</v>
      </c>
      <c r="AK996">
        <v>25.199603126372601</v>
      </c>
      <c r="AL996">
        <v>80.204669386347703</v>
      </c>
      <c r="AM996">
        <v>89.602497621741804</v>
      </c>
      <c r="AN996">
        <v>1.00000004916618</v>
      </c>
    </row>
    <row r="997" spans="1:40" x14ac:dyDescent="0.25">
      <c r="A997" t="str">
        <f>"20190303162231115"</f>
        <v>20190303162231115</v>
      </c>
      <c r="B997" t="str">
        <f>"1551601351105168"</f>
        <v>1551601351105168</v>
      </c>
      <c r="C997" t="s">
        <v>40</v>
      </c>
      <c r="D997">
        <v>5.1911009999999997</v>
      </c>
      <c r="E997">
        <v>0.54807479999999997</v>
      </c>
      <c r="F997" t="s">
        <v>41</v>
      </c>
      <c r="G997">
        <v>-257.06849999999997</v>
      </c>
      <c r="H997" s="1">
        <v>-2.4496100000000001E-6</v>
      </c>
      <c r="I997">
        <v>364.1069</v>
      </c>
      <c r="J997">
        <v>-282.10169999999999</v>
      </c>
      <c r="K997">
        <v>1.0707979999999999</v>
      </c>
      <c r="L997">
        <v>367.13209999999998</v>
      </c>
      <c r="M997">
        <v>0.9998494</v>
      </c>
      <c r="N997">
        <v>-1.3205059999999999E-2</v>
      </c>
      <c r="O997">
        <v>1.1268230000000001E-2</v>
      </c>
      <c r="P997">
        <v>0.98757150000000005</v>
      </c>
      <c r="Q997">
        <v>0.1571196</v>
      </c>
      <c r="R997">
        <v>4.0067829999999999E-3</v>
      </c>
      <c r="S997">
        <v>3.0600589999999999</v>
      </c>
      <c r="T997">
        <v>-0.13007959999999999</v>
      </c>
      <c r="U997">
        <v>-0.36727910000000002</v>
      </c>
      <c r="V997">
        <v>7.134736E-3</v>
      </c>
      <c r="W997">
        <v>0.17014649999999901</v>
      </c>
      <c r="X997">
        <v>0.98539290000000002</v>
      </c>
      <c r="Y997">
        <v>0.13019240000000001</v>
      </c>
      <c r="Z997">
        <v>-3.948198E-3</v>
      </c>
      <c r="AA997">
        <v>0.9914809</v>
      </c>
      <c r="AB997">
        <v>27</v>
      </c>
      <c r="AC997">
        <v>25.033200000000001</v>
      </c>
      <c r="AD997">
        <v>-1.0708004496100001</v>
      </c>
      <c r="AE997">
        <v>-3.0251999999999799</v>
      </c>
      <c r="AF997">
        <v>3.3011590784341398</v>
      </c>
      <c r="AG997">
        <v>-1.0708004496100001</v>
      </c>
      <c r="AH997">
        <v>24.952519858275299</v>
      </c>
      <c r="AI997">
        <v>92.436055547922905</v>
      </c>
      <c r="AJ997">
        <v>82.463669785658993</v>
      </c>
      <c r="AK997">
        <v>25.192707519074599</v>
      </c>
      <c r="AL997">
        <v>80.203662539152106</v>
      </c>
      <c r="AM997">
        <v>89.585157232836394</v>
      </c>
      <c r="AN997">
        <v>0.99999995164522304</v>
      </c>
    </row>
    <row r="998" spans="1:40" x14ac:dyDescent="0.25">
      <c r="A998" t="str">
        <f>"20190303162231127"</f>
        <v>20190303162231127</v>
      </c>
      <c r="B998" t="str">
        <f>"1551601351114929"</f>
        <v>1551601351114929</v>
      </c>
      <c r="C998" t="s">
        <v>40</v>
      </c>
      <c r="D998">
        <v>5.2446929999999998</v>
      </c>
      <c r="E998">
        <v>0.54797240000000003</v>
      </c>
      <c r="F998" t="s">
        <v>41</v>
      </c>
      <c r="G998">
        <v>-256.56110000000001</v>
      </c>
      <c r="H998" s="1">
        <v>-2.6429129999999999E-6</v>
      </c>
      <c r="I998">
        <v>364.02929999999998</v>
      </c>
      <c r="J998">
        <v>-281.9667</v>
      </c>
      <c r="K998">
        <v>1.0707960000000001</v>
      </c>
      <c r="L998">
        <v>367.1336</v>
      </c>
      <c r="M998">
        <v>0.99984949999999995</v>
      </c>
      <c r="N998">
        <v>-1.3203390000000001E-2</v>
      </c>
      <c r="O998">
        <v>1.125936E-2</v>
      </c>
      <c r="P998">
        <v>0.98754699999999995</v>
      </c>
      <c r="Q998">
        <v>0.15726999999999999</v>
      </c>
      <c r="R998">
        <v>4.1881590000000003E-3</v>
      </c>
      <c r="S998">
        <v>3.0596619999999999</v>
      </c>
      <c r="T998">
        <v>-0.12827740000000001</v>
      </c>
      <c r="U998">
        <v>-0.37170409999999998</v>
      </c>
      <c r="V998">
        <v>6.9442150000000001E-3</v>
      </c>
      <c r="W998">
        <v>0.17029459999999999</v>
      </c>
      <c r="X998">
        <v>0.98536869999999999</v>
      </c>
      <c r="Y998">
        <v>0.13161429999999999</v>
      </c>
      <c r="Z998">
        <v>-3.9424179999999996E-3</v>
      </c>
      <c r="AA998">
        <v>0.99129319999999999</v>
      </c>
      <c r="AB998">
        <v>27</v>
      </c>
      <c r="AC998">
        <v>25.4056</v>
      </c>
      <c r="AD998">
        <v>-1.0707986429130001</v>
      </c>
      <c r="AE998">
        <v>-3.1043000000000198</v>
      </c>
      <c r="AF998">
        <v>3.3842553325107598</v>
      </c>
      <c r="AG998">
        <v>-1.0707986429130001</v>
      </c>
      <c r="AH998">
        <v>25.324707166133301</v>
      </c>
      <c r="AI998">
        <v>92.399873189938603</v>
      </c>
      <c r="AJ998">
        <v>82.3884014562461</v>
      </c>
      <c r="AK998">
        <v>25.5722620614543</v>
      </c>
      <c r="AL998">
        <v>80.195051582782398</v>
      </c>
      <c r="AM998">
        <v>89.596224616283095</v>
      </c>
      <c r="AN998">
        <v>0.99999997392540696</v>
      </c>
    </row>
    <row r="999" spans="1:40" x14ac:dyDescent="0.25">
      <c r="A999" t="str">
        <f>"20190303162231141"</f>
        <v>20190303162231141</v>
      </c>
      <c r="B999" t="str">
        <f>"1551601351135424"</f>
        <v>1551601351135424</v>
      </c>
      <c r="C999" t="s">
        <v>40</v>
      </c>
      <c r="D999">
        <v>5.2246370000000004</v>
      </c>
      <c r="E999">
        <v>0.54823630000000001</v>
      </c>
      <c r="F999" t="s">
        <v>41</v>
      </c>
      <c r="G999">
        <v>-256.42520000000002</v>
      </c>
      <c r="H999" s="1">
        <v>-2.685994E-6</v>
      </c>
      <c r="I999">
        <v>364.0412</v>
      </c>
      <c r="J999">
        <v>-281.80309999999997</v>
      </c>
      <c r="K999">
        <v>1.070802</v>
      </c>
      <c r="L999">
        <v>367.1354</v>
      </c>
      <c r="M999">
        <v>0.99984969999999995</v>
      </c>
      <c r="N999">
        <v>-1.3201360000000001E-2</v>
      </c>
      <c r="O999">
        <v>1.1248640000000001E-2</v>
      </c>
      <c r="P999">
        <v>0.98758630000000003</v>
      </c>
      <c r="Q999">
        <v>0.15703410000000001</v>
      </c>
      <c r="R999">
        <v>3.7299690000000001E-3</v>
      </c>
      <c r="S999">
        <v>3.0598139999999998</v>
      </c>
      <c r="T999">
        <v>-0.1282787</v>
      </c>
      <c r="U999">
        <v>-0.37045289999999997</v>
      </c>
      <c r="V999">
        <v>7.3922279999999998E-3</v>
      </c>
      <c r="W999">
        <v>0.17005729999999999</v>
      </c>
      <c r="X999">
        <v>0.98540649999999996</v>
      </c>
      <c r="Y999">
        <v>0.1311987</v>
      </c>
      <c r="Z999">
        <v>-3.9304969999999998E-3</v>
      </c>
      <c r="AA999">
        <v>0.99134829999999996</v>
      </c>
      <c r="AB999">
        <v>27</v>
      </c>
      <c r="AC999">
        <v>25.377899999999901</v>
      </c>
      <c r="AD999">
        <v>-1.0708046859939999</v>
      </c>
      <c r="AE999">
        <v>-3.0941999999999998</v>
      </c>
      <c r="AF999">
        <v>3.3735776859422302</v>
      </c>
      <c r="AG999">
        <v>-1.0708046859939999</v>
      </c>
      <c r="AH999">
        <v>25.297107161227601</v>
      </c>
      <c r="AI999">
        <v>92.402588970671005</v>
      </c>
      <c r="AJ999">
        <v>82.4039545205151</v>
      </c>
      <c r="AK999">
        <v>25.543517373401599</v>
      </c>
      <c r="AL999">
        <v>80.208849881842198</v>
      </c>
      <c r="AM999">
        <v>89.570192077262007</v>
      </c>
      <c r="AN999">
        <v>1.00000005028017</v>
      </c>
    </row>
    <row r="1000" spans="1:40" x14ac:dyDescent="0.25">
      <c r="A1000" t="str">
        <f>"20190303162231154"</f>
        <v>20190303162231154</v>
      </c>
      <c r="B1000" t="str">
        <f>"1551601351145185"</f>
        <v>1551601351145185</v>
      </c>
      <c r="C1000" t="s">
        <v>40</v>
      </c>
      <c r="D1000">
        <v>5.2575900000000004</v>
      </c>
      <c r="E1000">
        <v>0.54812130000000003</v>
      </c>
      <c r="F1000" t="s">
        <v>41</v>
      </c>
      <c r="G1000">
        <v>-256.16309999999999</v>
      </c>
      <c r="H1000" s="1">
        <v>-2.7860359999999998E-6</v>
      </c>
      <c r="I1000">
        <v>364.00040000000001</v>
      </c>
      <c r="J1000">
        <v>-281.63420000000002</v>
      </c>
      <c r="K1000">
        <v>1.0708029999999999</v>
      </c>
      <c r="L1000">
        <v>367.13729999999998</v>
      </c>
      <c r="M1000">
        <v>0.99984980000000001</v>
      </c>
      <c r="N1000">
        <v>-1.3199249999999999E-2</v>
      </c>
      <c r="O1000">
        <v>1.123739E-2</v>
      </c>
      <c r="P1000">
        <v>0.9876009</v>
      </c>
      <c r="Q1000">
        <v>0.15694340000000001</v>
      </c>
      <c r="R1000">
        <v>3.6863680000000002E-3</v>
      </c>
      <c r="S1000">
        <v>3.0594480000000002</v>
      </c>
      <c r="T1000">
        <v>-0.12777189999999999</v>
      </c>
      <c r="U1000">
        <v>-0.37408449999999999</v>
      </c>
      <c r="V1000">
        <v>7.4249379999999999E-3</v>
      </c>
      <c r="W1000">
        <v>0.1699647</v>
      </c>
      <c r="X1000">
        <v>0.98542220000000003</v>
      </c>
      <c r="Y1000">
        <v>0.13236099999999901</v>
      </c>
      <c r="Z1000">
        <v>-3.9494880000000001E-3</v>
      </c>
      <c r="AA1000">
        <v>0.99119369999999996</v>
      </c>
      <c r="AB1000">
        <v>27</v>
      </c>
      <c r="AC1000">
        <v>25.4711</v>
      </c>
      <c r="AD1000">
        <v>-1.0708057860359901</v>
      </c>
      <c r="AE1000">
        <v>-3.1368999999999598</v>
      </c>
      <c r="AF1000">
        <v>3.4170066338219098</v>
      </c>
      <c r="AG1000">
        <v>-1.0708057860359901</v>
      </c>
      <c r="AH1000">
        <v>25.390034801676698</v>
      </c>
      <c r="AI1000">
        <v>92.393423565630002</v>
      </c>
      <c r="AJ1000">
        <v>82.335152141567804</v>
      </c>
      <c r="AK1000">
        <v>25.641303137659499</v>
      </c>
      <c r="AL1000">
        <v>80.214233556384997</v>
      </c>
      <c r="AM1000">
        <v>89.568297162280402</v>
      </c>
      <c r="AN1000">
        <v>1.00000002060161</v>
      </c>
    </row>
    <row r="1001" spans="1:40" x14ac:dyDescent="0.25">
      <c r="A1001" t="str">
        <f>"20190303162231171"</f>
        <v>20190303162231171</v>
      </c>
      <c r="B1001" t="str">
        <f>"1551601351165680"</f>
        <v>1551601351165680</v>
      </c>
      <c r="C1001" t="s">
        <v>40</v>
      </c>
      <c r="D1001">
        <v>5.2600040000000003</v>
      </c>
      <c r="E1001">
        <v>0.54832539999999996</v>
      </c>
      <c r="F1001" t="s">
        <v>41</v>
      </c>
      <c r="G1001">
        <v>-256.08569999999997</v>
      </c>
      <c r="H1001" s="1">
        <v>-2.807138E-6</v>
      </c>
      <c r="I1001">
        <v>364.02010000000001</v>
      </c>
      <c r="J1001">
        <v>-281.42959999999999</v>
      </c>
      <c r="K1001">
        <v>1.0707990000000001</v>
      </c>
      <c r="L1001">
        <v>367.13959999999997</v>
      </c>
      <c r="M1001">
        <v>0.99985000000000002</v>
      </c>
      <c r="N1001">
        <v>-1.3196690000000001E-2</v>
      </c>
      <c r="O1001">
        <v>1.122418E-2</v>
      </c>
      <c r="P1001">
        <v>0.98760990000000004</v>
      </c>
      <c r="Q1001">
        <v>0.15688529999999901</v>
      </c>
      <c r="R1001">
        <v>3.755665E-3</v>
      </c>
      <c r="S1001">
        <v>3.0594790000000001</v>
      </c>
      <c r="T1001">
        <v>-0.1282306</v>
      </c>
      <c r="U1001">
        <v>-0.37329099999999998</v>
      </c>
      <c r="V1001">
        <v>7.3426990000000003E-3</v>
      </c>
      <c r="W1001">
        <v>0.1699041</v>
      </c>
      <c r="X1001">
        <v>0.98543320000000001</v>
      </c>
      <c r="Y1001">
        <v>0.13209270000000001</v>
      </c>
      <c r="Z1001">
        <v>-3.9531480000000001E-3</v>
      </c>
      <c r="AA1001">
        <v>0.99122949999999999</v>
      </c>
      <c r="AB1001">
        <v>27</v>
      </c>
      <c r="AC1001">
        <v>25.343900000000001</v>
      </c>
      <c r="AD1001">
        <v>-1.0708018071379899</v>
      </c>
      <c r="AE1001">
        <v>-3.1194999999999502</v>
      </c>
      <c r="AF1001">
        <v>3.3978176629020602</v>
      </c>
      <c r="AG1001">
        <v>-1.0708018071379899</v>
      </c>
      <c r="AH1001">
        <v>25.262861761346699</v>
      </c>
      <c r="AI1001">
        <v>92.405475060633506</v>
      </c>
      <c r="AJ1001">
        <v>82.339772188073297</v>
      </c>
      <c r="AK1001">
        <v>25.512819635497301</v>
      </c>
      <c r="AL1001">
        <v>80.217756279036095</v>
      </c>
      <c r="AM1001">
        <v>89.573083312802595</v>
      </c>
      <c r="AN1001">
        <v>0.99999995504382599</v>
      </c>
    </row>
    <row r="1002" spans="1:40" x14ac:dyDescent="0.25">
      <c r="A1002" t="str">
        <f>"20190303162231208"</f>
        <v>20190303162231208</v>
      </c>
      <c r="B1002" t="str">
        <f>"1551601351194961"</f>
        <v>1551601351194961</v>
      </c>
      <c r="C1002" t="s">
        <v>40</v>
      </c>
      <c r="D1002">
        <v>5.3175949999999998</v>
      </c>
      <c r="E1002">
        <v>0.54846159999999999</v>
      </c>
      <c r="F1002" t="s">
        <v>41</v>
      </c>
      <c r="G1002">
        <v>-255.67930000000001</v>
      </c>
      <c r="H1002" s="1">
        <v>-2.954269E-6</v>
      </c>
      <c r="I1002">
        <v>363.98689999999999</v>
      </c>
      <c r="J1002">
        <v>-280.98809999999997</v>
      </c>
      <c r="K1002">
        <v>1.0712219999999999</v>
      </c>
      <c r="L1002">
        <v>367.14449999999999</v>
      </c>
      <c r="M1002">
        <v>0.99983290000000002</v>
      </c>
      <c r="N1002">
        <v>-1.445024E-2</v>
      </c>
      <c r="O1002">
        <v>1.1198649999999999E-2</v>
      </c>
      <c r="P1002">
        <v>0.98786090000000004</v>
      </c>
      <c r="Q1002">
        <v>0.15531139999999999</v>
      </c>
      <c r="R1002">
        <v>3.0777119999999998E-3</v>
      </c>
      <c r="S1002">
        <v>3.0592350000000001</v>
      </c>
      <c r="T1002">
        <v>-0.1272151</v>
      </c>
      <c r="U1002">
        <v>-0.37454219999999999</v>
      </c>
      <c r="V1002">
        <v>7.9974880000000005E-3</v>
      </c>
      <c r="W1002">
        <v>0.169569</v>
      </c>
      <c r="X1002">
        <v>0.98548590000000003</v>
      </c>
      <c r="Y1002">
        <v>0.13247529999999999</v>
      </c>
      <c r="Z1002">
        <v>-4.0069839999999999E-3</v>
      </c>
      <c r="AA1002">
        <v>0.99117820000000001</v>
      </c>
      <c r="AB1002">
        <v>27</v>
      </c>
      <c r="AC1002">
        <v>25.308799999999898</v>
      </c>
      <c r="AD1002">
        <v>-1.071224954269</v>
      </c>
      <c r="AE1002">
        <v>-3.1576</v>
      </c>
      <c r="AF1002">
        <v>3.4347967938932702</v>
      </c>
      <c r="AG1002">
        <v>-1.071224954269</v>
      </c>
      <c r="AH1002">
        <v>25.2273458568399</v>
      </c>
      <c r="AI1002">
        <v>92.409278982907395</v>
      </c>
      <c r="AJ1002">
        <v>82.246642493429306</v>
      </c>
      <c r="AK1002">
        <v>25.482628021823199</v>
      </c>
      <c r="AL1002">
        <v>80.237239559310396</v>
      </c>
      <c r="AM1002">
        <v>89.535039263014596</v>
      </c>
      <c r="AN1002">
        <v>1.0000000323370499</v>
      </c>
    </row>
    <row r="1003" spans="1:40" x14ac:dyDescent="0.25">
      <c r="A1003" t="str">
        <f>"20190303162231227"</f>
        <v>20190303162231227</v>
      </c>
      <c r="B1003" t="str">
        <f>"1551601351215457"</f>
        <v>1551601351215457</v>
      </c>
      <c r="C1003" t="s">
        <v>40</v>
      </c>
      <c r="D1003">
        <v>5.3000769999999999</v>
      </c>
      <c r="E1003">
        <v>0.5482551</v>
      </c>
      <c r="F1003" t="s">
        <v>41</v>
      </c>
      <c r="G1003">
        <v>-256.14949999999999</v>
      </c>
      <c r="H1003" s="1">
        <v>-2.7702120000000001E-6</v>
      </c>
      <c r="I1003">
        <v>364.07729999999998</v>
      </c>
      <c r="J1003">
        <v>-280.76729999999998</v>
      </c>
      <c r="K1003">
        <v>1.0718259999999999</v>
      </c>
      <c r="L1003">
        <v>367.14699999999999</v>
      </c>
      <c r="M1003">
        <v>0.99981869999999995</v>
      </c>
      <c r="N1003">
        <v>-1.5410719999999999E-2</v>
      </c>
      <c r="O1003">
        <v>1.118837E-2</v>
      </c>
      <c r="P1003">
        <v>0.98808560000000001</v>
      </c>
      <c r="Q1003">
        <v>0.15387819999999999</v>
      </c>
      <c r="R1003">
        <v>2.994881E-3</v>
      </c>
      <c r="S1003">
        <v>3.0588069999999998</v>
      </c>
      <c r="T1003">
        <v>-0.13191820000000001</v>
      </c>
      <c r="U1003">
        <v>-0.3777161</v>
      </c>
      <c r="V1003">
        <v>8.0720540000000004E-3</v>
      </c>
      <c r="W1003">
        <v>0.16908589999999901</v>
      </c>
      <c r="X1003">
        <v>0.98556829999999995</v>
      </c>
      <c r="Y1003">
        <v>0.13348080000000001</v>
      </c>
      <c r="Z1003">
        <v>-4.2080920000000001E-3</v>
      </c>
      <c r="AA1003">
        <v>0.99104250000000005</v>
      </c>
      <c r="AB1003">
        <v>27</v>
      </c>
      <c r="AC1003">
        <v>24.6177999999999</v>
      </c>
      <c r="AD1003">
        <v>-1.071828770212</v>
      </c>
      <c r="AE1003">
        <v>-3.0697000000000099</v>
      </c>
      <c r="AF1003">
        <v>3.3387414697464899</v>
      </c>
      <c r="AG1003">
        <v>-1.071828770212</v>
      </c>
      <c r="AH1003">
        <v>24.5361106061915</v>
      </c>
      <c r="AI1003">
        <v>92.478490865825606</v>
      </c>
      <c r="AJ1003">
        <v>82.251092774666105</v>
      </c>
      <c r="AK1003">
        <v>24.785413758775999</v>
      </c>
      <c r="AL1003">
        <v>80.265324747380504</v>
      </c>
      <c r="AM1003">
        <v>89.530743546439396</v>
      </c>
      <c r="AN1003">
        <v>1.0000000367997299</v>
      </c>
    </row>
    <row r="1004" spans="1:40" x14ac:dyDescent="0.25">
      <c r="A1004" t="str">
        <f>"20190303162231240"</f>
        <v>20190303162231240</v>
      </c>
      <c r="B1004" t="str">
        <f>"1551601351234977"</f>
        <v>1551601351234977</v>
      </c>
      <c r="C1004" t="s">
        <v>40</v>
      </c>
      <c r="D1004">
        <v>5.2723680000000002</v>
      </c>
      <c r="E1004">
        <v>0.54861759999999904</v>
      </c>
      <c r="F1004" t="s">
        <v>41</v>
      </c>
      <c r="G1004">
        <v>-256.8682</v>
      </c>
      <c r="H1004" s="1">
        <v>-2.4907269999999998E-6</v>
      </c>
      <c r="I1004">
        <v>364.20859999999999</v>
      </c>
      <c r="J1004">
        <v>-280.60160000000002</v>
      </c>
      <c r="K1004">
        <v>1.072373</v>
      </c>
      <c r="L1004">
        <v>367.14879999999999</v>
      </c>
      <c r="M1004">
        <v>0.99981359999999997</v>
      </c>
      <c r="N1004">
        <v>-1.5737890000000001E-2</v>
      </c>
      <c r="O1004">
        <v>1.11833E-2</v>
      </c>
      <c r="P1004">
        <v>0.98814299999999999</v>
      </c>
      <c r="Q1004">
        <v>0.1535176</v>
      </c>
      <c r="R1004">
        <v>2.431852E-3</v>
      </c>
      <c r="S1004">
        <v>3.0586850000000001</v>
      </c>
      <c r="T1004">
        <v>-0.1371753</v>
      </c>
      <c r="U1004">
        <v>-0.37606810000000002</v>
      </c>
      <c r="V1004">
        <v>8.63038E-3</v>
      </c>
      <c r="W1004">
        <v>0.169048799999999</v>
      </c>
      <c r="X1004">
        <v>0.9855699</v>
      </c>
      <c r="Y1004">
        <v>0.13294230000000001</v>
      </c>
      <c r="Z1004">
        <v>-4.3434609999999998E-3</v>
      </c>
      <c r="AA1004">
        <v>0.9911143</v>
      </c>
      <c r="AB1004">
        <v>26</v>
      </c>
      <c r="AC1004">
        <v>23.7334</v>
      </c>
      <c r="AD1004">
        <v>-1.072375490727</v>
      </c>
      <c r="AE1004">
        <v>-2.9401999999999999</v>
      </c>
      <c r="AF1004">
        <v>3.19903422444066</v>
      </c>
      <c r="AG1004">
        <v>-1.072375490727</v>
      </c>
      <c r="AH1004">
        <v>23.651472929464202</v>
      </c>
      <c r="AI1004">
        <v>92.572661279423002</v>
      </c>
      <c r="AJ1004">
        <v>82.297074732915107</v>
      </c>
      <c r="AK1004">
        <v>23.890918376978199</v>
      </c>
      <c r="AL1004">
        <v>80.267481145587297</v>
      </c>
      <c r="AM1004">
        <v>89.498288542423893</v>
      </c>
      <c r="AN1004">
        <v>1.00000000401319</v>
      </c>
    </row>
    <row r="1005" spans="1:40" x14ac:dyDescent="0.25">
      <c r="A1005" t="str">
        <f>"20190303162231254"</f>
        <v>20190303162231254</v>
      </c>
      <c r="B1005" t="str">
        <f>"1551601351245712"</f>
        <v>1551601351245712</v>
      </c>
      <c r="C1005" t="s">
        <v>40</v>
      </c>
      <c r="D1005">
        <v>5.3211579999999996</v>
      </c>
      <c r="E1005">
        <v>0.54852730000000005</v>
      </c>
      <c r="F1005" t="s">
        <v>41</v>
      </c>
      <c r="G1005">
        <v>-256.70949999999999</v>
      </c>
      <c r="H1005" s="1">
        <v>-2.5533580000000001E-6</v>
      </c>
      <c r="I1005">
        <v>364.17599999999999</v>
      </c>
      <c r="J1005">
        <v>-280.44830000000002</v>
      </c>
      <c r="K1005">
        <v>1.0728230000000001</v>
      </c>
      <c r="L1005">
        <v>367.15050000000002</v>
      </c>
      <c r="M1005">
        <v>0.99982349999999998</v>
      </c>
      <c r="N1005">
        <v>-1.5102880000000001E-2</v>
      </c>
      <c r="O1005">
        <v>1.1180610000000001E-2</v>
      </c>
      <c r="P1005">
        <v>0.98808549999999995</v>
      </c>
      <c r="Q1005">
        <v>0.1538891</v>
      </c>
      <c r="R1005">
        <v>2.3103770000000002E-3</v>
      </c>
      <c r="S1005">
        <v>3.0582579999999999</v>
      </c>
      <c r="T1005">
        <v>-0.13726679999999999</v>
      </c>
      <c r="U1005">
        <v>-0.38052370000000002</v>
      </c>
      <c r="V1005">
        <v>8.7477969999999999E-3</v>
      </c>
      <c r="W1005">
        <v>0.16879359999999999</v>
      </c>
      <c r="X1005">
        <v>0.98561259999999995</v>
      </c>
      <c r="Y1005">
        <v>0.13437779999999999</v>
      </c>
      <c r="Z1005">
        <v>-4.3536E-3</v>
      </c>
      <c r="AA1005">
        <v>0.99092060000000004</v>
      </c>
      <c r="AB1005">
        <v>26</v>
      </c>
      <c r="AC1005">
        <v>23.738800000000001</v>
      </c>
      <c r="AD1005">
        <v>-1.07282555335799</v>
      </c>
      <c r="AE1005">
        <v>-2.9745000000000301</v>
      </c>
      <c r="AF1005">
        <v>3.2332570326364301</v>
      </c>
      <c r="AG1005">
        <v>-1.07282555335799</v>
      </c>
      <c r="AH1005">
        <v>23.656486211281202</v>
      </c>
      <c r="AI1005">
        <v>92.572708444032401</v>
      </c>
      <c r="AJ1005">
        <v>82.217304446871793</v>
      </c>
      <c r="AK1005">
        <v>23.900507224148399</v>
      </c>
      <c r="AL1005">
        <v>80.282316178711596</v>
      </c>
      <c r="AM1005">
        <v>89.491485104920599</v>
      </c>
      <c r="AN1005">
        <v>1.0000000003160301</v>
      </c>
    </row>
    <row r="1006" spans="1:40" x14ac:dyDescent="0.25">
      <c r="A1006" t="str">
        <f>"20190303162231268"</f>
        <v>20190303162231268</v>
      </c>
      <c r="B1006" t="str">
        <f>"1551601351255473"</f>
        <v>1551601351255473</v>
      </c>
      <c r="C1006" t="s">
        <v>40</v>
      </c>
      <c r="D1006">
        <v>5.294797</v>
      </c>
      <c r="E1006">
        <v>0.54865059999999999</v>
      </c>
      <c r="F1006" t="s">
        <v>41</v>
      </c>
      <c r="G1006">
        <v>-256.46390000000002</v>
      </c>
      <c r="H1006" s="1">
        <v>-2.639398E-6</v>
      </c>
      <c r="I1006">
        <v>364.16680000000002</v>
      </c>
      <c r="J1006">
        <v>-280.28460000000001</v>
      </c>
      <c r="K1006">
        <v>1.0733159999999999</v>
      </c>
      <c r="L1006">
        <v>367.1524</v>
      </c>
      <c r="M1006">
        <v>0.99983869999999997</v>
      </c>
      <c r="N1006">
        <v>-1.4062720000000001E-2</v>
      </c>
      <c r="O1006">
        <v>1.117873E-2</v>
      </c>
      <c r="P1006">
        <v>0.98791119999999999</v>
      </c>
      <c r="Q1006">
        <v>0.1550115</v>
      </c>
      <c r="R1006">
        <v>1.719225E-3</v>
      </c>
      <c r="S1006">
        <v>3.0583800000000001</v>
      </c>
      <c r="T1006">
        <v>-0.13680110000000001</v>
      </c>
      <c r="U1006">
        <v>-0.38046259999999998</v>
      </c>
      <c r="V1006">
        <v>9.3346009999999997E-3</v>
      </c>
      <c r="W1006">
        <v>0.16888810000000001</v>
      </c>
      <c r="X1006">
        <v>0.98559110000000005</v>
      </c>
      <c r="Y1006">
        <v>0.13435540000000001</v>
      </c>
      <c r="Z1006">
        <v>-4.2822349999999997E-3</v>
      </c>
      <c r="AA1006">
        <v>0.99092389999999997</v>
      </c>
      <c r="AB1006">
        <v>26</v>
      </c>
      <c r="AC1006">
        <v>23.820699999999899</v>
      </c>
      <c r="AD1006">
        <v>-1.0733186393980001</v>
      </c>
      <c r="AE1006">
        <v>-2.9855999999999701</v>
      </c>
      <c r="AF1006">
        <v>3.2452381738783602</v>
      </c>
      <c r="AG1006">
        <v>-1.0733186393980001</v>
      </c>
      <c r="AH1006">
        <v>23.738383452941498</v>
      </c>
      <c r="AI1006">
        <v>92.565009882510296</v>
      </c>
      <c r="AJ1006">
        <v>82.215437833125193</v>
      </c>
      <c r="AK1006">
        <v>23.983211475233301</v>
      </c>
      <c r="AL1006">
        <v>80.276823553266695</v>
      </c>
      <c r="AM1006">
        <v>89.457363961706093</v>
      </c>
      <c r="AN1006">
        <v>1.0000000707483201</v>
      </c>
    </row>
    <row r="1007" spans="1:40" x14ac:dyDescent="0.25">
      <c r="A1007" t="str">
        <f>"20190303162231283"</f>
        <v>20190303162231283</v>
      </c>
      <c r="B1007" t="str">
        <f>"1551601351274994"</f>
        <v>1551601351274994</v>
      </c>
      <c r="C1007" t="s">
        <v>40</v>
      </c>
      <c r="D1007">
        <v>5.3597020000000004</v>
      </c>
      <c r="E1007">
        <v>0.5487223</v>
      </c>
      <c r="F1007" t="s">
        <v>41</v>
      </c>
      <c r="G1007">
        <v>-255.65</v>
      </c>
      <c r="H1007" s="1">
        <v>-2.9427280000000001E-6</v>
      </c>
      <c r="I1007">
        <v>364.06779999999998</v>
      </c>
      <c r="J1007">
        <v>-280.09930000000003</v>
      </c>
      <c r="K1007">
        <v>1.073941</v>
      </c>
      <c r="L1007">
        <v>367.15440000000001</v>
      </c>
      <c r="M1007">
        <v>0.99985970000000002</v>
      </c>
      <c r="N1007">
        <v>-1.2473929999999999E-2</v>
      </c>
      <c r="O1007">
        <v>1.117843E-2</v>
      </c>
      <c r="P1007">
        <v>0.9877418</v>
      </c>
      <c r="Q1007">
        <v>0.15609429999999999</v>
      </c>
      <c r="R1007">
        <v>7.3346589999999997E-4</v>
      </c>
      <c r="S1007">
        <v>3.0582889999999998</v>
      </c>
      <c r="T1007">
        <v>-0.1332477</v>
      </c>
      <c r="U1007">
        <v>-0.38293460000000001</v>
      </c>
      <c r="V1007">
        <v>1.0317110000000001E-2</v>
      </c>
      <c r="W1007">
        <v>0.1684021</v>
      </c>
      <c r="X1007">
        <v>0.9856644</v>
      </c>
      <c r="Y1007">
        <v>0.13515859999999999</v>
      </c>
      <c r="Z1007">
        <v>-4.1245199999999996E-3</v>
      </c>
      <c r="AA1007">
        <v>0.99081540000000001</v>
      </c>
      <c r="AB1007">
        <v>27</v>
      </c>
      <c r="AC1007">
        <v>24.449300000000001</v>
      </c>
      <c r="AD1007">
        <v>-1.073943942728</v>
      </c>
      <c r="AE1007">
        <v>-3.08660000000003</v>
      </c>
      <c r="AF1007">
        <v>3.3533645738931401</v>
      </c>
      <c r="AG1007">
        <v>-1.073943942728</v>
      </c>
      <c r="AH1007">
        <v>24.3669891358374</v>
      </c>
      <c r="AI1007">
        <v>92.500072054798693</v>
      </c>
      <c r="AJ1007">
        <v>82.164222923623996</v>
      </c>
      <c r="AK1007">
        <v>24.620084668895501</v>
      </c>
      <c r="AL1007">
        <v>80.305073337939504</v>
      </c>
      <c r="AM1007">
        <v>89.400297633817104</v>
      </c>
      <c r="AN1007">
        <v>1.0000000097352599</v>
      </c>
    </row>
    <row r="1008" spans="1:40" x14ac:dyDescent="0.25">
      <c r="A1008" t="str">
        <f>"20190303162231295"</f>
        <v>20190303162231295</v>
      </c>
      <c r="B1008" t="str">
        <f>"1551601351285395"</f>
        <v>1551601351285395</v>
      </c>
      <c r="C1008" t="s">
        <v>40</v>
      </c>
      <c r="D1008">
        <v>5.315779</v>
      </c>
      <c r="E1008">
        <v>0.54890249999999996</v>
      </c>
      <c r="F1008" t="s">
        <v>41</v>
      </c>
      <c r="G1008">
        <v>-254.7449</v>
      </c>
      <c r="H1008" s="1">
        <v>-3.2821279999999998E-6</v>
      </c>
      <c r="I1008">
        <v>363.94979999999998</v>
      </c>
      <c r="J1008">
        <v>-279.94670000000002</v>
      </c>
      <c r="K1008">
        <v>1.074622</v>
      </c>
      <c r="L1008">
        <v>367.15609999999998</v>
      </c>
      <c r="M1008">
        <v>0.99987539999999997</v>
      </c>
      <c r="N1008">
        <v>-1.1160659999999999E-2</v>
      </c>
      <c r="O1008">
        <v>1.11781E-2</v>
      </c>
      <c r="P1008">
        <v>0.98759699999999995</v>
      </c>
      <c r="Q1008">
        <v>0.15701019999999999</v>
      </c>
      <c r="R1008">
        <v>2.1350620000000001E-4</v>
      </c>
      <c r="S1008">
        <v>3.0579830000000001</v>
      </c>
      <c r="T1008">
        <v>-0.12952730000000001</v>
      </c>
      <c r="U1008">
        <v>-0.38650509999999999</v>
      </c>
      <c r="V1008">
        <v>1.0834359999999999E-2</v>
      </c>
      <c r="W1008">
        <v>0.16802129999999901</v>
      </c>
      <c r="X1008">
        <v>0.98572380000000004</v>
      </c>
      <c r="Y1008">
        <v>0.13631940000000001</v>
      </c>
      <c r="Z1008">
        <v>-3.985766E-3</v>
      </c>
      <c r="AA1008">
        <v>0.99065689999999995</v>
      </c>
      <c r="AB1008">
        <v>27</v>
      </c>
      <c r="AC1008">
        <v>25.201799999999999</v>
      </c>
      <c r="AD1008">
        <v>-1.074625282128</v>
      </c>
      <c r="AE1008">
        <v>-3.2062999999999899</v>
      </c>
      <c r="AF1008">
        <v>3.48159585559167</v>
      </c>
      <c r="AG1008">
        <v>-1.074625282128</v>
      </c>
      <c r="AH1008">
        <v>25.119437062882799</v>
      </c>
      <c r="AI1008">
        <v>92.426487763619505</v>
      </c>
      <c r="AJ1008">
        <v>82.108983078163604</v>
      </c>
      <c r="AK1008">
        <v>25.382325495406999</v>
      </c>
      <c r="AL1008">
        <v>80.327206618183695</v>
      </c>
      <c r="AM1008">
        <v>89.370271768013396</v>
      </c>
      <c r="AN1008">
        <v>0.99999997524836903</v>
      </c>
    </row>
    <row r="1009" spans="1:40" x14ac:dyDescent="0.25">
      <c r="A1009" t="str">
        <f>"20190303162231307"</f>
        <v>20190303162231307</v>
      </c>
      <c r="B1009" t="str">
        <f>"1551601351295154"</f>
        <v>1551601351295154</v>
      </c>
      <c r="C1009" t="s">
        <v>40</v>
      </c>
      <c r="D1009">
        <v>5.3478139999999996</v>
      </c>
      <c r="E1009">
        <v>0.548840199999999</v>
      </c>
      <c r="F1009" t="s">
        <v>41</v>
      </c>
      <c r="G1009">
        <v>-253.80600000000001</v>
      </c>
      <c r="H1009" s="1">
        <v>-3.6669209999999999E-6</v>
      </c>
      <c r="I1009">
        <v>363.82440000000003</v>
      </c>
      <c r="J1009">
        <v>-279.80149999999998</v>
      </c>
      <c r="K1009">
        <v>1.0753250000000001</v>
      </c>
      <c r="L1009">
        <v>367.15769999999998</v>
      </c>
      <c r="M1009">
        <v>0.99988809999999995</v>
      </c>
      <c r="N1009">
        <v>-9.9655260000000006E-3</v>
      </c>
      <c r="O1009">
        <v>1.117785E-2</v>
      </c>
      <c r="P1009">
        <v>0.98752589999999996</v>
      </c>
      <c r="Q1009">
        <v>0.15745719999999999</v>
      </c>
      <c r="R1009">
        <v>-3.9229770000000002E-4</v>
      </c>
      <c r="S1009">
        <v>3.057709</v>
      </c>
      <c r="T1009">
        <v>-0.1256998</v>
      </c>
      <c r="U1009">
        <v>-0.38970949999999999</v>
      </c>
      <c r="V1009">
        <v>1.14384E-2</v>
      </c>
      <c r="W1009">
        <v>0.1672894</v>
      </c>
      <c r="X1009">
        <v>0.98584150000000004</v>
      </c>
      <c r="Y1009">
        <v>0.13736199999999901</v>
      </c>
      <c r="Z1009">
        <v>-3.8450899999999998E-3</v>
      </c>
      <c r="AA1009">
        <v>0.99051339999999999</v>
      </c>
      <c r="AB1009">
        <v>27</v>
      </c>
      <c r="AC1009">
        <v>25.9955</v>
      </c>
      <c r="AD1009">
        <v>-1.075328666921</v>
      </c>
      <c r="AE1009">
        <v>-3.3332999999999502</v>
      </c>
      <c r="AF1009">
        <v>3.6175898178198</v>
      </c>
      <c r="AG1009">
        <v>-1.075328666921</v>
      </c>
      <c r="AH1009">
        <v>25.912991267119999</v>
      </c>
      <c r="AI1009">
        <v>92.353480221875699</v>
      </c>
      <c r="AJ1009">
        <v>82.052573114346103</v>
      </c>
      <c r="AK1009">
        <v>26.186378219252301</v>
      </c>
      <c r="AL1009">
        <v>80.369743934103099</v>
      </c>
      <c r="AM1009">
        <v>89.335245434919997</v>
      </c>
      <c r="AN1009">
        <v>1.0000000217345799</v>
      </c>
    </row>
    <row r="1010" spans="1:40" x14ac:dyDescent="0.25">
      <c r="A1010" t="str">
        <f>"20190303162231319"</f>
        <v>20190303162231319</v>
      </c>
      <c r="B1010" t="str">
        <f>"1551601351304915"</f>
        <v>1551601351304915</v>
      </c>
      <c r="C1010" t="s">
        <v>40</v>
      </c>
      <c r="D1010">
        <v>5.3292149999999996</v>
      </c>
      <c r="E1010">
        <v>0.54898599999999997</v>
      </c>
      <c r="F1010" t="s">
        <v>41</v>
      </c>
      <c r="G1010">
        <v>-253.3759</v>
      </c>
      <c r="H1010" s="1">
        <v>-3.8601209999999996E-6</v>
      </c>
      <c r="I1010">
        <v>363.77530000000002</v>
      </c>
      <c r="J1010">
        <v>-279.65899999999999</v>
      </c>
      <c r="K1010">
        <v>1.0760940000000001</v>
      </c>
      <c r="L1010">
        <v>367.15929999999997</v>
      </c>
      <c r="M1010">
        <v>0.99989839999999997</v>
      </c>
      <c r="N1010">
        <v>-8.8627830000000008E-3</v>
      </c>
      <c r="O1010">
        <v>1.1177589999999999E-2</v>
      </c>
      <c r="P1010">
        <v>0.98739080000000001</v>
      </c>
      <c r="Q1010">
        <v>0.15830259999999999</v>
      </c>
      <c r="R1010">
        <v>-4.2560740000000002E-4</v>
      </c>
      <c r="S1010">
        <v>3.0575869999999998</v>
      </c>
      <c r="T1010">
        <v>-0.124421</v>
      </c>
      <c r="U1010">
        <v>-0.39135740000000002</v>
      </c>
      <c r="V1010">
        <v>1.1469419999999999E-2</v>
      </c>
      <c r="W1010">
        <v>0.1670468</v>
      </c>
      <c r="X1010">
        <v>0.98588220000000004</v>
      </c>
      <c r="Y1010">
        <v>0.13789670000000001</v>
      </c>
      <c r="Z1010">
        <v>-3.761286E-3</v>
      </c>
      <c r="AA1010">
        <v>0.99043950000000003</v>
      </c>
      <c r="AB1010">
        <v>27</v>
      </c>
      <c r="AC1010">
        <v>26.283099999999902</v>
      </c>
      <c r="AD1010">
        <v>-1.0760978601210001</v>
      </c>
      <c r="AE1010">
        <v>-3.3839999999999502</v>
      </c>
      <c r="AF1010">
        <v>3.6715275904434601</v>
      </c>
      <c r="AG1010">
        <v>-1.0760978601210001</v>
      </c>
      <c r="AH1010">
        <v>26.2004280385786</v>
      </c>
      <c r="AI1010">
        <v>92.3291844205187</v>
      </c>
      <c r="AJ1010">
        <v>82.022952333684799</v>
      </c>
      <c r="AK1010">
        <v>26.478303020712598</v>
      </c>
      <c r="AL1010">
        <v>80.383841546986105</v>
      </c>
      <c r="AM1010">
        <v>89.333470352527499</v>
      </c>
      <c r="AN1010">
        <v>0.99999994663110603</v>
      </c>
    </row>
    <row r="1011" spans="1:40" x14ac:dyDescent="0.25">
      <c r="A1011" t="str">
        <f>"20190303162231332"</f>
        <v>20190303162231332</v>
      </c>
      <c r="B1011" t="str">
        <f>"1551601351325410"</f>
        <v>1551601351325410</v>
      </c>
      <c r="C1011" t="s">
        <v>40</v>
      </c>
      <c r="D1011">
        <v>5.3497599999999998</v>
      </c>
      <c r="E1011">
        <v>0.54888400000000004</v>
      </c>
      <c r="F1011" t="s">
        <v>41</v>
      </c>
      <c r="G1011">
        <v>-252.56440000000001</v>
      </c>
      <c r="H1011" s="1">
        <v>-4.224465E-6</v>
      </c>
      <c r="I1011">
        <v>363.68400000000003</v>
      </c>
      <c r="J1011">
        <v>-279.5136</v>
      </c>
      <c r="K1011">
        <v>1.0769310000000001</v>
      </c>
      <c r="L1011">
        <v>367.16090000000003</v>
      </c>
      <c r="M1011">
        <v>0.99990710000000005</v>
      </c>
      <c r="N1011">
        <v>-7.8065950000000004E-3</v>
      </c>
      <c r="O1011">
        <v>1.117718E-2</v>
      </c>
      <c r="P1011">
        <v>0.98725309999999999</v>
      </c>
      <c r="Q1011">
        <v>0.15915760000000001</v>
      </c>
      <c r="R1011">
        <v>-5.2234160000000005E-4</v>
      </c>
      <c r="S1011">
        <v>3.0575869999999998</v>
      </c>
      <c r="T1011">
        <v>-0.1214358</v>
      </c>
      <c r="U1011">
        <v>-0.39218140000000001</v>
      </c>
      <c r="V1011">
        <v>1.1563830000000001E-2</v>
      </c>
      <c r="W1011">
        <v>0.1668588</v>
      </c>
      <c r="X1011">
        <v>0.98591300000000004</v>
      </c>
      <c r="Y1011">
        <v>0.1381674</v>
      </c>
      <c r="Z1011">
        <v>-3.6283980000000001E-3</v>
      </c>
      <c r="AA1011">
        <v>0.99040220000000001</v>
      </c>
      <c r="AB1011">
        <v>27</v>
      </c>
      <c r="AC1011">
        <v>26.949199999999902</v>
      </c>
      <c r="AD1011">
        <v>-1.0769352244649999</v>
      </c>
      <c r="AE1011">
        <v>-3.4769000000000001</v>
      </c>
      <c r="AF1011">
        <v>3.7719830319440799</v>
      </c>
      <c r="AG1011">
        <v>-1.0769352244649999</v>
      </c>
      <c r="AH1011">
        <v>26.866451816939399</v>
      </c>
      <c r="AI1011">
        <v>92.273187690503093</v>
      </c>
      <c r="AJ1011">
        <v>82.008052804772603</v>
      </c>
      <c r="AK1011">
        <v>27.151314493093999</v>
      </c>
      <c r="AL1011">
        <v>80.394767124940302</v>
      </c>
      <c r="AM1011">
        <v>89.328005337580393</v>
      </c>
      <c r="AN1011">
        <v>1.0000000124353501</v>
      </c>
    </row>
    <row r="1012" spans="1:40" x14ac:dyDescent="0.25">
      <c r="A1012" t="str">
        <f>"20190303162231344"</f>
        <v>20190303162231344</v>
      </c>
      <c r="B1012" t="str">
        <f>"1551601351335170"</f>
        <v>1551601351335170</v>
      </c>
      <c r="C1012" t="s">
        <v>40</v>
      </c>
      <c r="D1012">
        <v>5.3447430000000002</v>
      </c>
      <c r="E1012">
        <v>0.54880830000000003</v>
      </c>
      <c r="F1012" t="s">
        <v>41</v>
      </c>
      <c r="G1012">
        <v>-251.71100000000001</v>
      </c>
      <c r="H1012" s="1">
        <v>-4.6061190000000001E-6</v>
      </c>
      <c r="I1012">
        <v>363.59629999999999</v>
      </c>
      <c r="J1012">
        <v>-279.36689999999999</v>
      </c>
      <c r="K1012">
        <v>1.0777969999999999</v>
      </c>
      <c r="L1012">
        <v>367.1626</v>
      </c>
      <c r="M1012">
        <v>0.99991470000000005</v>
      </c>
      <c r="N1012">
        <v>-6.7694130000000002E-3</v>
      </c>
      <c r="O1012">
        <v>1.117686E-2</v>
      </c>
      <c r="P1012">
        <v>0.98710980000000004</v>
      </c>
      <c r="Q1012">
        <v>0.1600414</v>
      </c>
      <c r="R1012">
        <v>-1.03425E-3</v>
      </c>
      <c r="S1012">
        <v>3.057617</v>
      </c>
      <c r="T1012">
        <v>-0.11843670000000001</v>
      </c>
      <c r="U1012">
        <v>-0.39202880000000001</v>
      </c>
      <c r="V1012">
        <v>1.207331E-2</v>
      </c>
      <c r="W1012">
        <v>0.16671920000000001</v>
      </c>
      <c r="X1012">
        <v>0.98593050000000004</v>
      </c>
      <c r="Y1012">
        <v>0.13812559999999999</v>
      </c>
      <c r="Z1012">
        <v>-3.4886470000000001E-3</v>
      </c>
      <c r="AA1012">
        <v>0.99040859999999997</v>
      </c>
      <c r="AB1012">
        <v>27</v>
      </c>
      <c r="AC1012">
        <v>27.655899999999999</v>
      </c>
      <c r="AD1012">
        <v>-1.0778016061190001</v>
      </c>
      <c r="AE1012">
        <v>-3.5663000000000098</v>
      </c>
      <c r="AF1012">
        <v>3.86940965658754</v>
      </c>
      <c r="AG1012">
        <v>-1.0778016061190001</v>
      </c>
      <c r="AH1012">
        <v>27.573118301456098</v>
      </c>
      <c r="AI1012">
        <v>92.216787280019304</v>
      </c>
      <c r="AJ1012">
        <v>82.011695575911205</v>
      </c>
      <c r="AK1012">
        <v>27.864149731487199</v>
      </c>
      <c r="AL1012">
        <v>80.402879160144096</v>
      </c>
      <c r="AM1012">
        <v>89.298413900551395</v>
      </c>
      <c r="AN1012">
        <v>1.0000000036466199</v>
      </c>
    </row>
    <row r="1013" spans="1:40" x14ac:dyDescent="0.25">
      <c r="A1013" t="str">
        <f>"20190303162231361"</f>
        <v>20190303162231361</v>
      </c>
      <c r="B1013" t="str">
        <f>"1551601351355666"</f>
        <v>1551601351355666</v>
      </c>
      <c r="C1013" t="s">
        <v>40</v>
      </c>
      <c r="D1013">
        <v>5.3678330000000001</v>
      </c>
      <c r="E1013">
        <v>0.5486799</v>
      </c>
      <c r="F1013" t="s">
        <v>41</v>
      </c>
      <c r="G1013">
        <v>-250.86619999999999</v>
      </c>
      <c r="H1013" s="1">
        <v>-4.9860929999999996E-6</v>
      </c>
      <c r="I1013">
        <v>363.49740000000003</v>
      </c>
      <c r="J1013">
        <v>-279.16030000000001</v>
      </c>
      <c r="K1013">
        <v>1.0790360000000001</v>
      </c>
      <c r="L1013">
        <v>367.16489999999999</v>
      </c>
      <c r="M1013">
        <v>0.99992309999999995</v>
      </c>
      <c r="N1013">
        <v>-5.3863599999999998E-3</v>
      </c>
      <c r="O1013">
        <v>1.1176780000000001E-2</v>
      </c>
      <c r="P1013">
        <v>0.9869078</v>
      </c>
      <c r="Q1013">
        <v>0.16127449999999999</v>
      </c>
      <c r="R1013">
        <v>-1.9305489999999999E-3</v>
      </c>
      <c r="S1013">
        <v>3.0574650000000001</v>
      </c>
      <c r="T1013">
        <v>-0.1156229</v>
      </c>
      <c r="U1013">
        <v>-0.3931885</v>
      </c>
      <c r="V1013">
        <v>1.296685E-2</v>
      </c>
      <c r="W1013">
        <v>0.16658700000000001</v>
      </c>
      <c r="X1013">
        <v>0.98594150000000003</v>
      </c>
      <c r="Y1013">
        <v>0.13850960000000001</v>
      </c>
      <c r="Z1013">
        <v>-3.3429599999999999E-3</v>
      </c>
      <c r="AA1013">
        <v>0.9903554</v>
      </c>
      <c r="AB1013">
        <v>27</v>
      </c>
      <c r="AC1013">
        <v>28.2941</v>
      </c>
      <c r="AD1013">
        <v>-1.0790409860929999</v>
      </c>
      <c r="AE1013">
        <v>-3.66749999999996</v>
      </c>
      <c r="AF1013">
        <v>3.9778226578678799</v>
      </c>
      <c r="AG1013">
        <v>-1.0790409860929999</v>
      </c>
      <c r="AH1013">
        <v>28.210989096661802</v>
      </c>
      <c r="AI1013">
        <v>92.169001354757995</v>
      </c>
      <c r="AJ1013">
        <v>81.974057209035706</v>
      </c>
      <c r="AK1013">
        <v>28.5104771682111</v>
      </c>
      <c r="AL1013">
        <v>80.410561098601093</v>
      </c>
      <c r="AM1013">
        <v>89.246504029243098</v>
      </c>
      <c r="AN1013">
        <v>1.0000000045950801</v>
      </c>
    </row>
    <row r="1014" spans="1:40" x14ac:dyDescent="0.25">
      <c r="A1014" t="str">
        <f>"20190303162231376"</f>
        <v>20190303162231376</v>
      </c>
      <c r="B1014" t="str">
        <f>"1551601351365426"</f>
        <v>1551601351365426</v>
      </c>
      <c r="C1014" t="s">
        <v>40</v>
      </c>
      <c r="D1014">
        <v>5.4084199999999996</v>
      </c>
      <c r="E1014">
        <v>0.54850940000000004</v>
      </c>
      <c r="F1014" t="s">
        <v>41</v>
      </c>
      <c r="G1014">
        <v>-249.4179</v>
      </c>
      <c r="H1014" s="1">
        <v>-1.8826420000000001E-6</v>
      </c>
      <c r="I1014">
        <v>363.32150000000001</v>
      </c>
      <c r="J1014">
        <v>-278.98930000000001</v>
      </c>
      <c r="K1014">
        <v>1.0800540000000001</v>
      </c>
      <c r="L1014">
        <v>367.16680000000002</v>
      </c>
      <c r="M1014">
        <v>0.99992820000000004</v>
      </c>
      <c r="N1014">
        <v>-4.3170400000000003E-3</v>
      </c>
      <c r="O1014">
        <v>1.117776E-2</v>
      </c>
      <c r="P1014">
        <v>0.98674669999999998</v>
      </c>
      <c r="Q1014">
        <v>0.16225539999999999</v>
      </c>
      <c r="R1014">
        <v>-2.0291599999999999E-3</v>
      </c>
      <c r="S1014">
        <v>3.057159</v>
      </c>
      <c r="T1014">
        <v>-0.1109121</v>
      </c>
      <c r="U1014">
        <v>-0.39505000000000001</v>
      </c>
      <c r="V1014">
        <v>1.3064660000000001E-2</v>
      </c>
      <c r="W1014">
        <v>0.16651270000000001</v>
      </c>
      <c r="X1014">
        <v>0.98595270000000002</v>
      </c>
      <c r="Y1014">
        <v>0.1391269</v>
      </c>
      <c r="Z1014">
        <v>-3.1698669999999998E-3</v>
      </c>
      <c r="AA1014">
        <v>0.99026950000000002</v>
      </c>
      <c r="AB1014">
        <v>27</v>
      </c>
      <c r="AC1014">
        <v>29.571400000000001</v>
      </c>
      <c r="AD1014">
        <v>-1.0800558826419999</v>
      </c>
      <c r="AE1014">
        <v>-3.8452999999999999</v>
      </c>
      <c r="AF1014">
        <v>4.1701344928554498</v>
      </c>
      <c r="AG1014">
        <v>-1.0800558826419999</v>
      </c>
      <c r="AH1014">
        <v>29.4878881855043</v>
      </c>
      <c r="AI1014">
        <v>92.076992741067897</v>
      </c>
      <c r="AJ1014">
        <v>81.950690461032096</v>
      </c>
      <c r="AK1014">
        <v>29.800874014681799</v>
      </c>
      <c r="AL1014">
        <v>80.414877905032</v>
      </c>
      <c r="AM1014">
        <v>89.240829633765003</v>
      </c>
      <c r="AN1014">
        <v>0.99999994561974603</v>
      </c>
    </row>
    <row r="1015" spans="1:40" x14ac:dyDescent="0.25">
      <c r="A1015" t="str">
        <f>"20190303162231394"</f>
        <v>20190303162231394</v>
      </c>
      <c r="B1015" t="str">
        <f>"1551601351384946"</f>
        <v>1551601351384946</v>
      </c>
      <c r="C1015" t="s">
        <v>40</v>
      </c>
      <c r="D1015">
        <v>5.4001020000000004</v>
      </c>
      <c r="E1015">
        <v>0.54809609999999997</v>
      </c>
      <c r="F1015" t="s">
        <v>41</v>
      </c>
      <c r="G1015">
        <v>-248.4607</v>
      </c>
      <c r="H1015" s="1">
        <v>-2.2741220000000001E-6</v>
      </c>
      <c r="I1015">
        <v>363.23180000000002</v>
      </c>
      <c r="J1015">
        <v>-278.76909999999998</v>
      </c>
      <c r="K1015">
        <v>1.0813440000000001</v>
      </c>
      <c r="L1015">
        <v>367.16919999999999</v>
      </c>
      <c r="M1015">
        <v>0.99993290000000001</v>
      </c>
      <c r="N1015">
        <v>-3.0325619999999999E-3</v>
      </c>
      <c r="O1015">
        <v>1.117862E-2</v>
      </c>
      <c r="P1015">
        <v>0.98655490000000001</v>
      </c>
      <c r="Q1015">
        <v>0.16341559999999999</v>
      </c>
      <c r="R1015">
        <v>-2.1767539999999999E-3</v>
      </c>
      <c r="S1015">
        <v>3.0572810000000001</v>
      </c>
      <c r="T1015">
        <v>-0.10816190000000001</v>
      </c>
      <c r="U1015">
        <v>-0.39407350000000002</v>
      </c>
      <c r="V1015">
        <v>1.321106E-2</v>
      </c>
      <c r="W1015">
        <v>0.166406</v>
      </c>
      <c r="X1015">
        <v>0.98596879999999998</v>
      </c>
      <c r="Y1015">
        <v>0.13881940000000001</v>
      </c>
      <c r="Z1015">
        <v>-3.0162169999999999E-3</v>
      </c>
      <c r="AA1015">
        <v>0.99031309999999995</v>
      </c>
      <c r="AB1015">
        <v>27</v>
      </c>
      <c r="AC1015">
        <v>30.308399999999899</v>
      </c>
      <c r="AD1015">
        <v>-1.0813462741219999</v>
      </c>
      <c r="AE1015">
        <v>-3.9373999999999598</v>
      </c>
      <c r="AF1015">
        <v>4.2706156695164701</v>
      </c>
      <c r="AG1015">
        <v>-1.0813462741219999</v>
      </c>
      <c r="AH1015">
        <v>30.2246560857932</v>
      </c>
      <c r="AI1015">
        <v>92.028859414043296</v>
      </c>
      <c r="AJ1015">
        <v>81.957588334948198</v>
      </c>
      <c r="AK1015">
        <v>30.5440223851698</v>
      </c>
      <c r="AL1015">
        <v>80.421078214348</v>
      </c>
      <c r="AM1015">
        <v>89.232336066988793</v>
      </c>
      <c r="AN1015">
        <v>0.99999998175788096</v>
      </c>
    </row>
    <row r="1016" spans="1:40" x14ac:dyDescent="0.25">
      <c r="A1016" t="str">
        <f>"20190303162231419"</f>
        <v>20190303162231419</v>
      </c>
      <c r="B1016" t="str">
        <f>"1551601351415202"</f>
        <v>1551601351415202</v>
      </c>
      <c r="C1016" t="s">
        <v>40</v>
      </c>
      <c r="D1016">
        <v>5.3806139999999996</v>
      </c>
      <c r="E1016">
        <v>0.52141340000000003</v>
      </c>
      <c r="F1016" t="s">
        <v>41</v>
      </c>
      <c r="G1016">
        <v>-247.09469999999999</v>
      </c>
      <c r="H1016" s="1">
        <v>-2.8292380000000002E-6</v>
      </c>
      <c r="I1016">
        <v>363.11689999999999</v>
      </c>
      <c r="J1016">
        <v>-278.4606</v>
      </c>
      <c r="K1016">
        <v>1.083243</v>
      </c>
      <c r="L1016">
        <v>367.17270000000002</v>
      </c>
      <c r="M1016">
        <v>0.99993549999999998</v>
      </c>
      <c r="N1016">
        <v>-2.0191919999999999E-3</v>
      </c>
      <c r="O1016">
        <v>1.1180290000000001E-2</v>
      </c>
      <c r="P1016">
        <v>0.98637779999999997</v>
      </c>
      <c r="Q1016">
        <v>0.16447929999999999</v>
      </c>
      <c r="R1016">
        <v>-2.3149770000000002E-3</v>
      </c>
      <c r="S1016">
        <v>3.057312</v>
      </c>
      <c r="T1016">
        <v>-0.10437490000000001</v>
      </c>
      <c r="U1016">
        <v>-0.39114379999999999</v>
      </c>
      <c r="V1016">
        <v>1.3349049999999999E-2</v>
      </c>
      <c r="W1016">
        <v>0.166469899999999</v>
      </c>
      <c r="X1016">
        <v>0.98595619999999995</v>
      </c>
      <c r="Y1016">
        <v>0.1378953</v>
      </c>
      <c r="Z1016">
        <v>-2.841049E-3</v>
      </c>
      <c r="AA1016">
        <v>0.99044279999999996</v>
      </c>
      <c r="AB1016">
        <v>27</v>
      </c>
      <c r="AC1016">
        <v>31.3659</v>
      </c>
      <c r="AD1016">
        <v>-1.0832458292380001</v>
      </c>
      <c r="AE1016">
        <v>-4.0558000000000298</v>
      </c>
      <c r="AF1016">
        <v>4.4010641511892903</v>
      </c>
      <c r="AG1016">
        <v>-1.0832458292380001</v>
      </c>
      <c r="AH1016">
        <v>31.2818974956229</v>
      </c>
      <c r="AI1016">
        <v>91.963949194774798</v>
      </c>
      <c r="AJ1016">
        <v>81.991594038406404</v>
      </c>
      <c r="AK1016">
        <v>31.608541537314</v>
      </c>
      <c r="AL1016">
        <v>80.417365658013907</v>
      </c>
      <c r="AM1016">
        <v>89.224308852471907</v>
      </c>
      <c r="AN1016">
        <v>1.0000000265301701</v>
      </c>
    </row>
    <row r="1017" spans="1:40" x14ac:dyDescent="0.25">
      <c r="A1017" t="str">
        <f>"20190303162231430"</f>
        <v>20190303162231430</v>
      </c>
      <c r="B1017" t="str">
        <f>"1551601351424962"</f>
        <v>1551601351424962</v>
      </c>
      <c r="C1017" t="s">
        <v>40</v>
      </c>
      <c r="D1017">
        <v>5.3828199999999997</v>
      </c>
      <c r="E1017">
        <v>0.5217425</v>
      </c>
      <c r="F1017" t="s">
        <v>44</v>
      </c>
      <c r="G1017">
        <v>-200.58760000000001</v>
      </c>
      <c r="H1017" s="1">
        <v>-2.205589E-6</v>
      </c>
      <c r="I1017">
        <v>362.61399999999998</v>
      </c>
      <c r="J1017">
        <v>-278.3331</v>
      </c>
      <c r="K1017">
        <v>1.084209</v>
      </c>
      <c r="L1017">
        <v>367.17410000000001</v>
      </c>
      <c r="M1017">
        <v>0.99993529999999997</v>
      </c>
      <c r="N1017">
        <v>-2.0667810000000002E-3</v>
      </c>
      <c r="O1017">
        <v>1.1180890000000001E-2</v>
      </c>
      <c r="P1017">
        <v>0.98639250000000001</v>
      </c>
      <c r="Q1017">
        <v>0.16438659999999999</v>
      </c>
      <c r="R1017">
        <v>-2.6842599999999999E-3</v>
      </c>
      <c r="S1017">
        <v>3.0480960000000001</v>
      </c>
      <c r="T1017">
        <v>-4.2400239999999999E-2</v>
      </c>
      <c r="U1017">
        <v>-0.17843629999999999</v>
      </c>
      <c r="V1017">
        <v>1.371906E-2</v>
      </c>
      <c r="W1017">
        <v>0.1664243</v>
      </c>
      <c r="X1017">
        <v>0.98595880000000002</v>
      </c>
      <c r="Y1017">
        <v>6.9589869999999998E-2</v>
      </c>
      <c r="Z1017">
        <v>-6.8786749999999995E-4</v>
      </c>
      <c r="AA1017">
        <v>0.99757549999999995</v>
      </c>
      <c r="AB1017">
        <v>27</v>
      </c>
      <c r="AC1017">
        <v>77.745499999999893</v>
      </c>
      <c r="AD1017">
        <v>-1.0842112055890001</v>
      </c>
      <c r="AE1017">
        <v>-4.5600999999999701</v>
      </c>
      <c r="AF1017">
        <v>5.4280287149203597</v>
      </c>
      <c r="AG1017">
        <v>-1.0842112055890001</v>
      </c>
      <c r="AH1017">
        <v>77.674599721986496</v>
      </c>
      <c r="AI1017">
        <v>90.797758772273795</v>
      </c>
      <c r="AJ1017">
        <v>86.002575355684399</v>
      </c>
      <c r="AK1017">
        <v>77.871576660801907</v>
      </c>
      <c r="AL1017">
        <v>80.420015125632204</v>
      </c>
      <c r="AM1017">
        <v>89.202813024532006</v>
      </c>
      <c r="AN1017">
        <v>1.0000000077675999</v>
      </c>
    </row>
    <row r="1018" spans="1:40" x14ac:dyDescent="0.25">
      <c r="A1018" t="str">
        <f>"20190303162231443"</f>
        <v>20190303162231443</v>
      </c>
      <c r="B1018" t="str">
        <f>"1551601351435698"</f>
        <v>1551601351435698</v>
      </c>
      <c r="C1018" t="s">
        <v>40</v>
      </c>
      <c r="D1018">
        <v>5.4088459999999996</v>
      </c>
      <c r="E1018">
        <v>0.5224413</v>
      </c>
      <c r="F1018" t="s">
        <v>44</v>
      </c>
      <c r="G1018">
        <v>-199.4973</v>
      </c>
      <c r="H1018" s="1">
        <v>-9.7654800000000002E-6</v>
      </c>
      <c r="I1018">
        <v>362.46640000000002</v>
      </c>
      <c r="J1018">
        <v>-278.17720000000003</v>
      </c>
      <c r="K1018">
        <v>1.0854809999999999</v>
      </c>
      <c r="L1018">
        <v>367.17579999999998</v>
      </c>
      <c r="M1018">
        <v>0.99993489999999996</v>
      </c>
      <c r="N1018">
        <v>-2.2811860000000002E-3</v>
      </c>
      <c r="O1018">
        <v>1.1181490000000001E-2</v>
      </c>
      <c r="P1018">
        <v>0.98637269999999999</v>
      </c>
      <c r="Q1018">
        <v>0.16449549999999999</v>
      </c>
      <c r="R1018">
        <v>-3.1556650000000002E-3</v>
      </c>
      <c r="S1018">
        <v>3.0479129999999999</v>
      </c>
      <c r="T1018">
        <v>-4.191756E-2</v>
      </c>
      <c r="U1018">
        <v>-0.1820068</v>
      </c>
      <c r="V1018">
        <v>1.419106E-2</v>
      </c>
      <c r="W1018">
        <v>0.166744</v>
      </c>
      <c r="X1018">
        <v>0.9858981</v>
      </c>
      <c r="Y1018">
        <v>7.0758450000000001E-2</v>
      </c>
      <c r="Z1018">
        <v>-6.9505539999999903E-4</v>
      </c>
      <c r="AA1018">
        <v>0.99749319999999997</v>
      </c>
      <c r="AB1018">
        <v>27</v>
      </c>
      <c r="AC1018">
        <v>78.679900000000004</v>
      </c>
      <c r="AD1018">
        <v>-1.0854907654799999</v>
      </c>
      <c r="AE1018">
        <v>-4.7093999999999596</v>
      </c>
      <c r="AF1018">
        <v>5.5878066073672796</v>
      </c>
      <c r="AG1018">
        <v>-1.0854907654799999</v>
      </c>
      <c r="AH1018">
        <v>78.607414532805507</v>
      </c>
      <c r="AI1018">
        <v>90.789156778320503</v>
      </c>
      <c r="AJ1018">
        <v>85.933970020430706</v>
      </c>
      <c r="AK1018">
        <v>78.813244397218</v>
      </c>
      <c r="AL1018">
        <v>80.401438072083494</v>
      </c>
      <c r="AM1018">
        <v>89.175339015613702</v>
      </c>
      <c r="AN1018">
        <v>1.0000000056517599</v>
      </c>
    </row>
    <row r="1019" spans="1:40" x14ac:dyDescent="0.25">
      <c r="A1019" t="str">
        <f>"20190303162231461"</f>
        <v>20190303162231461</v>
      </c>
      <c r="B1019" t="str">
        <f>"1551601351455218"</f>
        <v>1551601351455218</v>
      </c>
      <c r="C1019" t="s">
        <v>40</v>
      </c>
      <c r="D1019">
        <v>5.4037439999999997</v>
      </c>
      <c r="E1019">
        <v>0.52331669999999997</v>
      </c>
      <c r="F1019" t="s">
        <v>41</v>
      </c>
      <c r="G1019">
        <v>-211.5264</v>
      </c>
      <c r="H1019" s="1">
        <v>-4.7820449999999999E-6</v>
      </c>
      <c r="I1019">
        <v>363.05119999999999</v>
      </c>
      <c r="J1019">
        <v>-277.97469999999998</v>
      </c>
      <c r="K1019">
        <v>1.0873060000000001</v>
      </c>
      <c r="L1019">
        <v>367.17809999999997</v>
      </c>
      <c r="M1019">
        <v>0.9999344</v>
      </c>
      <c r="N1019">
        <v>-2.5475630000000001E-3</v>
      </c>
      <c r="O1019">
        <v>1.118098E-2</v>
      </c>
      <c r="P1019">
        <v>0.98618110000000003</v>
      </c>
      <c r="Q1019">
        <v>0.1656214</v>
      </c>
      <c r="R1019">
        <v>-4.0697440000000001E-3</v>
      </c>
      <c r="S1019">
        <v>3.0491329999999999</v>
      </c>
      <c r="T1019">
        <v>-4.9658540000000001E-2</v>
      </c>
      <c r="U1019">
        <v>-0.1886902</v>
      </c>
      <c r="V1019">
        <v>1.510237E-2</v>
      </c>
      <c r="W1019">
        <v>0.1681327</v>
      </c>
      <c r="X1019">
        <v>0.98564870000000004</v>
      </c>
      <c r="Y1019">
        <v>7.2908680000000003E-2</v>
      </c>
      <c r="Z1019">
        <v>-8.3952690000000003E-4</v>
      </c>
      <c r="AA1019">
        <v>0.99733830000000001</v>
      </c>
      <c r="AB1019">
        <v>26</v>
      </c>
      <c r="AC1019">
        <v>66.448299999999904</v>
      </c>
      <c r="AD1019">
        <v>-1.0873107820450001</v>
      </c>
      <c r="AE1019">
        <v>-4.1268999999999698</v>
      </c>
      <c r="AF1019">
        <v>4.8683029292512403</v>
      </c>
      <c r="AG1019">
        <v>-1.0873107820450001</v>
      </c>
      <c r="AH1019">
        <v>66.380297975306604</v>
      </c>
      <c r="AI1019">
        <v>90.935909082675806</v>
      </c>
      <c r="AJ1019">
        <v>85.805461428525206</v>
      </c>
      <c r="AK1019">
        <v>66.567458847684705</v>
      </c>
      <c r="AL1019">
        <v>80.320732223574097</v>
      </c>
      <c r="AM1019">
        <v>89.122167608995198</v>
      </c>
      <c r="AN1019">
        <v>1.0000000231002899</v>
      </c>
    </row>
    <row r="1020" spans="1:40" x14ac:dyDescent="0.25">
      <c r="A1020" t="str">
        <f>"20190303162231473"</f>
        <v>20190303162231473</v>
      </c>
      <c r="B1020" t="str">
        <f>"1551601351464978"</f>
        <v>1551601351464978</v>
      </c>
      <c r="C1020" t="s">
        <v>40</v>
      </c>
      <c r="D1020">
        <v>5.4147470000000002</v>
      </c>
      <c r="E1020">
        <v>0.52353170000000004</v>
      </c>
      <c r="F1020" t="s">
        <v>41</v>
      </c>
      <c r="G1020">
        <v>-220.34200000000001</v>
      </c>
      <c r="H1020" s="1">
        <v>-5.2231099999999999E-6</v>
      </c>
      <c r="I1020">
        <v>363.42910000000001</v>
      </c>
      <c r="J1020">
        <v>-277.81729999999999</v>
      </c>
      <c r="K1020">
        <v>1.0887530000000001</v>
      </c>
      <c r="L1020">
        <v>367.1798</v>
      </c>
      <c r="M1020">
        <v>0.9999344</v>
      </c>
      <c r="N1020">
        <v>-2.5371970000000002E-3</v>
      </c>
      <c r="O1020">
        <v>1.1180870000000001E-2</v>
      </c>
      <c r="P1020">
        <v>0.9861299</v>
      </c>
      <c r="Q1020">
        <v>0.1659167</v>
      </c>
      <c r="R1020">
        <v>-4.4493199999999997E-3</v>
      </c>
      <c r="S1020">
        <v>3.0508730000000002</v>
      </c>
      <c r="T1020">
        <v>-5.75583E-2</v>
      </c>
      <c r="U1020">
        <v>-0.19845579999999999</v>
      </c>
      <c r="V1020">
        <v>1.548122E-2</v>
      </c>
      <c r="W1020">
        <v>0.16841709999999999</v>
      </c>
      <c r="X1020">
        <v>0.98559419999999998</v>
      </c>
      <c r="Y1020">
        <v>7.6048160000000004E-2</v>
      </c>
      <c r="Z1020">
        <v>-9.9551530000000009E-4</v>
      </c>
      <c r="AA1020">
        <v>0.99710359999999998</v>
      </c>
      <c r="AB1020">
        <v>26</v>
      </c>
      <c r="AC1020">
        <v>57.475299999999898</v>
      </c>
      <c r="AD1020">
        <v>-1.0887582231099999</v>
      </c>
      <c r="AE1020">
        <v>-3.7506999999999899</v>
      </c>
      <c r="AF1020">
        <v>4.3915222248802497</v>
      </c>
      <c r="AG1020">
        <v>-1.0887582231099999</v>
      </c>
      <c r="AH1020">
        <v>57.409257740147901</v>
      </c>
      <c r="AI1020">
        <v>91.0833117692397</v>
      </c>
      <c r="AJ1020">
        <v>85.625677120412604</v>
      </c>
      <c r="AK1020">
        <v>57.587270609004698</v>
      </c>
      <c r="AL1020">
        <v>80.304200935902799</v>
      </c>
      <c r="AM1020">
        <v>89.100100599930698</v>
      </c>
      <c r="AN1020">
        <v>0.99999995740936798</v>
      </c>
    </row>
    <row r="1021" spans="1:40" x14ac:dyDescent="0.25">
      <c r="A1021" t="str">
        <f>"20190303162231485"</f>
        <v>20190303162231485</v>
      </c>
      <c r="B1021" t="str">
        <f>"1551601351475715"</f>
        <v>1551601351475715</v>
      </c>
      <c r="C1021" t="s">
        <v>40</v>
      </c>
      <c r="D1021">
        <v>5.4113089999999904</v>
      </c>
      <c r="E1021">
        <v>0.52369480000000002</v>
      </c>
      <c r="F1021" t="s">
        <v>41</v>
      </c>
      <c r="G1021">
        <v>-224.34559999999999</v>
      </c>
      <c r="H1021" s="1">
        <v>-3.4994930000000001E-6</v>
      </c>
      <c r="I1021">
        <v>363.64370000000002</v>
      </c>
      <c r="J1021">
        <v>-277.67989999999998</v>
      </c>
      <c r="K1021">
        <v>1.090036</v>
      </c>
      <c r="L1021">
        <v>367.1814</v>
      </c>
      <c r="M1021">
        <v>0.9999344</v>
      </c>
      <c r="N1021">
        <v>-2.4902739999999998E-3</v>
      </c>
      <c r="O1021">
        <v>1.118093E-2</v>
      </c>
      <c r="P1021">
        <v>0.98628009999999999</v>
      </c>
      <c r="Q1021">
        <v>0.16499639999999999</v>
      </c>
      <c r="R1021">
        <v>-5.27517E-3</v>
      </c>
      <c r="S1021">
        <v>3.051758</v>
      </c>
      <c r="T1021">
        <v>-6.213784E-2</v>
      </c>
      <c r="U1021">
        <v>-0.20181270000000001</v>
      </c>
      <c r="V1021">
        <v>1.6308759999999999E-2</v>
      </c>
      <c r="W1021">
        <v>0.16745109999999999</v>
      </c>
      <c r="X1021">
        <v>0.98574550000000005</v>
      </c>
      <c r="Y1021">
        <v>7.7118690000000004E-2</v>
      </c>
      <c r="Z1021">
        <v>-1.0799169999999999E-3</v>
      </c>
      <c r="AA1021">
        <v>0.9970213</v>
      </c>
      <c r="AB1021">
        <v>26</v>
      </c>
      <c r="AC1021">
        <v>53.334299999999899</v>
      </c>
      <c r="AD1021">
        <v>-1.0900394994930001</v>
      </c>
      <c r="AE1021">
        <v>-3.5376999999999699</v>
      </c>
      <c r="AF1021">
        <v>4.1320893404236196</v>
      </c>
      <c r="AG1021">
        <v>-1.0900394994930001</v>
      </c>
      <c r="AH1021">
        <v>53.269257783803504</v>
      </c>
      <c r="AI1021">
        <v>91.1687598950774</v>
      </c>
      <c r="AJ1021">
        <v>85.564456014948206</v>
      </c>
      <c r="AK1021">
        <v>53.440398326219501</v>
      </c>
      <c r="AL1021">
        <v>80.360346619758303</v>
      </c>
      <c r="AM1021">
        <v>89.052151013422701</v>
      </c>
      <c r="AN1021">
        <v>1.0000000186570901</v>
      </c>
    </row>
    <row r="1022" spans="1:40" x14ac:dyDescent="0.25">
      <c r="A1022" t="str">
        <f>"20190303162231499"</f>
        <v>20190303162231499</v>
      </c>
      <c r="B1022" t="str">
        <f>"1551601351495234"</f>
        <v>1551601351495234</v>
      </c>
      <c r="C1022" t="s">
        <v>40</v>
      </c>
      <c r="D1022">
        <v>5.4346690000000004</v>
      </c>
      <c r="E1022">
        <v>0.52402910000000003</v>
      </c>
      <c r="F1022" t="s">
        <v>41</v>
      </c>
      <c r="G1022">
        <v>-228.30600000000001</v>
      </c>
      <c r="H1022" s="1">
        <v>-2.0949399999999999E-6</v>
      </c>
      <c r="I1022">
        <v>363.8571</v>
      </c>
      <c r="J1022">
        <v>-277.5172</v>
      </c>
      <c r="K1022">
        <v>1.091615</v>
      </c>
      <c r="L1022">
        <v>367.1832</v>
      </c>
      <c r="M1022">
        <v>0.99993460000000001</v>
      </c>
      <c r="N1022">
        <v>-2.4215159999999999E-3</v>
      </c>
      <c r="O1022">
        <v>1.118066E-2</v>
      </c>
      <c r="P1022">
        <v>0.98643689999999995</v>
      </c>
      <c r="Q1022">
        <v>0.16403889999999999</v>
      </c>
      <c r="R1022">
        <v>-5.8134679999999996E-3</v>
      </c>
      <c r="S1022">
        <v>3.0519099999999999</v>
      </c>
      <c r="T1022">
        <v>-6.7377569999999998E-2</v>
      </c>
      <c r="U1022">
        <v>-0.20547489999999999</v>
      </c>
      <c r="V1022">
        <v>1.684855E-2</v>
      </c>
      <c r="W1022">
        <v>0.16642570000000001</v>
      </c>
      <c r="X1022">
        <v>0.98591010000000001</v>
      </c>
      <c r="Y1022">
        <v>7.8302559999999993E-2</v>
      </c>
      <c r="Z1022">
        <v>-1.177703E-3</v>
      </c>
      <c r="AA1022">
        <v>0.99692890000000001</v>
      </c>
      <c r="AB1022">
        <v>27</v>
      </c>
      <c r="AC1022">
        <v>49.211199999999998</v>
      </c>
      <c r="AD1022">
        <v>-1.0916170949399999</v>
      </c>
      <c r="AE1022">
        <v>-3.3260999999999901</v>
      </c>
      <c r="AF1022">
        <v>3.87420973551529</v>
      </c>
      <c r="AG1022">
        <v>-1.0916170949399999</v>
      </c>
      <c r="AH1022">
        <v>49.146862969116299</v>
      </c>
      <c r="AI1022">
        <v>91.268472357519698</v>
      </c>
      <c r="AJ1022">
        <v>85.492738080996205</v>
      </c>
      <c r="AK1022">
        <v>49.311411140443198</v>
      </c>
      <c r="AL1022">
        <v>80.419934246097199</v>
      </c>
      <c r="AM1022">
        <v>89.020948414115097</v>
      </c>
      <c r="AN1022">
        <v>1.0000000562697899</v>
      </c>
    </row>
    <row r="1023" spans="1:40" x14ac:dyDescent="0.25">
      <c r="A1023" t="str">
        <f>"20190303162231510"</f>
        <v>20190303162231510</v>
      </c>
      <c r="B1023" t="str">
        <f>"1551601351504994"</f>
        <v>1551601351504994</v>
      </c>
      <c r="C1023" t="s">
        <v>40</v>
      </c>
      <c r="D1023">
        <v>5.3958050000000002</v>
      </c>
      <c r="E1023">
        <v>0.52413449999999995</v>
      </c>
      <c r="F1023" t="s">
        <v>41</v>
      </c>
      <c r="G1023">
        <v>-233.21449999999999</v>
      </c>
      <c r="H1023" s="1">
        <v>-3.8653549999999997E-6</v>
      </c>
      <c r="I1023">
        <v>364.13630000000001</v>
      </c>
      <c r="J1023">
        <v>-277.36829999999998</v>
      </c>
      <c r="K1023">
        <v>1.0931120000000001</v>
      </c>
      <c r="L1023">
        <v>367.1848</v>
      </c>
      <c r="M1023">
        <v>0.99993460000000001</v>
      </c>
      <c r="N1023">
        <v>-2.479771E-3</v>
      </c>
      <c r="O1023">
        <v>1.118076E-2</v>
      </c>
      <c r="P1023">
        <v>0.98672669999999996</v>
      </c>
      <c r="Q1023">
        <v>0.16226099999999999</v>
      </c>
      <c r="R1023">
        <v>-6.489641E-3</v>
      </c>
      <c r="S1023">
        <v>3.0524900000000001</v>
      </c>
      <c r="T1023">
        <v>-7.5213310000000005E-2</v>
      </c>
      <c r="U1023">
        <v>-0.20993039999999999</v>
      </c>
      <c r="V1023">
        <v>1.7527910000000001E-2</v>
      </c>
      <c r="W1023">
        <v>0.16470599999999999</v>
      </c>
      <c r="X1023">
        <v>0.98618700000000004</v>
      </c>
      <c r="Y1023">
        <v>7.9732330000000004E-2</v>
      </c>
      <c r="Z1023">
        <v>-1.3274490000000001E-3</v>
      </c>
      <c r="AA1023">
        <v>0.99681540000000002</v>
      </c>
      <c r="AB1023">
        <v>27</v>
      </c>
      <c r="AC1023">
        <v>44.153799999999897</v>
      </c>
      <c r="AD1023">
        <v>-1.0931158653549999</v>
      </c>
      <c r="AE1023">
        <v>-3.04849999999999</v>
      </c>
      <c r="AF1023">
        <v>3.5398246182197801</v>
      </c>
      <c r="AG1023">
        <v>-1.0931158653549999</v>
      </c>
      <c r="AH1023">
        <v>44.090060429437898</v>
      </c>
      <c r="AI1023">
        <v>91.415678159608206</v>
      </c>
      <c r="AJ1023">
        <v>85.409783778765402</v>
      </c>
      <c r="AK1023">
        <v>44.245436931895398</v>
      </c>
      <c r="AL1023">
        <v>80.519844603030407</v>
      </c>
      <c r="AM1023">
        <v>88.981765589626804</v>
      </c>
      <c r="AN1023">
        <v>1.00000004651698</v>
      </c>
    </row>
    <row r="1024" spans="1:40" x14ac:dyDescent="0.25">
      <c r="A1024" t="str">
        <f>"20190303162231523"</f>
        <v>20190303162231523</v>
      </c>
      <c r="B1024" t="str">
        <f>"1551601351515730"</f>
        <v>1551601351515730</v>
      </c>
      <c r="C1024" t="s">
        <v>40</v>
      </c>
      <c r="D1024">
        <v>5.4132800000000003</v>
      </c>
      <c r="E1024">
        <v>0.52432599999999996</v>
      </c>
      <c r="F1024" t="s">
        <v>41</v>
      </c>
      <c r="G1024">
        <v>-236.23330000000001</v>
      </c>
      <c r="H1024" s="1">
        <v>-2.6778259999999999E-6</v>
      </c>
      <c r="I1024">
        <v>364.31740000000002</v>
      </c>
      <c r="J1024">
        <v>-277.22329999999999</v>
      </c>
      <c r="K1024">
        <v>1.0945990000000001</v>
      </c>
      <c r="L1024">
        <v>367.18650000000002</v>
      </c>
      <c r="M1024">
        <v>0.99993410000000005</v>
      </c>
      <c r="N1024">
        <v>-2.5993420000000001E-3</v>
      </c>
      <c r="O1024">
        <v>1.118127E-2</v>
      </c>
      <c r="P1024">
        <v>0.98689079999999996</v>
      </c>
      <c r="Q1024">
        <v>0.1612372</v>
      </c>
      <c r="R1024">
        <v>-7.0075750000000003E-3</v>
      </c>
      <c r="S1024">
        <v>3.0523069999999999</v>
      </c>
      <c r="T1024">
        <v>-8.1111310000000006E-2</v>
      </c>
      <c r="U1024">
        <v>-0.2127686</v>
      </c>
      <c r="V1024">
        <v>1.8048149999999999E-2</v>
      </c>
      <c r="W1024">
        <v>0.163801</v>
      </c>
      <c r="X1024">
        <v>0.98632830000000005</v>
      </c>
      <c r="Y1024">
        <v>8.065427E-2</v>
      </c>
      <c r="Z1024">
        <v>-1.4428479999999901E-3</v>
      </c>
      <c r="AA1024">
        <v>0.99674110000000005</v>
      </c>
      <c r="AB1024">
        <v>27</v>
      </c>
      <c r="AC1024">
        <v>40.989999999999903</v>
      </c>
      <c r="AD1024">
        <v>-1.0946016778259999</v>
      </c>
      <c r="AE1024">
        <v>-2.8691</v>
      </c>
      <c r="AF1024">
        <v>3.3248830075713101</v>
      </c>
      <c r="AG1024">
        <v>-1.0946016778259999</v>
      </c>
      <c r="AH1024">
        <v>40.926314645530603</v>
      </c>
      <c r="AI1024">
        <v>91.527020208102499</v>
      </c>
      <c r="AJ1024">
        <v>85.355450155520401</v>
      </c>
      <c r="AK1024">
        <v>41.075737733023203</v>
      </c>
      <c r="AL1024">
        <v>80.572410880932296</v>
      </c>
      <c r="AM1024">
        <v>88.951700531416606</v>
      </c>
      <c r="AN1024">
        <v>1.00000000935015</v>
      </c>
    </row>
    <row r="1025" spans="1:40" x14ac:dyDescent="0.25">
      <c r="A1025" t="str">
        <f>"20190303162231539"</f>
        <v>20190303162231539</v>
      </c>
      <c r="B1025" t="str">
        <f>"1551601351525490"</f>
        <v>1551601351525490</v>
      </c>
      <c r="C1025" t="s">
        <v>40</v>
      </c>
      <c r="D1025">
        <v>5.4290940000000001</v>
      </c>
      <c r="E1025">
        <v>0.52439579999999997</v>
      </c>
      <c r="F1025" t="s">
        <v>41</v>
      </c>
      <c r="G1025">
        <v>-238.63419999999999</v>
      </c>
      <c r="H1025" s="1">
        <v>-1.822942E-6</v>
      </c>
      <c r="I1025">
        <v>364.45960000000002</v>
      </c>
      <c r="J1025">
        <v>-277.0369</v>
      </c>
      <c r="K1025">
        <v>1.096571</v>
      </c>
      <c r="L1025">
        <v>367.18849999999998</v>
      </c>
      <c r="M1025">
        <v>0.99993310000000002</v>
      </c>
      <c r="N1025">
        <v>-3.0001799999999999E-3</v>
      </c>
      <c r="O1025">
        <v>1.118152E-2</v>
      </c>
      <c r="P1025">
        <v>0.98693260000000005</v>
      </c>
      <c r="Q1025">
        <v>0.16093979999999999</v>
      </c>
      <c r="R1025">
        <v>-7.9122540000000005E-3</v>
      </c>
      <c r="S1025">
        <v>3.05246</v>
      </c>
      <c r="T1025">
        <v>-8.6584690000000006E-2</v>
      </c>
      <c r="U1025">
        <v>-0.21569820000000001</v>
      </c>
      <c r="V1025">
        <v>1.8953569999999999E-2</v>
      </c>
      <c r="W1025">
        <v>0.16389889999999999</v>
      </c>
      <c r="X1025">
        <v>0.98629500000000003</v>
      </c>
      <c r="Y1025">
        <v>8.1597630000000004E-2</v>
      </c>
      <c r="Z1025">
        <v>-1.561434E-3</v>
      </c>
      <c r="AA1025">
        <v>0.99666410000000005</v>
      </c>
      <c r="AB1025">
        <v>27</v>
      </c>
      <c r="AC1025">
        <v>38.402700000000003</v>
      </c>
      <c r="AD1025">
        <v>-1.096572822942</v>
      </c>
      <c r="AE1025">
        <v>-2.7288999999999501</v>
      </c>
      <c r="AF1025">
        <v>3.1555718295426001</v>
      </c>
      <c r="AG1025">
        <v>-1.096572822942</v>
      </c>
      <c r="AH1025">
        <v>38.3386829251167</v>
      </c>
      <c r="AI1025">
        <v>91.632823381109802</v>
      </c>
      <c r="AJ1025">
        <v>85.294717953836695</v>
      </c>
      <c r="AK1025">
        <v>38.4839539803287</v>
      </c>
      <c r="AL1025">
        <v>80.566724280943603</v>
      </c>
      <c r="AM1025">
        <v>88.899086055331097</v>
      </c>
      <c r="AN1025">
        <v>0.999999957130976</v>
      </c>
    </row>
    <row r="1026" spans="1:40" x14ac:dyDescent="0.25">
      <c r="A1026" t="str">
        <f>"20190303162231551"</f>
        <v>20190303162231551</v>
      </c>
      <c r="B1026" t="str">
        <f>"1551601351545012"</f>
        <v>1551601351545012</v>
      </c>
      <c r="C1026" t="s">
        <v>40</v>
      </c>
      <c r="D1026">
        <v>5.4514180000000003</v>
      </c>
      <c r="E1026">
        <v>0.52453680000000003</v>
      </c>
      <c r="F1026" t="s">
        <v>41</v>
      </c>
      <c r="G1026">
        <v>-238.73159999999999</v>
      </c>
      <c r="H1026" s="1">
        <v>-1.7968279999999901E-6</v>
      </c>
      <c r="I1026">
        <v>364.4332</v>
      </c>
      <c r="J1026">
        <v>-276.89</v>
      </c>
      <c r="K1026">
        <v>1.098112</v>
      </c>
      <c r="L1026">
        <v>367.1902</v>
      </c>
      <c r="M1026">
        <v>0.99993189999999998</v>
      </c>
      <c r="N1026">
        <v>-3.396821E-3</v>
      </c>
      <c r="O1026">
        <v>1.118189E-2</v>
      </c>
      <c r="P1026">
        <v>0.98690299999999997</v>
      </c>
      <c r="Q1026">
        <v>0.16111600000000001</v>
      </c>
      <c r="R1026">
        <v>-8.0216409999999995E-3</v>
      </c>
      <c r="S1026">
        <v>3.0521850000000001</v>
      </c>
      <c r="T1026">
        <v>-8.7375159999999993E-2</v>
      </c>
      <c r="U1026">
        <v>-0.2195435</v>
      </c>
      <c r="V1026">
        <v>1.906298E-2</v>
      </c>
      <c r="W1026">
        <v>0.1644661</v>
      </c>
      <c r="X1026">
        <v>0.98619849999999998</v>
      </c>
      <c r="Y1026">
        <v>8.2851869999999994E-2</v>
      </c>
      <c r="Z1026">
        <v>-1.6067919999999999E-3</v>
      </c>
      <c r="AA1026">
        <v>0.99656060000000002</v>
      </c>
      <c r="AB1026">
        <v>27</v>
      </c>
      <c r="AC1026">
        <v>38.1584</v>
      </c>
      <c r="AD1026">
        <v>-1.0981137968279999</v>
      </c>
      <c r="AE1026">
        <v>-2.7570000000000001</v>
      </c>
      <c r="AF1026">
        <v>3.1808924364420399</v>
      </c>
      <c r="AG1026">
        <v>-1.0981137968279999</v>
      </c>
      <c r="AH1026">
        <v>38.093801754855797</v>
      </c>
      <c r="AI1026">
        <v>91.645460401924197</v>
      </c>
      <c r="AJ1026">
        <v>85.226785396470902</v>
      </c>
      <c r="AK1026">
        <v>38.242145111659902</v>
      </c>
      <c r="AL1026">
        <v>80.533779343446696</v>
      </c>
      <c r="AM1026">
        <v>88.892624257511002</v>
      </c>
      <c r="AN1026">
        <v>0.99999998832896997</v>
      </c>
    </row>
    <row r="1027" spans="1:40" x14ac:dyDescent="0.25">
      <c r="A1027" t="str">
        <f>"20190303162231566"</f>
        <v>20190303162231566</v>
      </c>
      <c r="B1027" t="str">
        <f>"1551601351555746"</f>
        <v>1551601351555746</v>
      </c>
      <c r="C1027" t="s">
        <v>40</v>
      </c>
      <c r="D1027">
        <v>5.4109550000000004</v>
      </c>
      <c r="E1027">
        <v>0.52453119999999998</v>
      </c>
      <c r="F1027" t="s">
        <v>41</v>
      </c>
      <c r="G1027">
        <v>-238.77670000000001</v>
      </c>
      <c r="H1027" s="1">
        <v>-1.7842100000000001E-6</v>
      </c>
      <c r="I1027">
        <v>364.42290000000003</v>
      </c>
      <c r="J1027">
        <v>-276.71230000000003</v>
      </c>
      <c r="K1027">
        <v>1.099945</v>
      </c>
      <c r="L1027">
        <v>367.19220000000001</v>
      </c>
      <c r="M1027">
        <v>0.99992979999999998</v>
      </c>
      <c r="N1027">
        <v>-3.9281790000000004E-3</v>
      </c>
      <c r="O1027">
        <v>1.118221E-2</v>
      </c>
      <c r="P1027">
        <v>0.98687800000000003</v>
      </c>
      <c r="Q1027">
        <v>0.16124649999999999</v>
      </c>
      <c r="R1027">
        <v>-8.4451790000000006E-3</v>
      </c>
      <c r="S1027">
        <v>3.0523989999999999</v>
      </c>
      <c r="T1027">
        <v>-8.7944980000000006E-2</v>
      </c>
      <c r="U1027">
        <v>-0.2216187</v>
      </c>
      <c r="V1027">
        <v>1.9486570000000002E-2</v>
      </c>
      <c r="W1027">
        <v>0.16512079999999901</v>
      </c>
      <c r="X1027">
        <v>0.98608079999999998</v>
      </c>
      <c r="Y1027">
        <v>8.3519910000000003E-2</v>
      </c>
      <c r="Z1027">
        <v>-1.6435039999999901E-3</v>
      </c>
      <c r="AA1027">
        <v>0.99650479999999997</v>
      </c>
      <c r="AB1027">
        <v>27</v>
      </c>
      <c r="AC1027">
        <v>37.935600000000001</v>
      </c>
      <c r="AD1027">
        <v>-1.0999467842099999</v>
      </c>
      <c r="AE1027">
        <v>-2.7692999999999799</v>
      </c>
      <c r="AF1027">
        <v>3.1906657294474901</v>
      </c>
      <c r="AG1027">
        <v>-1.0999467842099999</v>
      </c>
      <c r="AH1027">
        <v>37.870591336091103</v>
      </c>
      <c r="AI1027">
        <v>91.657811144443301</v>
      </c>
      <c r="AJ1027">
        <v>85.184100594206299</v>
      </c>
      <c r="AK1027">
        <v>38.020677517245602</v>
      </c>
      <c r="AL1027">
        <v>80.495747700326206</v>
      </c>
      <c r="AM1027">
        <v>88.867889007579905</v>
      </c>
      <c r="AN1027">
        <v>0.99999997456582201</v>
      </c>
    </row>
    <row r="1028" spans="1:40" x14ac:dyDescent="0.25">
      <c r="A1028" t="str">
        <f>"20190303162231580"</f>
        <v>20190303162231580</v>
      </c>
      <c r="B1028" t="str">
        <f>"1551601351565506"</f>
        <v>1551601351565506</v>
      </c>
      <c r="C1028" t="s">
        <v>40</v>
      </c>
      <c r="D1028">
        <v>5.4239490000000004</v>
      </c>
      <c r="E1028">
        <v>0.52442659999999997</v>
      </c>
      <c r="F1028" t="s">
        <v>41</v>
      </c>
      <c r="G1028">
        <v>-238.9462</v>
      </c>
      <c r="H1028" s="1">
        <v>-1.722866E-6</v>
      </c>
      <c r="I1028">
        <v>364.4366</v>
      </c>
      <c r="J1028">
        <v>-276.54349999999999</v>
      </c>
      <c r="K1028">
        <v>1.1016140000000001</v>
      </c>
      <c r="L1028">
        <v>367.19409999999999</v>
      </c>
      <c r="M1028">
        <v>0.99992769999999997</v>
      </c>
      <c r="N1028">
        <v>-4.4568439999999997E-3</v>
      </c>
      <c r="O1028">
        <v>1.118209E-2</v>
      </c>
      <c r="P1028">
        <v>0.98694280000000001</v>
      </c>
      <c r="Q1028">
        <v>0.16083529999999999</v>
      </c>
      <c r="R1028">
        <v>-8.7197799999999999E-3</v>
      </c>
      <c r="S1028">
        <v>3.052521</v>
      </c>
      <c r="T1028">
        <v>-8.8905330000000005E-2</v>
      </c>
      <c r="U1028">
        <v>-0.22271730000000001</v>
      </c>
      <c r="V1028">
        <v>1.9761600000000001E-2</v>
      </c>
      <c r="W1028">
        <v>0.16523090000000001</v>
      </c>
      <c r="X1028">
        <v>0.98605690000000001</v>
      </c>
      <c r="Y1028">
        <v>8.3872139999999998E-2</v>
      </c>
      <c r="Z1028">
        <v>-1.6821659999999999E-3</v>
      </c>
      <c r="AA1028">
        <v>0.99647509999999995</v>
      </c>
      <c r="AB1028">
        <v>27</v>
      </c>
      <c r="AC1028">
        <v>37.597299999999898</v>
      </c>
      <c r="AD1028">
        <v>-1.101615722866</v>
      </c>
      <c r="AE1028">
        <v>-2.7574999999999901</v>
      </c>
      <c r="AF1028">
        <v>3.1750368701262102</v>
      </c>
      <c r="AG1028">
        <v>-1.101615722866</v>
      </c>
      <c r="AH1028">
        <v>37.532065028679597</v>
      </c>
      <c r="AI1028">
        <v>91.675243971747193</v>
      </c>
      <c r="AJ1028">
        <v>85.164558276194896</v>
      </c>
      <c r="AK1028">
        <v>37.682228193732897</v>
      </c>
      <c r="AL1028">
        <v>80.489351732399598</v>
      </c>
      <c r="AM1028">
        <v>88.851887020592301</v>
      </c>
      <c r="AN1028">
        <v>0.99999999059348998</v>
      </c>
    </row>
    <row r="1029" spans="1:40" x14ac:dyDescent="0.25">
      <c r="A1029" t="str">
        <f>"20190303162231596"</f>
        <v>20190303162231596</v>
      </c>
      <c r="B1029" t="str">
        <f>"1551601351585535"</f>
        <v>1551601351585535</v>
      </c>
      <c r="C1029" t="s">
        <v>40</v>
      </c>
      <c r="D1029">
        <v>5.4723519999999999</v>
      </c>
      <c r="E1029">
        <v>0.52438039999999997</v>
      </c>
      <c r="F1029" t="s">
        <v>41</v>
      </c>
      <c r="G1029">
        <v>-240.19280000000001</v>
      </c>
      <c r="H1029" s="1">
        <v>-5.5168089999999999E-6</v>
      </c>
      <c r="I1029">
        <v>364.5403</v>
      </c>
      <c r="J1029">
        <v>-276.35629999999998</v>
      </c>
      <c r="K1029">
        <v>1.103364</v>
      </c>
      <c r="L1029">
        <v>367.1961</v>
      </c>
      <c r="M1029">
        <v>0.99992490000000001</v>
      </c>
      <c r="N1029">
        <v>-5.028037E-3</v>
      </c>
      <c r="O1029">
        <v>1.1182259999999999E-2</v>
      </c>
      <c r="P1029">
        <v>0.98689879999999996</v>
      </c>
      <c r="Q1029">
        <v>0.1610847</v>
      </c>
      <c r="R1029">
        <v>-9.0856029999999994E-3</v>
      </c>
      <c r="S1029">
        <v>3.0527950000000001</v>
      </c>
      <c r="T1029">
        <v>-9.2516059999999997E-2</v>
      </c>
      <c r="U1029">
        <v>-0.22286990000000001</v>
      </c>
      <c r="V1029">
        <v>2.012707E-2</v>
      </c>
      <c r="W1029">
        <v>0.166043</v>
      </c>
      <c r="X1029">
        <v>0.98591309999999999</v>
      </c>
      <c r="Y1029">
        <v>8.3911299999999994E-2</v>
      </c>
      <c r="Z1029">
        <v>-1.7630429999999999E-3</v>
      </c>
      <c r="AA1029">
        <v>0.99647160000000001</v>
      </c>
      <c r="AB1029">
        <v>27</v>
      </c>
      <c r="AC1029">
        <v>36.1634999999999</v>
      </c>
      <c r="AD1029">
        <v>-1.1033695168089901</v>
      </c>
      <c r="AE1029">
        <v>-2.6558000000000002</v>
      </c>
      <c r="AF1029">
        <v>3.0571980250029198</v>
      </c>
      <c r="AG1029">
        <v>-1.1033695168089901</v>
      </c>
      <c r="AH1029">
        <v>36.098117333484403</v>
      </c>
      <c r="AI1029">
        <v>91.744507628355805</v>
      </c>
      <c r="AJ1029">
        <v>85.159095443951898</v>
      </c>
      <c r="AK1029">
        <v>36.2441437900899</v>
      </c>
      <c r="AL1029">
        <v>80.442170273941102</v>
      </c>
      <c r="AM1029">
        <v>88.830489214710596</v>
      </c>
      <c r="AN1029">
        <v>1.00000000877369</v>
      </c>
    </row>
    <row r="1030" spans="1:40" x14ac:dyDescent="0.25">
      <c r="A1030" t="str">
        <f>"20190303162231631"</f>
        <v>20190303162231631</v>
      </c>
      <c r="B1030" t="str">
        <f>"1551601351625550"</f>
        <v>1551601351625550</v>
      </c>
      <c r="C1030" t="s">
        <v>40</v>
      </c>
      <c r="D1030">
        <v>5.4771190000000001</v>
      </c>
      <c r="E1030">
        <v>0.52430259999999995</v>
      </c>
      <c r="F1030" t="s">
        <v>41</v>
      </c>
      <c r="G1030">
        <v>-240.38939999999999</v>
      </c>
      <c r="H1030" s="1">
        <v>-5.4202159999999998E-6</v>
      </c>
      <c r="I1030">
        <v>364.5609</v>
      </c>
      <c r="J1030">
        <v>-275.93579999999997</v>
      </c>
      <c r="K1030">
        <v>1.1069020000000001</v>
      </c>
      <c r="L1030">
        <v>367.20080000000002</v>
      </c>
      <c r="M1030">
        <v>0.99991799999999997</v>
      </c>
      <c r="N1030">
        <v>-6.2409830000000003E-3</v>
      </c>
      <c r="O1030">
        <v>1.118194E-2</v>
      </c>
      <c r="P1030">
        <v>0.98670800000000003</v>
      </c>
      <c r="Q1030">
        <v>0.16218589999999999</v>
      </c>
      <c r="R1030">
        <v>-1.0156180000000001E-2</v>
      </c>
      <c r="S1030">
        <v>3.0530400000000002</v>
      </c>
      <c r="T1030">
        <v>-9.3659400000000004E-2</v>
      </c>
      <c r="U1030">
        <v>-0.2236938</v>
      </c>
      <c r="V1030">
        <v>2.1195209999999999E-2</v>
      </c>
      <c r="W1030">
        <v>0.16833909999999999</v>
      </c>
      <c r="X1030">
        <v>0.98550119999999997</v>
      </c>
      <c r="Y1030">
        <v>8.4170270000000005E-2</v>
      </c>
      <c r="Z1030">
        <v>-1.824963E-3</v>
      </c>
      <c r="AA1030">
        <v>0.99644969999999999</v>
      </c>
      <c r="AB1030">
        <v>27</v>
      </c>
      <c r="AC1030">
        <v>35.546399999999899</v>
      </c>
      <c r="AD1030">
        <v>-1.1069074202159901</v>
      </c>
      <c r="AE1030">
        <v>-2.6399000000000101</v>
      </c>
      <c r="AF1030">
        <v>3.0342942271584299</v>
      </c>
      <c r="AG1030">
        <v>-1.1069074202159901</v>
      </c>
      <c r="AH1030">
        <v>35.480441593129697</v>
      </c>
      <c r="AI1030">
        <v>91.780421074453201</v>
      </c>
      <c r="AJ1030">
        <v>85.111947291531195</v>
      </c>
      <c r="AK1030">
        <v>35.627151459769898</v>
      </c>
      <c r="AL1030">
        <v>80.308734688918193</v>
      </c>
      <c r="AM1030">
        <v>88.767927537631707</v>
      </c>
      <c r="AN1030">
        <v>0.99999995235859596</v>
      </c>
    </row>
    <row r="1031" spans="1:40" x14ac:dyDescent="0.25">
      <c r="A1031" t="str">
        <f>"20190303162231643"</f>
        <v>20190303162231643</v>
      </c>
      <c r="B1031" t="str">
        <f>"1551601351635310"</f>
        <v>1551601351635310</v>
      </c>
      <c r="C1031" t="s">
        <v>40</v>
      </c>
      <c r="D1031">
        <v>5.5034039999999997</v>
      </c>
      <c r="E1031">
        <v>0.52427179999999995</v>
      </c>
      <c r="F1031" t="s">
        <v>41</v>
      </c>
      <c r="G1031">
        <v>-240.52459999999999</v>
      </c>
      <c r="H1031" s="1">
        <v>-5.3519770000000002E-6</v>
      </c>
      <c r="I1031">
        <v>364.58530000000002</v>
      </c>
      <c r="J1031">
        <v>-275.7835</v>
      </c>
      <c r="K1031">
        <v>1.1080650000000001</v>
      </c>
      <c r="L1031">
        <v>367.20249999999999</v>
      </c>
      <c r="M1031">
        <v>0.99991529999999995</v>
      </c>
      <c r="N1031">
        <v>-6.6578439999999996E-3</v>
      </c>
      <c r="O1031">
        <v>1.118195E-2</v>
      </c>
      <c r="P1031">
        <v>0.98673080000000002</v>
      </c>
      <c r="Q1031">
        <v>0.16200989999999901</v>
      </c>
      <c r="R1031">
        <v>-1.072187E-2</v>
      </c>
      <c r="S1031">
        <v>3.053741</v>
      </c>
      <c r="T1031">
        <v>-9.5456120000000005E-2</v>
      </c>
      <c r="U1031">
        <v>-0.22555539999999999</v>
      </c>
      <c r="V1031">
        <v>2.1761180000000001E-2</v>
      </c>
      <c r="W1031">
        <v>0.16857359999999999</v>
      </c>
      <c r="X1031">
        <v>0.98544880000000001</v>
      </c>
      <c r="Y1031">
        <v>8.4755170000000005E-2</v>
      </c>
      <c r="Z1031">
        <v>-1.8798370000000001E-3</v>
      </c>
      <c r="AA1031">
        <v>0.99640010000000001</v>
      </c>
      <c r="AB1031">
        <v>27</v>
      </c>
      <c r="AC1031">
        <v>35.258899999999997</v>
      </c>
      <c r="AD1031">
        <v>-1.1080703519770001</v>
      </c>
      <c r="AE1031">
        <v>-2.61719999999996</v>
      </c>
      <c r="AF1031">
        <v>3.0083534877534102</v>
      </c>
      <c r="AG1031">
        <v>-1.1080703519770001</v>
      </c>
      <c r="AH1031">
        <v>35.192862170978202</v>
      </c>
      <c r="AI1031">
        <v>91.7968507615889</v>
      </c>
      <c r="AJ1031">
        <v>85.114124185910399</v>
      </c>
      <c r="AK1031">
        <v>35.338584555662003</v>
      </c>
      <c r="AL1031">
        <v>80.295104231124597</v>
      </c>
      <c r="AM1031">
        <v>88.734971147509995</v>
      </c>
      <c r="AN1031">
        <v>0.99999997249669503</v>
      </c>
    </row>
    <row r="1032" spans="1:40" x14ac:dyDescent="0.25">
      <c r="A1032" t="str">
        <f>"20190303162231668"</f>
        <v>20190303162231668</v>
      </c>
      <c r="B1032" t="str">
        <f>"1551601351654830"</f>
        <v>1551601351654830</v>
      </c>
      <c r="C1032" t="s">
        <v>40</v>
      </c>
      <c r="D1032">
        <v>5.5769859999999998</v>
      </c>
      <c r="E1032">
        <v>0.52419529999999903</v>
      </c>
      <c r="F1032" t="s">
        <v>41</v>
      </c>
      <c r="G1032">
        <v>-240.8844</v>
      </c>
      <c r="H1032" s="1">
        <v>-5.1788079999999997E-6</v>
      </c>
      <c r="I1032">
        <v>364.60289999999998</v>
      </c>
      <c r="J1032">
        <v>-275.48570000000001</v>
      </c>
      <c r="K1032">
        <v>1.110069</v>
      </c>
      <c r="L1032">
        <v>367.20589999999999</v>
      </c>
      <c r="M1032">
        <v>0.99991010000000002</v>
      </c>
      <c r="N1032">
        <v>-7.4163769999999896E-3</v>
      </c>
      <c r="O1032">
        <v>1.118239E-2</v>
      </c>
      <c r="P1032">
        <v>0.98678650000000001</v>
      </c>
      <c r="Q1032">
        <v>0.1616561</v>
      </c>
      <c r="R1032">
        <v>-1.096069E-2</v>
      </c>
      <c r="S1032">
        <v>3.0538020000000001</v>
      </c>
      <c r="T1032">
        <v>-9.6960069999999995E-2</v>
      </c>
      <c r="U1032">
        <v>-0.22747800000000001</v>
      </c>
      <c r="V1032">
        <v>2.2001099999999999E-2</v>
      </c>
      <c r="W1032">
        <v>0.16896800000000001</v>
      </c>
      <c r="X1032">
        <v>0.98537589999999997</v>
      </c>
      <c r="Y1032">
        <v>8.5375320000000005E-2</v>
      </c>
      <c r="Z1032">
        <v>-1.9419750000000001E-3</v>
      </c>
      <c r="AA1032">
        <v>0.99634699999999998</v>
      </c>
      <c r="AB1032">
        <v>27</v>
      </c>
      <c r="AC1032">
        <v>34.601300000000002</v>
      </c>
      <c r="AD1032">
        <v>-1.110074178808</v>
      </c>
      <c r="AE1032">
        <v>-2.6030000000000002</v>
      </c>
      <c r="AF1032">
        <v>2.9867162952113002</v>
      </c>
      <c r="AG1032">
        <v>-1.110074178808</v>
      </c>
      <c r="AH1032">
        <v>34.534683224824199</v>
      </c>
      <c r="AI1032">
        <v>91.834225105352303</v>
      </c>
      <c r="AJ1032">
        <v>85.057099810119993</v>
      </c>
      <c r="AK1032">
        <v>34.681365087745498</v>
      </c>
      <c r="AL1032">
        <v>80.272177672001604</v>
      </c>
      <c r="AM1032">
        <v>88.720934048612904</v>
      </c>
      <c r="AN1032">
        <v>0.99999994886300803</v>
      </c>
    </row>
    <row r="1033" spans="1:40" x14ac:dyDescent="0.25">
      <c r="A1033" t="str">
        <f>"20190303162231684"</f>
        <v>20190303162231684</v>
      </c>
      <c r="B1033" t="str">
        <f>"1551601351675327"</f>
        <v>1551601351675327</v>
      </c>
      <c r="C1033" t="s">
        <v>40</v>
      </c>
      <c r="D1033">
        <v>5.5835710000000001</v>
      </c>
      <c r="E1033">
        <v>0.51079200000000002</v>
      </c>
      <c r="F1033" t="s">
        <v>41</v>
      </c>
      <c r="G1033">
        <v>-240.81290000000001</v>
      </c>
      <c r="H1033" s="1">
        <v>-5.2097149999999996E-6</v>
      </c>
      <c r="I1033">
        <v>364.6191</v>
      </c>
      <c r="J1033">
        <v>-275.30099999999999</v>
      </c>
      <c r="K1033">
        <v>1.111199</v>
      </c>
      <c r="L1033">
        <v>367.2079</v>
      </c>
      <c r="M1033">
        <v>0.99990650000000003</v>
      </c>
      <c r="N1033">
        <v>-7.8580249999999994E-3</v>
      </c>
      <c r="O1033">
        <v>1.1184019999999999E-2</v>
      </c>
      <c r="P1033">
        <v>0.98679910000000004</v>
      </c>
      <c r="Q1033">
        <v>0.16154540000000001</v>
      </c>
      <c r="R1033">
        <v>-1.1431200000000001E-2</v>
      </c>
      <c r="S1033">
        <v>3.0536500000000002</v>
      </c>
      <c r="T1033">
        <v>-9.7764610000000002E-2</v>
      </c>
      <c r="U1033">
        <v>-0.22781370000000001</v>
      </c>
      <c r="V1033">
        <v>2.247333E-2</v>
      </c>
      <c r="W1033">
        <v>0.1692922</v>
      </c>
      <c r="X1033">
        <v>0.98530969999999996</v>
      </c>
      <c r="Y1033">
        <v>8.5488179999999997E-2</v>
      </c>
      <c r="Z1033">
        <v>-1.9724629999999998E-3</v>
      </c>
      <c r="AA1033">
        <v>0.99633720000000003</v>
      </c>
      <c r="AB1033">
        <v>27</v>
      </c>
      <c r="AC1033">
        <v>34.488099999999903</v>
      </c>
      <c r="AD1033">
        <v>-1.1112042097149999</v>
      </c>
      <c r="AE1033">
        <v>-2.5887999999999902</v>
      </c>
      <c r="AF1033">
        <v>2.9712983254997098</v>
      </c>
      <c r="AG1033">
        <v>-1.1112042097149999</v>
      </c>
      <c r="AH1033">
        <v>34.421455263604599</v>
      </c>
      <c r="AI1033">
        <v>91.842152421814802</v>
      </c>
      <c r="AJ1033">
        <v>85.0663942766448</v>
      </c>
      <c r="AK1033">
        <v>34.567325193007598</v>
      </c>
      <c r="AL1033">
        <v>80.2533318844349</v>
      </c>
      <c r="AM1033">
        <v>88.693401936474004</v>
      </c>
      <c r="AN1033">
        <v>1.0000000522281001</v>
      </c>
    </row>
    <row r="1034" spans="1:40" x14ac:dyDescent="0.25">
      <c r="A1034" t="str">
        <f>"20190303162231695"</f>
        <v>20190303162231695</v>
      </c>
      <c r="B1034" t="str">
        <f>"1551601351685595"</f>
        <v>1551601351685595</v>
      </c>
      <c r="C1034" t="s">
        <v>40</v>
      </c>
      <c r="D1034">
        <v>5.7023190000000001</v>
      </c>
      <c r="E1034">
        <v>0.51076860000000002</v>
      </c>
      <c r="F1034" t="s">
        <v>41</v>
      </c>
      <c r="G1034">
        <v>-246.43860000000001</v>
      </c>
      <c r="H1034" s="1">
        <v>-2.2992980000000001E-6</v>
      </c>
      <c r="I1034">
        <v>366.05549999999999</v>
      </c>
      <c r="J1034">
        <v>-275.15350000000001</v>
      </c>
      <c r="K1034">
        <v>1.1120049999999999</v>
      </c>
      <c r="L1034">
        <v>367.20960000000002</v>
      </c>
      <c r="M1034">
        <v>0.99990400000000002</v>
      </c>
      <c r="N1034">
        <v>-8.1830919999999994E-3</v>
      </c>
      <c r="O1034">
        <v>1.118808E-2</v>
      </c>
      <c r="P1034">
        <v>0.98682139999999996</v>
      </c>
      <c r="Q1034">
        <v>0.16139339999999999</v>
      </c>
      <c r="R1034">
        <v>-1.166532E-2</v>
      </c>
      <c r="S1034">
        <v>3.0579830000000001</v>
      </c>
      <c r="T1034">
        <v>-0.1177322</v>
      </c>
      <c r="U1034">
        <v>-0.1221008</v>
      </c>
      <c r="V1034">
        <v>2.2710870000000001E-2</v>
      </c>
      <c r="W1034">
        <v>0.1694609</v>
      </c>
      <c r="X1034">
        <v>0.98527520000000002</v>
      </c>
      <c r="Y1034">
        <v>5.1022890000000001E-2</v>
      </c>
      <c r="Z1034">
        <v>-1.5293170000000001E-3</v>
      </c>
      <c r="AA1034">
        <v>0.99869629999999998</v>
      </c>
      <c r="AB1034">
        <v>27</v>
      </c>
      <c r="AC1034">
        <v>28.7149</v>
      </c>
      <c r="AD1034">
        <v>-1.1120072992979999</v>
      </c>
      <c r="AE1034">
        <v>-1.1541000000000201</v>
      </c>
      <c r="AF1034">
        <v>1.4730974713620999</v>
      </c>
      <c r="AG1034">
        <v>-1.1120072992979999</v>
      </c>
      <c r="AH1034">
        <v>28.6572824167365</v>
      </c>
      <c r="AI1034">
        <v>92.219243624912593</v>
      </c>
      <c r="AJ1034">
        <v>87.057360716410003</v>
      </c>
      <c r="AK1034">
        <v>28.716657394383802</v>
      </c>
      <c r="AL1034">
        <v>80.243523867730801</v>
      </c>
      <c r="AM1034">
        <v>88.679550020402502</v>
      </c>
      <c r="AN1034">
        <v>0.999999999990003</v>
      </c>
    </row>
    <row r="1035" spans="1:40" x14ac:dyDescent="0.25">
      <c r="A1035" t="str">
        <f>"20190303162231708"</f>
        <v>20190303162231708</v>
      </c>
      <c r="B1035" t="str">
        <f>"1551601351695355"</f>
        <v>1551601351695355</v>
      </c>
      <c r="C1035" t="s">
        <v>40</v>
      </c>
      <c r="D1035">
        <v>5.6986499999999998</v>
      </c>
      <c r="E1035">
        <v>0.51129609999999903</v>
      </c>
      <c r="F1035" t="s">
        <v>41</v>
      </c>
      <c r="G1035">
        <v>-246.7792</v>
      </c>
      <c r="H1035" s="1">
        <v>-2.1633819999999998E-6</v>
      </c>
      <c r="I1035">
        <v>366.07479999999998</v>
      </c>
      <c r="J1035">
        <v>-275.01519999999999</v>
      </c>
      <c r="K1035">
        <v>1.1127229999999999</v>
      </c>
      <c r="L1035">
        <v>367.21120000000002</v>
      </c>
      <c r="M1035">
        <v>0.9999017</v>
      </c>
      <c r="N1035">
        <v>-8.4766479999999998E-3</v>
      </c>
      <c r="O1035">
        <v>1.119378E-2</v>
      </c>
      <c r="P1035">
        <v>0.98689570000000004</v>
      </c>
      <c r="Q1035">
        <v>0.16089329999999999</v>
      </c>
      <c r="R1035">
        <v>-1.2275110000000001E-2</v>
      </c>
      <c r="S1035">
        <v>3.0582280000000002</v>
      </c>
      <c r="T1035">
        <v>-0.119854</v>
      </c>
      <c r="U1035">
        <v>-0.12231450000000001</v>
      </c>
      <c r="V1035">
        <v>2.332615E-2</v>
      </c>
      <c r="W1035">
        <v>0.16925090000000001</v>
      </c>
      <c r="X1035">
        <v>0.98529690000000003</v>
      </c>
      <c r="Y1035">
        <v>5.1093069999999997E-2</v>
      </c>
      <c r="Z1035">
        <v>-1.5606909999999999E-3</v>
      </c>
      <c r="AA1035">
        <v>0.99869269999999999</v>
      </c>
      <c r="AB1035">
        <v>27</v>
      </c>
      <c r="AC1035">
        <v>28.235999999999901</v>
      </c>
      <c r="AD1035">
        <v>-1.1127251633819999</v>
      </c>
      <c r="AE1035">
        <v>-1.1364000000000301</v>
      </c>
      <c r="AF1035">
        <v>1.4501591907304601</v>
      </c>
      <c r="AG1035">
        <v>-1.1127251633819999</v>
      </c>
      <c r="AH1035">
        <v>28.1778205693739</v>
      </c>
      <c r="AI1035">
        <v>92.258415086126703</v>
      </c>
      <c r="AJ1035">
        <v>87.053896991699801</v>
      </c>
      <c r="AK1035">
        <v>28.237044657816401</v>
      </c>
      <c r="AL1035">
        <v>80.255732124604293</v>
      </c>
      <c r="AM1035">
        <v>88.6438195999729</v>
      </c>
      <c r="AN1035">
        <v>0.99999997878712099</v>
      </c>
    </row>
    <row r="1036" spans="1:40" x14ac:dyDescent="0.25">
      <c r="A1036" t="str">
        <f>"20190303162231721"</f>
        <v>20190303162231721</v>
      </c>
      <c r="B1036" t="str">
        <f>"1551601351714875"</f>
        <v>1551601351714875</v>
      </c>
      <c r="C1036" t="s">
        <v>40</v>
      </c>
      <c r="D1036">
        <v>5.7009759999999998</v>
      </c>
      <c r="E1036">
        <v>0.511239</v>
      </c>
      <c r="F1036" t="s">
        <v>41</v>
      </c>
      <c r="G1036">
        <v>-247.7663</v>
      </c>
      <c r="H1036" s="1">
        <v>-1.7872429999999999E-6</v>
      </c>
      <c r="I1036">
        <v>366.06380000000001</v>
      </c>
      <c r="J1036">
        <v>-274.84530000000001</v>
      </c>
      <c r="K1036">
        <v>1.113548</v>
      </c>
      <c r="L1036">
        <v>367.21300000000002</v>
      </c>
      <c r="M1036">
        <v>0.99989839999999997</v>
      </c>
      <c r="N1036">
        <v>-8.8180229999999995E-3</v>
      </c>
      <c r="O1036">
        <v>1.1204179999999999E-2</v>
      </c>
      <c r="P1036">
        <v>0.98692139999999995</v>
      </c>
      <c r="Q1036">
        <v>0.16070980000000001</v>
      </c>
      <c r="R1036">
        <v>-1.259534E-2</v>
      </c>
      <c r="S1036">
        <v>3.0586549999999999</v>
      </c>
      <c r="T1036">
        <v>-0.1249017</v>
      </c>
      <c r="U1036">
        <v>-0.12878419999999999</v>
      </c>
      <c r="V1036">
        <v>2.3655220000000001E-2</v>
      </c>
      <c r="W1036">
        <v>0.1694041</v>
      </c>
      <c r="X1036">
        <v>0.98526279999999999</v>
      </c>
      <c r="Y1036">
        <v>5.3200049999999999E-2</v>
      </c>
      <c r="Z1036">
        <v>-1.6785140000000001E-3</v>
      </c>
      <c r="AA1036">
        <v>0.99858250000000004</v>
      </c>
      <c r="AB1036">
        <v>27</v>
      </c>
      <c r="AC1036">
        <v>27.079000000000001</v>
      </c>
      <c r="AD1036">
        <v>-1.113549787243</v>
      </c>
      <c r="AE1036">
        <v>-1.1492</v>
      </c>
      <c r="AF1036">
        <v>1.4500898794166801</v>
      </c>
      <c r="AG1036">
        <v>-1.113549787243</v>
      </c>
      <c r="AH1036">
        <v>27.018816035276899</v>
      </c>
      <c r="AI1036">
        <v>92.356656959540899</v>
      </c>
      <c r="AJ1036">
        <v>86.927904060480003</v>
      </c>
      <c r="AK1036">
        <v>27.0806051212891</v>
      </c>
      <c r="AL1036">
        <v>80.246826521295802</v>
      </c>
      <c r="AM1036">
        <v>88.624647213738399</v>
      </c>
      <c r="AN1036">
        <v>1.0000000517969401</v>
      </c>
    </row>
    <row r="1037" spans="1:40" x14ac:dyDescent="0.25">
      <c r="A1037" t="str">
        <f>"20190303162231740"</f>
        <v>20190303162231740</v>
      </c>
      <c r="B1037" t="str">
        <f>"1551601351735370"</f>
        <v>1551601351735370</v>
      </c>
      <c r="C1037" t="s">
        <v>40</v>
      </c>
      <c r="D1037">
        <v>5.6954949999999904</v>
      </c>
      <c r="E1037">
        <v>0.51151059999999904</v>
      </c>
      <c r="F1037" t="s">
        <v>41</v>
      </c>
      <c r="G1037">
        <v>-248.28710000000001</v>
      </c>
      <c r="H1037" s="1">
        <v>-1.579796E-6</v>
      </c>
      <c r="I1037">
        <v>366.09179999999998</v>
      </c>
      <c r="J1037">
        <v>-274.62729999999999</v>
      </c>
      <c r="K1037">
        <v>1.1144860000000001</v>
      </c>
      <c r="L1037">
        <v>367.21550000000002</v>
      </c>
      <c r="M1037">
        <v>0.99989459999999997</v>
      </c>
      <c r="N1037">
        <v>-9.2176659999999994E-3</v>
      </c>
      <c r="O1037">
        <v>1.122592E-2</v>
      </c>
      <c r="P1037">
        <v>0.98679760000000005</v>
      </c>
      <c r="Q1037">
        <v>0.1614226</v>
      </c>
      <c r="R1037">
        <v>-1.317201E-2</v>
      </c>
      <c r="S1037">
        <v>3.059021</v>
      </c>
      <c r="T1037">
        <v>-0.12826070000000001</v>
      </c>
      <c r="U1037">
        <v>-0.1291504</v>
      </c>
      <c r="V1037">
        <v>2.4249150000000001E-2</v>
      </c>
      <c r="W1037">
        <v>0.1705102</v>
      </c>
      <c r="X1037">
        <v>0.98505750000000003</v>
      </c>
      <c r="Y1037">
        <v>5.3332610000000003E-2</v>
      </c>
      <c r="Z1037">
        <v>-1.730042E-3</v>
      </c>
      <c r="AA1037">
        <v>0.99857530000000005</v>
      </c>
      <c r="AB1037">
        <v>27</v>
      </c>
      <c r="AC1037">
        <v>26.3401999999999</v>
      </c>
      <c r="AD1037">
        <v>-1.1144875797959899</v>
      </c>
      <c r="AE1037">
        <v>-1.1237000000000399</v>
      </c>
      <c r="AF1037">
        <v>1.4168028824377801</v>
      </c>
      <c r="AG1037">
        <v>-1.1144875797959899</v>
      </c>
      <c r="AH1037">
        <v>26.2789646892052</v>
      </c>
      <c r="AI1037">
        <v>92.424934023825898</v>
      </c>
      <c r="AJ1037">
        <v>86.913945781451105</v>
      </c>
      <c r="AK1037">
        <v>26.340717494208398</v>
      </c>
      <c r="AL1037">
        <v>80.182515659924107</v>
      </c>
      <c r="AM1037">
        <v>88.589835210617096</v>
      </c>
      <c r="AN1037">
        <v>1.0000000139430001</v>
      </c>
    </row>
    <row r="1038" spans="1:40" x14ac:dyDescent="0.25">
      <c r="A1038" t="str">
        <f>"20190303162231753"</f>
        <v>20190303162231753</v>
      </c>
      <c r="B1038" t="str">
        <f>"1551601351745130"</f>
        <v>1551601351745130</v>
      </c>
      <c r="C1038" t="s">
        <v>40</v>
      </c>
      <c r="D1038">
        <v>5.6344059999999896</v>
      </c>
      <c r="E1038">
        <v>0.51147949999999998</v>
      </c>
      <c r="F1038" t="s">
        <v>41</v>
      </c>
      <c r="G1038">
        <v>-248.16560000000001</v>
      </c>
      <c r="H1038" s="1">
        <v>-1.6352330000000001E-6</v>
      </c>
      <c r="I1038">
        <v>366.05889999999999</v>
      </c>
      <c r="J1038">
        <v>-274.46510000000001</v>
      </c>
      <c r="K1038">
        <v>1.11511</v>
      </c>
      <c r="L1038">
        <v>367.21730000000002</v>
      </c>
      <c r="M1038">
        <v>0.99989189999999994</v>
      </c>
      <c r="N1038">
        <v>-9.4915369999999995E-3</v>
      </c>
      <c r="O1038">
        <v>1.1248360000000001E-2</v>
      </c>
      <c r="P1038">
        <v>0.98675420000000003</v>
      </c>
      <c r="Q1038">
        <v>0.161685299999999</v>
      </c>
      <c r="R1038">
        <v>-1.3207409999999999E-2</v>
      </c>
      <c r="S1038">
        <v>3.059418</v>
      </c>
      <c r="T1038">
        <v>-0.1288531</v>
      </c>
      <c r="U1038">
        <v>-0.13372800000000001</v>
      </c>
      <c r="V1038">
        <v>2.4303519999999999E-2</v>
      </c>
      <c r="W1038">
        <v>0.1710421</v>
      </c>
      <c r="X1038">
        <v>0.98496399999999995</v>
      </c>
      <c r="Y1038">
        <v>5.483851E-2</v>
      </c>
      <c r="Z1038">
        <v>-1.7809309999999999E-3</v>
      </c>
      <c r="AA1038">
        <v>0.99849370000000004</v>
      </c>
      <c r="AB1038">
        <v>27</v>
      </c>
      <c r="AC1038">
        <v>26.299499999999899</v>
      </c>
      <c r="AD1038">
        <v>-1.1151116352329999</v>
      </c>
      <c r="AE1038">
        <v>-1.1584000000000201</v>
      </c>
      <c r="AF1038">
        <v>1.4515616480376501</v>
      </c>
      <c r="AG1038">
        <v>-1.1151116352329999</v>
      </c>
      <c r="AH1038">
        <v>26.237726450043699</v>
      </c>
      <c r="AI1038">
        <v>92.429912814895204</v>
      </c>
      <c r="AJ1038">
        <v>86.833427580931698</v>
      </c>
      <c r="AK1038">
        <v>26.301497950580799</v>
      </c>
      <c r="AL1038">
        <v>80.151586237996199</v>
      </c>
      <c r="AM1038">
        <v>88.586540595316507</v>
      </c>
      <c r="AN1038">
        <v>1.0000000711763899</v>
      </c>
    </row>
    <row r="1039" spans="1:40" x14ac:dyDescent="0.25">
      <c r="A1039" t="str">
        <f>"20190303162231767"</f>
        <v>20190303162231767</v>
      </c>
      <c r="B1039" t="str">
        <f>"1551601351754891"</f>
        <v>1551601351754891</v>
      </c>
      <c r="C1039" t="s">
        <v>40</v>
      </c>
      <c r="D1039">
        <v>5.6356809999999999</v>
      </c>
      <c r="E1039">
        <v>0.51149940000000005</v>
      </c>
      <c r="F1039" t="s">
        <v>41</v>
      </c>
      <c r="G1039">
        <v>-248.0189</v>
      </c>
      <c r="H1039" s="1">
        <v>-1.6907129999999999E-6</v>
      </c>
      <c r="I1039">
        <v>366.06200000000001</v>
      </c>
      <c r="J1039">
        <v>-274.3039</v>
      </c>
      <c r="K1039">
        <v>1.115686</v>
      </c>
      <c r="L1039">
        <v>367.2192</v>
      </c>
      <c r="M1039">
        <v>0.99988900000000003</v>
      </c>
      <c r="N1039">
        <v>-9.7497139999999996E-3</v>
      </c>
      <c r="O1039">
        <v>1.127413E-2</v>
      </c>
      <c r="P1039">
        <v>0.986761</v>
      </c>
      <c r="Q1039">
        <v>0.1616136</v>
      </c>
      <c r="R1039">
        <v>-1.355891E-2</v>
      </c>
      <c r="S1039">
        <v>3.059631</v>
      </c>
      <c r="T1039">
        <v>-0.1290104</v>
      </c>
      <c r="U1039">
        <v>-0.13366700000000001</v>
      </c>
      <c r="V1039">
        <v>2.4677859999999999E-2</v>
      </c>
      <c r="W1039">
        <v>0.1712253</v>
      </c>
      <c r="X1039">
        <v>0.98492279999999999</v>
      </c>
      <c r="Y1039">
        <v>5.4840979999999998E-2</v>
      </c>
      <c r="Z1039">
        <v>-1.7878869999999999E-3</v>
      </c>
      <c r="AA1039">
        <v>0.99849350000000003</v>
      </c>
      <c r="AB1039">
        <v>27</v>
      </c>
      <c r="AC1039">
        <v>26.285</v>
      </c>
      <c r="AD1039">
        <v>-1.115687690713</v>
      </c>
      <c r="AE1039">
        <v>-1.15720000000004</v>
      </c>
      <c r="AF1039">
        <v>1.4508721133490501</v>
      </c>
      <c r="AG1039">
        <v>-1.115687690713</v>
      </c>
      <c r="AH1039">
        <v>26.223128868799801</v>
      </c>
      <c r="AI1039">
        <v>92.432517702242905</v>
      </c>
      <c r="AJ1039">
        <v>86.833170428146701</v>
      </c>
      <c r="AK1039">
        <v>26.286922158788101</v>
      </c>
      <c r="AL1039">
        <v>80.140931887077897</v>
      </c>
      <c r="AM1039">
        <v>88.564718519892196</v>
      </c>
      <c r="AN1039">
        <v>1.0000000110470499</v>
      </c>
    </row>
    <row r="1040" spans="1:40" x14ac:dyDescent="0.25">
      <c r="A1040" t="str">
        <f>"20190303162231785"</f>
        <v>20190303162231785</v>
      </c>
      <c r="B1040" t="str">
        <f>"1551601351775387"</f>
        <v>1551601351775387</v>
      </c>
      <c r="C1040" t="s">
        <v>40</v>
      </c>
      <c r="D1040">
        <v>5.695951</v>
      </c>
      <c r="E1040">
        <v>0.51153479999999996</v>
      </c>
      <c r="F1040" t="s">
        <v>41</v>
      </c>
      <c r="G1040">
        <v>-247.85210000000001</v>
      </c>
      <c r="H1040" s="1">
        <v>-1.757589E-6</v>
      </c>
      <c r="I1040">
        <v>366.05149999999998</v>
      </c>
      <c r="J1040">
        <v>-274.08940000000001</v>
      </c>
      <c r="K1040">
        <v>1.116368</v>
      </c>
      <c r="L1040">
        <v>367.22160000000002</v>
      </c>
      <c r="M1040">
        <v>0.99988540000000004</v>
      </c>
      <c r="N1040">
        <v>-1.0066149999999999E-2</v>
      </c>
      <c r="O1040">
        <v>1.1316939999999999E-2</v>
      </c>
      <c r="P1040">
        <v>0.98692630000000003</v>
      </c>
      <c r="Q1040">
        <v>0.16052350000000001</v>
      </c>
      <c r="R1040">
        <v>-1.4463429999999999E-2</v>
      </c>
      <c r="S1040">
        <v>3.0595699999999999</v>
      </c>
      <c r="T1040">
        <v>-0.12904689999999999</v>
      </c>
      <c r="U1040">
        <v>-0.13507079999999999</v>
      </c>
      <c r="V1040">
        <v>2.562271E-2</v>
      </c>
      <c r="W1040">
        <v>0.1704492</v>
      </c>
      <c r="X1040">
        <v>0.9850333</v>
      </c>
      <c r="Y1040">
        <v>5.5341019999999998E-2</v>
      </c>
      <c r="Z1040">
        <v>-1.8079190000000001E-3</v>
      </c>
      <c r="AA1040">
        <v>0.99846590000000002</v>
      </c>
      <c r="AB1040">
        <v>27</v>
      </c>
      <c r="AC1040">
        <v>26.237300000000001</v>
      </c>
      <c r="AD1040">
        <v>-1.1163697575889999</v>
      </c>
      <c r="AE1040">
        <v>-1.1701000000000401</v>
      </c>
      <c r="AF1040">
        <v>1.4643202600199701</v>
      </c>
      <c r="AG1040">
        <v>-1.1163697575889999</v>
      </c>
      <c r="AH1040">
        <v>26.175083338674099</v>
      </c>
      <c r="AI1040">
        <v>92.438382227555294</v>
      </c>
      <c r="AJ1040">
        <v>86.798023204332097</v>
      </c>
      <c r="AK1040">
        <v>26.2397694930062</v>
      </c>
      <c r="AL1040">
        <v>80.186062760932799</v>
      </c>
      <c r="AM1040">
        <v>88.509956805331996</v>
      </c>
      <c r="AN1040">
        <v>1.00000002757863</v>
      </c>
    </row>
    <row r="1041" spans="1:40" x14ac:dyDescent="0.25">
      <c r="A1041" t="str">
        <f>"20190303162231809"</f>
        <v>20190303162231809</v>
      </c>
      <c r="B1041" t="str">
        <f>"1551601351795415"</f>
        <v>1551601351795415</v>
      </c>
      <c r="C1041" t="s">
        <v>40</v>
      </c>
      <c r="D1041">
        <v>5.5177449999999997</v>
      </c>
      <c r="E1041">
        <v>0.51162099999999999</v>
      </c>
      <c r="F1041" t="s">
        <v>41</v>
      </c>
      <c r="G1041">
        <v>-248.3982</v>
      </c>
      <c r="H1041" s="1">
        <v>-1.5449260000000001E-6</v>
      </c>
      <c r="I1041">
        <v>366.0625</v>
      </c>
      <c r="J1041">
        <v>-273.81569999999999</v>
      </c>
      <c r="K1041">
        <v>1.1171059999999999</v>
      </c>
      <c r="L1041">
        <v>367.22480000000002</v>
      </c>
      <c r="M1041">
        <v>0.99988089999999996</v>
      </c>
      <c r="N1041">
        <v>-1.042647E-2</v>
      </c>
      <c r="O1041">
        <v>1.1382430000000001E-2</v>
      </c>
      <c r="P1041">
        <v>0.98720459999999999</v>
      </c>
      <c r="Q1041">
        <v>0.15877620000000001</v>
      </c>
      <c r="R1041">
        <v>-1.474349E-2</v>
      </c>
      <c r="S1041">
        <v>3.0592959999999998</v>
      </c>
      <c r="T1041">
        <v>-0.13293679999999999</v>
      </c>
      <c r="U1041">
        <v>-0.13803099999999999</v>
      </c>
      <c r="V1041">
        <v>2.5967029999999999E-2</v>
      </c>
      <c r="W1041">
        <v>0.1690605</v>
      </c>
      <c r="X1041">
        <v>0.98526349999999996</v>
      </c>
      <c r="Y1041">
        <v>5.6369200000000001E-2</v>
      </c>
      <c r="Z1041">
        <v>-1.8932840000000001E-3</v>
      </c>
      <c r="AA1041">
        <v>0.99840819999999997</v>
      </c>
      <c r="AB1041">
        <v>27</v>
      </c>
      <c r="AC1041">
        <v>25.417499999999901</v>
      </c>
      <c r="AD1041">
        <v>-1.117107544926</v>
      </c>
      <c r="AE1041">
        <v>-1.1623000000000101</v>
      </c>
      <c r="AF1041">
        <v>1.4487606926847201</v>
      </c>
      <c r="AG1041">
        <v>-1.117107544926</v>
      </c>
      <c r="AH1041">
        <v>25.353750797212399</v>
      </c>
      <c r="AI1041">
        <v>92.518764922446195</v>
      </c>
      <c r="AJ1041">
        <v>86.729568540565197</v>
      </c>
      <c r="AK1041">
        <v>25.4196679029988</v>
      </c>
      <c r="AL1041">
        <v>80.266800482887405</v>
      </c>
      <c r="AM1041">
        <v>88.490295347946201</v>
      </c>
      <c r="AN1041">
        <v>0.99999995186975899</v>
      </c>
    </row>
    <row r="1042" spans="1:40" x14ac:dyDescent="0.25">
      <c r="A1042" t="str">
        <f>"20190303162231843"</f>
        <v>20190303162231843</v>
      </c>
      <c r="B1042" t="str">
        <f>"1551601351835430"</f>
        <v>1551601351835430</v>
      </c>
      <c r="C1042" t="s">
        <v>40</v>
      </c>
      <c r="D1042">
        <v>5.5249350000000002</v>
      </c>
      <c r="E1042">
        <v>0.51155289999999998</v>
      </c>
      <c r="F1042" t="s">
        <v>41</v>
      </c>
      <c r="G1042">
        <v>-249.39330000000001</v>
      </c>
      <c r="H1042" s="1">
        <v>-1.1492980000000001E-6</v>
      </c>
      <c r="I1042">
        <v>366.11320000000001</v>
      </c>
      <c r="J1042">
        <v>-273.39960000000002</v>
      </c>
      <c r="K1042">
        <v>1.1180380000000001</v>
      </c>
      <c r="L1042">
        <v>367.22969999999998</v>
      </c>
      <c r="M1042">
        <v>0.9998745</v>
      </c>
      <c r="N1042">
        <v>-1.090119E-2</v>
      </c>
      <c r="O1042">
        <v>1.149729E-2</v>
      </c>
      <c r="P1042">
        <v>0.98741259999999997</v>
      </c>
      <c r="Q1042">
        <v>0.15738379999999999</v>
      </c>
      <c r="R1042">
        <v>-1.5714809999999999E-2</v>
      </c>
      <c r="S1042">
        <v>3.059326</v>
      </c>
      <c r="T1042">
        <v>-0.13993699999999901</v>
      </c>
      <c r="U1042">
        <v>-0.13925170000000001</v>
      </c>
      <c r="V1042">
        <v>2.7050850000000001E-2</v>
      </c>
      <c r="W1042">
        <v>0.16813839999999999</v>
      </c>
      <c r="X1042">
        <v>0.98539219999999905</v>
      </c>
      <c r="Y1042">
        <v>5.687263E-2</v>
      </c>
      <c r="Z1042">
        <v>-2.009879E-3</v>
      </c>
      <c r="AA1042">
        <v>0.99837940000000003</v>
      </c>
      <c r="AB1042">
        <v>27</v>
      </c>
      <c r="AC1042">
        <v>24.0063</v>
      </c>
      <c r="AD1042">
        <v>-1.118039149298</v>
      </c>
      <c r="AE1042">
        <v>-1.1164999999999701</v>
      </c>
      <c r="AF1042">
        <v>1.3894427593734</v>
      </c>
      <c r="AG1042">
        <v>-1.118039149298</v>
      </c>
      <c r="AH1042">
        <v>23.940061208464599</v>
      </c>
      <c r="AI1042">
        <v>92.669376197597401</v>
      </c>
      <c r="AJ1042">
        <v>86.678371085585496</v>
      </c>
      <c r="AK1042">
        <v>24.006396926360502</v>
      </c>
      <c r="AL1042">
        <v>80.320400978157394</v>
      </c>
      <c r="AM1042">
        <v>88.427519138060504</v>
      </c>
      <c r="AN1042">
        <v>1.0000000289305599</v>
      </c>
    </row>
    <row r="1043" spans="1:40" x14ac:dyDescent="0.25">
      <c r="A1043" t="str">
        <f>"20190303162231856"</f>
        <v>20190303162231856</v>
      </c>
      <c r="B1043" t="str">
        <f>"1551601351845191"</f>
        <v>1551601351845191</v>
      </c>
      <c r="C1043" t="s">
        <v>40</v>
      </c>
      <c r="D1043">
        <v>5.3642529999999997</v>
      </c>
      <c r="E1043">
        <v>0.51147180000000003</v>
      </c>
      <c r="F1043" t="s">
        <v>41</v>
      </c>
      <c r="G1043">
        <v>-249.73419999999999</v>
      </c>
      <c r="H1043" s="1">
        <v>-1.0119710000000001E-6</v>
      </c>
      <c r="I1043">
        <v>366.13729999999998</v>
      </c>
      <c r="J1043">
        <v>-273.23570000000001</v>
      </c>
      <c r="K1043">
        <v>1.1183350000000001</v>
      </c>
      <c r="L1043">
        <v>367.23160000000001</v>
      </c>
      <c r="M1043">
        <v>0.99987230000000005</v>
      </c>
      <c r="N1043">
        <v>-1.1061609999999999E-2</v>
      </c>
      <c r="O1043">
        <v>1.154554E-2</v>
      </c>
      <c r="P1043">
        <v>0.98741480000000004</v>
      </c>
      <c r="Q1043">
        <v>0.15731339999999999</v>
      </c>
      <c r="R1043">
        <v>-1.6270980000000001E-2</v>
      </c>
      <c r="S1043">
        <v>3.0589900000000001</v>
      </c>
      <c r="T1043">
        <v>-0.14451829999999999</v>
      </c>
      <c r="U1043">
        <v>-0.14120479999999899</v>
      </c>
      <c r="V1043">
        <v>2.7654080000000001E-2</v>
      </c>
      <c r="W1043">
        <v>0.1682263</v>
      </c>
      <c r="X1043">
        <v>0.98536040000000003</v>
      </c>
      <c r="Y1043">
        <v>5.7555740000000001E-2</v>
      </c>
      <c r="Z1043">
        <v>-2.0941240000000002E-3</v>
      </c>
      <c r="AA1043">
        <v>0.99834009999999995</v>
      </c>
      <c r="AB1043">
        <v>27</v>
      </c>
      <c r="AC1043">
        <v>23.5015</v>
      </c>
      <c r="AD1043">
        <v>-1.118336011971</v>
      </c>
      <c r="AE1043">
        <v>-1.09430000000003</v>
      </c>
      <c r="AF1043">
        <v>1.36250254841742</v>
      </c>
      <c r="AG1043">
        <v>-1.118336011971</v>
      </c>
      <c r="AH1043">
        <v>23.434348357046002</v>
      </c>
      <c r="AI1043">
        <v>92.727601994224102</v>
      </c>
      <c r="AJ1043">
        <v>86.6724972307168</v>
      </c>
      <c r="AK1043">
        <v>23.5005483244434</v>
      </c>
      <c r="AL1043">
        <v>80.315291397567094</v>
      </c>
      <c r="AM1043">
        <v>88.392419391801099</v>
      </c>
      <c r="AN1043">
        <v>0.99999997702024701</v>
      </c>
    </row>
    <row r="1044" spans="1:40" x14ac:dyDescent="0.25">
      <c r="A1044" t="str">
        <f>"20190303162231882"</f>
        <v>20190303162231882</v>
      </c>
      <c r="B1044" t="str">
        <f>"1551601351875446"</f>
        <v>1551601351875446</v>
      </c>
      <c r="C1044" t="s">
        <v>40</v>
      </c>
      <c r="D1044">
        <v>5.7498230000000001</v>
      </c>
      <c r="E1044">
        <v>0.51151020000000003</v>
      </c>
      <c r="F1044" t="s">
        <v>41</v>
      </c>
      <c r="G1044">
        <v>-249.56229999999999</v>
      </c>
      <c r="H1044" s="1">
        <v>-1.080182E-6</v>
      </c>
      <c r="I1044">
        <v>366.12920000000003</v>
      </c>
      <c r="J1044">
        <v>-272.92989999999998</v>
      </c>
      <c r="K1044">
        <v>1.118822</v>
      </c>
      <c r="L1044">
        <v>367.23520000000002</v>
      </c>
      <c r="M1044">
        <v>0.99986810000000004</v>
      </c>
      <c r="N1044">
        <v>-1.1337099999999999E-2</v>
      </c>
      <c r="O1044">
        <v>1.163669E-2</v>
      </c>
      <c r="P1044">
        <v>0.98722359999999998</v>
      </c>
      <c r="Q1044">
        <v>0.1581822</v>
      </c>
      <c r="R1044">
        <v>-1.9187590000000001E-2</v>
      </c>
      <c r="S1044">
        <v>3.0588989999999998</v>
      </c>
      <c r="T1044">
        <v>-0.14450289999999999</v>
      </c>
      <c r="U1044">
        <v>-0.1424561</v>
      </c>
      <c r="V1044">
        <v>3.065756E-2</v>
      </c>
      <c r="W1044">
        <v>0.16936409999999999</v>
      </c>
      <c r="X1044">
        <v>0.98507659999999997</v>
      </c>
      <c r="Y1044">
        <v>5.8054660000000001E-2</v>
      </c>
      <c r="Z1044">
        <v>-2.1165989999999998E-3</v>
      </c>
      <c r="AA1044">
        <v>0.99831119999999995</v>
      </c>
      <c r="AB1044">
        <v>27</v>
      </c>
      <c r="AC1044">
        <v>23.3675999999999</v>
      </c>
      <c r="AD1044">
        <v>-1.1188230801820001</v>
      </c>
      <c r="AE1044">
        <v>-1.1059999999999901</v>
      </c>
      <c r="AF1044">
        <v>1.37471968293511</v>
      </c>
      <c r="AG1044">
        <v>-1.1188230801820001</v>
      </c>
      <c r="AH1044">
        <v>23.299852891024202</v>
      </c>
      <c r="AI1044">
        <v>92.7443781701066</v>
      </c>
      <c r="AJ1044">
        <v>86.623393783716196</v>
      </c>
      <c r="AK1044">
        <v>23.367172786513301</v>
      </c>
      <c r="AL1044">
        <v>80.249151406310006</v>
      </c>
      <c r="AM1044">
        <v>88.217415773955494</v>
      </c>
      <c r="AN1044">
        <v>0.99999999611076096</v>
      </c>
    </row>
    <row r="1045" spans="1:40" x14ac:dyDescent="0.25">
      <c r="A1045" t="str">
        <f>"20190303162231896"</f>
        <v>20190303162231896</v>
      </c>
      <c r="B1045" t="str">
        <f>"1551601351885713"</f>
        <v>1551601351885713</v>
      </c>
      <c r="C1045" t="s">
        <v>40</v>
      </c>
      <c r="D1045">
        <v>5.7572150000000004</v>
      </c>
      <c r="E1045">
        <v>0.51153019999999905</v>
      </c>
      <c r="F1045" t="s">
        <v>41</v>
      </c>
      <c r="G1045">
        <v>-248.53120000000001</v>
      </c>
      <c r="H1045" s="1">
        <v>-1.503988E-6</v>
      </c>
      <c r="I1045">
        <v>366.02449999999999</v>
      </c>
      <c r="J1045">
        <v>-272.76639999999998</v>
      </c>
      <c r="K1045">
        <v>1.1190450000000001</v>
      </c>
      <c r="L1045">
        <v>367.23719999999997</v>
      </c>
      <c r="M1045">
        <v>0.99986609999999998</v>
      </c>
      <c r="N1045">
        <v>-1.146585E-2</v>
      </c>
      <c r="O1045">
        <v>1.1685070000000001E-2</v>
      </c>
      <c r="P1045">
        <v>0.9867496</v>
      </c>
      <c r="Q1045">
        <v>0.16049559999999999</v>
      </c>
      <c r="R1045">
        <v>-2.3800760000000001E-2</v>
      </c>
      <c r="S1045">
        <v>3.0583499999999999</v>
      </c>
      <c r="T1045">
        <v>-0.14024320000000001</v>
      </c>
      <c r="U1045">
        <v>-0.15176389999999901</v>
      </c>
      <c r="V1045">
        <v>3.5312450000000002E-2</v>
      </c>
      <c r="W1045">
        <v>0.1717989</v>
      </c>
      <c r="X1045">
        <v>0.98449889999999995</v>
      </c>
      <c r="Y1045">
        <v>6.114286E-2</v>
      </c>
      <c r="Z1045">
        <v>-2.1526729999999999E-3</v>
      </c>
      <c r="AA1045">
        <v>0.99812670000000003</v>
      </c>
      <c r="AB1045">
        <v>27</v>
      </c>
      <c r="AC1045">
        <v>24.235199999999899</v>
      </c>
      <c r="AD1045">
        <v>-1.119046503988</v>
      </c>
      <c r="AE1045">
        <v>-1.2126999999999799</v>
      </c>
      <c r="AF1045">
        <v>1.4926512880027201</v>
      </c>
      <c r="AG1045">
        <v>-1.119046503988</v>
      </c>
      <c r="AH1045">
        <v>24.1679744596922</v>
      </c>
      <c r="AI1045">
        <v>92.646030708218206</v>
      </c>
      <c r="AJ1045">
        <v>86.465813642275606</v>
      </c>
      <c r="AK1045">
        <v>24.239869274193701</v>
      </c>
      <c r="AL1045">
        <v>80.107572178306697</v>
      </c>
      <c r="AM1045">
        <v>87.945769823940395</v>
      </c>
      <c r="AN1045">
        <v>0.99999995763370997</v>
      </c>
    </row>
    <row r="1046" spans="1:40" x14ac:dyDescent="0.25">
      <c r="A1046" t="str">
        <f>"20190303162231909"</f>
        <v>20190303162231909</v>
      </c>
      <c r="B1046" t="str">
        <f>"1551601351895473"</f>
        <v>1551601351895473</v>
      </c>
      <c r="C1046" t="s">
        <v>40</v>
      </c>
      <c r="D1046">
        <v>5.7566680000000003</v>
      </c>
      <c r="E1046">
        <v>0.51151629999999904</v>
      </c>
      <c r="F1046" t="s">
        <v>41</v>
      </c>
      <c r="G1046">
        <v>-246.93889999999999</v>
      </c>
      <c r="H1046" s="1">
        <v>-2.1677960000000001E-6</v>
      </c>
      <c r="I1046">
        <v>365.82769999999999</v>
      </c>
      <c r="J1046">
        <v>-272.61849999999998</v>
      </c>
      <c r="K1046">
        <v>1.119237</v>
      </c>
      <c r="L1046">
        <v>367.2389</v>
      </c>
      <c r="M1046">
        <v>0.99986430000000004</v>
      </c>
      <c r="N1046">
        <v>-1.1576339999999999E-2</v>
      </c>
      <c r="O1046">
        <v>1.172866E-2</v>
      </c>
      <c r="P1046">
        <v>0.98645190000000005</v>
      </c>
      <c r="Q1046">
        <v>0.1619196</v>
      </c>
      <c r="R1046">
        <v>-2.636353E-2</v>
      </c>
      <c r="S1046">
        <v>3.0577999999999999</v>
      </c>
      <c r="T1046">
        <v>-0.13248740000000001</v>
      </c>
      <c r="U1046">
        <v>-0.16687009999999999</v>
      </c>
      <c r="V1046">
        <v>3.7914299999999998E-2</v>
      </c>
      <c r="W1046">
        <v>0.1733277</v>
      </c>
      <c r="X1046">
        <v>0.98413410000000001</v>
      </c>
      <c r="Y1046">
        <v>6.6114829999999999E-2</v>
      </c>
      <c r="Z1046">
        <v>-2.1857439999999999E-3</v>
      </c>
      <c r="AA1046">
        <v>0.99780959999999996</v>
      </c>
      <c r="AB1046">
        <v>27</v>
      </c>
      <c r="AC1046">
        <v>25.679599999999901</v>
      </c>
      <c r="AD1046">
        <v>-1.1192391677959901</v>
      </c>
      <c r="AE1046">
        <v>-1.4112</v>
      </c>
      <c r="AF1046">
        <v>1.70907353782635</v>
      </c>
      <c r="AG1046">
        <v>-1.1192391677959901</v>
      </c>
      <c r="AH1046">
        <v>25.612772520181299</v>
      </c>
      <c r="AI1046">
        <v>92.496601593657999</v>
      </c>
      <c r="AJ1046">
        <v>86.182461212362597</v>
      </c>
      <c r="AK1046">
        <v>25.6941188765636</v>
      </c>
      <c r="AL1046">
        <v>80.018644305802894</v>
      </c>
      <c r="AM1046">
        <v>87.793740108283203</v>
      </c>
      <c r="AN1046">
        <v>0.99999995625729399</v>
      </c>
    </row>
    <row r="1047" spans="1:40" x14ac:dyDescent="0.25">
      <c r="A1047" t="str">
        <f>"20190303162231920"</f>
        <v>20190303162231920</v>
      </c>
      <c r="B1047" t="str">
        <f>"1551601351915102"</f>
        <v>1551601351915102</v>
      </c>
      <c r="C1047" t="s">
        <v>40</v>
      </c>
      <c r="D1047">
        <v>5.7561210000000003</v>
      </c>
      <c r="E1047">
        <v>0.51143070000000002</v>
      </c>
      <c r="F1047" t="s">
        <v>41</v>
      </c>
      <c r="G1047">
        <v>-245.67160000000001</v>
      </c>
      <c r="H1047" s="1">
        <v>-2.7218520000000001E-6</v>
      </c>
      <c r="I1047">
        <v>365.69659999999999</v>
      </c>
      <c r="J1047">
        <v>-272.47050000000002</v>
      </c>
      <c r="K1047">
        <v>1.1194109999999999</v>
      </c>
      <c r="L1047">
        <v>367.2407</v>
      </c>
      <c r="M1047">
        <v>0.99986260000000005</v>
      </c>
      <c r="N1047">
        <v>-1.168071E-2</v>
      </c>
      <c r="O1047">
        <v>1.1771800000000001E-2</v>
      </c>
      <c r="P1047">
        <v>0.98608669999999998</v>
      </c>
      <c r="Q1047">
        <v>0.16362099999999999</v>
      </c>
      <c r="R1047">
        <v>-2.934494E-2</v>
      </c>
      <c r="S1047">
        <v>3.0573730000000001</v>
      </c>
      <c r="T1047">
        <v>-0.12698809999999999</v>
      </c>
      <c r="U1047">
        <v>-0.1749878</v>
      </c>
      <c r="V1047">
        <v>4.0933850000000001E-2</v>
      </c>
      <c r="W1047">
        <v>0.17512749999999999</v>
      </c>
      <c r="X1047">
        <v>0.98369439999999997</v>
      </c>
      <c r="Y1047">
        <v>6.8809519999999999E-2</v>
      </c>
      <c r="Z1047">
        <v>-2.1806769999999998E-3</v>
      </c>
      <c r="AA1047">
        <v>0.99762740000000005</v>
      </c>
      <c r="AB1047">
        <v>27</v>
      </c>
      <c r="AC1047">
        <v>26.7989</v>
      </c>
      <c r="AD1047">
        <v>-1.1194137218519999</v>
      </c>
      <c r="AE1047">
        <v>-1.54410000000001</v>
      </c>
      <c r="AF1047">
        <v>1.8562576783550799</v>
      </c>
      <c r="AG1047">
        <v>-1.1194137218519999</v>
      </c>
      <c r="AH1047">
        <v>26.7323762813058</v>
      </c>
      <c r="AI1047">
        <v>92.392096805168094</v>
      </c>
      <c r="AJ1047">
        <v>86.027839671868307</v>
      </c>
      <c r="AK1047">
        <v>26.8201178463936</v>
      </c>
      <c r="AL1047">
        <v>79.913921556623507</v>
      </c>
      <c r="AM1047">
        <v>87.617161865312198</v>
      </c>
      <c r="AN1047">
        <v>0.99999994696171401</v>
      </c>
    </row>
    <row r="1048" spans="1:40" x14ac:dyDescent="0.25">
      <c r="A1048" t="str">
        <f>"20190303162231934"</f>
        <v>20190303162231934</v>
      </c>
      <c r="B1048" t="str">
        <f>"1551601351924863"</f>
        <v>1551601351924863</v>
      </c>
      <c r="C1048" t="s">
        <v>40</v>
      </c>
      <c r="D1048">
        <v>5.8127769999999996</v>
      </c>
      <c r="E1048">
        <v>0.511405</v>
      </c>
      <c r="F1048" t="s">
        <v>41</v>
      </c>
      <c r="G1048">
        <v>-244.29429999999999</v>
      </c>
      <c r="H1048" s="1">
        <v>-3.3995510000000002E-6</v>
      </c>
      <c r="I1048">
        <v>365.54629999999997</v>
      </c>
      <c r="J1048">
        <v>-272.31450000000001</v>
      </c>
      <c r="K1048">
        <v>1.119569</v>
      </c>
      <c r="L1048">
        <v>367.24259999999998</v>
      </c>
      <c r="M1048">
        <v>0.99986079999999999</v>
      </c>
      <c r="N1048">
        <v>-1.1780290000000001E-2</v>
      </c>
      <c r="O1048">
        <v>1.1816800000000001E-2</v>
      </c>
      <c r="P1048">
        <v>0.98577969999999904</v>
      </c>
      <c r="Q1048">
        <v>0.1649523</v>
      </c>
      <c r="R1048">
        <v>-3.2081030000000003E-2</v>
      </c>
      <c r="S1048">
        <v>3.057007</v>
      </c>
      <c r="T1048">
        <v>-0.12145209999999999</v>
      </c>
      <c r="U1048">
        <v>-0.1838379</v>
      </c>
      <c r="V1048">
        <v>4.371034E-2</v>
      </c>
      <c r="W1048">
        <v>0.17655309999999999</v>
      </c>
      <c r="X1048">
        <v>0.98332010000000003</v>
      </c>
      <c r="Y1048">
        <v>7.1742449999999999E-2</v>
      </c>
      <c r="Z1048">
        <v>-2.1763300000000002E-3</v>
      </c>
      <c r="AA1048">
        <v>0.9974208</v>
      </c>
      <c r="AB1048">
        <v>27</v>
      </c>
      <c r="AC1048">
        <v>28.020199999999999</v>
      </c>
      <c r="AD1048">
        <v>-1.1195723995510001</v>
      </c>
      <c r="AE1048">
        <v>-1.6962999999999999</v>
      </c>
      <c r="AF1048">
        <v>2.0240940036619799</v>
      </c>
      <c r="AG1048">
        <v>-1.1195723995510001</v>
      </c>
      <c r="AH1048">
        <v>27.9537326516934</v>
      </c>
      <c r="AI1048">
        <v>92.287539657553907</v>
      </c>
      <c r="AJ1048">
        <v>85.858513814408298</v>
      </c>
      <c r="AK1048">
        <v>28.049270365837401</v>
      </c>
      <c r="AL1048">
        <v>79.830948439747502</v>
      </c>
      <c r="AM1048">
        <v>87.454775498587196</v>
      </c>
      <c r="AN1048">
        <v>1.00000000500326</v>
      </c>
    </row>
    <row r="1049" spans="1:40" x14ac:dyDescent="0.25">
      <c r="A1049" t="str">
        <f>"20190303162231947"</f>
        <v>20190303162231947</v>
      </c>
      <c r="B1049" t="str">
        <f>"1551601351935599"</f>
        <v>1551601351935599</v>
      </c>
      <c r="C1049" t="s">
        <v>40</v>
      </c>
      <c r="D1049">
        <v>5.566433</v>
      </c>
      <c r="E1049">
        <v>0.51135520000000001</v>
      </c>
      <c r="F1049" t="s">
        <v>41</v>
      </c>
      <c r="G1049">
        <v>-243.08170000000001</v>
      </c>
      <c r="H1049" s="1">
        <v>-3.9976859999999999E-6</v>
      </c>
      <c r="I1049">
        <v>365.40589999999997</v>
      </c>
      <c r="J1049">
        <v>-272.16849999999999</v>
      </c>
      <c r="K1049">
        <v>1.1197109999999999</v>
      </c>
      <c r="L1049">
        <v>367.24439999999998</v>
      </c>
      <c r="M1049">
        <v>0.99985930000000001</v>
      </c>
      <c r="N1049">
        <v>-1.1869040000000001E-2</v>
      </c>
      <c r="O1049">
        <v>1.1858469999999999E-2</v>
      </c>
      <c r="P1049">
        <v>0.98551599999999995</v>
      </c>
      <c r="Q1049">
        <v>0.16603709999999999</v>
      </c>
      <c r="R1049">
        <v>-3.450052E-2</v>
      </c>
      <c r="S1049">
        <v>3.0566710000000001</v>
      </c>
      <c r="T1049">
        <v>-0.117066</v>
      </c>
      <c r="U1049">
        <v>-0.1920471</v>
      </c>
      <c r="V1049">
        <v>4.6167560000000003E-2</v>
      </c>
      <c r="W1049">
        <v>0.1777212</v>
      </c>
      <c r="X1049">
        <v>0.98299740000000002</v>
      </c>
      <c r="Y1049">
        <v>7.4461340000000001E-2</v>
      </c>
      <c r="Z1049">
        <v>-2.179524E-3</v>
      </c>
      <c r="AA1049">
        <v>0.99722149999999998</v>
      </c>
      <c r="AB1049">
        <v>27</v>
      </c>
      <c r="AC1049">
        <v>29.086799999999901</v>
      </c>
      <c r="AD1049">
        <v>-1.1197149976859999</v>
      </c>
      <c r="AE1049">
        <v>-1.83850000000001</v>
      </c>
      <c r="AF1049">
        <v>2.1801020637390698</v>
      </c>
      <c r="AG1049">
        <v>-1.1197149976859999</v>
      </c>
      <c r="AH1049">
        <v>29.020116969887301</v>
      </c>
      <c r="AI1049">
        <v>92.203407154509193</v>
      </c>
      <c r="AJ1049">
        <v>85.703792016033503</v>
      </c>
      <c r="AK1049">
        <v>29.123423487466301</v>
      </c>
      <c r="AL1049">
        <v>79.762946615012495</v>
      </c>
      <c r="AM1049">
        <v>87.311016323016901</v>
      </c>
      <c r="AN1049">
        <v>1.0000000784662699</v>
      </c>
    </row>
    <row r="1050" spans="1:40" x14ac:dyDescent="0.25">
      <c r="A1050" t="str">
        <f>"20190303162231959"</f>
        <v>20190303162231959</v>
      </c>
      <c r="B1050" t="str">
        <f>"1551601351945358"</f>
        <v>1551601351945358</v>
      </c>
      <c r="C1050" t="s">
        <v>40</v>
      </c>
      <c r="D1050">
        <v>5.7606320000000002</v>
      </c>
      <c r="E1050">
        <v>0.51122639999999997</v>
      </c>
      <c r="F1050" t="s">
        <v>41</v>
      </c>
      <c r="G1050">
        <v>-242.05410000000001</v>
      </c>
      <c r="H1050" s="1">
        <v>-4.5055770000000001E-6</v>
      </c>
      <c r="I1050">
        <v>365.28109999999998</v>
      </c>
      <c r="J1050">
        <v>-272.02289999999999</v>
      </c>
      <c r="K1050">
        <v>1.1198349999999999</v>
      </c>
      <c r="L1050">
        <v>367.24610000000001</v>
      </c>
      <c r="M1050">
        <v>0.99985789999999997</v>
      </c>
      <c r="N1050">
        <v>-1.1951E-2</v>
      </c>
      <c r="O1050">
        <v>1.1899699999999999E-2</v>
      </c>
      <c r="P1050">
        <v>0.98524319999999999</v>
      </c>
      <c r="Q1050">
        <v>0.1670904</v>
      </c>
      <c r="R1050">
        <v>-3.7107910000000001E-2</v>
      </c>
      <c r="S1050">
        <v>3.0562740000000002</v>
      </c>
      <c r="T1050">
        <v>-0.1136384</v>
      </c>
      <c r="U1050">
        <v>-0.19924929999999999</v>
      </c>
      <c r="V1050">
        <v>4.8812290000000001E-2</v>
      </c>
      <c r="W1050">
        <v>0.17885190000000001</v>
      </c>
      <c r="X1050">
        <v>0.98266439999999999</v>
      </c>
      <c r="Y1050">
        <v>7.6852420000000005E-2</v>
      </c>
      <c r="Z1050">
        <v>-2.1865460000000001E-3</v>
      </c>
      <c r="AA1050">
        <v>0.99704009999999998</v>
      </c>
      <c r="AB1050">
        <v>27</v>
      </c>
      <c r="AC1050">
        <v>29.968799999999899</v>
      </c>
      <c r="AD1050">
        <v>-1.1198395055769901</v>
      </c>
      <c r="AE1050">
        <v>-1.9650000000000301</v>
      </c>
      <c r="AF1050">
        <v>2.3182828875685502</v>
      </c>
      <c r="AG1050">
        <v>-1.1198395055769901</v>
      </c>
      <c r="AH1050">
        <v>29.9017207309202</v>
      </c>
      <c r="AI1050">
        <v>92.138351936971205</v>
      </c>
      <c r="AJ1050">
        <v>85.566721954180494</v>
      </c>
      <c r="AK1050">
        <v>30.012353768656499</v>
      </c>
      <c r="AL1050">
        <v>79.697106442960603</v>
      </c>
      <c r="AM1050">
        <v>87.156260737006804</v>
      </c>
      <c r="AN1050">
        <v>0.99999998240800603</v>
      </c>
    </row>
    <row r="1051" spans="1:40" x14ac:dyDescent="0.25">
      <c r="A1051" t="str">
        <f>"20190303162231975"</f>
        <v>20190303162231975</v>
      </c>
      <c r="B1051" t="str">
        <f>"1551601351964878"</f>
        <v>1551601351964878</v>
      </c>
      <c r="C1051" t="s">
        <v>40</v>
      </c>
      <c r="D1051">
        <v>5.6980380000000004</v>
      </c>
      <c r="E1051">
        <v>0.51097230000000005</v>
      </c>
      <c r="F1051" t="s">
        <v>41</v>
      </c>
      <c r="G1051">
        <v>-241.09829999999999</v>
      </c>
      <c r="H1051" s="1">
        <v>-4.9792170000000004E-6</v>
      </c>
      <c r="I1051">
        <v>365.15789999999998</v>
      </c>
      <c r="J1051">
        <v>-271.83710000000002</v>
      </c>
      <c r="K1051">
        <v>1.1199749999999999</v>
      </c>
      <c r="L1051">
        <v>367.2484</v>
      </c>
      <c r="M1051">
        <v>0.99985610000000003</v>
      </c>
      <c r="N1051">
        <v>-1.2046919999999999E-2</v>
      </c>
      <c r="O1051">
        <v>1.19521E-2</v>
      </c>
      <c r="P1051">
        <v>0.98474249999999997</v>
      </c>
      <c r="Q1051">
        <v>0.16887289999999999</v>
      </c>
      <c r="R1051">
        <v>-4.2004970000000003E-2</v>
      </c>
      <c r="S1051">
        <v>3.055939</v>
      </c>
      <c r="T1051">
        <v>-0.1106615</v>
      </c>
      <c r="U1051">
        <v>-0.20635990000000001</v>
      </c>
      <c r="V1051">
        <v>5.375456E-2</v>
      </c>
      <c r="W1051">
        <v>0.18072250000000001</v>
      </c>
      <c r="X1051">
        <v>0.9820641</v>
      </c>
      <c r="Y1051">
        <v>7.9222600000000004E-2</v>
      </c>
      <c r="Z1051">
        <v>-2.1986919999999999E-3</v>
      </c>
      <c r="AA1051">
        <v>0.99685449999999998</v>
      </c>
      <c r="AB1051">
        <v>27</v>
      </c>
      <c r="AC1051">
        <v>30.738800000000001</v>
      </c>
      <c r="AD1051">
        <v>-1.119979979217</v>
      </c>
      <c r="AE1051">
        <v>-2.09050000000002</v>
      </c>
      <c r="AF1051">
        <v>2.45452701879239</v>
      </c>
      <c r="AG1051">
        <v>-1.119979979217</v>
      </c>
      <c r="AH1051">
        <v>30.6710868141286</v>
      </c>
      <c r="AI1051">
        <v>92.0846145988654</v>
      </c>
      <c r="AJ1051">
        <v>85.424519405690106</v>
      </c>
      <c r="AK1051">
        <v>30.789521340865999</v>
      </c>
      <c r="AL1051">
        <v>79.588154169208195</v>
      </c>
      <c r="AM1051">
        <v>86.866967168997903</v>
      </c>
      <c r="AN1051">
        <v>1.0000000356179199</v>
      </c>
    </row>
    <row r="1052" spans="1:40" x14ac:dyDescent="0.25">
      <c r="A1052" t="str">
        <f>"20190303162232026"</f>
        <v>20190303162232026</v>
      </c>
      <c r="B1052" t="str">
        <f>"1551601352014963"</f>
        <v>1551601352014963</v>
      </c>
      <c r="C1052" t="s">
        <v>40</v>
      </c>
      <c r="D1052">
        <v>5.8713340000000001</v>
      </c>
      <c r="E1052">
        <v>0.50669049999999904</v>
      </c>
      <c r="F1052" t="s">
        <v>41</v>
      </c>
      <c r="G1052">
        <v>-239.7071</v>
      </c>
      <c r="H1052" s="1">
        <v>-1.330386E-6</v>
      </c>
      <c r="I1052">
        <v>364.93869999999998</v>
      </c>
      <c r="J1052">
        <v>-271.23379999999997</v>
      </c>
      <c r="K1052">
        <v>1.1203190000000001</v>
      </c>
      <c r="L1052">
        <v>367.25580000000002</v>
      </c>
      <c r="M1052">
        <v>0.99985080000000004</v>
      </c>
      <c r="N1052">
        <v>-1.2307129999999999E-2</v>
      </c>
      <c r="O1052">
        <v>1.2121369999999999E-2</v>
      </c>
      <c r="P1052">
        <v>0.98385849999999997</v>
      </c>
      <c r="Q1052">
        <v>0.17151179999999999</v>
      </c>
      <c r="R1052">
        <v>-5.1049650000000002E-2</v>
      </c>
      <c r="S1052">
        <v>3.0553590000000002</v>
      </c>
      <c r="T1052">
        <v>-0.10650229999999999</v>
      </c>
      <c r="U1052">
        <v>-0.219635</v>
      </c>
      <c r="V1052">
        <v>6.2955010000000006E-2</v>
      </c>
      <c r="W1052">
        <v>0.18360509999999999</v>
      </c>
      <c r="X1052">
        <v>0.98098209999999997</v>
      </c>
      <c r="Y1052">
        <v>8.3714380000000005E-2</v>
      </c>
      <c r="Z1052">
        <v>-2.2456910000000002E-3</v>
      </c>
      <c r="AA1052">
        <v>0.99648729999999996</v>
      </c>
      <c r="AB1052">
        <v>26</v>
      </c>
      <c r="AC1052">
        <v>31.526699999999899</v>
      </c>
      <c r="AD1052">
        <v>-1.1203203303859901</v>
      </c>
      <c r="AE1052">
        <v>-2.3171000000000301</v>
      </c>
      <c r="AF1052">
        <v>2.69571967252431</v>
      </c>
      <c r="AG1052">
        <v>-1.1203203303859901</v>
      </c>
      <c r="AH1052">
        <v>31.456785385944102</v>
      </c>
      <c r="AI1052">
        <v>92.032260939674302</v>
      </c>
      <c r="AJ1052">
        <v>85.101949423313599</v>
      </c>
      <c r="AK1052">
        <v>31.591951016245499</v>
      </c>
      <c r="AL1052">
        <v>79.420182700871194</v>
      </c>
      <c r="AM1052">
        <v>86.328050539366501</v>
      </c>
      <c r="AN1052">
        <v>1.0000000232752499</v>
      </c>
    </row>
    <row r="1053" spans="1:40" x14ac:dyDescent="0.25">
      <c r="A1053" t="str">
        <f>"20190303162232041"</f>
        <v>20190303162232041</v>
      </c>
      <c r="B1053" t="str">
        <f>"1551601352035460"</f>
        <v>1551601352035460</v>
      </c>
      <c r="C1053" t="s">
        <v>40</v>
      </c>
      <c r="D1053">
        <v>5.6117189999999999</v>
      </c>
      <c r="E1053">
        <v>0.51660430000000002</v>
      </c>
      <c r="F1053" t="s">
        <v>41</v>
      </c>
      <c r="G1053">
        <v>-243.37540000000001</v>
      </c>
      <c r="H1053" s="1">
        <v>-3.8746640000000002E-6</v>
      </c>
      <c r="I1053">
        <v>365.31659999999999</v>
      </c>
      <c r="J1053">
        <v>-271.04539999999997</v>
      </c>
      <c r="K1053">
        <v>1.120395</v>
      </c>
      <c r="L1053">
        <v>367.25810000000001</v>
      </c>
      <c r="M1053">
        <v>0.9998494</v>
      </c>
      <c r="N1053">
        <v>-1.237423E-2</v>
      </c>
      <c r="O1053">
        <v>1.2174229999999999E-2</v>
      </c>
      <c r="P1053">
        <v>0.98368390000000006</v>
      </c>
      <c r="Q1053">
        <v>0.1712881</v>
      </c>
      <c r="R1053">
        <v>-5.5019730000000003E-2</v>
      </c>
      <c r="S1053">
        <v>3.059631</v>
      </c>
      <c r="T1053">
        <v>-0.123042899999999</v>
      </c>
      <c r="U1053">
        <v>-0.21298220000000001</v>
      </c>
      <c r="V1053">
        <v>6.6974480000000003E-2</v>
      </c>
      <c r="W1053">
        <v>0.18344479999999999</v>
      </c>
      <c r="X1053">
        <v>0.98074589999999995</v>
      </c>
      <c r="Y1053">
        <v>8.1492460000000003E-2</v>
      </c>
      <c r="Z1053">
        <v>-2.4794909999999999E-3</v>
      </c>
      <c r="AA1053">
        <v>0.99667090000000003</v>
      </c>
      <c r="AB1053">
        <v>26</v>
      </c>
      <c r="AC1053">
        <v>27.669999999999899</v>
      </c>
      <c r="AD1053">
        <v>-1.1203988746639999</v>
      </c>
      <c r="AE1053">
        <v>-1.94150000000001</v>
      </c>
      <c r="AF1053">
        <v>2.27453184842429</v>
      </c>
      <c r="AG1053">
        <v>-1.1203988746639999</v>
      </c>
      <c r="AH1053">
        <v>27.5992820674598</v>
      </c>
      <c r="AI1053">
        <v>92.316812423407001</v>
      </c>
      <c r="AJ1053">
        <v>85.288745887499999</v>
      </c>
      <c r="AK1053">
        <v>27.715503953690799</v>
      </c>
      <c r="AL1053">
        <v>79.429526172281896</v>
      </c>
      <c r="AM1053">
        <v>86.093374856596299</v>
      </c>
      <c r="AN1053">
        <v>1.0000000479925499</v>
      </c>
    </row>
    <row r="1054" spans="1:40" x14ac:dyDescent="0.25">
      <c r="A1054" t="str">
        <f>"20190303162232054"</f>
        <v>20190303162232054</v>
      </c>
      <c r="B1054" t="str">
        <f>"1551601352045218"</f>
        <v>1551601352045218</v>
      </c>
      <c r="C1054" t="s">
        <v>40</v>
      </c>
      <c r="D1054">
        <v>5.5542660000000001</v>
      </c>
      <c r="E1054">
        <v>0.51837500000000003</v>
      </c>
      <c r="F1054" t="s">
        <v>41</v>
      </c>
      <c r="G1054">
        <v>-247.76429999999999</v>
      </c>
      <c r="H1054" s="1">
        <v>-2.0864189999999999E-6</v>
      </c>
      <c r="I1054">
        <v>364.94220000000001</v>
      </c>
      <c r="J1054">
        <v>-270.89449999999999</v>
      </c>
      <c r="K1054">
        <v>1.120447</v>
      </c>
      <c r="L1054">
        <v>367.26</v>
      </c>
      <c r="M1054">
        <v>0.99984830000000002</v>
      </c>
      <c r="N1054">
        <v>-1.242245E-2</v>
      </c>
      <c r="O1054">
        <v>1.2216370000000001E-2</v>
      </c>
      <c r="P1054">
        <v>0.98367850000000001</v>
      </c>
      <c r="Q1054">
        <v>0.17069899999999999</v>
      </c>
      <c r="R1054">
        <v>-5.6911620000000003E-2</v>
      </c>
      <c r="S1054">
        <v>3.0583499999999999</v>
      </c>
      <c r="T1054">
        <v>-0.14718249999999999</v>
      </c>
      <c r="U1054">
        <v>-0.30422969999999999</v>
      </c>
      <c r="V1054">
        <v>6.8907889999999999E-2</v>
      </c>
      <c r="W1054">
        <v>0.18290290000000001</v>
      </c>
      <c r="X1054">
        <v>0.9807131</v>
      </c>
      <c r="Y1054">
        <v>0.1109685</v>
      </c>
      <c r="Z1054">
        <v>-3.7884360000000001E-3</v>
      </c>
      <c r="AA1054">
        <v>0.9938167</v>
      </c>
      <c r="AB1054">
        <v>26</v>
      </c>
      <c r="AC1054">
        <v>23.130199999999999</v>
      </c>
      <c r="AD1054">
        <v>-1.120449086419</v>
      </c>
      <c r="AE1054">
        <v>-2.3177999999999699</v>
      </c>
      <c r="AF1054">
        <v>2.5941890578928501</v>
      </c>
      <c r="AG1054">
        <v>-1.120449086419</v>
      </c>
      <c r="AH1054">
        <v>23.046614552899101</v>
      </c>
      <c r="AI1054">
        <v>92.765897174586399</v>
      </c>
      <c r="AJ1054">
        <v>83.5776659982469</v>
      </c>
      <c r="AK1054">
        <v>23.2192089738916</v>
      </c>
      <c r="AL1054">
        <v>79.461108356681294</v>
      </c>
      <c r="AM1054">
        <v>85.980829378832695</v>
      </c>
      <c r="AN1054">
        <v>0.999999976322135</v>
      </c>
    </row>
    <row r="1055" spans="1:40" x14ac:dyDescent="0.25">
      <c r="A1055" t="str">
        <f>"20190303162232068"</f>
        <v>20190303162232068</v>
      </c>
      <c r="B1055" t="str">
        <f>"1551601352054979"</f>
        <v>1551601352054979</v>
      </c>
      <c r="C1055" t="s">
        <v>40</v>
      </c>
      <c r="D1055">
        <v>5.5819229999999997</v>
      </c>
      <c r="E1055">
        <v>0.51955249999999997</v>
      </c>
      <c r="F1055" t="s">
        <v>41</v>
      </c>
      <c r="G1055">
        <v>-248.30019999999999</v>
      </c>
      <c r="H1055" s="1">
        <v>-1.900782E-6</v>
      </c>
      <c r="I1055">
        <v>364.86649999999997</v>
      </c>
      <c r="J1055">
        <v>-270.72539999999998</v>
      </c>
      <c r="K1055">
        <v>1.120501</v>
      </c>
      <c r="L1055">
        <v>367.26209999999998</v>
      </c>
      <c r="M1055">
        <v>0.99984709999999999</v>
      </c>
      <c r="N1055">
        <v>-1.247331E-2</v>
      </c>
      <c r="O1055">
        <v>1.2263430000000001E-2</v>
      </c>
      <c r="P1055">
        <v>0.98370930000000001</v>
      </c>
      <c r="Q1055">
        <v>0.16988049999999999</v>
      </c>
      <c r="R1055">
        <v>-5.8797429999999998E-2</v>
      </c>
      <c r="S1055">
        <v>3.0573429999999999</v>
      </c>
      <c r="T1055">
        <v>-0.15161340000000001</v>
      </c>
      <c r="U1055">
        <v>-0.32388309999999998</v>
      </c>
      <c r="V1055">
        <v>7.0840189999999997E-2</v>
      </c>
      <c r="W1055">
        <v>0.18213399999999999</v>
      </c>
      <c r="X1055">
        <v>0.9807186</v>
      </c>
      <c r="Y1055">
        <v>0.1173476</v>
      </c>
      <c r="Z1055">
        <v>-4.0879389999999996E-3</v>
      </c>
      <c r="AA1055">
        <v>0.99308249999999998</v>
      </c>
      <c r="AB1055">
        <v>26</v>
      </c>
      <c r="AC1055">
        <v>22.425199999999901</v>
      </c>
      <c r="AD1055">
        <v>-1.120502900782</v>
      </c>
      <c r="AE1055">
        <v>-2.3956</v>
      </c>
      <c r="AF1055">
        <v>2.6638754075310902</v>
      </c>
      <c r="AG1055">
        <v>-1.120502900782</v>
      </c>
      <c r="AH1055">
        <v>22.3389900362628</v>
      </c>
      <c r="AI1055">
        <v>92.851328555388207</v>
      </c>
      <c r="AJ1055">
        <v>83.199716467689996</v>
      </c>
      <c r="AK1055">
        <v>22.525146720449001</v>
      </c>
      <c r="AL1055">
        <v>79.505916514978097</v>
      </c>
      <c r="AM1055">
        <v>85.868532741827096</v>
      </c>
      <c r="AN1055">
        <v>1.0000000494305901</v>
      </c>
    </row>
    <row r="1056" spans="1:40" x14ac:dyDescent="0.25">
      <c r="A1056" t="str">
        <f>"20190303162232082"</f>
        <v>20190303162232082</v>
      </c>
      <c r="B1056" t="str">
        <f>"1551601352075475"</f>
        <v>1551601352075475</v>
      </c>
      <c r="C1056" t="s">
        <v>40</v>
      </c>
      <c r="D1056">
        <v>5.5947809999999896</v>
      </c>
      <c r="E1056">
        <v>0.52079529999999996</v>
      </c>
      <c r="F1056" t="s">
        <v>41</v>
      </c>
      <c r="G1056">
        <v>-248.90649999999999</v>
      </c>
      <c r="H1056" s="1">
        <v>-1.6745279999999999E-6</v>
      </c>
      <c r="I1056">
        <v>364.84179999999998</v>
      </c>
      <c r="J1056">
        <v>-270.5668</v>
      </c>
      <c r="K1056">
        <v>1.120541</v>
      </c>
      <c r="L1056">
        <v>367.26409999999998</v>
      </c>
      <c r="M1056">
        <v>0.99984600000000001</v>
      </c>
      <c r="N1056">
        <v>-1.251769E-2</v>
      </c>
      <c r="O1056">
        <v>1.2307729999999999E-2</v>
      </c>
      <c r="P1056">
        <v>0.98372230000000005</v>
      </c>
      <c r="Q1056">
        <v>0.1691956</v>
      </c>
      <c r="R1056">
        <v>-6.0529779999999998E-2</v>
      </c>
      <c r="S1056">
        <v>3.0564879999999999</v>
      </c>
      <c r="T1056">
        <v>-0.15696499999999999</v>
      </c>
      <c r="U1056">
        <v>-0.33905030000000003</v>
      </c>
      <c r="V1056">
        <v>7.2616379999999994E-2</v>
      </c>
      <c r="W1056">
        <v>0.18149299999999999</v>
      </c>
      <c r="X1056">
        <v>0.98070749999999995</v>
      </c>
      <c r="Y1056">
        <v>0.1222695</v>
      </c>
      <c r="Z1056">
        <v>-4.3724829999999999E-3</v>
      </c>
      <c r="AA1056">
        <v>0.99248729999999996</v>
      </c>
      <c r="AB1056">
        <v>26</v>
      </c>
      <c r="AC1056">
        <v>21.660299999999999</v>
      </c>
      <c r="AD1056">
        <v>-1.120542674528</v>
      </c>
      <c r="AE1056">
        <v>-2.4222999999999999</v>
      </c>
      <c r="AF1056">
        <v>2.6816383770197301</v>
      </c>
      <c r="AG1056">
        <v>-1.120542674528</v>
      </c>
      <c r="AH1056">
        <v>21.571825114829998</v>
      </c>
      <c r="AI1056">
        <v>92.9508687816855</v>
      </c>
      <c r="AJ1056">
        <v>82.913795649990007</v>
      </c>
      <c r="AK1056">
        <v>21.766727798531299</v>
      </c>
      <c r="AL1056">
        <v>79.543265336984305</v>
      </c>
      <c r="AM1056">
        <v>85.765268143516593</v>
      </c>
      <c r="AN1056">
        <v>1.00000002412477</v>
      </c>
    </row>
    <row r="1057" spans="1:40" x14ac:dyDescent="0.25">
      <c r="A1057" t="str">
        <f>"20190303162232132"</f>
        <v>20190303162232132</v>
      </c>
      <c r="B1057" t="str">
        <f>"1551601352125250"</f>
        <v>1551601352125250</v>
      </c>
      <c r="C1057" t="s">
        <v>40</v>
      </c>
      <c r="D1057">
        <v>5.5990039999999999</v>
      </c>
      <c r="E1057">
        <v>0.52142949999999999</v>
      </c>
      <c r="F1057" t="s">
        <v>41</v>
      </c>
      <c r="G1057">
        <v>-249.73859999999999</v>
      </c>
      <c r="H1057" s="1">
        <v>-1.3528049999999999E-6</v>
      </c>
      <c r="I1057">
        <v>364.85</v>
      </c>
      <c r="J1057">
        <v>-269.9966</v>
      </c>
      <c r="K1057">
        <v>1.120657</v>
      </c>
      <c r="L1057">
        <v>367.2713</v>
      </c>
      <c r="M1057">
        <v>0.99984229999999996</v>
      </c>
      <c r="N1057">
        <v>-1.2647490000000001E-2</v>
      </c>
      <c r="O1057">
        <v>1.246688E-2</v>
      </c>
      <c r="P1057">
        <v>0.98400399999999999</v>
      </c>
      <c r="Q1057">
        <v>0.16477890000000001</v>
      </c>
      <c r="R1057">
        <v>-6.7705849999999998E-2</v>
      </c>
      <c r="S1057">
        <v>3.0561219999999998</v>
      </c>
      <c r="T1057">
        <v>-0.16441710000000001</v>
      </c>
      <c r="U1057">
        <v>-0.35421750000000002</v>
      </c>
      <c r="V1057">
        <v>7.9952449999999994E-2</v>
      </c>
      <c r="W1057">
        <v>0.1772068</v>
      </c>
      <c r="X1057">
        <v>0.98092069999999998</v>
      </c>
      <c r="Y1057">
        <v>0.1272742</v>
      </c>
      <c r="Z1057">
        <v>-4.7291010000000003E-3</v>
      </c>
      <c r="AA1057">
        <v>0.99185630000000002</v>
      </c>
      <c r="AB1057">
        <v>26</v>
      </c>
      <c r="AC1057">
        <v>20.257999999999999</v>
      </c>
      <c r="AD1057">
        <v>-1.120658352805</v>
      </c>
      <c r="AE1057">
        <v>-2.4212999999999698</v>
      </c>
      <c r="AF1057">
        <v>2.6656434815034</v>
      </c>
      <c r="AG1057">
        <v>-1.120658352805</v>
      </c>
      <c r="AH1057">
        <v>20.165395460134398</v>
      </c>
      <c r="AI1057">
        <v>93.153469537054207</v>
      </c>
      <c r="AJ1057">
        <v>82.469786426362802</v>
      </c>
      <c r="AK1057">
        <v>20.371664251548101</v>
      </c>
      <c r="AL1057">
        <v>79.792894442886507</v>
      </c>
      <c r="AM1057">
        <v>85.340261722327796</v>
      </c>
      <c r="AN1057">
        <v>1.0000000319578599</v>
      </c>
    </row>
    <row r="1058" spans="1:40" x14ac:dyDescent="0.25">
      <c r="A1058" t="str">
        <f>"20190303162232153"</f>
        <v>20190303162232153</v>
      </c>
      <c r="B1058" t="str">
        <f>"1551601352145748"</f>
        <v>1551601352145748</v>
      </c>
      <c r="C1058" t="s">
        <v>40</v>
      </c>
      <c r="D1058">
        <v>10.289099999999999</v>
      </c>
      <c r="E1058">
        <v>0.52136369999999999</v>
      </c>
      <c r="F1058" t="s">
        <v>41</v>
      </c>
      <c r="G1058">
        <v>-251.44630000000001</v>
      </c>
      <c r="H1058" s="1">
        <v>-4.4760970000000004E-6</v>
      </c>
      <c r="I1058">
        <v>364.96960000000001</v>
      </c>
      <c r="J1058">
        <v>-269.7353</v>
      </c>
      <c r="K1058">
        <v>1.1207020000000001</v>
      </c>
      <c r="L1058">
        <v>367.27460000000002</v>
      </c>
      <c r="M1058">
        <v>0.99984079999999997</v>
      </c>
      <c r="N1058">
        <v>-1.2695440000000001E-2</v>
      </c>
      <c r="O1058">
        <v>1.2539949999999999E-2</v>
      </c>
      <c r="P1058">
        <v>0.98403700000000005</v>
      </c>
      <c r="Q1058">
        <v>0.16428319999999999</v>
      </c>
      <c r="R1058">
        <v>-6.8425410000000006E-2</v>
      </c>
      <c r="S1058">
        <v>3.0535890000000001</v>
      </c>
      <c r="T1058">
        <v>-0.18447259999999999</v>
      </c>
      <c r="U1058">
        <v>-0.37887569999999998</v>
      </c>
      <c r="V1058">
        <v>8.0744430000000006E-2</v>
      </c>
      <c r="W1058">
        <v>0.17675859999999999</v>
      </c>
      <c r="X1058">
        <v>0.98093660000000005</v>
      </c>
      <c r="Y1058">
        <v>0.1352585</v>
      </c>
      <c r="Z1058">
        <v>-5.5248220000000004E-3</v>
      </c>
      <c r="AA1058">
        <v>0.99079499999999998</v>
      </c>
      <c r="AB1058">
        <v>26</v>
      </c>
      <c r="AC1058">
        <v>18.288999999999898</v>
      </c>
      <c r="AD1058">
        <v>-1.120706476097</v>
      </c>
      <c r="AE1058">
        <v>-2.3050000000000002</v>
      </c>
      <c r="AF1058">
        <v>2.5248479230565399</v>
      </c>
      <c r="AG1058">
        <v>-1.120706476097</v>
      </c>
      <c r="AH1058">
        <v>18.191415059335199</v>
      </c>
      <c r="AI1058">
        <v>93.491938555311094</v>
      </c>
      <c r="AJ1058">
        <v>82.098206245814893</v>
      </c>
      <c r="AK1058">
        <v>18.399957116828698</v>
      </c>
      <c r="AL1058">
        <v>79.818985345639405</v>
      </c>
      <c r="AM1058">
        <v>85.294386251090401</v>
      </c>
      <c r="AN1058">
        <v>0.99999993943476995</v>
      </c>
    </row>
    <row r="1059" spans="1:40" x14ac:dyDescent="0.25">
      <c r="A1059" t="str">
        <f>"20190303162232176"</f>
        <v>20190303162232176</v>
      </c>
      <c r="B1059" t="str">
        <f>"1551601352165266"</f>
        <v>1551601352165266</v>
      </c>
      <c r="C1059" t="s">
        <v>40</v>
      </c>
      <c r="D1059">
        <v>5.5621320000000001</v>
      </c>
      <c r="E1059">
        <v>0.52104949999999906</v>
      </c>
      <c r="F1059" t="s">
        <v>41</v>
      </c>
      <c r="G1059">
        <v>-251.53149999999999</v>
      </c>
      <c r="H1059" s="1">
        <v>-4.4314870000000001E-6</v>
      </c>
      <c r="I1059">
        <v>365.01499999999999</v>
      </c>
      <c r="J1059">
        <v>-269.4649</v>
      </c>
      <c r="K1059">
        <v>1.1207389999999999</v>
      </c>
      <c r="L1059">
        <v>367.27809999999999</v>
      </c>
      <c r="M1059">
        <v>0.99983920000000004</v>
      </c>
      <c r="N1059">
        <v>-1.273855E-2</v>
      </c>
      <c r="O1059">
        <v>1.261572E-2</v>
      </c>
      <c r="P1059">
        <v>0.98405830000000005</v>
      </c>
      <c r="Q1059">
        <v>0.1641687</v>
      </c>
      <c r="R1059">
        <v>-6.8397180000000002E-2</v>
      </c>
      <c r="S1059">
        <v>3.0537109999999998</v>
      </c>
      <c r="T1059">
        <v>-0.18799920000000001</v>
      </c>
      <c r="U1059">
        <v>-0.37905879999999997</v>
      </c>
      <c r="V1059">
        <v>8.0790749999999995E-2</v>
      </c>
      <c r="W1059">
        <v>0.17668639999999999</v>
      </c>
      <c r="X1059">
        <v>0.98094590000000004</v>
      </c>
      <c r="Y1059">
        <v>0.13537569999999999</v>
      </c>
      <c r="Z1059">
        <v>-5.6270529999999999E-3</v>
      </c>
      <c r="AA1059">
        <v>0.99077839999999995</v>
      </c>
      <c r="AB1059">
        <v>26</v>
      </c>
      <c r="AC1059">
        <v>17.933399999999999</v>
      </c>
      <c r="AD1059">
        <v>-1.120743431487</v>
      </c>
      <c r="AE1059">
        <v>-2.2631000000000001</v>
      </c>
      <c r="AF1059">
        <v>2.4796483070354198</v>
      </c>
      <c r="AG1059">
        <v>-1.120743431487</v>
      </c>
      <c r="AH1059">
        <v>17.8348558227936</v>
      </c>
      <c r="AI1059">
        <v>93.561573114979893</v>
      </c>
      <c r="AJ1059">
        <v>82.084690124805604</v>
      </c>
      <c r="AK1059">
        <v>18.041252833039099</v>
      </c>
      <c r="AL1059">
        <v>79.823189327168294</v>
      </c>
      <c r="AM1059">
        <v>85.291743389605003</v>
      </c>
      <c r="AN1059">
        <v>1.00000004397866</v>
      </c>
    </row>
    <row r="1060" spans="1:40" x14ac:dyDescent="0.25">
      <c r="A1060" t="str">
        <f>"20190303162232221"</f>
        <v>20190303162232221</v>
      </c>
      <c r="B1060" t="str">
        <f>"1551601352215549"</f>
        <v>1551601352215549</v>
      </c>
      <c r="C1060" t="s">
        <v>40</v>
      </c>
      <c r="D1060">
        <v>5.5241069999999999</v>
      </c>
      <c r="E1060">
        <v>0.52068579999999998</v>
      </c>
      <c r="F1060" t="s">
        <v>41</v>
      </c>
      <c r="G1060">
        <v>-251.5136</v>
      </c>
      <c r="H1060" s="1">
        <v>-4.4289949999999999E-6</v>
      </c>
      <c r="I1060">
        <v>365.07220000000001</v>
      </c>
      <c r="J1060">
        <v>-268.93430000000001</v>
      </c>
      <c r="K1060">
        <v>1.1207910000000001</v>
      </c>
      <c r="L1060">
        <v>367.28500000000003</v>
      </c>
      <c r="M1060">
        <v>0.99983659999999996</v>
      </c>
      <c r="N1060">
        <v>-1.280703E-2</v>
      </c>
      <c r="O1060">
        <v>1.276423E-2</v>
      </c>
      <c r="P1060">
        <v>0.98404950000000002</v>
      </c>
      <c r="Q1060">
        <v>0.16439589999999901</v>
      </c>
      <c r="R1060">
        <v>-6.7977590000000004E-2</v>
      </c>
      <c r="S1060">
        <v>3.0543209999999998</v>
      </c>
      <c r="T1060">
        <v>-0.19068840000000001</v>
      </c>
      <c r="U1060">
        <v>-0.37530520000000001</v>
      </c>
      <c r="V1060">
        <v>8.0516989999999997E-2</v>
      </c>
      <c r="W1060">
        <v>0.17698059999999999</v>
      </c>
      <c r="X1060">
        <v>0.98091530000000005</v>
      </c>
      <c r="Y1060">
        <v>0.13429279999999999</v>
      </c>
      <c r="Z1060">
        <v>-5.6671589999999997E-3</v>
      </c>
      <c r="AA1060">
        <v>0.99092550000000001</v>
      </c>
      <c r="AB1060">
        <v>26</v>
      </c>
      <c r="AC1060">
        <v>17.4207</v>
      </c>
      <c r="AD1060">
        <v>-1.120795428995</v>
      </c>
      <c r="AE1060">
        <v>-2.2128000000000099</v>
      </c>
      <c r="AF1060">
        <v>2.4251209530351399</v>
      </c>
      <c r="AG1060">
        <v>-1.120795428995</v>
      </c>
      <c r="AH1060">
        <v>17.3204781752546</v>
      </c>
      <c r="AI1060">
        <v>93.666737803009894</v>
      </c>
      <c r="AJ1060">
        <v>82.0295655049418</v>
      </c>
      <c r="AK1060">
        <v>17.525306224142799</v>
      </c>
      <c r="AL1060">
        <v>79.806062271761107</v>
      </c>
      <c r="AM1060">
        <v>85.307480260229497</v>
      </c>
      <c r="AN1060">
        <v>0.99999997211455405</v>
      </c>
    </row>
    <row r="1061" spans="1:40" x14ac:dyDescent="0.25">
      <c r="A1061" t="str">
        <f>"20190303162232243"</f>
        <v>20190303162232243</v>
      </c>
      <c r="B1061" t="str">
        <f>"1551601352235069"</f>
        <v>1551601352235069</v>
      </c>
      <c r="C1061" t="s">
        <v>40</v>
      </c>
      <c r="D1061">
        <v>5.6001200000000004</v>
      </c>
      <c r="E1061">
        <v>0.52054549999999999</v>
      </c>
      <c r="F1061" t="s">
        <v>41</v>
      </c>
      <c r="G1061">
        <v>-251.1746</v>
      </c>
      <c r="H1061" s="1">
        <v>-4.56301E-6</v>
      </c>
      <c r="I1061">
        <v>365.13659999999999</v>
      </c>
      <c r="J1061">
        <v>-268.68060000000003</v>
      </c>
      <c r="K1061">
        <v>1.120806</v>
      </c>
      <c r="L1061">
        <v>367.28820000000002</v>
      </c>
      <c r="M1061">
        <v>0.99983529999999998</v>
      </c>
      <c r="N1061">
        <v>-1.2833270000000001E-2</v>
      </c>
      <c r="O1061">
        <v>1.283457E-2</v>
      </c>
      <c r="P1061">
        <v>0.9839755</v>
      </c>
      <c r="Q1061">
        <v>0.1647392</v>
      </c>
      <c r="R1061">
        <v>-6.8215670000000006E-2</v>
      </c>
      <c r="S1061">
        <v>3.0553279999999998</v>
      </c>
      <c r="T1061">
        <v>-0.1928183</v>
      </c>
      <c r="U1061">
        <v>-0.36959839999999999</v>
      </c>
      <c r="V1061">
        <v>8.0823300000000001E-2</v>
      </c>
      <c r="W1061">
        <v>0.1773486</v>
      </c>
      <c r="X1061">
        <v>0.98082369999999997</v>
      </c>
      <c r="Y1061">
        <v>0.13249639999999999</v>
      </c>
      <c r="Z1061">
        <v>-5.6582960000000002E-3</v>
      </c>
      <c r="AA1061">
        <v>0.99116740000000003</v>
      </c>
      <c r="AB1061">
        <v>26</v>
      </c>
      <c r="AC1061">
        <v>17.506</v>
      </c>
      <c r="AD1061">
        <v>-1.12081056301</v>
      </c>
      <c r="AE1061">
        <v>-2.1516000000000299</v>
      </c>
      <c r="AF1061">
        <v>2.3665667524712002</v>
      </c>
      <c r="AG1061">
        <v>-1.12081056301</v>
      </c>
      <c r="AH1061">
        <v>17.406650581302401</v>
      </c>
      <c r="AI1061">
        <v>93.650683293205702</v>
      </c>
      <c r="AJ1061">
        <v>82.257673671703699</v>
      </c>
      <c r="AK1061">
        <v>17.602509450973599</v>
      </c>
      <c r="AL1061">
        <v>79.784639136148897</v>
      </c>
      <c r="AM1061">
        <v>85.2892708085256</v>
      </c>
      <c r="AN1061">
        <v>1.00000003111326</v>
      </c>
    </row>
    <row r="1062" spans="1:40" x14ac:dyDescent="0.25">
      <c r="A1062" t="str">
        <f>"20190303162232265"</f>
        <v>20190303162232265</v>
      </c>
      <c r="B1062" t="str">
        <f>"1551601352255566"</f>
        <v>1551601352255566</v>
      </c>
      <c r="C1062" t="s">
        <v>40</v>
      </c>
      <c r="D1062">
        <v>5.5889749999999996</v>
      </c>
      <c r="E1062">
        <v>0.52030429999999905</v>
      </c>
      <c r="F1062" t="s">
        <v>41</v>
      </c>
      <c r="G1062">
        <v>-250.82769999999999</v>
      </c>
      <c r="H1062" s="1">
        <v>-4.7128010000000002E-6</v>
      </c>
      <c r="I1062">
        <v>365.13130000000001</v>
      </c>
      <c r="J1062">
        <v>-268.4221</v>
      </c>
      <c r="K1062">
        <v>1.1208229999999999</v>
      </c>
      <c r="L1062">
        <v>367.29160000000002</v>
      </c>
      <c r="M1062">
        <v>0.99983420000000001</v>
      </c>
      <c r="N1062">
        <v>-1.285614E-2</v>
      </c>
      <c r="O1062">
        <v>1.290678E-2</v>
      </c>
      <c r="P1062">
        <v>0.98383609999999999</v>
      </c>
      <c r="Q1062">
        <v>0.16547870000000001</v>
      </c>
      <c r="R1062">
        <v>-6.8436880000000005E-2</v>
      </c>
      <c r="S1062">
        <v>3.0554199999999998</v>
      </c>
      <c r="T1062">
        <v>-0.19181880000000001</v>
      </c>
      <c r="U1062">
        <v>-0.36914059999999999</v>
      </c>
      <c r="V1062">
        <v>8.1113610000000003E-2</v>
      </c>
      <c r="W1062">
        <v>0.17810870000000001</v>
      </c>
      <c r="X1062">
        <v>0.98066189999999998</v>
      </c>
      <c r="Y1062">
        <v>0.13242129999999999</v>
      </c>
      <c r="Z1062">
        <v>-5.6344610000000003E-3</v>
      </c>
      <c r="AA1062">
        <v>0.99117750000000004</v>
      </c>
      <c r="AB1062">
        <v>26</v>
      </c>
      <c r="AC1062">
        <v>17.5944</v>
      </c>
      <c r="AD1062">
        <v>-1.12082771280099</v>
      </c>
      <c r="AE1062">
        <v>-2.1602999999999999</v>
      </c>
      <c r="AF1062">
        <v>2.3777199597429801</v>
      </c>
      <c r="AG1062">
        <v>-1.12082771280099</v>
      </c>
      <c r="AH1062">
        <v>17.495105969708799</v>
      </c>
      <c r="AI1062">
        <v>93.632354505502704</v>
      </c>
      <c r="AJ1062">
        <v>82.260480767023097</v>
      </c>
      <c r="AK1062">
        <v>17.6914821272861</v>
      </c>
      <c r="AL1062">
        <v>79.7403831537559</v>
      </c>
      <c r="AM1062">
        <v>85.271650383434107</v>
      </c>
      <c r="AN1062">
        <v>0.99999994442726403</v>
      </c>
    </row>
    <row r="1063" spans="1:40" x14ac:dyDescent="0.25">
      <c r="A1063" t="str">
        <f>"20190303162232287"</f>
        <v>20190303162232287</v>
      </c>
      <c r="B1063" t="str">
        <f>"1551601352266302"</f>
        <v>1551601352266302</v>
      </c>
      <c r="C1063" t="s">
        <v>40</v>
      </c>
      <c r="D1063">
        <v>5.7965150000000003</v>
      </c>
      <c r="E1063">
        <v>0.52022500000000005</v>
      </c>
      <c r="F1063" t="s">
        <v>41</v>
      </c>
      <c r="G1063">
        <v>-250.2628</v>
      </c>
      <c r="H1063" s="1">
        <v>-4.9594880000000002E-6</v>
      </c>
      <c r="I1063">
        <v>365.10680000000002</v>
      </c>
      <c r="J1063">
        <v>-268.16059999999999</v>
      </c>
      <c r="K1063">
        <v>1.120841</v>
      </c>
      <c r="L1063">
        <v>367.29509999999999</v>
      </c>
      <c r="M1063">
        <v>0.99983290000000002</v>
      </c>
      <c r="N1063">
        <v>-1.287599E-2</v>
      </c>
      <c r="O1063">
        <v>1.297996E-2</v>
      </c>
      <c r="P1063">
        <v>0.98378390000000004</v>
      </c>
      <c r="Q1063">
        <v>0.16562489999999999</v>
      </c>
      <c r="R1063">
        <v>-6.8830359999999993E-2</v>
      </c>
      <c r="S1063">
        <v>3.05545</v>
      </c>
      <c r="T1063">
        <v>-0.18858730000000001</v>
      </c>
      <c r="U1063">
        <v>-0.36761470000000002</v>
      </c>
      <c r="V1063">
        <v>8.1578559999999994E-2</v>
      </c>
      <c r="W1063">
        <v>0.1782734</v>
      </c>
      <c r="X1063">
        <v>0.98059339999999995</v>
      </c>
      <c r="Y1063">
        <v>0.13201559999999901</v>
      </c>
      <c r="Z1063">
        <v>-5.5408920000000004E-3</v>
      </c>
      <c r="AA1063">
        <v>0.99123220000000001</v>
      </c>
      <c r="AB1063">
        <v>26</v>
      </c>
      <c r="AC1063">
        <v>17.897799999999901</v>
      </c>
      <c r="AD1063">
        <v>-1.120845959488</v>
      </c>
      <c r="AE1063">
        <v>-2.1882999999999599</v>
      </c>
      <c r="AF1063">
        <v>2.4111307475046702</v>
      </c>
      <c r="AG1063">
        <v>-1.120845959488</v>
      </c>
      <c r="AH1063">
        <v>17.799108056348501</v>
      </c>
      <c r="AI1063">
        <v>93.570745853128102</v>
      </c>
      <c r="AJ1063">
        <v>82.285468546800502</v>
      </c>
      <c r="AK1063">
        <v>17.996613424420499</v>
      </c>
      <c r="AL1063">
        <v>79.730793025722207</v>
      </c>
      <c r="AM1063">
        <v>85.244340366531006</v>
      </c>
      <c r="AN1063">
        <v>0.99999994136139503</v>
      </c>
    </row>
    <row r="1064" spans="1:40" x14ac:dyDescent="0.25">
      <c r="A1064" t="str">
        <f>"20190303162232309"</f>
        <v>20190303162232309</v>
      </c>
      <c r="B1064" t="str">
        <f>"1551601352295582"</f>
        <v>1551601352295582</v>
      </c>
      <c r="C1064" t="s">
        <v>40</v>
      </c>
      <c r="D1064">
        <v>5.5793239999999997</v>
      </c>
      <c r="E1064">
        <v>0.52013129999999996</v>
      </c>
      <c r="F1064" t="s">
        <v>41</v>
      </c>
      <c r="G1064">
        <v>-249.9812</v>
      </c>
      <c r="H1064" s="1">
        <v>-5.0805459999999999E-6</v>
      </c>
      <c r="I1064">
        <v>365.1053</v>
      </c>
      <c r="J1064">
        <v>-267.90230000000003</v>
      </c>
      <c r="K1064">
        <v>1.1208579999999999</v>
      </c>
      <c r="L1064">
        <v>367.29860000000002</v>
      </c>
      <c r="M1064">
        <v>0.99983180000000005</v>
      </c>
      <c r="N1064">
        <v>-1.289264E-2</v>
      </c>
      <c r="O1064">
        <v>1.3052390000000001E-2</v>
      </c>
      <c r="P1064">
        <v>0.98373370000000004</v>
      </c>
      <c r="Q1064">
        <v>0.16597879999999901</v>
      </c>
      <c r="R1064">
        <v>-6.8694489999999997E-2</v>
      </c>
      <c r="S1064">
        <v>3.0553889999999999</v>
      </c>
      <c r="T1064">
        <v>-0.18837870000000001</v>
      </c>
      <c r="U1064">
        <v>-0.36804199999999998</v>
      </c>
      <c r="V1064">
        <v>8.1513299999999997E-2</v>
      </c>
      <c r="W1064">
        <v>0.17864269999999999</v>
      </c>
      <c r="X1064">
        <v>0.98053170000000001</v>
      </c>
      <c r="Y1064">
        <v>0.13222639999999999</v>
      </c>
      <c r="Z1064">
        <v>-5.5478360000000004E-3</v>
      </c>
      <c r="AA1064">
        <v>0.99120399999999997</v>
      </c>
      <c r="AB1064">
        <v>26</v>
      </c>
      <c r="AC1064">
        <v>17.921099999999999</v>
      </c>
      <c r="AD1064">
        <v>-1.12086308054599</v>
      </c>
      <c r="AE1064">
        <v>-2.1933000000000198</v>
      </c>
      <c r="AF1064">
        <v>2.4177276563843102</v>
      </c>
      <c r="AG1064">
        <v>-1.12086308054599</v>
      </c>
      <c r="AH1064">
        <v>17.822254814666898</v>
      </c>
      <c r="AI1064">
        <v>93.566082676541697</v>
      </c>
      <c r="AJ1064">
        <v>82.274541593332003</v>
      </c>
      <c r="AK1064">
        <v>18.020391442604499</v>
      </c>
      <c r="AL1064">
        <v>79.709289346562002</v>
      </c>
      <c r="AM1064">
        <v>85.247829657701502</v>
      </c>
      <c r="AN1064">
        <v>1.0000000235225299</v>
      </c>
    </row>
    <row r="1065" spans="1:40" x14ac:dyDescent="0.25">
      <c r="A1065" t="str">
        <f>"20190303162232332"</f>
        <v>20190303162232332</v>
      </c>
      <c r="B1065" t="str">
        <f>"1551601352324861"</f>
        <v>1551601352324861</v>
      </c>
      <c r="C1065" t="s">
        <v>40</v>
      </c>
      <c r="D1065">
        <v>5.6063099999999997</v>
      </c>
      <c r="E1065">
        <v>0.51805570000000001</v>
      </c>
      <c r="F1065" t="s">
        <v>41</v>
      </c>
      <c r="G1065">
        <v>-249.5865</v>
      </c>
      <c r="H1065" s="1">
        <v>-1.345298E-6</v>
      </c>
      <c r="I1065">
        <v>365.09769999999997</v>
      </c>
      <c r="J1065">
        <v>-267.63220000000001</v>
      </c>
      <c r="K1065">
        <v>1.1208720000000001</v>
      </c>
      <c r="L1065">
        <v>367.30220000000003</v>
      </c>
      <c r="M1065">
        <v>0.99983049999999996</v>
      </c>
      <c r="N1065">
        <v>-1.290759E-2</v>
      </c>
      <c r="O1065">
        <v>1.312834E-2</v>
      </c>
      <c r="P1065">
        <v>0.9836819</v>
      </c>
      <c r="Q1065">
        <v>0.1663077</v>
      </c>
      <c r="R1065">
        <v>-6.8642179999999997E-2</v>
      </c>
      <c r="S1065">
        <v>3.0555110000000001</v>
      </c>
      <c r="T1065">
        <v>-0.18698619999999999</v>
      </c>
      <c r="U1065">
        <v>-0.36715700000000001</v>
      </c>
      <c r="V1065">
        <v>8.1534789999999996E-2</v>
      </c>
      <c r="W1065">
        <v>0.17898610000000001</v>
      </c>
      <c r="X1065">
        <v>0.98046730000000004</v>
      </c>
      <c r="Y1065">
        <v>0.13201869999999999</v>
      </c>
      <c r="Z1065">
        <v>-5.5086220000000003E-3</v>
      </c>
      <c r="AA1065">
        <v>0.99123190000000005</v>
      </c>
      <c r="AB1065">
        <v>26</v>
      </c>
      <c r="AC1065">
        <v>18.0457</v>
      </c>
      <c r="AD1065">
        <v>-1.120873345298</v>
      </c>
      <c r="AE1065">
        <v>-2.2045000000000501</v>
      </c>
      <c r="AF1065">
        <v>2.4319950624025002</v>
      </c>
      <c r="AG1065">
        <v>-1.120873345298</v>
      </c>
      <c r="AH1065">
        <v>17.946978847295</v>
      </c>
      <c r="AI1065">
        <v>93.541465029575505</v>
      </c>
      <c r="AJ1065">
        <v>82.282856472380402</v>
      </c>
      <c r="AK1065">
        <v>18.145660825249699</v>
      </c>
      <c r="AL1065">
        <v>79.689291802010501</v>
      </c>
      <c r="AM1065">
        <v>85.246271757574107</v>
      </c>
      <c r="AN1065">
        <v>1.0000000361714201</v>
      </c>
    </row>
    <row r="1066" spans="1:40" x14ac:dyDescent="0.25">
      <c r="A1066" t="str">
        <f>"20190303162232354"</f>
        <v>20190303162232354</v>
      </c>
      <c r="B1066" t="str">
        <f>"1551601352345358"</f>
        <v>1551601352345358</v>
      </c>
      <c r="C1066" t="s">
        <v>40</v>
      </c>
      <c r="D1066">
        <v>5.5912449999999998</v>
      </c>
      <c r="E1066">
        <v>0.51890519999999996</v>
      </c>
      <c r="F1066" t="s">
        <v>42</v>
      </c>
      <c r="G1066">
        <v>-266.7758</v>
      </c>
      <c r="H1066">
        <v>1.0477299999999901</v>
      </c>
      <c r="I1066">
        <v>367.20420000000001</v>
      </c>
      <c r="J1066">
        <v>-267.38099999999997</v>
      </c>
      <c r="K1066">
        <v>1.120879</v>
      </c>
      <c r="L1066">
        <v>367.30549999999999</v>
      </c>
      <c r="M1066">
        <v>0.99982950000000004</v>
      </c>
      <c r="N1066">
        <v>-1.2919470000000001E-2</v>
      </c>
      <c r="O1066">
        <v>1.319877E-2</v>
      </c>
      <c r="P1066">
        <v>0.98367249999999995</v>
      </c>
      <c r="Q1066">
        <v>0.16614279999999901</v>
      </c>
      <c r="R1066">
        <v>-6.9176230000000005E-2</v>
      </c>
      <c r="S1066">
        <v>3.069763</v>
      </c>
      <c r="T1066">
        <v>-0.26260699999999998</v>
      </c>
      <c r="U1066">
        <v>-0.34954829999999998</v>
      </c>
      <c r="V1066">
        <v>8.2137929999999998E-2</v>
      </c>
      <c r="W1066">
        <v>0.17883270000000001</v>
      </c>
      <c r="X1066">
        <v>0.98044489999999995</v>
      </c>
      <c r="Y1066">
        <v>0.1256853</v>
      </c>
      <c r="Z1066">
        <v>-7.1191300000000004E-3</v>
      </c>
      <c r="AA1066">
        <v>0.99204460000000005</v>
      </c>
      <c r="AB1066">
        <v>26</v>
      </c>
      <c r="AC1066">
        <v>0.60519999999996799</v>
      </c>
      <c r="AD1066">
        <v>-7.3149000000000297E-2</v>
      </c>
      <c r="AE1066">
        <v>-0.10129999999998</v>
      </c>
      <c r="AF1066">
        <v>0.10774854277882299</v>
      </c>
      <c r="AG1066">
        <v>-7.3149000000000297E-2</v>
      </c>
      <c r="AH1066">
        <v>0.59534972816895704</v>
      </c>
      <c r="AI1066">
        <v>96.893779279264393</v>
      </c>
      <c r="AJ1066">
        <v>79.741447627911597</v>
      </c>
      <c r="AK1066">
        <v>0.60942745548819099</v>
      </c>
      <c r="AL1066">
        <v>79.698224606919396</v>
      </c>
      <c r="AM1066">
        <v>85.211160885744405</v>
      </c>
      <c r="AN1066">
        <v>0.99999998803499202</v>
      </c>
    </row>
    <row r="1067" spans="1:40" x14ac:dyDescent="0.25">
      <c r="A1067" t="str">
        <f>"20190303162232377"</f>
        <v>20190303162232377</v>
      </c>
      <c r="B1067" t="str">
        <f>"1551601352364877"</f>
        <v>1551601352364877</v>
      </c>
      <c r="C1067" t="s">
        <v>40</v>
      </c>
      <c r="D1067">
        <v>5.5844050000000003</v>
      </c>
      <c r="E1067">
        <v>0.51927909999999999</v>
      </c>
      <c r="F1067" t="s">
        <v>42</v>
      </c>
      <c r="G1067">
        <v>-266.53339999999997</v>
      </c>
      <c r="H1067">
        <v>1.049909</v>
      </c>
      <c r="I1067">
        <v>367.20659999999998</v>
      </c>
      <c r="J1067">
        <v>-267.11110000000002</v>
      </c>
      <c r="K1067">
        <v>1.120881</v>
      </c>
      <c r="L1067">
        <v>367.30919999999998</v>
      </c>
      <c r="M1067">
        <v>0.99982839999999995</v>
      </c>
      <c r="N1067">
        <v>-1.2930280000000001E-2</v>
      </c>
      <c r="O1067">
        <v>1.327451E-2</v>
      </c>
      <c r="P1067">
        <v>0.98370979999999997</v>
      </c>
      <c r="Q1067">
        <v>0.165748799999999</v>
      </c>
      <c r="R1067">
        <v>-6.9590520000000003E-2</v>
      </c>
      <c r="S1067">
        <v>3.0680540000000001</v>
      </c>
      <c r="T1067">
        <v>-0.25694840000000002</v>
      </c>
      <c r="U1067">
        <v>-0.35775759999999901</v>
      </c>
      <c r="V1067">
        <v>8.2627249999999999E-2</v>
      </c>
      <c r="W1067">
        <v>0.17844889999999999</v>
      </c>
      <c r="X1067">
        <v>0.98047379999999995</v>
      </c>
      <c r="Y1067">
        <v>0.1284525</v>
      </c>
      <c r="Z1067">
        <v>-7.1219100000000004E-3</v>
      </c>
      <c r="AA1067">
        <v>0.99169010000000002</v>
      </c>
      <c r="AB1067">
        <v>26</v>
      </c>
      <c r="AC1067">
        <v>0.57770000000004895</v>
      </c>
      <c r="AD1067">
        <v>-7.0971999999999993E-2</v>
      </c>
      <c r="AE1067">
        <v>-0.102599999999995</v>
      </c>
      <c r="AF1067">
        <v>0.10867029718103099</v>
      </c>
      <c r="AG1067">
        <v>-7.0971999999999993E-2</v>
      </c>
      <c r="AH1067">
        <v>0.56797678269386198</v>
      </c>
      <c r="AI1067">
        <v>96.9968999015001</v>
      </c>
      <c r="AJ1067">
        <v>79.168570775968902</v>
      </c>
      <c r="AK1067">
        <v>0.58261812875388996</v>
      </c>
      <c r="AL1067">
        <v>79.720575112498807</v>
      </c>
      <c r="AM1067">
        <v>85.182907532406801</v>
      </c>
      <c r="AN1067">
        <v>1.0000000724200999</v>
      </c>
    </row>
    <row r="1068" spans="1:40" x14ac:dyDescent="0.25">
      <c r="A1068" t="str">
        <f>"20190303162232400"</f>
        <v>20190303162232400</v>
      </c>
      <c r="B1068" t="str">
        <f>"1551601352395133"</f>
        <v>1551601352395133</v>
      </c>
      <c r="C1068" t="s">
        <v>40</v>
      </c>
      <c r="D1068">
        <v>5.6567420000000004</v>
      </c>
      <c r="E1068">
        <v>0.52001920000000001</v>
      </c>
      <c r="F1068" t="s">
        <v>41</v>
      </c>
      <c r="G1068">
        <v>-253.4776</v>
      </c>
      <c r="H1068" s="1">
        <v>-3.4753809999999999E-6</v>
      </c>
      <c r="I1068">
        <v>365.69850000000002</v>
      </c>
      <c r="J1068">
        <v>-266.8467</v>
      </c>
      <c r="K1068">
        <v>1.120881</v>
      </c>
      <c r="L1068">
        <v>367.31279999999998</v>
      </c>
      <c r="M1068">
        <v>0.99982709999999997</v>
      </c>
      <c r="N1068">
        <v>-1.293914E-2</v>
      </c>
      <c r="O1068">
        <v>1.3348830000000001E-2</v>
      </c>
      <c r="P1068">
        <v>0.98378880000000002</v>
      </c>
      <c r="Q1068">
        <v>0.16497690000000001</v>
      </c>
      <c r="R1068">
        <v>-7.0303249999999998E-2</v>
      </c>
      <c r="S1068">
        <v>3.0665589999999998</v>
      </c>
      <c r="T1068">
        <v>-0.25211539999999999</v>
      </c>
      <c r="U1068">
        <v>-0.36227419999999999</v>
      </c>
      <c r="V1068">
        <v>8.3414089999999996E-2</v>
      </c>
      <c r="W1068">
        <v>0.17768689999999901</v>
      </c>
      <c r="X1068">
        <v>0.98054549999999996</v>
      </c>
      <c r="Y1068">
        <v>0.13003499999999901</v>
      </c>
      <c r="Z1068">
        <v>-7.0839900000000001E-3</v>
      </c>
      <c r="AA1068">
        <v>0.99148409999999998</v>
      </c>
      <c r="AB1068">
        <v>26</v>
      </c>
      <c r="AC1068">
        <v>13.3691</v>
      </c>
      <c r="AD1068">
        <v>-1.1208844753809999</v>
      </c>
      <c r="AE1068">
        <v>-1.6142999999999501</v>
      </c>
      <c r="AF1068">
        <v>1.78029837762756</v>
      </c>
      <c r="AG1068">
        <v>-1.1208844753809999</v>
      </c>
      <c r="AH1068">
        <v>13.2545255607154</v>
      </c>
      <c r="AI1068">
        <v>94.790963333647696</v>
      </c>
      <c r="AJ1068">
        <v>82.350029612267207</v>
      </c>
      <c r="AK1068">
        <v>13.420443068699001</v>
      </c>
      <c r="AL1068">
        <v>79.764942949039096</v>
      </c>
      <c r="AM1068">
        <v>85.137608290794105</v>
      </c>
      <c r="AN1068">
        <v>1.00000001120619</v>
      </c>
    </row>
    <row r="1069" spans="1:40" x14ac:dyDescent="0.25">
      <c r="A1069" t="str">
        <f>"20190303162232422"</f>
        <v>20190303162232422</v>
      </c>
      <c r="B1069" t="str">
        <f>"1551601352415630"</f>
        <v>1551601352415630</v>
      </c>
      <c r="C1069" t="s">
        <v>40</v>
      </c>
      <c r="D1069">
        <v>5.8497899999999996</v>
      </c>
      <c r="E1069">
        <v>0.52021689999999998</v>
      </c>
      <c r="F1069" t="s">
        <v>41</v>
      </c>
      <c r="G1069">
        <v>-253.01300000000001</v>
      </c>
      <c r="H1069" s="1">
        <v>-3.6847690000000001E-6</v>
      </c>
      <c r="I1069">
        <v>365.64159999999998</v>
      </c>
      <c r="J1069">
        <v>-266.58670000000001</v>
      </c>
      <c r="K1069">
        <v>1.120878</v>
      </c>
      <c r="L1069">
        <v>367.31630000000001</v>
      </c>
      <c r="M1069">
        <v>0.99982629999999995</v>
      </c>
      <c r="N1069">
        <v>-1.294641E-2</v>
      </c>
      <c r="O1069">
        <v>1.342144E-2</v>
      </c>
      <c r="P1069">
        <v>0.98388109999999995</v>
      </c>
      <c r="Q1069">
        <v>0.1642824</v>
      </c>
      <c r="R1069">
        <v>-7.0637899999999906E-2</v>
      </c>
      <c r="S1069">
        <v>3.0646360000000001</v>
      </c>
      <c r="T1069">
        <v>-0.2483118</v>
      </c>
      <c r="U1069">
        <v>-0.3702087</v>
      </c>
      <c r="V1069">
        <v>8.382154E-2</v>
      </c>
      <c r="W1069">
        <v>0.17700080000000001</v>
      </c>
      <c r="X1069">
        <v>0.98063480000000003</v>
      </c>
      <c r="Y1069">
        <v>0.1327142</v>
      </c>
      <c r="Z1069">
        <v>-7.1213819999999999E-3</v>
      </c>
      <c r="AA1069">
        <v>0.99112869999999997</v>
      </c>
      <c r="AB1069">
        <v>26</v>
      </c>
      <c r="AC1069">
        <v>13.573700000000001</v>
      </c>
      <c r="AD1069">
        <v>-1.120881684769</v>
      </c>
      <c r="AE1069">
        <v>-1.6747000000000201</v>
      </c>
      <c r="AF1069">
        <v>1.84435481824203</v>
      </c>
      <c r="AG1069">
        <v>-1.120881684769</v>
      </c>
      <c r="AH1069">
        <v>13.459593128681099</v>
      </c>
      <c r="AI1069">
        <v>94.7165924493967</v>
      </c>
      <c r="AJ1069">
        <v>82.197409774024194</v>
      </c>
      <c r="AK1069">
        <v>13.631532108918</v>
      </c>
      <c r="AL1069">
        <v>79.804886334488799</v>
      </c>
      <c r="AM1069">
        <v>85.114414618843199</v>
      </c>
      <c r="AN1069">
        <v>0.99999997236982496</v>
      </c>
    </row>
    <row r="1070" spans="1:40" x14ac:dyDescent="0.25">
      <c r="A1070" t="str">
        <f>"20190303162232443"</f>
        <v>20190303162232443</v>
      </c>
      <c r="B1070" t="str">
        <f>"1551601352435149"</f>
        <v>1551601352435149</v>
      </c>
      <c r="C1070" t="s">
        <v>40</v>
      </c>
      <c r="D1070">
        <v>5.6395239999999998</v>
      </c>
      <c r="E1070">
        <v>0.52034650000000005</v>
      </c>
      <c r="F1070" t="s">
        <v>41</v>
      </c>
      <c r="G1070">
        <v>-252.53280000000001</v>
      </c>
      <c r="H1070" s="1">
        <v>-3.8973820000000001E-6</v>
      </c>
      <c r="I1070">
        <v>365.6044</v>
      </c>
      <c r="J1070">
        <v>-266.33890000000002</v>
      </c>
      <c r="K1070">
        <v>1.1208819999999999</v>
      </c>
      <c r="L1070">
        <v>367.31970000000001</v>
      </c>
      <c r="M1070">
        <v>0.99982510000000002</v>
      </c>
      <c r="N1070">
        <v>-1.2952099999999999E-2</v>
      </c>
      <c r="O1070">
        <v>1.34908999999999E-2</v>
      </c>
      <c r="P1070">
        <v>0.9840179</v>
      </c>
      <c r="Q1070">
        <v>0.16343640000000001</v>
      </c>
      <c r="R1070">
        <v>-7.0691989999999996E-2</v>
      </c>
      <c r="S1070">
        <v>3.0631710000000001</v>
      </c>
      <c r="T1070">
        <v>-0.24430470000000001</v>
      </c>
      <c r="U1070">
        <v>-0.37310789999999999</v>
      </c>
      <c r="V1070">
        <v>8.3945939999999997E-2</v>
      </c>
      <c r="W1070">
        <v>0.1761616</v>
      </c>
      <c r="X1070">
        <v>0.98077530000000002</v>
      </c>
      <c r="Y1070">
        <v>0.13377549999999999</v>
      </c>
      <c r="Z1070">
        <v>-7.0745160000000003E-3</v>
      </c>
      <c r="AA1070">
        <v>0.99098640000000005</v>
      </c>
      <c r="AB1070">
        <v>26</v>
      </c>
      <c r="AC1070">
        <v>13.806100000000001</v>
      </c>
      <c r="AD1070">
        <v>-1.120885897382</v>
      </c>
      <c r="AE1070">
        <v>-1.71530000000001</v>
      </c>
      <c r="AF1070">
        <v>1.88915324934175</v>
      </c>
      <c r="AG1070">
        <v>-1.120885897382</v>
      </c>
      <c r="AH1070">
        <v>13.692816999430599</v>
      </c>
      <c r="AI1070">
        <v>94.636043257775299</v>
      </c>
      <c r="AJ1070">
        <v>82.144679428205606</v>
      </c>
      <c r="AK1070">
        <v>13.8678953909504</v>
      </c>
      <c r="AL1070">
        <v>79.853736966721897</v>
      </c>
      <c r="AM1070">
        <v>85.107896579534597</v>
      </c>
      <c r="AN1070">
        <v>1.0000000096235599</v>
      </c>
    </row>
    <row r="1071" spans="1:40" x14ac:dyDescent="0.25">
      <c r="A1071" t="str">
        <f>"20190303162232465"</f>
        <v>20190303162232465</v>
      </c>
      <c r="B1071" t="str">
        <f>"1551601352455646"</f>
        <v>1551601352455646</v>
      </c>
      <c r="C1071" t="s">
        <v>40</v>
      </c>
      <c r="D1071">
        <v>5.8503910000000001</v>
      </c>
      <c r="E1071">
        <v>0.49795</v>
      </c>
      <c r="F1071" t="s">
        <v>41</v>
      </c>
      <c r="G1071">
        <v>-252.17910000000001</v>
      </c>
      <c r="H1071" s="1">
        <v>-4.0521219999999999E-6</v>
      </c>
      <c r="I1071">
        <v>365.58730000000003</v>
      </c>
      <c r="J1071">
        <v>-266.08030000000002</v>
      </c>
      <c r="K1071">
        <v>1.120886</v>
      </c>
      <c r="L1071">
        <v>367.32330000000002</v>
      </c>
      <c r="M1071">
        <v>0.99982409999999999</v>
      </c>
      <c r="N1071">
        <v>-1.295693E-2</v>
      </c>
      <c r="O1071">
        <v>1.356305E-2</v>
      </c>
      <c r="P1071">
        <v>0.98404630000000004</v>
      </c>
      <c r="Q1071">
        <v>0.16351979999999999</v>
      </c>
      <c r="R1071">
        <v>-7.0099869999999995E-2</v>
      </c>
      <c r="S1071">
        <v>3.0620729999999998</v>
      </c>
      <c r="T1071">
        <v>-0.2423923</v>
      </c>
      <c r="U1071">
        <v>-0.37463380000000002</v>
      </c>
      <c r="V1071">
        <v>8.342513E-2</v>
      </c>
      <c r="W1071">
        <v>0.1762503</v>
      </c>
      <c r="X1071">
        <v>0.9808038</v>
      </c>
      <c r="Y1071">
        <v>0.1343811</v>
      </c>
      <c r="Z1071">
        <v>-7.0596209999999899E-3</v>
      </c>
      <c r="AA1071">
        <v>0.99090460000000002</v>
      </c>
      <c r="AB1071">
        <v>26</v>
      </c>
      <c r="AC1071">
        <v>13.901199999999999</v>
      </c>
      <c r="AD1071">
        <v>-1.120890052122</v>
      </c>
      <c r="AE1071">
        <v>-1.73599999999998</v>
      </c>
      <c r="AF1071">
        <v>1.9121575722059401</v>
      </c>
      <c r="AG1071">
        <v>-1.120890052122</v>
      </c>
      <c r="AH1071">
        <v>13.788105272238999</v>
      </c>
      <c r="AI1071">
        <v>94.603714390392099</v>
      </c>
      <c r="AJ1071">
        <v>82.104485264846105</v>
      </c>
      <c r="AK1071">
        <v>13.9651204108033</v>
      </c>
      <c r="AL1071">
        <v>79.848574025082698</v>
      </c>
      <c r="AM1071">
        <v>85.1382423972656</v>
      </c>
      <c r="AN1071">
        <v>1.0000000073300199</v>
      </c>
    </row>
    <row r="1072" spans="1:40" x14ac:dyDescent="0.25">
      <c r="A1072" t="str">
        <f>"20190303162232488"</f>
        <v>20190303162232488</v>
      </c>
      <c r="B1072" t="str">
        <f>"1551601352475167"</f>
        <v>1551601352475167</v>
      </c>
      <c r="C1072" t="s">
        <v>40</v>
      </c>
      <c r="D1072">
        <v>5.8596149999999998</v>
      </c>
      <c r="E1072">
        <v>0.4874848</v>
      </c>
      <c r="F1072" t="s">
        <v>41</v>
      </c>
      <c r="G1072">
        <v>-248.4015</v>
      </c>
      <c r="H1072" s="1">
        <v>-1.5062760000000001E-6</v>
      </c>
      <c r="I1072">
        <v>366.20299999999997</v>
      </c>
      <c r="J1072">
        <v>-265.80860000000001</v>
      </c>
      <c r="K1072">
        <v>1.120887</v>
      </c>
      <c r="L1072">
        <v>367.32709999999997</v>
      </c>
      <c r="M1072">
        <v>0.99982309999999996</v>
      </c>
      <c r="N1072">
        <v>-1.2960930000000001E-2</v>
      </c>
      <c r="O1072">
        <v>1.3638539999999999E-2</v>
      </c>
      <c r="P1072">
        <v>0.98399110000000001</v>
      </c>
      <c r="Q1072">
        <v>0.16410469999999999</v>
      </c>
      <c r="R1072">
        <v>-6.9508420000000001E-2</v>
      </c>
      <c r="S1072">
        <v>3.0671080000000002</v>
      </c>
      <c r="T1072">
        <v>-0.19446369999999999</v>
      </c>
      <c r="U1072">
        <v>-0.1943665</v>
      </c>
      <c r="V1072">
        <v>8.2906969999999997E-2</v>
      </c>
      <c r="W1072">
        <v>0.17683840000000001</v>
      </c>
      <c r="X1072">
        <v>0.98074190000000006</v>
      </c>
      <c r="Y1072">
        <v>7.664878E-2</v>
      </c>
      <c r="Z1072">
        <v>-3.6094780000000002E-3</v>
      </c>
      <c r="AA1072">
        <v>0.99705160000000004</v>
      </c>
      <c r="AB1072">
        <v>26</v>
      </c>
      <c r="AC1072">
        <v>17.4071</v>
      </c>
      <c r="AD1072">
        <v>-1.1208885062759999</v>
      </c>
      <c r="AE1072">
        <v>-1.1240999999999399</v>
      </c>
      <c r="AF1072">
        <v>1.35582432306332</v>
      </c>
      <c r="AG1072">
        <v>-1.1208885062759999</v>
      </c>
      <c r="AH1072">
        <v>17.3186364334952</v>
      </c>
      <c r="AI1072">
        <v>93.691840478047695</v>
      </c>
      <c r="AJ1072">
        <v>85.523614682290102</v>
      </c>
      <c r="AK1072">
        <v>17.407751680044701</v>
      </c>
      <c r="AL1072">
        <v>79.814340895064802</v>
      </c>
      <c r="AM1072">
        <v>85.167992241292893</v>
      </c>
      <c r="AN1072">
        <v>1.0000000299023699</v>
      </c>
    </row>
    <row r="1073" spans="1:40" x14ac:dyDescent="0.25">
      <c r="A1073" t="str">
        <f>"20190303162232510"</f>
        <v>20190303162232510</v>
      </c>
      <c r="B1073" t="str">
        <f>"1551601352505422"</f>
        <v>1551601352505422</v>
      </c>
      <c r="C1073" t="s">
        <v>40</v>
      </c>
      <c r="D1073">
        <v>5.8508620000000002</v>
      </c>
      <c r="E1073">
        <v>0.48278310000000002</v>
      </c>
      <c r="F1073" t="s">
        <v>41</v>
      </c>
      <c r="G1073">
        <v>-246.93860000000001</v>
      </c>
      <c r="H1073" s="1">
        <v>-1.9532849999999998E-6</v>
      </c>
      <c r="I1073">
        <v>366.65309999999999</v>
      </c>
      <c r="J1073">
        <v>-265.553</v>
      </c>
      <c r="K1073">
        <v>1.1208979999999999</v>
      </c>
      <c r="L1073">
        <v>367.33069999999998</v>
      </c>
      <c r="M1073">
        <v>0.99982199999999999</v>
      </c>
      <c r="N1073">
        <v>-1.2963860000000001E-2</v>
      </c>
      <c r="O1073">
        <v>1.3710160000000001E-2</v>
      </c>
      <c r="P1073">
        <v>0.98393609999999998</v>
      </c>
      <c r="Q1073">
        <v>0.1647767</v>
      </c>
      <c r="R1073">
        <v>-6.8690790000000002E-2</v>
      </c>
      <c r="S1073">
        <v>3.071472</v>
      </c>
      <c r="T1073">
        <v>-0.18244650000000001</v>
      </c>
      <c r="U1073">
        <v>-0.10971069999999999</v>
      </c>
      <c r="V1073">
        <v>8.2159200000000002E-2</v>
      </c>
      <c r="W1073">
        <v>0.1775128</v>
      </c>
      <c r="X1073">
        <v>0.98068299999999997</v>
      </c>
      <c r="Y1073">
        <v>4.9275220000000002E-2</v>
      </c>
      <c r="Z1073">
        <v>-2.4174690000000002E-3</v>
      </c>
      <c r="AA1073">
        <v>0.99878230000000001</v>
      </c>
      <c r="AB1073">
        <v>26</v>
      </c>
      <c r="AC1073">
        <v>18.6143999999999</v>
      </c>
      <c r="AD1073">
        <v>-1.1208999532849999</v>
      </c>
      <c r="AE1073">
        <v>-0.67759999999998399</v>
      </c>
      <c r="AF1073">
        <v>0.92939854486985296</v>
      </c>
      <c r="AG1073">
        <v>-1.1208999532849999</v>
      </c>
      <c r="AH1073">
        <v>18.536234728414598</v>
      </c>
      <c r="AI1073">
        <v>93.456173551987803</v>
      </c>
      <c r="AJ1073">
        <v>87.1296189055562</v>
      </c>
      <c r="AK1073">
        <v>18.593337416057501</v>
      </c>
      <c r="AL1073">
        <v>79.775079554328499</v>
      </c>
      <c r="AM1073">
        <v>85.211084135348599</v>
      </c>
      <c r="AN1073">
        <v>1.0000000373987299</v>
      </c>
    </row>
    <row r="1074" spans="1:40" x14ac:dyDescent="0.25">
      <c r="A1074" t="str">
        <f>"20190303162232534"</f>
        <v>20190303162232534</v>
      </c>
      <c r="B1074" t="str">
        <f>"1551601352524942"</f>
        <v>1551601352524942</v>
      </c>
      <c r="C1074" t="s">
        <v>40</v>
      </c>
      <c r="D1074">
        <v>5.8545089999999904</v>
      </c>
      <c r="E1074">
        <v>0.48104550000000001</v>
      </c>
      <c r="F1074" t="s">
        <v>41</v>
      </c>
      <c r="G1074">
        <v>-246.3759</v>
      </c>
      <c r="H1074" s="1">
        <v>-2.1757530000000002E-6</v>
      </c>
      <c r="I1074">
        <v>366.89839999999998</v>
      </c>
      <c r="J1074">
        <v>-265.28269999999998</v>
      </c>
      <c r="K1074">
        <v>1.1209039999999999</v>
      </c>
      <c r="L1074">
        <v>367.33449999999999</v>
      </c>
      <c r="M1074">
        <v>0.99982099999999996</v>
      </c>
      <c r="N1074">
        <v>-1.2966210000000001E-2</v>
      </c>
      <c r="O1074">
        <v>1.3785779999999999E-2</v>
      </c>
      <c r="P1074">
        <v>0.98390880000000003</v>
      </c>
      <c r="Q1074">
        <v>0.16533010000000001</v>
      </c>
      <c r="R1074">
        <v>-6.7746780000000006E-2</v>
      </c>
      <c r="S1074">
        <v>3.0742799999999999</v>
      </c>
      <c r="T1074">
        <v>-0.1796914</v>
      </c>
      <c r="U1074">
        <v>-6.9305420000000006E-2</v>
      </c>
      <c r="V1074">
        <v>8.1289130000000001E-2</v>
      </c>
      <c r="W1074">
        <v>0.178067899999999</v>
      </c>
      <c r="X1074">
        <v>0.98065480000000005</v>
      </c>
      <c r="Y1074">
        <v>3.6229409999999997E-2</v>
      </c>
      <c r="Z1074">
        <v>-1.919317E-3</v>
      </c>
      <c r="AA1074">
        <v>0.9993417</v>
      </c>
      <c r="AB1074">
        <v>26</v>
      </c>
      <c r="AC1074">
        <v>18.906799999999901</v>
      </c>
      <c r="AD1074">
        <v>-1.1209061757529999</v>
      </c>
      <c r="AE1074">
        <v>-0.43610000000000998</v>
      </c>
      <c r="AF1074">
        <v>0.694286432298307</v>
      </c>
      <c r="AG1074">
        <v>-1.1209061757529999</v>
      </c>
      <c r="AH1074">
        <v>18.8328318119976</v>
      </c>
      <c r="AI1074">
        <v>93.403846749215305</v>
      </c>
      <c r="AJ1074">
        <v>87.888704358412298</v>
      </c>
      <c r="AK1074">
        <v>18.878930540788101</v>
      </c>
      <c r="AL1074">
        <v>79.742759044157197</v>
      </c>
      <c r="AM1074">
        <v>85.2614311989567</v>
      </c>
      <c r="AN1074">
        <v>0.99999996821480297</v>
      </c>
    </row>
    <row r="1075" spans="1:40" x14ac:dyDescent="0.25">
      <c r="A1075" t="str">
        <f>"20190303162232555"</f>
        <v>20190303162232555</v>
      </c>
      <c r="B1075" t="str">
        <f>"1551601352545438"</f>
        <v>1551601352545438</v>
      </c>
      <c r="C1075" t="s">
        <v>40</v>
      </c>
      <c r="D1075">
        <v>5.7880089999999997</v>
      </c>
      <c r="E1075">
        <v>0.4801474</v>
      </c>
      <c r="F1075" t="s">
        <v>41</v>
      </c>
      <c r="G1075">
        <v>-246.5181</v>
      </c>
      <c r="H1075" s="1">
        <v>-2.0883890000000001E-6</v>
      </c>
      <c r="I1075">
        <v>367.01190000000003</v>
      </c>
      <c r="J1075">
        <v>-265.03870000000001</v>
      </c>
      <c r="K1075">
        <v>1.12090499999999</v>
      </c>
      <c r="L1075">
        <v>367.33800000000002</v>
      </c>
      <c r="M1075">
        <v>0.99982000000000004</v>
      </c>
      <c r="N1075">
        <v>-1.296776E-2</v>
      </c>
      <c r="O1075">
        <v>1.385425E-2</v>
      </c>
      <c r="P1075">
        <v>0.98388240000000005</v>
      </c>
      <c r="Q1075">
        <v>0.1661193</v>
      </c>
      <c r="R1075">
        <v>-6.6184549999999995E-2</v>
      </c>
      <c r="S1075">
        <v>3.076263</v>
      </c>
      <c r="T1075">
        <v>-0.18376139999999999</v>
      </c>
      <c r="U1075">
        <v>-5.2886959999999997E-2</v>
      </c>
      <c r="V1075">
        <v>7.9793810000000007E-2</v>
      </c>
      <c r="W1075">
        <v>0.17885799999999999</v>
      </c>
      <c r="X1075">
        <v>0.98063389999999995</v>
      </c>
      <c r="Y1075">
        <v>3.0958820000000001E-2</v>
      </c>
      <c r="Z1075">
        <v>-1.772016E-3</v>
      </c>
      <c r="AA1075">
        <v>0.99951909999999999</v>
      </c>
      <c r="AB1075">
        <v>26</v>
      </c>
      <c r="AC1075">
        <v>18.520600000000002</v>
      </c>
      <c r="AD1075">
        <v>-1.12090708838899</v>
      </c>
      <c r="AE1075">
        <v>-0.326099999999996</v>
      </c>
      <c r="AF1075">
        <v>0.58055340971431701</v>
      </c>
      <c r="AG1075">
        <v>-1.12090708838899</v>
      </c>
      <c r="AH1075">
        <v>18.446755629033699</v>
      </c>
      <c r="AI1075">
        <v>93.475554820529297</v>
      </c>
      <c r="AJ1075">
        <v>88.197391173542997</v>
      </c>
      <c r="AK1075">
        <v>18.489896381527402</v>
      </c>
      <c r="AL1075">
        <v>79.696751821580904</v>
      </c>
      <c r="AM1075">
        <v>85.348112739702003</v>
      </c>
      <c r="AN1075">
        <v>1.0000000410537599</v>
      </c>
    </row>
    <row r="1076" spans="1:40" x14ac:dyDescent="0.25">
      <c r="A1076" t="str">
        <f>"20190303162232577"</f>
        <v>20190303162232577</v>
      </c>
      <c r="B1076" t="str">
        <f>"1551601352564958"</f>
        <v>1551601352564958</v>
      </c>
      <c r="C1076" t="s">
        <v>40</v>
      </c>
      <c r="D1076">
        <v>5.8415160000000004</v>
      </c>
      <c r="E1076">
        <v>0.47967670000000001</v>
      </c>
      <c r="F1076" t="s">
        <v>41</v>
      </c>
      <c r="G1076">
        <v>-246.1652</v>
      </c>
      <c r="H1076" s="1">
        <v>-2.2420770000000001E-6</v>
      </c>
      <c r="I1076">
        <v>367.08580000000001</v>
      </c>
      <c r="J1076">
        <v>-264.77699999999999</v>
      </c>
      <c r="K1076">
        <v>1.1209180000000001</v>
      </c>
      <c r="L1076">
        <v>367.3417</v>
      </c>
      <c r="M1076">
        <v>0.99981900000000001</v>
      </c>
      <c r="N1076">
        <v>-1.296886E-2</v>
      </c>
      <c r="O1076">
        <v>1.3927429999999999E-2</v>
      </c>
      <c r="P1076">
        <v>0.98381569999999996</v>
      </c>
      <c r="Q1076">
        <v>0.16726679999999999</v>
      </c>
      <c r="R1076">
        <v>-6.4256980000000005E-2</v>
      </c>
      <c r="S1076">
        <v>3.0772089999999999</v>
      </c>
      <c r="T1076">
        <v>-0.18275710000000001</v>
      </c>
      <c r="U1076">
        <v>-4.110718E-2</v>
      </c>
      <c r="V1076">
        <v>7.7937610000000004E-2</v>
      </c>
      <c r="W1076">
        <v>0.18000639999999901</v>
      </c>
      <c r="X1076">
        <v>0.98057300000000003</v>
      </c>
      <c r="Y1076">
        <v>2.7210040000000001E-2</v>
      </c>
      <c r="Z1076">
        <v>-1.6298020000000001E-3</v>
      </c>
      <c r="AA1076">
        <v>0.99962839999999997</v>
      </c>
      <c r="AB1076">
        <v>26</v>
      </c>
      <c r="AC1076">
        <v>18.611799999999899</v>
      </c>
      <c r="AD1076">
        <v>-1.1209202420769999</v>
      </c>
      <c r="AE1076">
        <v>-0.25589999999999602</v>
      </c>
      <c r="AF1076">
        <v>0.51325017921244098</v>
      </c>
      <c r="AG1076">
        <v>-1.1209202420769999</v>
      </c>
      <c r="AH1076">
        <v>18.539197336908501</v>
      </c>
      <c r="AI1076">
        <v>93.458693506427906</v>
      </c>
      <c r="AJ1076">
        <v>88.414194577304798</v>
      </c>
      <c r="AK1076">
        <v>18.580143321094098</v>
      </c>
      <c r="AL1076">
        <v>79.629867325614995</v>
      </c>
      <c r="AM1076">
        <v>85.455587450190194</v>
      </c>
      <c r="AN1076">
        <v>0.99999999171123599</v>
      </c>
    </row>
    <row r="1077" spans="1:40" x14ac:dyDescent="0.25">
      <c r="A1077" t="str">
        <f>"20190303162232601"</f>
        <v>20190303162232601</v>
      </c>
      <c r="B1077" t="str">
        <f>"1551601352595214"</f>
        <v>1551601352595214</v>
      </c>
      <c r="C1077" t="s">
        <v>40</v>
      </c>
      <c r="D1077">
        <v>5.8468830000000001</v>
      </c>
      <c r="E1077">
        <v>0.47949900000000001</v>
      </c>
      <c r="F1077" t="s">
        <v>41</v>
      </c>
      <c r="G1077">
        <v>-245.53739999999999</v>
      </c>
      <c r="H1077" s="1">
        <v>-2.5284970000000001E-6</v>
      </c>
      <c r="I1077">
        <v>367.14420000000001</v>
      </c>
      <c r="J1077">
        <v>-264.50869999999998</v>
      </c>
      <c r="K1077">
        <v>1.1209199999999999</v>
      </c>
      <c r="L1077">
        <v>367.34550000000002</v>
      </c>
      <c r="M1077">
        <v>0.99981790000000004</v>
      </c>
      <c r="N1077">
        <v>-1.296947E-2</v>
      </c>
      <c r="O1077">
        <v>1.4002580000000001E-2</v>
      </c>
      <c r="P1077">
        <v>0.9837728</v>
      </c>
      <c r="Q1077">
        <v>0.16819400000000001</v>
      </c>
      <c r="R1077">
        <v>-6.2465819999999998E-2</v>
      </c>
      <c r="S1077">
        <v>3.07782</v>
      </c>
      <c r="T1077">
        <v>-0.17931749999999999</v>
      </c>
      <c r="U1077">
        <v>-3.158569E-2</v>
      </c>
      <c r="V1077">
        <v>7.6219789999999996E-2</v>
      </c>
      <c r="W1077">
        <v>0.1809336</v>
      </c>
      <c r="X1077">
        <v>0.9805374</v>
      </c>
      <c r="Y1077">
        <v>2.4199310000000002E-2</v>
      </c>
      <c r="Z1077">
        <v>-1.4950229999999901E-3</v>
      </c>
      <c r="AA1077">
        <v>0.99970599999999998</v>
      </c>
      <c r="AB1077">
        <v>26</v>
      </c>
      <c r="AC1077">
        <v>18.9712999999999</v>
      </c>
      <c r="AD1077">
        <v>-1.1209225284969999</v>
      </c>
      <c r="AE1077">
        <v>-0.201300000000003</v>
      </c>
      <c r="AF1077">
        <v>0.46532544170212897</v>
      </c>
      <c r="AG1077">
        <v>-1.1209225284969999</v>
      </c>
      <c r="AH1077">
        <v>18.900644955358899</v>
      </c>
      <c r="AI1077">
        <v>93.392985019412095</v>
      </c>
      <c r="AJ1077">
        <v>88.589688379228207</v>
      </c>
      <c r="AK1077">
        <v>18.939571663850302</v>
      </c>
      <c r="AL1077">
        <v>79.575856009856096</v>
      </c>
      <c r="AM1077">
        <v>85.555184111575301</v>
      </c>
      <c r="AN1077">
        <v>1.0000000083976801</v>
      </c>
    </row>
    <row r="1078" spans="1:40" x14ac:dyDescent="0.25">
      <c r="A1078" t="str">
        <f>"20190303162232644"</f>
        <v>20190303162232644</v>
      </c>
      <c r="B1078" t="str">
        <f>"1551601352635230"</f>
        <v>1551601352635230</v>
      </c>
      <c r="C1078" t="s">
        <v>40</v>
      </c>
      <c r="D1078">
        <v>5.7768079999999999</v>
      </c>
      <c r="E1078">
        <v>0.4307589</v>
      </c>
      <c r="F1078" t="s">
        <v>41</v>
      </c>
      <c r="G1078">
        <v>-245.21100000000001</v>
      </c>
      <c r="H1078" s="1">
        <v>-2.6744460000000002E-6</v>
      </c>
      <c r="I1078">
        <v>367.19130000000001</v>
      </c>
      <c r="J1078">
        <v>-264.00510000000003</v>
      </c>
      <c r="K1078">
        <v>1.120924</v>
      </c>
      <c r="L1078">
        <v>367.3528</v>
      </c>
      <c r="M1078">
        <v>0.99981580000000003</v>
      </c>
      <c r="N1078">
        <v>-1.2969369999999999E-2</v>
      </c>
      <c r="O1078">
        <v>1.414384E-2</v>
      </c>
      <c r="P1078">
        <v>0.98406130000000003</v>
      </c>
      <c r="Q1078">
        <v>0.16775129999999999</v>
      </c>
      <c r="R1078">
        <v>-5.9016010000000001E-2</v>
      </c>
      <c r="S1078">
        <v>3.0784910000000001</v>
      </c>
      <c r="T1078">
        <v>-0.17881659999999999</v>
      </c>
      <c r="U1078">
        <v>-2.4597170000000002E-2</v>
      </c>
      <c r="V1078">
        <v>7.2913350000000002E-2</v>
      </c>
      <c r="W1078">
        <v>0.18049460000000001</v>
      </c>
      <c r="X1078">
        <v>0.98086969999999996</v>
      </c>
      <c r="Y1078">
        <v>2.2073619999999999E-2</v>
      </c>
      <c r="Z1078">
        <v>-1.4213470000000001E-3</v>
      </c>
      <c r="AA1078">
        <v>0.99975530000000001</v>
      </c>
      <c r="AB1078">
        <v>26</v>
      </c>
      <c r="AC1078">
        <v>18.7941</v>
      </c>
      <c r="AD1078">
        <v>-1.120926674446</v>
      </c>
      <c r="AE1078">
        <v>-0.16149999999998901</v>
      </c>
      <c r="AF1078">
        <v>0.42581236138079798</v>
      </c>
      <c r="AG1078">
        <v>-1.120926674446</v>
      </c>
      <c r="AH1078">
        <v>18.7233370980688</v>
      </c>
      <c r="AI1078">
        <v>93.425204517294503</v>
      </c>
      <c r="AJ1078">
        <v>88.697184900790504</v>
      </c>
      <c r="AK1078">
        <v>18.761693550010602</v>
      </c>
      <c r="AL1078">
        <v>79.601429960645504</v>
      </c>
      <c r="AM1078">
        <v>85.748713828738204</v>
      </c>
      <c r="AN1078">
        <v>1.00000001280773</v>
      </c>
    </row>
    <row r="1079" spans="1:40" x14ac:dyDescent="0.25">
      <c r="A1079" t="str">
        <f>"20190303162232657"</f>
        <v>20190303162232657</v>
      </c>
      <c r="B1079" t="str">
        <f>"1551601352645966"</f>
        <v>1551601352645966</v>
      </c>
      <c r="C1079" t="s">
        <v>40</v>
      </c>
      <c r="D1079">
        <v>5.7667780000000004</v>
      </c>
      <c r="E1079">
        <v>0.41687350000000001</v>
      </c>
      <c r="F1079" t="s">
        <v>41</v>
      </c>
      <c r="G1079">
        <v>-249.39599999999999</v>
      </c>
      <c r="H1079" s="1">
        <v>-3.567481E-7</v>
      </c>
      <c r="I1079">
        <v>369.10480000000001</v>
      </c>
      <c r="J1079">
        <v>-263.8501</v>
      </c>
      <c r="K1079">
        <v>1.1209249999999999</v>
      </c>
      <c r="L1079">
        <v>367.35500000000002</v>
      </c>
      <c r="M1079">
        <v>0.99981520000000002</v>
      </c>
      <c r="N1079">
        <v>-1.2969079999999999E-2</v>
      </c>
      <c r="O1079">
        <v>1.418735E-2</v>
      </c>
      <c r="P1079">
        <v>0.98413700000000004</v>
      </c>
      <c r="Q1079">
        <v>0.1677033</v>
      </c>
      <c r="R1079">
        <v>-5.7880819999999999E-2</v>
      </c>
      <c r="S1079">
        <v>3.1116640000000002</v>
      </c>
      <c r="T1079">
        <v>-0.2387503</v>
      </c>
      <c r="U1079">
        <v>0.37316890000000003</v>
      </c>
      <c r="V1079">
        <v>7.1822159999999996E-2</v>
      </c>
      <c r="W1079">
        <v>0.1804473</v>
      </c>
      <c r="X1079">
        <v>0.98095889999999997</v>
      </c>
      <c r="Y1079">
        <v>-0.1046463</v>
      </c>
      <c r="Z1079">
        <v>3.7770009999999999E-3</v>
      </c>
      <c r="AA1079">
        <v>0.99450229999999995</v>
      </c>
      <c r="AB1079">
        <v>26</v>
      </c>
      <c r="AC1079">
        <v>14.4541</v>
      </c>
      <c r="AD1079">
        <v>-1.1209253567480999</v>
      </c>
      <c r="AE1079">
        <v>1.74979999999999</v>
      </c>
      <c r="AF1079">
        <v>-1.5354403001995101</v>
      </c>
      <c r="AG1079">
        <v>-1.1209253567480999</v>
      </c>
      <c r="AH1079">
        <v>14.392166259003</v>
      </c>
      <c r="AI1079">
        <v>94.4284277856719</v>
      </c>
      <c r="AJ1079">
        <v>96.089614161340904</v>
      </c>
      <c r="AK1079">
        <v>14.517179484929599</v>
      </c>
      <c r="AL1079">
        <v>79.6041852328445</v>
      </c>
      <c r="AM1079">
        <v>85.812488143112901</v>
      </c>
      <c r="AN1079">
        <v>1.0000000071167801</v>
      </c>
    </row>
    <row r="1080" spans="1:40" x14ac:dyDescent="0.25">
      <c r="A1080" t="str">
        <f>"20190303162232669"</f>
        <v>20190303162232669</v>
      </c>
      <c r="B1080" t="str">
        <f>"1551601352665486"</f>
        <v>1551601352665486</v>
      </c>
      <c r="C1080" t="s">
        <v>40</v>
      </c>
      <c r="D1080">
        <v>5.8026609999999996</v>
      </c>
      <c r="E1080">
        <v>0.40102359999999998</v>
      </c>
      <c r="F1080" t="s">
        <v>41</v>
      </c>
      <c r="G1080">
        <v>-250.48089999999999</v>
      </c>
      <c r="H1080" s="1">
        <v>-4.0973209999999997E-6</v>
      </c>
      <c r="I1080">
        <v>369.43979999999999</v>
      </c>
      <c r="J1080">
        <v>-263.71460000000002</v>
      </c>
      <c r="K1080">
        <v>1.120924</v>
      </c>
      <c r="L1080">
        <v>367.35700000000003</v>
      </c>
      <c r="M1080">
        <v>0.9998148</v>
      </c>
      <c r="N1080">
        <v>-1.2968739999999999E-2</v>
      </c>
      <c r="O1080">
        <v>1.42252E-2</v>
      </c>
      <c r="P1080">
        <v>0.98426460000000005</v>
      </c>
      <c r="Q1080">
        <v>0.16743820000000001</v>
      </c>
      <c r="R1080">
        <v>-5.6461240000000003E-2</v>
      </c>
      <c r="S1080">
        <v>3.1215820000000001</v>
      </c>
      <c r="T1080">
        <v>-0.26172380000000001</v>
      </c>
      <c r="U1080">
        <v>0.48678589999999999</v>
      </c>
      <c r="V1080">
        <v>7.0441710000000005E-2</v>
      </c>
      <c r="W1080">
        <v>0.18018319999999999</v>
      </c>
      <c r="X1080">
        <v>0.98110750000000002</v>
      </c>
      <c r="Y1080">
        <v>-0.13948940000000001</v>
      </c>
      <c r="Z1080">
        <v>5.7143100000000002E-3</v>
      </c>
      <c r="AA1080">
        <v>0.99020710000000001</v>
      </c>
      <c r="AB1080">
        <v>26</v>
      </c>
      <c r="AC1080">
        <v>13.233700000000001</v>
      </c>
      <c r="AD1080">
        <v>-1.1209280973209901</v>
      </c>
      <c r="AE1080">
        <v>2.08280000000001</v>
      </c>
      <c r="AF1080">
        <v>-1.8811512438315201</v>
      </c>
      <c r="AG1080">
        <v>-1.1209280973209901</v>
      </c>
      <c r="AH1080">
        <v>13.1697884549287</v>
      </c>
      <c r="AI1080">
        <v>94.816273722923896</v>
      </c>
      <c r="AJ1080">
        <v>98.129048802402707</v>
      </c>
      <c r="AK1080">
        <v>13.350600651248101</v>
      </c>
      <c r="AL1080">
        <v>79.619568854105395</v>
      </c>
      <c r="AM1080">
        <v>85.893315590260002</v>
      </c>
      <c r="AN1080">
        <v>0.99999997331310597</v>
      </c>
    </row>
    <row r="1081" spans="1:40" x14ac:dyDescent="0.25">
      <c r="A1081" t="str">
        <f>"20190303162232683"</f>
        <v>20190303162232683</v>
      </c>
      <c r="B1081" t="str">
        <f>"1551601352675246"</f>
        <v>1551601352675246</v>
      </c>
      <c r="C1081" t="s">
        <v>40</v>
      </c>
      <c r="D1081">
        <v>5.8185229999999999</v>
      </c>
      <c r="E1081">
        <v>0.3970051</v>
      </c>
      <c r="F1081" t="s">
        <v>41</v>
      </c>
      <c r="G1081">
        <v>-251.31180000000001</v>
      </c>
      <c r="H1081" s="1">
        <v>-3.7592489999999998E-6</v>
      </c>
      <c r="I1081">
        <v>369.8032</v>
      </c>
      <c r="J1081">
        <v>-263.55650000000003</v>
      </c>
      <c r="K1081">
        <v>1.1209150000000001</v>
      </c>
      <c r="L1081">
        <v>367.35930000000002</v>
      </c>
      <c r="M1081">
        <v>0.99981419999999999</v>
      </c>
      <c r="N1081">
        <v>-1.296827E-2</v>
      </c>
      <c r="O1081">
        <v>1.426937E-2</v>
      </c>
      <c r="P1081">
        <v>0.98435300000000003</v>
      </c>
      <c r="Q1081">
        <v>0.1672862</v>
      </c>
      <c r="R1081">
        <v>-5.5361830000000001E-2</v>
      </c>
      <c r="S1081">
        <v>3.1315309999999998</v>
      </c>
      <c r="T1081">
        <v>-0.28301670000000001</v>
      </c>
      <c r="U1081">
        <v>0.61764529999999995</v>
      </c>
      <c r="V1081">
        <v>6.9387229999999994E-2</v>
      </c>
      <c r="W1081">
        <v>0.1800321</v>
      </c>
      <c r="X1081">
        <v>0.98121040000000004</v>
      </c>
      <c r="Y1081">
        <v>-0.17872209999999999</v>
      </c>
      <c r="Z1081">
        <v>8.0645860000000003E-3</v>
      </c>
      <c r="AA1081">
        <v>0.98386660000000004</v>
      </c>
      <c r="AB1081">
        <v>26</v>
      </c>
      <c r="AC1081">
        <v>12.2447</v>
      </c>
      <c r="AD1081">
        <v>-1.120918759249</v>
      </c>
      <c r="AE1081">
        <v>2.4438999999999802</v>
      </c>
      <c r="AF1081">
        <v>-2.2507730712335401</v>
      </c>
      <c r="AG1081">
        <v>-1.120918759249</v>
      </c>
      <c r="AH1081">
        <v>12.180167602371901</v>
      </c>
      <c r="AI1081">
        <v>95.170956985240494</v>
      </c>
      <c r="AJ1081">
        <v>100.46958331031099</v>
      </c>
      <c r="AK1081">
        <v>12.4369980744911</v>
      </c>
      <c r="AL1081">
        <v>79.628370422746201</v>
      </c>
      <c r="AM1081">
        <v>85.955007954471895</v>
      </c>
      <c r="AN1081">
        <v>0.99999999689282104</v>
      </c>
    </row>
    <row r="1082" spans="1:40" x14ac:dyDescent="0.25">
      <c r="A1082" t="str">
        <f>"20190303162232700"</f>
        <v>20190303162232700</v>
      </c>
      <c r="B1082" t="str">
        <f>"1551601352695742"</f>
        <v>1551601352695742</v>
      </c>
      <c r="C1082" t="s">
        <v>40</v>
      </c>
      <c r="D1082">
        <v>5.769781</v>
      </c>
      <c r="E1082">
        <v>0.39289289999999999</v>
      </c>
      <c r="F1082" t="s">
        <v>41</v>
      </c>
      <c r="G1082">
        <v>-251.32140000000001</v>
      </c>
      <c r="H1082" s="1">
        <v>-3.7832009999999999E-6</v>
      </c>
      <c r="I1082">
        <v>369.90870000000001</v>
      </c>
      <c r="J1082">
        <v>-263.34690000000001</v>
      </c>
      <c r="K1082">
        <v>1.1209119999999999</v>
      </c>
      <c r="L1082">
        <v>367.36239999999998</v>
      </c>
      <c r="M1082">
        <v>0.99981339999999996</v>
      </c>
      <c r="N1082">
        <v>-1.296746E-2</v>
      </c>
      <c r="O1082">
        <v>1.432814E-2</v>
      </c>
      <c r="P1082">
        <v>0.98462090000000002</v>
      </c>
      <c r="Q1082">
        <v>0.1665702</v>
      </c>
      <c r="R1082">
        <v>-5.268871E-2</v>
      </c>
      <c r="S1082">
        <v>3.1332089999999999</v>
      </c>
      <c r="T1082">
        <v>-0.28704790000000002</v>
      </c>
      <c r="U1082">
        <v>0.65286250000000001</v>
      </c>
      <c r="V1082">
        <v>6.6776329999999995E-2</v>
      </c>
      <c r="W1082">
        <v>0.17931910000000001</v>
      </c>
      <c r="X1082">
        <v>0.98152209999999995</v>
      </c>
      <c r="Y1082">
        <v>-0.18911069999999999</v>
      </c>
      <c r="Z1082">
        <v>8.6833150000000005E-3</v>
      </c>
      <c r="AA1082">
        <v>0.98191740000000005</v>
      </c>
      <c r="AB1082">
        <v>26</v>
      </c>
      <c r="AC1082">
        <v>12.0254999999999</v>
      </c>
      <c r="AD1082">
        <v>-1.1209157832009999</v>
      </c>
      <c r="AE1082">
        <v>2.54630000000002</v>
      </c>
      <c r="AF1082">
        <v>-2.3541449955125699</v>
      </c>
      <c r="AG1082">
        <v>-1.1209157832009999</v>
      </c>
      <c r="AH1082">
        <v>11.961287192455799</v>
      </c>
      <c r="AI1082">
        <v>95.253463748063496</v>
      </c>
      <c r="AJ1082">
        <v>101.13428455896501</v>
      </c>
      <c r="AK1082">
        <v>12.2421747313675</v>
      </c>
      <c r="AL1082">
        <v>79.669898437187499</v>
      </c>
      <c r="AM1082">
        <v>86.107968151665801</v>
      </c>
      <c r="AN1082">
        <v>1.00000002533074</v>
      </c>
    </row>
    <row r="1083" spans="1:40" x14ac:dyDescent="0.25">
      <c r="A1083" t="str">
        <f>"20190303162232714"</f>
        <v>20190303162232714</v>
      </c>
      <c r="B1083" t="str">
        <f>"1551601352705503"</f>
        <v>1551601352705503</v>
      </c>
      <c r="C1083" t="s">
        <v>40</v>
      </c>
      <c r="D1083">
        <v>5.7309989999999997</v>
      </c>
      <c r="E1083">
        <v>0.39190079999999999</v>
      </c>
      <c r="F1083" t="s">
        <v>41</v>
      </c>
      <c r="G1083">
        <v>-251.4145</v>
      </c>
      <c r="H1083" s="1">
        <v>-3.7682129999999999E-6</v>
      </c>
      <c r="I1083">
        <v>370.0025</v>
      </c>
      <c r="J1083">
        <v>-263.1995</v>
      </c>
      <c r="K1083">
        <v>1.1209100000000001</v>
      </c>
      <c r="L1083">
        <v>367.36450000000002</v>
      </c>
      <c r="M1083">
        <v>0.9998127</v>
      </c>
      <c r="N1083">
        <v>-1.2966790000000001E-2</v>
      </c>
      <c r="O1083">
        <v>1.436962E-2</v>
      </c>
      <c r="P1083">
        <v>0.98474539999999999</v>
      </c>
      <c r="Q1083">
        <v>0.166259299999999</v>
      </c>
      <c r="R1083">
        <v>-5.1325820000000001E-2</v>
      </c>
      <c r="S1083">
        <v>3.133759</v>
      </c>
      <c r="T1083">
        <v>-0.29437950000000002</v>
      </c>
      <c r="U1083">
        <v>0.69335939999999996</v>
      </c>
      <c r="V1083">
        <v>6.5456139999999996E-2</v>
      </c>
      <c r="W1083">
        <v>0.17900949999999999</v>
      </c>
      <c r="X1083">
        <v>0.98166750000000003</v>
      </c>
      <c r="Y1083">
        <v>-0.2010565</v>
      </c>
      <c r="Z1083">
        <v>9.4866310000000006E-3</v>
      </c>
      <c r="AA1083">
        <v>0.97953369999999995</v>
      </c>
      <c r="AB1083">
        <v>26</v>
      </c>
      <c r="AC1083">
        <v>11.784999999999901</v>
      </c>
      <c r="AD1083">
        <v>-1.1209137682129999</v>
      </c>
      <c r="AE1083">
        <v>2.6379999999999701</v>
      </c>
      <c r="AF1083">
        <v>-2.4472841830005101</v>
      </c>
      <c r="AG1083">
        <v>-1.1209137682129999</v>
      </c>
      <c r="AH1083">
        <v>11.7207200035388</v>
      </c>
      <c r="AI1083">
        <v>95.348230673542602</v>
      </c>
      <c r="AJ1083">
        <v>101.793902253789</v>
      </c>
      <c r="AK1083">
        <v>12.025844043121801</v>
      </c>
      <c r="AL1083">
        <v>79.687928631913806</v>
      </c>
      <c r="AM1083">
        <v>86.185248794774594</v>
      </c>
      <c r="AN1083">
        <v>0.99999999395509898</v>
      </c>
    </row>
    <row r="1084" spans="1:40" x14ac:dyDescent="0.25">
      <c r="A1084" t="str">
        <f>"20190303162232725"</f>
        <v>20190303162232725</v>
      </c>
      <c r="B1084" t="str">
        <f>"1551601352715262"</f>
        <v>1551601352715262</v>
      </c>
      <c r="C1084" t="s">
        <v>40</v>
      </c>
      <c r="D1084">
        <v>5.7200309999999996</v>
      </c>
      <c r="E1084">
        <v>0.39119739999999997</v>
      </c>
      <c r="F1084" t="s">
        <v>41</v>
      </c>
      <c r="G1084">
        <v>-251.44370000000001</v>
      </c>
      <c r="H1084" s="1">
        <v>-3.7581789999999999E-6</v>
      </c>
      <c r="I1084">
        <v>370.01179999999999</v>
      </c>
      <c r="J1084">
        <v>-263.05119999999999</v>
      </c>
      <c r="K1084">
        <v>1.120908</v>
      </c>
      <c r="L1084">
        <v>367.36669999999998</v>
      </c>
      <c r="M1084">
        <v>0.99981200000000003</v>
      </c>
      <c r="N1084">
        <v>-1.296608E-2</v>
      </c>
      <c r="O1084">
        <v>1.441111E-2</v>
      </c>
      <c r="P1084">
        <v>0.98484059999999995</v>
      </c>
      <c r="Q1084">
        <v>0.16611600000000001</v>
      </c>
      <c r="R1084">
        <v>-4.994548E-2</v>
      </c>
      <c r="S1084">
        <v>3.1337280000000001</v>
      </c>
      <c r="T1084">
        <v>-0.29879899999999998</v>
      </c>
      <c r="U1084">
        <v>0.70568850000000005</v>
      </c>
      <c r="V1084">
        <v>6.4118049999999996E-2</v>
      </c>
      <c r="W1084">
        <v>0.17886640000000001</v>
      </c>
      <c r="X1084">
        <v>0.98178189999999999</v>
      </c>
      <c r="Y1084">
        <v>-0.20464499999999999</v>
      </c>
      <c r="Z1084">
        <v>9.7919059999999995E-3</v>
      </c>
      <c r="AA1084">
        <v>0.97878730000000003</v>
      </c>
      <c r="AB1084">
        <v>26</v>
      </c>
      <c r="AC1084">
        <v>11.6074999999999</v>
      </c>
      <c r="AD1084">
        <v>-1.120911758179</v>
      </c>
      <c r="AE1084">
        <v>2.64510000000001</v>
      </c>
      <c r="AF1084">
        <v>-2.4557638666606199</v>
      </c>
      <c r="AG1084">
        <v>-1.120911758179</v>
      </c>
      <c r="AH1084">
        <v>11.542095661367499</v>
      </c>
      <c r="AI1084">
        <v>95.426179687013999</v>
      </c>
      <c r="AJ1084">
        <v>102.01147284099</v>
      </c>
      <c r="AK1084">
        <v>11.853572946355801</v>
      </c>
      <c r="AL1084">
        <v>79.696262286465199</v>
      </c>
      <c r="AM1084">
        <v>86.263442955834606</v>
      </c>
      <c r="AN1084">
        <v>1.00000000627618</v>
      </c>
    </row>
    <row r="1085" spans="1:40" x14ac:dyDescent="0.25">
      <c r="A1085" t="str">
        <f>"20190303162232738"</f>
        <v>20190303162232738</v>
      </c>
      <c r="B1085" t="str">
        <f>"1551601352725998"</f>
        <v>1551601352725998</v>
      </c>
      <c r="C1085" t="s">
        <v>40</v>
      </c>
      <c r="D1085">
        <v>5.6490589999999896</v>
      </c>
      <c r="E1085">
        <v>0.39075500000000002</v>
      </c>
      <c r="F1085" t="s">
        <v>41</v>
      </c>
      <c r="G1085">
        <v>-251.35339999999999</v>
      </c>
      <c r="H1085" s="1">
        <v>-3.8039090000000002E-6</v>
      </c>
      <c r="I1085">
        <v>370.03809999999999</v>
      </c>
      <c r="J1085">
        <v>-262.91160000000002</v>
      </c>
      <c r="K1085">
        <v>1.120908</v>
      </c>
      <c r="L1085">
        <v>367.36880000000002</v>
      </c>
      <c r="M1085">
        <v>0.99981160000000002</v>
      </c>
      <c r="N1085">
        <v>-1.2965340000000001E-2</v>
      </c>
      <c r="O1085">
        <v>1.445016E-2</v>
      </c>
      <c r="P1085">
        <v>0.98492040000000003</v>
      </c>
      <c r="Q1085">
        <v>0.1660866</v>
      </c>
      <c r="R1085">
        <v>-4.8449020000000002E-2</v>
      </c>
      <c r="S1085">
        <v>3.1331479999999998</v>
      </c>
      <c r="T1085">
        <v>-0.3002225</v>
      </c>
      <c r="U1085">
        <v>0.71548459999999903</v>
      </c>
      <c r="V1085">
        <v>6.2661510000000004E-2</v>
      </c>
      <c r="W1085">
        <v>0.17883789999999999</v>
      </c>
      <c r="X1085">
        <v>0.98188109999999995</v>
      </c>
      <c r="Y1085">
        <v>-0.207533</v>
      </c>
      <c r="Z1085">
        <v>9.9822279999999992E-3</v>
      </c>
      <c r="AA1085">
        <v>0.97817710000000002</v>
      </c>
      <c r="AB1085">
        <v>26</v>
      </c>
      <c r="AC1085">
        <v>11.558199999999999</v>
      </c>
      <c r="AD1085">
        <v>-1.120911803909</v>
      </c>
      <c r="AE1085">
        <v>2.6692999999999598</v>
      </c>
      <c r="AF1085">
        <v>-2.4798471868916399</v>
      </c>
      <c r="AG1085">
        <v>-1.120911803909</v>
      </c>
      <c r="AH1085">
        <v>11.492949171938299</v>
      </c>
      <c r="AI1085">
        <v>95.445910343731299</v>
      </c>
      <c r="AJ1085">
        <v>102.176106519789</v>
      </c>
      <c r="AK1085">
        <v>11.810756369142201</v>
      </c>
      <c r="AL1085">
        <v>79.697921671401303</v>
      </c>
      <c r="AM1085">
        <v>86.348460185579398</v>
      </c>
      <c r="AN1085">
        <v>0.99999997692454901</v>
      </c>
    </row>
    <row r="1086" spans="1:40" x14ac:dyDescent="0.25">
      <c r="A1086" t="str">
        <f>"20190303162232750"</f>
        <v>20190303162232750</v>
      </c>
      <c r="B1086" t="str">
        <f>"1551601352745519"</f>
        <v>1551601352745519</v>
      </c>
      <c r="C1086" t="s">
        <v>40</v>
      </c>
      <c r="D1086">
        <v>5.6566380000000001</v>
      </c>
      <c r="E1086">
        <v>0.39023609999999997</v>
      </c>
      <c r="F1086" t="s">
        <v>41</v>
      </c>
      <c r="G1086">
        <v>-251.42920000000001</v>
      </c>
      <c r="H1086" s="1">
        <v>-3.767097E-6</v>
      </c>
      <c r="I1086">
        <v>370.02199999999999</v>
      </c>
      <c r="J1086">
        <v>-262.77710000000002</v>
      </c>
      <c r="K1086">
        <v>1.1208979999999999</v>
      </c>
      <c r="L1086">
        <v>367.37079999999997</v>
      </c>
      <c r="M1086">
        <v>0.99981109999999895</v>
      </c>
      <c r="N1086">
        <v>-1.296458E-2</v>
      </c>
      <c r="O1086">
        <v>1.4487770000000001E-2</v>
      </c>
      <c r="P1086">
        <v>0.98498220000000003</v>
      </c>
      <c r="Q1086">
        <v>0.16620599999999999</v>
      </c>
      <c r="R1086">
        <v>-4.6753040000000003E-2</v>
      </c>
      <c r="S1086">
        <v>3.1331790000000002</v>
      </c>
      <c r="T1086">
        <v>-0.30585899999999999</v>
      </c>
      <c r="U1086">
        <v>0.72396850000000001</v>
      </c>
      <c r="V1086">
        <v>6.1003549999999997E-2</v>
      </c>
      <c r="W1086">
        <v>0.178957</v>
      </c>
      <c r="X1086">
        <v>0.98196380000000005</v>
      </c>
      <c r="Y1086">
        <v>-0.20996319999999999</v>
      </c>
      <c r="Z1086">
        <v>1.0267220000000001E-2</v>
      </c>
      <c r="AA1086">
        <v>0.97765539999999995</v>
      </c>
      <c r="AB1086">
        <v>26</v>
      </c>
      <c r="AC1086">
        <v>11.347899999999999</v>
      </c>
      <c r="AD1086">
        <v>-1.1209017670969901</v>
      </c>
      <c r="AE1086">
        <v>2.65120000000001</v>
      </c>
      <c r="AF1086">
        <v>-2.4637085389726798</v>
      </c>
      <c r="AG1086">
        <v>-1.1209017670969901</v>
      </c>
      <c r="AH1086">
        <v>11.280755361812799</v>
      </c>
      <c r="AI1086">
        <v>95.544663758358794</v>
      </c>
      <c r="AJ1086">
        <v>102.319907251891</v>
      </c>
      <c r="AK1086">
        <v>11.600936258317899</v>
      </c>
      <c r="AL1086">
        <v>79.690985809726101</v>
      </c>
      <c r="AM1086">
        <v>86.445123718333704</v>
      </c>
      <c r="AN1086">
        <v>0.99999997273602004</v>
      </c>
    </row>
    <row r="1087" spans="1:40" x14ac:dyDescent="0.25">
      <c r="A1087" t="str">
        <f>"20190303162232763"</f>
        <v>20190303162232763</v>
      </c>
      <c r="B1087" t="str">
        <f>"1551601352755278"</f>
        <v>1551601352755278</v>
      </c>
      <c r="C1087" t="s">
        <v>40</v>
      </c>
      <c r="D1087">
        <v>5.7237099999999996</v>
      </c>
      <c r="E1087">
        <v>0.39006200000000002</v>
      </c>
      <c r="F1087" t="s">
        <v>41</v>
      </c>
      <c r="G1087">
        <v>-251.6026</v>
      </c>
      <c r="H1087" s="1">
        <v>-3.6828070000000001E-6</v>
      </c>
      <c r="I1087">
        <v>369.98469999999998</v>
      </c>
      <c r="J1087">
        <v>-262.62860000000001</v>
      </c>
      <c r="K1087">
        <v>1.1209</v>
      </c>
      <c r="L1087">
        <v>367.37299999999999</v>
      </c>
      <c r="M1087">
        <v>0.99981039999999999</v>
      </c>
      <c r="N1087">
        <v>-1.296371E-2</v>
      </c>
      <c r="O1087">
        <v>1.452932E-2</v>
      </c>
      <c r="P1087">
        <v>0.98512770000000005</v>
      </c>
      <c r="Q1087">
        <v>0.16586380000000001</v>
      </c>
      <c r="R1087">
        <v>-4.4865370000000002E-2</v>
      </c>
      <c r="S1087">
        <v>3.133575</v>
      </c>
      <c r="T1087">
        <v>-0.3143224</v>
      </c>
      <c r="U1087">
        <v>0.73300169999999998</v>
      </c>
      <c r="V1087">
        <v>5.9159120000000003E-2</v>
      </c>
      <c r="W1087">
        <v>0.17861589999999999</v>
      </c>
      <c r="X1087">
        <v>0.98213879999999998</v>
      </c>
      <c r="Y1087">
        <v>-0.21250250000000001</v>
      </c>
      <c r="Z1087">
        <v>1.064179E-2</v>
      </c>
      <c r="AA1087">
        <v>0.97710260000000004</v>
      </c>
      <c r="AB1087">
        <v>26</v>
      </c>
      <c r="AC1087">
        <v>11.026</v>
      </c>
      <c r="AD1087">
        <v>-1.120903682807</v>
      </c>
      <c r="AE1087">
        <v>2.61169999999992</v>
      </c>
      <c r="AF1087">
        <v>-2.4274561072410199</v>
      </c>
      <c r="AG1087">
        <v>-1.120903682807</v>
      </c>
      <c r="AH1087">
        <v>10.955577084462201</v>
      </c>
      <c r="AI1087">
        <v>95.704401639538105</v>
      </c>
      <c r="AJ1087">
        <v>102.493335814817</v>
      </c>
      <c r="AK1087">
        <v>11.2771289552042</v>
      </c>
      <c r="AL1087">
        <v>79.7108500603468</v>
      </c>
      <c r="AM1087">
        <v>86.552954233642794</v>
      </c>
      <c r="AN1087">
        <v>1.0000000318387099</v>
      </c>
    </row>
    <row r="1088" spans="1:40" x14ac:dyDescent="0.25">
      <c r="A1088" t="str">
        <f>"20190303162232778"</f>
        <v>20190303162232778</v>
      </c>
      <c r="B1088" t="str">
        <f>"1551601352765039"</f>
        <v>1551601352765039</v>
      </c>
      <c r="C1088" t="s">
        <v>40</v>
      </c>
      <c r="D1088">
        <v>5.7030880000000002</v>
      </c>
      <c r="E1088">
        <v>0.38989669999999998</v>
      </c>
      <c r="F1088" t="s">
        <v>41</v>
      </c>
      <c r="G1088">
        <v>-251.49199999999999</v>
      </c>
      <c r="H1088" s="1">
        <v>-3.735857E-6</v>
      </c>
      <c r="I1088">
        <v>370.00580000000002</v>
      </c>
      <c r="J1088">
        <v>-262.44740000000002</v>
      </c>
      <c r="K1088">
        <v>1.1209020000000001</v>
      </c>
      <c r="L1088">
        <v>367.37569999999999</v>
      </c>
      <c r="M1088">
        <v>0.99980979999999997</v>
      </c>
      <c r="N1088">
        <v>-1.296254E-2</v>
      </c>
      <c r="O1088">
        <v>1.4579979999999999E-2</v>
      </c>
      <c r="P1088">
        <v>0.98525620000000003</v>
      </c>
      <c r="Q1088">
        <v>0.16589100000000001</v>
      </c>
      <c r="R1088">
        <v>-4.1842310000000001E-2</v>
      </c>
      <c r="S1088">
        <v>3.1320800000000002</v>
      </c>
      <c r="T1088">
        <v>-0.31524170000000001</v>
      </c>
      <c r="U1088">
        <v>0.740448</v>
      </c>
      <c r="V1088">
        <v>5.6188080000000001E-2</v>
      </c>
      <c r="W1088">
        <v>0.17864449999999901</v>
      </c>
      <c r="X1088">
        <v>0.98230799999999996</v>
      </c>
      <c r="Y1088">
        <v>-0.21473890000000001</v>
      </c>
      <c r="Z1088">
        <v>1.079126E-2</v>
      </c>
      <c r="AA1088">
        <v>0.97661189999999998</v>
      </c>
      <c r="AB1088">
        <v>26</v>
      </c>
      <c r="AC1088">
        <v>10.9553999999999</v>
      </c>
      <c r="AD1088">
        <v>-1.120905735857</v>
      </c>
      <c r="AE1088">
        <v>2.6301000000000201</v>
      </c>
      <c r="AF1088">
        <v>-2.4458683626163</v>
      </c>
      <c r="AG1088">
        <v>-1.120905735857</v>
      </c>
      <c r="AH1088">
        <v>10.884847528478399</v>
      </c>
      <c r="AI1088">
        <v>95.737437890751394</v>
      </c>
      <c r="AJ1088">
        <v>102.664238037747</v>
      </c>
      <c r="AK1088">
        <v>11.2124309333055</v>
      </c>
      <c r="AL1088">
        <v>79.709184099087395</v>
      </c>
      <c r="AM1088">
        <v>86.726245071080498</v>
      </c>
      <c r="AN1088">
        <v>0.99999998228916798</v>
      </c>
    </row>
    <row r="1089" spans="1:40" x14ac:dyDescent="0.25">
      <c r="A1089" t="str">
        <f>"20190303162232791"</f>
        <v>20190303162232791</v>
      </c>
      <c r="B1089" t="str">
        <f>"1551601352785534"</f>
        <v>1551601352785534</v>
      </c>
      <c r="C1089" t="s">
        <v>40</v>
      </c>
      <c r="D1089">
        <v>5.7020479999999996</v>
      </c>
      <c r="E1089">
        <v>0.38986150000000003</v>
      </c>
      <c r="F1089" t="s">
        <v>41</v>
      </c>
      <c r="G1089">
        <v>-251.29820000000001</v>
      </c>
      <c r="H1089" s="1">
        <v>-3.8311270000000002E-6</v>
      </c>
      <c r="I1089">
        <v>370.0514</v>
      </c>
      <c r="J1089">
        <v>-262.30959999999999</v>
      </c>
      <c r="K1089">
        <v>1.1209020000000001</v>
      </c>
      <c r="L1089">
        <v>367.37779999999998</v>
      </c>
      <c r="M1089">
        <v>0.99980910000000001</v>
      </c>
      <c r="N1089">
        <v>-1.296162E-2</v>
      </c>
      <c r="O1089">
        <v>1.4618849999999999E-2</v>
      </c>
      <c r="P1089">
        <v>0.98536369999999895</v>
      </c>
      <c r="Q1089">
        <v>0.1657053</v>
      </c>
      <c r="R1089">
        <v>-4.0000090000000002E-2</v>
      </c>
      <c r="S1089">
        <v>3.1297609999999998</v>
      </c>
      <c r="T1089">
        <v>-0.3146542</v>
      </c>
      <c r="U1089">
        <v>0.75109859999999995</v>
      </c>
      <c r="V1089">
        <v>5.4386039999999997E-2</v>
      </c>
      <c r="W1089">
        <v>0.17845920000000001</v>
      </c>
      <c r="X1089">
        <v>0.98244310000000001</v>
      </c>
      <c r="Y1089">
        <v>-0.21799250000000001</v>
      </c>
      <c r="Z1089">
        <v>1.095659E-2</v>
      </c>
      <c r="AA1089">
        <v>0.97588889999999995</v>
      </c>
      <c r="AB1089">
        <v>26</v>
      </c>
      <c r="AC1089">
        <v>11.011399999999901</v>
      </c>
      <c r="AD1089">
        <v>-1.1209058311269999</v>
      </c>
      <c r="AE1089">
        <v>2.67360000000002</v>
      </c>
      <c r="AF1089">
        <v>-2.4879809496904799</v>
      </c>
      <c r="AG1089">
        <v>-1.1209058311269999</v>
      </c>
      <c r="AH1089">
        <v>10.9422377217729</v>
      </c>
      <c r="AI1089">
        <v>95.704290922182096</v>
      </c>
      <c r="AJ1089">
        <v>102.809786386483</v>
      </c>
      <c r="AK1089">
        <v>11.277368728921999</v>
      </c>
      <c r="AL1089">
        <v>79.719974441307798</v>
      </c>
      <c r="AM1089">
        <v>86.831456898927598</v>
      </c>
      <c r="AN1089">
        <v>0.99999998607456497</v>
      </c>
    </row>
    <row r="1090" spans="1:40" x14ac:dyDescent="0.25">
      <c r="A1090" t="str">
        <f>"20190303162232806"</f>
        <v>20190303162232806</v>
      </c>
      <c r="B1090" t="str">
        <f>"1551601352795294"</f>
        <v>1551601352795294</v>
      </c>
      <c r="C1090" t="s">
        <v>40</v>
      </c>
      <c r="D1090">
        <v>5.6705480000000001</v>
      </c>
      <c r="E1090">
        <v>0.39002340000000002</v>
      </c>
      <c r="F1090" t="s">
        <v>41</v>
      </c>
      <c r="G1090">
        <v>-251.1352</v>
      </c>
      <c r="H1090" s="1">
        <v>-3.909194E-6</v>
      </c>
      <c r="I1090">
        <v>370.08210000000003</v>
      </c>
      <c r="J1090">
        <v>-262.14</v>
      </c>
      <c r="K1090">
        <v>1.12090499999999</v>
      </c>
      <c r="L1090">
        <v>367.38029999999998</v>
      </c>
      <c r="M1090">
        <v>0.99980849999999999</v>
      </c>
      <c r="N1090">
        <v>-1.296045E-2</v>
      </c>
      <c r="O1090">
        <v>1.4666179999999999E-2</v>
      </c>
      <c r="P1090">
        <v>0.98542410000000003</v>
      </c>
      <c r="Q1090">
        <v>0.16578870000000001</v>
      </c>
      <c r="R1090">
        <v>-3.8126170000000001E-2</v>
      </c>
      <c r="S1090">
        <v>3.1280519999999998</v>
      </c>
      <c r="T1090">
        <v>-0.31377430000000001</v>
      </c>
      <c r="U1090">
        <v>0.757019</v>
      </c>
      <c r="V1090">
        <v>5.2560030000000001E-2</v>
      </c>
      <c r="W1090">
        <v>0.1785427</v>
      </c>
      <c r="X1090">
        <v>0.98252729999999999</v>
      </c>
      <c r="Y1090">
        <v>-0.21980830000000001</v>
      </c>
      <c r="Z1090">
        <v>1.10311E-2</v>
      </c>
      <c r="AA1090">
        <v>0.97548069999999998</v>
      </c>
      <c r="AB1090">
        <v>26</v>
      </c>
      <c r="AC1090">
        <v>11.0047999999999</v>
      </c>
      <c r="AD1090">
        <v>-1.1209089091940001</v>
      </c>
      <c r="AE1090">
        <v>2.7018000000000399</v>
      </c>
      <c r="AF1090">
        <v>-2.5154836147435198</v>
      </c>
      <c r="AG1090">
        <v>-1.1209089091940001</v>
      </c>
      <c r="AH1090">
        <v>10.9362343587122</v>
      </c>
      <c r="AI1090">
        <v>95.704165539697598</v>
      </c>
      <c r="AJ1090">
        <v>102.95350945751299</v>
      </c>
      <c r="AK1090">
        <v>11.277646764615</v>
      </c>
      <c r="AL1090">
        <v>79.715112027066695</v>
      </c>
      <c r="AM1090">
        <v>86.937896598563597</v>
      </c>
      <c r="AN1090">
        <v>0.99999997386108996</v>
      </c>
    </row>
    <row r="1091" spans="1:40" x14ac:dyDescent="0.25">
      <c r="A1091" t="str">
        <f>"20190303162232824"</f>
        <v>20190303162232824</v>
      </c>
      <c r="B1091" t="str">
        <f>"1551601352815789"</f>
        <v>1551601352815789</v>
      </c>
      <c r="C1091" t="s">
        <v>40</v>
      </c>
      <c r="D1091">
        <v>5.6484639999999997</v>
      </c>
      <c r="E1091">
        <v>0.39018029999999998</v>
      </c>
      <c r="F1091" t="s">
        <v>41</v>
      </c>
      <c r="G1091">
        <v>-250.958</v>
      </c>
      <c r="H1091" s="1">
        <v>-3.990878E-6</v>
      </c>
      <c r="I1091">
        <v>370.10340000000002</v>
      </c>
      <c r="J1091">
        <v>-261.93169999999998</v>
      </c>
      <c r="K1091">
        <v>1.1209020000000001</v>
      </c>
      <c r="L1091">
        <v>367.38350000000003</v>
      </c>
      <c r="M1091">
        <v>0.99980760000000002</v>
      </c>
      <c r="N1091">
        <v>-1.2958920000000001E-2</v>
      </c>
      <c r="O1091">
        <v>1.472442E-2</v>
      </c>
      <c r="P1091">
        <v>0.98554660000000005</v>
      </c>
      <c r="Q1091">
        <v>0.16575819999999999</v>
      </c>
      <c r="R1091">
        <v>-3.495881E-2</v>
      </c>
      <c r="S1091">
        <v>3.1265559999999999</v>
      </c>
      <c r="T1091">
        <v>-0.31341089999999999</v>
      </c>
      <c r="U1091">
        <v>0.76138309999999998</v>
      </c>
      <c r="V1091">
        <v>4.9452110000000001E-2</v>
      </c>
      <c r="W1091">
        <v>0.17851220000000001</v>
      </c>
      <c r="X1091">
        <v>0.98269419999999996</v>
      </c>
      <c r="Y1091">
        <v>-0.22113859999999999</v>
      </c>
      <c r="Z1091">
        <v>1.109245E-2</v>
      </c>
      <c r="AA1091">
        <v>0.97517929999999997</v>
      </c>
      <c r="AB1091">
        <v>26</v>
      </c>
      <c r="AC1091">
        <v>10.9736999999999</v>
      </c>
      <c r="AD1091">
        <v>-1.1209059908779999</v>
      </c>
      <c r="AE1091">
        <v>2.7198999999999902</v>
      </c>
      <c r="AF1091">
        <v>-2.53311046090437</v>
      </c>
      <c r="AG1091">
        <v>-1.1209059908779999</v>
      </c>
      <c r="AH1091">
        <v>10.905366104024401</v>
      </c>
      <c r="AI1091">
        <v>95.717363415946195</v>
      </c>
      <c r="AJ1091">
        <v>103.07683350721599</v>
      </c>
      <c r="AK1091">
        <v>11.251670485325</v>
      </c>
      <c r="AL1091">
        <v>79.716888391227101</v>
      </c>
      <c r="AM1091">
        <v>87.119135280849406</v>
      </c>
      <c r="AN1091">
        <v>1.0000000037229599</v>
      </c>
    </row>
    <row r="1092" spans="1:40" x14ac:dyDescent="0.25">
      <c r="A1092" t="str">
        <f>"20190303162232847"</f>
        <v>20190303162232847</v>
      </c>
      <c r="B1092" t="str">
        <f>"1551601352835310"</f>
        <v>1551601352835310</v>
      </c>
      <c r="C1092" t="s">
        <v>40</v>
      </c>
      <c r="D1092">
        <v>5.6445119999999998</v>
      </c>
      <c r="E1092">
        <v>0.39054179999999999</v>
      </c>
      <c r="F1092" t="s">
        <v>41</v>
      </c>
      <c r="G1092">
        <v>-250.78870000000001</v>
      </c>
      <c r="H1092" s="1">
        <v>-4.0702950000000003E-6</v>
      </c>
      <c r="I1092">
        <v>370.12880000000001</v>
      </c>
      <c r="J1092">
        <v>-261.66699999999997</v>
      </c>
      <c r="K1092">
        <v>1.1208979999999999</v>
      </c>
      <c r="L1092">
        <v>367.38749999999999</v>
      </c>
      <c r="M1092">
        <v>0.99980659999999999</v>
      </c>
      <c r="N1092">
        <v>-1.295688E-2</v>
      </c>
      <c r="O1092">
        <v>1.479858E-2</v>
      </c>
      <c r="P1092">
        <v>0.98562939999999999</v>
      </c>
      <c r="Q1092">
        <v>0.16587449999999901</v>
      </c>
      <c r="R1092">
        <v>-3.1942859999999997E-2</v>
      </c>
      <c r="S1092">
        <v>3.1241460000000001</v>
      </c>
      <c r="T1092">
        <v>-0.31426549999999998</v>
      </c>
      <c r="U1092">
        <v>0.76971440000000002</v>
      </c>
      <c r="V1092">
        <v>4.6510629999999997E-2</v>
      </c>
      <c r="W1092">
        <v>0.17862809999999901</v>
      </c>
      <c r="X1092">
        <v>0.98281680000000005</v>
      </c>
      <c r="Y1092">
        <v>-0.2236718</v>
      </c>
      <c r="Z1092">
        <v>1.1257949999999999E-2</v>
      </c>
      <c r="AA1092">
        <v>0.97459949999999995</v>
      </c>
      <c r="AB1092">
        <v>26</v>
      </c>
      <c r="AC1092">
        <v>10.878299999999999</v>
      </c>
      <c r="AD1092">
        <v>-1.1209020702950001</v>
      </c>
      <c r="AE1092">
        <v>2.7413000000000198</v>
      </c>
      <c r="AF1092">
        <v>-2.5545004839090102</v>
      </c>
      <c r="AG1092">
        <v>-1.1209020702950001</v>
      </c>
      <c r="AH1092">
        <v>10.809762069091899</v>
      </c>
      <c r="AI1092">
        <v>95.762440290840104</v>
      </c>
      <c r="AJ1092">
        <v>103.29588872394901</v>
      </c>
      <c r="AK1092">
        <v>11.163908373139799</v>
      </c>
      <c r="AL1092">
        <v>79.710139811121195</v>
      </c>
      <c r="AM1092">
        <v>87.290567161065596</v>
      </c>
      <c r="AN1092">
        <v>1.0000000495874199</v>
      </c>
    </row>
    <row r="1093" spans="1:40" x14ac:dyDescent="0.25">
      <c r="A1093" t="str">
        <f>"20190303162232859"</f>
        <v>20190303162232859</v>
      </c>
      <c r="B1093" t="str">
        <f>"1551601352855807"</f>
        <v>1551601352855807</v>
      </c>
      <c r="C1093" t="s">
        <v>40</v>
      </c>
      <c r="D1093">
        <v>5.5968589999999896</v>
      </c>
      <c r="E1093">
        <v>0.39080179999999998</v>
      </c>
      <c r="F1093" t="s">
        <v>41</v>
      </c>
      <c r="G1093">
        <v>-250.52080000000001</v>
      </c>
      <c r="H1093" s="1">
        <v>-4.1935650000000001E-6</v>
      </c>
      <c r="I1093">
        <v>370.16019999999997</v>
      </c>
      <c r="J1093">
        <v>-261.51870000000002</v>
      </c>
      <c r="K1093">
        <v>1.1208990000000001</v>
      </c>
      <c r="L1093">
        <v>367.3897</v>
      </c>
      <c r="M1093">
        <v>0.99980599999999997</v>
      </c>
      <c r="N1093">
        <v>-1.295571E-2</v>
      </c>
      <c r="O1093">
        <v>1.484007E-2</v>
      </c>
      <c r="P1093">
        <v>0.98561100000000001</v>
      </c>
      <c r="Q1093">
        <v>0.16626170000000001</v>
      </c>
      <c r="R1093">
        <v>-3.0468930000000002E-2</v>
      </c>
      <c r="S1093">
        <v>3.1217350000000001</v>
      </c>
      <c r="T1093">
        <v>-0.31393110000000002</v>
      </c>
      <c r="U1093">
        <v>0.77655030000000003</v>
      </c>
      <c r="V1093">
        <v>4.5077409999999998E-2</v>
      </c>
      <c r="W1093">
        <v>0.1790138</v>
      </c>
      <c r="X1093">
        <v>0.98281339999999995</v>
      </c>
      <c r="Y1093">
        <v>-0.22580649999999999</v>
      </c>
      <c r="Z1093">
        <v>1.1368639999999999E-2</v>
      </c>
      <c r="AA1093">
        <v>0.97410580000000002</v>
      </c>
      <c r="AB1093">
        <v>26</v>
      </c>
      <c r="AC1093">
        <v>10.9979</v>
      </c>
      <c r="AD1093">
        <v>-1.12090319356499</v>
      </c>
      <c r="AE1093">
        <v>2.77049999999997</v>
      </c>
      <c r="AF1093">
        <v>-2.58175357401436</v>
      </c>
      <c r="AG1093">
        <v>-1.12090319356499</v>
      </c>
      <c r="AH1093">
        <v>10.9310346673127</v>
      </c>
      <c r="AI1093">
        <v>95.699101528681297</v>
      </c>
      <c r="AJ1093">
        <v>103.28891189299</v>
      </c>
      <c r="AK1093">
        <v>11.287576993503601</v>
      </c>
      <c r="AL1093">
        <v>79.687678761301498</v>
      </c>
      <c r="AM1093">
        <v>87.373930236131699</v>
      </c>
      <c r="AN1093">
        <v>1.00000004635115</v>
      </c>
    </row>
    <row r="1094" spans="1:40" x14ac:dyDescent="0.25">
      <c r="A1094" t="str">
        <f>"20190303162232871"</f>
        <v>20190303162232871</v>
      </c>
      <c r="B1094" t="str">
        <f>"1551601352865566"</f>
        <v>1551601352865566</v>
      </c>
      <c r="C1094" t="s">
        <v>40</v>
      </c>
      <c r="D1094">
        <v>5.5880109999999998</v>
      </c>
      <c r="E1094">
        <v>0.39094849999999998</v>
      </c>
      <c r="F1094" t="s">
        <v>41</v>
      </c>
      <c r="G1094">
        <v>-250.31620000000001</v>
      </c>
      <c r="H1094" s="1">
        <v>-4.2692419999999996E-6</v>
      </c>
      <c r="I1094">
        <v>370.18470000000002</v>
      </c>
      <c r="J1094">
        <v>-261.38569999999999</v>
      </c>
      <c r="K1094">
        <v>1.1209070000000001</v>
      </c>
      <c r="L1094">
        <v>367.39179999999999</v>
      </c>
      <c r="M1094">
        <v>0.99980559999999996</v>
      </c>
      <c r="N1094">
        <v>-1.295469E-2</v>
      </c>
      <c r="O1094">
        <v>1.487721E-2</v>
      </c>
      <c r="P1094">
        <v>0.98560429999999999</v>
      </c>
      <c r="Q1094">
        <v>0.16653999999999999</v>
      </c>
      <c r="R1094">
        <v>-2.9140240000000001E-2</v>
      </c>
      <c r="S1094">
        <v>3.1205440000000002</v>
      </c>
      <c r="T1094">
        <v>-0.31223440000000002</v>
      </c>
      <c r="U1094">
        <v>0.77856449999999999</v>
      </c>
      <c r="V1094">
        <v>4.3785449999999997E-2</v>
      </c>
      <c r="W1094">
        <v>0.17929100000000001</v>
      </c>
      <c r="X1094">
        <v>0.98282119999999995</v>
      </c>
      <c r="Y1094">
        <v>-0.22645699999999999</v>
      </c>
      <c r="Z1094">
        <v>1.1352370000000001E-2</v>
      </c>
      <c r="AA1094">
        <v>0.97395500000000002</v>
      </c>
      <c r="AB1094">
        <v>26</v>
      </c>
      <c r="AC1094">
        <v>11.0694999999999</v>
      </c>
      <c r="AD1094">
        <v>-1.12091126924199</v>
      </c>
      <c r="AE1094">
        <v>2.7929000000000301</v>
      </c>
      <c r="AF1094">
        <v>-2.60280235152891</v>
      </c>
      <c r="AG1094">
        <v>-1.12091126924199</v>
      </c>
      <c r="AH1094">
        <v>11.003750808415001</v>
      </c>
      <c r="AI1094">
        <v>95.661282820251003</v>
      </c>
      <c r="AJ1094">
        <v>103.30801756877101</v>
      </c>
      <c r="AK1094">
        <v>11.3628145284666</v>
      </c>
      <c r="AL1094">
        <v>79.671534390537403</v>
      </c>
      <c r="AM1094">
        <v>87.449115143045802</v>
      </c>
      <c r="AN1094">
        <v>0.99999996974106997</v>
      </c>
    </row>
    <row r="1095" spans="1:40" x14ac:dyDescent="0.25">
      <c r="A1095" t="str">
        <f>"20190303162232884"</f>
        <v>20190303162232884</v>
      </c>
      <c r="B1095" t="str">
        <f>"1551601352875326"</f>
        <v>1551601352875326</v>
      </c>
      <c r="C1095" t="s">
        <v>40</v>
      </c>
      <c r="D1095">
        <v>5.5751970000000002</v>
      </c>
      <c r="E1095">
        <v>0.39119569999999998</v>
      </c>
      <c r="F1095" t="s">
        <v>41</v>
      </c>
      <c r="G1095">
        <v>-250.12</v>
      </c>
      <c r="H1095" s="1">
        <v>-4.3412409999999997E-6</v>
      </c>
      <c r="I1095">
        <v>370.21420000000001</v>
      </c>
      <c r="J1095">
        <v>-261.23660000000001</v>
      </c>
      <c r="K1095">
        <v>1.120908</v>
      </c>
      <c r="L1095">
        <v>367.39400000000001</v>
      </c>
      <c r="M1095">
        <v>0.9998049</v>
      </c>
      <c r="N1095">
        <v>-1.2953559999999999E-2</v>
      </c>
      <c r="O1095">
        <v>1.491923E-2</v>
      </c>
      <c r="P1095">
        <v>0.9856007</v>
      </c>
      <c r="Q1095">
        <v>0.166764299999999</v>
      </c>
      <c r="R1095">
        <v>-2.7950949999999999E-2</v>
      </c>
      <c r="S1095">
        <v>3.119354</v>
      </c>
      <c r="T1095">
        <v>-0.31036760000000002</v>
      </c>
      <c r="U1095">
        <v>0.78152469999999996</v>
      </c>
      <c r="V1095">
        <v>4.2637540000000002E-2</v>
      </c>
      <c r="W1095">
        <v>0.17951429999999999</v>
      </c>
      <c r="X1095">
        <v>0.98283089999999995</v>
      </c>
      <c r="Y1095">
        <v>-0.22738069999999999</v>
      </c>
      <c r="Z1095">
        <v>1.134493E-2</v>
      </c>
      <c r="AA1095">
        <v>0.97373989999999999</v>
      </c>
      <c r="AB1095">
        <v>26</v>
      </c>
      <c r="AC1095">
        <v>11.1166</v>
      </c>
      <c r="AD1095">
        <v>-1.120912341241</v>
      </c>
      <c r="AE1095">
        <v>2.8201999999999998</v>
      </c>
      <c r="AF1095">
        <v>-2.6289087642094202</v>
      </c>
      <c r="AG1095">
        <v>-1.120912341241</v>
      </c>
      <c r="AH1095">
        <v>11.051869806499299</v>
      </c>
      <c r="AI1095">
        <v>95.635123079328693</v>
      </c>
      <c r="AJ1095">
        <v>103.380286701111</v>
      </c>
      <c r="AK1095">
        <v>11.4154032774622</v>
      </c>
      <c r="AL1095">
        <v>79.658529150668599</v>
      </c>
      <c r="AM1095">
        <v>87.515930513019796</v>
      </c>
      <c r="AN1095">
        <v>0.99999996085827503</v>
      </c>
    </row>
    <row r="1096" spans="1:40" x14ac:dyDescent="0.25">
      <c r="A1096" t="str">
        <f>"20190303162232896"</f>
        <v>20190303162232896</v>
      </c>
      <c r="B1096" t="str">
        <f>"1551601352885087"</f>
        <v>1551601352885087</v>
      </c>
      <c r="C1096" t="s">
        <v>40</v>
      </c>
      <c r="D1096">
        <v>5.5660999999999996</v>
      </c>
      <c r="E1096">
        <v>0.39144010000000001</v>
      </c>
      <c r="F1096" t="s">
        <v>41</v>
      </c>
      <c r="G1096">
        <v>-249.94380000000001</v>
      </c>
      <c r="H1096" s="1">
        <v>-1.7059590000000001E-7</v>
      </c>
      <c r="I1096">
        <v>370.23090000000002</v>
      </c>
      <c r="J1096">
        <v>-261.08499999999998</v>
      </c>
      <c r="K1096">
        <v>1.120911</v>
      </c>
      <c r="L1096">
        <v>367.3963</v>
      </c>
      <c r="M1096">
        <v>0.99980420000000003</v>
      </c>
      <c r="N1096">
        <v>-1.2952399999999999E-2</v>
      </c>
      <c r="O1096">
        <v>1.496192E-2</v>
      </c>
      <c r="P1096">
        <v>0.98559569999999996</v>
      </c>
      <c r="Q1096">
        <v>0.16704479999999999</v>
      </c>
      <c r="R1096">
        <v>-2.6409040000000002E-2</v>
      </c>
      <c r="S1096">
        <v>3.118439</v>
      </c>
      <c r="T1096">
        <v>-0.30953059999999899</v>
      </c>
      <c r="U1096">
        <v>0.78338619999999903</v>
      </c>
      <c r="V1096">
        <v>4.1137680000000003E-2</v>
      </c>
      <c r="W1096">
        <v>0.17979389999999901</v>
      </c>
      <c r="X1096">
        <v>0.98284380000000005</v>
      </c>
      <c r="Y1096">
        <v>-0.22795579999999999</v>
      </c>
      <c r="Z1096">
        <v>1.134921E-2</v>
      </c>
      <c r="AA1096">
        <v>0.97360530000000001</v>
      </c>
      <c r="AB1096">
        <v>26</v>
      </c>
      <c r="AC1096">
        <v>11.1411999999999</v>
      </c>
      <c r="AD1096">
        <v>-1.1209111705959001</v>
      </c>
      <c r="AE1096">
        <v>2.83460000000002</v>
      </c>
      <c r="AF1096">
        <v>-2.6424534378204401</v>
      </c>
      <c r="AG1096">
        <v>-1.1209111705959001</v>
      </c>
      <c r="AH1096">
        <v>11.077059012308499</v>
      </c>
      <c r="AI1096">
        <v>95.621526609952795</v>
      </c>
      <c r="AJ1096">
        <v>103.41725613741001</v>
      </c>
      <c r="AK1096">
        <v>11.4429121461969</v>
      </c>
      <c r="AL1096">
        <v>79.642245176006895</v>
      </c>
      <c r="AM1096">
        <v>87.603240244807793</v>
      </c>
      <c r="AN1096">
        <v>1.0000000451957101</v>
      </c>
    </row>
    <row r="1097" spans="1:40" x14ac:dyDescent="0.25">
      <c r="A1097" t="str">
        <f>"20190303162232913"</f>
        <v>20190303162232913</v>
      </c>
      <c r="B1097" t="str">
        <f>"1551601352905582"</f>
        <v>1551601352905582</v>
      </c>
      <c r="C1097" t="s">
        <v>40</v>
      </c>
      <c r="D1097">
        <v>5.496931</v>
      </c>
      <c r="E1097">
        <v>0.3917696</v>
      </c>
      <c r="F1097" t="s">
        <v>41</v>
      </c>
      <c r="G1097">
        <v>-249.72730000000001</v>
      </c>
      <c r="H1097" s="1">
        <v>-2.8080199999999998E-7</v>
      </c>
      <c r="I1097">
        <v>370.26049999999998</v>
      </c>
      <c r="J1097">
        <v>-260.90539999999999</v>
      </c>
      <c r="K1097">
        <v>1.1209169999999999</v>
      </c>
      <c r="L1097">
        <v>367.399</v>
      </c>
      <c r="M1097">
        <v>0.99980349999999996</v>
      </c>
      <c r="N1097">
        <v>-1.2950980000000001E-2</v>
      </c>
      <c r="O1097">
        <v>1.5012289999999999E-2</v>
      </c>
      <c r="P1097">
        <v>0.98567280000000002</v>
      </c>
      <c r="Q1097">
        <v>0.16693559999999999</v>
      </c>
      <c r="R1097">
        <v>-2.412075E-2</v>
      </c>
      <c r="S1097">
        <v>3.1170040000000001</v>
      </c>
      <c r="T1097">
        <v>-0.30762240000000002</v>
      </c>
      <c r="U1097">
        <v>0.78604130000000005</v>
      </c>
      <c r="V1097">
        <v>3.890072E-2</v>
      </c>
      <c r="W1097">
        <v>0.1796846</v>
      </c>
      <c r="X1097">
        <v>0.98295480000000002</v>
      </c>
      <c r="Y1097">
        <v>-0.22880059999999999</v>
      </c>
      <c r="Z1097">
        <v>1.133546E-2</v>
      </c>
      <c r="AA1097">
        <v>0.97340729999999998</v>
      </c>
      <c r="AB1097">
        <v>26</v>
      </c>
      <c r="AC1097">
        <v>11.178099999999899</v>
      </c>
      <c r="AD1097">
        <v>-1.120917280802</v>
      </c>
      <c r="AE1097">
        <v>2.8614999999999702</v>
      </c>
      <c r="AF1097">
        <v>-2.6681743506359701</v>
      </c>
      <c r="AG1097">
        <v>-1.120917280802</v>
      </c>
      <c r="AH1097">
        <v>11.1149073953344</v>
      </c>
      <c r="AI1097">
        <v>95.600644626521301</v>
      </c>
      <c r="AJ1097">
        <v>103.498641021336</v>
      </c>
      <c r="AK1097">
        <v>11.485502876350299</v>
      </c>
      <c r="AL1097">
        <v>79.648610600421506</v>
      </c>
      <c r="AM1097">
        <v>87.733685659888494</v>
      </c>
      <c r="AN1097">
        <v>0.999999980168359</v>
      </c>
    </row>
    <row r="1098" spans="1:40" x14ac:dyDescent="0.25">
      <c r="A1098" t="str">
        <f>"20190303162232926"</f>
        <v>20190303162232926</v>
      </c>
      <c r="B1098" t="str">
        <f>"1551601352915342"</f>
        <v>1551601352915342</v>
      </c>
      <c r="C1098" t="s">
        <v>40</v>
      </c>
      <c r="D1098">
        <v>5.4834269999999998</v>
      </c>
      <c r="E1098">
        <v>0.3919783</v>
      </c>
      <c r="F1098" t="s">
        <v>41</v>
      </c>
      <c r="G1098">
        <v>-249.5325</v>
      </c>
      <c r="H1098" s="1">
        <v>-3.7942559999999998E-7</v>
      </c>
      <c r="I1098">
        <v>370.28519999999997</v>
      </c>
      <c r="J1098">
        <v>-260.75380000000001</v>
      </c>
      <c r="K1098">
        <v>1.1209150000000001</v>
      </c>
      <c r="L1098">
        <v>367.40140000000002</v>
      </c>
      <c r="M1098">
        <v>0.99980290000000005</v>
      </c>
      <c r="N1098">
        <v>-1.294971E-2</v>
      </c>
      <c r="O1098">
        <v>1.505479E-2</v>
      </c>
      <c r="P1098">
        <v>0.98564719999999995</v>
      </c>
      <c r="Q1098">
        <v>0.16725670000000001</v>
      </c>
      <c r="R1098">
        <v>-2.2915890000000001E-2</v>
      </c>
      <c r="S1098">
        <v>3.11496</v>
      </c>
      <c r="T1098">
        <v>-0.30701260000000002</v>
      </c>
      <c r="U1098">
        <v>0.7904968</v>
      </c>
      <c r="V1098">
        <v>3.7737390000000003E-2</v>
      </c>
      <c r="W1098">
        <v>0.180004</v>
      </c>
      <c r="X1098">
        <v>0.98294170000000003</v>
      </c>
      <c r="Y1098">
        <v>-0.23021510000000001</v>
      </c>
      <c r="Z1098">
        <v>1.139518E-2</v>
      </c>
      <c r="AA1098">
        <v>0.97307310000000002</v>
      </c>
      <c r="AB1098">
        <v>26</v>
      </c>
      <c r="AC1098">
        <v>11.221299999999999</v>
      </c>
      <c r="AD1098">
        <v>-1.1209153794255999</v>
      </c>
      <c r="AE1098">
        <v>2.8837999999999502</v>
      </c>
      <c r="AF1098">
        <v>-2.68935188005171</v>
      </c>
      <c r="AG1098">
        <v>-1.1209153794255999</v>
      </c>
      <c r="AH1098">
        <v>11.158996664828299</v>
      </c>
      <c r="AI1098">
        <v>95.577450437595004</v>
      </c>
      <c r="AJ1098">
        <v>103.55005971228</v>
      </c>
      <c r="AK1098">
        <v>11.5330946145525</v>
      </c>
      <c r="AL1098">
        <v>79.630006871460196</v>
      </c>
      <c r="AM1098">
        <v>87.801363213620306</v>
      </c>
      <c r="AN1098">
        <v>0.99999996810945002</v>
      </c>
    </row>
    <row r="1099" spans="1:40" x14ac:dyDescent="0.25">
      <c r="A1099" t="str">
        <f>"20190303162232938"</f>
        <v>20190303162232938</v>
      </c>
      <c r="B1099" t="str">
        <f>"1551601352925102"</f>
        <v>1551601352925102</v>
      </c>
      <c r="C1099" t="s">
        <v>40</v>
      </c>
      <c r="D1099">
        <v>5.4760210000000002</v>
      </c>
      <c r="E1099">
        <v>0.3921925</v>
      </c>
      <c r="F1099" t="s">
        <v>41</v>
      </c>
      <c r="G1099">
        <v>-249.33199999999999</v>
      </c>
      <c r="H1099" s="1">
        <v>-4.8006209999999896E-7</v>
      </c>
      <c r="I1099">
        <v>370.30720000000002</v>
      </c>
      <c r="J1099">
        <v>-260.60500000000002</v>
      </c>
      <c r="K1099">
        <v>1.1209129999999901</v>
      </c>
      <c r="L1099">
        <v>367.40370000000001</v>
      </c>
      <c r="M1099">
        <v>0.99980239999999998</v>
      </c>
      <c r="N1099">
        <v>-1.2948380000000001E-2</v>
      </c>
      <c r="O1099">
        <v>1.5096460000000001E-2</v>
      </c>
      <c r="P1099">
        <v>0.98569240000000002</v>
      </c>
      <c r="Q1099">
        <v>0.1670951</v>
      </c>
      <c r="R1099">
        <v>-2.2134910000000001E-2</v>
      </c>
      <c r="S1099">
        <v>3.113953</v>
      </c>
      <c r="T1099">
        <v>-0.30559890000000001</v>
      </c>
      <c r="U1099">
        <v>0.7922363</v>
      </c>
      <c r="V1099">
        <v>3.6998240000000002E-2</v>
      </c>
      <c r="W1099">
        <v>0.17984169999999999</v>
      </c>
      <c r="X1099">
        <v>0.98299959999999997</v>
      </c>
      <c r="Y1099">
        <v>-0.23076669999999999</v>
      </c>
      <c r="Z1099">
        <v>1.1379770000000001E-2</v>
      </c>
      <c r="AA1099">
        <v>0.97294250000000004</v>
      </c>
      <c r="AB1099">
        <v>26</v>
      </c>
      <c r="AC1099">
        <v>11.273</v>
      </c>
      <c r="AD1099">
        <v>-1.1209134800620999</v>
      </c>
      <c r="AE1099">
        <v>2.9035000000000002</v>
      </c>
      <c r="AF1099">
        <v>-2.70786530248095</v>
      </c>
      <c r="AG1099">
        <v>-1.1209134800620999</v>
      </c>
      <c r="AH1099">
        <v>11.2115982202662</v>
      </c>
      <c r="AI1099">
        <v>95.5507824541492</v>
      </c>
      <c r="AJ1099">
        <v>103.578244894104</v>
      </c>
      <c r="AK1099">
        <v>11.588309461644601</v>
      </c>
      <c r="AL1099">
        <v>79.639461213826095</v>
      </c>
      <c r="AM1099">
        <v>87.844513016490097</v>
      </c>
      <c r="AN1099">
        <v>1.0000000602110699</v>
      </c>
    </row>
    <row r="1100" spans="1:40" x14ac:dyDescent="0.25">
      <c r="A1100" t="str">
        <f>"20190303162232950"</f>
        <v>20190303162232950</v>
      </c>
      <c r="B1100" t="str">
        <f>"1551601352945598"</f>
        <v>1551601352945598</v>
      </c>
      <c r="C1100" t="s">
        <v>40</v>
      </c>
      <c r="D1100">
        <v>5.4367979999999996</v>
      </c>
      <c r="E1100">
        <v>0.39272410000000002</v>
      </c>
      <c r="F1100" t="s">
        <v>41</v>
      </c>
      <c r="G1100">
        <v>-249.16139999999999</v>
      </c>
      <c r="H1100" s="1">
        <v>-5.6389049999999996E-7</v>
      </c>
      <c r="I1100">
        <v>370.31909999999999</v>
      </c>
      <c r="J1100">
        <v>-260.4751</v>
      </c>
      <c r="K1100">
        <v>1.1209129999999901</v>
      </c>
      <c r="L1100">
        <v>367.40570000000002</v>
      </c>
      <c r="M1100">
        <v>0.99980170000000002</v>
      </c>
      <c r="N1100">
        <v>-1.2947139999999999E-2</v>
      </c>
      <c r="O1100">
        <v>1.5132949999999999E-2</v>
      </c>
      <c r="P1100">
        <v>0.98571189999999997</v>
      </c>
      <c r="Q1100">
        <v>0.1670635</v>
      </c>
      <c r="R1100">
        <v>-2.148984E-2</v>
      </c>
      <c r="S1100">
        <v>3.1130070000000001</v>
      </c>
      <c r="T1100">
        <v>-0.3049231</v>
      </c>
      <c r="U1100">
        <v>0.79309079999999998</v>
      </c>
      <c r="V1100">
        <v>3.6389610000000003E-2</v>
      </c>
      <c r="W1100">
        <v>0.17980929999999901</v>
      </c>
      <c r="X1100">
        <v>0.98302820000000002</v>
      </c>
      <c r="Y1100">
        <v>-0.2310555</v>
      </c>
      <c r="Z1100">
        <v>1.1373629999999999E-2</v>
      </c>
      <c r="AA1100">
        <v>0.97287409999999996</v>
      </c>
      <c r="AB1100">
        <v>26</v>
      </c>
      <c r="AC1100">
        <v>11.313700000000001</v>
      </c>
      <c r="AD1100">
        <v>-1.1209135638904999</v>
      </c>
      <c r="AE1100">
        <v>2.9133999999999598</v>
      </c>
      <c r="AF1100">
        <v>-2.71683233824937</v>
      </c>
      <c r="AG1100">
        <v>-1.1209135638904999</v>
      </c>
      <c r="AH1100">
        <v>11.2529068577894</v>
      </c>
      <c r="AI1100">
        <v>95.530645452393301</v>
      </c>
      <c r="AJ1100">
        <v>103.573385809671</v>
      </c>
      <c r="AK1100">
        <v>11.6303713578697</v>
      </c>
      <c r="AL1100">
        <v>79.641347887146395</v>
      </c>
      <c r="AM1100">
        <v>87.880000296705106</v>
      </c>
      <c r="AN1100">
        <v>1.00000001503884</v>
      </c>
    </row>
    <row r="1101" spans="1:40" x14ac:dyDescent="0.25">
      <c r="A1101" t="str">
        <f>"20190303162232969"</f>
        <v>20190303162232969</v>
      </c>
      <c r="B1101" t="str">
        <f>"1551601352955358"</f>
        <v>1551601352955358</v>
      </c>
      <c r="C1101" t="s">
        <v>40</v>
      </c>
      <c r="D1101">
        <v>5.4208530000000001</v>
      </c>
      <c r="E1101">
        <v>0.39297559999999998</v>
      </c>
      <c r="F1101" t="s">
        <v>41</v>
      </c>
      <c r="G1101">
        <v>-248.94380000000001</v>
      </c>
      <c r="H1101" s="1">
        <v>-6.7120409999999997E-7</v>
      </c>
      <c r="I1101">
        <v>370.33589999999998</v>
      </c>
      <c r="J1101">
        <v>-260.26670000000001</v>
      </c>
      <c r="K1101">
        <v>1.120914</v>
      </c>
      <c r="L1101">
        <v>367.40890000000002</v>
      </c>
      <c r="M1101">
        <v>0.99980080000000005</v>
      </c>
      <c r="N1101">
        <v>-1.2945089999999999E-2</v>
      </c>
      <c r="O1101">
        <v>1.519131E-2</v>
      </c>
      <c r="P1101">
        <v>0.98570420000000003</v>
      </c>
      <c r="Q1101">
        <v>0.16726350000000001</v>
      </c>
      <c r="R1101">
        <v>-2.0255209999999999E-2</v>
      </c>
      <c r="S1101">
        <v>3.1120299999999999</v>
      </c>
      <c r="T1101">
        <v>-0.30251040000000001</v>
      </c>
      <c r="U1101">
        <v>0.790802</v>
      </c>
      <c r="V1101">
        <v>3.5212529999999999E-2</v>
      </c>
      <c r="W1101">
        <v>0.18000729999999901</v>
      </c>
      <c r="X1101">
        <v>0.98303479999999999</v>
      </c>
      <c r="Y1101">
        <v>-0.23041880000000001</v>
      </c>
      <c r="Z1101">
        <v>1.1261470000000001E-2</v>
      </c>
      <c r="AA1101">
        <v>0.97302639999999996</v>
      </c>
      <c r="AB1101">
        <v>26</v>
      </c>
      <c r="AC1101">
        <v>11.322900000000001</v>
      </c>
      <c r="AD1101">
        <v>-1.1209146712041</v>
      </c>
      <c r="AE1101">
        <v>2.9269999999999601</v>
      </c>
      <c r="AF1101">
        <v>-2.7295636950017999</v>
      </c>
      <c r="AG1101">
        <v>-1.1209146712041</v>
      </c>
      <c r="AH1101">
        <v>11.2626010692072</v>
      </c>
      <c r="AI1101">
        <v>95.524762161118005</v>
      </c>
      <c r="AJ1101">
        <v>103.623324658485</v>
      </c>
      <c r="AK1101">
        <v>11.6427295128462</v>
      </c>
      <c r="AL1101">
        <v>79.629814824005805</v>
      </c>
      <c r="AM1101">
        <v>87.9485292596232</v>
      </c>
      <c r="AN1101">
        <v>0.99999998416666502</v>
      </c>
    </row>
    <row r="1102" spans="1:40" x14ac:dyDescent="0.25">
      <c r="A1102" t="str">
        <f>"20190303162232980"</f>
        <v>20190303162232980</v>
      </c>
      <c r="B1102" t="str">
        <f>"1551601352975854"</f>
        <v>1551601352975854</v>
      </c>
      <c r="C1102" t="s">
        <v>40</v>
      </c>
      <c r="D1102">
        <v>5.3779640000000004</v>
      </c>
      <c r="E1102">
        <v>0.39348509999999998</v>
      </c>
      <c r="F1102" t="s">
        <v>41</v>
      </c>
      <c r="G1102">
        <v>-248.68049999999999</v>
      </c>
      <c r="H1102" s="1">
        <v>-8.0231319999999995E-7</v>
      </c>
      <c r="I1102">
        <v>370.36070000000001</v>
      </c>
      <c r="J1102">
        <v>-260.11950000000002</v>
      </c>
      <c r="K1102">
        <v>1.120914</v>
      </c>
      <c r="L1102">
        <v>367.41120000000001</v>
      </c>
      <c r="M1102">
        <v>0.99980009999999997</v>
      </c>
      <c r="N1102">
        <v>-1.2943609999999999E-2</v>
      </c>
      <c r="O1102">
        <v>1.523268E-2</v>
      </c>
      <c r="P1102">
        <v>0.98570009999999997</v>
      </c>
      <c r="Q1102">
        <v>0.16733100000000001</v>
      </c>
      <c r="R1102">
        <v>-1.9894660000000002E-2</v>
      </c>
      <c r="S1102">
        <v>3.1109010000000001</v>
      </c>
      <c r="T1102">
        <v>-0.30096610000000001</v>
      </c>
      <c r="U1102">
        <v>0.79257200000000005</v>
      </c>
      <c r="V1102">
        <v>3.4892520000000003E-2</v>
      </c>
      <c r="W1102">
        <v>0.18007339999999999</v>
      </c>
      <c r="X1102">
        <v>0.98303410000000002</v>
      </c>
      <c r="Y1102">
        <v>-0.23099</v>
      </c>
      <c r="Z1102">
        <v>1.1243E-2</v>
      </c>
      <c r="AA1102">
        <v>0.97289119999999996</v>
      </c>
      <c r="AB1102">
        <v>26</v>
      </c>
      <c r="AC1102">
        <v>11.439</v>
      </c>
      <c r="AD1102">
        <v>-1.1209148023131901</v>
      </c>
      <c r="AE1102">
        <v>2.9495</v>
      </c>
      <c r="AF1102">
        <v>-2.7501354641240199</v>
      </c>
      <c r="AG1102">
        <v>-1.1209148023131901</v>
      </c>
      <c r="AH1102">
        <v>11.380143272548899</v>
      </c>
      <c r="AI1102">
        <v>95.468911063164498</v>
      </c>
      <c r="AJ1102">
        <v>103.585678076311</v>
      </c>
      <c r="AK1102">
        <v>11.7612650666847</v>
      </c>
      <c r="AL1102">
        <v>79.625964609815796</v>
      </c>
      <c r="AM1102">
        <v>87.967155779910996</v>
      </c>
      <c r="AN1102">
        <v>0.99999997955116005</v>
      </c>
    </row>
    <row r="1103" spans="1:40" x14ac:dyDescent="0.25">
      <c r="A1103" t="str">
        <f>"20190303162233004"</f>
        <v>20190303162233004</v>
      </c>
      <c r="B1103" t="str">
        <f>"1551601352995374"</f>
        <v>1551601352995374</v>
      </c>
      <c r="C1103" t="s">
        <v>40</v>
      </c>
      <c r="D1103">
        <v>5.4150660000000004</v>
      </c>
      <c r="E1103">
        <v>0.3940091</v>
      </c>
      <c r="F1103" t="s">
        <v>41</v>
      </c>
      <c r="G1103">
        <v>-248.46</v>
      </c>
      <c r="H1103" s="1">
        <v>-9.09161E-7</v>
      </c>
      <c r="I1103">
        <v>370.37060000000002</v>
      </c>
      <c r="J1103">
        <v>-259.8682</v>
      </c>
      <c r="K1103">
        <v>1.1209150000000001</v>
      </c>
      <c r="L1103">
        <v>367.4151</v>
      </c>
      <c r="M1103">
        <v>0.99979929999999995</v>
      </c>
      <c r="N1103">
        <v>-1.2941080000000001E-2</v>
      </c>
      <c r="O1103">
        <v>1.5302909999999999E-2</v>
      </c>
      <c r="P1103">
        <v>0.98563920000000005</v>
      </c>
      <c r="Q1103">
        <v>0.16773080000000001</v>
      </c>
      <c r="R1103">
        <v>-1.9550310000000001E-2</v>
      </c>
      <c r="S1103">
        <v>3.1101990000000002</v>
      </c>
      <c r="T1103">
        <v>-0.29900559999999998</v>
      </c>
      <c r="U1103">
        <v>0.78942869999999998</v>
      </c>
      <c r="V1103">
        <v>3.4616630000000002E-2</v>
      </c>
      <c r="W1103">
        <v>0.18046980000000001</v>
      </c>
      <c r="X1103">
        <v>0.98297120000000004</v>
      </c>
      <c r="Y1103">
        <v>-0.23006799999999999</v>
      </c>
      <c r="Z1103">
        <v>1.1128559999999999E-2</v>
      </c>
      <c r="AA1103">
        <v>0.9731109</v>
      </c>
      <c r="AB1103">
        <v>26</v>
      </c>
      <c r="AC1103">
        <v>11.4081999999999</v>
      </c>
      <c r="AD1103">
        <v>-1.1209159091609999</v>
      </c>
      <c r="AE1103">
        <v>2.9555000000000202</v>
      </c>
      <c r="AF1103">
        <v>-2.7556306790949998</v>
      </c>
      <c r="AG1103">
        <v>-1.1209159091609999</v>
      </c>
      <c r="AH1103">
        <v>11.3494183277794</v>
      </c>
      <c r="AI1103">
        <v>95.482212212944106</v>
      </c>
      <c r="AJ1103">
        <v>103.64728882502</v>
      </c>
      <c r="AK1103">
        <v>11.7328278472803</v>
      </c>
      <c r="AL1103">
        <v>79.602874694421899</v>
      </c>
      <c r="AM1103">
        <v>87.983086905796299</v>
      </c>
      <c r="AN1103">
        <v>1.00000001990701</v>
      </c>
    </row>
    <row r="1104" spans="1:40" x14ac:dyDescent="0.25">
      <c r="A1104" t="str">
        <f>"20190303162233025"</f>
        <v>20190303162233025</v>
      </c>
      <c r="B1104" t="str">
        <f>"1551601353015870"</f>
        <v>1551601353015870</v>
      </c>
      <c r="C1104" t="s">
        <v>40</v>
      </c>
      <c r="D1104">
        <v>5.3502020000000003</v>
      </c>
      <c r="E1104">
        <v>0.40373730000000002</v>
      </c>
      <c r="F1104" t="s">
        <v>41</v>
      </c>
      <c r="G1104">
        <v>-248.08260000000001</v>
      </c>
      <c r="H1104" s="1">
        <v>-1.093647E-6</v>
      </c>
      <c r="I1104">
        <v>370.39359999999999</v>
      </c>
      <c r="J1104">
        <v>-259.62290000000002</v>
      </c>
      <c r="K1104">
        <v>1.1209169999999999</v>
      </c>
      <c r="L1104">
        <v>367.41899999999998</v>
      </c>
      <c r="M1104">
        <v>0.99979819999999997</v>
      </c>
      <c r="N1104">
        <v>-1.293864E-2</v>
      </c>
      <c r="O1104">
        <v>1.53717E-2</v>
      </c>
      <c r="P1104">
        <v>0.98568739999999999</v>
      </c>
      <c r="Q1104">
        <v>0.16747679999999901</v>
      </c>
      <c r="R1104">
        <v>-1.9286370000000001E-2</v>
      </c>
      <c r="S1104">
        <v>3.1096189999999999</v>
      </c>
      <c r="T1104">
        <v>-0.29575200000000001</v>
      </c>
      <c r="U1104">
        <v>0.78585819999999995</v>
      </c>
      <c r="V1104">
        <v>3.442137E-2</v>
      </c>
      <c r="W1104">
        <v>0.18021419999999999</v>
      </c>
      <c r="X1104">
        <v>0.98302500000000004</v>
      </c>
      <c r="Y1104">
        <v>-0.22902059999999999</v>
      </c>
      <c r="Z1104">
        <v>1.096755E-2</v>
      </c>
      <c r="AA1104">
        <v>0.9733598</v>
      </c>
      <c r="AB1104">
        <v>26</v>
      </c>
      <c r="AC1104">
        <v>11.5403</v>
      </c>
      <c r="AD1104">
        <v>-1.120918093647</v>
      </c>
      <c r="AE1104">
        <v>2.97459999999995</v>
      </c>
      <c r="AF1104">
        <v>-2.77231400128789</v>
      </c>
      <c r="AG1104">
        <v>-1.120918093647</v>
      </c>
      <c r="AH1104">
        <v>11.483078279278899</v>
      </c>
      <c r="AI1104">
        <v>95.420485298887101</v>
      </c>
      <c r="AJ1104">
        <v>103.572963821405</v>
      </c>
      <c r="AK1104">
        <v>11.8660553286443</v>
      </c>
      <c r="AL1104">
        <v>79.617764136390804</v>
      </c>
      <c r="AM1104">
        <v>87.994563944656804</v>
      </c>
      <c r="AN1104">
        <v>1.00000006960965</v>
      </c>
    </row>
    <row r="1105" spans="1:40" x14ac:dyDescent="0.25">
      <c r="A1105" t="str">
        <f>"20190303162233040"</f>
        <v>20190303162233040</v>
      </c>
      <c r="B1105" t="str">
        <f>"1551601353025630"</f>
        <v>1551601353025630</v>
      </c>
      <c r="C1105" t="s">
        <v>40</v>
      </c>
      <c r="D1105">
        <v>5.3276089999999998</v>
      </c>
      <c r="E1105">
        <v>0.40373730000000002</v>
      </c>
      <c r="F1105" t="s">
        <v>41</v>
      </c>
      <c r="G1105">
        <v>-244.48140000000001</v>
      </c>
      <c r="H1105" s="1">
        <v>-2.9281150000000002E-6</v>
      </c>
      <c r="I1105">
        <v>370.89019999999999</v>
      </c>
      <c r="J1105">
        <v>-259.45100000000002</v>
      </c>
      <c r="K1105">
        <v>1.1209169999999999</v>
      </c>
      <c r="L1105">
        <v>367.42169999999999</v>
      </c>
      <c r="M1105">
        <v>0.99979750000000001</v>
      </c>
      <c r="N1105">
        <v>-1.2936929999999999E-2</v>
      </c>
      <c r="O1105">
        <v>1.541987E-2</v>
      </c>
      <c r="P1105">
        <v>0.98574349999999999</v>
      </c>
      <c r="Q1105">
        <v>0.16711770000000001</v>
      </c>
      <c r="R1105">
        <v>-1.9542029999999998E-2</v>
      </c>
      <c r="S1105">
        <v>3.0964049999999999</v>
      </c>
      <c r="T1105">
        <v>-0.22922480000000001</v>
      </c>
      <c r="U1105">
        <v>0.70983890000000005</v>
      </c>
      <c r="V1105">
        <v>3.4725300000000001E-2</v>
      </c>
      <c r="W1105">
        <v>0.17985390000000001</v>
      </c>
      <c r="X1105">
        <v>0.98308019999999996</v>
      </c>
      <c r="Y1105">
        <v>-0.20778089999999999</v>
      </c>
      <c r="Z1105">
        <v>8.0177570000000004E-3</v>
      </c>
      <c r="AA1105">
        <v>0.97814259999999997</v>
      </c>
      <c r="AB1105">
        <v>26</v>
      </c>
      <c r="AC1105">
        <v>14.9695999999999</v>
      </c>
      <c r="AD1105">
        <v>-1.120919928115</v>
      </c>
      <c r="AE1105">
        <v>3.4685000000000001</v>
      </c>
      <c r="AF1105">
        <v>-3.2201038374887698</v>
      </c>
      <c r="AG1105">
        <v>-1.120919928115</v>
      </c>
      <c r="AH1105">
        <v>14.941798464586901</v>
      </c>
      <c r="AI1105">
        <v>94.194300155562004</v>
      </c>
      <c r="AJ1105">
        <v>102.16179549294699</v>
      </c>
      <c r="AK1105">
        <v>15.3258889323193</v>
      </c>
      <c r="AL1105">
        <v>79.638749733598203</v>
      </c>
      <c r="AM1105">
        <v>87.976984722461196</v>
      </c>
      <c r="AN1105">
        <v>0.99999997571866905</v>
      </c>
    </row>
    <row r="1106" spans="1:40" x14ac:dyDescent="0.25">
      <c r="A1106" t="str">
        <f>"20190303162233053"</f>
        <v>20190303162233053</v>
      </c>
      <c r="B1106" t="str">
        <f>"1551601353045151"</f>
        <v>1551601353045151</v>
      </c>
      <c r="C1106" t="s">
        <v>40</v>
      </c>
      <c r="D1106">
        <v>5.3015460000000001</v>
      </c>
      <c r="E1106">
        <v>0.38536629999999999</v>
      </c>
      <c r="F1106" t="s">
        <v>41</v>
      </c>
      <c r="G1106">
        <v>-244.38839999999999</v>
      </c>
      <c r="H1106" s="1">
        <v>-2.9665249999999999E-6</v>
      </c>
      <c r="I1106">
        <v>370.86939999999998</v>
      </c>
      <c r="J1106">
        <v>-259.29430000000002</v>
      </c>
      <c r="K1106">
        <v>1.1209150000000001</v>
      </c>
      <c r="L1106">
        <v>367.42410000000001</v>
      </c>
      <c r="M1106">
        <v>0.99979669999999998</v>
      </c>
      <c r="N1106">
        <v>-1.293536E-2</v>
      </c>
      <c r="O1106">
        <v>1.546405E-2</v>
      </c>
      <c r="P1106">
        <v>0.98572190000000004</v>
      </c>
      <c r="Q1106">
        <v>0.1672052</v>
      </c>
      <c r="R1106">
        <v>-1.9869060000000001E-2</v>
      </c>
      <c r="S1106">
        <v>3.0964969999999998</v>
      </c>
      <c r="T1106">
        <v>-0.23043430000000001</v>
      </c>
      <c r="U1106">
        <v>0.70877080000000003</v>
      </c>
      <c r="V1106">
        <v>3.5095580000000001E-2</v>
      </c>
      <c r="W1106">
        <v>0.17993979999999901</v>
      </c>
      <c r="X1106">
        <v>0.98305140000000002</v>
      </c>
      <c r="Y1106">
        <v>-0.20740610000000001</v>
      </c>
      <c r="Z1106">
        <v>8.0327019999999992E-3</v>
      </c>
      <c r="AA1106">
        <v>0.97822200000000004</v>
      </c>
      <c r="AB1106">
        <v>26</v>
      </c>
      <c r="AC1106">
        <v>14.905900000000001</v>
      </c>
      <c r="AD1106">
        <v>-1.120917966525</v>
      </c>
      <c r="AE1106">
        <v>3.4452999999999698</v>
      </c>
      <c r="AF1106">
        <v>-3.1971998956222798</v>
      </c>
      <c r="AG1106">
        <v>-1.120917966525</v>
      </c>
      <c r="AH1106">
        <v>14.877534620758601</v>
      </c>
      <c r="AI1106">
        <v>94.212870530956707</v>
      </c>
      <c r="AJ1106">
        <v>102.128468805297</v>
      </c>
      <c r="AK1106">
        <v>15.258426545752201</v>
      </c>
      <c r="AL1106">
        <v>79.633747106280694</v>
      </c>
      <c r="AM1106">
        <v>87.955371433738094</v>
      </c>
      <c r="AN1106">
        <v>1.0000000432007601</v>
      </c>
    </row>
    <row r="1107" spans="1:40" x14ac:dyDescent="0.25">
      <c r="A1107" t="str">
        <f>"20190303162233069"</f>
        <v>20190303162233069</v>
      </c>
      <c r="B1107" t="str">
        <f>"1551601353065646"</f>
        <v>1551601353065646</v>
      </c>
      <c r="C1107" t="s">
        <v>40</v>
      </c>
      <c r="D1107">
        <v>5.2823710000000004</v>
      </c>
      <c r="E1107">
        <v>0.3844245</v>
      </c>
      <c r="F1107" t="s">
        <v>41</v>
      </c>
      <c r="G1107">
        <v>-246.3493</v>
      </c>
      <c r="H1107" s="1">
        <v>-2.0702000000000001E-6</v>
      </c>
      <c r="I1107">
        <v>370.98430000000002</v>
      </c>
      <c r="J1107">
        <v>-259.11660000000001</v>
      </c>
      <c r="K1107">
        <v>1.1209180000000001</v>
      </c>
      <c r="L1107">
        <v>367.42689999999999</v>
      </c>
      <c r="M1107">
        <v>0.99979600000000002</v>
      </c>
      <c r="N1107">
        <v>-1.293356E-2</v>
      </c>
      <c r="O1107">
        <v>1.551377E-2</v>
      </c>
      <c r="P1107">
        <v>0.98584159999999998</v>
      </c>
      <c r="Q1107">
        <v>0.1663126</v>
      </c>
      <c r="R1107">
        <v>-2.1364600000000001E-2</v>
      </c>
      <c r="S1107">
        <v>3.1063230000000002</v>
      </c>
      <c r="T1107">
        <v>-0.26897779999999999</v>
      </c>
      <c r="U1107">
        <v>0.85430910000000004</v>
      </c>
      <c r="V1107">
        <v>3.6641890000000003E-2</v>
      </c>
      <c r="W1107">
        <v>0.1790466</v>
      </c>
      <c r="X1107">
        <v>0.98315799999999998</v>
      </c>
      <c r="Y1107">
        <v>-0.24922030000000001</v>
      </c>
      <c r="Z1107">
        <v>1.110001E-2</v>
      </c>
      <c r="AA1107">
        <v>0.9683832</v>
      </c>
      <c r="AB1107">
        <v>26</v>
      </c>
      <c r="AC1107">
        <v>12.767300000000001</v>
      </c>
      <c r="AD1107">
        <v>-1.1209200702</v>
      </c>
      <c r="AE1107">
        <v>3.5574000000000199</v>
      </c>
      <c r="AF1107">
        <v>-3.3350313258685702</v>
      </c>
      <c r="AG1107">
        <v>-1.1209200702</v>
      </c>
      <c r="AH1107">
        <v>12.729901549749201</v>
      </c>
      <c r="AI1107">
        <v>94.868670068961507</v>
      </c>
      <c r="AJ1107">
        <v>104.680644997879</v>
      </c>
      <c r="AK1107">
        <v>13.207168099733099</v>
      </c>
      <c r="AL1107">
        <v>79.685767938057793</v>
      </c>
      <c r="AM1107">
        <v>87.865597991081003</v>
      </c>
      <c r="AN1107">
        <v>0.99999998301916504</v>
      </c>
    </row>
    <row r="1108" spans="1:40" x14ac:dyDescent="0.25">
      <c r="A1108" t="str">
        <f>"20190303162233083"</f>
        <v>20190303162233083</v>
      </c>
      <c r="B1108" t="str">
        <f>"1551601353075407"</f>
        <v>1551601353075407</v>
      </c>
      <c r="C1108" t="s">
        <v>40</v>
      </c>
      <c r="D1108">
        <v>5.2561099999999996</v>
      </c>
      <c r="E1108">
        <v>0.38409779999999999</v>
      </c>
      <c r="F1108" t="s">
        <v>41</v>
      </c>
      <c r="G1108">
        <v>-246.33949999999999</v>
      </c>
      <c r="H1108" s="1">
        <v>-2.0656199999999999E-6</v>
      </c>
      <c r="I1108">
        <v>370.94970000000001</v>
      </c>
      <c r="J1108">
        <v>-258.96039999999999</v>
      </c>
      <c r="K1108">
        <v>1.1209150000000001</v>
      </c>
      <c r="L1108">
        <v>367.42939999999999</v>
      </c>
      <c r="M1108">
        <v>0.9997954</v>
      </c>
      <c r="N1108">
        <v>-1.2931969999999999E-2</v>
      </c>
      <c r="O1108">
        <v>1.555758E-2</v>
      </c>
      <c r="P1108">
        <v>0.98581510000000006</v>
      </c>
      <c r="Q1108">
        <v>0.1663636</v>
      </c>
      <c r="R1108">
        <v>-2.2181699999999999E-2</v>
      </c>
      <c r="S1108">
        <v>3.1076350000000001</v>
      </c>
      <c r="T1108">
        <v>-0.27262950000000002</v>
      </c>
      <c r="U1108">
        <v>0.85681149999999995</v>
      </c>
      <c r="V1108">
        <v>3.7501659999999999E-2</v>
      </c>
      <c r="W1108">
        <v>0.17909539999999999</v>
      </c>
      <c r="X1108">
        <v>0.98311669999999995</v>
      </c>
      <c r="Y1108">
        <v>-0.24977279999999999</v>
      </c>
      <c r="Z1108">
        <v>1.124463E-2</v>
      </c>
      <c r="AA1108">
        <v>0.96823919999999997</v>
      </c>
      <c r="AB1108">
        <v>26</v>
      </c>
      <c r="AC1108">
        <v>12.620900000000001</v>
      </c>
      <c r="AD1108">
        <v>-1.12091706561999</v>
      </c>
      <c r="AE1108">
        <v>3.5203000000000202</v>
      </c>
      <c r="AF1108">
        <v>-3.2993601016310898</v>
      </c>
      <c r="AG1108">
        <v>-1.12091706561999</v>
      </c>
      <c r="AH1108">
        <v>12.582061095868699</v>
      </c>
      <c r="AI1108">
        <v>94.925292057994</v>
      </c>
      <c r="AJ1108">
        <v>104.69368640576501</v>
      </c>
      <c r="AK1108">
        <v>13.0556690203301</v>
      </c>
      <c r="AL1108">
        <v>79.682926053269099</v>
      </c>
      <c r="AM1108">
        <v>87.815472393320704</v>
      </c>
      <c r="AN1108">
        <v>0.99999999131140205</v>
      </c>
    </row>
    <row r="1109" spans="1:40" x14ac:dyDescent="0.25">
      <c r="A1109" t="str">
        <f>"20190303162233094"</f>
        <v>20190303162233094</v>
      </c>
      <c r="B1109" t="str">
        <f>"1551601353085166"</f>
        <v>1551601353085166</v>
      </c>
      <c r="C1109" t="s">
        <v>40</v>
      </c>
      <c r="D1109">
        <v>5.2329470000000002</v>
      </c>
      <c r="E1109">
        <v>0.38417240000000002</v>
      </c>
      <c r="F1109" t="s">
        <v>41</v>
      </c>
      <c r="G1109">
        <v>-246.23920000000001</v>
      </c>
      <c r="H1109" s="1">
        <v>-2.1096909999999999E-6</v>
      </c>
      <c r="I1109">
        <v>370.93709999999999</v>
      </c>
      <c r="J1109">
        <v>-258.82279999999997</v>
      </c>
      <c r="K1109">
        <v>1.1209129999999901</v>
      </c>
      <c r="L1109">
        <v>367.4316</v>
      </c>
      <c r="M1109">
        <v>0.99979479999999998</v>
      </c>
      <c r="N1109">
        <v>-1.293061E-2</v>
      </c>
      <c r="O1109">
        <v>1.559603E-2</v>
      </c>
      <c r="P1109">
        <v>0.98588500000000001</v>
      </c>
      <c r="Q1109">
        <v>0.1657756</v>
      </c>
      <c r="R1109">
        <v>-2.3438190000000001E-2</v>
      </c>
      <c r="S1109">
        <v>3.1086429999999998</v>
      </c>
      <c r="T1109">
        <v>-0.27391480000000001</v>
      </c>
      <c r="U1109">
        <v>0.85717770000000004</v>
      </c>
      <c r="V1109">
        <v>3.8797320000000003E-2</v>
      </c>
      <c r="W1109">
        <v>0.1785071</v>
      </c>
      <c r="X1109">
        <v>0.98317339999999998</v>
      </c>
      <c r="Y1109">
        <v>-0.24975330000000001</v>
      </c>
      <c r="Z1109">
        <v>1.128174E-2</v>
      </c>
      <c r="AA1109">
        <v>0.96824379999999999</v>
      </c>
      <c r="AB1109">
        <v>26</v>
      </c>
      <c r="AC1109">
        <v>12.583599999999899</v>
      </c>
      <c r="AD1109">
        <v>-1.12091510969099</v>
      </c>
      <c r="AE1109">
        <v>3.5054999999999801</v>
      </c>
      <c r="AF1109">
        <v>-3.2846171491862299</v>
      </c>
      <c r="AG1109">
        <v>-1.12091510969099</v>
      </c>
      <c r="AH1109">
        <v>12.5443769519766</v>
      </c>
      <c r="AI1109">
        <v>94.940473365659898</v>
      </c>
      <c r="AJ1109">
        <v>104.672909947604</v>
      </c>
      <c r="AK1109">
        <v>13.0156272846584</v>
      </c>
      <c r="AL1109">
        <v>79.7171850776908</v>
      </c>
      <c r="AM1109">
        <v>87.740205413061204</v>
      </c>
      <c r="AN1109">
        <v>0.99999997562857501</v>
      </c>
    </row>
    <row r="1110" spans="1:40" x14ac:dyDescent="0.25">
      <c r="A1110" t="str">
        <f>"20190303162233108"</f>
        <v>20190303162233108</v>
      </c>
      <c r="B1110" t="str">
        <f>"1551601353095479"</f>
        <v>1551601353095479</v>
      </c>
      <c r="C1110" t="s">
        <v>40</v>
      </c>
      <c r="D1110">
        <v>5.2643060000000004</v>
      </c>
      <c r="E1110">
        <v>0.38386910000000002</v>
      </c>
      <c r="F1110" t="s">
        <v>41</v>
      </c>
      <c r="G1110">
        <v>-246.08349999999999</v>
      </c>
      <c r="H1110" s="1">
        <v>-2.1796829999999998E-6</v>
      </c>
      <c r="I1110">
        <v>370.9237</v>
      </c>
      <c r="J1110">
        <v>-258.67860000000002</v>
      </c>
      <c r="K1110">
        <v>1.120906</v>
      </c>
      <c r="L1110">
        <v>367.43389999999999</v>
      </c>
      <c r="M1110">
        <v>0.99979419999999997</v>
      </c>
      <c r="N1110">
        <v>-1.292919E-2</v>
      </c>
      <c r="O1110">
        <v>1.5636400000000002E-2</v>
      </c>
      <c r="P1110">
        <v>0.98589099999999996</v>
      </c>
      <c r="Q1110">
        <v>0.1655645</v>
      </c>
      <c r="R1110">
        <v>-2.4650229999999999E-2</v>
      </c>
      <c r="S1110">
        <v>3.1092219999999999</v>
      </c>
      <c r="T1110">
        <v>-0.27357700000000001</v>
      </c>
      <c r="U1110">
        <v>0.85229489999999997</v>
      </c>
      <c r="V1110">
        <v>4.0048819999999999E-2</v>
      </c>
      <c r="W1110">
        <v>0.17829410000000001</v>
      </c>
      <c r="X1110">
        <v>0.98316190000000003</v>
      </c>
      <c r="Y1110">
        <v>-0.24826239999999999</v>
      </c>
      <c r="Z1110">
        <v>1.1192779999999999E-2</v>
      </c>
      <c r="AA1110">
        <v>0.96862820000000005</v>
      </c>
      <c r="AB1110">
        <v>26</v>
      </c>
      <c r="AC1110">
        <v>12.5951</v>
      </c>
      <c r="AD1110">
        <v>-1.120908179683</v>
      </c>
      <c r="AE1110">
        <v>3.4897999999999998</v>
      </c>
      <c r="AF1110">
        <v>-3.2683742102722699</v>
      </c>
      <c r="AG1110">
        <v>-1.120908179683</v>
      </c>
      <c r="AH1110">
        <v>12.555778094150099</v>
      </c>
      <c r="AI1110">
        <v>94.937817788902194</v>
      </c>
      <c r="AJ1110">
        <v>104.590764848804</v>
      </c>
      <c r="AK1110">
        <v>13.0225292733475</v>
      </c>
      <c r="AL1110">
        <v>79.729588382734804</v>
      </c>
      <c r="AM1110">
        <v>87.667362363622999</v>
      </c>
      <c r="AN1110">
        <v>1.0000000078449001</v>
      </c>
    </row>
    <row r="1111" spans="1:40" x14ac:dyDescent="0.25">
      <c r="A1111" t="str">
        <f>"20190303162233119"</f>
        <v>20190303162233119</v>
      </c>
      <c r="B1111" t="str">
        <f>"1551601353105239"</f>
        <v>1551601353105239</v>
      </c>
      <c r="C1111" t="s">
        <v>40</v>
      </c>
      <c r="D1111">
        <v>5.2780820000000004</v>
      </c>
      <c r="E1111">
        <v>0.38374239999999998</v>
      </c>
      <c r="F1111" t="s">
        <v>41</v>
      </c>
      <c r="G1111">
        <v>-246.1139</v>
      </c>
      <c r="H1111" s="1">
        <v>-2.1511169999999999E-6</v>
      </c>
      <c r="I1111">
        <v>370.87029999999999</v>
      </c>
      <c r="J1111">
        <v>-258.53789999999998</v>
      </c>
      <c r="K1111">
        <v>1.120906</v>
      </c>
      <c r="L1111">
        <v>367.43610000000001</v>
      </c>
      <c r="M1111">
        <v>0.99979359999999995</v>
      </c>
      <c r="N1111">
        <v>-1.2927859999999999E-2</v>
      </c>
      <c r="O1111">
        <v>1.567551E-2</v>
      </c>
      <c r="P1111">
        <v>0.98598079999999999</v>
      </c>
      <c r="Q1111">
        <v>0.16477220000000001</v>
      </c>
      <c r="R1111">
        <v>-2.6317839999999999E-2</v>
      </c>
      <c r="S1111">
        <v>3.1108090000000002</v>
      </c>
      <c r="T1111">
        <v>-0.27751730000000002</v>
      </c>
      <c r="U1111">
        <v>0.85079959999999899</v>
      </c>
      <c r="V1111">
        <v>4.1756130000000002E-2</v>
      </c>
      <c r="W1111">
        <v>0.17750150000000001</v>
      </c>
      <c r="X1111">
        <v>0.98323430000000001</v>
      </c>
      <c r="Y1111">
        <v>-0.24764249999999999</v>
      </c>
      <c r="Z1111">
        <v>1.1288650000000001E-2</v>
      </c>
      <c r="AA1111">
        <v>0.96878569999999997</v>
      </c>
      <c r="AB1111">
        <v>26</v>
      </c>
      <c r="AC1111">
        <v>12.4239999999999</v>
      </c>
      <c r="AD1111">
        <v>-1.120908151117</v>
      </c>
      <c r="AE1111">
        <v>3.4341999999999699</v>
      </c>
      <c r="AF1111">
        <v>-3.2146993724722899</v>
      </c>
      <c r="AG1111">
        <v>-1.120908151117</v>
      </c>
      <c r="AH1111">
        <v>12.382671863690801</v>
      </c>
      <c r="AI1111">
        <v>95.007342329312195</v>
      </c>
      <c r="AJ1111">
        <v>104.553430839417</v>
      </c>
      <c r="AK1111">
        <v>12.8421684159044</v>
      </c>
      <c r="AL1111">
        <v>79.775737293314407</v>
      </c>
      <c r="AM1111">
        <v>87.568216164836301</v>
      </c>
      <c r="AN1111">
        <v>1.00000002279565</v>
      </c>
    </row>
    <row r="1112" spans="1:40" x14ac:dyDescent="0.25">
      <c r="A1112" t="str">
        <f>"20190303162233132"</f>
        <v>20190303162233132</v>
      </c>
      <c r="B1112" t="str">
        <f>"1551601353125735"</f>
        <v>1551601353125735</v>
      </c>
      <c r="C1112" t="s">
        <v>40</v>
      </c>
      <c r="D1112">
        <v>5.5364990000000001</v>
      </c>
      <c r="E1112">
        <v>0.3836869</v>
      </c>
      <c r="F1112" t="s">
        <v>41</v>
      </c>
      <c r="G1112">
        <v>-246.1618</v>
      </c>
      <c r="H1112" s="1">
        <v>-2.111031E-6</v>
      </c>
      <c r="I1112">
        <v>370.8048</v>
      </c>
      <c r="J1112">
        <v>-258.39760000000001</v>
      </c>
      <c r="K1112">
        <v>1.12090499999999</v>
      </c>
      <c r="L1112">
        <v>367.4384</v>
      </c>
      <c r="M1112">
        <v>0.99979309999999999</v>
      </c>
      <c r="N1112">
        <v>-1.292652E-2</v>
      </c>
      <c r="O1112">
        <v>1.5714490000000001E-2</v>
      </c>
      <c r="P1112">
        <v>0.98595580000000005</v>
      </c>
      <c r="Q1112">
        <v>0.16458519999999999</v>
      </c>
      <c r="R1112">
        <v>-2.8340509999999999E-2</v>
      </c>
      <c r="S1112">
        <v>3.1123810000000001</v>
      </c>
      <c r="T1112">
        <v>-0.28189039999999999</v>
      </c>
      <c r="U1112">
        <v>0.84716800000000003</v>
      </c>
      <c r="V1112">
        <v>4.3816729999999998E-2</v>
      </c>
      <c r="W1112">
        <v>0.1773129</v>
      </c>
      <c r="X1112">
        <v>0.98317860000000001</v>
      </c>
      <c r="Y1112">
        <v>-0.2464044</v>
      </c>
      <c r="Z1112">
        <v>1.1367449999999999E-2</v>
      </c>
      <c r="AA1112">
        <v>0.96910039999999997</v>
      </c>
      <c r="AB1112">
        <v>26</v>
      </c>
      <c r="AC1112">
        <v>12.235799999999999</v>
      </c>
      <c r="AD1112">
        <v>-1.1209071110309901</v>
      </c>
      <c r="AE1112">
        <v>3.3663999999999898</v>
      </c>
      <c r="AF1112">
        <v>-3.1491205747420601</v>
      </c>
      <c r="AG1112">
        <v>-1.1209071110309901</v>
      </c>
      <c r="AH1112">
        <v>12.192076461294601</v>
      </c>
      <c r="AI1112">
        <v>95.086829875380602</v>
      </c>
      <c r="AJ1112">
        <v>104.48253444760201</v>
      </c>
      <c r="AK1112">
        <v>12.6419983224123</v>
      </c>
      <c r="AL1112">
        <v>79.786716851968393</v>
      </c>
      <c r="AM1112">
        <v>87.448221938805702</v>
      </c>
      <c r="AN1112">
        <v>0.99999996491612997</v>
      </c>
    </row>
    <row r="1113" spans="1:40" x14ac:dyDescent="0.25">
      <c r="A1113" t="str">
        <f>"20190303162233147"</f>
        <v>20190303162233147</v>
      </c>
      <c r="B1113" t="str">
        <f>"1551601353135496"</f>
        <v>1551601353135496</v>
      </c>
      <c r="C1113" t="s">
        <v>40</v>
      </c>
      <c r="D1113">
        <v>5.5701530000000004</v>
      </c>
      <c r="E1113">
        <v>0.42353249999999998</v>
      </c>
      <c r="F1113" t="s">
        <v>41</v>
      </c>
      <c r="G1113">
        <v>-246.0823</v>
      </c>
      <c r="H1113" s="1">
        <v>-2.1387829999999999E-6</v>
      </c>
      <c r="I1113">
        <v>370.76769999999999</v>
      </c>
      <c r="J1113">
        <v>-258.22800000000001</v>
      </c>
      <c r="K1113">
        <v>1.1209009999999999</v>
      </c>
      <c r="L1113">
        <v>367.44099999999997</v>
      </c>
      <c r="M1113">
        <v>0.99979229999999997</v>
      </c>
      <c r="N1113">
        <v>-1.292489E-2</v>
      </c>
      <c r="O1113">
        <v>1.576201E-2</v>
      </c>
      <c r="P1113">
        <v>0.98593580000000003</v>
      </c>
      <c r="Q1113">
        <v>0.16306209999999999</v>
      </c>
      <c r="R1113">
        <v>-3.6627989999999999E-2</v>
      </c>
      <c r="S1113">
        <v>3.114258</v>
      </c>
      <c r="T1113">
        <v>-0.28345009999999998</v>
      </c>
      <c r="U1113">
        <v>0.84191890000000003</v>
      </c>
      <c r="V1113">
        <v>5.2149859999999999E-2</v>
      </c>
      <c r="W1113">
        <v>0.175787</v>
      </c>
      <c r="X1113">
        <v>0.98304590000000003</v>
      </c>
      <c r="Y1113">
        <v>-0.24468619999999999</v>
      </c>
      <c r="Z1113">
        <v>1.132441E-2</v>
      </c>
      <c r="AA1113">
        <v>0.96953619999999996</v>
      </c>
      <c r="AB1113">
        <v>26</v>
      </c>
      <c r="AC1113">
        <v>12.1457</v>
      </c>
      <c r="AD1113">
        <v>-1.120903138783</v>
      </c>
      <c r="AE1113">
        <v>3.32670000000001</v>
      </c>
      <c r="AF1113">
        <v>-3.11018888906611</v>
      </c>
      <c r="AG1113">
        <v>-1.120903138783</v>
      </c>
      <c r="AH1113">
        <v>12.1007598633039</v>
      </c>
      <c r="AI1113">
        <v>95.126557332923994</v>
      </c>
      <c r="AJ1113">
        <v>104.41439944893</v>
      </c>
      <c r="AK1113">
        <v>12.544245216096201</v>
      </c>
      <c r="AL1113">
        <v>79.875539696503495</v>
      </c>
      <c r="AM1113">
        <v>86.963347624689902</v>
      </c>
      <c r="AN1113">
        <v>0.99999995938691399</v>
      </c>
    </row>
    <row r="1114" spans="1:40" x14ac:dyDescent="0.25">
      <c r="A1114" t="str">
        <f>"20190303162233169"</f>
        <v>20190303162233169</v>
      </c>
      <c r="B1114" t="str">
        <f>"1551601353165751"</f>
        <v>1551601353165751</v>
      </c>
      <c r="C1114" t="s">
        <v>40</v>
      </c>
      <c r="D1114">
        <v>5.3157800000000002</v>
      </c>
      <c r="E1114">
        <v>0.51259529999999998</v>
      </c>
      <c r="F1114" t="s">
        <v>41</v>
      </c>
      <c r="G1114">
        <v>-235.70580000000001</v>
      </c>
      <c r="H1114" s="1">
        <v>-2.2152310000000002E-6</v>
      </c>
      <c r="I1114">
        <v>371.08479999999997</v>
      </c>
      <c r="J1114">
        <v>-257.97059999999999</v>
      </c>
      <c r="K1114">
        <v>1.1208929999999999</v>
      </c>
      <c r="L1114">
        <v>367.4452</v>
      </c>
      <c r="M1114">
        <v>0.99979119999999999</v>
      </c>
      <c r="N1114">
        <v>-1.2922329999999999E-2</v>
      </c>
      <c r="O1114">
        <v>1.5834259999999999E-2</v>
      </c>
      <c r="P1114">
        <v>0.98579870000000003</v>
      </c>
      <c r="Q1114">
        <v>0.16142010000000001</v>
      </c>
      <c r="R1114">
        <v>-4.6309309999999999E-2</v>
      </c>
      <c r="S1114">
        <v>3.0867460000000002</v>
      </c>
      <c r="T1114">
        <v>-0.1536227</v>
      </c>
      <c r="U1114">
        <v>0.49938959999999999</v>
      </c>
      <c r="V1114">
        <v>6.189936E-2</v>
      </c>
      <c r="W1114">
        <v>0.17413960000000001</v>
      </c>
      <c r="X1114">
        <v>0.98277349999999997</v>
      </c>
      <c r="Y1114">
        <v>-0.14384720000000001</v>
      </c>
      <c r="Z1114">
        <v>3.9114969999999999E-3</v>
      </c>
      <c r="AA1114">
        <v>0.98959219999999903</v>
      </c>
      <c r="AB1114">
        <v>26</v>
      </c>
      <c r="AC1114">
        <v>22.264799999999902</v>
      </c>
      <c r="AD1114">
        <v>-1.1208952152310001</v>
      </c>
      <c r="AE1114">
        <v>3.63959999999997</v>
      </c>
      <c r="AF1114">
        <v>-3.2784745502704302</v>
      </c>
      <c r="AG1114">
        <v>-1.1208952152310001</v>
      </c>
      <c r="AH1114">
        <v>22.264682202505501</v>
      </c>
      <c r="AI1114">
        <v>92.851375528621404</v>
      </c>
      <c r="AJ1114">
        <v>98.376607804051801</v>
      </c>
      <c r="AK1114">
        <v>22.532662404581998</v>
      </c>
      <c r="AL1114">
        <v>79.971407366069002</v>
      </c>
      <c r="AM1114">
        <v>86.396022656039705</v>
      </c>
      <c r="AN1114">
        <v>0.99999994167940798</v>
      </c>
    </row>
    <row r="1115" spans="1:40" x14ac:dyDescent="0.25">
      <c r="A1115" t="str">
        <f>"20190303162233192"</f>
        <v>20190303162233192</v>
      </c>
      <c r="B1115" t="str">
        <f>"1551601353185271"</f>
        <v>1551601353185271</v>
      </c>
      <c r="C1115" t="s">
        <v>40</v>
      </c>
      <c r="D1115">
        <v>5.2490819999999996</v>
      </c>
      <c r="E1115">
        <v>0.53468459999999995</v>
      </c>
      <c r="F1115" t="s">
        <v>45</v>
      </c>
      <c r="G1115">
        <v>-158.19499999999999</v>
      </c>
      <c r="H1115">
        <v>0.36148550000000002</v>
      </c>
      <c r="I1115">
        <v>359.53210000000001</v>
      </c>
      <c r="J1115">
        <v>-257.71300000000002</v>
      </c>
      <c r="K1115">
        <v>1.120886</v>
      </c>
      <c r="L1115">
        <v>367.44920000000002</v>
      </c>
      <c r="M1115">
        <v>0.99979010000000001</v>
      </c>
      <c r="N1115">
        <v>-1.2919770000000001E-2</v>
      </c>
      <c r="O1115">
        <v>1.590633E-2</v>
      </c>
      <c r="P1115">
        <v>0.98545950000000004</v>
      </c>
      <c r="Q1115">
        <v>0.1597266</v>
      </c>
      <c r="R1115">
        <v>-5.7939360000000002E-2</v>
      </c>
      <c r="S1115">
        <v>3.03566</v>
      </c>
      <c r="T1115">
        <v>-2.310216E-2</v>
      </c>
      <c r="U1115">
        <v>-0.2407532</v>
      </c>
      <c r="V1115">
        <v>7.3593690000000003E-2</v>
      </c>
      <c r="W1115">
        <v>0.17243820000000001</v>
      </c>
      <c r="X1115">
        <v>0.98226729999999995</v>
      </c>
      <c r="Y1115">
        <v>9.490034E-2</v>
      </c>
      <c r="Z1115">
        <v>-8.9029910000000003E-4</v>
      </c>
      <c r="AA1115">
        <v>0.99548639999999999</v>
      </c>
      <c r="AB1115">
        <v>26</v>
      </c>
      <c r="AC1115">
        <v>99.517999999999901</v>
      </c>
      <c r="AD1115">
        <v>-0.75940050000000003</v>
      </c>
      <c r="AE1115">
        <v>-7.9170999999999996</v>
      </c>
      <c r="AF1115">
        <v>9.4986467354163899</v>
      </c>
      <c r="AG1115">
        <v>-0.75940050000000003</v>
      </c>
      <c r="AH1115">
        <v>99.3737149776819</v>
      </c>
      <c r="AI1115">
        <v>90.435851603686601</v>
      </c>
      <c r="AJ1115">
        <v>84.539965276579593</v>
      </c>
      <c r="AK1115">
        <v>99.829535746637603</v>
      </c>
      <c r="AL1115">
        <v>80.070388545899306</v>
      </c>
      <c r="AM1115">
        <v>85.715275726476094</v>
      </c>
      <c r="AN1115">
        <v>1.00000000633817</v>
      </c>
    </row>
    <row r="1116" spans="1:40" x14ac:dyDescent="0.25">
      <c r="A1116" t="str">
        <f>"20190303162233216"</f>
        <v>20190303162233216</v>
      </c>
      <c r="B1116" t="str">
        <f>"1551601353205767"</f>
        <v>1551601353205767</v>
      </c>
      <c r="C1116" t="s">
        <v>40</v>
      </c>
      <c r="D1116">
        <v>5.3409940000000002</v>
      </c>
      <c r="E1116">
        <v>0.54549840000000005</v>
      </c>
      <c r="F1116" t="s">
        <v>44</v>
      </c>
      <c r="G1116">
        <v>-208.14269999999999</v>
      </c>
      <c r="H1116" s="1">
        <v>-6.1585280000000003E-6</v>
      </c>
      <c r="I1116">
        <v>360.0437</v>
      </c>
      <c r="J1116">
        <v>-257.4486</v>
      </c>
      <c r="K1116">
        <v>1.120886</v>
      </c>
      <c r="L1116">
        <v>367.45350000000002</v>
      </c>
      <c r="M1116">
        <v>0.99978889999999998</v>
      </c>
      <c r="N1116">
        <v>-1.291722E-2</v>
      </c>
      <c r="O1116">
        <v>1.5980609999999999E-2</v>
      </c>
      <c r="P1116">
        <v>0.98482150000000002</v>
      </c>
      <c r="Q1116">
        <v>0.1591051</v>
      </c>
      <c r="R1116">
        <v>-6.9371859999999994E-2</v>
      </c>
      <c r="S1116">
        <v>3.0287630000000001</v>
      </c>
      <c r="T1116">
        <v>-6.8486930000000001E-2</v>
      </c>
      <c r="U1116">
        <v>-0.4524841</v>
      </c>
      <c r="V1116">
        <v>8.5087629999999997E-2</v>
      </c>
      <c r="W1116">
        <v>0.17180409999999999</v>
      </c>
      <c r="X1116">
        <v>0.98144969999999998</v>
      </c>
      <c r="Y1116">
        <v>0.16347809999999999</v>
      </c>
      <c r="Z1116">
        <v>-3.0539730000000002E-3</v>
      </c>
      <c r="AA1116">
        <v>0.98654219999999904</v>
      </c>
      <c r="AB1116">
        <v>25</v>
      </c>
      <c r="AC1116">
        <v>49.305900000000001</v>
      </c>
      <c r="AD1116">
        <v>-1.1208921585280001</v>
      </c>
      <c r="AE1116">
        <v>-7.4098000000000104</v>
      </c>
      <c r="AF1116">
        <v>8.19271714125356</v>
      </c>
      <c r="AG1116">
        <v>-1.1208921585280001</v>
      </c>
      <c r="AH1116">
        <v>49.156336335008803</v>
      </c>
      <c r="AI1116">
        <v>91.288499135102995</v>
      </c>
      <c r="AJ1116">
        <v>80.537684121559195</v>
      </c>
      <c r="AK1116">
        <v>49.846990032178901</v>
      </c>
      <c r="AL1116">
        <v>80.107270502516698</v>
      </c>
      <c r="AM1116">
        <v>85.045082097328404</v>
      </c>
      <c r="AN1116">
        <v>1.00000003359295</v>
      </c>
    </row>
    <row r="1117" spans="1:40" x14ac:dyDescent="0.25">
      <c r="A1117" t="str">
        <f>"20190303162233237"</f>
        <v>20190303162233237</v>
      </c>
      <c r="B1117" t="str">
        <f>"1551601353225287"</f>
        <v>1551601353225287</v>
      </c>
      <c r="C1117" t="s">
        <v>40</v>
      </c>
      <c r="D1117">
        <v>5.2377070000000003</v>
      </c>
      <c r="E1117">
        <v>0.54988429999999999</v>
      </c>
      <c r="F1117" t="s">
        <v>41</v>
      </c>
      <c r="G1117">
        <v>-221.65539999999999</v>
      </c>
      <c r="H1117" s="1">
        <v>-5.2087459999999998E-6</v>
      </c>
      <c r="I1117">
        <v>360.66039999999998</v>
      </c>
      <c r="J1117">
        <v>-257.19909999999999</v>
      </c>
      <c r="K1117">
        <v>1.120886</v>
      </c>
      <c r="L1117">
        <v>367.45749999999998</v>
      </c>
      <c r="M1117">
        <v>0.99978789999999995</v>
      </c>
      <c r="N1117">
        <v>-1.291485E-2</v>
      </c>
      <c r="O1117">
        <v>1.605036E-2</v>
      </c>
      <c r="P1117">
        <v>0.9838344</v>
      </c>
      <c r="Q1117">
        <v>0.1593617</v>
      </c>
      <c r="R1117">
        <v>-8.1695589999999998E-2</v>
      </c>
      <c r="S1117">
        <v>3.0211030000000001</v>
      </c>
      <c r="T1117">
        <v>-9.4607830000000004E-2</v>
      </c>
      <c r="U1117">
        <v>-0.57336430000000005</v>
      </c>
      <c r="V1117">
        <v>9.7462530000000006E-2</v>
      </c>
      <c r="W1117">
        <v>0.17204410000000001</v>
      </c>
      <c r="X1117">
        <v>0.98025600000000002</v>
      </c>
      <c r="Y1117">
        <v>0.2020653</v>
      </c>
      <c r="Z1117">
        <v>-4.7448999999999998E-3</v>
      </c>
      <c r="AA1117">
        <v>0.97936049999999997</v>
      </c>
      <c r="AB1117">
        <v>25</v>
      </c>
      <c r="AC1117">
        <v>35.543700000000001</v>
      </c>
      <c r="AD1117">
        <v>-1.1208912087459999</v>
      </c>
      <c r="AE1117">
        <v>-6.7971000000000004</v>
      </c>
      <c r="AF1117">
        <v>7.3597000234396397</v>
      </c>
      <c r="AG1117">
        <v>-1.1208912087459999</v>
      </c>
      <c r="AH1117">
        <v>35.396056433330202</v>
      </c>
      <c r="AI1117">
        <v>91.775830712777406</v>
      </c>
      <c r="AJ1117">
        <v>78.254174276563802</v>
      </c>
      <c r="AK1117">
        <v>36.170462985264002</v>
      </c>
      <c r="AL1117">
        <v>80.093311048489397</v>
      </c>
      <c r="AM1117">
        <v>84.321994193482595</v>
      </c>
      <c r="AN1117">
        <v>0.99999997131740503</v>
      </c>
    </row>
    <row r="1118" spans="1:40" x14ac:dyDescent="0.25">
      <c r="A1118" t="str">
        <f>"20190303162233259"</f>
        <v>20190303162233259</v>
      </c>
      <c r="B1118" t="str">
        <f>"1551601353245783"</f>
        <v>1551601353245783</v>
      </c>
      <c r="C1118" t="s">
        <v>40</v>
      </c>
      <c r="D1118">
        <v>5.2842219999999998</v>
      </c>
      <c r="E1118">
        <v>0.55148419999999998</v>
      </c>
      <c r="F1118" t="s">
        <v>41</v>
      </c>
      <c r="G1118">
        <v>-224.87119999999999</v>
      </c>
      <c r="H1118" s="1">
        <v>-4.1463380000000002E-6</v>
      </c>
      <c r="I1118">
        <v>360.5403</v>
      </c>
      <c r="J1118">
        <v>-256.95240000000001</v>
      </c>
      <c r="K1118">
        <v>1.1208819999999999</v>
      </c>
      <c r="L1118">
        <v>367.4615</v>
      </c>
      <c r="M1118">
        <v>0.99978679999999998</v>
      </c>
      <c r="N1118">
        <v>-1.291252E-2</v>
      </c>
      <c r="O1118">
        <v>1.6119629999999999E-2</v>
      </c>
      <c r="P1118">
        <v>0.9829464</v>
      </c>
      <c r="Q1118">
        <v>0.15896740000000001</v>
      </c>
      <c r="R1118">
        <v>-9.2445620000000006E-2</v>
      </c>
      <c r="S1118">
        <v>3.01268</v>
      </c>
      <c r="T1118">
        <v>-0.10445699999999999</v>
      </c>
      <c r="U1118">
        <v>-0.64462280000000005</v>
      </c>
      <c r="V1118">
        <v>0.108264899999999</v>
      </c>
      <c r="W1118">
        <v>0.1716345</v>
      </c>
      <c r="X1118">
        <v>0.97919369999999994</v>
      </c>
      <c r="Y1118">
        <v>0.22478780000000001</v>
      </c>
      <c r="Z1118">
        <v>-5.6674200000000003E-3</v>
      </c>
      <c r="AA1118">
        <v>0.97439120000000001</v>
      </c>
      <c r="AB1118">
        <v>25</v>
      </c>
      <c r="AC1118">
        <v>32.081200000000003</v>
      </c>
      <c r="AD1118">
        <v>-1.120886146338</v>
      </c>
      <c r="AE1118">
        <v>-6.92119999999999</v>
      </c>
      <c r="AF1118">
        <v>7.4288154078915598</v>
      </c>
      <c r="AG1118">
        <v>-1.120886146338</v>
      </c>
      <c r="AH1118">
        <v>31.928212018488399</v>
      </c>
      <c r="AI1118">
        <v>91.958357370983606</v>
      </c>
      <c r="AJ1118">
        <v>76.901893470613601</v>
      </c>
      <c r="AK1118">
        <v>32.800219615349</v>
      </c>
      <c r="AL1118">
        <v>80.117134011463506</v>
      </c>
      <c r="AM1118">
        <v>83.690698232920795</v>
      </c>
      <c r="AN1118">
        <v>0.99999999614097401</v>
      </c>
    </row>
    <row r="1119" spans="1:40" x14ac:dyDescent="0.25">
      <c r="A1119" t="str">
        <f>"20190303162233282"</f>
        <v>20190303162233282</v>
      </c>
      <c r="B1119" t="str">
        <f>"1551601353275066"</f>
        <v>1551601353275066</v>
      </c>
      <c r="C1119" t="s">
        <v>40</v>
      </c>
      <c r="D1119">
        <v>5.328983</v>
      </c>
      <c r="E1119">
        <v>0.55181069999999999</v>
      </c>
      <c r="F1119" t="s">
        <v>41</v>
      </c>
      <c r="G1119">
        <v>-227.41800000000001</v>
      </c>
      <c r="H1119" s="1">
        <v>-3.2390569999999999E-6</v>
      </c>
      <c r="I1119">
        <v>360.69279999999998</v>
      </c>
      <c r="J1119">
        <v>-256.68630000000002</v>
      </c>
      <c r="K1119">
        <v>1.12087</v>
      </c>
      <c r="L1119">
        <v>367.4658</v>
      </c>
      <c r="M1119">
        <v>0.99978560000000005</v>
      </c>
      <c r="N1119">
        <v>-1.2910029999999999E-2</v>
      </c>
      <c r="O1119">
        <v>1.6194210000000001E-2</v>
      </c>
      <c r="P1119">
        <v>0.98238919999999996</v>
      </c>
      <c r="Q1119">
        <v>0.1573446</v>
      </c>
      <c r="R1119">
        <v>-0.100769</v>
      </c>
      <c r="S1119">
        <v>3.0057070000000001</v>
      </c>
      <c r="T1119">
        <v>-0.11407200000000001</v>
      </c>
      <c r="U1119">
        <v>-0.68884279999999998</v>
      </c>
      <c r="V1119">
        <v>0.1166518</v>
      </c>
      <c r="W1119">
        <v>0.1700014</v>
      </c>
      <c r="X1119">
        <v>0.97851509999999997</v>
      </c>
      <c r="Y1119">
        <v>0.2389175</v>
      </c>
      <c r="Z1119">
        <v>-6.4373590000000001E-3</v>
      </c>
      <c r="AA1119">
        <v>0.97101859999999995</v>
      </c>
      <c r="AB1119">
        <v>25</v>
      </c>
      <c r="AC1119">
        <v>29.2683</v>
      </c>
      <c r="AD1119">
        <v>-1.120873239057</v>
      </c>
      <c r="AE1119">
        <v>-6.7730000000000201</v>
      </c>
      <c r="AF1119">
        <v>7.2360550090869697</v>
      </c>
      <c r="AG1119">
        <v>-1.120873239057</v>
      </c>
      <c r="AH1119">
        <v>29.114239561842801</v>
      </c>
      <c r="AI1119">
        <v>92.139715591017605</v>
      </c>
      <c r="AJ1119">
        <v>76.042511142817702</v>
      </c>
      <c r="AK1119">
        <v>30.0209226070242</v>
      </c>
      <c r="AL1119">
        <v>80.212099145879705</v>
      </c>
      <c r="AM1119">
        <v>83.201677808538193</v>
      </c>
      <c r="AN1119">
        <v>0.99999995968660405</v>
      </c>
    </row>
    <row r="1120" spans="1:40" x14ac:dyDescent="0.25">
      <c r="A1120" t="str">
        <f>"20190303162233304"</f>
        <v>20190303162233304</v>
      </c>
      <c r="B1120" t="str">
        <f>"1551601353295559"</f>
        <v>1551601353295559</v>
      </c>
      <c r="C1120" t="s">
        <v>40</v>
      </c>
      <c r="D1120">
        <v>5.3291230000000001</v>
      </c>
      <c r="E1120">
        <v>0.55165969999999998</v>
      </c>
      <c r="F1120" t="s">
        <v>41</v>
      </c>
      <c r="G1120">
        <v>-230.53319999999999</v>
      </c>
      <c r="H1120" s="1">
        <v>-5.5327980000000001E-6</v>
      </c>
      <c r="I1120">
        <v>361.2208</v>
      </c>
      <c r="J1120">
        <v>-256.44850000000002</v>
      </c>
      <c r="K1120">
        <v>1.1208629999999999</v>
      </c>
      <c r="L1120">
        <v>367.46980000000002</v>
      </c>
      <c r="M1120">
        <v>0.99978449999999996</v>
      </c>
      <c r="N1120">
        <v>-1.2907790000000001E-2</v>
      </c>
      <c r="O1120">
        <v>1.6260739999999999E-2</v>
      </c>
      <c r="P1120">
        <v>0.98191479999999998</v>
      </c>
      <c r="Q1120">
        <v>0.15645539999999999</v>
      </c>
      <c r="R1120">
        <v>-0.1066076</v>
      </c>
      <c r="S1120">
        <v>3.000839</v>
      </c>
      <c r="T1120">
        <v>-0.12861</v>
      </c>
      <c r="U1120">
        <v>-0.71655269999999904</v>
      </c>
      <c r="V1120">
        <v>0.1225472</v>
      </c>
      <c r="W1120">
        <v>0.169102799999999</v>
      </c>
      <c r="X1120">
        <v>0.97795010000000004</v>
      </c>
      <c r="Y1120">
        <v>0.2477511</v>
      </c>
      <c r="Z1120">
        <v>-7.3356840000000003E-3</v>
      </c>
      <c r="AA1120">
        <v>0.96879599999999999</v>
      </c>
      <c r="AB1120">
        <v>25</v>
      </c>
      <c r="AC1120">
        <v>25.915299999999998</v>
      </c>
      <c r="AD1120">
        <v>-1.1208685327979999</v>
      </c>
      <c r="AE1120">
        <v>-6.2490000000000201</v>
      </c>
      <c r="AF1120">
        <v>6.6578404647332698</v>
      </c>
      <c r="AG1120">
        <v>-1.1208685327979999</v>
      </c>
      <c r="AH1120">
        <v>25.764702412867699</v>
      </c>
      <c r="AI1120">
        <v>92.411898611803295</v>
      </c>
      <c r="AJ1120">
        <v>75.511182599536696</v>
      </c>
      <c r="AK1120">
        <v>26.634621760882698</v>
      </c>
      <c r="AL1120">
        <v>80.264341798496602</v>
      </c>
      <c r="AM1120">
        <v>82.857480138648995</v>
      </c>
      <c r="AN1120">
        <v>0.99999998564284498</v>
      </c>
    </row>
    <row r="1121" spans="1:40" x14ac:dyDescent="0.25">
      <c r="A1121" t="str">
        <f>"20190303162233325"</f>
        <v>20190303162233325</v>
      </c>
      <c r="B1121" t="str">
        <f>"1551601353315079"</f>
        <v>1551601353315079</v>
      </c>
      <c r="C1121" t="s">
        <v>40</v>
      </c>
      <c r="D1121">
        <v>5.3733230000000001</v>
      </c>
      <c r="E1121">
        <v>0.55134780000000005</v>
      </c>
      <c r="F1121" t="s">
        <v>41</v>
      </c>
      <c r="G1121">
        <v>-231.83580000000001</v>
      </c>
      <c r="H1121" s="1">
        <v>-4.9362799999999999E-6</v>
      </c>
      <c r="I1121">
        <v>361.45359999999999</v>
      </c>
      <c r="J1121">
        <v>-256.19589999999999</v>
      </c>
      <c r="K1121">
        <v>1.120859</v>
      </c>
      <c r="L1121">
        <v>367.47390000000001</v>
      </c>
      <c r="M1121">
        <v>0.99978339999999999</v>
      </c>
      <c r="N1121">
        <v>-1.2905389999999999E-2</v>
      </c>
      <c r="O1121">
        <v>1.633132E-2</v>
      </c>
      <c r="P1121">
        <v>0.98140930000000004</v>
      </c>
      <c r="Q1121">
        <v>0.1564236</v>
      </c>
      <c r="R1121">
        <v>-0.11121010000000001</v>
      </c>
      <c r="S1121">
        <v>2.997452</v>
      </c>
      <c r="T1121">
        <v>-0.13650419999999999</v>
      </c>
      <c r="U1121">
        <v>-0.73266600000000004</v>
      </c>
      <c r="V1121">
        <v>0.12720999999999999</v>
      </c>
      <c r="W1121">
        <v>0.16906189999999999</v>
      </c>
      <c r="X1121">
        <v>0.97736160000000005</v>
      </c>
      <c r="Y1121">
        <v>0.252944</v>
      </c>
      <c r="Z1121">
        <v>-7.8555069999999994E-3</v>
      </c>
      <c r="AA1121">
        <v>0.967449</v>
      </c>
      <c r="AB1121">
        <v>25</v>
      </c>
      <c r="AC1121">
        <v>24.3600999999999</v>
      </c>
      <c r="AD1121">
        <v>-1.1208639362799999</v>
      </c>
      <c r="AE1121">
        <v>-6.0203000000000104</v>
      </c>
      <c r="AF1121">
        <v>6.4045838236354804</v>
      </c>
      <c r="AG1121">
        <v>-1.1208639362799999</v>
      </c>
      <c r="AH1121">
        <v>24.2102172322817</v>
      </c>
      <c r="AI1121">
        <v>92.562706801649995</v>
      </c>
      <c r="AJ1121">
        <v>75.182373739413407</v>
      </c>
      <c r="AK1121">
        <v>25.068100214254301</v>
      </c>
      <c r="AL1121">
        <v>80.266719606120105</v>
      </c>
      <c r="AM1121">
        <v>82.584268266381898</v>
      </c>
      <c r="AN1121">
        <v>1.0000000036430801</v>
      </c>
    </row>
    <row r="1122" spans="1:40" x14ac:dyDescent="0.25">
      <c r="A1122" t="str">
        <f>"20190303162233348"</f>
        <v>20190303162233348</v>
      </c>
      <c r="B1122" t="str">
        <f>"1551601353335575"</f>
        <v>1551601353335575</v>
      </c>
      <c r="C1122" t="s">
        <v>40</v>
      </c>
      <c r="D1122">
        <v>5.3750650000000002</v>
      </c>
      <c r="E1122">
        <v>0.55107700000000004</v>
      </c>
      <c r="F1122" t="s">
        <v>41</v>
      </c>
      <c r="G1122">
        <v>-232.24469999999999</v>
      </c>
      <c r="H1122" s="1">
        <v>-4.7769799999999996E-6</v>
      </c>
      <c r="I1122">
        <v>361.52940000000001</v>
      </c>
      <c r="J1122">
        <v>-255.9391</v>
      </c>
      <c r="K1122">
        <v>1.120862</v>
      </c>
      <c r="L1122">
        <v>367.47809999999998</v>
      </c>
      <c r="M1122">
        <v>0.99978230000000001</v>
      </c>
      <c r="N1122">
        <v>-1.290297E-2</v>
      </c>
      <c r="O1122">
        <v>1.6403210000000001E-2</v>
      </c>
      <c r="P1122">
        <v>0.9810295</v>
      </c>
      <c r="Q1122">
        <v>0.15624730000000001</v>
      </c>
      <c r="R1122">
        <v>-0.1147532</v>
      </c>
      <c r="S1122">
        <v>2.9949340000000002</v>
      </c>
      <c r="T1122">
        <v>-0.1401559</v>
      </c>
      <c r="U1122">
        <v>-0.74331669999999905</v>
      </c>
      <c r="V1122">
        <v>0.13081709999999999</v>
      </c>
      <c r="W1122">
        <v>0.16887769999999999</v>
      </c>
      <c r="X1122">
        <v>0.97691719999999904</v>
      </c>
      <c r="Y1122">
        <v>0.25642209999999999</v>
      </c>
      <c r="Z1122">
        <v>-8.1352279999999996E-3</v>
      </c>
      <c r="AA1122">
        <v>0.96653069999999996</v>
      </c>
      <c r="AB1122">
        <v>25</v>
      </c>
      <c r="AC1122">
        <v>23.694400000000002</v>
      </c>
      <c r="AD1122">
        <v>-1.12086677698</v>
      </c>
      <c r="AE1122">
        <v>-5.9486999999999703</v>
      </c>
      <c r="AF1122">
        <v>6.32328497111705</v>
      </c>
      <c r="AG1122">
        <v>-1.12086677698</v>
      </c>
      <c r="AH1122">
        <v>23.544063317353899</v>
      </c>
      <c r="AI1122">
        <v>92.6324826257068</v>
      </c>
      <c r="AJ1122">
        <v>74.966691363254597</v>
      </c>
      <c r="AK1122">
        <v>24.4041634285886</v>
      </c>
      <c r="AL1122">
        <v>80.277427452318904</v>
      </c>
      <c r="AM1122">
        <v>82.373004097403296</v>
      </c>
      <c r="AN1122">
        <v>1.0000000034327601</v>
      </c>
    </row>
    <row r="1123" spans="1:40" x14ac:dyDescent="0.25">
      <c r="A1123" t="str">
        <f>"20190303162233370"</f>
        <v>20190303162233370</v>
      </c>
      <c r="B1123" t="str">
        <f>"1551601353365830"</f>
        <v>1551601353365830</v>
      </c>
      <c r="C1123" t="s">
        <v>40</v>
      </c>
      <c r="D1123">
        <v>5.4092250000000002</v>
      </c>
      <c r="E1123">
        <v>0.54997459999999998</v>
      </c>
      <c r="F1123" t="s">
        <v>41</v>
      </c>
      <c r="G1123">
        <v>-232.4402</v>
      </c>
      <c r="H1123" s="1">
        <v>-4.6976349999999996E-6</v>
      </c>
      <c r="I1123">
        <v>361.57760000000002</v>
      </c>
      <c r="J1123">
        <v>-255.68709999999999</v>
      </c>
      <c r="K1123">
        <v>1.12086</v>
      </c>
      <c r="L1123">
        <v>367.48230000000001</v>
      </c>
      <c r="M1123">
        <v>0.99978109999999998</v>
      </c>
      <c r="N1123">
        <v>-1.290059E-2</v>
      </c>
      <c r="O1123">
        <v>1.6473979999999999E-2</v>
      </c>
      <c r="P1123">
        <v>0.98071019999999998</v>
      </c>
      <c r="Q1123">
        <v>0.15665950000000001</v>
      </c>
      <c r="R1123">
        <v>-0.1168993</v>
      </c>
      <c r="S1123">
        <v>2.9928439999999998</v>
      </c>
      <c r="T1123">
        <v>-0.14275399999999999</v>
      </c>
      <c r="U1123">
        <v>-0.75149540000000004</v>
      </c>
      <c r="V1123">
        <v>0.133026799999999</v>
      </c>
      <c r="W1123">
        <v>0.16928280000000001</v>
      </c>
      <c r="X1123">
        <v>0.97654859999999999</v>
      </c>
      <c r="Y1123">
        <v>0.25911790000000001</v>
      </c>
      <c r="Z1123">
        <v>-8.3447790000000001E-3</v>
      </c>
      <c r="AA1123">
        <v>0.96580960000000005</v>
      </c>
      <c r="AB1123">
        <v>25</v>
      </c>
      <c r="AC1123">
        <v>23.246899999999901</v>
      </c>
      <c r="AD1123">
        <v>-1.1208646976350001</v>
      </c>
      <c r="AE1123">
        <v>-5.9046999999999903</v>
      </c>
      <c r="AF1123">
        <v>6.2731996218941202</v>
      </c>
      <c r="AG1123">
        <v>-1.1208646976350001</v>
      </c>
      <c r="AH1123">
        <v>23.0960243320548</v>
      </c>
      <c r="AI1123">
        <v>92.681420416139602</v>
      </c>
      <c r="AJ1123">
        <v>74.804277027029997</v>
      </c>
      <c r="AK1123">
        <v>23.959042366367701</v>
      </c>
      <c r="AL1123">
        <v>80.253877661203603</v>
      </c>
      <c r="AM1123">
        <v>82.242835908326995</v>
      </c>
      <c r="AN1123">
        <v>0.99999998202801899</v>
      </c>
    </row>
    <row r="1124" spans="1:40" x14ac:dyDescent="0.25">
      <c r="A1124" t="str">
        <f>"20190303162233393"</f>
        <v>20190303162233393</v>
      </c>
      <c r="B1124" t="str">
        <f>"1551601353385351"</f>
        <v>1551601353385351</v>
      </c>
      <c r="C1124" t="s">
        <v>40</v>
      </c>
      <c r="D1124">
        <v>5.3850210000000001</v>
      </c>
      <c r="E1124">
        <v>0.54888349999999997</v>
      </c>
      <c r="F1124" t="s">
        <v>41</v>
      </c>
      <c r="G1124">
        <v>-232.9573</v>
      </c>
      <c r="H1124" s="1">
        <v>-4.4636839999999997E-6</v>
      </c>
      <c r="I1124">
        <v>361.7955</v>
      </c>
      <c r="J1124">
        <v>-255.435</v>
      </c>
      <c r="K1124">
        <v>1.1208640000000001</v>
      </c>
      <c r="L1124">
        <v>367.48649999999998</v>
      </c>
      <c r="M1124">
        <v>0.99978</v>
      </c>
      <c r="N1124">
        <v>-1.2898059999999999E-2</v>
      </c>
      <c r="O1124">
        <v>1.65445E-2</v>
      </c>
      <c r="P1124">
        <v>0.98054790000000003</v>
      </c>
      <c r="Q1124">
        <v>0.1574969</v>
      </c>
      <c r="R1124">
        <v>-0.117136</v>
      </c>
      <c r="S1124">
        <v>2.9933169999999998</v>
      </c>
      <c r="T1124">
        <v>-0.147607399999999</v>
      </c>
      <c r="U1124">
        <v>-0.74890140000000005</v>
      </c>
      <c r="V1124">
        <v>0.1333297</v>
      </c>
      <c r="W1124">
        <v>0.1701155</v>
      </c>
      <c r="X1124">
        <v>0.97636259999999997</v>
      </c>
      <c r="Y1124">
        <v>0.25834069999999998</v>
      </c>
      <c r="Z1124">
        <v>-8.5554099999999994E-3</v>
      </c>
      <c r="AA1124">
        <v>0.96601599999999999</v>
      </c>
      <c r="AB1124">
        <v>25</v>
      </c>
      <c r="AC1124">
        <v>22.477699999999999</v>
      </c>
      <c r="AD1124">
        <v>-1.1208684636839901</v>
      </c>
      <c r="AE1124">
        <v>-5.6909999999999696</v>
      </c>
      <c r="AF1124">
        <v>6.0480011761489498</v>
      </c>
      <c r="AG1124">
        <v>-1.1208684636839901</v>
      </c>
      <c r="AH1124">
        <v>22.328283587805402</v>
      </c>
      <c r="AI1124">
        <v>92.774009084225696</v>
      </c>
      <c r="AJ1124">
        <v>74.844120518789097</v>
      </c>
      <c r="AK1124">
        <v>23.160028331525002</v>
      </c>
      <c r="AL1124">
        <v>80.205465557306596</v>
      </c>
      <c r="AM1124">
        <v>82.223925770246296</v>
      </c>
      <c r="AN1124">
        <v>1.0000000094605499</v>
      </c>
    </row>
    <row r="1125" spans="1:40" x14ac:dyDescent="0.25">
      <c r="A1125" t="str">
        <f>"20190303162233416"</f>
        <v>20190303162233416</v>
      </c>
      <c r="B1125" t="str">
        <f>"1551601353405613"</f>
        <v>1551601353405613</v>
      </c>
      <c r="C1125" t="s">
        <v>40</v>
      </c>
      <c r="D1125">
        <v>5.3607129999999996</v>
      </c>
      <c r="E1125">
        <v>0.54787869999999905</v>
      </c>
      <c r="F1125" t="s">
        <v>41</v>
      </c>
      <c r="G1125">
        <v>-232.97489999999999</v>
      </c>
      <c r="H1125" s="1">
        <v>-4.4207529999999999E-6</v>
      </c>
      <c r="I1125">
        <v>361.93430000000001</v>
      </c>
      <c r="J1125">
        <v>-255.1728</v>
      </c>
      <c r="K1125">
        <v>1.120868</v>
      </c>
      <c r="L1125">
        <v>367.49099999999999</v>
      </c>
      <c r="M1125">
        <v>0.99977879999999997</v>
      </c>
      <c r="N1125">
        <v>-1.2895439999999999E-2</v>
      </c>
      <c r="O1125">
        <v>1.6618129999999998E-2</v>
      </c>
      <c r="P1125">
        <v>0.98021080000000005</v>
      </c>
      <c r="Q1125">
        <v>0.15841189999999999</v>
      </c>
      <c r="R1125">
        <v>-0.1187132</v>
      </c>
      <c r="S1125">
        <v>2.9950709999999998</v>
      </c>
      <c r="T1125">
        <v>-0.14946789999999999</v>
      </c>
      <c r="U1125">
        <v>-0.74038700000000002</v>
      </c>
      <c r="V1125">
        <v>0.13497310000000001</v>
      </c>
      <c r="W1125">
        <v>0.171022799999999</v>
      </c>
      <c r="X1125">
        <v>0.97597820000000002</v>
      </c>
      <c r="Y1125">
        <v>0.25568649999999998</v>
      </c>
      <c r="Z1125">
        <v>-8.5619670000000002E-3</v>
      </c>
      <c r="AA1125">
        <v>0.96672179999999996</v>
      </c>
      <c r="AB1125">
        <v>25</v>
      </c>
      <c r="AC1125">
        <v>22.197900000000001</v>
      </c>
      <c r="AD1125">
        <v>-1.1208724207530001</v>
      </c>
      <c r="AE1125">
        <v>-5.55669999999997</v>
      </c>
      <c r="AF1125">
        <v>5.9106690414108103</v>
      </c>
      <c r="AG1125">
        <v>-1.1208724207530001</v>
      </c>
      <c r="AH1125">
        <v>22.049579934021398</v>
      </c>
      <c r="AI1125">
        <v>92.811002981113106</v>
      </c>
      <c r="AJ1125">
        <v>74.993934476345103</v>
      </c>
      <c r="AK1125">
        <v>22.855553783872601</v>
      </c>
      <c r="AL1125">
        <v>80.152707789966897</v>
      </c>
      <c r="AM1125">
        <v>82.126212129620399</v>
      </c>
      <c r="AN1125">
        <v>0.99999999135934403</v>
      </c>
    </row>
    <row r="1126" spans="1:40" x14ac:dyDescent="0.25">
      <c r="A1126" t="str">
        <f>"20190303162233438"</f>
        <v>20190303162233438</v>
      </c>
      <c r="B1126" t="str">
        <f>"1551601353425133"</f>
        <v>1551601353425133</v>
      </c>
      <c r="C1126" t="s">
        <v>40</v>
      </c>
      <c r="D1126">
        <v>5.2703189999999998</v>
      </c>
      <c r="E1126">
        <v>0.54695930000000004</v>
      </c>
      <c r="F1126" t="s">
        <v>41</v>
      </c>
      <c r="G1126">
        <v>-232.64580000000001</v>
      </c>
      <c r="H1126" s="1">
        <v>-4.5285659999999996E-6</v>
      </c>
      <c r="I1126">
        <v>361.95</v>
      </c>
      <c r="J1126">
        <v>-254.92089999999999</v>
      </c>
      <c r="K1126">
        <v>1.1208739999999999</v>
      </c>
      <c r="L1126">
        <v>367.49520000000001</v>
      </c>
      <c r="M1126">
        <v>0.99977780000000005</v>
      </c>
      <c r="N1126">
        <v>-1.289293E-2</v>
      </c>
      <c r="O1126">
        <v>1.668847E-2</v>
      </c>
      <c r="P1126">
        <v>0.97985339999999999</v>
      </c>
      <c r="Q1126">
        <v>0.15901560000000001</v>
      </c>
      <c r="R1126">
        <v>-0.1208385</v>
      </c>
      <c r="S1126">
        <v>2.995438</v>
      </c>
      <c r="T1126">
        <v>-0.14904329999999999</v>
      </c>
      <c r="U1126">
        <v>-0.73678589999999999</v>
      </c>
      <c r="V1126">
        <v>0.1371608</v>
      </c>
      <c r="W1126">
        <v>0.17161940000000001</v>
      </c>
      <c r="X1126">
        <v>0.9755684</v>
      </c>
      <c r="Y1126">
        <v>0.2546349</v>
      </c>
      <c r="Z1126">
        <v>-8.5113329999999994E-3</v>
      </c>
      <c r="AA1126">
        <v>0.96699979999999996</v>
      </c>
      <c r="AB1126">
        <v>25</v>
      </c>
      <c r="AC1126">
        <v>22.275099999999899</v>
      </c>
      <c r="AD1126">
        <v>-1.1208785285659999</v>
      </c>
      <c r="AE1126">
        <v>-5.5452000000000199</v>
      </c>
      <c r="AF1126">
        <v>5.9021232458258597</v>
      </c>
      <c r="AG1126">
        <v>-1.1208785285659999</v>
      </c>
      <c r="AH1126">
        <v>22.126691690432601</v>
      </c>
      <c r="AI1126">
        <v>92.802159226198299</v>
      </c>
      <c r="AJ1126">
        <v>75.064540479721899</v>
      </c>
      <c r="AK1126">
        <v>22.9277541998378</v>
      </c>
      <c r="AL1126">
        <v>80.118012279826601</v>
      </c>
      <c r="AM1126">
        <v>81.996912874543398</v>
      </c>
      <c r="AN1126">
        <v>1.0000000032957801</v>
      </c>
    </row>
    <row r="1127" spans="1:40" x14ac:dyDescent="0.25">
      <c r="A1127" t="str">
        <f>"20190303162233460"</f>
        <v>20190303162233460</v>
      </c>
      <c r="B1127" t="str">
        <f>"1551601353455389"</f>
        <v>1551601353455389</v>
      </c>
      <c r="C1127" t="s">
        <v>40</v>
      </c>
      <c r="D1127">
        <v>5.2214700000000001</v>
      </c>
      <c r="E1127">
        <v>0.54568809999999901</v>
      </c>
      <c r="F1127" t="s">
        <v>41</v>
      </c>
      <c r="G1127">
        <v>-232.28829999999999</v>
      </c>
      <c r="H1127" s="1">
        <v>-4.6535629999999901E-6</v>
      </c>
      <c r="I1127">
        <v>361.93740000000003</v>
      </c>
      <c r="J1127">
        <v>-254.6771</v>
      </c>
      <c r="K1127">
        <v>1.1208800000000001</v>
      </c>
      <c r="L1127">
        <v>367.49939999999998</v>
      </c>
      <c r="M1127">
        <v>0.99977649999999996</v>
      </c>
      <c r="N1127">
        <v>-1.28906E-2</v>
      </c>
      <c r="O1127">
        <v>1.675685E-2</v>
      </c>
      <c r="P1127">
        <v>0.9797013</v>
      </c>
      <c r="Q1127">
        <v>0.15934570000000001</v>
      </c>
      <c r="R1127">
        <v>-0.1216339</v>
      </c>
      <c r="S1127">
        <v>2.9950260000000002</v>
      </c>
      <c r="T1127">
        <v>-0.14832809999999999</v>
      </c>
      <c r="U1127">
        <v>-0.73547359999999995</v>
      </c>
      <c r="V1127">
        <v>0.13802039999999999</v>
      </c>
      <c r="W1127">
        <v>0.17194499999999999</v>
      </c>
      <c r="X1127">
        <v>0.97538979999999997</v>
      </c>
      <c r="Y1127">
        <v>0.2543359</v>
      </c>
      <c r="Z1127">
        <v>-8.4716710000000001E-3</v>
      </c>
      <c r="AA1127">
        <v>0.96707889999999996</v>
      </c>
      <c r="AB1127">
        <v>25</v>
      </c>
      <c r="AC1127">
        <v>22.3888</v>
      </c>
      <c r="AD1127">
        <v>-1.1208846535629999</v>
      </c>
      <c r="AE1127">
        <v>-5.5619999999999497</v>
      </c>
      <c r="AF1127">
        <v>5.9224344264414697</v>
      </c>
      <c r="AG1127">
        <v>-1.1208846535629999</v>
      </c>
      <c r="AH1127">
        <v>22.239943462489201</v>
      </c>
      <c r="AI1127">
        <v>92.788235943929607</v>
      </c>
      <c r="AJ1127">
        <v>75.088348708219897</v>
      </c>
      <c r="AK1127">
        <v>23.042280641395099</v>
      </c>
      <c r="AL1127">
        <v>80.099075120473103</v>
      </c>
      <c r="AM1127">
        <v>81.945957486923106</v>
      </c>
      <c r="AN1127">
        <v>0.99999998789259903</v>
      </c>
    </row>
    <row r="1128" spans="1:40" x14ac:dyDescent="0.25">
      <c r="A1128" t="str">
        <f>"20190303162233481"</f>
        <v>20190303162233481</v>
      </c>
      <c r="B1128" t="str">
        <f>"1551601353475885"</f>
        <v>1551601353475885</v>
      </c>
      <c r="C1128" t="s">
        <v>40</v>
      </c>
      <c r="D1128">
        <v>5.1546750000000001</v>
      </c>
      <c r="E1128">
        <v>0.54511350000000003</v>
      </c>
      <c r="F1128" t="s">
        <v>41</v>
      </c>
      <c r="G1128">
        <v>-232.14840000000001</v>
      </c>
      <c r="H1128" s="1">
        <v>-4.6976870000000002E-6</v>
      </c>
      <c r="I1128">
        <v>362.02229999999997</v>
      </c>
      <c r="J1128">
        <v>-254.4265</v>
      </c>
      <c r="K1128">
        <v>1.120876</v>
      </c>
      <c r="L1128">
        <v>367.50360000000001</v>
      </c>
      <c r="M1128">
        <v>0.99977539999999998</v>
      </c>
      <c r="N1128">
        <v>-1.2888190000000001E-2</v>
      </c>
      <c r="O1128">
        <v>1.682726E-2</v>
      </c>
      <c r="P1128">
        <v>0.97956370000000004</v>
      </c>
      <c r="Q1128">
        <v>0.16030829999999999</v>
      </c>
      <c r="R1128">
        <v>-0.1214765</v>
      </c>
      <c r="S1128">
        <v>2.995987</v>
      </c>
      <c r="T1128">
        <v>-0.14906059999999999</v>
      </c>
      <c r="U1128">
        <v>-0.72836299999999998</v>
      </c>
      <c r="V1128">
        <v>0.13792950000000001</v>
      </c>
      <c r="W1128">
        <v>0.1729031</v>
      </c>
      <c r="X1128">
        <v>0.97523329999999997</v>
      </c>
      <c r="Y1128">
        <v>0.25216529999999998</v>
      </c>
      <c r="Z1128">
        <v>-8.4404370000000003E-3</v>
      </c>
      <c r="AA1128">
        <v>0.96764740000000005</v>
      </c>
      <c r="AB1128">
        <v>25</v>
      </c>
      <c r="AC1128">
        <v>22.278099999999899</v>
      </c>
      <c r="AD1128">
        <v>-1.120880697687</v>
      </c>
      <c r="AE1128">
        <v>-5.4813000000000303</v>
      </c>
      <c r="AF1128">
        <v>5.8414911296638996</v>
      </c>
      <c r="AG1128">
        <v>-1.120880697687</v>
      </c>
      <c r="AH1128">
        <v>22.1298800637177</v>
      </c>
      <c r="AI1128">
        <v>92.803688787730806</v>
      </c>
      <c r="AJ1128">
        <v>75.213251945670905</v>
      </c>
      <c r="AK1128">
        <v>22.915300211669098</v>
      </c>
      <c r="AL1128">
        <v>80.043345570364096</v>
      </c>
      <c r="AM1128">
        <v>81.949917635300594</v>
      </c>
      <c r="AN1128">
        <v>1.0000000091943699</v>
      </c>
    </row>
    <row r="1129" spans="1:40" x14ac:dyDescent="0.25">
      <c r="A1129" t="str">
        <f>"20190303162233505"</f>
        <v>20190303162233505</v>
      </c>
      <c r="B1129" t="str">
        <f>"1551601353495405"</f>
        <v>1551601353495405</v>
      </c>
      <c r="C1129" t="s">
        <v>40</v>
      </c>
      <c r="D1129">
        <v>5.1186179999999997</v>
      </c>
      <c r="E1129">
        <v>0.54471449999999999</v>
      </c>
      <c r="F1129" t="s">
        <v>41</v>
      </c>
      <c r="G1129">
        <v>-231.55930000000001</v>
      </c>
      <c r="H1129" s="1">
        <v>-4.9571679999999997E-6</v>
      </c>
      <c r="I1129">
        <v>361.98419999999999</v>
      </c>
      <c r="J1129">
        <v>-254.1694</v>
      </c>
      <c r="K1129">
        <v>1.1208739999999999</v>
      </c>
      <c r="L1129">
        <v>367.50799999999998</v>
      </c>
      <c r="M1129">
        <v>0.9997743</v>
      </c>
      <c r="N1129">
        <v>-1.288574E-2</v>
      </c>
      <c r="O1129">
        <v>1.6899330000000001E-2</v>
      </c>
      <c r="P1129">
        <v>0.97956639999999995</v>
      </c>
      <c r="Q1129">
        <v>0.16070760000000001</v>
      </c>
      <c r="R1129">
        <v>-0.1209257</v>
      </c>
      <c r="S1129">
        <v>2.9969329999999998</v>
      </c>
      <c r="T1129">
        <v>-0.1468999</v>
      </c>
      <c r="U1129">
        <v>-0.72335819999999995</v>
      </c>
      <c r="V1129">
        <v>0.1374494</v>
      </c>
      <c r="W1129">
        <v>0.17330000000000001</v>
      </c>
      <c r="X1129">
        <v>0.97523059999999995</v>
      </c>
      <c r="Y1129">
        <v>0.2506504</v>
      </c>
      <c r="Z1129">
        <v>-8.2936490000000002E-3</v>
      </c>
      <c r="AA1129">
        <v>0.96804210000000002</v>
      </c>
      <c r="AB1129">
        <v>25</v>
      </c>
      <c r="AC1129">
        <v>22.6100999999999</v>
      </c>
      <c r="AD1129">
        <v>-1.120878957168</v>
      </c>
      <c r="AE1129">
        <v>-5.5238000000000502</v>
      </c>
      <c r="AF1129">
        <v>5.8914748438330804</v>
      </c>
      <c r="AG1129">
        <v>-1.120878957168</v>
      </c>
      <c r="AH1129">
        <v>22.461422208964098</v>
      </c>
      <c r="AI1129">
        <v>92.763499549791504</v>
      </c>
      <c r="AJ1129">
        <v>75.302789875516694</v>
      </c>
      <c r="AK1129">
        <v>23.2482544102022</v>
      </c>
      <c r="AL1129">
        <v>80.020255978745197</v>
      </c>
      <c r="AM1129">
        <v>81.977550731257196</v>
      </c>
      <c r="AN1129">
        <v>0.99999997536835905</v>
      </c>
    </row>
    <row r="1130" spans="1:40" x14ac:dyDescent="0.25">
      <c r="A1130" t="str">
        <f>"20190303162233527"</f>
        <v>20190303162233527</v>
      </c>
      <c r="B1130" t="str">
        <f>"1551601353515901"</f>
        <v>1551601353515901</v>
      </c>
      <c r="C1130" t="s">
        <v>40</v>
      </c>
      <c r="D1130">
        <v>5.0643909999999996</v>
      </c>
      <c r="E1130">
        <v>0.54431680000000005</v>
      </c>
      <c r="F1130" t="s">
        <v>41</v>
      </c>
      <c r="G1130">
        <v>-231.08150000000001</v>
      </c>
      <c r="H1130" s="1">
        <v>-5.1637009999999996E-6</v>
      </c>
      <c r="I1130">
        <v>361.97550000000001</v>
      </c>
      <c r="J1130">
        <v>-253.9194</v>
      </c>
      <c r="K1130">
        <v>1.12087</v>
      </c>
      <c r="L1130">
        <v>367.51229999999998</v>
      </c>
      <c r="M1130">
        <v>0.99977309999999997</v>
      </c>
      <c r="N1130">
        <v>-1.288337E-2</v>
      </c>
      <c r="O1130">
        <v>1.6969379999999999E-2</v>
      </c>
      <c r="P1130">
        <v>0.97965170000000001</v>
      </c>
      <c r="Q1130">
        <v>0.1604023</v>
      </c>
      <c r="R1130">
        <v>-0.12063939999999999</v>
      </c>
      <c r="S1130">
        <v>2.9978180000000001</v>
      </c>
      <c r="T1130">
        <v>-0.14553859999999999</v>
      </c>
      <c r="U1130">
        <v>-0.71835329999999997</v>
      </c>
      <c r="V1130">
        <v>0.1372332</v>
      </c>
      <c r="W1130">
        <v>0.172993799999999</v>
      </c>
      <c r="X1130">
        <v>0.9753155</v>
      </c>
      <c r="Y1130">
        <v>0.2491334</v>
      </c>
      <c r="Z1130">
        <v>-8.1850269999999992E-3</v>
      </c>
      <c r="AA1130">
        <v>0.96843460000000003</v>
      </c>
      <c r="AB1130">
        <v>25</v>
      </c>
      <c r="AC1130">
        <v>22.837899999999902</v>
      </c>
      <c r="AD1130">
        <v>-1.1208751637009999</v>
      </c>
      <c r="AE1130">
        <v>-5.5367999999999702</v>
      </c>
      <c r="AF1130">
        <v>5.9101336940038696</v>
      </c>
      <c r="AG1130">
        <v>-1.1208751637009999</v>
      </c>
      <c r="AH1130">
        <v>22.6890276819836</v>
      </c>
      <c r="AI1130">
        <v>92.737019738886403</v>
      </c>
      <c r="AJ1130">
        <v>75.399799792227498</v>
      </c>
      <c r="AK1130">
        <v>23.472920963685301</v>
      </c>
      <c r="AL1130">
        <v>80.0380698993973</v>
      </c>
      <c r="AM1130">
        <v>81.990693891966799</v>
      </c>
      <c r="AN1130">
        <v>1.0000000652804599</v>
      </c>
    </row>
    <row r="1131" spans="1:40" x14ac:dyDescent="0.25">
      <c r="A1131" t="str">
        <f>"20190303162233549"</f>
        <v>20190303162233549</v>
      </c>
      <c r="B1131" t="str">
        <f>"1551601353535434"</f>
        <v>1551601353535434</v>
      </c>
      <c r="C1131" t="s">
        <v>40</v>
      </c>
      <c r="D1131">
        <v>5.0257269999999998</v>
      </c>
      <c r="E1131">
        <v>0.5439427</v>
      </c>
      <c r="F1131" t="s">
        <v>41</v>
      </c>
      <c r="G1131">
        <v>-231.01589999999999</v>
      </c>
      <c r="H1131" s="1">
        <v>-5.1762889999999998E-6</v>
      </c>
      <c r="I1131">
        <v>362.06299999999999</v>
      </c>
      <c r="J1131">
        <v>-253.6694</v>
      </c>
      <c r="K1131">
        <v>1.120871</v>
      </c>
      <c r="L1131">
        <v>367.51670000000001</v>
      </c>
      <c r="M1131">
        <v>0.99977199999999999</v>
      </c>
      <c r="N1131">
        <v>-1.2881E-2</v>
      </c>
      <c r="O1131">
        <v>1.7039249999999999E-2</v>
      </c>
      <c r="P1131">
        <v>0.97971649999999999</v>
      </c>
      <c r="Q1131">
        <v>0.15996099999999999</v>
      </c>
      <c r="R1131">
        <v>-0.1207004</v>
      </c>
      <c r="S1131">
        <v>2.9985050000000002</v>
      </c>
      <c r="T1131">
        <v>-0.1467434</v>
      </c>
      <c r="U1131">
        <v>-0.71340939999999997</v>
      </c>
      <c r="V1131">
        <v>0.1373634</v>
      </c>
      <c r="W1131">
        <v>0.17255039999999999</v>
      </c>
      <c r="X1131">
        <v>0.97537569999999996</v>
      </c>
      <c r="Y1131">
        <v>0.24763650000000001</v>
      </c>
      <c r="Z1131">
        <v>-8.1968030000000008E-3</v>
      </c>
      <c r="AA1131">
        <v>0.96881830000000002</v>
      </c>
      <c r="AB1131">
        <v>25</v>
      </c>
      <c r="AC1131">
        <v>22.653500000000001</v>
      </c>
      <c r="AD1131">
        <v>-1.120876176289</v>
      </c>
      <c r="AE1131">
        <v>-5.4536999999999596</v>
      </c>
      <c r="AF1131">
        <v>5.8254582128809096</v>
      </c>
      <c r="AG1131">
        <v>-1.120876176289</v>
      </c>
      <c r="AH1131">
        <v>22.5051974185196</v>
      </c>
      <c r="AI1131">
        <v>92.760440594712705</v>
      </c>
      <c r="AJ1131">
        <v>75.487548040812896</v>
      </c>
      <c r="AK1131">
        <v>23.2739390228456</v>
      </c>
      <c r="AL1131">
        <v>80.063862571886702</v>
      </c>
      <c r="AM1131">
        <v>81.983682170345801</v>
      </c>
      <c r="AN1131">
        <v>1.0000000501751001</v>
      </c>
    </row>
    <row r="1132" spans="1:40" x14ac:dyDescent="0.25">
      <c r="A1132" t="str">
        <f>"20190303162233571"</f>
        <v>20190303162233571</v>
      </c>
      <c r="B1132" t="str">
        <f>"1551601353565681"</f>
        <v>1551601353565681</v>
      </c>
      <c r="C1132" t="s">
        <v>40</v>
      </c>
      <c r="D1132">
        <v>4.9092390000000004</v>
      </c>
      <c r="E1132">
        <v>0.54420679999999999</v>
      </c>
      <c r="F1132" t="s">
        <v>41</v>
      </c>
      <c r="G1132">
        <v>-230.98480000000001</v>
      </c>
      <c r="H1132" s="1">
        <v>-5.1758959999999997E-6</v>
      </c>
      <c r="I1132">
        <v>362.1404</v>
      </c>
      <c r="J1132">
        <v>-253.41650000000001</v>
      </c>
      <c r="K1132">
        <v>1.120876</v>
      </c>
      <c r="L1132">
        <v>367.52109999999999</v>
      </c>
      <c r="M1132">
        <v>0.99977059999999995</v>
      </c>
      <c r="N1132">
        <v>-1.287862E-2</v>
      </c>
      <c r="O1132">
        <v>1.710977E-2</v>
      </c>
      <c r="P1132">
        <v>0.97974810000000001</v>
      </c>
      <c r="Q1132">
        <v>0.15982099999999999</v>
      </c>
      <c r="R1132">
        <v>-0.12062730000000001</v>
      </c>
      <c r="S1132">
        <v>2.9987490000000001</v>
      </c>
      <c r="T1132">
        <v>-0.1481719</v>
      </c>
      <c r="U1132">
        <v>-0.71069340000000003</v>
      </c>
      <c r="V1132">
        <v>0.13735990000000001</v>
      </c>
      <c r="W1132">
        <v>0.1724086</v>
      </c>
      <c r="X1132">
        <v>0.97540119999999997</v>
      </c>
      <c r="Y1132">
        <v>0.24685099999999999</v>
      </c>
      <c r="Z1132">
        <v>-8.240888E-3</v>
      </c>
      <c r="AA1132">
        <v>0.96901839999999995</v>
      </c>
      <c r="AB1132">
        <v>25</v>
      </c>
      <c r="AC1132">
        <v>22.431699999999999</v>
      </c>
      <c r="AD1132">
        <v>-1.120881175896</v>
      </c>
      <c r="AE1132">
        <v>-5.3806999999999903</v>
      </c>
      <c r="AF1132">
        <v>5.7501690753069203</v>
      </c>
      <c r="AG1132">
        <v>-1.120881175896</v>
      </c>
      <c r="AH1132">
        <v>22.283733412365802</v>
      </c>
      <c r="AI1132">
        <v>92.788387866810496</v>
      </c>
      <c r="AJ1132">
        <v>75.530843263321103</v>
      </c>
      <c r="AK1132">
        <v>23.040954706749499</v>
      </c>
      <c r="AL1132">
        <v>80.072110065815295</v>
      </c>
      <c r="AM1132">
        <v>81.984090612076798</v>
      </c>
      <c r="AN1132">
        <v>0.999999984221704</v>
      </c>
    </row>
    <row r="1133" spans="1:40" x14ac:dyDescent="0.25">
      <c r="A1133" t="str">
        <f>"20190303162233593"</f>
        <v>20190303162233593</v>
      </c>
      <c r="B1133" t="str">
        <f>"1551601353585197"</f>
        <v>1551601353585197</v>
      </c>
      <c r="C1133" t="s">
        <v>40</v>
      </c>
      <c r="D1133">
        <v>4.8997719999999996</v>
      </c>
      <c r="E1133">
        <v>0.57022629999999996</v>
      </c>
      <c r="F1133" t="s">
        <v>41</v>
      </c>
      <c r="G1133">
        <v>-230.68690000000001</v>
      </c>
      <c r="H1133" s="1">
        <v>-5.3073650000000003E-6</v>
      </c>
      <c r="I1133">
        <v>362.11989999999997</v>
      </c>
      <c r="J1133">
        <v>-253.1721</v>
      </c>
      <c r="K1133">
        <v>1.120876</v>
      </c>
      <c r="L1133">
        <v>367.52530000000002</v>
      </c>
      <c r="M1133">
        <v>0.99976960000000004</v>
      </c>
      <c r="N1133">
        <v>-1.287632E-2</v>
      </c>
      <c r="O1133">
        <v>1.7177970000000001E-2</v>
      </c>
      <c r="P1133">
        <v>0.97971339999999996</v>
      </c>
      <c r="Q1133">
        <v>0.16006210000000001</v>
      </c>
      <c r="R1133">
        <v>-0.1205907</v>
      </c>
      <c r="S1133">
        <v>2.9983979999999999</v>
      </c>
      <c r="T1133">
        <v>-0.14786170000000001</v>
      </c>
      <c r="U1133">
        <v>-0.71249390000000001</v>
      </c>
      <c r="V1133">
        <v>0.13738929999999999</v>
      </c>
      <c r="W1133">
        <v>0.17264669999999999</v>
      </c>
      <c r="X1133">
        <v>0.97535499999999997</v>
      </c>
      <c r="Y1133">
        <v>0.24749370000000001</v>
      </c>
      <c r="Z1133">
        <v>-8.2490329999999994E-3</v>
      </c>
      <c r="AA1133">
        <v>0.9688544</v>
      </c>
      <c r="AB1133">
        <v>25</v>
      </c>
      <c r="AC1133">
        <v>22.485199999999899</v>
      </c>
      <c r="AD1133">
        <v>-1.1208813073649999</v>
      </c>
      <c r="AE1133">
        <v>-5.4054000000000402</v>
      </c>
      <c r="AF1133">
        <v>5.7773121358425996</v>
      </c>
      <c r="AG1133">
        <v>-1.1208813073649999</v>
      </c>
      <c r="AH1133">
        <v>22.336546504915599</v>
      </c>
      <c r="AI1133">
        <v>92.781398664160093</v>
      </c>
      <c r="AJ1133">
        <v>75.498344801647207</v>
      </c>
      <c r="AK1133">
        <v>23.098809930089701</v>
      </c>
      <c r="AL1133">
        <v>80.058260812231197</v>
      </c>
      <c r="AM1133">
        <v>81.982022389902198</v>
      </c>
      <c r="AN1133">
        <v>1.00000003940018</v>
      </c>
    </row>
    <row r="1134" spans="1:40" x14ac:dyDescent="0.25">
      <c r="A1134" t="str">
        <f>"20190303162233616"</f>
        <v>20190303162233616</v>
      </c>
      <c r="B1134" t="str">
        <f>"1551601353605223"</f>
        <v>1551601353605223</v>
      </c>
      <c r="C1134" t="s">
        <v>40</v>
      </c>
      <c r="D1134">
        <v>4.8535709999999996</v>
      </c>
      <c r="E1134">
        <v>0.57106169999999901</v>
      </c>
      <c r="F1134" t="s">
        <v>41</v>
      </c>
      <c r="G1134">
        <v>-227.55289999999999</v>
      </c>
      <c r="H1134">
        <v>6.8657579999999996E-2</v>
      </c>
      <c r="I1134">
        <v>359.59769999999997</v>
      </c>
      <c r="J1134">
        <v>-252.90979999999999</v>
      </c>
      <c r="K1134">
        <v>1.1208739999999999</v>
      </c>
      <c r="L1134">
        <v>367.5299</v>
      </c>
      <c r="M1134">
        <v>0.9997684</v>
      </c>
      <c r="N1134">
        <v>-1.2873860000000001E-2</v>
      </c>
      <c r="O1134">
        <v>1.7251539999999999E-2</v>
      </c>
      <c r="P1134">
        <v>0.97969729999999999</v>
      </c>
      <c r="Q1134">
        <v>0.16005069999999999</v>
      </c>
      <c r="R1134">
        <v>-0.120736</v>
      </c>
      <c r="S1134">
        <v>2.9689480000000001</v>
      </c>
      <c r="T1134">
        <v>-0.1219383</v>
      </c>
      <c r="U1134">
        <v>-0.9187012</v>
      </c>
      <c r="V1134">
        <v>0.13760649999999999</v>
      </c>
      <c r="W1134">
        <v>0.1726326</v>
      </c>
      <c r="X1134">
        <v>0.97532680000000005</v>
      </c>
      <c r="Y1134">
        <v>0.311718</v>
      </c>
      <c r="Z1134">
        <v>-8.7817139999999995E-3</v>
      </c>
      <c r="AA1134">
        <v>0.95013409999999998</v>
      </c>
      <c r="AB1134">
        <v>25</v>
      </c>
      <c r="AC1134">
        <v>25.3569</v>
      </c>
      <c r="AD1134">
        <v>-1.0522164199999999</v>
      </c>
      <c r="AE1134">
        <v>-7.9322000000000203</v>
      </c>
      <c r="AF1134">
        <v>8.3553960735434298</v>
      </c>
      <c r="AG1134">
        <v>-1.0522164199999999</v>
      </c>
      <c r="AH1134">
        <v>25.1767831707614</v>
      </c>
      <c r="AI1134">
        <v>92.271493749675003</v>
      </c>
      <c r="AJ1134">
        <v>71.640589877513094</v>
      </c>
      <c r="AK1134">
        <v>26.547885297474</v>
      </c>
      <c r="AL1134">
        <v>80.059080251735594</v>
      </c>
      <c r="AM1134">
        <v>81.969282761661702</v>
      </c>
      <c r="AN1134">
        <v>0.99999996511162403</v>
      </c>
    </row>
    <row r="1135" spans="1:40" x14ac:dyDescent="0.25">
      <c r="A1135" t="str">
        <f>"20190303162233640"</f>
        <v>20190303162233640</v>
      </c>
      <c r="B1135" t="str">
        <f>"1551601353625719"</f>
        <v>1551601353625719</v>
      </c>
      <c r="C1135" t="s">
        <v>40</v>
      </c>
      <c r="D1135">
        <v>4.8597320000000002</v>
      </c>
      <c r="E1135">
        <v>0.57119240000000004</v>
      </c>
      <c r="F1135" t="s">
        <v>41</v>
      </c>
      <c r="G1135">
        <v>-226.77340000000001</v>
      </c>
      <c r="H1135">
        <v>7.9986299999999996E-2</v>
      </c>
      <c r="I1135">
        <v>359.37259999999998</v>
      </c>
      <c r="J1135">
        <v>-252.65610000000001</v>
      </c>
      <c r="K1135">
        <v>1.1208670000000001</v>
      </c>
      <c r="L1135">
        <v>367.53440000000001</v>
      </c>
      <c r="M1135">
        <v>0.99976719999999997</v>
      </c>
      <c r="N1135">
        <v>-1.2871479999999999E-2</v>
      </c>
      <c r="O1135">
        <v>1.7322589999999999E-2</v>
      </c>
      <c r="P1135">
        <v>0.97959589999999996</v>
      </c>
      <c r="Q1135">
        <v>0.16030700000000001</v>
      </c>
      <c r="R1135">
        <v>-0.12121899999999999</v>
      </c>
      <c r="S1135">
        <v>2.967346</v>
      </c>
      <c r="T1135">
        <v>-0.11817510000000001</v>
      </c>
      <c r="U1135">
        <v>-0.92611690000000002</v>
      </c>
      <c r="V1135">
        <v>0.138157</v>
      </c>
      <c r="W1135">
        <v>0.17288480000000001</v>
      </c>
      <c r="X1135">
        <v>0.97520430000000002</v>
      </c>
      <c r="Y1135">
        <v>0.31410979999999999</v>
      </c>
      <c r="Z1135">
        <v>-8.633155E-3</v>
      </c>
      <c r="AA1135">
        <v>0.94934739999999995</v>
      </c>
      <c r="AB1135">
        <v>25</v>
      </c>
      <c r="AC1135">
        <v>25.8827</v>
      </c>
      <c r="AD1135">
        <v>-1.0408807</v>
      </c>
      <c r="AE1135">
        <v>-8.1618000000000208</v>
      </c>
      <c r="AF1135">
        <v>8.5963224712486497</v>
      </c>
      <c r="AG1135">
        <v>-1.0408807</v>
      </c>
      <c r="AH1135">
        <v>25.699616437942002</v>
      </c>
      <c r="AI1135">
        <v>92.199649879860999</v>
      </c>
      <c r="AJ1135">
        <v>71.505311149172996</v>
      </c>
      <c r="AK1135">
        <v>27.1191902113368</v>
      </c>
      <c r="AL1135">
        <v>80.044409707724</v>
      </c>
      <c r="AM1135">
        <v>81.936577732596902</v>
      </c>
      <c r="AN1135">
        <v>0.999999968729264</v>
      </c>
    </row>
    <row r="1136" spans="1:40" x14ac:dyDescent="0.25">
      <c r="A1136" t="str">
        <f>"20190303162233661"</f>
        <v>20190303162233661</v>
      </c>
      <c r="B1136" t="str">
        <f>"1551601353655000"</f>
        <v>1551601353655000</v>
      </c>
      <c r="C1136" t="s">
        <v>40</v>
      </c>
      <c r="D1136">
        <v>4.851782</v>
      </c>
      <c r="E1136">
        <v>0.57106849999999998</v>
      </c>
      <c r="F1136" t="s">
        <v>41</v>
      </c>
      <c r="G1136">
        <v>-226.12719999999999</v>
      </c>
      <c r="H1136">
        <v>7.9986520000000005E-2</v>
      </c>
      <c r="I1136">
        <v>359.23070000000001</v>
      </c>
      <c r="J1136">
        <v>-252.4</v>
      </c>
      <c r="K1136">
        <v>1.120865</v>
      </c>
      <c r="L1136">
        <v>367.53890000000001</v>
      </c>
      <c r="M1136">
        <v>0.99976580000000004</v>
      </c>
      <c r="N1136">
        <v>-1.286907E-2</v>
      </c>
      <c r="O1136">
        <v>1.7394429999999999E-2</v>
      </c>
      <c r="P1136">
        <v>0.9796726</v>
      </c>
      <c r="Q1136">
        <v>0.16009709999999999</v>
      </c>
      <c r="R1136">
        <v>-0.1208733</v>
      </c>
      <c r="S1136">
        <v>2.9666290000000002</v>
      </c>
      <c r="T1136">
        <v>-0.11639770000000001</v>
      </c>
      <c r="U1136">
        <v>-0.92855829999999995</v>
      </c>
      <c r="V1136">
        <v>0.13788329999999999</v>
      </c>
      <c r="W1136">
        <v>0.17267349999999901</v>
      </c>
      <c r="X1136">
        <v>0.97528049999999999</v>
      </c>
      <c r="Y1136">
        <v>0.31496229999999997</v>
      </c>
      <c r="Z1136">
        <v>-8.5556859999999998E-3</v>
      </c>
      <c r="AA1136">
        <v>0.94906559999999995</v>
      </c>
      <c r="AB1136">
        <v>25</v>
      </c>
      <c r="AC1136">
        <v>26.2728</v>
      </c>
      <c r="AD1136">
        <v>-1.0408784799999999</v>
      </c>
      <c r="AE1136">
        <v>-8.3081999999999994</v>
      </c>
      <c r="AF1136">
        <v>8.7514935367996305</v>
      </c>
      <c r="AG1136">
        <v>-1.0408784799999999</v>
      </c>
      <c r="AH1136">
        <v>26.087072295836801</v>
      </c>
      <c r="AI1136">
        <v>92.166367512575107</v>
      </c>
      <c r="AJ1136">
        <v>71.454816959593103</v>
      </c>
      <c r="AK1136">
        <v>27.535566239011501</v>
      </c>
      <c r="AL1136">
        <v>80.056701455075995</v>
      </c>
      <c r="AM1136">
        <v>81.952963076475896</v>
      </c>
      <c r="AN1136">
        <v>0.99999999785069404</v>
      </c>
    </row>
    <row r="1137" spans="1:40" x14ac:dyDescent="0.25">
      <c r="A1137" t="str">
        <f>"20190303162233683"</f>
        <v>20190303162233683</v>
      </c>
      <c r="B1137" t="str">
        <f>"1551601353675499"</f>
        <v>1551601353675499</v>
      </c>
      <c r="C1137" t="s">
        <v>40</v>
      </c>
      <c r="D1137">
        <v>4.8560119999999998</v>
      </c>
      <c r="E1137">
        <v>0.57112050000000003</v>
      </c>
      <c r="F1137" t="s">
        <v>41</v>
      </c>
      <c r="G1137">
        <v>-225.8373</v>
      </c>
      <c r="H1137">
        <v>7.9986589999999996E-2</v>
      </c>
      <c r="I1137">
        <v>359.24209999999999</v>
      </c>
      <c r="J1137">
        <v>-252.1643</v>
      </c>
      <c r="K1137">
        <v>1.120865</v>
      </c>
      <c r="L1137">
        <v>367.54309999999998</v>
      </c>
      <c r="M1137">
        <v>0.99976489999999996</v>
      </c>
      <c r="N1137">
        <v>-1.2866850000000001E-2</v>
      </c>
      <c r="O1137">
        <v>1.7460299999999901E-2</v>
      </c>
      <c r="P1137">
        <v>0.97967199999999999</v>
      </c>
      <c r="Q1137">
        <v>0.1602806</v>
      </c>
      <c r="R1137">
        <v>-0.1206356</v>
      </c>
      <c r="S1137">
        <v>2.966904</v>
      </c>
      <c r="T1137">
        <v>-0.1162599</v>
      </c>
      <c r="U1137">
        <v>-0.92669679999999999</v>
      </c>
      <c r="V1137">
        <v>0.13770979999999999</v>
      </c>
      <c r="W1137">
        <v>0.17285519999999999</v>
      </c>
      <c r="X1137">
        <v>0.97527280000000005</v>
      </c>
      <c r="Y1137">
        <v>0.31445840000000003</v>
      </c>
      <c r="Z1137">
        <v>-8.5359890000000008E-3</v>
      </c>
      <c r="AA1137">
        <v>0.94923290000000005</v>
      </c>
      <c r="AB1137">
        <v>25</v>
      </c>
      <c r="AC1137">
        <v>26.327000000000002</v>
      </c>
      <c r="AD1137">
        <v>-1.0408784099999999</v>
      </c>
      <c r="AE1137">
        <v>-8.3009999999999806</v>
      </c>
      <c r="AF1137">
        <v>8.7470132713838495</v>
      </c>
      <c r="AG1137">
        <v>-1.0408784099999999</v>
      </c>
      <c r="AH1137">
        <v>26.140869258169602</v>
      </c>
      <c r="AI1137">
        <v>92.162474051522395</v>
      </c>
      <c r="AJ1137">
        <v>71.499210033178898</v>
      </c>
      <c r="AK1137">
        <v>27.585117629020299</v>
      </c>
      <c r="AL1137">
        <v>80.046131617229605</v>
      </c>
      <c r="AM1137">
        <v>81.962893737204894</v>
      </c>
      <c r="AN1137">
        <v>0.99999997180145905</v>
      </c>
    </row>
    <row r="1138" spans="1:40" x14ac:dyDescent="0.25">
      <c r="A1138" t="str">
        <f>"20190303162233696"</f>
        <v>20190303162233696</v>
      </c>
      <c r="B1138" t="str">
        <f>"1551601353685256"</f>
        <v>1551601353685256</v>
      </c>
      <c r="C1138" t="s">
        <v>40</v>
      </c>
      <c r="D1138">
        <v>4.869974</v>
      </c>
      <c r="E1138">
        <v>0.57110709999999998</v>
      </c>
      <c r="F1138" t="s">
        <v>41</v>
      </c>
      <c r="G1138">
        <v>-225.94319999999999</v>
      </c>
      <c r="H1138">
        <v>7.9986559999999998E-2</v>
      </c>
      <c r="I1138">
        <v>359.36169999999998</v>
      </c>
      <c r="J1138">
        <v>-252.0103</v>
      </c>
      <c r="K1138">
        <v>1.120865</v>
      </c>
      <c r="L1138">
        <v>367.54579999999999</v>
      </c>
      <c r="M1138">
        <v>0.99976410000000004</v>
      </c>
      <c r="N1138">
        <v>-1.2865390000000001E-2</v>
      </c>
      <c r="O1138">
        <v>1.7503399999999999E-2</v>
      </c>
      <c r="P1138">
        <v>0.97965219999999997</v>
      </c>
      <c r="Q1138">
        <v>0.16028999999999999</v>
      </c>
      <c r="R1138">
        <v>-0.12078560000000001</v>
      </c>
      <c r="S1138">
        <v>2.9674990000000001</v>
      </c>
      <c r="T1138">
        <v>-0.1177981</v>
      </c>
      <c r="U1138">
        <v>-0.92590329999999998</v>
      </c>
      <c r="V1138">
        <v>0.13790150000000001</v>
      </c>
      <c r="W1138">
        <v>0.172862299999999</v>
      </c>
      <c r="X1138">
        <v>0.97524449999999996</v>
      </c>
      <c r="Y1138">
        <v>0.31420700000000001</v>
      </c>
      <c r="Z1138">
        <v>-8.6176350000000002E-3</v>
      </c>
      <c r="AA1138">
        <v>0.94931540000000003</v>
      </c>
      <c r="AB1138">
        <v>25</v>
      </c>
      <c r="AC1138">
        <v>26.0671</v>
      </c>
      <c r="AD1138">
        <v>-1.04087844</v>
      </c>
      <c r="AE1138">
        <v>-8.1841000000000008</v>
      </c>
      <c r="AF1138">
        <v>8.6266259822144296</v>
      </c>
      <c r="AG1138">
        <v>-1.04087844</v>
      </c>
      <c r="AH1138">
        <v>25.88227910877</v>
      </c>
      <c r="AI1138">
        <v>92.184916398384004</v>
      </c>
      <c r="AJ1138">
        <v>71.566645832612494</v>
      </c>
      <c r="AK1138">
        <v>27.301913405989399</v>
      </c>
      <c r="AL1138">
        <v>80.045719050576807</v>
      </c>
      <c r="AM1138">
        <v>81.951621625006894</v>
      </c>
      <c r="AN1138">
        <v>1.0000000166218901</v>
      </c>
    </row>
    <row r="1139" spans="1:40" x14ac:dyDescent="0.25">
      <c r="A1139" t="str">
        <f>"20190303162233709"</f>
        <v>20190303162233709</v>
      </c>
      <c r="B1139" t="str">
        <f>"1551601353695525"</f>
        <v>1551601353695525</v>
      </c>
      <c r="C1139" t="s">
        <v>40</v>
      </c>
      <c r="D1139">
        <v>4.9074749999999998</v>
      </c>
      <c r="E1139">
        <v>0.57084749999999995</v>
      </c>
      <c r="F1139" t="s">
        <v>41</v>
      </c>
      <c r="G1139">
        <v>-225.904</v>
      </c>
      <c r="H1139">
        <v>7.9986559999999998E-2</v>
      </c>
      <c r="I1139">
        <v>359.39580000000001</v>
      </c>
      <c r="J1139">
        <v>-251.87909999999999</v>
      </c>
      <c r="K1139">
        <v>1.12087</v>
      </c>
      <c r="L1139">
        <v>367.54820000000001</v>
      </c>
      <c r="M1139">
        <v>0.99976350000000003</v>
      </c>
      <c r="N1139">
        <v>-1.286415E-2</v>
      </c>
      <c r="O1139">
        <v>1.7540010000000002E-2</v>
      </c>
      <c r="P1139">
        <v>0.97956209999999999</v>
      </c>
      <c r="Q1139">
        <v>0.16082070000000001</v>
      </c>
      <c r="R1139">
        <v>-0.12081</v>
      </c>
      <c r="S1139">
        <v>2.9674680000000002</v>
      </c>
      <c r="T1139">
        <v>-0.1183149</v>
      </c>
      <c r="U1139">
        <v>-0.92639159999999998</v>
      </c>
      <c r="V1139">
        <v>0.1379601</v>
      </c>
      <c r="W1139">
        <v>0.17339060000000001</v>
      </c>
      <c r="X1139">
        <v>0.97514239999999996</v>
      </c>
      <c r="Y1139">
        <v>0.31438440000000001</v>
      </c>
      <c r="Z1139">
        <v>-8.6526799999999994E-3</v>
      </c>
      <c r="AA1139">
        <v>0.9492564</v>
      </c>
      <c r="AB1139">
        <v>25</v>
      </c>
      <c r="AC1139">
        <v>25.975099999999902</v>
      </c>
      <c r="AD1139">
        <v>-1.04088344</v>
      </c>
      <c r="AE1139">
        <v>-8.1524000000000001</v>
      </c>
      <c r="AF1139">
        <v>8.59422378396944</v>
      </c>
      <c r="AG1139">
        <v>-1.04088344</v>
      </c>
      <c r="AH1139">
        <v>25.790397994513999</v>
      </c>
      <c r="AI1139">
        <v>92.192748639106796</v>
      </c>
      <c r="AJ1139">
        <v>71.570200968952605</v>
      </c>
      <c r="AK1139">
        <v>27.204572216817599</v>
      </c>
      <c r="AL1139">
        <v>80.014985383260395</v>
      </c>
      <c r="AM1139">
        <v>81.947414397344005</v>
      </c>
      <c r="AN1139">
        <v>0.99999999481906499</v>
      </c>
    </row>
    <row r="1140" spans="1:40" x14ac:dyDescent="0.25">
      <c r="A1140" t="str">
        <f>"20190303162233722"</f>
        <v>20190303162233722</v>
      </c>
      <c r="B1140" t="str">
        <f>"1551601353715045"</f>
        <v>1551601353715045</v>
      </c>
      <c r="C1140" t="s">
        <v>40</v>
      </c>
      <c r="D1140">
        <v>4.8771890000000004</v>
      </c>
      <c r="E1140">
        <v>0.57074829999999999</v>
      </c>
      <c r="F1140" t="s">
        <v>41</v>
      </c>
      <c r="G1140">
        <v>-225.90780000000001</v>
      </c>
      <c r="H1140">
        <v>7.9986570000000007E-2</v>
      </c>
      <c r="I1140">
        <v>359.46030000000002</v>
      </c>
      <c r="J1140">
        <v>-251.71629999999999</v>
      </c>
      <c r="K1140">
        <v>1.120873</v>
      </c>
      <c r="L1140">
        <v>367.55110000000002</v>
      </c>
      <c r="M1140">
        <v>0.9997627</v>
      </c>
      <c r="N1140">
        <v>-1.28626E-2</v>
      </c>
      <c r="O1140">
        <v>1.758579E-2</v>
      </c>
      <c r="P1140">
        <v>0.97957179999999999</v>
      </c>
      <c r="Q1140">
        <v>0.160797</v>
      </c>
      <c r="R1140">
        <v>-0.1207623</v>
      </c>
      <c r="S1140">
        <v>2.968124</v>
      </c>
      <c r="T1140">
        <v>-0.1189567</v>
      </c>
      <c r="U1140">
        <v>-0.92431640000000004</v>
      </c>
      <c r="V1140">
        <v>0.13795750000000001</v>
      </c>
      <c r="W1140">
        <v>0.173365299999999</v>
      </c>
      <c r="X1140">
        <v>0.97514730000000005</v>
      </c>
      <c r="Y1140">
        <v>0.31376090000000001</v>
      </c>
      <c r="Z1140">
        <v>-8.6732619999999993E-3</v>
      </c>
      <c r="AA1140">
        <v>0.94946240000000004</v>
      </c>
      <c r="AB1140">
        <v>25</v>
      </c>
      <c r="AC1140">
        <v>25.808499999999899</v>
      </c>
      <c r="AD1140">
        <v>-1.04088643</v>
      </c>
      <c r="AE1140">
        <v>-8.0907999999999998</v>
      </c>
      <c r="AF1140">
        <v>8.5308144544026092</v>
      </c>
      <c r="AG1140">
        <v>-1.04088643</v>
      </c>
      <c r="AH1140">
        <v>25.624262661040099</v>
      </c>
      <c r="AI1140">
        <v>92.207165291173894</v>
      </c>
      <c r="AJ1140">
        <v>71.586398185125205</v>
      </c>
      <c r="AK1140">
        <v>27.0270434331537</v>
      </c>
      <c r="AL1140">
        <v>80.016457590874793</v>
      </c>
      <c r="AM1140">
        <v>81.947604097941706</v>
      </c>
      <c r="AN1140">
        <v>1.0000000278738099</v>
      </c>
    </row>
    <row r="1141" spans="1:40" x14ac:dyDescent="0.25">
      <c r="A1141" t="str">
        <f>"20190303162233735"</f>
        <v>20190303162233735</v>
      </c>
      <c r="B1141" t="str">
        <f>"1551601353725781"</f>
        <v>1551601353725781</v>
      </c>
      <c r="C1141" t="s">
        <v>40</v>
      </c>
      <c r="D1141">
        <v>4.9615619999999998</v>
      </c>
      <c r="E1141">
        <v>0.5706639</v>
      </c>
      <c r="F1141" t="s">
        <v>41</v>
      </c>
      <c r="G1141">
        <v>-226.11799999999999</v>
      </c>
      <c r="H1141">
        <v>7.9449370000000005E-2</v>
      </c>
      <c r="I1141">
        <v>359.58690000000001</v>
      </c>
      <c r="J1141">
        <v>-251.5745</v>
      </c>
      <c r="K1141">
        <v>1.1208739999999999</v>
      </c>
      <c r="L1141">
        <v>367.55360000000002</v>
      </c>
      <c r="M1141">
        <v>0.99976209999999999</v>
      </c>
      <c r="N1141">
        <v>-1.2861269999999999E-2</v>
      </c>
      <c r="O1141">
        <v>1.7625430000000001E-2</v>
      </c>
      <c r="P1141">
        <v>0.97952709999999998</v>
      </c>
      <c r="Q1141">
        <v>0.16101489999999999</v>
      </c>
      <c r="R1141">
        <v>-0.120836</v>
      </c>
      <c r="S1141">
        <v>2.9685060000000001</v>
      </c>
      <c r="T1141">
        <v>-0.1207681</v>
      </c>
      <c r="U1141">
        <v>-0.92355350000000003</v>
      </c>
      <c r="V1141">
        <v>0.138069</v>
      </c>
      <c r="W1141">
        <v>0.17358180000000001</v>
      </c>
      <c r="X1141">
        <v>0.97509299999999999</v>
      </c>
      <c r="Y1141">
        <v>0.31353309999999901</v>
      </c>
      <c r="Z1141">
        <v>-8.7713659999999992E-3</v>
      </c>
      <c r="AA1141">
        <v>0.94953670000000001</v>
      </c>
      <c r="AB1141">
        <v>25</v>
      </c>
      <c r="AC1141">
        <v>25.456499999999998</v>
      </c>
      <c r="AD1141">
        <v>-1.0414246300000001</v>
      </c>
      <c r="AE1141">
        <v>-7.9667000000000003</v>
      </c>
      <c r="AF1141">
        <v>8.4013745587137993</v>
      </c>
      <c r="AG1141">
        <v>-1.0414246300000001</v>
      </c>
      <c r="AH1141">
        <v>25.2735914701044</v>
      </c>
      <c r="AI1141">
        <v>92.239251193582504</v>
      </c>
      <c r="AJ1141">
        <v>71.612309654239596</v>
      </c>
      <c r="AK1141">
        <v>26.653744306072799</v>
      </c>
      <c r="AL1141">
        <v>80.0038620530119</v>
      </c>
      <c r="AM1141">
        <v>81.940738577160801</v>
      </c>
      <c r="AN1141">
        <v>1.00000002435061</v>
      </c>
    </row>
    <row r="1142" spans="1:40" x14ac:dyDescent="0.25">
      <c r="A1142" t="str">
        <f>"20190303162233750"</f>
        <v>20190303162233750</v>
      </c>
      <c r="B1142" t="str">
        <f>"1551601353745300"</f>
        <v>1551601353745300</v>
      </c>
      <c r="C1142" t="s">
        <v>40</v>
      </c>
      <c r="D1142">
        <v>5.0387149999999998</v>
      </c>
      <c r="E1142">
        <v>0.53578840000000005</v>
      </c>
      <c r="F1142" t="s">
        <v>41</v>
      </c>
      <c r="G1142">
        <v>-225.9821</v>
      </c>
      <c r="H1142">
        <v>7.1849579999999996E-2</v>
      </c>
      <c r="I1142">
        <v>359.59449999999998</v>
      </c>
      <c r="J1142">
        <v>-251.40819999999999</v>
      </c>
      <c r="K1142">
        <v>1.120878</v>
      </c>
      <c r="L1142">
        <v>367.5566</v>
      </c>
      <c r="M1142">
        <v>0.99976120000000002</v>
      </c>
      <c r="N1142">
        <v>-1.285971E-2</v>
      </c>
      <c r="O1142">
        <v>1.7672230000000001E-2</v>
      </c>
      <c r="P1142">
        <v>0.97956560000000004</v>
      </c>
      <c r="Q1142">
        <v>0.1609168</v>
      </c>
      <c r="R1142">
        <v>-0.1206532</v>
      </c>
      <c r="S1142">
        <v>2.9688110000000001</v>
      </c>
      <c r="T1142">
        <v>-0.1216902</v>
      </c>
      <c r="U1142">
        <v>-0.92327879999999996</v>
      </c>
      <c r="V1142">
        <v>0.13793279999999999</v>
      </c>
      <c r="W1142">
        <v>0.17348269999999999</v>
      </c>
      <c r="X1142">
        <v>0.97512989999999999</v>
      </c>
      <c r="Y1142">
        <v>0.31346560000000001</v>
      </c>
      <c r="Z1142">
        <v>-8.82288E-3</v>
      </c>
      <c r="AA1142">
        <v>0.94955860000000003</v>
      </c>
      <c r="AB1142">
        <v>25</v>
      </c>
      <c r="AC1142">
        <v>25.426099999999899</v>
      </c>
      <c r="AD1142">
        <v>-1.04902842</v>
      </c>
      <c r="AE1142">
        <v>-7.9621000000000199</v>
      </c>
      <c r="AF1142">
        <v>8.3972120158792194</v>
      </c>
      <c r="AG1142">
        <v>-1.04902842</v>
      </c>
      <c r="AH1142">
        <v>25.242278304126799</v>
      </c>
      <c r="AI1142">
        <v>92.258211897775396</v>
      </c>
      <c r="AJ1142">
        <v>71.599542946284103</v>
      </c>
      <c r="AK1142">
        <v>26.6230397259326</v>
      </c>
      <c r="AL1142">
        <v>80.009627424876498</v>
      </c>
      <c r="AM1142">
        <v>81.948885123689806</v>
      </c>
      <c r="AN1142">
        <v>1.0000000131945599</v>
      </c>
    </row>
    <row r="1143" spans="1:40" x14ac:dyDescent="0.25">
      <c r="A1143" t="str">
        <f>"20190303162233772"</f>
        <v>20190303162233772</v>
      </c>
      <c r="B1143" t="str">
        <f>"1551601353765797"</f>
        <v>1551601353765797</v>
      </c>
      <c r="C1143" t="s">
        <v>40</v>
      </c>
      <c r="D1143">
        <v>5.2510879999999904</v>
      </c>
      <c r="E1143">
        <v>0.51526190000000005</v>
      </c>
      <c r="F1143" t="s">
        <v>41</v>
      </c>
      <c r="G1143">
        <v>-233.94900000000001</v>
      </c>
      <c r="H1143" s="1">
        <v>-3.6082449999999998E-6</v>
      </c>
      <c r="I1143">
        <v>363.80939999999998</v>
      </c>
      <c r="J1143">
        <v>-251.15950000000001</v>
      </c>
      <c r="K1143">
        <v>1.1208720000000001</v>
      </c>
      <c r="L1143">
        <v>367.56110000000001</v>
      </c>
      <c r="M1143">
        <v>0.99975999999999998</v>
      </c>
      <c r="N1143">
        <v>-1.2857469999999999E-2</v>
      </c>
      <c r="O1143">
        <v>1.7742040000000001E-2</v>
      </c>
      <c r="P1143">
        <v>0.9795623</v>
      </c>
      <c r="Q1143">
        <v>0.1610471</v>
      </c>
      <c r="R1143">
        <v>-0.1205059</v>
      </c>
      <c r="S1143">
        <v>3.0146790000000001</v>
      </c>
      <c r="T1143">
        <v>-0.1935414</v>
      </c>
      <c r="U1143">
        <v>-0.64703369999999905</v>
      </c>
      <c r="V1143">
        <v>0.1378537</v>
      </c>
      <c r="W1143">
        <v>0.1736104</v>
      </c>
      <c r="X1143">
        <v>0.97511829999999999</v>
      </c>
      <c r="Y1143">
        <v>0.22660259999999999</v>
      </c>
      <c r="Z1143">
        <v>-9.5601220000000008E-3</v>
      </c>
      <c r="AA1143">
        <v>0.97394040000000004</v>
      </c>
      <c r="AB1143">
        <v>25</v>
      </c>
      <c r="AC1143">
        <v>17.2104999999999</v>
      </c>
      <c r="AD1143">
        <v>-1.12087560824499</v>
      </c>
      <c r="AE1143">
        <v>-3.75170000000002</v>
      </c>
      <c r="AF1143">
        <v>4.0401248278470803</v>
      </c>
      <c r="AG1143">
        <v>-1.12087560824499</v>
      </c>
      <c r="AH1143">
        <v>17.072094480245902</v>
      </c>
      <c r="AI1143">
        <v>93.655700889625393</v>
      </c>
      <c r="AJ1143">
        <v>76.685847941191597</v>
      </c>
      <c r="AK1143">
        <v>17.579402171182799</v>
      </c>
      <c r="AL1143">
        <v>80.002197442897199</v>
      </c>
      <c r="AM1143">
        <v>81.953347223224895</v>
      </c>
      <c r="AN1143">
        <v>0.99999995629336902</v>
      </c>
    </row>
    <row r="1144" spans="1:40" x14ac:dyDescent="0.25">
      <c r="A1144" t="str">
        <f>"20190303162233786"</f>
        <v>20190303162233786</v>
      </c>
      <c r="B1144" t="str">
        <f>"1551601353775556"</f>
        <v>1551601353775556</v>
      </c>
      <c r="C1144" t="s">
        <v>40</v>
      </c>
      <c r="D1144">
        <v>5.2473269999999896</v>
      </c>
      <c r="E1144">
        <v>0.5105227</v>
      </c>
      <c r="F1144" t="s">
        <v>41</v>
      </c>
      <c r="G1144">
        <v>-227.86789999999999</v>
      </c>
      <c r="H1144" s="1">
        <v>-2.2497019999999999E-6</v>
      </c>
      <c r="I1144">
        <v>363.83580000000001</v>
      </c>
      <c r="J1144">
        <v>-251.00299999999999</v>
      </c>
      <c r="K1144">
        <v>1.1208750000000001</v>
      </c>
      <c r="L1144">
        <v>367.56389999999999</v>
      </c>
      <c r="M1144">
        <v>0.99975919999999896</v>
      </c>
      <c r="N1144">
        <v>-1.285612E-2</v>
      </c>
      <c r="O1144">
        <v>1.7786030000000001E-2</v>
      </c>
      <c r="P1144">
        <v>0.97963809999999996</v>
      </c>
      <c r="Q1144">
        <v>0.16085089999999999</v>
      </c>
      <c r="R1144">
        <v>-0.1201507</v>
      </c>
      <c r="S1144">
        <v>3.0269620000000002</v>
      </c>
      <c r="T1144">
        <v>-0.14566760000000001</v>
      </c>
      <c r="U1144">
        <v>-0.48413089999999998</v>
      </c>
      <c r="V1144">
        <v>0.137543</v>
      </c>
      <c r="W1144">
        <v>0.1734136</v>
      </c>
      <c r="X1144">
        <v>0.97519730000000004</v>
      </c>
      <c r="Y1144">
        <v>0.1752089</v>
      </c>
      <c r="Z1144">
        <v>-5.9442870000000004E-3</v>
      </c>
      <c r="AA1144">
        <v>0.98451330000000004</v>
      </c>
      <c r="AB1144">
        <v>25</v>
      </c>
      <c r="AC1144">
        <v>23.135099999999898</v>
      </c>
      <c r="AD1144">
        <v>-1.1208772497020001</v>
      </c>
      <c r="AE1144">
        <v>-3.72809999999998</v>
      </c>
      <c r="AF1144">
        <v>4.12957763376847</v>
      </c>
      <c r="AG1144">
        <v>-1.1208772497020001</v>
      </c>
      <c r="AH1144">
        <v>23.012475653620299</v>
      </c>
      <c r="AI1144">
        <v>92.744748609272605</v>
      </c>
      <c r="AJ1144">
        <v>79.826579741170903</v>
      </c>
      <c r="AK1144">
        <v>23.406918057503599</v>
      </c>
      <c r="AL1144">
        <v>80.013648005130307</v>
      </c>
      <c r="AM1144">
        <v>81.971888263661398</v>
      </c>
      <c r="AN1144">
        <v>1.0000000637206199</v>
      </c>
    </row>
    <row r="1145" spans="1:40" x14ac:dyDescent="0.25">
      <c r="A1145" t="str">
        <f>"20190303162233799"</f>
        <v>20190303162233799</v>
      </c>
      <c r="B1145" t="str">
        <f>"1551601353785684"</f>
        <v>1551601353785684</v>
      </c>
      <c r="C1145" t="s">
        <v>40</v>
      </c>
      <c r="D1145">
        <v>5.1859339999999996</v>
      </c>
      <c r="E1145">
        <v>0.5080983</v>
      </c>
      <c r="F1145" t="s">
        <v>41</v>
      </c>
      <c r="G1145">
        <v>-226.45670000000001</v>
      </c>
      <c r="H1145" s="1">
        <v>-2.6995839999999999E-6</v>
      </c>
      <c r="I1145">
        <v>363.94990000000001</v>
      </c>
      <c r="J1145">
        <v>-250.8571</v>
      </c>
      <c r="K1145">
        <v>1.1208750000000001</v>
      </c>
      <c r="L1145">
        <v>367.56659999999999</v>
      </c>
      <c r="M1145">
        <v>0.99975860000000005</v>
      </c>
      <c r="N1145">
        <v>-1.2854829999999999E-2</v>
      </c>
      <c r="O1145">
        <v>1.782663E-2</v>
      </c>
      <c r="P1145">
        <v>0.97971189999999997</v>
      </c>
      <c r="Q1145">
        <v>0.16071340000000001</v>
      </c>
      <c r="R1145">
        <v>-0.11973259999999999</v>
      </c>
      <c r="S1145">
        <v>3.0303650000000002</v>
      </c>
      <c r="T1145">
        <v>-0.13837749999999999</v>
      </c>
      <c r="U1145">
        <v>-0.44616699999999998</v>
      </c>
      <c r="V1145">
        <v>0.13716600000000001</v>
      </c>
      <c r="W1145">
        <v>0.1732756</v>
      </c>
      <c r="X1145">
        <v>0.97527489999999994</v>
      </c>
      <c r="Y1145">
        <v>0.16305310000000001</v>
      </c>
      <c r="Z1145">
        <v>-5.3369969999999996E-3</v>
      </c>
      <c r="AA1145">
        <v>0.9866028</v>
      </c>
      <c r="AB1145">
        <v>25</v>
      </c>
      <c r="AC1145">
        <v>24.400399999999902</v>
      </c>
      <c r="AD1145">
        <v>-1.120877699584</v>
      </c>
      <c r="AE1145">
        <v>-3.6166999999999798</v>
      </c>
      <c r="AF1145">
        <v>4.04279029220376</v>
      </c>
      <c r="AG1145">
        <v>-1.120877699584</v>
      </c>
      <c r="AH1145">
        <v>24.2819050581037</v>
      </c>
      <c r="AI1145">
        <v>92.607118488228295</v>
      </c>
      <c r="AJ1145">
        <v>80.547306527132903</v>
      </c>
      <c r="AK1145">
        <v>24.641660524707401</v>
      </c>
      <c r="AL1145">
        <v>80.021676100721905</v>
      </c>
      <c r="AM1145">
        <v>81.994236071913093</v>
      </c>
      <c r="AN1145">
        <v>1.0000000378406799</v>
      </c>
    </row>
    <row r="1146" spans="1:40" x14ac:dyDescent="0.25">
      <c r="A1146" t="str">
        <f>"20190303162233813"</f>
        <v>20190303162233813</v>
      </c>
      <c r="B1146" t="str">
        <f>"1551601353805204"</f>
        <v>1551601353805204</v>
      </c>
      <c r="C1146" t="s">
        <v>40</v>
      </c>
      <c r="D1146">
        <v>5.1146750000000001</v>
      </c>
      <c r="E1146">
        <v>0.50542349999999903</v>
      </c>
      <c r="F1146" t="s">
        <v>41</v>
      </c>
      <c r="G1146">
        <v>-225.74600000000001</v>
      </c>
      <c r="H1146" s="1">
        <v>-2.9180700000000001E-6</v>
      </c>
      <c r="I1146">
        <v>364.03769999999997</v>
      </c>
      <c r="J1146">
        <v>-250.70429999999999</v>
      </c>
      <c r="K1146">
        <v>1.120881</v>
      </c>
      <c r="L1146">
        <v>367.56939999999997</v>
      </c>
      <c r="M1146">
        <v>0.99975780000000003</v>
      </c>
      <c r="N1146">
        <v>-1.2853440000000001E-2</v>
      </c>
      <c r="O1146">
        <v>1.7869550000000001E-2</v>
      </c>
      <c r="P1146">
        <v>0.97975279999999998</v>
      </c>
      <c r="Q1146">
        <v>0.16087389999999999</v>
      </c>
      <c r="R1146">
        <v>-0.1191817</v>
      </c>
      <c r="S1146">
        <v>3.0322269999999998</v>
      </c>
      <c r="T1146">
        <v>-0.1353481</v>
      </c>
      <c r="U1146">
        <v>-0.42611690000000002</v>
      </c>
      <c r="V1146">
        <v>0.1366578</v>
      </c>
      <c r="W1146">
        <v>0.17343520000000001</v>
      </c>
      <c r="X1146">
        <v>0.97531780000000001</v>
      </c>
      <c r="Y1146">
        <v>0.1566302</v>
      </c>
      <c r="Z1146">
        <v>-5.0542690000000001E-3</v>
      </c>
      <c r="AA1146">
        <v>0.98764439999999998</v>
      </c>
      <c r="AB1146">
        <v>25</v>
      </c>
      <c r="AC1146">
        <v>24.958300000000001</v>
      </c>
      <c r="AD1146">
        <v>-1.1208839180700001</v>
      </c>
      <c r="AE1146">
        <v>-3.5316999999999998</v>
      </c>
      <c r="AF1146">
        <v>3.9693176956990599</v>
      </c>
      <c r="AG1146">
        <v>-1.1208839180700001</v>
      </c>
      <c r="AH1146">
        <v>24.842077863306098</v>
      </c>
      <c r="AI1146">
        <v>92.551138099752805</v>
      </c>
      <c r="AJ1146">
        <v>80.921900375381497</v>
      </c>
      <c r="AK1146">
        <v>25.182150350868401</v>
      </c>
      <c r="AL1146">
        <v>80.012390398454698</v>
      </c>
      <c r="AM1146">
        <v>82.023861302735199</v>
      </c>
      <c r="AN1146">
        <v>0.99999996694835902</v>
      </c>
    </row>
    <row r="1147" spans="1:40" x14ac:dyDescent="0.25">
      <c r="A1147" t="str">
        <f>"20190303162233829"</f>
        <v>20190303162233829</v>
      </c>
      <c r="B1147" t="str">
        <f>"1551601353814964"</f>
        <v>1551601353814964</v>
      </c>
      <c r="C1147" t="s">
        <v>40</v>
      </c>
      <c r="D1147">
        <v>5.1111519999999997</v>
      </c>
      <c r="E1147">
        <v>0.50469839999999999</v>
      </c>
      <c r="F1147" t="s">
        <v>41</v>
      </c>
      <c r="G1147">
        <v>-224.82650000000001</v>
      </c>
      <c r="H1147" s="1">
        <v>-3.2074430000000001E-6</v>
      </c>
      <c r="I1147">
        <v>364.12619999999998</v>
      </c>
      <c r="J1147">
        <v>-250.52789999999999</v>
      </c>
      <c r="K1147">
        <v>1.1208800000000001</v>
      </c>
      <c r="L1147">
        <v>367.57260000000002</v>
      </c>
      <c r="M1147">
        <v>0.99975689999999995</v>
      </c>
      <c r="N1147">
        <v>-1.285173E-2</v>
      </c>
      <c r="O1147">
        <v>1.7919029999999999E-2</v>
      </c>
      <c r="P1147">
        <v>0.97986200000000001</v>
      </c>
      <c r="Q1147">
        <v>0.16081909999999999</v>
      </c>
      <c r="R1147">
        <v>-0.1183543</v>
      </c>
      <c r="S1147">
        <v>3.0345</v>
      </c>
      <c r="T1147">
        <v>-0.13143740000000001</v>
      </c>
      <c r="U1147">
        <v>-0.40374759999999998</v>
      </c>
      <c r="V1147">
        <v>0.135881</v>
      </c>
      <c r="W1147">
        <v>0.17338029999999999</v>
      </c>
      <c r="X1147">
        <v>0.97543619999999998</v>
      </c>
      <c r="Y1147">
        <v>0.14944549999999901</v>
      </c>
      <c r="Z1147">
        <v>-4.7294549999999996E-3</v>
      </c>
      <c r="AA1147">
        <v>0.98875860000000004</v>
      </c>
      <c r="AB1147">
        <v>25</v>
      </c>
      <c r="AC1147">
        <v>25.7013999999999</v>
      </c>
      <c r="AD1147">
        <v>-1.120883207443</v>
      </c>
      <c r="AE1147">
        <v>-3.4464000000000401</v>
      </c>
      <c r="AF1147">
        <v>3.8991436086588598</v>
      </c>
      <c r="AG1147">
        <v>-1.120883207443</v>
      </c>
      <c r="AH1147">
        <v>25.587703695798599</v>
      </c>
      <c r="AI1147">
        <v>92.479680627831797</v>
      </c>
      <c r="AJ1147">
        <v>81.335722431251398</v>
      </c>
      <c r="AK1147">
        <v>25.907340281658801</v>
      </c>
      <c r="AL1147">
        <v>80.015585438859404</v>
      </c>
      <c r="AM1147">
        <v>82.069571712683</v>
      </c>
      <c r="AN1147">
        <v>1.0000000774297599</v>
      </c>
    </row>
    <row r="1148" spans="1:40" x14ac:dyDescent="0.25">
      <c r="A1148" t="str">
        <f>"20190303162233842"</f>
        <v>20190303162233842</v>
      </c>
      <c r="B1148" t="str">
        <f>"1551601353835460"</f>
        <v>1551601353835460</v>
      </c>
      <c r="C1148" t="s">
        <v>40</v>
      </c>
      <c r="D1148">
        <v>5.1155089999999896</v>
      </c>
      <c r="E1148">
        <v>0.50373009999999996</v>
      </c>
      <c r="F1148" t="s">
        <v>41</v>
      </c>
      <c r="G1148">
        <v>-224.72280000000001</v>
      </c>
      <c r="H1148" s="1">
        <v>-3.2213859999999998E-6</v>
      </c>
      <c r="I1148">
        <v>364.20639999999997</v>
      </c>
      <c r="J1148">
        <v>-250.38200000000001</v>
      </c>
      <c r="K1148">
        <v>1.120878</v>
      </c>
      <c r="L1148">
        <v>367.57530000000003</v>
      </c>
      <c r="M1148">
        <v>0.99975610000000004</v>
      </c>
      <c r="N1148">
        <v>-1.2850200000000001E-2</v>
      </c>
      <c r="O1148">
        <v>1.7959989999999999E-2</v>
      </c>
      <c r="P1148">
        <v>0.98001070000000001</v>
      </c>
      <c r="Q1148">
        <v>0.1607172</v>
      </c>
      <c r="R1148">
        <v>-0.1172557</v>
      </c>
      <c r="S1148">
        <v>3.0354610000000002</v>
      </c>
      <c r="T1148">
        <v>-0.13184949999999901</v>
      </c>
      <c r="U1148">
        <v>-0.39596559999999997</v>
      </c>
      <c r="V1148">
        <v>0.13482520000000001</v>
      </c>
      <c r="W1148">
        <v>0.17327890000000001</v>
      </c>
      <c r="X1148">
        <v>0.97560060000000004</v>
      </c>
      <c r="Y1148">
        <v>0.1469549</v>
      </c>
      <c r="Z1148">
        <v>-4.6724150000000001E-3</v>
      </c>
      <c r="AA1148">
        <v>0.98913220000000002</v>
      </c>
      <c r="AB1148">
        <v>25</v>
      </c>
      <c r="AC1148">
        <v>25.659199999999998</v>
      </c>
      <c r="AD1148">
        <v>-1.120881221386</v>
      </c>
      <c r="AE1148">
        <v>-3.3689000000000502</v>
      </c>
      <c r="AF1148">
        <v>3.8220637486329099</v>
      </c>
      <c r="AG1148">
        <v>-1.120881221386</v>
      </c>
      <c r="AH1148">
        <v>25.546627252802399</v>
      </c>
      <c r="AI1148">
        <v>92.484673729606897</v>
      </c>
      <c r="AJ1148">
        <v>81.4910172338205</v>
      </c>
      <c r="AK1148">
        <v>25.855264647740398</v>
      </c>
      <c r="AL1148">
        <v>80.021483449114498</v>
      </c>
      <c r="AM1148">
        <v>82.131725899165005</v>
      </c>
      <c r="AN1148">
        <v>0.99999997123030404</v>
      </c>
    </row>
    <row r="1149" spans="1:40" x14ac:dyDescent="0.25">
      <c r="A1149" t="str">
        <f>"20190303162233863"</f>
        <v>20190303162233863</v>
      </c>
      <c r="B1149" t="str">
        <f>"1551601353854980"</f>
        <v>1551601353854980</v>
      </c>
      <c r="C1149" t="s">
        <v>40</v>
      </c>
      <c r="D1149">
        <v>5.073099</v>
      </c>
      <c r="E1149">
        <v>0.50338819999999995</v>
      </c>
      <c r="F1149" t="s">
        <v>41</v>
      </c>
      <c r="G1149">
        <v>-224.8432</v>
      </c>
      <c r="H1149" s="1">
        <v>-3.1466200000000002E-6</v>
      </c>
      <c r="I1149">
        <v>364.33330000000001</v>
      </c>
      <c r="J1149">
        <v>-250.15049999999999</v>
      </c>
      <c r="K1149">
        <v>1.1208849999999999</v>
      </c>
      <c r="L1149">
        <v>367.5795</v>
      </c>
      <c r="M1149">
        <v>0.99975499999999995</v>
      </c>
      <c r="N1149">
        <v>-1.2847819999999999E-2</v>
      </c>
      <c r="O1149">
        <v>1.8024789999999999E-2</v>
      </c>
      <c r="P1149">
        <v>0.98019080000000003</v>
      </c>
      <c r="Q1149">
        <v>0.16087379999999901</v>
      </c>
      <c r="R1149">
        <v>-0.1155225</v>
      </c>
      <c r="S1149">
        <v>3.036896</v>
      </c>
      <c r="T1149">
        <v>-0.13328719999999999</v>
      </c>
      <c r="U1149">
        <v>-0.38549800000000001</v>
      </c>
      <c r="V1149">
        <v>0.1331591</v>
      </c>
      <c r="W1149">
        <v>0.1734357</v>
      </c>
      <c r="X1149">
        <v>0.97580160000000005</v>
      </c>
      <c r="Y1149">
        <v>0.14360490000000001</v>
      </c>
      <c r="Z1149">
        <v>-4.6212930000000003E-3</v>
      </c>
      <c r="AA1149">
        <v>0.98962430000000001</v>
      </c>
      <c r="AB1149">
        <v>25</v>
      </c>
      <c r="AC1149">
        <v>25.307300000000001</v>
      </c>
      <c r="AD1149">
        <v>-1.12088814662</v>
      </c>
      <c r="AE1149">
        <v>-3.24619999999998</v>
      </c>
      <c r="AF1149">
        <v>3.6947383032093799</v>
      </c>
      <c r="AG1149">
        <v>-1.12088814662</v>
      </c>
      <c r="AH1149">
        <v>25.1960439702884</v>
      </c>
      <c r="AI1149">
        <v>92.520301265980393</v>
      </c>
      <c r="AJ1149">
        <v>81.657625471250199</v>
      </c>
      <c r="AK1149">
        <v>25.4901571811384</v>
      </c>
      <c r="AL1149">
        <v>80.012361898047303</v>
      </c>
      <c r="AM1149">
        <v>82.2293436555874</v>
      </c>
      <c r="AN1149">
        <v>1.0000000252549199</v>
      </c>
    </row>
    <row r="1150" spans="1:40" x14ac:dyDescent="0.25">
      <c r="A1150" t="str">
        <f>"20190303162233884"</f>
        <v>20190303162233884</v>
      </c>
      <c r="B1150" t="str">
        <f>"1551601353875475"</f>
        <v>1551601353875475</v>
      </c>
      <c r="C1150" t="s">
        <v>40</v>
      </c>
      <c r="D1150">
        <v>5.2320390000000003</v>
      </c>
      <c r="E1150">
        <v>0.50334440000000003</v>
      </c>
      <c r="F1150" t="s">
        <v>41</v>
      </c>
      <c r="G1150">
        <v>-224.54490000000001</v>
      </c>
      <c r="H1150" s="1">
        <v>-3.2489049999999999E-6</v>
      </c>
      <c r="I1150">
        <v>364.39400000000001</v>
      </c>
      <c r="J1150">
        <v>-249.91249999999999</v>
      </c>
      <c r="K1150">
        <v>1.1208880000000001</v>
      </c>
      <c r="L1150">
        <v>367.58390000000003</v>
      </c>
      <c r="M1150">
        <v>0.99975389999999997</v>
      </c>
      <c r="N1150">
        <v>-1.284542E-2</v>
      </c>
      <c r="O1150">
        <v>1.809144E-2</v>
      </c>
      <c r="P1150">
        <v>0.98038369999999997</v>
      </c>
      <c r="Q1150">
        <v>0.16121640000000001</v>
      </c>
      <c r="R1150">
        <v>-0.1133899</v>
      </c>
      <c r="S1150">
        <v>3.0378880000000001</v>
      </c>
      <c r="T1150">
        <v>-0.13298370000000001</v>
      </c>
      <c r="U1150">
        <v>-0.37792969999999998</v>
      </c>
      <c r="V1150">
        <v>0.1310954</v>
      </c>
      <c r="W1150">
        <v>0.17377899999999999</v>
      </c>
      <c r="X1150">
        <v>0.97601990000000005</v>
      </c>
      <c r="Y1150">
        <v>0.14120669999999999</v>
      </c>
      <c r="Z1150">
        <v>-4.5456990000000003E-3</v>
      </c>
      <c r="AA1150">
        <v>0.98996969999999995</v>
      </c>
      <c r="AB1150">
        <v>25</v>
      </c>
      <c r="AC1150">
        <v>25.3675999999999</v>
      </c>
      <c r="AD1150">
        <v>-1.12089124890499</v>
      </c>
      <c r="AE1150">
        <v>-3.1899000000000202</v>
      </c>
      <c r="AF1150">
        <v>3.64135338434011</v>
      </c>
      <c r="AG1150">
        <v>-1.12089124890499</v>
      </c>
      <c r="AH1150">
        <v>25.257188458032999</v>
      </c>
      <c r="AI1150">
        <v>92.5150975430019</v>
      </c>
      <c r="AJ1150">
        <v>81.796139982694996</v>
      </c>
      <c r="AK1150">
        <v>25.542932886928099</v>
      </c>
      <c r="AL1150">
        <v>79.9923886612074</v>
      </c>
      <c r="AM1150">
        <v>82.350026629204606</v>
      </c>
      <c r="AN1150">
        <v>0.99999999496908498</v>
      </c>
    </row>
    <row r="1151" spans="1:40" x14ac:dyDescent="0.25">
      <c r="A1151" t="str">
        <f>"20190303162233898"</f>
        <v>20190303162233898</v>
      </c>
      <c r="B1151" t="str">
        <f>"1551601353885236"</f>
        <v>1551601353885236</v>
      </c>
      <c r="C1151" t="s">
        <v>40</v>
      </c>
      <c r="D1151">
        <v>5.091297</v>
      </c>
      <c r="E1151">
        <v>0.50324349999999995</v>
      </c>
      <c r="F1151" t="s">
        <v>41</v>
      </c>
      <c r="G1151">
        <v>-223.8245</v>
      </c>
      <c r="H1151" s="1">
        <v>-3.5580009999999999E-6</v>
      </c>
      <c r="I1151">
        <v>364.3938</v>
      </c>
      <c r="J1151">
        <v>-249.74789999999999</v>
      </c>
      <c r="K1151">
        <v>1.120889</v>
      </c>
      <c r="L1151">
        <v>367.58699999999999</v>
      </c>
      <c r="M1151">
        <v>0.999753</v>
      </c>
      <c r="N1151">
        <v>-1.2843790000000001E-2</v>
      </c>
      <c r="O1151">
        <v>1.8137759999999999E-2</v>
      </c>
      <c r="P1151">
        <v>0.98048480000000005</v>
      </c>
      <c r="Q1151">
        <v>0.16136829999999999</v>
      </c>
      <c r="R1151">
        <v>-0.11229260000000001</v>
      </c>
      <c r="S1151">
        <v>3.038513</v>
      </c>
      <c r="T1151">
        <v>-0.13055169999999999</v>
      </c>
      <c r="U1151">
        <v>-0.37155149999999998</v>
      </c>
      <c r="V1151">
        <v>0.13004560000000001</v>
      </c>
      <c r="W1151">
        <v>0.17393020000000001</v>
      </c>
      <c r="X1151">
        <v>0.97613340000000004</v>
      </c>
      <c r="Y1151">
        <v>0.1391888</v>
      </c>
      <c r="Z1151">
        <v>-4.4197170000000001E-3</v>
      </c>
      <c r="AA1151">
        <v>0.99025600000000003</v>
      </c>
      <c r="AB1151">
        <v>25</v>
      </c>
      <c r="AC1151">
        <v>25.923399999999901</v>
      </c>
      <c r="AD1151">
        <v>-1.1208925580010001</v>
      </c>
      <c r="AE1151">
        <v>-3.1931999999999898</v>
      </c>
      <c r="AF1151">
        <v>3.6561724747126498</v>
      </c>
      <c r="AG1151">
        <v>-1.1208925580010001</v>
      </c>
      <c r="AH1151">
        <v>25.813673137993199</v>
      </c>
      <c r="AI1151">
        <v>92.461820338911494</v>
      </c>
      <c r="AJ1151">
        <v>81.938417448302999</v>
      </c>
      <c r="AK1151">
        <v>26.095396493760699</v>
      </c>
      <c r="AL1151">
        <v>79.983591557214396</v>
      </c>
      <c r="AM1151">
        <v>82.4114422037064</v>
      </c>
      <c r="AN1151">
        <v>0.99999999357348002</v>
      </c>
    </row>
    <row r="1152" spans="1:40" x14ac:dyDescent="0.25">
      <c r="A1152" t="str">
        <f>"20190303162233918"</f>
        <v>20190303162233918</v>
      </c>
      <c r="B1152" t="str">
        <f>"1551601353905263"</f>
        <v>1551601353905263</v>
      </c>
      <c r="C1152" t="s">
        <v>40</v>
      </c>
      <c r="D1152">
        <v>5.1461690000000004</v>
      </c>
      <c r="E1152">
        <v>0.50325540000000002</v>
      </c>
      <c r="F1152" t="s">
        <v>41</v>
      </c>
      <c r="G1152">
        <v>-223.63390000000001</v>
      </c>
      <c r="H1152" s="1">
        <v>-3.6337060000000002E-6</v>
      </c>
      <c r="I1152">
        <v>364.42779999999999</v>
      </c>
      <c r="J1152">
        <v>-249.53139999999999</v>
      </c>
      <c r="K1152">
        <v>1.120889</v>
      </c>
      <c r="L1152">
        <v>367.59100000000001</v>
      </c>
      <c r="M1152">
        <v>0.99975199999999997</v>
      </c>
      <c r="N1152">
        <v>-1.284165E-2</v>
      </c>
      <c r="O1152">
        <v>1.8198389999999998E-2</v>
      </c>
      <c r="P1152">
        <v>0.9806454</v>
      </c>
      <c r="Q1152">
        <v>0.1615154</v>
      </c>
      <c r="R1152">
        <v>-0.1106692</v>
      </c>
      <c r="S1152">
        <v>3.0390779999999999</v>
      </c>
      <c r="T1152">
        <v>-0.13044629999999999</v>
      </c>
      <c r="U1152">
        <v>-0.36764530000000001</v>
      </c>
      <c r="V1152">
        <v>0.1284845</v>
      </c>
      <c r="W1152">
        <v>0.1740776</v>
      </c>
      <c r="X1152">
        <v>0.97631380000000001</v>
      </c>
      <c r="Y1152">
        <v>0.13797400000000001</v>
      </c>
      <c r="Z1152">
        <v>-4.3841059999999996E-3</v>
      </c>
      <c r="AA1152">
        <v>0.99042609999999998</v>
      </c>
      <c r="AB1152">
        <v>25</v>
      </c>
      <c r="AC1152">
        <v>25.897499999999901</v>
      </c>
      <c r="AD1152">
        <v>-1.1208926337059999</v>
      </c>
      <c r="AE1152">
        <v>-3.16320000000001</v>
      </c>
      <c r="AF1152">
        <v>3.6273124709039601</v>
      </c>
      <c r="AG1152">
        <v>-1.1208926337059999</v>
      </c>
      <c r="AH1152">
        <v>25.788041495739801</v>
      </c>
      <c r="AI1152">
        <v>92.4645976377452</v>
      </c>
      <c r="AJ1152">
        <v>81.993377555773904</v>
      </c>
      <c r="AK1152">
        <v>26.066010056084</v>
      </c>
      <c r="AL1152">
        <v>79.975014956269007</v>
      </c>
      <c r="AM1152">
        <v>82.502864139642497</v>
      </c>
      <c r="AN1152">
        <v>0.999999956816224</v>
      </c>
    </row>
    <row r="1153" spans="1:40" x14ac:dyDescent="0.25">
      <c r="A1153" t="str">
        <f>"20190303162233931"</f>
        <v>20190303162233931</v>
      </c>
      <c r="B1153" t="str">
        <f>"1551601353925759"</f>
        <v>1551601353925759</v>
      </c>
      <c r="C1153" t="s">
        <v>40</v>
      </c>
      <c r="D1153">
        <v>5.3520789999999998</v>
      </c>
      <c r="E1153">
        <v>0.5030715</v>
      </c>
      <c r="F1153" t="s">
        <v>41</v>
      </c>
      <c r="G1153">
        <v>-223.60929999999999</v>
      </c>
      <c r="H1153" s="1">
        <v>-3.633514E-6</v>
      </c>
      <c r="I1153">
        <v>364.48840000000001</v>
      </c>
      <c r="J1153">
        <v>-249.38550000000001</v>
      </c>
      <c r="K1153">
        <v>1.1208899999999999</v>
      </c>
      <c r="L1153">
        <v>367.59370000000001</v>
      </c>
      <c r="M1153">
        <v>0.99975130000000001</v>
      </c>
      <c r="N1153">
        <v>-1.2840209999999999E-2</v>
      </c>
      <c r="O1153">
        <v>1.8239169999999999E-2</v>
      </c>
      <c r="P1153">
        <v>0.98075950000000001</v>
      </c>
      <c r="Q1153">
        <v>0.16151860000000001</v>
      </c>
      <c r="R1153">
        <v>-0.10964989999999999</v>
      </c>
      <c r="S1153">
        <v>3.0398100000000001</v>
      </c>
      <c r="T1153">
        <v>-0.13144349999999999</v>
      </c>
      <c r="U1153">
        <v>-0.3638306</v>
      </c>
      <c r="V1153">
        <v>0.12750719999999999</v>
      </c>
      <c r="W1153">
        <v>0.17408100000000001</v>
      </c>
      <c r="X1153">
        <v>0.97644140000000001</v>
      </c>
      <c r="Y1153">
        <v>0.13675979999999999</v>
      </c>
      <c r="Z1153">
        <v>-4.3790620000000004E-3</v>
      </c>
      <c r="AA1153">
        <v>0.99059459999999999</v>
      </c>
      <c r="AB1153">
        <v>25</v>
      </c>
      <c r="AC1153">
        <v>25.776199999999999</v>
      </c>
      <c r="AD1153">
        <v>-1.1208936335139901</v>
      </c>
      <c r="AE1153">
        <v>-3.1053000000000002</v>
      </c>
      <c r="AF1153">
        <v>3.5683074325767299</v>
      </c>
      <c r="AG1153">
        <v>-1.1208936335139901</v>
      </c>
      <c r="AH1153">
        <v>25.667426043515501</v>
      </c>
      <c r="AI1153">
        <v>92.476722636179801</v>
      </c>
      <c r="AJ1153">
        <v>82.085419602322602</v>
      </c>
      <c r="AK1153">
        <v>25.938503815185101</v>
      </c>
      <c r="AL1153">
        <v>79.974818014442107</v>
      </c>
      <c r="AM1153">
        <v>82.560210134406304</v>
      </c>
      <c r="AN1153">
        <v>1.0000000441233901</v>
      </c>
    </row>
    <row r="1154" spans="1:40" x14ac:dyDescent="0.25">
      <c r="A1154" t="str">
        <f>"20190303162233944"</f>
        <v>20190303162233944</v>
      </c>
      <c r="B1154" t="str">
        <f>"1551601353925759"</f>
        <v>1551601353925759</v>
      </c>
      <c r="C1154" t="s">
        <v>40</v>
      </c>
      <c r="D1154">
        <v>5.3520789999999998</v>
      </c>
      <c r="E1154">
        <v>0.5030715</v>
      </c>
      <c r="F1154" t="s">
        <v>41</v>
      </c>
      <c r="G1154">
        <v>-223.51929999999999</v>
      </c>
      <c r="H1154" s="1">
        <v>-3.6628700000000001E-6</v>
      </c>
      <c r="I1154">
        <v>364.54070000000002</v>
      </c>
      <c r="J1154">
        <v>-249.24019999999999</v>
      </c>
      <c r="K1154">
        <v>1.1208959999999999</v>
      </c>
      <c r="L1154">
        <v>367.59640000000002</v>
      </c>
      <c r="M1154">
        <v>0.99975060000000004</v>
      </c>
      <c r="N1154">
        <v>-1.2838779999999999E-2</v>
      </c>
      <c r="O1154">
        <v>1.827995E-2</v>
      </c>
      <c r="P1154">
        <v>0.98081609999999997</v>
      </c>
      <c r="Q1154">
        <v>0.16134399999999999</v>
      </c>
      <c r="R1154">
        <v>-0.1093986</v>
      </c>
      <c r="S1154">
        <v>3.0404659999999999</v>
      </c>
      <c r="T1154">
        <v>-0.13175580000000001</v>
      </c>
      <c r="U1154">
        <v>-0.35885620000000001</v>
      </c>
      <c r="V1154">
        <v>0.12729699999999999</v>
      </c>
      <c r="W1154">
        <v>0.1739058</v>
      </c>
      <c r="X1154">
        <v>0.97650000000000003</v>
      </c>
      <c r="Y1154">
        <v>0.13517789999999999</v>
      </c>
      <c r="Z1154">
        <v>-4.3441970000000002E-3</v>
      </c>
      <c r="AA1154">
        <v>0.99081180000000002</v>
      </c>
      <c r="AB1154">
        <v>25</v>
      </c>
      <c r="AC1154">
        <v>25.7209</v>
      </c>
      <c r="AD1154">
        <v>-1.1208996628700001</v>
      </c>
      <c r="AE1154">
        <v>-3.0556999999999999</v>
      </c>
      <c r="AF1154">
        <v>3.5188150153781699</v>
      </c>
      <c r="AG1154">
        <v>-1.1208996628700001</v>
      </c>
      <c r="AH1154">
        <v>25.612773166258801</v>
      </c>
      <c r="AI1154">
        <v>92.4825641652467</v>
      </c>
      <c r="AJ1154">
        <v>82.177381178758594</v>
      </c>
      <c r="AK1154">
        <v>25.877647196623101</v>
      </c>
      <c r="AL1154">
        <v>79.985011292193803</v>
      </c>
      <c r="AM1154">
        <v>82.572778580155997</v>
      </c>
      <c r="AN1154">
        <v>1.00000000174132</v>
      </c>
    </row>
    <row r="1155" spans="1:40" x14ac:dyDescent="0.25">
      <c r="A1155" t="str">
        <f>"20190303162233957"</f>
        <v>20190303162233957</v>
      </c>
      <c r="B1155" t="str">
        <f>"1551601353945279"</f>
        <v>1551601353945279</v>
      </c>
      <c r="C1155" t="s">
        <v>40</v>
      </c>
      <c r="D1155">
        <v>5.1814280000000004</v>
      </c>
      <c r="E1155">
        <v>0.50317879999999904</v>
      </c>
      <c r="F1155" t="s">
        <v>41</v>
      </c>
      <c r="G1155">
        <v>-223.4811</v>
      </c>
      <c r="H1155" s="1">
        <v>-3.675929E-6</v>
      </c>
      <c r="I1155">
        <v>364.55939999999998</v>
      </c>
      <c r="J1155">
        <v>-249.09270000000001</v>
      </c>
      <c r="K1155">
        <v>1.1208979999999999</v>
      </c>
      <c r="L1155">
        <v>367.5992</v>
      </c>
      <c r="M1155">
        <v>0.99974980000000002</v>
      </c>
      <c r="N1155">
        <v>-1.2837329999999999E-2</v>
      </c>
      <c r="O1155">
        <v>1.8321199999999999E-2</v>
      </c>
      <c r="P1155">
        <v>0.98087159999999995</v>
      </c>
      <c r="Q1155">
        <v>0.16150619999999999</v>
      </c>
      <c r="R1155">
        <v>-0.10866099999999999</v>
      </c>
      <c r="S1155">
        <v>3.040451</v>
      </c>
      <c r="T1155">
        <v>-0.13230410000000001</v>
      </c>
      <c r="U1155">
        <v>-0.35845949999999999</v>
      </c>
      <c r="V1155">
        <v>0.1266005</v>
      </c>
      <c r="W1155">
        <v>0.17406729999999901</v>
      </c>
      <c r="X1155">
        <v>0.97656180000000004</v>
      </c>
      <c r="Y1155">
        <v>0.13509060000000001</v>
      </c>
      <c r="Z1155">
        <v>-4.3583839999999999E-3</v>
      </c>
      <c r="AA1155">
        <v>0.99082369999999997</v>
      </c>
      <c r="AB1155">
        <v>25</v>
      </c>
      <c r="AC1155">
        <v>25.611599999999999</v>
      </c>
      <c r="AD1155">
        <v>-1.120901675929</v>
      </c>
      <c r="AE1155">
        <v>-3.0398000000000098</v>
      </c>
      <c r="AF1155">
        <v>3.5019490908964301</v>
      </c>
      <c r="AG1155">
        <v>-1.120901675929</v>
      </c>
      <c r="AH1155">
        <v>25.503432152011399</v>
      </c>
      <c r="AI1155">
        <v>92.493223018976806</v>
      </c>
      <c r="AJ1155">
        <v>82.181447389772899</v>
      </c>
      <c r="AK1155">
        <v>25.767132543893599</v>
      </c>
      <c r="AL1155">
        <v>79.975614997361404</v>
      </c>
      <c r="AM1155">
        <v>82.613428561755001</v>
      </c>
      <c r="AN1155">
        <v>1.0000000303743799</v>
      </c>
    </row>
    <row r="1156" spans="1:40" x14ac:dyDescent="0.25">
      <c r="A1156" t="str">
        <f>"20190303162233974"</f>
        <v>20190303162233974</v>
      </c>
      <c r="B1156" t="str">
        <f>"1551601353965779"</f>
        <v>1551601353965779</v>
      </c>
      <c r="C1156" t="s">
        <v>40</v>
      </c>
      <c r="D1156">
        <v>5.3985059999999896</v>
      </c>
      <c r="E1156">
        <v>0.50330169999999996</v>
      </c>
      <c r="F1156" t="s">
        <v>41</v>
      </c>
      <c r="G1156">
        <v>-223.43780000000001</v>
      </c>
      <c r="H1156" s="1">
        <v>-3.6895380000000002E-6</v>
      </c>
      <c r="I1156">
        <v>364.58749999999998</v>
      </c>
      <c r="J1156">
        <v>-248.91550000000001</v>
      </c>
      <c r="K1156">
        <v>1.1208959999999999</v>
      </c>
      <c r="L1156">
        <v>367.60250000000002</v>
      </c>
      <c r="M1156">
        <v>0.99974890000000005</v>
      </c>
      <c r="N1156">
        <v>-1.2835610000000001E-2</v>
      </c>
      <c r="O1156">
        <v>1.837099E-2</v>
      </c>
      <c r="P1156">
        <v>0.98096779999999995</v>
      </c>
      <c r="Q1156">
        <v>0.16121079999999999</v>
      </c>
      <c r="R1156">
        <v>-0.1082297</v>
      </c>
      <c r="S1156">
        <v>3.040848</v>
      </c>
      <c r="T1156">
        <v>-0.1328589</v>
      </c>
      <c r="U1156">
        <v>-0.35696409999999901</v>
      </c>
      <c r="V1156">
        <v>0.12622</v>
      </c>
      <c r="W1156">
        <v>0.1737715</v>
      </c>
      <c r="X1156">
        <v>0.97666370000000002</v>
      </c>
      <c r="Y1156">
        <v>0.1346435</v>
      </c>
      <c r="Z1156">
        <v>-4.3624069999999996E-3</v>
      </c>
      <c r="AA1156">
        <v>0.99088449999999995</v>
      </c>
      <c r="AB1156">
        <v>25</v>
      </c>
      <c r="AC1156">
        <v>25.477699999999999</v>
      </c>
      <c r="AD1156">
        <v>-1.1208996895379999</v>
      </c>
      <c r="AE1156">
        <v>-3.0150000000000401</v>
      </c>
      <c r="AF1156">
        <v>3.4759451279451699</v>
      </c>
      <c r="AG1156">
        <v>-1.1208996895379999</v>
      </c>
      <c r="AH1156">
        <v>25.369579661800501</v>
      </c>
      <c r="AI1156">
        <v>92.506457631337099</v>
      </c>
      <c r="AJ1156">
        <v>82.198348465364504</v>
      </c>
      <c r="AK1156">
        <v>25.631117471989601</v>
      </c>
      <c r="AL1156">
        <v>79.9928250973026</v>
      </c>
      <c r="AM1156">
        <v>82.636144901271507</v>
      </c>
      <c r="AN1156">
        <v>1.00000000275497</v>
      </c>
    </row>
    <row r="1157" spans="1:40" x14ac:dyDescent="0.25">
      <c r="A1157" t="str">
        <f>"20190303162233988"</f>
        <v>20190303162233988</v>
      </c>
      <c r="B1157" t="str">
        <f>"1551601353975535"</f>
        <v>1551601353975535</v>
      </c>
      <c r="C1157" t="s">
        <v>40</v>
      </c>
      <c r="D1157">
        <v>5.3555729999999997</v>
      </c>
      <c r="E1157">
        <v>0.50318009999999902</v>
      </c>
      <c r="F1157" t="s">
        <v>41</v>
      </c>
      <c r="G1157">
        <v>-223.60589999999999</v>
      </c>
      <c r="H1157" s="1">
        <v>-3.609472E-6</v>
      </c>
      <c r="I1157">
        <v>364.63220000000001</v>
      </c>
      <c r="J1157">
        <v>-248.75280000000001</v>
      </c>
      <c r="K1157">
        <v>1.1208959999999999</v>
      </c>
      <c r="L1157">
        <v>367.60550000000001</v>
      </c>
      <c r="M1157">
        <v>0.99974810000000003</v>
      </c>
      <c r="N1157">
        <v>-1.283405E-2</v>
      </c>
      <c r="O1157">
        <v>1.841659E-2</v>
      </c>
      <c r="P1157">
        <v>0.98097540000000005</v>
      </c>
      <c r="Q1157">
        <v>0.16142709999999999</v>
      </c>
      <c r="R1157">
        <v>-0.1078365</v>
      </c>
      <c r="S1157">
        <v>3.0409549999999999</v>
      </c>
      <c r="T1157">
        <v>-0.13467589999999999</v>
      </c>
      <c r="U1157">
        <v>-0.35687259999999998</v>
      </c>
      <c r="V1157">
        <v>0.1258716</v>
      </c>
      <c r="W1157">
        <v>0.17398659999999999</v>
      </c>
      <c r="X1157">
        <v>0.97667040000000005</v>
      </c>
      <c r="Y1157">
        <v>0.13465089999999999</v>
      </c>
      <c r="Z1157">
        <v>-4.4148159999999898E-3</v>
      </c>
      <c r="AA1157">
        <v>0.99088330000000002</v>
      </c>
      <c r="AB1157">
        <v>25</v>
      </c>
      <c r="AC1157">
        <v>25.146899999999999</v>
      </c>
      <c r="AD1157">
        <v>-1.1208996094719901</v>
      </c>
      <c r="AE1157">
        <v>-2.9732999999999898</v>
      </c>
      <c r="AF1157">
        <v>3.42923447669506</v>
      </c>
      <c r="AG1157">
        <v>-1.1208996094719901</v>
      </c>
      <c r="AH1157">
        <v>25.038809435645899</v>
      </c>
      <c r="AI1157">
        <v>92.539544391210896</v>
      </c>
      <c r="AJ1157">
        <v>82.201472952510102</v>
      </c>
      <c r="AK1157">
        <v>25.297392019440601</v>
      </c>
      <c r="AL1157">
        <v>79.980310445657096</v>
      </c>
      <c r="AM1157">
        <v>82.656298696942699</v>
      </c>
      <c r="AN1157">
        <v>1.0000000334511301</v>
      </c>
    </row>
    <row r="1158" spans="1:40" x14ac:dyDescent="0.25">
      <c r="A1158" t="str">
        <f>"20190303162234008"</f>
        <v>20190303162234008</v>
      </c>
      <c r="B1158" t="str">
        <f>"1551601353995056"</f>
        <v>1551601353995056</v>
      </c>
      <c r="C1158" t="s">
        <v>40</v>
      </c>
      <c r="D1158">
        <v>5.4210019999999997</v>
      </c>
      <c r="E1158">
        <v>0.50241899999999995</v>
      </c>
      <c r="F1158" t="s">
        <v>41</v>
      </c>
      <c r="G1158">
        <v>-223.5453</v>
      </c>
      <c r="H1158" s="1">
        <v>-3.629772E-6</v>
      </c>
      <c r="I1158">
        <v>364.6644</v>
      </c>
      <c r="J1158">
        <v>-248.5324</v>
      </c>
      <c r="K1158">
        <v>1.120897</v>
      </c>
      <c r="L1158">
        <v>367.6096</v>
      </c>
      <c r="M1158">
        <v>0.99974689999999999</v>
      </c>
      <c r="N1158">
        <v>-1.283198E-2</v>
      </c>
      <c r="O1158">
        <v>1.8478060000000001E-2</v>
      </c>
      <c r="P1158">
        <v>0.98106210000000005</v>
      </c>
      <c r="Q1158">
        <v>0.16079350000000001</v>
      </c>
      <c r="R1158">
        <v>-0.1079947</v>
      </c>
      <c r="S1158">
        <v>3.041458</v>
      </c>
      <c r="T1158">
        <v>-0.13524349999999999</v>
      </c>
      <c r="U1158">
        <v>-0.35485840000000002</v>
      </c>
      <c r="V1158">
        <v>0.1260915</v>
      </c>
      <c r="W1158">
        <v>0.17335159999999999</v>
      </c>
      <c r="X1158">
        <v>0.97675489999999998</v>
      </c>
      <c r="Y1158">
        <v>0.13404489999999999</v>
      </c>
      <c r="Z1158">
        <v>-4.4147379999999996E-3</v>
      </c>
      <c r="AA1158">
        <v>0.9909654</v>
      </c>
      <c r="AB1158">
        <v>25</v>
      </c>
      <c r="AC1158">
        <v>24.987100000000002</v>
      </c>
      <c r="AD1158">
        <v>-1.1209006297719999</v>
      </c>
      <c r="AE1158">
        <v>-2.9451999999999998</v>
      </c>
      <c r="AF1158">
        <v>3.3997006042042002</v>
      </c>
      <c r="AG1158">
        <v>-1.1209006297719999</v>
      </c>
      <c r="AH1158">
        <v>24.8790279184315</v>
      </c>
      <c r="AI1158">
        <v>92.555940376329801</v>
      </c>
      <c r="AJ1158">
        <v>82.218768660426704</v>
      </c>
      <c r="AK1158">
        <v>25.135242441363999</v>
      </c>
      <c r="AL1158">
        <v>80.017254220187098</v>
      </c>
      <c r="AM1158">
        <v>82.644238964998394</v>
      </c>
      <c r="AN1158">
        <v>0.99999998913440902</v>
      </c>
    </row>
    <row r="1159" spans="1:40" x14ac:dyDescent="0.25">
      <c r="A1159" t="str">
        <f>"20190303162234030"</f>
        <v>20190303162234030</v>
      </c>
      <c r="B1159" t="str">
        <f>"1551601354015551"</f>
        <v>1551601354015551</v>
      </c>
      <c r="C1159" t="s">
        <v>40</v>
      </c>
      <c r="D1159">
        <v>5.4178069999999998</v>
      </c>
      <c r="E1159">
        <v>0.50165309999999996</v>
      </c>
      <c r="F1159" t="s">
        <v>41</v>
      </c>
      <c r="G1159">
        <v>-224.3177</v>
      </c>
      <c r="H1159" s="1">
        <v>-3.2693690000000002E-6</v>
      </c>
      <c r="I1159">
        <v>364.82810000000001</v>
      </c>
      <c r="J1159">
        <v>-248.2878</v>
      </c>
      <c r="K1159">
        <v>1.1208929999999999</v>
      </c>
      <c r="L1159">
        <v>367.61430000000001</v>
      </c>
      <c r="M1159">
        <v>0.99974569999999996</v>
      </c>
      <c r="N1159">
        <v>-1.2829739999999999E-2</v>
      </c>
      <c r="O1159">
        <v>1.854637E-2</v>
      </c>
      <c r="P1159">
        <v>0.98099309999999995</v>
      </c>
      <c r="Q1159">
        <v>0.160882</v>
      </c>
      <c r="R1159">
        <v>-0.108487899999999</v>
      </c>
      <c r="S1159">
        <v>3.0425420000000001</v>
      </c>
      <c r="T1159">
        <v>-0.14083870000000001</v>
      </c>
      <c r="U1159">
        <v>-0.3494873</v>
      </c>
      <c r="V1159">
        <v>0.1266505</v>
      </c>
      <c r="W1159">
        <v>0.1734367</v>
      </c>
      <c r="X1159">
        <v>0.97666750000000002</v>
      </c>
      <c r="Y1159">
        <v>0.13233420000000001</v>
      </c>
      <c r="Z1159">
        <v>-4.5219090000000002E-3</v>
      </c>
      <c r="AA1159">
        <v>0.99119480000000004</v>
      </c>
      <c r="AB1159">
        <v>25</v>
      </c>
      <c r="AC1159">
        <v>23.970099999999999</v>
      </c>
      <c r="AD1159">
        <v>-1.1208962693690001</v>
      </c>
      <c r="AE1159">
        <v>-2.7862</v>
      </c>
      <c r="AF1159">
        <v>3.2233610339808099</v>
      </c>
      <c r="AG1159">
        <v>-1.1208962693690001</v>
      </c>
      <c r="AH1159">
        <v>23.862812914583301</v>
      </c>
      <c r="AI1159">
        <v>92.665180378656103</v>
      </c>
      <c r="AJ1159">
        <v>82.307116056169505</v>
      </c>
      <c r="AK1159">
        <v>24.1056073351922</v>
      </c>
      <c r="AL1159">
        <v>80.012303685803104</v>
      </c>
      <c r="AM1159">
        <v>82.611334409595202</v>
      </c>
      <c r="AN1159">
        <v>1.00000002180669</v>
      </c>
    </row>
    <row r="1160" spans="1:40" x14ac:dyDescent="0.25">
      <c r="A1160" t="str">
        <f>"20190303162234053"</f>
        <v>20190303162234053</v>
      </c>
      <c r="B1160" t="str">
        <f>"1551601354045807"</f>
        <v>1551601354045807</v>
      </c>
      <c r="C1160" t="s">
        <v>40</v>
      </c>
      <c r="D1160">
        <v>5.4751580000000004</v>
      </c>
      <c r="E1160">
        <v>0.50105270000000002</v>
      </c>
      <c r="F1160" t="s">
        <v>41</v>
      </c>
      <c r="G1160">
        <v>-224.4213</v>
      </c>
      <c r="H1160" s="1">
        <v>-3.2101360000000001E-6</v>
      </c>
      <c r="I1160">
        <v>364.91140000000001</v>
      </c>
      <c r="J1160">
        <v>-248.03139999999999</v>
      </c>
      <c r="K1160">
        <v>1.120889</v>
      </c>
      <c r="L1160">
        <v>367.6191</v>
      </c>
      <c r="M1160">
        <v>0.99974450000000004</v>
      </c>
      <c r="N1160">
        <v>-1.2827379999999999E-2</v>
      </c>
      <c r="O1160">
        <v>1.8618389999999999E-2</v>
      </c>
      <c r="P1160">
        <v>0.98097420000000002</v>
      </c>
      <c r="Q1160">
        <v>0.1605712</v>
      </c>
      <c r="R1160">
        <v>-0.10911800000000001</v>
      </c>
      <c r="S1160">
        <v>3.0434570000000001</v>
      </c>
      <c r="T1160">
        <v>-0.14293629999999999</v>
      </c>
      <c r="U1160">
        <v>-0.34466550000000001</v>
      </c>
      <c r="V1160">
        <v>0.12735070000000001</v>
      </c>
      <c r="W1160">
        <v>0.1731239</v>
      </c>
      <c r="X1160">
        <v>0.9766319</v>
      </c>
      <c r="Y1160">
        <v>0.1308184</v>
      </c>
      <c r="Z1160">
        <v>-4.5362299999999996E-3</v>
      </c>
      <c r="AA1160">
        <v>0.99139600000000005</v>
      </c>
      <c r="AB1160">
        <v>25</v>
      </c>
      <c r="AC1160">
        <v>23.6100999999999</v>
      </c>
      <c r="AD1160">
        <v>-1.1208922101359999</v>
      </c>
      <c r="AE1160">
        <v>-2.70769999999998</v>
      </c>
      <c r="AF1160">
        <v>3.1398637147361099</v>
      </c>
      <c r="AG1160">
        <v>-1.1208922101359999</v>
      </c>
      <c r="AH1160">
        <v>23.503303570302201</v>
      </c>
      <c r="AI1160">
        <v>92.706407361898499</v>
      </c>
      <c r="AJ1160">
        <v>82.390770619932098</v>
      </c>
      <c r="AK1160">
        <v>23.738585092874398</v>
      </c>
      <c r="AL1160">
        <v>80.030500632509103</v>
      </c>
      <c r="AM1160">
        <v>82.570672722217097</v>
      </c>
      <c r="AN1160">
        <v>0.99999997681965402</v>
      </c>
    </row>
    <row r="1161" spans="1:40" x14ac:dyDescent="0.25">
      <c r="A1161" t="str">
        <f>"20190303162234074"</f>
        <v>20190303162234074</v>
      </c>
      <c r="B1161" t="str">
        <f>"1551601354065327"</f>
        <v>1551601354065327</v>
      </c>
      <c r="C1161" t="s">
        <v>40</v>
      </c>
      <c r="D1161">
        <v>5.5318800000000001</v>
      </c>
      <c r="E1161">
        <v>0.50079510000000005</v>
      </c>
      <c r="F1161" t="s">
        <v>41</v>
      </c>
      <c r="G1161">
        <v>-225.07730000000001</v>
      </c>
      <c r="H1161" s="1">
        <v>-2.9053529999999999E-6</v>
      </c>
      <c r="I1161">
        <v>365.04320000000001</v>
      </c>
      <c r="J1161">
        <v>-247.79490000000001</v>
      </c>
      <c r="K1161">
        <v>1.1208830000000001</v>
      </c>
      <c r="L1161">
        <v>367.62360000000001</v>
      </c>
      <c r="M1161">
        <v>0.99974320000000005</v>
      </c>
      <c r="N1161">
        <v>-1.282519E-2</v>
      </c>
      <c r="O1161">
        <v>1.8684860000000001E-2</v>
      </c>
      <c r="P1161">
        <v>0.98092760000000001</v>
      </c>
      <c r="Q1161">
        <v>0.16041929999999999</v>
      </c>
      <c r="R1161">
        <v>-0.1097577</v>
      </c>
      <c r="S1161">
        <v>3.044556</v>
      </c>
      <c r="T1161">
        <v>-0.14867069999999999</v>
      </c>
      <c r="U1161">
        <v>-0.34164430000000001</v>
      </c>
      <c r="V1161">
        <v>0.12805430000000001</v>
      </c>
      <c r="W1161">
        <v>0.17296889999999901</v>
      </c>
      <c r="X1161">
        <v>0.97656739999999997</v>
      </c>
      <c r="Y1161">
        <v>0.1298599</v>
      </c>
      <c r="Z1161">
        <v>-4.6653290000000002E-3</v>
      </c>
      <c r="AA1161">
        <v>0.9915214</v>
      </c>
      <c r="AB1161">
        <v>25</v>
      </c>
      <c r="AC1161">
        <v>22.717600000000001</v>
      </c>
      <c r="AD1161">
        <v>-1.120885905353</v>
      </c>
      <c r="AE1161">
        <v>-2.5803999999999898</v>
      </c>
      <c r="AF1161">
        <v>2.9972558407590899</v>
      </c>
      <c r="AG1161">
        <v>-1.120885905353</v>
      </c>
      <c r="AH1161">
        <v>22.611070979938098</v>
      </c>
      <c r="AI1161">
        <v>92.813398355370296</v>
      </c>
      <c r="AJ1161">
        <v>82.449064476399698</v>
      </c>
      <c r="AK1161">
        <v>22.836384535376499</v>
      </c>
      <c r="AL1161">
        <v>80.039517898610697</v>
      </c>
      <c r="AM1161">
        <v>82.529600921414698</v>
      </c>
      <c r="AN1161">
        <v>1.0000000154292299</v>
      </c>
    </row>
    <row r="1162" spans="1:40" x14ac:dyDescent="0.25">
      <c r="A1162" t="str">
        <f>"20190303162234088"</f>
        <v>20190303162234088</v>
      </c>
      <c r="B1162" t="str">
        <f>"1551601354075088"</f>
        <v>1551601354075088</v>
      </c>
      <c r="C1162" t="s">
        <v>40</v>
      </c>
      <c r="D1162">
        <v>5.5275619999999996</v>
      </c>
      <c r="E1162">
        <v>0.50076790000000004</v>
      </c>
      <c r="F1162" t="s">
        <v>41</v>
      </c>
      <c r="G1162">
        <v>-225.18270000000001</v>
      </c>
      <c r="H1162" s="1">
        <v>-2.8521019999999998E-6</v>
      </c>
      <c r="I1162">
        <v>365.08850000000001</v>
      </c>
      <c r="J1162">
        <v>-247.63480000000001</v>
      </c>
      <c r="K1162">
        <v>1.1208849999999999</v>
      </c>
      <c r="L1162">
        <v>367.6266</v>
      </c>
      <c r="M1162">
        <v>0.99974229999999997</v>
      </c>
      <c r="N1162">
        <v>-1.282371E-2</v>
      </c>
      <c r="O1162">
        <v>1.8729630000000001E-2</v>
      </c>
      <c r="P1162">
        <v>0.98097469999999998</v>
      </c>
      <c r="Q1162">
        <v>0.16000130000000001</v>
      </c>
      <c r="R1162">
        <v>-0.10994760000000001</v>
      </c>
      <c r="S1162">
        <v>3.0448</v>
      </c>
      <c r="T1162">
        <v>-0.1509297</v>
      </c>
      <c r="U1162">
        <v>-0.34133909999999901</v>
      </c>
      <c r="V1162">
        <v>0.12828899999999999</v>
      </c>
      <c r="W1162">
        <v>0.17255000000000001</v>
      </c>
      <c r="X1162">
        <v>0.97661070000000005</v>
      </c>
      <c r="Y1162">
        <v>0.12979160000000001</v>
      </c>
      <c r="Z1162">
        <v>-4.7262229999999999E-3</v>
      </c>
      <c r="AA1162">
        <v>0.99153000000000002</v>
      </c>
      <c r="AB1162">
        <v>25</v>
      </c>
      <c r="AC1162">
        <v>22.452100000000002</v>
      </c>
      <c r="AD1162">
        <v>-1.120887852102</v>
      </c>
      <c r="AE1162">
        <v>-2.53809999999998</v>
      </c>
      <c r="AF1162">
        <v>2.9509468185082901</v>
      </c>
      <c r="AG1162">
        <v>-1.120887852102</v>
      </c>
      <c r="AH1162">
        <v>22.345628766744099</v>
      </c>
      <c r="AI1162">
        <v>92.846952767327195</v>
      </c>
      <c r="AJ1162">
        <v>82.477093459275395</v>
      </c>
      <c r="AK1162">
        <v>22.567489928740301</v>
      </c>
      <c r="AL1162">
        <v>80.063885483005805</v>
      </c>
      <c r="AM1162">
        <v>82.516392172076493</v>
      </c>
      <c r="AN1162">
        <v>1.0000000146877399</v>
      </c>
    </row>
    <row r="1163" spans="1:40" x14ac:dyDescent="0.25">
      <c r="A1163" t="str">
        <f>"20190303162234107"</f>
        <v>20190303162234107</v>
      </c>
      <c r="B1163" t="str">
        <f>"1551601354095583"</f>
        <v>1551601354095583</v>
      </c>
      <c r="C1163" t="s">
        <v>40</v>
      </c>
      <c r="D1163">
        <v>5.5258459999999996</v>
      </c>
      <c r="E1163">
        <v>0.50058659999999999</v>
      </c>
      <c r="F1163" t="s">
        <v>41</v>
      </c>
      <c r="G1163">
        <v>-225.3211</v>
      </c>
      <c r="H1163" s="1">
        <v>-2.7865220000000001E-6</v>
      </c>
      <c r="I1163">
        <v>365.12360000000001</v>
      </c>
      <c r="J1163">
        <v>-247.4247</v>
      </c>
      <c r="K1163">
        <v>1.1208880000000001</v>
      </c>
      <c r="L1163">
        <v>367.63060000000002</v>
      </c>
      <c r="M1163">
        <v>0.99974130000000005</v>
      </c>
      <c r="N1163">
        <v>-1.282178E-2</v>
      </c>
      <c r="O1163">
        <v>1.8788409999999998E-2</v>
      </c>
      <c r="P1163">
        <v>0.98090840000000001</v>
      </c>
      <c r="Q1163">
        <v>0.15989970000000001</v>
      </c>
      <c r="R1163">
        <v>-0.1106859</v>
      </c>
      <c r="S1163">
        <v>3.044861</v>
      </c>
      <c r="T1163">
        <v>-0.15295239999999999</v>
      </c>
      <c r="U1163">
        <v>-0.34155269999999999</v>
      </c>
      <c r="V1163">
        <v>0.12908339999999999</v>
      </c>
      <c r="W1163">
        <v>0.17244519999999999</v>
      </c>
      <c r="X1163">
        <v>0.97652450000000002</v>
      </c>
      <c r="Y1163">
        <v>0.129911</v>
      </c>
      <c r="Z1163">
        <v>-4.7872840000000002E-3</v>
      </c>
      <c r="AA1163">
        <v>0.99151409999999995</v>
      </c>
      <c r="AB1163">
        <v>25</v>
      </c>
      <c r="AC1163">
        <v>22.1036</v>
      </c>
      <c r="AD1163">
        <v>-1.1208907865219999</v>
      </c>
      <c r="AE1163">
        <v>-2.5070000000000001</v>
      </c>
      <c r="AF1163">
        <v>2.91448337701227</v>
      </c>
      <c r="AG1163">
        <v>-1.1208907865219999</v>
      </c>
      <c r="AH1163">
        <v>21.996743251601199</v>
      </c>
      <c r="AI1163">
        <v>92.891875183088203</v>
      </c>
      <c r="AJ1163">
        <v>82.452492074930106</v>
      </c>
      <c r="AK1163">
        <v>22.2172753322061</v>
      </c>
      <c r="AL1163">
        <v>80.069981163189993</v>
      </c>
      <c r="AM1163">
        <v>82.469924716887405</v>
      </c>
      <c r="AN1163">
        <v>0.99999998512942401</v>
      </c>
    </row>
    <row r="1164" spans="1:40" x14ac:dyDescent="0.25">
      <c r="A1164" t="str">
        <f>"20190303162234130"</f>
        <v>20190303162234130</v>
      </c>
      <c r="B1164" t="str">
        <f>"1551601354124973"</f>
        <v>1551601354124973</v>
      </c>
      <c r="C1164" t="s">
        <v>40</v>
      </c>
      <c r="D1164">
        <v>5.5300960000000003</v>
      </c>
      <c r="E1164">
        <v>0.50052429999999903</v>
      </c>
      <c r="F1164" t="s">
        <v>41</v>
      </c>
      <c r="G1164">
        <v>-225.25700000000001</v>
      </c>
      <c r="H1164" s="1">
        <v>-2.810675E-6</v>
      </c>
      <c r="I1164">
        <v>365.1422</v>
      </c>
      <c r="J1164">
        <v>-247.1737</v>
      </c>
      <c r="K1164">
        <v>1.1208910000000001</v>
      </c>
      <c r="L1164">
        <v>367.6354</v>
      </c>
      <c r="M1164">
        <v>0.99973999999999996</v>
      </c>
      <c r="N1164">
        <v>-1.2819560000000001E-2</v>
      </c>
      <c r="O1164">
        <v>1.8858759999999999E-2</v>
      </c>
      <c r="P1164">
        <v>0.98090949999999999</v>
      </c>
      <c r="Q1164">
        <v>0.15970819999999999</v>
      </c>
      <c r="R1164">
        <v>-0.1109496</v>
      </c>
      <c r="S1164">
        <v>3.0449220000000001</v>
      </c>
      <c r="T1164">
        <v>-0.153963299999999</v>
      </c>
      <c r="U1164">
        <v>-0.34179690000000001</v>
      </c>
      <c r="V1164">
        <v>0.129416</v>
      </c>
      <c r="W1164">
        <v>0.17225170000000001</v>
      </c>
      <c r="X1164">
        <v>0.97651460000000001</v>
      </c>
      <c r="Y1164">
        <v>0.13005410000000001</v>
      </c>
      <c r="Z1164">
        <v>-4.8219309999999998E-3</v>
      </c>
      <c r="AA1164">
        <v>0.99149520000000002</v>
      </c>
      <c r="AB1164">
        <v>25</v>
      </c>
      <c r="AC1164">
        <v>21.916699999999899</v>
      </c>
      <c r="AD1164">
        <v>-1.1208938106749999</v>
      </c>
      <c r="AE1164">
        <v>-2.4931999999999999</v>
      </c>
      <c r="AF1164">
        <v>2.8986273550185602</v>
      </c>
      <c r="AG1164">
        <v>-1.1208938106749999</v>
      </c>
      <c r="AH1164">
        <v>21.809462127013202</v>
      </c>
      <c r="AI1164">
        <v>92.916517357941302</v>
      </c>
      <c r="AJ1164">
        <v>82.429365697189994</v>
      </c>
      <c r="AK1164">
        <v>22.029777160645398</v>
      </c>
      <c r="AL1164">
        <v>80.081236032612594</v>
      </c>
      <c r="AM1164">
        <v>82.450670350390496</v>
      </c>
      <c r="AN1164">
        <v>0.99999995661102403</v>
      </c>
    </row>
    <row r="1165" spans="1:40" x14ac:dyDescent="0.25">
      <c r="A1165" t="str">
        <f>"20190303162234152"</f>
        <v>20190303162234152</v>
      </c>
      <c r="B1165" t="str">
        <f>"1551601354145469"</f>
        <v>1551601354145469</v>
      </c>
      <c r="C1165" t="s">
        <v>40</v>
      </c>
      <c r="D1165">
        <v>5.5871279999999999</v>
      </c>
      <c r="E1165">
        <v>0.50052319999999995</v>
      </c>
      <c r="F1165" t="s">
        <v>41</v>
      </c>
      <c r="G1165">
        <v>-225.2516</v>
      </c>
      <c r="H1165" s="1">
        <v>-2.806694E-6</v>
      </c>
      <c r="I1165">
        <v>365.17779999999999</v>
      </c>
      <c r="J1165">
        <v>-246.9323</v>
      </c>
      <c r="K1165">
        <v>1.1208910000000001</v>
      </c>
      <c r="L1165">
        <v>367.64</v>
      </c>
      <c r="M1165">
        <v>0.99973880000000004</v>
      </c>
      <c r="N1165">
        <v>-1.2817449999999999E-2</v>
      </c>
      <c r="O1165">
        <v>1.8926180000000001E-2</v>
      </c>
      <c r="P1165">
        <v>0.98098320000000006</v>
      </c>
      <c r="Q1165">
        <v>0.1589257</v>
      </c>
      <c r="R1165">
        <v>-0.1114209</v>
      </c>
      <c r="S1165">
        <v>3.0451199999999998</v>
      </c>
      <c r="T1165">
        <v>-0.155699</v>
      </c>
      <c r="U1165">
        <v>-0.3413696</v>
      </c>
      <c r="V1165">
        <v>0.12995480000000001</v>
      </c>
      <c r="W1165">
        <v>0.1714677</v>
      </c>
      <c r="X1165">
        <v>0.97658109999999998</v>
      </c>
      <c r="Y1165">
        <v>0.1299719</v>
      </c>
      <c r="Z1165">
        <v>-4.8691300000000002E-3</v>
      </c>
      <c r="AA1165">
        <v>0.99150570000000005</v>
      </c>
      <c r="AB1165">
        <v>25</v>
      </c>
      <c r="AC1165">
        <v>21.680700000000002</v>
      </c>
      <c r="AD1165">
        <v>-1.120893806694</v>
      </c>
      <c r="AE1165">
        <v>-2.46219999999999</v>
      </c>
      <c r="AF1165">
        <v>2.8645662179160301</v>
      </c>
      <c r="AG1165">
        <v>-1.120893806694</v>
      </c>
      <c r="AH1165">
        <v>21.573283185626</v>
      </c>
      <c r="AI1165">
        <v>92.948438197020394</v>
      </c>
      <c r="AJ1165">
        <v>82.436337369289504</v>
      </c>
      <c r="AK1165">
        <v>21.791482050331599</v>
      </c>
      <c r="AL1165">
        <v>80.126835131818098</v>
      </c>
      <c r="AM1165">
        <v>82.420115016664397</v>
      </c>
      <c r="AN1165">
        <v>1.00000003353176</v>
      </c>
    </row>
    <row r="1166" spans="1:40" x14ac:dyDescent="0.25">
      <c r="A1166" t="str">
        <f>"20190303162234175"</f>
        <v>20190303162234175</v>
      </c>
      <c r="B1166" t="str">
        <f>"1551601354164989"</f>
        <v>1551601354164989</v>
      </c>
      <c r="C1166" t="s">
        <v>40</v>
      </c>
      <c r="D1166">
        <v>5.5810589999999998</v>
      </c>
      <c r="E1166">
        <v>0.50056889999999998</v>
      </c>
      <c r="F1166" t="s">
        <v>41</v>
      </c>
      <c r="G1166">
        <v>-225.46690000000001</v>
      </c>
      <c r="H1166" s="1">
        <v>-2.7047550000000002E-6</v>
      </c>
      <c r="I1166">
        <v>365.23169999999999</v>
      </c>
      <c r="J1166">
        <v>-246.6763</v>
      </c>
      <c r="K1166">
        <v>1.1208929999999999</v>
      </c>
      <c r="L1166">
        <v>367.64499999999998</v>
      </c>
      <c r="M1166">
        <v>0.99973749999999995</v>
      </c>
      <c r="N1166">
        <v>-1.281523E-2</v>
      </c>
      <c r="O1166">
        <v>1.899783E-2</v>
      </c>
      <c r="P1166">
        <v>0.98095480000000002</v>
      </c>
      <c r="Q1166">
        <v>0.1586033</v>
      </c>
      <c r="R1166">
        <v>-0.1121297</v>
      </c>
      <c r="S1166">
        <v>3.0451199999999998</v>
      </c>
      <c r="T1166">
        <v>-0.1590114</v>
      </c>
      <c r="U1166">
        <v>-0.34164430000000001</v>
      </c>
      <c r="V1166">
        <v>0.13073299999999999</v>
      </c>
      <c r="W1166">
        <v>0.17114260000000001</v>
      </c>
      <c r="X1166">
        <v>0.97653420000000002</v>
      </c>
      <c r="Y1166">
        <v>0.13012209999999999</v>
      </c>
      <c r="Z1166">
        <v>-4.9675420000000001E-3</v>
      </c>
      <c r="AA1166">
        <v>0.99148550000000002</v>
      </c>
      <c r="AB1166">
        <v>25</v>
      </c>
      <c r="AC1166">
        <v>21.209399999999899</v>
      </c>
      <c r="AD1166">
        <v>-1.1208957047550001</v>
      </c>
      <c r="AE1166">
        <v>-2.4132999999999898</v>
      </c>
      <c r="AF1166">
        <v>2.8080872195983102</v>
      </c>
      <c r="AG1166">
        <v>-1.1208957047550001</v>
      </c>
      <c r="AH1166">
        <v>21.101536719457499</v>
      </c>
      <c r="AI1166">
        <v>93.0141236808103</v>
      </c>
      <c r="AJ1166">
        <v>82.419899404373794</v>
      </c>
      <c r="AK1166">
        <v>21.3170498178435</v>
      </c>
      <c r="AL1166">
        <v>80.145740882607399</v>
      </c>
      <c r="AM1166">
        <v>82.374895427291406</v>
      </c>
      <c r="AN1166">
        <v>0.99999997529669904</v>
      </c>
    </row>
    <row r="1167" spans="1:40" x14ac:dyDescent="0.25">
      <c r="A1167" t="str">
        <f>"20190303162234198"</f>
        <v>20190303162234198</v>
      </c>
      <c r="B1167" t="str">
        <f>"1551601354185485"</f>
        <v>1551601354185485</v>
      </c>
      <c r="C1167" t="s">
        <v>40</v>
      </c>
      <c r="D1167">
        <v>5.5844250000000004</v>
      </c>
      <c r="E1167">
        <v>0.50057479999999999</v>
      </c>
      <c r="F1167" t="s">
        <v>41</v>
      </c>
      <c r="G1167">
        <v>-225.51400000000001</v>
      </c>
      <c r="H1167" s="1">
        <v>-2.680875E-6</v>
      </c>
      <c r="I1167">
        <v>365.2525</v>
      </c>
      <c r="J1167">
        <v>-246.4255</v>
      </c>
      <c r="K1167">
        <v>1.120892</v>
      </c>
      <c r="L1167">
        <v>367.64980000000003</v>
      </c>
      <c r="M1167">
        <v>0.99973610000000002</v>
      </c>
      <c r="N1167">
        <v>-1.281302E-2</v>
      </c>
      <c r="O1167">
        <v>1.90683E-2</v>
      </c>
      <c r="P1167">
        <v>0.98093620000000004</v>
      </c>
      <c r="Q1167">
        <v>0.1583512</v>
      </c>
      <c r="R1167">
        <v>-0.11264489999999901</v>
      </c>
      <c r="S1167">
        <v>3.0449519999999999</v>
      </c>
      <c r="T1167">
        <v>-0.16128020000000001</v>
      </c>
      <c r="U1167">
        <v>-0.3442383</v>
      </c>
      <c r="V1167">
        <v>0.13131699999999999</v>
      </c>
      <c r="W1167">
        <v>0.17088800000000001</v>
      </c>
      <c r="X1167">
        <v>0.97650049999999999</v>
      </c>
      <c r="Y1167">
        <v>0.13102420000000001</v>
      </c>
      <c r="Z1167">
        <v>-5.0622790000000003E-3</v>
      </c>
      <c r="AA1167">
        <v>0.99136630000000003</v>
      </c>
      <c r="AB1167">
        <v>25</v>
      </c>
      <c r="AC1167">
        <v>20.911499999999901</v>
      </c>
      <c r="AD1167">
        <v>-1.120894680875</v>
      </c>
      <c r="AE1167">
        <v>-2.39730000000002</v>
      </c>
      <c r="AF1167">
        <v>2.7877378358065101</v>
      </c>
      <c r="AG1167">
        <v>-1.120894680875</v>
      </c>
      <c r="AH1167">
        <v>20.8029862355353</v>
      </c>
      <c r="AI1167">
        <v>93.0569231325522</v>
      </c>
      <c r="AJ1167">
        <v>82.367457416555496</v>
      </c>
      <c r="AK1167">
        <v>21.0188516204542</v>
      </c>
      <c r="AL1167">
        <v>80.160547189653002</v>
      </c>
      <c r="AM1167">
        <v>82.340975412360294</v>
      </c>
      <c r="AN1167">
        <v>1.00000004476662</v>
      </c>
    </row>
    <row r="1168" spans="1:40" x14ac:dyDescent="0.25">
      <c r="A1168" t="str">
        <f>"20190303162234221"</f>
        <v>20190303162234221</v>
      </c>
      <c r="B1168" t="str">
        <f>"1551601354215741"</f>
        <v>1551601354215741</v>
      </c>
      <c r="C1168" t="s">
        <v>40</v>
      </c>
      <c r="D1168">
        <v>5.3832240000000002</v>
      </c>
      <c r="E1168">
        <v>0.50059049999999905</v>
      </c>
      <c r="F1168" t="s">
        <v>41</v>
      </c>
      <c r="G1168">
        <v>-225.41759999999999</v>
      </c>
      <c r="H1168" s="1">
        <v>-2.7205399999999999E-6</v>
      </c>
      <c r="I1168">
        <v>365.262</v>
      </c>
      <c r="J1168">
        <v>-246.1694</v>
      </c>
      <c r="K1168">
        <v>1.1208830000000001</v>
      </c>
      <c r="L1168">
        <v>367.65480000000002</v>
      </c>
      <c r="M1168">
        <v>0.99973489999999998</v>
      </c>
      <c r="N1168">
        <v>-1.2810780000000001E-2</v>
      </c>
      <c r="O1168">
        <v>1.9139949999999999E-2</v>
      </c>
      <c r="P1168">
        <v>0.98090480000000002</v>
      </c>
      <c r="Q1168">
        <v>0.15808469999999999</v>
      </c>
      <c r="R1168">
        <v>-0.1132944</v>
      </c>
      <c r="S1168">
        <v>3.0448149999999998</v>
      </c>
      <c r="T1168">
        <v>-0.16245789999999999</v>
      </c>
      <c r="U1168">
        <v>-0.34606930000000002</v>
      </c>
      <c r="V1168">
        <v>0.1320356</v>
      </c>
      <c r="W1168">
        <v>0.17061879999999999</v>
      </c>
      <c r="X1168">
        <v>0.97645059999999995</v>
      </c>
      <c r="Y1168">
        <v>0.13168440000000001</v>
      </c>
      <c r="Z1168">
        <v>-5.1195030000000001E-3</v>
      </c>
      <c r="AA1168">
        <v>0.99127849999999995</v>
      </c>
      <c r="AB1168">
        <v>25</v>
      </c>
      <c r="AC1168">
        <v>20.751799999999999</v>
      </c>
      <c r="AD1168">
        <v>-1.12088572053999</v>
      </c>
      <c r="AE1168">
        <v>-2.3928000000000802</v>
      </c>
      <c r="AF1168">
        <v>2.7815737815030199</v>
      </c>
      <c r="AG1168">
        <v>-1.12088572053999</v>
      </c>
      <c r="AH1168">
        <v>20.6427610435004</v>
      </c>
      <c r="AI1168">
        <v>93.080279361622303</v>
      </c>
      <c r="AJ1168">
        <v>82.325724584624794</v>
      </c>
      <c r="AK1168">
        <v>20.859461186701701</v>
      </c>
      <c r="AL1168">
        <v>80.176200411483805</v>
      </c>
      <c r="AM1168">
        <v>82.299176024264597</v>
      </c>
      <c r="AN1168">
        <v>0.99999997441057897</v>
      </c>
    </row>
    <row r="1169" spans="1:40" x14ac:dyDescent="0.25">
      <c r="A1169" t="str">
        <f>"20190303162234244"</f>
        <v>20190303162234244</v>
      </c>
      <c r="B1169" t="str">
        <f>"1551601354235261"</f>
        <v>1551601354235261</v>
      </c>
      <c r="C1169" t="s">
        <v>40</v>
      </c>
      <c r="D1169">
        <v>5.5891710000000003</v>
      </c>
      <c r="E1169">
        <v>0.50062280000000003</v>
      </c>
      <c r="F1169" t="s">
        <v>41</v>
      </c>
      <c r="G1169">
        <v>-225.38079999999999</v>
      </c>
      <c r="H1169" s="1">
        <v>-2.7328080000000001E-6</v>
      </c>
      <c r="I1169">
        <v>365.28190000000001</v>
      </c>
      <c r="J1169">
        <v>-245.92850000000001</v>
      </c>
      <c r="K1169">
        <v>1.120876</v>
      </c>
      <c r="L1169">
        <v>367.65949999999998</v>
      </c>
      <c r="M1169">
        <v>0.99973350000000005</v>
      </c>
      <c r="N1169">
        <v>-1.2808689999999999E-2</v>
      </c>
      <c r="O1169">
        <v>1.9207080000000001E-2</v>
      </c>
      <c r="P1169">
        <v>0.98094840000000005</v>
      </c>
      <c r="Q1169">
        <v>0.1575848</v>
      </c>
      <c r="R1169">
        <v>-0.11361010000000001</v>
      </c>
      <c r="S1169">
        <v>3.0447389999999999</v>
      </c>
      <c r="T1169">
        <v>-0.16416649999999999</v>
      </c>
      <c r="U1169">
        <v>-0.34753420000000002</v>
      </c>
      <c r="V1169">
        <v>0.13241810000000001</v>
      </c>
      <c r="W1169">
        <v>0.17011689999999999</v>
      </c>
      <c r="X1169">
        <v>0.97648639999999998</v>
      </c>
      <c r="Y1169">
        <v>0.13221869999999999</v>
      </c>
      <c r="Z1169">
        <v>-5.1874109999999899E-3</v>
      </c>
      <c r="AA1169">
        <v>0.99120699999999995</v>
      </c>
      <c r="AB1169">
        <v>25</v>
      </c>
      <c r="AC1169">
        <v>20.547699999999999</v>
      </c>
      <c r="AD1169">
        <v>-1.1208787328080001</v>
      </c>
      <c r="AE1169">
        <v>-2.37759999999997</v>
      </c>
      <c r="AF1169">
        <v>2.7637395789885799</v>
      </c>
      <c r="AG1169">
        <v>-1.1208787328080001</v>
      </c>
      <c r="AH1169">
        <v>20.4382236689056</v>
      </c>
      <c r="AI1169">
        <v>93.110830035836997</v>
      </c>
      <c r="AJ1169">
        <v>82.298944704652001</v>
      </c>
      <c r="AK1169">
        <v>20.6546753141835</v>
      </c>
      <c r="AL1169">
        <v>80.205384074314097</v>
      </c>
      <c r="AM1169">
        <v>82.277415718825495</v>
      </c>
      <c r="AN1169">
        <v>1.0000000011290899</v>
      </c>
    </row>
    <row r="1170" spans="1:40" x14ac:dyDescent="0.25">
      <c r="A1170" t="str">
        <f>"20190303162234266"</f>
        <v>20190303162234266</v>
      </c>
      <c r="B1170" t="str">
        <f>"1551601354255757"</f>
        <v>1551601354255757</v>
      </c>
      <c r="C1170" t="s">
        <v>40</v>
      </c>
      <c r="D1170">
        <v>5.3792499999999999</v>
      </c>
      <c r="E1170">
        <v>0.50065150000000003</v>
      </c>
      <c r="F1170" t="s">
        <v>41</v>
      </c>
      <c r="G1170">
        <v>-225.36779999999999</v>
      </c>
      <c r="H1170" s="1">
        <v>-2.7339760000000002E-6</v>
      </c>
      <c r="I1170">
        <v>365.30669999999998</v>
      </c>
      <c r="J1170">
        <v>-245.68530000000001</v>
      </c>
      <c r="K1170">
        <v>1.1208739999999999</v>
      </c>
      <c r="L1170">
        <v>367.66419999999999</v>
      </c>
      <c r="M1170">
        <v>0.99973239999999997</v>
      </c>
      <c r="N1170">
        <v>-1.280658E-2</v>
      </c>
      <c r="O1170">
        <v>1.9274679999999999E-2</v>
      </c>
      <c r="P1170">
        <v>0.9810681</v>
      </c>
      <c r="Q1170">
        <v>0.15705160000000001</v>
      </c>
      <c r="R1170">
        <v>-0.11331629999999999</v>
      </c>
      <c r="S1170">
        <v>3.0446010000000001</v>
      </c>
      <c r="T1170">
        <v>-0.16597779999999901</v>
      </c>
      <c r="U1170">
        <v>-0.3483887</v>
      </c>
      <c r="V1170">
        <v>0.132192899999999</v>
      </c>
      <c r="W1170">
        <v>0.16958309999999999</v>
      </c>
      <c r="X1170">
        <v>0.97660979999999997</v>
      </c>
      <c r="Y1170">
        <v>0.1325595</v>
      </c>
      <c r="Z1170">
        <v>-5.2522209999999996E-3</v>
      </c>
      <c r="AA1170">
        <v>0.99116110000000002</v>
      </c>
      <c r="AB1170">
        <v>25</v>
      </c>
      <c r="AC1170">
        <v>20.317499999999999</v>
      </c>
      <c r="AD1170">
        <v>-1.120876733976</v>
      </c>
      <c r="AE1170">
        <v>-2.3575000000000101</v>
      </c>
      <c r="AF1170">
        <v>2.7404774433374701</v>
      </c>
      <c r="AG1170">
        <v>-1.120876733976</v>
      </c>
      <c r="AH1170">
        <v>20.207596104376201</v>
      </c>
      <c r="AI1170">
        <v>93.146093409653801</v>
      </c>
      <c r="AJ1170">
        <v>82.276881201170895</v>
      </c>
      <c r="AK1170">
        <v>20.4233572555496</v>
      </c>
      <c r="AL1170">
        <v>80.236419951659002</v>
      </c>
      <c r="AM1170">
        <v>82.291353664385099</v>
      </c>
      <c r="AN1170">
        <v>1.0000000460360201</v>
      </c>
    </row>
    <row r="1171" spans="1:40" x14ac:dyDescent="0.25">
      <c r="A1171" t="str">
        <f>"20190303162234286"</f>
        <v>20190303162234286</v>
      </c>
      <c r="B1171" t="str">
        <f>"1551601354275277"</f>
        <v>1551601354275277</v>
      </c>
      <c r="C1171" t="s">
        <v>40</v>
      </c>
      <c r="D1171">
        <v>5.412547</v>
      </c>
      <c r="E1171">
        <v>0.50069579999999902</v>
      </c>
      <c r="F1171" t="s">
        <v>41</v>
      </c>
      <c r="G1171">
        <v>-225.3597</v>
      </c>
      <c r="H1171" s="1">
        <v>-2.7309430000000001E-6</v>
      </c>
      <c r="I1171">
        <v>365.34339999999997</v>
      </c>
      <c r="J1171">
        <v>-245.44589999999999</v>
      </c>
      <c r="K1171">
        <v>1.120878</v>
      </c>
      <c r="L1171">
        <v>367.66890000000001</v>
      </c>
      <c r="M1171">
        <v>0.99973089999999998</v>
      </c>
      <c r="N1171">
        <v>-1.280449E-2</v>
      </c>
      <c r="O1171">
        <v>1.9341690000000002E-2</v>
      </c>
      <c r="P1171">
        <v>0.98108499999999998</v>
      </c>
      <c r="Q1171">
        <v>0.15715470000000001</v>
      </c>
      <c r="R1171">
        <v>-0.1130263</v>
      </c>
      <c r="S1171">
        <v>3.0446010000000001</v>
      </c>
      <c r="T1171">
        <v>-0.16789749999999901</v>
      </c>
      <c r="U1171">
        <v>-0.34762569999999998</v>
      </c>
      <c r="V1171">
        <v>0.13196859999999999</v>
      </c>
      <c r="W1171">
        <v>0.16968459999999999</v>
      </c>
      <c r="X1171">
        <v>0.97662249999999995</v>
      </c>
      <c r="Y1171">
        <v>0.1323754</v>
      </c>
      <c r="Z1171">
        <v>-5.3024309999999998E-3</v>
      </c>
      <c r="AA1171">
        <v>0.99118550000000005</v>
      </c>
      <c r="AB1171">
        <v>25</v>
      </c>
      <c r="AC1171">
        <v>20.086199999999899</v>
      </c>
      <c r="AD1171">
        <v>-1.120880730943</v>
      </c>
      <c r="AE1171">
        <v>-2.3255000000000301</v>
      </c>
      <c r="AF1171">
        <v>2.70528490190499</v>
      </c>
      <c r="AG1171">
        <v>-1.120880730943</v>
      </c>
      <c r="AH1171">
        <v>19.9760757336112</v>
      </c>
      <c r="AI1171">
        <v>93.182573351037703</v>
      </c>
      <c r="AJ1171">
        <v>82.287568741511905</v>
      </c>
      <c r="AK1171">
        <v>20.1895651693752</v>
      </c>
      <c r="AL1171">
        <v>80.230518859544802</v>
      </c>
      <c r="AM1171">
        <v>82.304375408992996</v>
      </c>
      <c r="AN1171">
        <v>1.0000000411846801</v>
      </c>
    </row>
    <row r="1172" spans="1:40" x14ac:dyDescent="0.25">
      <c r="A1172" t="str">
        <f>"20190303162234309"</f>
        <v>20190303162234309</v>
      </c>
      <c r="B1172" t="str">
        <f>"1551601354295773"</f>
        <v>1551601354295773</v>
      </c>
      <c r="C1172" t="s">
        <v>40</v>
      </c>
      <c r="D1172">
        <v>5.5910409999999997</v>
      </c>
      <c r="E1172">
        <v>0.50070669999999995</v>
      </c>
      <c r="F1172" t="s">
        <v>41</v>
      </c>
      <c r="G1172">
        <v>-225.1146</v>
      </c>
      <c r="H1172" s="1">
        <v>-2.834724E-6</v>
      </c>
      <c r="I1172">
        <v>365.35129999999998</v>
      </c>
      <c r="J1172">
        <v>-245.19880000000001</v>
      </c>
      <c r="K1172">
        <v>1.1208849999999999</v>
      </c>
      <c r="L1172">
        <v>367.67380000000003</v>
      </c>
      <c r="M1172">
        <v>0.9997298</v>
      </c>
      <c r="N1172">
        <v>-1.2802310000000001E-2</v>
      </c>
      <c r="O1172">
        <v>1.9410779999999999E-2</v>
      </c>
      <c r="P1172">
        <v>0.98117449999999995</v>
      </c>
      <c r="Q1172">
        <v>0.15705339999999901</v>
      </c>
      <c r="R1172">
        <v>-0.112389</v>
      </c>
      <c r="S1172">
        <v>3.0447389999999999</v>
      </c>
      <c r="T1172">
        <v>-0.1678578</v>
      </c>
      <c r="U1172">
        <v>-0.34707640000000001</v>
      </c>
      <c r="V1172">
        <v>0.13140089999999999</v>
      </c>
      <c r="W1172">
        <v>0.16958219999999999</v>
      </c>
      <c r="X1172">
        <v>0.97671680000000005</v>
      </c>
      <c r="Y1172">
        <v>0.13226270000000001</v>
      </c>
      <c r="Z1172">
        <v>-5.3001369999999999E-3</v>
      </c>
      <c r="AA1172">
        <v>0.99120050000000004</v>
      </c>
      <c r="AB1172">
        <v>25</v>
      </c>
      <c r="AC1172">
        <v>20.084199999999999</v>
      </c>
      <c r="AD1172">
        <v>-1.1208878347239899</v>
      </c>
      <c r="AE1172">
        <v>-2.3225000000000402</v>
      </c>
      <c r="AF1172">
        <v>2.7036343549155699</v>
      </c>
      <c r="AG1172">
        <v>-1.1208878347239899</v>
      </c>
      <c r="AH1172">
        <v>19.973938411887001</v>
      </c>
      <c r="AI1172">
        <v>93.182962112929602</v>
      </c>
      <c r="AJ1172">
        <v>82.291402804044907</v>
      </c>
      <c r="AK1172">
        <v>20.187229724381801</v>
      </c>
      <c r="AL1172">
        <v>80.236471952380199</v>
      </c>
      <c r="AM1172">
        <v>82.337817155490796</v>
      </c>
      <c r="AN1172">
        <v>1.00000001323994</v>
      </c>
    </row>
    <row r="1173" spans="1:40" x14ac:dyDescent="0.25">
      <c r="A1173" t="str">
        <f>"20190303162234331"</f>
        <v>20190303162234331</v>
      </c>
      <c r="B1173" t="str">
        <f>"1551601354325053"</f>
        <v>1551601354325053</v>
      </c>
      <c r="C1173" t="s">
        <v>40</v>
      </c>
      <c r="D1173">
        <v>5.4647639999999997</v>
      </c>
      <c r="E1173">
        <v>0.50074989999999997</v>
      </c>
      <c r="F1173" t="s">
        <v>41</v>
      </c>
      <c r="G1173">
        <v>-224.92670000000001</v>
      </c>
      <c r="H1173" s="1">
        <v>-2.91052E-6</v>
      </c>
      <c r="I1173">
        <v>365.37830000000002</v>
      </c>
      <c r="J1173">
        <v>-244.94919999999999</v>
      </c>
      <c r="K1173">
        <v>1.120889</v>
      </c>
      <c r="L1173">
        <v>367.67869999999999</v>
      </c>
      <c r="M1173">
        <v>0.99972839999999996</v>
      </c>
      <c r="N1173">
        <v>-1.280008E-2</v>
      </c>
      <c r="O1173">
        <v>1.9480939999999999E-2</v>
      </c>
      <c r="P1173">
        <v>0.98103589999999996</v>
      </c>
      <c r="Q1173">
        <v>0.15809119999999999</v>
      </c>
      <c r="R1173">
        <v>-0.11214440000000001</v>
      </c>
      <c r="S1173">
        <v>3.0450439999999999</v>
      </c>
      <c r="T1173">
        <v>-0.168366299999999</v>
      </c>
      <c r="U1173">
        <v>-0.34478760000000003</v>
      </c>
      <c r="V1173">
        <v>0.13122210000000001</v>
      </c>
      <c r="W1173">
        <v>0.1706155</v>
      </c>
      <c r="X1173">
        <v>0.97656089999999995</v>
      </c>
      <c r="Y1173">
        <v>0.13158520000000001</v>
      </c>
      <c r="Z1173">
        <v>-5.293893E-3</v>
      </c>
      <c r="AA1173">
        <v>0.99129069999999997</v>
      </c>
      <c r="AB1173">
        <v>25</v>
      </c>
      <c r="AC1173">
        <v>20.022499999999901</v>
      </c>
      <c r="AD1173">
        <v>-1.1208919105199999</v>
      </c>
      <c r="AE1173">
        <v>-2.3003999999999598</v>
      </c>
      <c r="AF1173">
        <v>2.6817574358548901</v>
      </c>
      <c r="AG1173">
        <v>-1.1208919105199999</v>
      </c>
      <c r="AH1173">
        <v>19.9122910978753</v>
      </c>
      <c r="AI1173">
        <v>93.193094752009102</v>
      </c>
      <c r="AJ1173">
        <v>82.329644059113505</v>
      </c>
      <c r="AK1173">
        <v>20.1233088329518</v>
      </c>
      <c r="AL1173">
        <v>80.176392950772694</v>
      </c>
      <c r="AM1173">
        <v>82.346912554417798</v>
      </c>
      <c r="AN1173">
        <v>1.0000000398887301</v>
      </c>
    </row>
    <row r="1174" spans="1:40" x14ac:dyDescent="0.25">
      <c r="A1174" t="str">
        <f>"20190303162234353"</f>
        <v>20190303162234353</v>
      </c>
      <c r="B1174" t="str">
        <f>"1551601354345549"</f>
        <v>1551601354345549</v>
      </c>
      <c r="C1174" t="s">
        <v>40</v>
      </c>
      <c r="D1174">
        <v>5.6503069999999997</v>
      </c>
      <c r="E1174">
        <v>0.50079929999999995</v>
      </c>
      <c r="F1174" t="s">
        <v>41</v>
      </c>
      <c r="G1174">
        <v>-224.31299999999999</v>
      </c>
      <c r="H1174" s="1">
        <v>-3.179975E-6</v>
      </c>
      <c r="I1174">
        <v>365.34350000000001</v>
      </c>
      <c r="J1174">
        <v>-244.714</v>
      </c>
      <c r="K1174">
        <v>1.1209009999999999</v>
      </c>
      <c r="L1174">
        <v>367.68340000000001</v>
      </c>
      <c r="M1174">
        <v>0.99972720000000004</v>
      </c>
      <c r="N1174">
        <v>-1.279798E-2</v>
      </c>
      <c r="O1174">
        <v>1.95467E-2</v>
      </c>
      <c r="P1174">
        <v>0.98101839999999996</v>
      </c>
      <c r="Q1174">
        <v>0.158727799999999</v>
      </c>
      <c r="R1174">
        <v>-0.1113946</v>
      </c>
      <c r="S1174">
        <v>3.0452729999999999</v>
      </c>
      <c r="T1174">
        <v>-0.16540879999999999</v>
      </c>
      <c r="U1174">
        <v>-0.34460449999999998</v>
      </c>
      <c r="V1174">
        <v>0.13053670000000001</v>
      </c>
      <c r="W1174">
        <v>0.17125019999999999</v>
      </c>
      <c r="X1174">
        <v>0.97654160000000001</v>
      </c>
      <c r="Y1174">
        <v>0.13159179999999901</v>
      </c>
      <c r="Z1174">
        <v>-5.2139939999999996E-3</v>
      </c>
      <c r="AA1174">
        <v>0.99129029999999996</v>
      </c>
      <c r="AB1174">
        <v>25</v>
      </c>
      <c r="AC1174">
        <v>20.401</v>
      </c>
      <c r="AD1174">
        <v>-1.1209041799749999</v>
      </c>
      <c r="AE1174">
        <v>-2.3399000000000001</v>
      </c>
      <c r="AF1174">
        <v>2.7301230198650202</v>
      </c>
      <c r="AG1174">
        <v>-1.1209041799749999</v>
      </c>
      <c r="AH1174">
        <v>20.290901789711999</v>
      </c>
      <c r="AI1174">
        <v>93.133721960488501</v>
      </c>
      <c r="AJ1174">
        <v>82.336924766294302</v>
      </c>
      <c r="AK1174">
        <v>20.504406680614299</v>
      </c>
      <c r="AL1174">
        <v>80.139483512797398</v>
      </c>
      <c r="AM1174">
        <v>82.386267386869804</v>
      </c>
      <c r="AN1174">
        <v>0.99999997878874403</v>
      </c>
    </row>
    <row r="1175" spans="1:40" x14ac:dyDescent="0.25">
      <c r="A1175" t="str">
        <f>"20190303162234375"</f>
        <v>20190303162234375</v>
      </c>
      <c r="B1175" t="str">
        <f>"1551601354365069"</f>
        <v>1551601354365069</v>
      </c>
      <c r="C1175" t="s">
        <v>40</v>
      </c>
      <c r="D1175">
        <v>5.6507189999999996</v>
      </c>
      <c r="E1175">
        <v>0.50078739999999999</v>
      </c>
      <c r="F1175" t="s">
        <v>41</v>
      </c>
      <c r="G1175">
        <v>-223.8432</v>
      </c>
      <c r="H1175" s="1">
        <v>-3.384792E-6</v>
      </c>
      <c r="I1175">
        <v>365.32499999999999</v>
      </c>
      <c r="J1175">
        <v>-244.4674</v>
      </c>
      <c r="K1175">
        <v>1.1209089999999999</v>
      </c>
      <c r="L1175">
        <v>367.68830000000003</v>
      </c>
      <c r="M1175">
        <v>0.99972559999999999</v>
      </c>
      <c r="N1175">
        <v>-1.27958E-2</v>
      </c>
      <c r="O1175">
        <v>1.9615790000000001E-2</v>
      </c>
      <c r="P1175">
        <v>0.98084159999999998</v>
      </c>
      <c r="Q1175">
        <v>0.16065409999999999</v>
      </c>
      <c r="R1175">
        <v>-0.1101811</v>
      </c>
      <c r="S1175">
        <v>3.0454249999999998</v>
      </c>
      <c r="T1175">
        <v>-0.16355939999999999</v>
      </c>
      <c r="U1175">
        <v>-0.34411619999999998</v>
      </c>
      <c r="V1175">
        <v>0.12938759999999999</v>
      </c>
      <c r="W1175">
        <v>0.17317179999999999</v>
      </c>
      <c r="X1175">
        <v>0.97635570000000005</v>
      </c>
      <c r="Y1175">
        <v>0.13150319999999999</v>
      </c>
      <c r="Z1175">
        <v>-5.1619980000000001E-3</v>
      </c>
      <c r="AA1175">
        <v>0.99130229999999997</v>
      </c>
      <c r="AB1175">
        <v>25</v>
      </c>
      <c r="AC1175">
        <v>20.624199999999998</v>
      </c>
      <c r="AD1175">
        <v>-1.1209123847919999</v>
      </c>
      <c r="AE1175">
        <v>-2.3633000000000299</v>
      </c>
      <c r="AF1175">
        <v>2.7593931424587601</v>
      </c>
      <c r="AG1175">
        <v>-1.1209123847919999</v>
      </c>
      <c r="AH1175">
        <v>20.514059083022499</v>
      </c>
      <c r="AI1175">
        <v>93.099737055593295</v>
      </c>
      <c r="AJ1175">
        <v>82.338997354322302</v>
      </c>
      <c r="AK1175">
        <v>20.7291416887136</v>
      </c>
      <c r="AL1175">
        <v>80.027714693730204</v>
      </c>
      <c r="AM1175">
        <v>82.451093722074802</v>
      </c>
      <c r="AN1175">
        <v>1.0000000381357399</v>
      </c>
    </row>
    <row r="1176" spans="1:40" x14ac:dyDescent="0.25">
      <c r="A1176" t="str">
        <f>"20190303162234398"</f>
        <v>20190303162234398</v>
      </c>
      <c r="B1176" t="str">
        <f>"1551601354385565"</f>
        <v>1551601354385565</v>
      </c>
      <c r="C1176" t="s">
        <v>40</v>
      </c>
      <c r="D1176">
        <v>5.4344859999999997</v>
      </c>
      <c r="E1176">
        <v>0.50067969999999995</v>
      </c>
      <c r="F1176" t="s">
        <v>41</v>
      </c>
      <c r="G1176">
        <v>-222.8878</v>
      </c>
      <c r="H1176" s="1">
        <v>-3.8037160000000001E-6</v>
      </c>
      <c r="I1176">
        <v>365.27379999999999</v>
      </c>
      <c r="J1176">
        <v>-244.2132</v>
      </c>
      <c r="K1176">
        <v>1.1209199999999999</v>
      </c>
      <c r="L1176">
        <v>367.6934</v>
      </c>
      <c r="M1176">
        <v>0.99972439999999996</v>
      </c>
      <c r="N1176">
        <v>-1.2793560000000001E-2</v>
      </c>
      <c r="O1176">
        <v>1.9686789999999999E-2</v>
      </c>
      <c r="P1176">
        <v>0.98069600000000001</v>
      </c>
      <c r="Q1176">
        <v>0.16222029999999901</v>
      </c>
      <c r="R1176">
        <v>-0.1091786</v>
      </c>
      <c r="S1176">
        <v>3.0462340000000001</v>
      </c>
      <c r="T1176">
        <v>-0.15823029999999999</v>
      </c>
      <c r="U1176">
        <v>-0.34082030000000002</v>
      </c>
      <c r="V1176">
        <v>0.12845190000000001</v>
      </c>
      <c r="W1176">
        <v>0.174734</v>
      </c>
      <c r="X1176">
        <v>0.97620090000000004</v>
      </c>
      <c r="Y1176">
        <v>0.13050149999999999</v>
      </c>
      <c r="Z1176">
        <v>-4.9826840000000002E-3</v>
      </c>
      <c r="AA1176">
        <v>0.99143559999999997</v>
      </c>
      <c r="AB1176">
        <v>25</v>
      </c>
      <c r="AC1176">
        <v>21.325399999999998</v>
      </c>
      <c r="AD1176">
        <v>-1.1209238037160001</v>
      </c>
      <c r="AE1176">
        <v>-2.4196</v>
      </c>
      <c r="AF1176">
        <v>2.8312710385332802</v>
      </c>
      <c r="AG1176">
        <v>-1.1209238037160001</v>
      </c>
      <c r="AH1176">
        <v>21.215757303827498</v>
      </c>
      <c r="AI1176">
        <v>92.997853602087403</v>
      </c>
      <c r="AJ1176">
        <v>82.398714089254597</v>
      </c>
      <c r="AK1176">
        <v>21.433173443106501</v>
      </c>
      <c r="AL1176">
        <v>79.936821369390799</v>
      </c>
      <c r="AM1176">
        <v>82.503887748756796</v>
      </c>
      <c r="AN1176">
        <v>1.0000000292652</v>
      </c>
    </row>
    <row r="1177" spans="1:40" x14ac:dyDescent="0.25">
      <c r="A1177" t="str">
        <f>"20190303162234420"</f>
        <v>20190303162234420</v>
      </c>
      <c r="B1177" t="str">
        <f>"1551601354415822"</f>
        <v>1551601354415822</v>
      </c>
      <c r="C1177" t="s">
        <v>40</v>
      </c>
      <c r="D1177">
        <v>5.6445569999999998</v>
      </c>
      <c r="E1177">
        <v>0.50060439999999995</v>
      </c>
      <c r="F1177" t="s">
        <v>41</v>
      </c>
      <c r="G1177">
        <v>-222.02080000000001</v>
      </c>
      <c r="H1177" s="1">
        <v>-4.1816269999999996E-6</v>
      </c>
      <c r="I1177">
        <v>365.24009999999998</v>
      </c>
      <c r="J1177">
        <v>-243.96719999999999</v>
      </c>
      <c r="K1177">
        <v>1.1209309999999999</v>
      </c>
      <c r="L1177">
        <v>367.69830000000002</v>
      </c>
      <c r="M1177">
        <v>0.99972300000000003</v>
      </c>
      <c r="N1177">
        <v>-1.279139E-2</v>
      </c>
      <c r="O1177">
        <v>1.9755519999999999E-2</v>
      </c>
      <c r="P1177">
        <v>0.98066869999999995</v>
      </c>
      <c r="Q1177">
        <v>0.16286909999999999</v>
      </c>
      <c r="R1177">
        <v>-0.1084561</v>
      </c>
      <c r="S1177">
        <v>3.0470120000000001</v>
      </c>
      <c r="T1177">
        <v>-0.15390239999999999</v>
      </c>
      <c r="U1177">
        <v>-0.33682250000000002</v>
      </c>
      <c r="V1177">
        <v>0.1277961</v>
      </c>
      <c r="W1177">
        <v>0.17538049999999999</v>
      </c>
      <c r="X1177">
        <v>0.97617100000000001</v>
      </c>
      <c r="Y1177">
        <v>0.1292703</v>
      </c>
      <c r="Z1177">
        <v>-4.825312E-3</v>
      </c>
      <c r="AA1177">
        <v>0.99159770000000003</v>
      </c>
      <c r="AB1177">
        <v>25</v>
      </c>
      <c r="AC1177">
        <v>21.946399999999901</v>
      </c>
      <c r="AD1177">
        <v>-1.1209351816269999</v>
      </c>
      <c r="AE1177">
        <v>-2.4582000000000299</v>
      </c>
      <c r="AF1177">
        <v>2.8838880464272898</v>
      </c>
      <c r="AG1177">
        <v>-1.1209351816269999</v>
      </c>
      <c r="AH1177">
        <v>21.837286854493101</v>
      </c>
      <c r="AI1177">
        <v>92.913234582765</v>
      </c>
      <c r="AJ1177">
        <v>82.476906559217596</v>
      </c>
      <c r="AK1177">
        <v>22.055393968622599</v>
      </c>
      <c r="AL1177">
        <v>79.899198309159701</v>
      </c>
      <c r="AM1177">
        <v>82.541500679163207</v>
      </c>
      <c r="AN1177">
        <v>0.99999999209822898</v>
      </c>
    </row>
    <row r="1178" spans="1:40" x14ac:dyDescent="0.25">
      <c r="A1178" t="str">
        <f>"20190303162234444"</f>
        <v>20190303162234444</v>
      </c>
      <c r="B1178" t="str">
        <f>"1551601354435341"</f>
        <v>1551601354435341</v>
      </c>
      <c r="C1178" t="s">
        <v>40</v>
      </c>
      <c r="D1178">
        <v>5.6455399999999996</v>
      </c>
      <c r="E1178">
        <v>0.5006043</v>
      </c>
      <c r="F1178" t="s">
        <v>41</v>
      </c>
      <c r="G1178">
        <v>-221.64670000000001</v>
      </c>
      <c r="H1178" s="1">
        <v>-4.3407389999999998E-6</v>
      </c>
      <c r="I1178">
        <v>365.24810000000002</v>
      </c>
      <c r="J1178">
        <v>-243.7167</v>
      </c>
      <c r="K1178">
        <v>1.120932</v>
      </c>
      <c r="L1178">
        <v>367.70330000000001</v>
      </c>
      <c r="M1178">
        <v>0.99972179999999999</v>
      </c>
      <c r="N1178">
        <v>-1.2789180000000001E-2</v>
      </c>
      <c r="O1178">
        <v>1.9825510000000001E-2</v>
      </c>
      <c r="P1178">
        <v>0.98058780000000001</v>
      </c>
      <c r="Q1178">
        <v>0.1639265</v>
      </c>
      <c r="R1178">
        <v>-0.10759290000000001</v>
      </c>
      <c r="S1178">
        <v>3.0475620000000001</v>
      </c>
      <c r="T1178">
        <v>-0.15304760000000001</v>
      </c>
      <c r="U1178">
        <v>-0.33453369999999999</v>
      </c>
      <c r="V1178">
        <v>0.1269999</v>
      </c>
      <c r="W1178">
        <v>0.17643429999999999</v>
      </c>
      <c r="X1178">
        <v>0.97608499999999998</v>
      </c>
      <c r="Y1178">
        <v>0.1285877</v>
      </c>
      <c r="Z1178">
        <v>-4.7821640000000002E-3</v>
      </c>
      <c r="AA1178">
        <v>0.99168659999999997</v>
      </c>
      <c r="AB1178">
        <v>25</v>
      </c>
      <c r="AC1178">
        <v>22.07</v>
      </c>
      <c r="AD1178">
        <v>-1.1209363407390001</v>
      </c>
      <c r="AE1178">
        <v>-2.4551999999999898</v>
      </c>
      <c r="AF1178">
        <v>2.8849509666683599</v>
      </c>
      <c r="AG1178">
        <v>-1.1209363407390001</v>
      </c>
      <c r="AH1178">
        <v>21.961023220694599</v>
      </c>
      <c r="AI1178">
        <v>92.897111876780301</v>
      </c>
      <c r="AJ1178">
        <v>82.516086817327903</v>
      </c>
      <c r="AK1178">
        <v>22.1780517913535</v>
      </c>
      <c r="AL1178">
        <v>79.837863500208201</v>
      </c>
      <c r="AM1178">
        <v>82.586804698955305</v>
      </c>
      <c r="AN1178">
        <v>0.99999998202074902</v>
      </c>
    </row>
    <row r="1179" spans="1:40" x14ac:dyDescent="0.25">
      <c r="A1179" t="str">
        <f>"20190303162234466"</f>
        <v>20190303162234466</v>
      </c>
      <c r="B1179" t="str">
        <f>"1551601354455837"</f>
        <v>1551601354455837</v>
      </c>
      <c r="C1179" t="s">
        <v>40</v>
      </c>
      <c r="D1179">
        <v>5.4655459999999998</v>
      </c>
      <c r="E1179">
        <v>0.50063480000000005</v>
      </c>
      <c r="F1179" t="s">
        <v>41</v>
      </c>
      <c r="G1179">
        <v>-221.0232</v>
      </c>
      <c r="H1179" s="1">
        <v>-4.610609E-6</v>
      </c>
      <c r="I1179">
        <v>365.23450000000003</v>
      </c>
      <c r="J1179">
        <v>-243.47219999999999</v>
      </c>
      <c r="K1179">
        <v>1.120932</v>
      </c>
      <c r="L1179">
        <v>367.70830000000001</v>
      </c>
      <c r="M1179">
        <v>0.99972030000000001</v>
      </c>
      <c r="N1179">
        <v>-1.278704E-2</v>
      </c>
      <c r="O1179">
        <v>1.9894060000000002E-2</v>
      </c>
      <c r="P1179">
        <v>0.98059339999999995</v>
      </c>
      <c r="Q1179">
        <v>0.1643656</v>
      </c>
      <c r="R1179">
        <v>-0.1068678</v>
      </c>
      <c r="S1179">
        <v>3.0481720000000001</v>
      </c>
      <c r="T1179">
        <v>-0.1505629</v>
      </c>
      <c r="U1179">
        <v>-0.33160400000000001</v>
      </c>
      <c r="V1179">
        <v>0.12634219999999999</v>
      </c>
      <c r="W1179">
        <v>0.17687169999999999</v>
      </c>
      <c r="X1179">
        <v>0.97609120000000005</v>
      </c>
      <c r="Y1179">
        <v>0.12769990000000001</v>
      </c>
      <c r="Z1179">
        <v>-4.6880799999999999E-3</v>
      </c>
      <c r="AA1179">
        <v>0.99180179999999996</v>
      </c>
      <c r="AB1179">
        <v>25</v>
      </c>
      <c r="AC1179">
        <v>22.448999999999899</v>
      </c>
      <c r="AD1179">
        <v>-1.120936610609</v>
      </c>
      <c r="AE1179">
        <v>-2.4737999999999798</v>
      </c>
      <c r="AF1179">
        <v>2.9127734364939699</v>
      </c>
      <c r="AG1179">
        <v>-1.120936610609</v>
      </c>
      <c r="AH1179">
        <v>22.340306527947298</v>
      </c>
      <c r="AI1179">
        <v>92.848368769791193</v>
      </c>
      <c r="AJ1179">
        <v>82.571566710620701</v>
      </c>
      <c r="AK1179">
        <v>22.5572614414958</v>
      </c>
      <c r="AL1179">
        <v>79.812401980432298</v>
      </c>
      <c r="AM1179">
        <v>82.6248183178933</v>
      </c>
      <c r="AN1179">
        <v>0.99999999023958497</v>
      </c>
    </row>
    <row r="1180" spans="1:40" x14ac:dyDescent="0.25">
      <c r="A1180" t="str">
        <f>"20190303162234488"</f>
        <v>20190303162234488</v>
      </c>
      <c r="B1180" t="str">
        <f>"1551601354475358"</f>
        <v>1551601354475358</v>
      </c>
      <c r="C1180" t="s">
        <v>40</v>
      </c>
      <c r="D1180">
        <v>5.645194</v>
      </c>
      <c r="E1180">
        <v>0.50065230000000005</v>
      </c>
      <c r="F1180" t="s">
        <v>41</v>
      </c>
      <c r="G1180">
        <v>-220.63419999999999</v>
      </c>
      <c r="H1180" s="1">
        <v>-4.7771289999999997E-6</v>
      </c>
      <c r="I1180">
        <v>365.23649999999998</v>
      </c>
      <c r="J1180">
        <v>-243.2345</v>
      </c>
      <c r="K1180">
        <v>1.1209309999999999</v>
      </c>
      <c r="L1180">
        <v>367.71300000000002</v>
      </c>
      <c r="M1180">
        <v>0.99971909999999997</v>
      </c>
      <c r="N1180">
        <v>-1.278498E-2</v>
      </c>
      <c r="O1180">
        <v>1.996071E-2</v>
      </c>
      <c r="P1180">
        <v>0.98067420000000005</v>
      </c>
      <c r="Q1180">
        <v>0.16422779999999901</v>
      </c>
      <c r="R1180">
        <v>-0.10633720000000001</v>
      </c>
      <c r="S1180">
        <v>3.048492</v>
      </c>
      <c r="T1180">
        <v>-0.149625799999999</v>
      </c>
      <c r="U1180">
        <v>-0.32992549999999998</v>
      </c>
      <c r="V1180">
        <v>0.1258785</v>
      </c>
      <c r="W1180">
        <v>0.1767328</v>
      </c>
      <c r="X1180">
        <v>0.9761763</v>
      </c>
      <c r="Y1180">
        <v>0.1272182</v>
      </c>
      <c r="Z1180">
        <v>-4.6495570000000003E-3</v>
      </c>
      <c r="AA1180">
        <v>0.99186379999999996</v>
      </c>
      <c r="AB1180">
        <v>25</v>
      </c>
      <c r="AC1180">
        <v>22.600300000000001</v>
      </c>
      <c r="AD1180">
        <v>-1.1209357771289901</v>
      </c>
      <c r="AE1180">
        <v>-2.4765000000000401</v>
      </c>
      <c r="AF1180">
        <v>2.9200632926543002</v>
      </c>
      <c r="AG1180">
        <v>-1.1209357771289901</v>
      </c>
      <c r="AH1180">
        <v>22.491686952035799</v>
      </c>
      <c r="AI1180">
        <v>92.829426965306993</v>
      </c>
      <c r="AJ1180">
        <v>82.6027477162379</v>
      </c>
      <c r="AK1180">
        <v>22.7081317725156</v>
      </c>
      <c r="AL1180">
        <v>79.820488091761405</v>
      </c>
      <c r="AM1180">
        <v>82.652223860429501</v>
      </c>
      <c r="AN1180">
        <v>1.0000000240198801</v>
      </c>
    </row>
    <row r="1181" spans="1:40" x14ac:dyDescent="0.25">
      <c r="A1181" t="str">
        <f>"20190303162234510"</f>
        <v>20190303162234510</v>
      </c>
      <c r="B1181" t="str">
        <f>"1551601354505613"</f>
        <v>1551601354505613</v>
      </c>
      <c r="C1181" t="s">
        <v>40</v>
      </c>
      <c r="D1181">
        <v>5.4894080000000001</v>
      </c>
      <c r="E1181">
        <v>0.50689289999999998</v>
      </c>
      <c r="F1181" t="s">
        <v>41</v>
      </c>
      <c r="G1181">
        <v>-220.57509999999999</v>
      </c>
      <c r="H1181" s="1">
        <v>-4.7959269999999998E-6</v>
      </c>
      <c r="I1181">
        <v>365.27339999999998</v>
      </c>
      <c r="J1181">
        <v>-242.98410000000001</v>
      </c>
      <c r="K1181">
        <v>1.120933</v>
      </c>
      <c r="L1181">
        <v>367.71809999999999</v>
      </c>
      <c r="M1181">
        <v>0.99971779999999999</v>
      </c>
      <c r="N1181">
        <v>-1.278287E-2</v>
      </c>
      <c r="O1181">
        <v>2.0030820000000001E-2</v>
      </c>
      <c r="P1181">
        <v>0.98083710000000002</v>
      </c>
      <c r="Q1181">
        <v>0.16364979999999901</v>
      </c>
      <c r="R1181">
        <v>-0.1057249</v>
      </c>
      <c r="S1181">
        <v>3.0487820000000001</v>
      </c>
      <c r="T1181">
        <v>-0.1508197</v>
      </c>
      <c r="U1181">
        <v>-0.32824710000000001</v>
      </c>
      <c r="V1181">
        <v>0.12533839999999999</v>
      </c>
      <c r="W1181">
        <v>0.17615510000000001</v>
      </c>
      <c r="X1181">
        <v>0.97635019999999995</v>
      </c>
      <c r="Y1181">
        <v>0.1267356</v>
      </c>
      <c r="Z1181">
        <v>-4.6693220000000001E-3</v>
      </c>
      <c r="AA1181">
        <v>0.99192550000000002</v>
      </c>
      <c r="AB1181">
        <v>25</v>
      </c>
      <c r="AC1181">
        <v>22.408999999999999</v>
      </c>
      <c r="AD1181">
        <v>-1.1209377959269999</v>
      </c>
      <c r="AE1181">
        <v>-2.4447000000000099</v>
      </c>
      <c r="AF1181">
        <v>2.88598037405932</v>
      </c>
      <c r="AG1181">
        <v>-1.1209377959269999</v>
      </c>
      <c r="AH1181">
        <v>22.3003866263007</v>
      </c>
      <c r="AI1181">
        <v>92.853814531397603</v>
      </c>
      <c r="AJ1181">
        <v>82.626112377489406</v>
      </c>
      <c r="AK1181">
        <v>22.514276091944101</v>
      </c>
      <c r="AL1181">
        <v>79.854115447119497</v>
      </c>
      <c r="AM1181">
        <v>82.684697276564407</v>
      </c>
      <c r="AN1181">
        <v>1.0000000234052999</v>
      </c>
    </row>
    <row r="1182" spans="1:40" x14ac:dyDescent="0.25">
      <c r="A1182" t="str">
        <f>"20190303162234532"</f>
        <v>20190303162234532</v>
      </c>
      <c r="B1182" t="str">
        <f>"1551601354525133"</f>
        <v>1551601354525133</v>
      </c>
      <c r="C1182" t="s">
        <v>40</v>
      </c>
      <c r="D1182">
        <v>5.5158579999999997</v>
      </c>
      <c r="E1182">
        <v>0.50896799999999998</v>
      </c>
      <c r="F1182" t="s">
        <v>42</v>
      </c>
      <c r="G1182">
        <v>-242.12819999999999</v>
      </c>
      <c r="H1182">
        <v>1.021188</v>
      </c>
      <c r="I1182">
        <v>367.61290000000002</v>
      </c>
      <c r="J1182">
        <v>-242.74359999999999</v>
      </c>
      <c r="K1182">
        <v>1.120933</v>
      </c>
      <c r="L1182">
        <v>367.72309999999999</v>
      </c>
      <c r="M1182">
        <v>0.99971650000000001</v>
      </c>
      <c r="N1182">
        <v>-1.278077E-2</v>
      </c>
      <c r="O1182">
        <v>2.0098060000000001E-2</v>
      </c>
      <c r="P1182">
        <v>0.98089190000000004</v>
      </c>
      <c r="Q1182">
        <v>0.16339770000000001</v>
      </c>
      <c r="R1182">
        <v>-0.1056052</v>
      </c>
      <c r="S1182">
        <v>3.0778349999999999</v>
      </c>
      <c r="T1182">
        <v>-0.35897970000000001</v>
      </c>
      <c r="U1182">
        <v>-0.37731930000000002</v>
      </c>
      <c r="V1182">
        <v>0.1252857</v>
      </c>
      <c r="W1182">
        <v>0.1759011</v>
      </c>
      <c r="X1182">
        <v>0.97640280000000002</v>
      </c>
      <c r="Y1182">
        <v>0.14045739999999901</v>
      </c>
      <c r="Z1182">
        <v>-1.111059E-2</v>
      </c>
      <c r="AA1182">
        <v>0.99002440000000003</v>
      </c>
      <c r="AB1182">
        <v>25</v>
      </c>
      <c r="AC1182">
        <v>0.61539999999999395</v>
      </c>
      <c r="AD1182">
        <v>-9.9744999999999903E-2</v>
      </c>
      <c r="AE1182">
        <v>-0.11019999999996299</v>
      </c>
      <c r="AF1182">
        <v>0.119505181085339</v>
      </c>
      <c r="AG1182">
        <v>-9.9744999999999903E-2</v>
      </c>
      <c r="AH1182">
        <v>0.59784306466102799</v>
      </c>
      <c r="AI1182">
        <v>99.291549126875395</v>
      </c>
      <c r="AJ1182">
        <v>78.695912980877395</v>
      </c>
      <c r="AK1182">
        <v>0.61777575486136604</v>
      </c>
      <c r="AL1182">
        <v>79.868899857802703</v>
      </c>
      <c r="AM1182">
        <v>82.688129441933796</v>
      </c>
      <c r="AN1182">
        <v>1.00000006572676</v>
      </c>
    </row>
    <row r="1183" spans="1:40" x14ac:dyDescent="0.25">
      <c r="A1183" t="str">
        <f>"20190303162234554"</f>
        <v>20190303162234554</v>
      </c>
      <c r="B1183" t="str">
        <f>"1551601354545629"</f>
        <v>1551601354545629</v>
      </c>
      <c r="C1183" t="s">
        <v>40</v>
      </c>
      <c r="D1183">
        <v>5.4987469999999998</v>
      </c>
      <c r="E1183">
        <v>0.51004859999999996</v>
      </c>
      <c r="F1183" t="s">
        <v>42</v>
      </c>
      <c r="G1183">
        <v>-241.92250000000001</v>
      </c>
      <c r="H1183">
        <v>0.99362600000000001</v>
      </c>
      <c r="I1183">
        <v>367.61849999999998</v>
      </c>
      <c r="J1183">
        <v>-242.49799999999999</v>
      </c>
      <c r="K1183">
        <v>1.1209340000000001</v>
      </c>
      <c r="L1183">
        <v>367.72809999999998</v>
      </c>
      <c r="M1183">
        <v>0.99971509999999997</v>
      </c>
      <c r="N1183">
        <v>-1.2778599999999999E-2</v>
      </c>
      <c r="O1183">
        <v>2.0166799999999999E-2</v>
      </c>
      <c r="P1183">
        <v>0.9809582</v>
      </c>
      <c r="Q1183">
        <v>0.16299359999999999</v>
      </c>
      <c r="R1183">
        <v>-0.10561570000000001</v>
      </c>
      <c r="S1183">
        <v>3.096085</v>
      </c>
      <c r="T1183">
        <v>-0.48016690000000001</v>
      </c>
      <c r="U1183">
        <v>-0.39337159999999999</v>
      </c>
      <c r="V1183">
        <v>0.1253647</v>
      </c>
      <c r="W1183">
        <v>0.17549600000000001</v>
      </c>
      <c r="X1183">
        <v>0.97646549999999999</v>
      </c>
      <c r="Y1183">
        <v>0.1439851</v>
      </c>
      <c r="Z1183">
        <v>-1.4827150000000001E-2</v>
      </c>
      <c r="AA1183">
        <v>0.98946880000000004</v>
      </c>
      <c r="AB1183">
        <v>25</v>
      </c>
      <c r="AC1183">
        <v>0.57549999999997603</v>
      </c>
      <c r="AD1183">
        <v>-0.127308</v>
      </c>
      <c r="AE1183">
        <v>-0.1096</v>
      </c>
      <c r="AF1183">
        <v>0.115720062928391</v>
      </c>
      <c r="AG1183">
        <v>-0.127308</v>
      </c>
      <c r="AH1183">
        <v>0.54732639284860096</v>
      </c>
      <c r="AI1183">
        <v>102.82040765557601</v>
      </c>
      <c r="AJ1183">
        <v>78.061887023446701</v>
      </c>
      <c r="AK1183">
        <v>0.57372871650006496</v>
      </c>
      <c r="AL1183">
        <v>79.892476609700907</v>
      </c>
      <c r="AM1183">
        <v>82.684033526268607</v>
      </c>
      <c r="AN1183">
        <v>1.0000000133561699</v>
      </c>
    </row>
    <row r="1184" spans="1:40" x14ac:dyDescent="0.25">
      <c r="A1184" t="str">
        <f>"20190303162234576"</f>
        <v>20190303162234576</v>
      </c>
      <c r="B1184" t="str">
        <f>"1551601354565149"</f>
        <v>1551601354565149</v>
      </c>
      <c r="C1184" t="s">
        <v>40</v>
      </c>
      <c r="D1184">
        <v>5.552327</v>
      </c>
      <c r="E1184">
        <v>0.51002749999999997</v>
      </c>
      <c r="F1184" t="s">
        <v>42</v>
      </c>
      <c r="G1184">
        <v>-241.70939999999999</v>
      </c>
      <c r="H1184">
        <v>0.9813733</v>
      </c>
      <c r="I1184">
        <v>367.62580000000003</v>
      </c>
      <c r="J1184">
        <v>-242.25790000000001</v>
      </c>
      <c r="K1184">
        <v>1.1209229999999999</v>
      </c>
      <c r="L1184">
        <v>367.733</v>
      </c>
      <c r="M1184">
        <v>0.99971370000000004</v>
      </c>
      <c r="N1184">
        <v>-1.277651E-2</v>
      </c>
      <c r="O1184">
        <v>2.0233919999999999E-2</v>
      </c>
      <c r="P1184">
        <v>0.98096159999999999</v>
      </c>
      <c r="Q1184">
        <v>0.1628858</v>
      </c>
      <c r="R1184">
        <v>-0.10574799999999999</v>
      </c>
      <c r="S1184">
        <v>3.1062620000000001</v>
      </c>
      <c r="T1184">
        <v>-0.54976369999999997</v>
      </c>
      <c r="U1184">
        <v>-0.40231319999999998</v>
      </c>
      <c r="V1184">
        <v>0.12556289999999901</v>
      </c>
      <c r="W1184">
        <v>0.17538570000000001</v>
      </c>
      <c r="X1184">
        <v>0.97645990000000005</v>
      </c>
      <c r="Y1184">
        <v>0.14582310000000001</v>
      </c>
      <c r="Z1184">
        <v>-1.698026E-2</v>
      </c>
      <c r="AA1184">
        <v>0.98916490000000001</v>
      </c>
      <c r="AB1184">
        <v>25</v>
      </c>
      <c r="AC1184">
        <v>0.54850000000001797</v>
      </c>
      <c r="AD1184">
        <v>-0.139549699999999</v>
      </c>
      <c r="AE1184">
        <v>-0.10719999999997699</v>
      </c>
      <c r="AF1184">
        <v>0.111335671706097</v>
      </c>
      <c r="AG1184">
        <v>-0.139549699999999</v>
      </c>
      <c r="AH1184">
        <v>0.51416135644188199</v>
      </c>
      <c r="AI1184">
        <v>104.85638807784299</v>
      </c>
      <c r="AJ1184">
        <v>77.781897730749094</v>
      </c>
      <c r="AK1184">
        <v>0.54427167023692702</v>
      </c>
      <c r="AL1184">
        <v>79.898896383360693</v>
      </c>
      <c r="AM1184">
        <v>82.672551114999806</v>
      </c>
      <c r="AN1184">
        <v>1.0000000609644499</v>
      </c>
    </row>
    <row r="1185" spans="1:40" x14ac:dyDescent="0.25">
      <c r="A1185" t="str">
        <f>"20190303162234600"</f>
        <v>20190303162234600</v>
      </c>
      <c r="B1185" t="str">
        <f>"1551601354595405"</f>
        <v>1551601354595405</v>
      </c>
      <c r="C1185" t="s">
        <v>40</v>
      </c>
      <c r="D1185">
        <v>5.5487570000000002</v>
      </c>
      <c r="E1185">
        <v>0.50964949999999998</v>
      </c>
      <c r="F1185" t="s">
        <v>42</v>
      </c>
      <c r="G1185">
        <v>-241.49299999999999</v>
      </c>
      <c r="H1185">
        <v>0.97637099999999999</v>
      </c>
      <c r="I1185">
        <v>367.63380000000001</v>
      </c>
      <c r="J1185">
        <v>-242.00069999999999</v>
      </c>
      <c r="K1185">
        <v>1.120922</v>
      </c>
      <c r="L1185">
        <v>367.73829999999998</v>
      </c>
      <c r="M1185">
        <v>0.99971239999999995</v>
      </c>
      <c r="N1185">
        <v>-1.2774260000000001E-2</v>
      </c>
      <c r="O1185">
        <v>2.0305699999999999E-2</v>
      </c>
      <c r="P1185">
        <v>0.98100129999999996</v>
      </c>
      <c r="Q1185">
        <v>0.162249799999999</v>
      </c>
      <c r="R1185">
        <v>-0.1063568</v>
      </c>
      <c r="S1185">
        <v>3.1125340000000001</v>
      </c>
      <c r="T1185">
        <v>-0.58846350000000003</v>
      </c>
      <c r="U1185">
        <v>-0.40252690000000002</v>
      </c>
      <c r="V1185">
        <v>0.12624270000000001</v>
      </c>
      <c r="W1185">
        <v>0.17474809999999999</v>
      </c>
      <c r="X1185">
        <v>0.97648650000000004</v>
      </c>
      <c r="Y1185">
        <v>0.1453507</v>
      </c>
      <c r="Z1185">
        <v>-1.8040199999999999E-2</v>
      </c>
      <c r="AA1185">
        <v>0.98921570000000003</v>
      </c>
      <c r="AB1185">
        <v>25</v>
      </c>
      <c r="AC1185">
        <v>0.50769999999999904</v>
      </c>
      <c r="AD1185">
        <v>-0.14455100000000001</v>
      </c>
      <c r="AE1185">
        <v>-0.104499999999973</v>
      </c>
      <c r="AF1185">
        <v>0.10650563601408999</v>
      </c>
      <c r="AG1185">
        <v>-0.14455100000000001</v>
      </c>
      <c r="AH1185">
        <v>0.46899947428950201</v>
      </c>
      <c r="AI1185">
        <v>106.72861739167401</v>
      </c>
      <c r="AJ1185">
        <v>77.205626248669802</v>
      </c>
      <c r="AK1185">
        <v>0.50219413476024899</v>
      </c>
      <c r="AL1185">
        <v>79.936000589957899</v>
      </c>
      <c r="AM1185">
        <v>82.633513235577297</v>
      </c>
      <c r="AN1185">
        <v>1.00000000121957</v>
      </c>
    </row>
    <row r="1186" spans="1:40" x14ac:dyDescent="0.25">
      <c r="A1186" t="str">
        <f>"20190303162234621"</f>
        <v>20190303162234621</v>
      </c>
      <c r="B1186" t="str">
        <f>"1551601354615901"</f>
        <v>1551601354615901</v>
      </c>
      <c r="C1186" t="s">
        <v>40</v>
      </c>
      <c r="D1186">
        <v>5.5463820000000004</v>
      </c>
      <c r="E1186">
        <v>0.50955629999999996</v>
      </c>
      <c r="F1186" t="s">
        <v>42</v>
      </c>
      <c r="G1186">
        <v>-241.2748</v>
      </c>
      <c r="H1186">
        <v>0.97555119999999895</v>
      </c>
      <c r="I1186">
        <v>367.6447</v>
      </c>
      <c r="J1186">
        <v>-241.7654</v>
      </c>
      <c r="K1186">
        <v>1.120919</v>
      </c>
      <c r="L1186">
        <v>367.7432</v>
      </c>
      <c r="M1186">
        <v>0.99971100000000002</v>
      </c>
      <c r="N1186">
        <v>-1.2772149999999999E-2</v>
      </c>
      <c r="O1186">
        <v>2.0371630000000002E-2</v>
      </c>
      <c r="P1186">
        <v>0.98100739999999997</v>
      </c>
      <c r="Q1186">
        <v>0.16197300000000001</v>
      </c>
      <c r="R1186">
        <v>-0.1067227</v>
      </c>
      <c r="S1186">
        <v>3.1179350000000001</v>
      </c>
      <c r="T1186">
        <v>-0.62452790000000002</v>
      </c>
      <c r="U1186">
        <v>-0.40090940000000003</v>
      </c>
      <c r="V1186">
        <v>0.12667310000000001</v>
      </c>
      <c r="W1186">
        <v>0.17446919999999999</v>
      </c>
      <c r="X1186">
        <v>0.97648060000000003</v>
      </c>
      <c r="Y1186">
        <v>0.14435419999999999</v>
      </c>
      <c r="Z1186">
        <v>-1.8961869999999999E-2</v>
      </c>
      <c r="AA1186">
        <v>0.98934440000000001</v>
      </c>
      <c r="AB1186">
        <v>25</v>
      </c>
      <c r="AC1186">
        <v>0.49059999999999998</v>
      </c>
      <c r="AD1186">
        <v>-0.14536779999999999</v>
      </c>
      <c r="AE1186">
        <v>-9.8500000000001295E-2</v>
      </c>
      <c r="AF1186">
        <v>0.10003242255627399</v>
      </c>
      <c r="AG1186">
        <v>-0.14536779999999999</v>
      </c>
      <c r="AH1186">
        <v>0.45047354187326</v>
      </c>
      <c r="AI1186">
        <v>107.485799058773</v>
      </c>
      <c r="AJ1186">
        <v>77.480017381857706</v>
      </c>
      <c r="AK1186">
        <v>0.48380233026222302</v>
      </c>
      <c r="AL1186">
        <v>79.952229369704497</v>
      </c>
      <c r="AM1186">
        <v>82.608631707147694</v>
      </c>
      <c r="AN1186">
        <v>0.999999969094304</v>
      </c>
    </row>
    <row r="1187" spans="1:40" x14ac:dyDescent="0.25">
      <c r="A1187" t="str">
        <f>"20190303162234644"</f>
        <v>20190303162234644</v>
      </c>
      <c r="B1187" t="str">
        <f>"1551601354635421"</f>
        <v>1551601354635421</v>
      </c>
      <c r="C1187" t="s">
        <v>40</v>
      </c>
      <c r="D1187">
        <v>5.5531540000000001</v>
      </c>
      <c r="E1187">
        <v>0.50982050000000001</v>
      </c>
      <c r="F1187" t="s">
        <v>42</v>
      </c>
      <c r="G1187">
        <v>-241.05629999999999</v>
      </c>
      <c r="H1187">
        <v>0.97528669999999995</v>
      </c>
      <c r="I1187">
        <v>367.65170000000001</v>
      </c>
      <c r="J1187">
        <v>-241.5273</v>
      </c>
      <c r="K1187">
        <v>1.120924</v>
      </c>
      <c r="L1187">
        <v>367.74810000000002</v>
      </c>
      <c r="M1187">
        <v>0.99970959999999998</v>
      </c>
      <c r="N1187">
        <v>-1.277007E-2</v>
      </c>
      <c r="O1187">
        <v>2.043851E-2</v>
      </c>
      <c r="P1187">
        <v>0.98090960000000005</v>
      </c>
      <c r="Q1187">
        <v>0.161906299999999</v>
      </c>
      <c r="R1187">
        <v>-0.1077173</v>
      </c>
      <c r="S1187">
        <v>3.1202390000000002</v>
      </c>
      <c r="T1187">
        <v>-0.64091399999999998</v>
      </c>
      <c r="U1187">
        <v>-0.40139770000000002</v>
      </c>
      <c r="V1187">
        <v>0.12773109999999999</v>
      </c>
      <c r="W1187">
        <v>0.17439879999999999</v>
      </c>
      <c r="X1187">
        <v>0.97635539999999998</v>
      </c>
      <c r="Y1187">
        <v>0.14431189999999999</v>
      </c>
      <c r="Z1187">
        <v>-1.9426990000000002E-2</v>
      </c>
      <c r="AA1187">
        <v>0.98934149999999998</v>
      </c>
      <c r="AB1187">
        <v>24</v>
      </c>
      <c r="AC1187">
        <v>0.47100000000000303</v>
      </c>
      <c r="AD1187">
        <v>-0.145637299999999</v>
      </c>
      <c r="AE1187">
        <v>-9.6400000000016903E-2</v>
      </c>
      <c r="AF1187">
        <v>9.7096987204055296E-2</v>
      </c>
      <c r="AG1187">
        <v>-0.145637299999999</v>
      </c>
      <c r="AH1187">
        <v>0.429516209603439</v>
      </c>
      <c r="AI1187">
        <v>108.30046979020899</v>
      </c>
      <c r="AJ1187">
        <v>77.261752438910094</v>
      </c>
      <c r="AK1187">
        <v>0.46381270183932999</v>
      </c>
      <c r="AL1187">
        <v>79.956326324610203</v>
      </c>
      <c r="AM1187">
        <v>82.546643676710502</v>
      </c>
      <c r="AN1187">
        <v>1.0000000212289</v>
      </c>
    </row>
    <row r="1188" spans="1:40" x14ac:dyDescent="0.25">
      <c r="A1188" t="str">
        <f>"20190303162234659"</f>
        <v>20190303162234659</v>
      </c>
      <c r="B1188" t="str">
        <f>"1551601354655917"</f>
        <v>1551601354655917</v>
      </c>
      <c r="C1188" t="s">
        <v>40</v>
      </c>
      <c r="D1188">
        <v>5.5790179999999996</v>
      </c>
      <c r="E1188">
        <v>0.50983199999999995</v>
      </c>
      <c r="F1188" t="s">
        <v>42</v>
      </c>
      <c r="G1188">
        <v>-240.63679999999999</v>
      </c>
      <c r="H1188">
        <v>0.93510740000000003</v>
      </c>
      <c r="I1188">
        <v>367.63189999999997</v>
      </c>
      <c r="J1188">
        <v>-241.34880000000001</v>
      </c>
      <c r="K1188">
        <v>1.1209209999999901</v>
      </c>
      <c r="L1188">
        <v>367.7518</v>
      </c>
      <c r="M1188">
        <v>0.99970859999999995</v>
      </c>
      <c r="N1188">
        <v>-1.276852E-2</v>
      </c>
      <c r="O1188">
        <v>2.0488409999999999E-2</v>
      </c>
      <c r="P1188">
        <v>0.98087979999999997</v>
      </c>
      <c r="Q1188">
        <v>0.16184209999999999</v>
      </c>
      <c r="R1188">
        <v>-0.1080849</v>
      </c>
      <c r="S1188">
        <v>3.1212770000000001</v>
      </c>
      <c r="T1188">
        <v>-0.65150620000000004</v>
      </c>
      <c r="U1188">
        <v>-0.40634160000000002</v>
      </c>
      <c r="V1188">
        <v>0.12814680000000001</v>
      </c>
      <c r="W1188">
        <v>0.17433209999999999</v>
      </c>
      <c r="X1188">
        <v>0.97631279999999998</v>
      </c>
      <c r="Y1188">
        <v>0.14571719999999999</v>
      </c>
      <c r="Z1188">
        <v>-1.9886109999999999E-2</v>
      </c>
      <c r="AA1188">
        <v>0.98912639999999996</v>
      </c>
      <c r="AB1188">
        <v>24</v>
      </c>
      <c r="AC1188">
        <v>0.71200000000001695</v>
      </c>
      <c r="AD1188">
        <v>-0.185813599999999</v>
      </c>
      <c r="AE1188">
        <v>-0.119900000000029</v>
      </c>
      <c r="AF1188">
        <v>0.12611148081100701</v>
      </c>
      <c r="AG1188">
        <v>-0.185813599999999</v>
      </c>
      <c r="AH1188">
        <v>0.66532941402840096</v>
      </c>
      <c r="AI1188">
        <v>105.344010935916</v>
      </c>
      <c r="AJ1188">
        <v>79.267061844621495</v>
      </c>
      <c r="AK1188">
        <v>0.70220654276977501</v>
      </c>
      <c r="AL1188">
        <v>79.960207023989497</v>
      </c>
      <c r="AM1188">
        <v>82.522338252774404</v>
      </c>
      <c r="AN1188">
        <v>0.99999998344224394</v>
      </c>
    </row>
    <row r="1189" spans="1:40" x14ac:dyDescent="0.25">
      <c r="A1189" t="str">
        <f>"20190303162234679"</f>
        <v>20190303162234679</v>
      </c>
      <c r="B1189" t="str">
        <f>"1551601354675438"</f>
        <v>1551601354675438</v>
      </c>
      <c r="C1189" t="s">
        <v>40</v>
      </c>
      <c r="D1189">
        <v>5.5837960000000004</v>
      </c>
      <c r="E1189">
        <v>0.51186790000000004</v>
      </c>
      <c r="F1189" t="s">
        <v>42</v>
      </c>
      <c r="G1189">
        <v>-240.6223</v>
      </c>
      <c r="H1189">
        <v>0.96815260000000003</v>
      </c>
      <c r="I1189">
        <v>367.6567</v>
      </c>
      <c r="J1189">
        <v>-241.13659999999999</v>
      </c>
      <c r="K1189">
        <v>1.1209290000000001</v>
      </c>
      <c r="L1189">
        <v>367.75619999999998</v>
      </c>
      <c r="M1189">
        <v>0.99970749999999997</v>
      </c>
      <c r="N1189">
        <v>-1.276683E-2</v>
      </c>
      <c r="O1189">
        <v>2.0547840000000001E-2</v>
      </c>
      <c r="P1189">
        <v>0.98095520000000003</v>
      </c>
      <c r="Q1189">
        <v>0.1610992</v>
      </c>
      <c r="R1189">
        <v>-0.1085082</v>
      </c>
      <c r="S1189">
        <v>3.1219480000000002</v>
      </c>
      <c r="T1189">
        <v>-0.65670490000000004</v>
      </c>
      <c r="U1189">
        <v>-0.407196</v>
      </c>
      <c r="V1189">
        <v>0.12862989999999999</v>
      </c>
      <c r="W1189">
        <v>0.17358879999999999</v>
      </c>
      <c r="X1189">
        <v>0.97638170000000002</v>
      </c>
      <c r="Y1189">
        <v>0.1459531</v>
      </c>
      <c r="Z1189">
        <v>-2.0069380000000001E-2</v>
      </c>
      <c r="AA1189">
        <v>0.98908790000000002</v>
      </c>
      <c r="AB1189">
        <v>24</v>
      </c>
      <c r="AC1189">
        <v>0.51429999999999099</v>
      </c>
      <c r="AD1189">
        <v>-0.15277640000000001</v>
      </c>
      <c r="AE1189">
        <v>-9.9499999999977704E-2</v>
      </c>
      <c r="AF1189">
        <v>0.101420835156195</v>
      </c>
      <c r="AG1189">
        <v>-0.15277640000000001</v>
      </c>
      <c r="AH1189">
        <v>0.47199890597566102</v>
      </c>
      <c r="AI1189">
        <v>107.56030832324799</v>
      </c>
      <c r="AJ1189">
        <v>77.872957393163801</v>
      </c>
      <c r="AK1189">
        <v>0.50636921454898998</v>
      </c>
      <c r="AL1189">
        <v>80.0034542851987</v>
      </c>
      <c r="AM1189">
        <v>82.4949926508408</v>
      </c>
      <c r="AN1189">
        <v>0.99999997337716895</v>
      </c>
    </row>
    <row r="1190" spans="1:40" x14ac:dyDescent="0.25">
      <c r="A1190" t="str">
        <f>"20190303162234699"</f>
        <v>20190303162234699</v>
      </c>
      <c r="B1190" t="str">
        <f>"1551601354694957"</f>
        <v>1551601354694957</v>
      </c>
      <c r="C1190" t="s">
        <v>40</v>
      </c>
      <c r="D1190">
        <v>5.5811299999999999</v>
      </c>
      <c r="E1190">
        <v>0.51014459999999995</v>
      </c>
      <c r="F1190" t="s">
        <v>42</v>
      </c>
      <c r="G1190">
        <v>-240.43600000000001</v>
      </c>
      <c r="H1190">
        <v>0.89966089999999999</v>
      </c>
      <c r="I1190">
        <v>367.66210000000001</v>
      </c>
      <c r="J1190">
        <v>-240.91149999999999</v>
      </c>
      <c r="K1190">
        <v>1.1209279999999999</v>
      </c>
      <c r="L1190">
        <v>367.76089999999999</v>
      </c>
      <c r="M1190">
        <v>0.99970599999999998</v>
      </c>
      <c r="N1190">
        <v>-1.276502E-2</v>
      </c>
      <c r="O1190">
        <v>2.0611029999999999E-2</v>
      </c>
      <c r="P1190">
        <v>0.98090940000000004</v>
      </c>
      <c r="Q1190">
        <v>0.16117909999999999</v>
      </c>
      <c r="R1190">
        <v>-0.10880239999999999</v>
      </c>
      <c r="S1190">
        <v>3.1758730000000002</v>
      </c>
      <c r="T1190">
        <v>-1.00301</v>
      </c>
      <c r="U1190">
        <v>-0.42559809999999998</v>
      </c>
      <c r="V1190">
        <v>0.12898499999999999</v>
      </c>
      <c r="W1190">
        <v>0.173666299999999</v>
      </c>
      <c r="X1190">
        <v>0.97632110000000005</v>
      </c>
      <c r="Y1190">
        <v>0.14507139999999999</v>
      </c>
      <c r="Z1190">
        <v>-2.9298069999999999E-2</v>
      </c>
      <c r="AA1190">
        <v>0.98898730000000001</v>
      </c>
      <c r="AB1190">
        <v>24</v>
      </c>
      <c r="AC1190">
        <v>0.47550000000001003</v>
      </c>
      <c r="AD1190">
        <v>-0.22126709999999999</v>
      </c>
      <c r="AE1190">
        <v>-9.8799999999982901E-2</v>
      </c>
      <c r="AF1190">
        <v>8.9915988255864096E-2</v>
      </c>
      <c r="AG1190">
        <v>-0.22126709999999999</v>
      </c>
      <c r="AH1190">
        <v>0.39199404249717301</v>
      </c>
      <c r="AI1190">
        <v>118.818581218351</v>
      </c>
      <c r="AJ1190">
        <v>77.080923843761198</v>
      </c>
      <c r="AK1190">
        <v>0.45902433904937401</v>
      </c>
      <c r="AL1190">
        <v>79.998945668778305</v>
      </c>
      <c r="AM1190">
        <v>82.474049466887294</v>
      </c>
      <c r="AN1190">
        <v>1.00000000214295</v>
      </c>
    </row>
    <row r="1191" spans="1:40" x14ac:dyDescent="0.25">
      <c r="A1191" t="str">
        <f>"20190303162234713"</f>
        <v>20190303162234713</v>
      </c>
      <c r="B1191" t="str">
        <f>"1551601354705693"</f>
        <v>1551601354705693</v>
      </c>
      <c r="C1191" t="s">
        <v>40</v>
      </c>
      <c r="D1191">
        <v>5.6158320000000002</v>
      </c>
      <c r="E1191">
        <v>0.50961599999999996</v>
      </c>
      <c r="F1191" t="s">
        <v>42</v>
      </c>
      <c r="G1191">
        <v>-240.22630000000001</v>
      </c>
      <c r="H1191">
        <v>0.88055530000000004</v>
      </c>
      <c r="I1191">
        <v>367.67200000000003</v>
      </c>
      <c r="J1191">
        <v>-240.7586</v>
      </c>
      <c r="K1191">
        <v>1.12093</v>
      </c>
      <c r="L1191">
        <v>367.76409999999998</v>
      </c>
      <c r="M1191">
        <v>0.99970530000000002</v>
      </c>
      <c r="N1191">
        <v>-1.2763679999999999E-2</v>
      </c>
      <c r="O1191">
        <v>2.0653769999999998E-2</v>
      </c>
      <c r="P1191">
        <v>0.98095679999999996</v>
      </c>
      <c r="Q1191">
        <v>0.16104189999999999</v>
      </c>
      <c r="R1191">
        <v>-0.1085806</v>
      </c>
      <c r="S1191">
        <v>3.1968540000000001</v>
      </c>
      <c r="T1191">
        <v>-1.1213799999999901</v>
      </c>
      <c r="U1191">
        <v>-0.41287230000000003</v>
      </c>
      <c r="V1191">
        <v>0.12880610000000001</v>
      </c>
      <c r="W1191">
        <v>0.17352819999999999</v>
      </c>
      <c r="X1191">
        <v>0.9763693</v>
      </c>
      <c r="Y1191">
        <v>0.13892460000000001</v>
      </c>
      <c r="Z1191">
        <v>-3.124064E-2</v>
      </c>
      <c r="AA1191">
        <v>0.98980999999999997</v>
      </c>
      <c r="AB1191">
        <v>24</v>
      </c>
      <c r="AC1191">
        <v>0.532299999999992</v>
      </c>
      <c r="AD1191">
        <v>-0.240374699999999</v>
      </c>
      <c r="AE1191">
        <v>-9.2100000000016197E-2</v>
      </c>
      <c r="AF1191">
        <v>8.6039805645858697E-2</v>
      </c>
      <c r="AG1191">
        <v>-0.240374699999999</v>
      </c>
      <c r="AH1191">
        <v>0.44264301500726999</v>
      </c>
      <c r="AI1191">
        <v>118.06061359003</v>
      </c>
      <c r="AJ1191">
        <v>79.000159707259996</v>
      </c>
      <c r="AK1191">
        <v>0.51099479771362999</v>
      </c>
      <c r="AL1191">
        <v>80.006980475453304</v>
      </c>
      <c r="AM1191">
        <v>82.484735205560298</v>
      </c>
      <c r="AN1191">
        <v>1.00000002878746</v>
      </c>
    </row>
    <row r="1192" spans="1:40" x14ac:dyDescent="0.25">
      <c r="A1192" t="str">
        <f>"20190303162234733"</f>
        <v>20190303162234733</v>
      </c>
      <c r="B1192" t="str">
        <f>"1551601354725213"</f>
        <v>1551601354725213</v>
      </c>
      <c r="C1192" t="s">
        <v>40</v>
      </c>
      <c r="D1192">
        <v>5.6118750000000004</v>
      </c>
      <c r="E1192">
        <v>0.50977550000000005</v>
      </c>
      <c r="F1192" t="s">
        <v>42</v>
      </c>
      <c r="G1192">
        <v>-240.01849999999999</v>
      </c>
      <c r="H1192">
        <v>0.8543364</v>
      </c>
      <c r="I1192">
        <v>367.66989999999998</v>
      </c>
      <c r="J1192">
        <v>-240.54570000000001</v>
      </c>
      <c r="K1192">
        <v>1.120933</v>
      </c>
      <c r="L1192">
        <v>367.76859999999999</v>
      </c>
      <c r="M1192">
        <v>0.99970409999999998</v>
      </c>
      <c r="N1192">
        <v>-1.2761700000000001E-2</v>
      </c>
      <c r="O1192">
        <v>2.0713510000000001E-2</v>
      </c>
      <c r="P1192">
        <v>0.98095679999999996</v>
      </c>
      <c r="Q1192">
        <v>0.1610779</v>
      </c>
      <c r="R1192">
        <v>-0.10852630000000001</v>
      </c>
      <c r="S1192">
        <v>3.2025450000000002</v>
      </c>
      <c r="T1192">
        <v>-1.153554</v>
      </c>
      <c r="U1192">
        <v>-0.40725709999999998</v>
      </c>
      <c r="V1192">
        <v>0.12881020000000001</v>
      </c>
      <c r="W1192">
        <v>0.17356199999999999</v>
      </c>
      <c r="X1192">
        <v>0.97636270000000003</v>
      </c>
      <c r="Y1192">
        <v>0.136687</v>
      </c>
      <c r="Z1192">
        <v>-3.1635620000000003E-2</v>
      </c>
      <c r="AA1192">
        <v>0.99010900000000002</v>
      </c>
      <c r="AB1192">
        <v>24</v>
      </c>
      <c r="AC1192">
        <v>0.52720000000002099</v>
      </c>
      <c r="AD1192">
        <v>-0.26659660000000002</v>
      </c>
      <c r="AE1192">
        <v>-9.8700000000008004E-2</v>
      </c>
      <c r="AF1192">
        <v>8.7886815076361993E-2</v>
      </c>
      <c r="AG1192">
        <v>-0.26659660000000002</v>
      </c>
      <c r="AH1192">
        <v>0.421025073942565</v>
      </c>
      <c r="AI1192">
        <v>121.792605693903</v>
      </c>
      <c r="AJ1192">
        <v>78.209115654808201</v>
      </c>
      <c r="AK1192">
        <v>0.506023667711471</v>
      </c>
      <c r="AL1192">
        <v>80.005013533642497</v>
      </c>
      <c r="AM1192">
        <v>82.484448500768096</v>
      </c>
      <c r="AN1192">
        <v>0.99999997870966395</v>
      </c>
    </row>
    <row r="1193" spans="1:40" x14ac:dyDescent="0.25">
      <c r="A1193" t="str">
        <f>"20190303162234747"</f>
        <v>20190303162234747</v>
      </c>
      <c r="B1193" t="str">
        <f>"1551601354736926"</f>
        <v>1551601354736926</v>
      </c>
      <c r="C1193" t="s">
        <v>40</v>
      </c>
      <c r="D1193">
        <v>5.6195349999999999</v>
      </c>
      <c r="E1193">
        <v>0.5098374</v>
      </c>
      <c r="F1193" t="s">
        <v>42</v>
      </c>
      <c r="G1193">
        <v>-239.80269999999999</v>
      </c>
      <c r="H1193">
        <v>0.84882950000000001</v>
      </c>
      <c r="I1193">
        <v>367.67399999999998</v>
      </c>
      <c r="J1193">
        <v>-240.39109999999999</v>
      </c>
      <c r="K1193">
        <v>1.1209340000000001</v>
      </c>
      <c r="L1193">
        <v>367.77190000000002</v>
      </c>
      <c r="M1193">
        <v>0.99970320000000001</v>
      </c>
      <c r="N1193">
        <v>-1.2760240000000001E-2</v>
      </c>
      <c r="O1193">
        <v>2.0756730000000001E-2</v>
      </c>
      <c r="P1193">
        <v>0.98100659999999895</v>
      </c>
      <c r="Q1193">
        <v>0.16108639999999999</v>
      </c>
      <c r="R1193">
        <v>-0.1080623</v>
      </c>
      <c r="S1193">
        <v>3.2061000000000002</v>
      </c>
      <c r="T1193">
        <v>-1.1741379999999999</v>
      </c>
      <c r="U1193">
        <v>-0.40621950000000001</v>
      </c>
      <c r="V1193">
        <v>0.12838949999999999</v>
      </c>
      <c r="W1193">
        <v>0.17357</v>
      </c>
      <c r="X1193">
        <v>0.97641670000000003</v>
      </c>
      <c r="Y1193">
        <v>0.13599649999999999</v>
      </c>
      <c r="Z1193">
        <v>-3.2012560000000002E-2</v>
      </c>
      <c r="AA1193">
        <v>0.99019199999999996</v>
      </c>
      <c r="AB1193">
        <v>24</v>
      </c>
      <c r="AC1193">
        <v>0.58840000000000703</v>
      </c>
      <c r="AD1193">
        <v>-0.27210450000000003</v>
      </c>
      <c r="AE1193">
        <v>-9.7899999999981405E-2</v>
      </c>
      <c r="AF1193">
        <v>9.11293686332732E-2</v>
      </c>
      <c r="AG1193">
        <v>-0.27210450000000003</v>
      </c>
      <c r="AH1193">
        <v>0.48525966355642702</v>
      </c>
      <c r="AI1193">
        <v>118.85943464175099</v>
      </c>
      <c r="AJ1193">
        <v>79.364013945911495</v>
      </c>
      <c r="AK1193">
        <v>0.56375736077025695</v>
      </c>
      <c r="AL1193">
        <v>80.004548220493206</v>
      </c>
      <c r="AM1193">
        <v>82.509124993701306</v>
      </c>
      <c r="AN1193">
        <v>0.99999999032456999</v>
      </c>
    </row>
    <row r="1194" spans="1:40" x14ac:dyDescent="0.25">
      <c r="A1194" t="str">
        <f>"20190303162234768"</f>
        <v>20190303162234768</v>
      </c>
      <c r="B1194" t="str">
        <f>"1551601354755469"</f>
        <v>1551601354755469</v>
      </c>
      <c r="C1194" t="s">
        <v>40</v>
      </c>
      <c r="D1194">
        <v>5.5843339999999904</v>
      </c>
      <c r="E1194">
        <v>0.51006450000000003</v>
      </c>
      <c r="F1194" t="s">
        <v>42</v>
      </c>
      <c r="G1194">
        <v>-239.59299999999999</v>
      </c>
      <c r="H1194">
        <v>0.82776689999999997</v>
      </c>
      <c r="I1194">
        <v>367.67110000000002</v>
      </c>
      <c r="J1194">
        <v>-240.17179999999999</v>
      </c>
      <c r="K1194">
        <v>1.120935</v>
      </c>
      <c r="L1194">
        <v>367.7765</v>
      </c>
      <c r="M1194">
        <v>0.99970190000000003</v>
      </c>
      <c r="N1194">
        <v>-1.2758169999999999E-2</v>
      </c>
      <c r="O1194">
        <v>2.0817950000000002E-2</v>
      </c>
      <c r="P1194">
        <v>0.98115359999999996</v>
      </c>
      <c r="Q1194">
        <v>0.16097420000000001</v>
      </c>
      <c r="R1194">
        <v>-0.1068891</v>
      </c>
      <c r="S1194">
        <v>3.2069700000000001</v>
      </c>
      <c r="T1194">
        <v>-1.1779280000000001</v>
      </c>
      <c r="U1194">
        <v>-0.40423579999999998</v>
      </c>
      <c r="V1194">
        <v>0.1272797</v>
      </c>
      <c r="W1194">
        <v>0.1734578</v>
      </c>
      <c r="X1194">
        <v>0.9765819</v>
      </c>
      <c r="Y1194">
        <v>0.13539770000000001</v>
      </c>
      <c r="Z1194">
        <v>-3.2011749999999999E-2</v>
      </c>
      <c r="AA1194">
        <v>0.99027410000000005</v>
      </c>
      <c r="AB1194">
        <v>24</v>
      </c>
      <c r="AC1194">
        <v>0.57880000000000098</v>
      </c>
      <c r="AD1194">
        <v>-0.29316809999999999</v>
      </c>
      <c r="AE1194">
        <v>-0.105399999999974</v>
      </c>
      <c r="AF1194">
        <v>9.4068617886436307E-2</v>
      </c>
      <c r="AG1194">
        <v>-0.29316809999999999</v>
      </c>
      <c r="AH1194">
        <v>0.46180546794067101</v>
      </c>
      <c r="AI1194">
        <v>121.883928501887</v>
      </c>
      <c r="AJ1194">
        <v>78.486510269392298</v>
      </c>
      <c r="AK1194">
        <v>0.55503218820945499</v>
      </c>
      <c r="AL1194">
        <v>80.011075605358002</v>
      </c>
      <c r="AM1194">
        <v>82.574392533441397</v>
      </c>
      <c r="AN1194">
        <v>0.99999996891026899</v>
      </c>
    </row>
    <row r="1195" spans="1:40" x14ac:dyDescent="0.25">
      <c r="A1195" t="str">
        <f>"20190303162234779"</f>
        <v>20190303162234779</v>
      </c>
      <c r="B1195" t="str">
        <f>"1551601354775966"</f>
        <v>1551601354775966</v>
      </c>
      <c r="C1195" t="s">
        <v>40</v>
      </c>
      <c r="D1195">
        <v>5.5271530000000002</v>
      </c>
      <c r="E1195">
        <v>0.51043660000000002</v>
      </c>
      <c r="F1195" t="s">
        <v>42</v>
      </c>
      <c r="G1195">
        <v>-239.37549999999999</v>
      </c>
      <c r="H1195">
        <v>0.82692149999999998</v>
      </c>
      <c r="I1195">
        <v>367.67619999999999</v>
      </c>
      <c r="J1195">
        <v>-240.0385</v>
      </c>
      <c r="K1195">
        <v>1.1209370000000001</v>
      </c>
      <c r="L1195">
        <v>367.77929999999998</v>
      </c>
      <c r="M1195">
        <v>0.99970099999999995</v>
      </c>
      <c r="N1195">
        <v>-1.275691E-2</v>
      </c>
      <c r="O1195">
        <v>2.0855510000000001E-2</v>
      </c>
      <c r="P1195">
        <v>0.98117469999999996</v>
      </c>
      <c r="Q1195">
        <v>0.1613607</v>
      </c>
      <c r="R1195">
        <v>-0.10610749999999999</v>
      </c>
      <c r="S1195">
        <v>3.2080989999999998</v>
      </c>
      <c r="T1195">
        <v>-1.1843889999999999</v>
      </c>
      <c r="U1195">
        <v>-0.40237430000000002</v>
      </c>
      <c r="V1195">
        <v>0.1265357</v>
      </c>
      <c r="W1195">
        <v>0.17384330000000001</v>
      </c>
      <c r="X1195">
        <v>0.97661010000000004</v>
      </c>
      <c r="Y1195">
        <v>0.13476389999999999</v>
      </c>
      <c r="Z1195">
        <v>-3.2060100000000001E-2</v>
      </c>
      <c r="AA1195">
        <v>0.99035890000000004</v>
      </c>
      <c r="AB1195">
        <v>24</v>
      </c>
      <c r="AC1195">
        <v>0.66300000000001003</v>
      </c>
      <c r="AD1195">
        <v>-0.29401549999999999</v>
      </c>
      <c r="AE1195">
        <v>-0.103099999999983</v>
      </c>
      <c r="AF1195">
        <v>9.8074145301847104E-2</v>
      </c>
      <c r="AG1195">
        <v>-0.29401549999999999</v>
      </c>
      <c r="AH1195">
        <v>0.55427583960271498</v>
      </c>
      <c r="AI1195">
        <v>117.57969110895699</v>
      </c>
      <c r="AJ1195">
        <v>79.965881298505707</v>
      </c>
      <c r="AK1195">
        <v>0.63504752466585701</v>
      </c>
      <c r="AL1195">
        <v>79.988647973172306</v>
      </c>
      <c r="AM1195">
        <v>82.617528732988305</v>
      </c>
      <c r="AN1195">
        <v>1.0000000318756901</v>
      </c>
    </row>
    <row r="1196" spans="1:40" x14ac:dyDescent="0.25">
      <c r="A1196" t="str">
        <f>"20190303162234792"</f>
        <v>20190303162234792</v>
      </c>
      <c r="B1196" t="str">
        <f>"1551601354785725"</f>
        <v>1551601354785725</v>
      </c>
      <c r="C1196" t="s">
        <v>40</v>
      </c>
      <c r="D1196">
        <v>5.5181769999999997</v>
      </c>
      <c r="E1196">
        <v>0.51050569999999995</v>
      </c>
      <c r="F1196" t="s">
        <v>42</v>
      </c>
      <c r="G1196">
        <v>-239.35890000000001</v>
      </c>
      <c r="H1196">
        <v>0.86973799999999901</v>
      </c>
      <c r="I1196">
        <v>367.69369999999998</v>
      </c>
      <c r="J1196">
        <v>-239.90170000000001</v>
      </c>
      <c r="K1196">
        <v>1.1209370000000001</v>
      </c>
      <c r="L1196">
        <v>367.78230000000002</v>
      </c>
      <c r="M1196">
        <v>0.99970049999999999</v>
      </c>
      <c r="N1196">
        <v>-1.275564E-2</v>
      </c>
      <c r="O1196">
        <v>2.0893180000000001E-2</v>
      </c>
      <c r="P1196">
        <v>0.98114020000000002</v>
      </c>
      <c r="Q1196">
        <v>0.16179250000000001</v>
      </c>
      <c r="R1196">
        <v>-0.1057704</v>
      </c>
      <c r="S1196">
        <v>3.209076</v>
      </c>
      <c r="T1196">
        <v>-1.1859409999999999</v>
      </c>
      <c r="U1196">
        <v>-0.40249629999999997</v>
      </c>
      <c r="V1196">
        <v>0.12623480000000001</v>
      </c>
      <c r="W1196">
        <v>0.17427339999999999</v>
      </c>
      <c r="X1196">
        <v>0.97657229999999995</v>
      </c>
      <c r="Y1196">
        <v>0.134777799999999</v>
      </c>
      <c r="Z1196">
        <v>-3.210532E-2</v>
      </c>
      <c r="AA1196">
        <v>0.9903556</v>
      </c>
      <c r="AB1196">
        <v>24</v>
      </c>
      <c r="AC1196">
        <v>0.54279999999999895</v>
      </c>
      <c r="AD1196">
        <v>-0.25119900000000001</v>
      </c>
      <c r="AE1196">
        <v>-8.8600000000042201E-2</v>
      </c>
      <c r="AF1196">
        <v>8.2675419276305007E-2</v>
      </c>
      <c r="AG1196">
        <v>-0.25119900000000001</v>
      </c>
      <c r="AH1196">
        <v>0.44748090719510603</v>
      </c>
      <c r="AI1196">
        <v>118.899570360872</v>
      </c>
      <c r="AJ1196">
        <v>79.532221134985406</v>
      </c>
      <c r="AK1196">
        <v>0.51978392131506701</v>
      </c>
      <c r="AL1196">
        <v>79.963622231026207</v>
      </c>
      <c r="AM1196">
        <v>82.634609212486396</v>
      </c>
      <c r="AN1196">
        <v>0.99999994990294305</v>
      </c>
    </row>
    <row r="1197" spans="1:40" x14ac:dyDescent="0.25">
      <c r="A1197" t="str">
        <f>"20190303162234805"</f>
        <v>20190303162234805</v>
      </c>
      <c r="B1197" t="str">
        <f>"1551601354795487"</f>
        <v>1551601354795487</v>
      </c>
      <c r="C1197" t="s">
        <v>40</v>
      </c>
      <c r="D1197">
        <v>5.4896699999999896</v>
      </c>
      <c r="E1197">
        <v>0.5105556</v>
      </c>
      <c r="F1197" t="s">
        <v>42</v>
      </c>
      <c r="G1197">
        <v>-239.15119999999999</v>
      </c>
      <c r="H1197">
        <v>0.84383390000000003</v>
      </c>
      <c r="I1197">
        <v>367.68830000000003</v>
      </c>
      <c r="J1197">
        <v>-239.76840000000001</v>
      </c>
      <c r="K1197">
        <v>1.1209389999999999</v>
      </c>
      <c r="L1197">
        <v>367.7851</v>
      </c>
      <c r="M1197">
        <v>0.99969969999999997</v>
      </c>
      <c r="N1197">
        <v>-1.2754400000000001E-2</v>
      </c>
      <c r="O1197">
        <v>2.0929059999999999E-2</v>
      </c>
      <c r="P1197">
        <v>0.98113079999999997</v>
      </c>
      <c r="Q1197">
        <v>0.16231139999999999</v>
      </c>
      <c r="R1197">
        <v>-0.1050601</v>
      </c>
      <c r="S1197">
        <v>3.2097630000000001</v>
      </c>
      <c r="T1197">
        <v>-1.18519</v>
      </c>
      <c r="U1197">
        <v>-0.40200809999999998</v>
      </c>
      <c r="V1197">
        <v>0.1255597</v>
      </c>
      <c r="W1197">
        <v>0.17479040000000001</v>
      </c>
      <c r="X1197">
        <v>0.97656699999999996</v>
      </c>
      <c r="Y1197">
        <v>0.13466120000000001</v>
      </c>
      <c r="Z1197">
        <v>-3.2071290000000002E-2</v>
      </c>
      <c r="AA1197">
        <v>0.99037249999999999</v>
      </c>
      <c r="AB1197">
        <v>24</v>
      </c>
      <c r="AC1197">
        <v>0.61720000000002495</v>
      </c>
      <c r="AD1197">
        <v>-0.27710509999999899</v>
      </c>
      <c r="AE1197">
        <v>-9.6799999999973296E-2</v>
      </c>
      <c r="AF1197">
        <v>9.1663711971517306E-2</v>
      </c>
      <c r="AG1197">
        <v>-0.27710509999999899</v>
      </c>
      <c r="AH1197">
        <v>0.51393015495669103</v>
      </c>
      <c r="AI1197">
        <v>117.959869739667</v>
      </c>
      <c r="AJ1197">
        <v>79.887162441272196</v>
      </c>
      <c r="AK1197">
        <v>0.59102764462604895</v>
      </c>
      <c r="AL1197">
        <v>79.933539223039205</v>
      </c>
      <c r="AM1197">
        <v>82.673530676190595</v>
      </c>
      <c r="AN1197">
        <v>1.0000000138426199</v>
      </c>
    </row>
    <row r="1198" spans="1:40" x14ac:dyDescent="0.25">
      <c r="A1198" t="str">
        <f>"20190303162234819"</f>
        <v>20190303162234819</v>
      </c>
      <c r="B1198" t="str">
        <f>"1551601354815982"</f>
        <v>1551601354815982</v>
      </c>
      <c r="C1198" t="s">
        <v>40</v>
      </c>
      <c r="D1198">
        <v>5.4671589999999997</v>
      </c>
      <c r="E1198">
        <v>0.51066820000000002</v>
      </c>
      <c r="F1198" t="s">
        <v>42</v>
      </c>
      <c r="G1198">
        <v>-238.94399999999999</v>
      </c>
      <c r="H1198">
        <v>0.81718080000000004</v>
      </c>
      <c r="I1198">
        <v>367.68209999999999</v>
      </c>
      <c r="J1198">
        <v>-239.60290000000001</v>
      </c>
      <c r="K1198">
        <v>1.120935</v>
      </c>
      <c r="L1198">
        <v>367.78859999999997</v>
      </c>
      <c r="M1198">
        <v>0.99969889999999995</v>
      </c>
      <c r="N1198">
        <v>-1.275285E-2</v>
      </c>
      <c r="O1198">
        <v>2.0967220000000002E-2</v>
      </c>
      <c r="P1198">
        <v>0.98114319999999999</v>
      </c>
      <c r="Q1198">
        <v>0.16253329999999999</v>
      </c>
      <c r="R1198">
        <v>-0.1046</v>
      </c>
      <c r="S1198">
        <v>3.210556</v>
      </c>
      <c r="T1198">
        <v>-1.1829449999999999</v>
      </c>
      <c r="U1198">
        <v>-0.40008539999999998</v>
      </c>
      <c r="V1198">
        <v>0.125139</v>
      </c>
      <c r="W1198">
        <v>0.1750101</v>
      </c>
      <c r="X1198">
        <v>0.97658160000000005</v>
      </c>
      <c r="Y1198">
        <v>0.1341579</v>
      </c>
      <c r="Z1198">
        <v>-3.1929249999999999E-2</v>
      </c>
      <c r="AA1198">
        <v>0.99044540000000003</v>
      </c>
      <c r="AB1198">
        <v>24</v>
      </c>
      <c r="AC1198">
        <v>0.65889999999998805</v>
      </c>
      <c r="AD1198">
        <v>-0.30375419999999997</v>
      </c>
      <c r="AE1198">
        <v>-0.106499999999982</v>
      </c>
      <c r="AF1198">
        <v>9.9653561868437407E-2</v>
      </c>
      <c r="AG1198">
        <v>-0.30375419999999997</v>
      </c>
      <c r="AH1198">
        <v>0.543878241711931</v>
      </c>
      <c r="AI1198">
        <v>118.782250214597</v>
      </c>
      <c r="AJ1198">
        <v>79.6169975665441</v>
      </c>
      <c r="AK1198">
        <v>0.63087319503872397</v>
      </c>
      <c r="AL1198">
        <v>79.920753756855603</v>
      </c>
      <c r="AM1198">
        <v>82.697921320540601</v>
      </c>
      <c r="AN1198">
        <v>0.99999996294078397</v>
      </c>
    </row>
    <row r="1199" spans="1:40" x14ac:dyDescent="0.25">
      <c r="A1199" t="str">
        <f>"20190303162234834"</f>
        <v>20190303162234834</v>
      </c>
      <c r="B1199" t="str">
        <f>"1551601354825742"</f>
        <v>1551601354825742</v>
      </c>
      <c r="C1199" t="s">
        <v>40</v>
      </c>
      <c r="D1199">
        <v>5.4221469999999998</v>
      </c>
      <c r="E1199">
        <v>0.51081009999999905</v>
      </c>
      <c r="F1199" t="s">
        <v>42</v>
      </c>
      <c r="G1199">
        <v>-238.92330000000001</v>
      </c>
      <c r="H1199">
        <v>0.870542499999999</v>
      </c>
      <c r="I1199">
        <v>367.70359999999999</v>
      </c>
      <c r="J1199">
        <v>-239.45079999999999</v>
      </c>
      <c r="K1199">
        <v>1.120927</v>
      </c>
      <c r="L1199">
        <v>367.79180000000002</v>
      </c>
      <c r="M1199">
        <v>0.99969830000000004</v>
      </c>
      <c r="N1199">
        <v>-1.2751429999999999E-2</v>
      </c>
      <c r="O1199">
        <v>2.0993830000000002E-2</v>
      </c>
      <c r="P1199">
        <v>0.98120569999999896</v>
      </c>
      <c r="Q1199">
        <v>0.1625569</v>
      </c>
      <c r="R1199">
        <v>-0.1039754</v>
      </c>
      <c r="S1199">
        <v>3.2109679999999998</v>
      </c>
      <c r="T1199">
        <v>-1.1829179999999999</v>
      </c>
      <c r="U1199">
        <v>-0.39990229999999999</v>
      </c>
      <c r="V1199">
        <v>0.1245444</v>
      </c>
      <c r="W1199">
        <v>0.1750312</v>
      </c>
      <c r="X1199">
        <v>0.97665389999999996</v>
      </c>
      <c r="Y1199">
        <v>0.13411709999999999</v>
      </c>
      <c r="Z1199">
        <v>-3.1926459999999997E-2</v>
      </c>
      <c r="AA1199">
        <v>0.99045099999999997</v>
      </c>
      <c r="AB1199">
        <v>24</v>
      </c>
      <c r="AC1199">
        <v>0.52749999999997499</v>
      </c>
      <c r="AD1199">
        <v>-0.25038450000000001</v>
      </c>
      <c r="AE1199">
        <v>-8.8200000000028894E-2</v>
      </c>
      <c r="AF1199">
        <v>8.1412054525813196E-2</v>
      </c>
      <c r="AG1199">
        <v>-0.25038450000000001</v>
      </c>
      <c r="AH1199">
        <v>0.43105465464306902</v>
      </c>
      <c r="AI1199">
        <v>119.716604086077</v>
      </c>
      <c r="AJ1199">
        <v>79.304693137559696</v>
      </c>
      <c r="AK1199">
        <v>0.50510240125326999</v>
      </c>
      <c r="AL1199">
        <v>79.919526591559702</v>
      </c>
      <c r="AM1199">
        <v>82.732777688124997</v>
      </c>
      <c r="AN1199">
        <v>1.000000034465</v>
      </c>
    </row>
    <row r="1200" spans="1:40" x14ac:dyDescent="0.25">
      <c r="A1200" t="str">
        <f>"20190303162234850"</f>
        <v>20190303162234850</v>
      </c>
      <c r="B1200" t="str">
        <f>"1551601354845262"</f>
        <v>1551601354845262</v>
      </c>
      <c r="C1200" t="s">
        <v>40</v>
      </c>
      <c r="D1200">
        <v>5.391775</v>
      </c>
      <c r="E1200">
        <v>0.51059699999999997</v>
      </c>
      <c r="F1200" t="s">
        <v>42</v>
      </c>
      <c r="G1200">
        <v>-238.714</v>
      </c>
      <c r="H1200">
        <v>0.84943429999999998</v>
      </c>
      <c r="I1200">
        <v>367.70010000000002</v>
      </c>
      <c r="J1200">
        <v>-239.27889999999999</v>
      </c>
      <c r="K1200">
        <v>1.1209169999999999</v>
      </c>
      <c r="L1200">
        <v>367.7955</v>
      </c>
      <c r="M1200">
        <v>0.99969779999999997</v>
      </c>
      <c r="N1200">
        <v>-1.274984E-2</v>
      </c>
      <c r="O1200">
        <v>2.101635E-2</v>
      </c>
      <c r="P1200">
        <v>0.98123939999999998</v>
      </c>
      <c r="Q1200">
        <v>0.16248489999999999</v>
      </c>
      <c r="R1200">
        <v>-0.1037686</v>
      </c>
      <c r="S1200">
        <v>3.2111209999999999</v>
      </c>
      <c r="T1200">
        <v>-1.183163</v>
      </c>
      <c r="U1200">
        <v>-0.39944459999999998</v>
      </c>
      <c r="V1200">
        <v>0.1243645</v>
      </c>
      <c r="W1200">
        <v>0.17495520000000001</v>
      </c>
      <c r="X1200">
        <v>0.97669039999999996</v>
      </c>
      <c r="Y1200">
        <v>0.1339979</v>
      </c>
      <c r="Z1200">
        <v>-3.1917099999999997E-2</v>
      </c>
      <c r="AA1200">
        <v>0.99046749999999995</v>
      </c>
      <c r="AB1200">
        <v>24</v>
      </c>
      <c r="AC1200">
        <v>0.56489999999996598</v>
      </c>
      <c r="AD1200">
        <v>-0.27148269999999902</v>
      </c>
      <c r="AE1200">
        <v>-9.5399999999983706E-2</v>
      </c>
      <c r="AF1200">
        <v>8.7584285201804196E-2</v>
      </c>
      <c r="AG1200">
        <v>-0.27148269999999902</v>
      </c>
      <c r="AH1200">
        <v>0.45957001619875898</v>
      </c>
      <c r="AI1200">
        <v>120.12607271074501</v>
      </c>
      <c r="AJ1200">
        <v>79.2100310246812</v>
      </c>
      <c r="AK1200">
        <v>0.54090522571197996</v>
      </c>
      <c r="AL1200">
        <v>79.923948904495703</v>
      </c>
      <c r="AM1200">
        <v>82.743431257872004</v>
      </c>
      <c r="AN1200">
        <v>0.99999999415972396</v>
      </c>
    </row>
    <row r="1201" spans="1:40" x14ac:dyDescent="0.25">
      <c r="A1201" t="str">
        <f>"20190303162234864"</f>
        <v>20190303162234864</v>
      </c>
      <c r="B1201" t="str">
        <f>"1551601354855022"</f>
        <v>1551601354855022</v>
      </c>
      <c r="C1201" t="s">
        <v>40</v>
      </c>
      <c r="D1201">
        <v>5.4064350000000001</v>
      </c>
      <c r="E1201">
        <v>0.49878899999999998</v>
      </c>
      <c r="F1201" t="s">
        <v>42</v>
      </c>
      <c r="G1201">
        <v>-238.50200000000001</v>
      </c>
      <c r="H1201">
        <v>0.83544209999999997</v>
      </c>
      <c r="I1201">
        <v>367.69900000000001</v>
      </c>
      <c r="J1201">
        <v>-239.12</v>
      </c>
      <c r="K1201">
        <v>1.12090499999999</v>
      </c>
      <c r="L1201">
        <v>367.7989</v>
      </c>
      <c r="M1201">
        <v>0.99969770000000002</v>
      </c>
      <c r="N1201">
        <v>-1.274839E-2</v>
      </c>
      <c r="O1201">
        <v>2.1030099999999999E-2</v>
      </c>
      <c r="P1201">
        <v>0.98131780000000002</v>
      </c>
      <c r="Q1201">
        <v>0.16234189999999901</v>
      </c>
      <c r="R1201">
        <v>-0.103252</v>
      </c>
      <c r="S1201">
        <v>3.2106629999999998</v>
      </c>
      <c r="T1201">
        <v>-1.1798059999999999</v>
      </c>
      <c r="U1201">
        <v>-0.39773560000000002</v>
      </c>
      <c r="V1201">
        <v>0.123867</v>
      </c>
      <c r="W1201">
        <v>0.17480960000000001</v>
      </c>
      <c r="X1201">
        <v>0.97677970000000003</v>
      </c>
      <c r="Y1201">
        <v>0.1335885</v>
      </c>
      <c r="Z1201">
        <v>-3.1767900000000002E-2</v>
      </c>
      <c r="AA1201">
        <v>0.99052759999999995</v>
      </c>
      <c r="AB1201">
        <v>24</v>
      </c>
      <c r="AC1201">
        <v>0.617999999999995</v>
      </c>
      <c r="AD1201">
        <v>-0.28546289999999902</v>
      </c>
      <c r="AE1201">
        <v>-9.9899999999990996E-2</v>
      </c>
      <c r="AF1201">
        <v>9.3445355143325803E-2</v>
      </c>
      <c r="AG1201">
        <v>-0.28546289999999902</v>
      </c>
      <c r="AH1201">
        <v>0.50976597864271</v>
      </c>
      <c r="AI1201">
        <v>118.84642380425301</v>
      </c>
      <c r="AJ1201">
        <v>79.612418915230805</v>
      </c>
      <c r="AK1201">
        <v>0.59167766110935105</v>
      </c>
      <c r="AL1201">
        <v>79.932421864002606</v>
      </c>
      <c r="AM1201">
        <v>82.772806188774993</v>
      </c>
      <c r="AN1201">
        <v>1.0000000061366201</v>
      </c>
    </row>
    <row r="1202" spans="1:40" x14ac:dyDescent="0.25">
      <c r="A1202" t="str">
        <f>"20190303162234880"</f>
        <v>20190303162234880</v>
      </c>
      <c r="B1202" t="str">
        <f>"1551601354875517"</f>
        <v>1551601354875517</v>
      </c>
      <c r="C1202" t="s">
        <v>40</v>
      </c>
      <c r="D1202">
        <v>5.3563289999999997</v>
      </c>
      <c r="E1202">
        <v>0.50003729999999902</v>
      </c>
      <c r="F1202" t="s">
        <v>42</v>
      </c>
      <c r="G1202">
        <v>-238.28110000000001</v>
      </c>
      <c r="H1202">
        <v>0.84612449999999995</v>
      </c>
      <c r="I1202">
        <v>367.71940000000001</v>
      </c>
      <c r="J1202">
        <v>-238.94710000000001</v>
      </c>
      <c r="K1202">
        <v>1.1208929999999999</v>
      </c>
      <c r="L1202">
        <v>367.80250000000001</v>
      </c>
      <c r="M1202">
        <v>0.99969759999999996</v>
      </c>
      <c r="N1202">
        <v>-1.2746779999999999E-2</v>
      </c>
      <c r="O1202">
        <v>2.1034420000000002E-2</v>
      </c>
      <c r="P1202">
        <v>0.98134169999999998</v>
      </c>
      <c r="Q1202">
        <v>0.1622507</v>
      </c>
      <c r="R1202">
        <v>-0.1031671</v>
      </c>
      <c r="S1202">
        <v>3.1985169999999998</v>
      </c>
      <c r="T1202">
        <v>-1.047617</v>
      </c>
      <c r="U1202">
        <v>-0.30291750000000001</v>
      </c>
      <c r="V1202">
        <v>0.12379130000000001</v>
      </c>
      <c r="W1202">
        <v>0.17471339999999999</v>
      </c>
      <c r="X1202">
        <v>0.97680650000000002</v>
      </c>
      <c r="Y1202">
        <v>0.1083491</v>
      </c>
      <c r="Z1202">
        <v>-2.4406830000000001E-2</v>
      </c>
      <c r="AA1202">
        <v>0.99381330000000001</v>
      </c>
      <c r="AB1202">
        <v>24</v>
      </c>
      <c r="AC1202">
        <v>0.66599999999999604</v>
      </c>
      <c r="AD1202">
        <v>-0.27476850000000003</v>
      </c>
      <c r="AE1202">
        <v>-8.31000000000017E-2</v>
      </c>
      <c r="AF1202">
        <v>8.3154851632701102E-2</v>
      </c>
      <c r="AG1202">
        <v>-0.27476850000000003</v>
      </c>
      <c r="AH1202">
        <v>0.56877703393499801</v>
      </c>
      <c r="AI1202">
        <v>115.548032641844</v>
      </c>
      <c r="AJ1202">
        <v>81.682319736950902</v>
      </c>
      <c r="AK1202">
        <v>0.63711833459272005</v>
      </c>
      <c r="AL1202">
        <v>79.938019786779705</v>
      </c>
      <c r="AM1202">
        <v>82.777372427351906</v>
      </c>
      <c r="AN1202">
        <v>0.99999999826874997</v>
      </c>
    </row>
    <row r="1203" spans="1:40" x14ac:dyDescent="0.25">
      <c r="A1203" t="str">
        <f>"20190303162234901"</f>
        <v>20190303162234901</v>
      </c>
      <c r="B1203" t="str">
        <f>"1551601354895038"</f>
        <v>1551601354895038</v>
      </c>
      <c r="C1203" t="s">
        <v>40</v>
      </c>
      <c r="D1203">
        <v>5.3244949999999998</v>
      </c>
      <c r="E1203">
        <v>0.50124829999999998</v>
      </c>
      <c r="F1203" t="s">
        <v>42</v>
      </c>
      <c r="G1203">
        <v>-238.26079999999999</v>
      </c>
      <c r="H1203">
        <v>0.89762710000000001</v>
      </c>
      <c r="I1203">
        <v>367.73509999999999</v>
      </c>
      <c r="J1203">
        <v>-238.7124</v>
      </c>
      <c r="K1203">
        <v>1.120876</v>
      </c>
      <c r="L1203">
        <v>367.80739999999997</v>
      </c>
      <c r="M1203">
        <v>0.99969790000000003</v>
      </c>
      <c r="N1203">
        <v>-1.274466E-2</v>
      </c>
      <c r="O1203">
        <v>2.101867E-2</v>
      </c>
      <c r="P1203">
        <v>0.98129520000000003</v>
      </c>
      <c r="Q1203">
        <v>0.16234299999999999</v>
      </c>
      <c r="R1203">
        <v>-0.103465</v>
      </c>
      <c r="S1203">
        <v>3.1959689999999998</v>
      </c>
      <c r="T1203">
        <v>-1.039787</v>
      </c>
      <c r="U1203">
        <v>-0.3136292</v>
      </c>
      <c r="V1203">
        <v>0.12407990000000001</v>
      </c>
      <c r="W1203">
        <v>0.17479790000000001</v>
      </c>
      <c r="X1203">
        <v>0.97675480000000003</v>
      </c>
      <c r="Y1203">
        <v>0.111624399999999</v>
      </c>
      <c r="Z1203">
        <v>-2.4785680000000001E-2</v>
      </c>
      <c r="AA1203">
        <v>0.99344129999999997</v>
      </c>
      <c r="AB1203">
        <v>24</v>
      </c>
      <c r="AC1203">
        <v>0.45160000000001299</v>
      </c>
      <c r="AD1203">
        <v>-0.2232489</v>
      </c>
      <c r="AE1203">
        <v>-7.2299999999984196E-2</v>
      </c>
      <c r="AF1203">
        <v>6.6040893515649096E-2</v>
      </c>
      <c r="AG1203">
        <v>-0.2232489</v>
      </c>
      <c r="AH1203">
        <v>0.36339280603336899</v>
      </c>
      <c r="AI1203">
        <v>121.150672025464</v>
      </c>
      <c r="AJ1203">
        <v>79.699812551657303</v>
      </c>
      <c r="AK1203">
        <v>0.43157363501998203</v>
      </c>
      <c r="AL1203">
        <v>79.933102984433205</v>
      </c>
      <c r="AM1203">
        <v>82.760333323277607</v>
      </c>
      <c r="AN1203">
        <v>1.00000003337572</v>
      </c>
    </row>
    <row r="1204" spans="1:40" x14ac:dyDescent="0.25">
      <c r="A1204" t="str">
        <f>"20190303162234924"</f>
        <v>20190303162234924</v>
      </c>
      <c r="B1204" t="str">
        <f>"1551601354915534"</f>
        <v>1551601354915534</v>
      </c>
      <c r="C1204" t="s">
        <v>40</v>
      </c>
      <c r="D1204">
        <v>5.311852</v>
      </c>
      <c r="E1204">
        <v>0.50194709999999998</v>
      </c>
      <c r="F1204" t="s">
        <v>42</v>
      </c>
      <c r="G1204">
        <v>-238.04150000000001</v>
      </c>
      <c r="H1204">
        <v>0.90273899999999996</v>
      </c>
      <c r="I1204">
        <v>367.7389</v>
      </c>
      <c r="J1204">
        <v>-238.4803</v>
      </c>
      <c r="K1204">
        <v>1.120852</v>
      </c>
      <c r="L1204">
        <v>367.81220000000002</v>
      </c>
      <c r="M1204">
        <v>0.99969929999999996</v>
      </c>
      <c r="N1204">
        <v>-1.274289E-2</v>
      </c>
      <c r="O1204">
        <v>2.0954560000000001E-2</v>
      </c>
      <c r="P1204">
        <v>0.98132730000000001</v>
      </c>
      <c r="Q1204">
        <v>0.1617237</v>
      </c>
      <c r="R1204">
        <v>-0.1041275</v>
      </c>
      <c r="S1204">
        <v>3.1947939999999999</v>
      </c>
      <c r="T1204">
        <v>-1.0387409999999999</v>
      </c>
      <c r="U1204">
        <v>-0.324768099999999</v>
      </c>
      <c r="V1204">
        <v>0.1246912</v>
      </c>
      <c r="W1204">
        <v>0.17416970000000001</v>
      </c>
      <c r="X1204">
        <v>0.97678909999999997</v>
      </c>
      <c r="Y1204">
        <v>0.114867</v>
      </c>
      <c r="Z1204">
        <v>-2.528151E-2</v>
      </c>
      <c r="AA1204">
        <v>0.99305909999999997</v>
      </c>
      <c r="AB1204">
        <v>24</v>
      </c>
      <c r="AC1204">
        <v>0.43879999999998598</v>
      </c>
      <c r="AD1204">
        <v>-0.218113</v>
      </c>
      <c r="AE1204">
        <v>-7.3300000000017407E-2</v>
      </c>
      <c r="AF1204">
        <v>6.6495986382080305E-2</v>
      </c>
      <c r="AG1204">
        <v>-0.218113</v>
      </c>
      <c r="AH1204">
        <v>0.35244980361206102</v>
      </c>
      <c r="AI1204">
        <v>121.304614650559</v>
      </c>
      <c r="AJ1204">
        <v>79.315711826497903</v>
      </c>
      <c r="AK1204">
        <v>0.41978072971505698</v>
      </c>
      <c r="AL1204">
        <v>79.969656213374506</v>
      </c>
      <c r="AM1204">
        <v>82.725299835408194</v>
      </c>
      <c r="AN1204">
        <v>0.99999996281716896</v>
      </c>
    </row>
    <row r="1205" spans="1:40" x14ac:dyDescent="0.25">
      <c r="A1205" t="str">
        <f>"20190303162234937"</f>
        <v>20190303162234937</v>
      </c>
      <c r="B1205" t="str">
        <f>"1551601354926270"</f>
        <v>1551601354926270</v>
      </c>
      <c r="C1205" t="s">
        <v>40</v>
      </c>
      <c r="D1205">
        <v>5.3050139999999999</v>
      </c>
      <c r="E1205">
        <v>0.50176359999999998</v>
      </c>
      <c r="F1205" t="s">
        <v>42</v>
      </c>
      <c r="G1205">
        <v>-237.63</v>
      </c>
      <c r="H1205">
        <v>0.84473969999999898</v>
      </c>
      <c r="I1205">
        <v>367.72340000000003</v>
      </c>
      <c r="J1205">
        <v>-238.3262</v>
      </c>
      <c r="K1205">
        <v>1.120825</v>
      </c>
      <c r="L1205">
        <v>367.81540000000001</v>
      </c>
      <c r="M1205">
        <v>0.99970079999999995</v>
      </c>
      <c r="N1205">
        <v>-1.2744139999999999E-2</v>
      </c>
      <c r="O1205">
        <v>2.0880030000000001E-2</v>
      </c>
      <c r="P1205">
        <v>0.98130119999999998</v>
      </c>
      <c r="Q1205">
        <v>0.16161449999999999</v>
      </c>
      <c r="R1205">
        <v>-0.10454040000000001</v>
      </c>
      <c r="S1205">
        <v>3.1926570000000001</v>
      </c>
      <c r="T1205">
        <v>-1.0367189999999999</v>
      </c>
      <c r="U1205">
        <v>-0.3322754</v>
      </c>
      <c r="V1205">
        <v>0.1250425</v>
      </c>
      <c r="W1205">
        <v>0.17405279999999901</v>
      </c>
      <c r="X1205">
        <v>0.97676510000000005</v>
      </c>
      <c r="Y1205">
        <v>0.117076</v>
      </c>
      <c r="Z1205">
        <v>-2.558933E-2</v>
      </c>
      <c r="AA1205">
        <v>0.99279320000000004</v>
      </c>
      <c r="AB1205">
        <v>24</v>
      </c>
      <c r="AC1205">
        <v>0.69620000000000404</v>
      </c>
      <c r="AD1205">
        <v>-0.27608529999999998</v>
      </c>
      <c r="AE1205">
        <v>-9.1999999999984497E-2</v>
      </c>
      <c r="AF1205">
        <v>9.2258261597510105E-2</v>
      </c>
      <c r="AG1205">
        <v>-0.27608529999999998</v>
      </c>
      <c r="AH1205">
        <v>0.601204300952771</v>
      </c>
      <c r="AI1205">
        <v>114.413634303699</v>
      </c>
      <c r="AJ1205">
        <v>81.275689883830196</v>
      </c>
      <c r="AK1205">
        <v>0.66796803156527995</v>
      </c>
      <c r="AL1205">
        <v>79.976458684045795</v>
      </c>
      <c r="AM1205">
        <v>82.704847548423004</v>
      </c>
      <c r="AN1205">
        <v>1.0000000322860401</v>
      </c>
    </row>
    <row r="1206" spans="1:40" x14ac:dyDescent="0.25">
      <c r="A1206" t="str">
        <f>"20190303162234951"</f>
        <v>20190303162234951</v>
      </c>
      <c r="B1206" t="str">
        <f>"1551601354945789"</f>
        <v>1551601354945789</v>
      </c>
      <c r="C1206" t="s">
        <v>40</v>
      </c>
      <c r="D1206">
        <v>5.2849300000000001</v>
      </c>
      <c r="E1206">
        <v>0.50142500000000001</v>
      </c>
      <c r="F1206" t="s">
        <v>42</v>
      </c>
      <c r="G1206">
        <v>-237.6129</v>
      </c>
      <c r="H1206">
        <v>0.88884039999999997</v>
      </c>
      <c r="I1206">
        <v>367.74090000000001</v>
      </c>
      <c r="J1206">
        <v>-238.179</v>
      </c>
      <c r="K1206">
        <v>1.1207959999999999</v>
      </c>
      <c r="L1206">
        <v>367.81849999999997</v>
      </c>
      <c r="M1206">
        <v>0.9997026</v>
      </c>
      <c r="N1206">
        <v>-1.2747059999999999E-2</v>
      </c>
      <c r="O1206">
        <v>2.0792850000000002E-2</v>
      </c>
      <c r="P1206">
        <v>0.98130649999999997</v>
      </c>
      <c r="Q1206">
        <v>0.16125329999999999</v>
      </c>
      <c r="R1206">
        <v>-0.1050493</v>
      </c>
      <c r="S1206">
        <v>3.192841</v>
      </c>
      <c r="T1206">
        <v>-1.038378</v>
      </c>
      <c r="U1206">
        <v>-0.33203129999999997</v>
      </c>
      <c r="V1206">
        <v>0.1254778</v>
      </c>
      <c r="W1206">
        <v>0.17368549999999999</v>
      </c>
      <c r="X1206">
        <v>0.97677460000000005</v>
      </c>
      <c r="Y1206">
        <v>0.1169004</v>
      </c>
      <c r="Z1206">
        <v>-2.5571E-2</v>
      </c>
      <c r="AA1206">
        <v>0.99281439999999999</v>
      </c>
      <c r="AB1206">
        <v>24</v>
      </c>
      <c r="AC1206">
        <v>0.56610000000000504</v>
      </c>
      <c r="AD1206">
        <v>-0.23195559999999901</v>
      </c>
      <c r="AE1206">
        <v>-7.75999999999612E-2</v>
      </c>
      <c r="AF1206">
        <v>7.6713214106576402E-2</v>
      </c>
      <c r="AG1206">
        <v>-0.23195559999999901</v>
      </c>
      <c r="AH1206">
        <v>0.48451868684232402</v>
      </c>
      <c r="AI1206">
        <v>115.306850618319</v>
      </c>
      <c r="AJ1206">
        <v>81.003115523315401</v>
      </c>
      <c r="AK1206">
        <v>0.54262940897939904</v>
      </c>
      <c r="AL1206">
        <v>79.997828341560194</v>
      </c>
      <c r="AM1206">
        <v>82.679796962953603</v>
      </c>
      <c r="AN1206">
        <v>0.99999997520412398</v>
      </c>
    </row>
    <row r="1207" spans="1:40" x14ac:dyDescent="0.25">
      <c r="A1207" t="str">
        <f>"20190303162234968"</f>
        <v>20190303162234968</v>
      </c>
      <c r="B1207" t="str">
        <f>"1551601354965310"</f>
        <v>1551601354965310</v>
      </c>
      <c r="C1207" t="s">
        <v>40</v>
      </c>
      <c r="D1207">
        <v>5.2640589999999996</v>
      </c>
      <c r="E1207">
        <v>0.50111850000000002</v>
      </c>
      <c r="F1207" t="s">
        <v>42</v>
      </c>
      <c r="G1207">
        <v>-237.40430000000001</v>
      </c>
      <c r="H1207">
        <v>0.86769580000000002</v>
      </c>
      <c r="I1207">
        <v>367.73820000000001</v>
      </c>
      <c r="J1207">
        <v>-237.99039999999999</v>
      </c>
      <c r="K1207">
        <v>1.120754</v>
      </c>
      <c r="L1207">
        <v>367.82220000000001</v>
      </c>
      <c r="M1207">
        <v>0.99970530000000002</v>
      </c>
      <c r="N1207">
        <v>-1.275286E-2</v>
      </c>
      <c r="O1207">
        <v>2.0654240000000001E-2</v>
      </c>
      <c r="P1207">
        <v>0.98141339999999999</v>
      </c>
      <c r="Q1207">
        <v>0.16000639999999999</v>
      </c>
      <c r="R1207">
        <v>-0.1059522</v>
      </c>
      <c r="S1207">
        <v>3.1932070000000001</v>
      </c>
      <c r="T1207">
        <v>-1.043307</v>
      </c>
      <c r="U1207">
        <v>-0.33053589999999999</v>
      </c>
      <c r="V1207">
        <v>0.12626219999999999</v>
      </c>
      <c r="W1207">
        <v>0.17243439999999999</v>
      </c>
      <c r="X1207">
        <v>0.97689519999999996</v>
      </c>
      <c r="Y1207">
        <v>0.1162668</v>
      </c>
      <c r="Z1207">
        <v>-2.5535289999999999E-2</v>
      </c>
      <c r="AA1207">
        <v>0.99288969999999999</v>
      </c>
      <c r="AB1207">
        <v>24</v>
      </c>
      <c r="AC1207">
        <v>0.58609999999998696</v>
      </c>
      <c r="AD1207">
        <v>-0.25305820000000001</v>
      </c>
      <c r="AE1207">
        <v>-8.40000000000031E-2</v>
      </c>
      <c r="AF1207">
        <v>8.1247109441402898E-2</v>
      </c>
      <c r="AG1207">
        <v>-0.25305820000000001</v>
      </c>
      <c r="AH1207">
        <v>0.49400076926234099</v>
      </c>
      <c r="AI1207">
        <v>116.815318763707</v>
      </c>
      <c r="AJ1207">
        <v>80.660314541435795</v>
      </c>
      <c r="AK1207">
        <v>0.56096016383662095</v>
      </c>
      <c r="AL1207">
        <v>80.070609503377597</v>
      </c>
      <c r="AM1207">
        <v>82.6354363919028</v>
      </c>
      <c r="AN1207">
        <v>0.99999999861761901</v>
      </c>
    </row>
    <row r="1208" spans="1:40" x14ac:dyDescent="0.25">
      <c r="A1208" t="str">
        <f>"20190303162234981"</f>
        <v>20190303162234981</v>
      </c>
      <c r="B1208" t="str">
        <f>"1551601354976045"</f>
        <v>1551601354976045</v>
      </c>
      <c r="C1208" t="s">
        <v>40</v>
      </c>
      <c r="D1208">
        <v>5.2839960000000001</v>
      </c>
      <c r="E1208">
        <v>0.5010599</v>
      </c>
      <c r="F1208" t="s">
        <v>42</v>
      </c>
      <c r="G1208">
        <v>-237.19130000000001</v>
      </c>
      <c r="H1208">
        <v>0.85807939999999905</v>
      </c>
      <c r="I1208">
        <v>367.73930000000001</v>
      </c>
      <c r="J1208">
        <v>-237.8381</v>
      </c>
      <c r="K1208">
        <v>1.120722</v>
      </c>
      <c r="L1208">
        <v>367.8252</v>
      </c>
      <c r="M1208">
        <v>0.99970820000000005</v>
      </c>
      <c r="N1208">
        <v>-1.275863E-2</v>
      </c>
      <c r="O1208">
        <v>2.0518959999999999E-2</v>
      </c>
      <c r="P1208">
        <v>0.98144949999999997</v>
      </c>
      <c r="Q1208">
        <v>0.15941040000000001</v>
      </c>
      <c r="R1208">
        <v>-0.1065164</v>
      </c>
      <c r="S1208">
        <v>3.192215</v>
      </c>
      <c r="T1208">
        <v>-1.0492680000000001</v>
      </c>
      <c r="U1208">
        <v>-0.33056639999999998</v>
      </c>
      <c r="V1208">
        <v>0.12670680000000001</v>
      </c>
      <c r="W1208">
        <v>0.17183509999999999</v>
      </c>
      <c r="X1208">
        <v>0.97694329999999996</v>
      </c>
      <c r="Y1208">
        <v>0.1161046</v>
      </c>
      <c r="Z1208">
        <v>-2.5610569999999999E-2</v>
      </c>
      <c r="AA1208">
        <v>0.99290670000000003</v>
      </c>
      <c r="AB1208">
        <v>24</v>
      </c>
      <c r="AC1208">
        <v>0.64679999999998405</v>
      </c>
      <c r="AD1208">
        <v>-0.2626426</v>
      </c>
      <c r="AE1208">
        <v>-8.5899999999980894E-2</v>
      </c>
      <c r="AF1208">
        <v>8.5328779919362996E-2</v>
      </c>
      <c r="AG1208">
        <v>-0.2626426</v>
      </c>
      <c r="AH1208">
        <v>0.55497770779699496</v>
      </c>
      <c r="AI1208">
        <v>115.067958818815</v>
      </c>
      <c r="AJ1208">
        <v>81.259123090515104</v>
      </c>
      <c r="AK1208">
        <v>0.61988901600923196</v>
      </c>
      <c r="AL1208">
        <v>80.105467814998804</v>
      </c>
      <c r="AM1208">
        <v>82.610149974973197</v>
      </c>
      <c r="AN1208">
        <v>1.00000006308656</v>
      </c>
    </row>
    <row r="1209" spans="1:40" x14ac:dyDescent="0.25">
      <c r="A1209" t="str">
        <f>"20190303162234994"</f>
        <v>20190303162234994</v>
      </c>
      <c r="B1209" t="str">
        <f>"1551601354985805"</f>
        <v>1551601354985805</v>
      </c>
      <c r="C1209" t="s">
        <v>40</v>
      </c>
      <c r="D1209">
        <v>5.282216</v>
      </c>
      <c r="E1209">
        <v>0.50100659999999997</v>
      </c>
      <c r="F1209" t="s">
        <v>42</v>
      </c>
      <c r="G1209">
        <v>-237.17420000000001</v>
      </c>
      <c r="H1209">
        <v>0.90185700000000002</v>
      </c>
      <c r="I1209">
        <v>367.75599999999997</v>
      </c>
      <c r="J1209">
        <v>-237.70359999999999</v>
      </c>
      <c r="K1209">
        <v>1.1206969999999901</v>
      </c>
      <c r="L1209">
        <v>367.82780000000002</v>
      </c>
      <c r="M1209">
        <v>0.99971129999999997</v>
      </c>
      <c r="N1209">
        <v>-1.2764060000000001E-2</v>
      </c>
      <c r="O1209">
        <v>2.0365020000000001E-2</v>
      </c>
      <c r="P1209">
        <v>0.98149509999999995</v>
      </c>
      <c r="Q1209">
        <v>0.15880259999999999</v>
      </c>
      <c r="R1209">
        <v>-0.10700170000000001</v>
      </c>
      <c r="S1209">
        <v>3.1915589999999998</v>
      </c>
      <c r="T1209">
        <v>-1.052068</v>
      </c>
      <c r="U1209">
        <v>-0.33190920000000002</v>
      </c>
      <c r="V1209">
        <v>0.12705150000000001</v>
      </c>
      <c r="W1209">
        <v>0.1712262</v>
      </c>
      <c r="X1209">
        <v>0.97700540000000002</v>
      </c>
      <c r="Y1209">
        <v>0.1163404</v>
      </c>
      <c r="Z1209">
        <v>-2.5670889999999998E-2</v>
      </c>
      <c r="AA1209">
        <v>0.99287760000000003</v>
      </c>
      <c r="AB1209">
        <v>24</v>
      </c>
      <c r="AC1209">
        <v>0.529399999999981</v>
      </c>
      <c r="AD1209">
        <v>-0.21883999999999901</v>
      </c>
      <c r="AE1209">
        <v>-7.1800000000052905E-2</v>
      </c>
      <c r="AF1209">
        <v>7.0703746702162104E-2</v>
      </c>
      <c r="AG1209">
        <v>-0.21883999999999901</v>
      </c>
      <c r="AH1209">
        <v>0.45198815223052502</v>
      </c>
      <c r="AI1209">
        <v>115.56434162761001</v>
      </c>
      <c r="AJ1209">
        <v>81.109367706464994</v>
      </c>
      <c r="AK1209">
        <v>0.50713238424940699</v>
      </c>
      <c r="AL1209">
        <v>80.1408796711668</v>
      </c>
      <c r="AM1209">
        <v>82.5907350771149</v>
      </c>
      <c r="AN1209">
        <v>1.0000000234239199</v>
      </c>
    </row>
    <row r="1210" spans="1:40" x14ac:dyDescent="0.25">
      <c r="A1210" t="str">
        <f>"20190303162235008"</f>
        <v>20190303162235008</v>
      </c>
      <c r="B1210" t="str">
        <f>"1551601355005326"</f>
        <v>1551601355005326</v>
      </c>
      <c r="C1210" t="s">
        <v>40</v>
      </c>
      <c r="D1210">
        <v>5.2577689999999997</v>
      </c>
      <c r="E1210">
        <v>0.50122990000000001</v>
      </c>
      <c r="F1210" t="s">
        <v>42</v>
      </c>
      <c r="G1210">
        <v>-236.96729999999999</v>
      </c>
      <c r="H1210">
        <v>0.87716890000000003</v>
      </c>
      <c r="I1210">
        <v>367.75080000000003</v>
      </c>
      <c r="J1210">
        <v>-237.55690000000001</v>
      </c>
      <c r="K1210">
        <v>1.1206719999999999</v>
      </c>
      <c r="L1210">
        <v>367.8306</v>
      </c>
      <c r="M1210">
        <v>0.99971480000000001</v>
      </c>
      <c r="N1210">
        <v>-1.2769890000000001E-2</v>
      </c>
      <c r="O1210">
        <v>2.018356E-2</v>
      </c>
      <c r="P1210">
        <v>0.98145870000000002</v>
      </c>
      <c r="Q1210">
        <v>0.15870239999999999</v>
      </c>
      <c r="R1210">
        <v>-0.1074821</v>
      </c>
      <c r="S1210">
        <v>3.1910400000000001</v>
      </c>
      <c r="T1210">
        <v>-1.0553410000000001</v>
      </c>
      <c r="U1210">
        <v>-0.3329163</v>
      </c>
      <c r="V1210">
        <v>0.1273638</v>
      </c>
      <c r="W1210">
        <v>0.17112330000000001</v>
      </c>
      <c r="X1210">
        <v>0.97698269999999998</v>
      </c>
      <c r="Y1210">
        <v>0.1164439</v>
      </c>
      <c r="Z1210">
        <v>-2.5710380000000001E-2</v>
      </c>
      <c r="AA1210">
        <v>0.99286439999999998</v>
      </c>
      <c r="AB1210">
        <v>24</v>
      </c>
      <c r="AC1210">
        <v>0.589600000000018</v>
      </c>
      <c r="AD1210">
        <v>-0.243503099999999</v>
      </c>
      <c r="AE1210">
        <v>-7.9799999999977403E-2</v>
      </c>
      <c r="AF1210">
        <v>7.8531110882845201E-2</v>
      </c>
      <c r="AG1210">
        <v>-0.243503099999999</v>
      </c>
      <c r="AH1210">
        <v>0.50352886786481499</v>
      </c>
      <c r="AI1210">
        <v>115.53925638614901</v>
      </c>
      <c r="AJ1210">
        <v>81.135478186801706</v>
      </c>
      <c r="AK1210">
        <v>0.564802811483199</v>
      </c>
      <c r="AL1210">
        <v>80.146863083482501</v>
      </c>
      <c r="AM1210">
        <v>82.572555125717201</v>
      </c>
      <c r="AN1210">
        <v>0.99999995872630898</v>
      </c>
    </row>
    <row r="1211" spans="1:40" x14ac:dyDescent="0.25">
      <c r="A1211" t="str">
        <f>"20190303162235023"</f>
        <v>20190303162235023</v>
      </c>
      <c r="B1211" t="str">
        <f>"1551601355016062"</f>
        <v>1551601355016062</v>
      </c>
      <c r="C1211" t="s">
        <v>40</v>
      </c>
      <c r="D1211">
        <v>5.2807190000000004</v>
      </c>
      <c r="E1211">
        <v>0.50698480000000001</v>
      </c>
      <c r="F1211" t="s">
        <v>42</v>
      </c>
      <c r="G1211">
        <v>-236.75899999999999</v>
      </c>
      <c r="H1211">
        <v>0.85597829999999997</v>
      </c>
      <c r="I1211">
        <v>367.74650000000003</v>
      </c>
      <c r="J1211">
        <v>-237.39250000000001</v>
      </c>
      <c r="K1211">
        <v>1.1206370000000001</v>
      </c>
      <c r="L1211">
        <v>367.83370000000002</v>
      </c>
      <c r="M1211">
        <v>0.99971929999999998</v>
      </c>
      <c r="N1211">
        <v>-1.2776249999999999E-2</v>
      </c>
      <c r="O1211">
        <v>1.9958879999999998E-2</v>
      </c>
      <c r="P1211">
        <v>0.98141179999999995</v>
      </c>
      <c r="Q1211">
        <v>0.1582799</v>
      </c>
      <c r="R1211">
        <v>-0.1085306</v>
      </c>
      <c r="S1211">
        <v>3.1910400000000001</v>
      </c>
      <c r="T1211">
        <v>-1.0586450000000001</v>
      </c>
      <c r="U1211">
        <v>-0.33599849999999998</v>
      </c>
      <c r="V1211">
        <v>0.12820290000000001</v>
      </c>
      <c r="W1211">
        <v>0.17069679999999901</v>
      </c>
      <c r="X1211">
        <v>0.97694760000000003</v>
      </c>
      <c r="Y1211">
        <v>0.1171003</v>
      </c>
      <c r="Z1211">
        <v>-2.5825029999999999E-2</v>
      </c>
      <c r="AA1211">
        <v>0.99278429999999995</v>
      </c>
      <c r="AB1211">
        <v>24</v>
      </c>
      <c r="AC1211">
        <v>0.63349999999999795</v>
      </c>
      <c r="AD1211">
        <v>-0.26465870000000002</v>
      </c>
      <c r="AE1211">
        <v>-8.7199999999995698E-2</v>
      </c>
      <c r="AF1211">
        <v>8.5228900202838395E-2</v>
      </c>
      <c r="AG1211">
        <v>-0.26465870000000002</v>
      </c>
      <c r="AH1211">
        <v>0.53926370403093504</v>
      </c>
      <c r="AI1211">
        <v>115.862291600465</v>
      </c>
      <c r="AJ1211">
        <v>81.018873201645803</v>
      </c>
      <c r="AK1211">
        <v>0.60672360709027895</v>
      </c>
      <c r="AL1211">
        <v>80.171665030271996</v>
      </c>
      <c r="AM1211">
        <v>82.523907684411498</v>
      </c>
      <c r="AN1211">
        <v>0.999999997122205</v>
      </c>
    </row>
    <row r="1212" spans="1:40" x14ac:dyDescent="0.25">
      <c r="A1212" t="str">
        <f>"20190303162235046"</f>
        <v>20190303162235046</v>
      </c>
      <c r="B1212" t="str">
        <f>"1551601355035581"</f>
        <v>1551601355035581</v>
      </c>
      <c r="C1212" t="s">
        <v>40</v>
      </c>
      <c r="D1212">
        <v>5.2742519999999997</v>
      </c>
      <c r="E1212">
        <v>0.50567410000000002</v>
      </c>
      <c r="F1212" t="s">
        <v>42</v>
      </c>
      <c r="G1212">
        <v>-236.55260000000001</v>
      </c>
      <c r="H1212">
        <v>0.82938029999999996</v>
      </c>
      <c r="I1212">
        <v>367.73329999999999</v>
      </c>
      <c r="J1212">
        <v>-237.1499</v>
      </c>
      <c r="K1212">
        <v>1.1206039999999999</v>
      </c>
      <c r="L1212">
        <v>367.8381</v>
      </c>
      <c r="M1212">
        <v>0.99972660000000002</v>
      </c>
      <c r="N1212">
        <v>-1.278542E-2</v>
      </c>
      <c r="O1212">
        <v>1.957919E-2</v>
      </c>
      <c r="P1212">
        <v>0.98131579999999996</v>
      </c>
      <c r="Q1212">
        <v>0.158274</v>
      </c>
      <c r="R1212">
        <v>-0.10940270000000001</v>
      </c>
      <c r="S1212">
        <v>3.193146</v>
      </c>
      <c r="T1212">
        <v>-1.107367</v>
      </c>
      <c r="U1212">
        <v>-0.38198850000000001</v>
      </c>
      <c r="V1212">
        <v>0.1287169</v>
      </c>
      <c r="W1212">
        <v>0.17068729999999999</v>
      </c>
      <c r="X1212">
        <v>0.97688169999999996</v>
      </c>
      <c r="Y1212">
        <v>0.12939790000000001</v>
      </c>
      <c r="Z1212">
        <v>-2.8918139999999998E-2</v>
      </c>
      <c r="AA1212">
        <v>0.99117100000000002</v>
      </c>
      <c r="AB1212">
        <v>24</v>
      </c>
      <c r="AC1212">
        <v>0.59729999999998995</v>
      </c>
      <c r="AD1212">
        <v>-0.29122369999999997</v>
      </c>
      <c r="AE1212">
        <v>-0.104800000000011</v>
      </c>
      <c r="AF1212">
        <v>9.4647691983154897E-2</v>
      </c>
      <c r="AG1212">
        <v>-0.29122369999999997</v>
      </c>
      <c r="AH1212">
        <v>0.483603831140128</v>
      </c>
      <c r="AI1212">
        <v>120.582353702071</v>
      </c>
      <c r="AJ1212">
        <v>78.926425424337395</v>
      </c>
      <c r="AK1212">
        <v>0.57240029221938504</v>
      </c>
      <c r="AL1212">
        <v>80.172217726500094</v>
      </c>
      <c r="AM1212">
        <v>82.493774526550794</v>
      </c>
      <c r="AN1212">
        <v>1.00000002526089</v>
      </c>
    </row>
    <row r="1213" spans="1:40" x14ac:dyDescent="0.25">
      <c r="A1213" t="str">
        <f>"20190303162235060"</f>
        <v>20190303162235060</v>
      </c>
      <c r="B1213" t="str">
        <f>"1551601355056077"</f>
        <v>1551601355056077</v>
      </c>
      <c r="C1213" t="s">
        <v>40</v>
      </c>
      <c r="D1213">
        <v>5.2824150000000003</v>
      </c>
      <c r="E1213">
        <v>0.50520500000000002</v>
      </c>
      <c r="F1213" t="s">
        <v>42</v>
      </c>
      <c r="G1213">
        <v>-236.33410000000001</v>
      </c>
      <c r="H1213">
        <v>0.83561790000000002</v>
      </c>
      <c r="I1213">
        <v>367.74270000000001</v>
      </c>
      <c r="J1213">
        <v>-236.9862</v>
      </c>
      <c r="K1213">
        <v>1.120587</v>
      </c>
      <c r="L1213">
        <v>367.84100000000001</v>
      </c>
      <c r="M1213">
        <v>0.99973190000000001</v>
      </c>
      <c r="N1213">
        <v>-1.279343E-2</v>
      </c>
      <c r="O1213">
        <v>1.9302550000000002E-2</v>
      </c>
      <c r="P1213">
        <v>0.98129290000000002</v>
      </c>
      <c r="Q1213">
        <v>0.15807089999999999</v>
      </c>
      <c r="R1213">
        <v>-0.10990080000000001</v>
      </c>
      <c r="S1213">
        <v>3.1955870000000002</v>
      </c>
      <c r="T1213">
        <v>-1.11632</v>
      </c>
      <c r="U1213">
        <v>-0.37286380000000002</v>
      </c>
      <c r="V1213">
        <v>0.12895180000000001</v>
      </c>
      <c r="W1213">
        <v>0.17048529999999901</v>
      </c>
      <c r="X1213">
        <v>0.97688600000000003</v>
      </c>
      <c r="Y1213">
        <v>0.12631700000000001</v>
      </c>
      <c r="Z1213">
        <v>-2.8487309999999998E-2</v>
      </c>
      <c r="AA1213">
        <v>0.99158080000000004</v>
      </c>
      <c r="AB1213">
        <v>24</v>
      </c>
      <c r="AC1213">
        <v>0.65209999999999002</v>
      </c>
      <c r="AD1213">
        <v>-0.28496909999999998</v>
      </c>
      <c r="AE1213">
        <v>-9.8299999999994697E-2</v>
      </c>
      <c r="AF1213">
        <v>9.3424887195588502E-2</v>
      </c>
      <c r="AG1213">
        <v>-0.28496909999999998</v>
      </c>
      <c r="AH1213">
        <v>0.54779278441566503</v>
      </c>
      <c r="AI1213">
        <v>117.14915239368401</v>
      </c>
      <c r="AJ1213">
        <v>80.321449065242106</v>
      </c>
      <c r="AK1213">
        <v>0.62450983351760503</v>
      </c>
      <c r="AL1213">
        <v>80.183963689649104</v>
      </c>
      <c r="AM1213">
        <v>82.480265496194804</v>
      </c>
      <c r="AN1213">
        <v>1.00000003061766</v>
      </c>
    </row>
    <row r="1214" spans="1:40" x14ac:dyDescent="0.25">
      <c r="A1214" t="str">
        <f>"20190303162235075"</f>
        <v>20190303162235075</v>
      </c>
      <c r="B1214" t="str">
        <f>"1551601355065837"</f>
        <v>1551601355065837</v>
      </c>
      <c r="C1214" t="s">
        <v>40</v>
      </c>
      <c r="D1214">
        <v>5.2746550000000001</v>
      </c>
      <c r="E1214">
        <v>0.50519990000000004</v>
      </c>
      <c r="F1214" t="s">
        <v>42</v>
      </c>
      <c r="G1214">
        <v>-236.31479999999999</v>
      </c>
      <c r="H1214">
        <v>0.88535849999999905</v>
      </c>
      <c r="I1214">
        <v>367.76280000000003</v>
      </c>
      <c r="J1214">
        <v>-236.8296</v>
      </c>
      <c r="K1214">
        <v>1.120573</v>
      </c>
      <c r="L1214">
        <v>367.84370000000001</v>
      </c>
      <c r="M1214">
        <v>0.99973719999999999</v>
      </c>
      <c r="N1214">
        <v>-1.280332E-2</v>
      </c>
      <c r="O1214">
        <v>1.9019270000000001E-2</v>
      </c>
      <c r="P1214">
        <v>0.98125700000000005</v>
      </c>
      <c r="Q1214">
        <v>0.15810260000000001</v>
      </c>
      <c r="R1214">
        <v>-0.11017299999999999</v>
      </c>
      <c r="S1214">
        <v>3.1960449999999998</v>
      </c>
      <c r="T1214">
        <v>-1.119707</v>
      </c>
      <c r="U1214">
        <v>-0.370697</v>
      </c>
      <c r="V1214">
        <v>0.12895139999999999</v>
      </c>
      <c r="W1214">
        <v>0.17052290000000001</v>
      </c>
      <c r="X1214">
        <v>0.97687950000000001</v>
      </c>
      <c r="Y1214">
        <v>0.12537989999999999</v>
      </c>
      <c r="Z1214">
        <v>-2.8307329999999999E-2</v>
      </c>
      <c r="AA1214">
        <v>0.9917049</v>
      </c>
      <c r="AB1214">
        <v>24</v>
      </c>
      <c r="AC1214">
        <v>0.51480000000000803</v>
      </c>
      <c r="AD1214">
        <v>-0.23521449999999999</v>
      </c>
      <c r="AE1214">
        <v>-8.0899999999985497E-2</v>
      </c>
      <c r="AF1214">
        <v>7.5330217396278099E-2</v>
      </c>
      <c r="AG1214">
        <v>-0.23521449999999999</v>
      </c>
      <c r="AH1214">
        <v>0.42631473301199702</v>
      </c>
      <c r="AI1214">
        <v>118.516212933278</v>
      </c>
      <c r="AJ1214">
        <v>79.979220687359998</v>
      </c>
      <c r="AK1214">
        <v>0.49269133770172002</v>
      </c>
      <c r="AL1214">
        <v>80.181777449360794</v>
      </c>
      <c r="AM1214">
        <v>82.480239092618802</v>
      </c>
      <c r="AN1214">
        <v>1.0000000402533</v>
      </c>
    </row>
    <row r="1215" spans="1:40" x14ac:dyDescent="0.25">
      <c r="A1215" t="str">
        <f>"20190303162235091"</f>
        <v>20190303162235091</v>
      </c>
      <c r="B1215" t="str">
        <f>"1551601355085357"</f>
        <v>1551601355085357</v>
      </c>
      <c r="C1215" t="s">
        <v>40</v>
      </c>
      <c r="D1215">
        <v>5.3060289999999997</v>
      </c>
      <c r="E1215">
        <v>0.50476120000000002</v>
      </c>
      <c r="F1215" t="s">
        <v>42</v>
      </c>
      <c r="G1215">
        <v>-236.10570000000001</v>
      </c>
      <c r="H1215">
        <v>0.86744669999999902</v>
      </c>
      <c r="I1215">
        <v>367.75920000000002</v>
      </c>
      <c r="J1215">
        <v>-236.6627</v>
      </c>
      <c r="K1215">
        <v>1.1205670000000001</v>
      </c>
      <c r="L1215">
        <v>367.84649999999999</v>
      </c>
      <c r="M1215">
        <v>0.99974289999999999</v>
      </c>
      <c r="N1215">
        <v>-1.2814799999999999E-2</v>
      </c>
      <c r="O1215">
        <v>1.8705949999999999E-2</v>
      </c>
      <c r="P1215">
        <v>0.98116199999999998</v>
      </c>
      <c r="Q1215">
        <v>0.1586881</v>
      </c>
      <c r="R1215">
        <v>-0.11017929999999999</v>
      </c>
      <c r="S1215">
        <v>3.195557</v>
      </c>
      <c r="T1215">
        <v>-1.117337</v>
      </c>
      <c r="U1215">
        <v>-0.37194820000000001</v>
      </c>
      <c r="V1215">
        <v>0.1286534</v>
      </c>
      <c r="W1215">
        <v>0.171116299999999</v>
      </c>
      <c r="X1215">
        <v>0.97681499999999999</v>
      </c>
      <c r="Y1215">
        <v>0.12551199999999901</v>
      </c>
      <c r="Z1215">
        <v>-2.8176799999999998E-2</v>
      </c>
      <c r="AA1215">
        <v>0.99169189999999996</v>
      </c>
      <c r="AB1215">
        <v>24</v>
      </c>
      <c r="AC1215">
        <v>0.55699999999998795</v>
      </c>
      <c r="AD1215">
        <v>-0.25312030000000002</v>
      </c>
      <c r="AE1215">
        <v>-8.7299999999970596E-2</v>
      </c>
      <c r="AF1215">
        <v>8.1314961289575202E-2</v>
      </c>
      <c r="AG1215">
        <v>-0.25312030000000002</v>
      </c>
      <c r="AH1215">
        <v>0.46212376665698901</v>
      </c>
      <c r="AI1215">
        <v>118.34443391895699</v>
      </c>
      <c r="AJ1215">
        <v>80.020434190391498</v>
      </c>
      <c r="AK1215">
        <v>0.53314199319773903</v>
      </c>
      <c r="AL1215">
        <v>80.1472707166144</v>
      </c>
      <c r="AM1215">
        <v>82.496928921258998</v>
      </c>
      <c r="AN1215">
        <v>1.0000000148411201</v>
      </c>
    </row>
    <row r="1216" spans="1:40" x14ac:dyDescent="0.25">
      <c r="A1216" t="str">
        <f>"20190303162235113"</f>
        <v>20190303162235113</v>
      </c>
      <c r="B1216" t="str">
        <f>"1551601355105853"</f>
        <v>1551601355105853</v>
      </c>
      <c r="C1216" t="s">
        <v>40</v>
      </c>
      <c r="D1216">
        <v>5.2315630000000004</v>
      </c>
      <c r="E1216">
        <v>0.49370629999999999</v>
      </c>
      <c r="F1216" t="s">
        <v>42</v>
      </c>
      <c r="G1216">
        <v>-235.89529999999999</v>
      </c>
      <c r="H1216">
        <v>0.85321619999999998</v>
      </c>
      <c r="I1216">
        <v>367.75779999999997</v>
      </c>
      <c r="J1216">
        <v>-236.42070000000001</v>
      </c>
      <c r="K1216">
        <v>1.120571</v>
      </c>
      <c r="L1216">
        <v>367.85050000000001</v>
      </c>
      <c r="M1216">
        <v>0.99975159999999996</v>
      </c>
      <c r="N1216">
        <v>-1.2833870000000001E-2</v>
      </c>
      <c r="O1216">
        <v>1.8233429999999998E-2</v>
      </c>
      <c r="P1216">
        <v>0.98103099999999999</v>
      </c>
      <c r="Q1216">
        <v>0.15922819999999999</v>
      </c>
      <c r="R1216">
        <v>-0.11056589999999999</v>
      </c>
      <c r="S1216">
        <v>3.1962890000000002</v>
      </c>
      <c r="T1216">
        <v>-1.113356</v>
      </c>
      <c r="U1216">
        <v>-0.36837769999999997</v>
      </c>
      <c r="V1216">
        <v>0.12857779999999999</v>
      </c>
      <c r="W1216">
        <v>0.17167199999999999</v>
      </c>
      <c r="X1216">
        <v>0.97672740000000002</v>
      </c>
      <c r="Y1216">
        <v>0.124097</v>
      </c>
      <c r="Z1216">
        <v>-2.7678629999999999E-2</v>
      </c>
      <c r="AA1216">
        <v>0.99188399999999999</v>
      </c>
      <c r="AB1216">
        <v>24</v>
      </c>
      <c r="AC1216">
        <v>0.52540000000001896</v>
      </c>
      <c r="AD1216">
        <v>-0.2673548</v>
      </c>
      <c r="AE1216">
        <v>-9.2700000000036198E-2</v>
      </c>
      <c r="AF1216">
        <v>8.1738894544457694E-2</v>
      </c>
      <c r="AG1216">
        <v>-0.2673548</v>
      </c>
      <c r="AH1216">
        <v>0.41852260132109398</v>
      </c>
      <c r="AI1216">
        <v>122.086100014888</v>
      </c>
      <c r="AJ1216">
        <v>78.949044214192497</v>
      </c>
      <c r="AK1216">
        <v>0.50331004736739104</v>
      </c>
      <c r="AL1216">
        <v>80.114952788366793</v>
      </c>
      <c r="AM1216">
        <v>82.500622842160396</v>
      </c>
      <c r="AN1216">
        <v>0.99999997007379904</v>
      </c>
    </row>
    <row r="1217" spans="1:40" x14ac:dyDescent="0.25">
      <c r="A1217" t="str">
        <f>"20190303162235127"</f>
        <v>20190303162235127</v>
      </c>
      <c r="B1217" t="str">
        <f>"1551601355115614"</f>
        <v>1551601355115614</v>
      </c>
      <c r="C1217" t="s">
        <v>40</v>
      </c>
      <c r="D1217">
        <v>5.4527229999999998</v>
      </c>
      <c r="E1217">
        <v>0.49370629999999999</v>
      </c>
      <c r="F1217" t="s">
        <v>42</v>
      </c>
      <c r="G1217">
        <v>-235.66489999999999</v>
      </c>
      <c r="H1217">
        <v>0.8912776</v>
      </c>
      <c r="I1217">
        <v>367.7835</v>
      </c>
      <c r="J1217">
        <v>-236.27029999999999</v>
      </c>
      <c r="K1217">
        <v>1.1205719999999999</v>
      </c>
      <c r="L1217">
        <v>367.85289999999998</v>
      </c>
      <c r="M1217">
        <v>0.9997566</v>
      </c>
      <c r="N1217">
        <v>-1.2847549999999999E-2</v>
      </c>
      <c r="O1217">
        <v>1.7934599999999998E-2</v>
      </c>
      <c r="P1217">
        <v>0.98096459999999996</v>
      </c>
      <c r="Q1217">
        <v>0.15945379999999901</v>
      </c>
      <c r="R1217">
        <v>-0.1108273</v>
      </c>
      <c r="S1217">
        <v>3.1830599999999998</v>
      </c>
      <c r="T1217">
        <v>-0.96555230000000003</v>
      </c>
      <c r="U1217">
        <v>-0.28094479999999999</v>
      </c>
      <c r="V1217">
        <v>0.1285461</v>
      </c>
      <c r="W1217">
        <v>0.17191020000000001</v>
      </c>
      <c r="X1217">
        <v>0.97668969999999999</v>
      </c>
      <c r="Y1217">
        <v>0.10035570000000001</v>
      </c>
      <c r="Z1217">
        <v>-2.0606320000000001E-2</v>
      </c>
      <c r="AA1217">
        <v>0.99473820000000002</v>
      </c>
      <c r="AB1217">
        <v>24</v>
      </c>
      <c r="AC1217">
        <v>0.60540000000000205</v>
      </c>
      <c r="AD1217">
        <v>-0.22929439999999901</v>
      </c>
      <c r="AE1217">
        <v>-6.9399999999973205E-2</v>
      </c>
      <c r="AF1217">
        <v>7.0294370378812795E-2</v>
      </c>
      <c r="AG1217">
        <v>-0.22929439999999901</v>
      </c>
      <c r="AH1217">
        <v>0.52913737160348795</v>
      </c>
      <c r="AI1217">
        <v>113.24653582129601</v>
      </c>
      <c r="AJ1217">
        <v>82.432730330374497</v>
      </c>
      <c r="AK1217">
        <v>0.58095058172426495</v>
      </c>
      <c r="AL1217">
        <v>80.101099207235805</v>
      </c>
      <c r="AM1217">
        <v>82.502164615484901</v>
      </c>
      <c r="AN1217">
        <v>0.99999999338766898</v>
      </c>
    </row>
    <row r="1218" spans="1:40" x14ac:dyDescent="0.25">
      <c r="A1218" t="str">
        <f>"20190303162235140"</f>
        <v>20190303162235140</v>
      </c>
      <c r="B1218" t="str">
        <f>"1551601355125373"</f>
        <v>1551601355125373</v>
      </c>
      <c r="C1218" t="s">
        <v>40</v>
      </c>
      <c r="D1218">
        <v>5.468451</v>
      </c>
      <c r="E1218">
        <v>0.48015170000000001</v>
      </c>
      <c r="F1218" t="s">
        <v>42</v>
      </c>
      <c r="G1218">
        <v>-235.45609999999999</v>
      </c>
      <c r="H1218">
        <v>0.87380599999999997</v>
      </c>
      <c r="I1218">
        <v>367.7808</v>
      </c>
      <c r="J1218">
        <v>-236.1328</v>
      </c>
      <c r="K1218">
        <v>1.1205769999999999</v>
      </c>
      <c r="L1218">
        <v>367.85500000000002</v>
      </c>
      <c r="M1218">
        <v>0.99976129999999996</v>
      </c>
      <c r="N1218">
        <v>-1.2861360000000001E-2</v>
      </c>
      <c r="O1218">
        <v>1.7660410000000001E-2</v>
      </c>
      <c r="P1218">
        <v>0.98092389999999996</v>
      </c>
      <c r="Q1218">
        <v>0.15977079999999999</v>
      </c>
      <c r="R1218">
        <v>-0.1107335</v>
      </c>
      <c r="S1218">
        <v>3.1833339999999999</v>
      </c>
      <c r="T1218">
        <v>-0.96481430000000001</v>
      </c>
      <c r="U1218">
        <v>-0.2806091</v>
      </c>
      <c r="V1218">
        <v>0.12818270000000001</v>
      </c>
      <c r="W1218">
        <v>0.17224130000000001</v>
      </c>
      <c r="X1218">
        <v>0.97667910000000002</v>
      </c>
      <c r="Y1218">
        <v>0.1000075</v>
      </c>
      <c r="Z1218">
        <v>-2.045891E-2</v>
      </c>
      <c r="AA1218">
        <v>0.99477629999999995</v>
      </c>
      <c r="AB1218">
        <v>24</v>
      </c>
      <c r="AC1218">
        <v>0.67670000000001096</v>
      </c>
      <c r="AD1218">
        <v>-0.24677099999999999</v>
      </c>
      <c r="AE1218">
        <v>-7.4200000000018904E-2</v>
      </c>
      <c r="AF1218">
        <v>7.6135744549403597E-2</v>
      </c>
      <c r="AG1218">
        <v>-0.24677099999999999</v>
      </c>
      <c r="AH1218">
        <v>0.59685532058707902</v>
      </c>
      <c r="AI1218">
        <v>112.299938179696</v>
      </c>
      <c r="AJ1218">
        <v>82.730525712301798</v>
      </c>
      <c r="AK1218">
        <v>0.65032980229434101</v>
      </c>
      <c r="AL1218">
        <v>80.081841055907404</v>
      </c>
      <c r="AM1218">
        <v>82.523040622528498</v>
      </c>
      <c r="AN1218">
        <v>0.99999996719089401</v>
      </c>
    </row>
    <row r="1219" spans="1:40" x14ac:dyDescent="0.25">
      <c r="A1219" t="str">
        <f>"20190303162235152"</f>
        <v>20190303162235152</v>
      </c>
      <c r="B1219" t="str">
        <f>"1551601355145871"</f>
        <v>1551601355145871</v>
      </c>
      <c r="C1219" t="s">
        <v>40</v>
      </c>
      <c r="D1219">
        <v>5.4611939999999999</v>
      </c>
      <c r="E1219">
        <v>0.47823159999999998</v>
      </c>
      <c r="F1219" t="s">
        <v>42</v>
      </c>
      <c r="G1219">
        <v>-235.3732</v>
      </c>
      <c r="H1219">
        <v>1.047102</v>
      </c>
      <c r="I1219">
        <v>367.81209999999999</v>
      </c>
      <c r="J1219">
        <v>-235.99600000000001</v>
      </c>
      <c r="K1219">
        <v>1.120582</v>
      </c>
      <c r="L1219">
        <v>367.8571</v>
      </c>
      <c r="M1219">
        <v>0.99976589999999999</v>
      </c>
      <c r="N1219">
        <v>-1.2877349999999999E-2</v>
      </c>
      <c r="O1219">
        <v>1.7388770000000001E-2</v>
      </c>
      <c r="P1219">
        <v>0.98090809999999995</v>
      </c>
      <c r="Q1219">
        <v>0.15972979999999901</v>
      </c>
      <c r="R1219">
        <v>-0.11093160000000001</v>
      </c>
      <c r="S1219">
        <v>3.0874790000000001</v>
      </c>
      <c r="T1219">
        <v>-0.29896590000000001</v>
      </c>
      <c r="U1219">
        <v>-0.17333979999999999</v>
      </c>
      <c r="V1219">
        <v>0.12811400000000001</v>
      </c>
      <c r="W1219">
        <v>0.17221649999999999</v>
      </c>
      <c r="X1219">
        <v>0.97669249999999996</v>
      </c>
      <c r="Y1219">
        <v>7.2962170000000007E-2</v>
      </c>
      <c r="Z1219">
        <v>-5.4483409999999998E-3</v>
      </c>
      <c r="AA1219">
        <v>0.99731979999999998</v>
      </c>
      <c r="AB1219">
        <v>24</v>
      </c>
      <c r="AC1219">
        <v>0.62279999999998303</v>
      </c>
      <c r="AD1219">
        <v>-7.3479999999999907E-2</v>
      </c>
      <c r="AE1219">
        <v>-4.5000000000015902E-2</v>
      </c>
      <c r="AF1219">
        <v>5.5061342268457797E-2</v>
      </c>
      <c r="AG1219">
        <v>-7.3479999999999907E-2</v>
      </c>
      <c r="AH1219">
        <v>0.61342864453851598</v>
      </c>
      <c r="AI1219">
        <v>96.803576003638597</v>
      </c>
      <c r="AJ1219">
        <v>84.870877425221593</v>
      </c>
      <c r="AK1219">
        <v>0.62026265706776595</v>
      </c>
      <c r="AL1219">
        <v>80.083283671913705</v>
      </c>
      <c r="AM1219">
        <v>82.527103991473894</v>
      </c>
      <c r="AN1219">
        <v>0.99999997971224897</v>
      </c>
    </row>
    <row r="1220" spans="1:40" x14ac:dyDescent="0.25">
      <c r="A1220" t="str">
        <f>"20190303162235166"</f>
        <v>20190303162235166</v>
      </c>
      <c r="B1220" t="str">
        <f>"1551601355155630"</f>
        <v>1551601355155630</v>
      </c>
      <c r="C1220" t="s">
        <v>40</v>
      </c>
      <c r="D1220">
        <v>5.5129989999999998</v>
      </c>
      <c r="E1220">
        <v>0.47778710000000002</v>
      </c>
      <c r="F1220" t="s">
        <v>41</v>
      </c>
      <c r="G1220">
        <v>-217.5607</v>
      </c>
      <c r="H1220" s="1">
        <v>-1.538056E-6</v>
      </c>
      <c r="I1220">
        <v>366.9033</v>
      </c>
      <c r="J1220">
        <v>-235.85169999999999</v>
      </c>
      <c r="K1220">
        <v>1.1205879999999999</v>
      </c>
      <c r="L1220">
        <v>367.85930000000002</v>
      </c>
      <c r="M1220">
        <v>0.99977059999999995</v>
      </c>
      <c r="N1220">
        <v>-1.2896039999999999E-2</v>
      </c>
      <c r="O1220">
        <v>1.7103599999999899E-2</v>
      </c>
      <c r="P1220">
        <v>0.98084709999999997</v>
      </c>
      <c r="Q1220">
        <v>0.1599235</v>
      </c>
      <c r="R1220">
        <v>-0.1111907</v>
      </c>
      <c r="S1220">
        <v>3.0708160000000002</v>
      </c>
      <c r="T1220">
        <v>-0.1866583</v>
      </c>
      <c r="U1220">
        <v>-0.1588745</v>
      </c>
      <c r="V1220">
        <v>0.12809209999999999</v>
      </c>
      <c r="W1220">
        <v>0.17242929999999901</v>
      </c>
      <c r="X1220">
        <v>0.97665789999999997</v>
      </c>
      <c r="Y1220">
        <v>6.8569729999999995E-2</v>
      </c>
      <c r="Z1220">
        <v>-3.3414349999999998E-3</v>
      </c>
      <c r="AA1220">
        <v>0.99764070000000005</v>
      </c>
      <c r="AB1220">
        <v>24</v>
      </c>
      <c r="AC1220">
        <v>18.291</v>
      </c>
      <c r="AD1220">
        <v>-1.12058953805599</v>
      </c>
      <c r="AE1220">
        <v>-0.95600000000001695</v>
      </c>
      <c r="AF1220">
        <v>1.26399679737689</v>
      </c>
      <c r="AG1220">
        <v>-1.12058953805599</v>
      </c>
      <c r="AH1220">
        <v>18.203832512851999</v>
      </c>
      <c r="AI1220">
        <v>93.514122508179696</v>
      </c>
      <c r="AJ1220">
        <v>86.027999717266894</v>
      </c>
      <c r="AK1220">
        <v>18.282038370284301</v>
      </c>
      <c r="AL1220">
        <v>80.070906686732599</v>
      </c>
      <c r="AM1220">
        <v>82.528105279172195</v>
      </c>
      <c r="AN1220">
        <v>1.0000000516066501</v>
      </c>
    </row>
    <row r="1221" spans="1:40" x14ac:dyDescent="0.25">
      <c r="A1221" t="str">
        <f>"20190303162235180"</f>
        <v>20190303162235180</v>
      </c>
      <c r="B1221" t="str">
        <f>"1551601355165390"</f>
        <v>1551601355165390</v>
      </c>
      <c r="C1221" t="s">
        <v>40</v>
      </c>
      <c r="D1221">
        <v>5.5045659999999996</v>
      </c>
      <c r="E1221">
        <v>0.47782809999999998</v>
      </c>
      <c r="F1221" t="s">
        <v>41</v>
      </c>
      <c r="G1221">
        <v>-215.2122</v>
      </c>
      <c r="H1221" s="1">
        <v>-2.5344420000000001E-6</v>
      </c>
      <c r="I1221">
        <v>366.80799999999999</v>
      </c>
      <c r="J1221">
        <v>-235.70070000000001</v>
      </c>
      <c r="K1221">
        <v>1.120601</v>
      </c>
      <c r="L1221">
        <v>367.86160000000001</v>
      </c>
      <c r="M1221">
        <v>0.99977530000000003</v>
      </c>
      <c r="N1221">
        <v>-1.2919180000000001E-2</v>
      </c>
      <c r="O1221">
        <v>1.6807800000000001E-2</v>
      </c>
      <c r="P1221">
        <v>0.98086890000000004</v>
      </c>
      <c r="Q1221">
        <v>0.15964320000000001</v>
      </c>
      <c r="R1221">
        <v>-0.11140070000000001</v>
      </c>
      <c r="S1221">
        <v>3.0680239999999999</v>
      </c>
      <c r="T1221">
        <v>-0.16657350000000001</v>
      </c>
      <c r="U1221">
        <v>-0.15628049999999999</v>
      </c>
      <c r="V1221">
        <v>0.1280115</v>
      </c>
      <c r="W1221">
        <v>0.1721733</v>
      </c>
      <c r="X1221">
        <v>0.97671359999999996</v>
      </c>
      <c r="Y1221">
        <v>6.7515569999999997E-2</v>
      </c>
      <c r="Z1221">
        <v>-2.9615959999999999E-3</v>
      </c>
      <c r="AA1221">
        <v>0.99771379999999998</v>
      </c>
      <c r="AB1221">
        <v>24</v>
      </c>
      <c r="AC1221">
        <v>20.488499999999998</v>
      </c>
      <c r="AD1221">
        <v>-1.120603534442</v>
      </c>
      <c r="AE1221">
        <v>-1.0535999999999599</v>
      </c>
      <c r="AF1221">
        <v>1.39368831357974</v>
      </c>
      <c r="AG1221">
        <v>-1.120603534442</v>
      </c>
      <c r="AH1221">
        <v>20.407009307375699</v>
      </c>
      <c r="AI1221">
        <v>93.135818163653795</v>
      </c>
      <c r="AJ1221">
        <v>86.093074912345003</v>
      </c>
      <c r="AK1221">
        <v>20.485217798894201</v>
      </c>
      <c r="AL1221">
        <v>80.085796814694504</v>
      </c>
      <c r="AM1221">
        <v>82.533174816996194</v>
      </c>
      <c r="AN1221">
        <v>1.0000000228950401</v>
      </c>
    </row>
    <row r="1222" spans="1:40" x14ac:dyDescent="0.25">
      <c r="A1222" t="str">
        <f>"20190303162235203"</f>
        <v>20190303162235203</v>
      </c>
      <c r="B1222" t="str">
        <f>"1551601355195646"</f>
        <v>1551601355195646</v>
      </c>
      <c r="C1222" t="s">
        <v>40</v>
      </c>
      <c r="D1222">
        <v>5.5469229999999996</v>
      </c>
      <c r="E1222">
        <v>0.47921340000000001</v>
      </c>
      <c r="F1222" t="s">
        <v>41</v>
      </c>
      <c r="G1222">
        <v>-214.44069999999999</v>
      </c>
      <c r="H1222" s="1">
        <v>-2.872323E-6</v>
      </c>
      <c r="I1222">
        <v>366.76909999999998</v>
      </c>
      <c r="J1222">
        <v>-235.45679999999999</v>
      </c>
      <c r="K1222">
        <v>1.1206130000000001</v>
      </c>
      <c r="L1222">
        <v>367.86509999999998</v>
      </c>
      <c r="M1222">
        <v>0.99978250000000002</v>
      </c>
      <c r="N1222">
        <v>-1.296156E-2</v>
      </c>
      <c r="O1222">
        <v>1.6334459999999999E-2</v>
      </c>
      <c r="P1222">
        <v>0.98074039999999996</v>
      </c>
      <c r="Q1222">
        <v>0.15992210000000001</v>
      </c>
      <c r="R1222">
        <v>-0.1121312</v>
      </c>
      <c r="S1222">
        <v>3.06691</v>
      </c>
      <c r="T1222">
        <v>-0.16165489999999999</v>
      </c>
      <c r="U1222">
        <v>-0.15759279999999901</v>
      </c>
      <c r="V1222">
        <v>0.12827439999999901</v>
      </c>
      <c r="W1222">
        <v>0.1724936</v>
      </c>
      <c r="X1222">
        <v>0.97662260000000001</v>
      </c>
      <c r="Y1222">
        <v>6.7495250000000007E-2</v>
      </c>
      <c r="Z1222">
        <v>-2.8629340000000001E-3</v>
      </c>
      <c r="AA1222">
        <v>0.99771549999999998</v>
      </c>
      <c r="AB1222">
        <v>24</v>
      </c>
      <c r="AC1222">
        <v>21.016099999999899</v>
      </c>
      <c r="AD1222">
        <v>-1.12061587232299</v>
      </c>
      <c r="AE1222">
        <v>-1.0960000000000001</v>
      </c>
      <c r="AF1222">
        <v>1.4351000324257399</v>
      </c>
      <c r="AG1222">
        <v>-1.12061587232299</v>
      </c>
      <c r="AH1222">
        <v>20.9360274477086</v>
      </c>
      <c r="AI1222">
        <v>93.056714693243407</v>
      </c>
      <c r="AJ1222">
        <v>86.078685230227904</v>
      </c>
      <c r="AK1222">
        <v>21.015055016049299</v>
      </c>
      <c r="AL1222">
        <v>80.0671663429045</v>
      </c>
      <c r="AM1222">
        <v>82.517324339633603</v>
      </c>
      <c r="AN1222">
        <v>1.0000000332835299</v>
      </c>
    </row>
    <row r="1223" spans="1:40" x14ac:dyDescent="0.25">
      <c r="A1223" t="str">
        <f>"20190303162235225"</f>
        <v>20190303162235225</v>
      </c>
      <c r="B1223" t="str">
        <f>"1551601355215166"</f>
        <v>1551601355215166</v>
      </c>
      <c r="C1223" t="s">
        <v>40</v>
      </c>
      <c r="D1223">
        <v>5.4859859999999996</v>
      </c>
      <c r="E1223">
        <v>0.4796974</v>
      </c>
      <c r="F1223" t="s">
        <v>41</v>
      </c>
      <c r="G1223">
        <v>-214.39709999999999</v>
      </c>
      <c r="H1223" s="1">
        <v>-2.9051750000000001E-6</v>
      </c>
      <c r="I1223">
        <v>366.6893</v>
      </c>
      <c r="J1223">
        <v>-235.22219999999999</v>
      </c>
      <c r="K1223">
        <v>1.1206240000000001</v>
      </c>
      <c r="L1223">
        <v>367.86829999999998</v>
      </c>
      <c r="M1223">
        <v>0.99978929999999999</v>
      </c>
      <c r="N1223">
        <v>-1.3007980000000001E-2</v>
      </c>
      <c r="O1223">
        <v>1.5883270000000001E-2</v>
      </c>
      <c r="P1223">
        <v>0.98070820000000003</v>
      </c>
      <c r="Q1223">
        <v>0.15955559999999999</v>
      </c>
      <c r="R1223">
        <v>-0.1129313</v>
      </c>
      <c r="S1223">
        <v>3.0659480000000001</v>
      </c>
      <c r="T1223">
        <v>-0.16314289999999901</v>
      </c>
      <c r="U1223">
        <v>-0.17117309999999999</v>
      </c>
      <c r="V1223">
        <v>0.1286301</v>
      </c>
      <c r="W1223">
        <v>0.17217379999999999</v>
      </c>
      <c r="X1223">
        <v>0.97663219999999995</v>
      </c>
      <c r="Y1223">
        <v>7.1458140000000003E-2</v>
      </c>
      <c r="Z1223">
        <v>-3.001573E-3</v>
      </c>
      <c r="AA1223">
        <v>0.99743910000000002</v>
      </c>
      <c r="AB1223">
        <v>24</v>
      </c>
      <c r="AC1223">
        <v>20.8250999999999</v>
      </c>
      <c r="AD1223">
        <v>-1.120626905175</v>
      </c>
      <c r="AE1223">
        <v>-1.1789999999999701</v>
      </c>
      <c r="AF1223">
        <v>1.5053049715445499</v>
      </c>
      <c r="AG1223">
        <v>-1.120626905175</v>
      </c>
      <c r="AH1223">
        <v>20.743869244569002</v>
      </c>
      <c r="AI1223">
        <v>93.084137312299603</v>
      </c>
      <c r="AJ1223">
        <v>85.849534727252902</v>
      </c>
      <c r="AK1223">
        <v>20.828582739921</v>
      </c>
      <c r="AL1223">
        <v>80.085767373590997</v>
      </c>
      <c r="AM1223">
        <v>82.496884169589705</v>
      </c>
      <c r="AN1223">
        <v>0.99999998705464399</v>
      </c>
    </row>
    <row r="1224" spans="1:40" x14ac:dyDescent="0.25">
      <c r="A1224" t="str">
        <f>"20190303162235240"</f>
        <v>20190303162235240</v>
      </c>
      <c r="B1224" t="str">
        <f>"1551601355225903"</f>
        <v>1551601355225903</v>
      </c>
      <c r="C1224" t="s">
        <v>40</v>
      </c>
      <c r="D1224">
        <v>5.5446720000000003</v>
      </c>
      <c r="E1224">
        <v>0.47990820000000001</v>
      </c>
      <c r="F1224" t="s">
        <v>41</v>
      </c>
      <c r="G1224">
        <v>-214.66120000000001</v>
      </c>
      <c r="H1224" s="1">
        <v>-2.793392E-6</v>
      </c>
      <c r="I1224">
        <v>366.6807</v>
      </c>
      <c r="J1224">
        <v>-235.0523</v>
      </c>
      <c r="K1224">
        <v>1.12063</v>
      </c>
      <c r="L1224">
        <v>367.8707</v>
      </c>
      <c r="M1224">
        <v>0.99979399999999996</v>
      </c>
      <c r="N1224">
        <v>-1.304321E-2</v>
      </c>
      <c r="O1224">
        <v>1.555842E-2</v>
      </c>
      <c r="P1224">
        <v>0.98060309999999995</v>
      </c>
      <c r="Q1224">
        <v>0.15968779999999999</v>
      </c>
      <c r="R1224">
        <v>-0.11365699999999999</v>
      </c>
      <c r="S1224">
        <v>3.0658259999999999</v>
      </c>
      <c r="T1224">
        <v>-0.16709540000000001</v>
      </c>
      <c r="U1224">
        <v>-0.17709349999999999</v>
      </c>
      <c r="V1224">
        <v>0.12903499999999901</v>
      </c>
      <c r="W1224">
        <v>0.17233999999999999</v>
      </c>
      <c r="X1224">
        <v>0.97654949999999996</v>
      </c>
      <c r="Y1224">
        <v>7.304708E-2</v>
      </c>
      <c r="Z1224">
        <v>-3.108806E-3</v>
      </c>
      <c r="AA1224">
        <v>0.99732359999999998</v>
      </c>
      <c r="AB1224">
        <v>24</v>
      </c>
      <c r="AC1224">
        <v>20.391099999999899</v>
      </c>
      <c r="AD1224">
        <v>-1.1206327933919999</v>
      </c>
      <c r="AE1224">
        <v>-1.18999999999999</v>
      </c>
      <c r="AF1224">
        <v>1.5026132999224999</v>
      </c>
      <c r="AG1224">
        <v>-1.1206327933919999</v>
      </c>
      <c r="AH1224">
        <v>20.3089849947959</v>
      </c>
      <c r="AI1224">
        <v>93.149738399200103</v>
      </c>
      <c r="AJ1224">
        <v>85.768532116191395</v>
      </c>
      <c r="AK1224">
        <v>20.395306717614599</v>
      </c>
      <c r="AL1224">
        <v>80.076100606284896</v>
      </c>
      <c r="AM1224">
        <v>82.472906239176396</v>
      </c>
      <c r="AN1224">
        <v>1.0000000163876199</v>
      </c>
    </row>
    <row r="1225" spans="1:40" x14ac:dyDescent="0.25">
      <c r="A1225" t="str">
        <f>"20190303162235259"</f>
        <v>20190303162235259</v>
      </c>
      <c r="B1225" t="str">
        <f>"1551601355245423"</f>
        <v>1551601355245423</v>
      </c>
      <c r="C1225" t="s">
        <v>40</v>
      </c>
      <c r="D1225">
        <v>5.4876649999999998</v>
      </c>
      <c r="E1225">
        <v>0.48031210000000002</v>
      </c>
      <c r="F1225" t="s">
        <v>41</v>
      </c>
      <c r="G1225">
        <v>-214.6584</v>
      </c>
      <c r="H1225" s="1">
        <v>-2.796699E-6</v>
      </c>
      <c r="I1225">
        <v>366.66890000000001</v>
      </c>
      <c r="J1225">
        <v>-234.85669999999999</v>
      </c>
      <c r="K1225">
        <v>1.120644</v>
      </c>
      <c r="L1225">
        <v>367.87329999999997</v>
      </c>
      <c r="M1225">
        <v>0.99979910000000005</v>
      </c>
      <c r="N1225">
        <v>-1.309189E-2</v>
      </c>
      <c r="O1225">
        <v>1.51856E-2</v>
      </c>
      <c r="P1225">
        <v>0.98056659999999995</v>
      </c>
      <c r="Q1225">
        <v>0.1594971</v>
      </c>
      <c r="R1225">
        <v>-0.1142362</v>
      </c>
      <c r="S1225">
        <v>3.0658259999999999</v>
      </c>
      <c r="T1225">
        <v>-0.16846429999999901</v>
      </c>
      <c r="U1225">
        <v>-0.18066409999999999</v>
      </c>
      <c r="V1225">
        <v>0.12924720000000001</v>
      </c>
      <c r="W1225">
        <v>0.17219719999999999</v>
      </c>
      <c r="X1225">
        <v>0.97654660000000004</v>
      </c>
      <c r="Y1225">
        <v>7.3829290000000006E-2</v>
      </c>
      <c r="Z1225">
        <v>-3.1439549999999999E-3</v>
      </c>
      <c r="AA1225">
        <v>0.99726590000000004</v>
      </c>
      <c r="AB1225">
        <v>24</v>
      </c>
      <c r="AC1225">
        <v>20.1982999999999</v>
      </c>
      <c r="AD1225">
        <v>-1.1206467966989999</v>
      </c>
      <c r="AE1225">
        <v>-1.2043999999999599</v>
      </c>
      <c r="AF1225">
        <v>1.50638999785657</v>
      </c>
      <c r="AG1225">
        <v>-1.1206467966989999</v>
      </c>
      <c r="AH1225">
        <v>20.115976295598902</v>
      </c>
      <c r="AI1225">
        <v>93.179726562612402</v>
      </c>
      <c r="AJ1225">
        <v>85.717384404206896</v>
      </c>
      <c r="AK1225">
        <v>20.203404722810799</v>
      </c>
      <c r="AL1225">
        <v>80.084406335748795</v>
      </c>
      <c r="AM1225">
        <v>82.460647967285894</v>
      </c>
      <c r="AN1225">
        <v>0.99999998818362001</v>
      </c>
    </row>
    <row r="1226" spans="1:40" x14ac:dyDescent="0.25">
      <c r="A1226" t="str">
        <f>"20190303162235272"</f>
        <v>20190303162235272</v>
      </c>
      <c r="B1226" t="str">
        <f>"1551601355265918"</f>
        <v>1551601355265918</v>
      </c>
      <c r="C1226" t="s">
        <v>40</v>
      </c>
      <c r="D1226">
        <v>5.6074279999999996</v>
      </c>
      <c r="E1226">
        <v>0.4805027</v>
      </c>
      <c r="F1226" t="s">
        <v>41</v>
      </c>
      <c r="G1226">
        <v>-214.9238</v>
      </c>
      <c r="H1226" s="1">
        <v>-2.6827359999999999E-6</v>
      </c>
      <c r="I1226">
        <v>366.6696</v>
      </c>
      <c r="J1226">
        <v>-234.71850000000001</v>
      </c>
      <c r="K1226">
        <v>1.1206480000000001</v>
      </c>
      <c r="L1226">
        <v>367.87509999999997</v>
      </c>
      <c r="M1226">
        <v>0.99980250000000004</v>
      </c>
      <c r="N1226">
        <v>-1.3134710000000001E-2</v>
      </c>
      <c r="O1226">
        <v>1.4921459999999999E-2</v>
      </c>
      <c r="P1226">
        <v>0.98050389999999998</v>
      </c>
      <c r="Q1226">
        <v>0.15960179999999999</v>
      </c>
      <c r="R1226">
        <v>-0.1146277</v>
      </c>
      <c r="S1226">
        <v>3.0659179999999999</v>
      </c>
      <c r="T1226">
        <v>-0.1723684</v>
      </c>
      <c r="U1226">
        <v>-0.18515010000000001</v>
      </c>
      <c r="V1226">
        <v>0.1293792</v>
      </c>
      <c r="W1226">
        <v>0.17234379999999999</v>
      </c>
      <c r="X1226">
        <v>0.97650329999999996</v>
      </c>
      <c r="Y1226">
        <v>7.5009339999999994E-2</v>
      </c>
      <c r="Z1226">
        <v>-3.240387E-3</v>
      </c>
      <c r="AA1226">
        <v>0.99717750000000005</v>
      </c>
      <c r="AB1226">
        <v>24</v>
      </c>
      <c r="AC1226">
        <v>19.794699999999999</v>
      </c>
      <c r="AD1226">
        <v>-1.1206506827360001</v>
      </c>
      <c r="AE1226">
        <v>-1.20549999999997</v>
      </c>
      <c r="AF1226">
        <v>1.49597998191679</v>
      </c>
      <c r="AG1226">
        <v>-1.1206506827360001</v>
      </c>
      <c r="AH1226">
        <v>19.711562245777301</v>
      </c>
      <c r="AI1226">
        <v>93.244592212042093</v>
      </c>
      <c r="AJ1226">
        <v>85.659941112672897</v>
      </c>
      <c r="AK1226">
        <v>19.7999873794951</v>
      </c>
      <c r="AL1226">
        <v>80.075879700018803</v>
      </c>
      <c r="AM1226">
        <v>82.452705957181905</v>
      </c>
      <c r="AN1226">
        <v>1.00000002885098</v>
      </c>
    </row>
    <row r="1227" spans="1:40" x14ac:dyDescent="0.25">
      <c r="A1227" t="str">
        <f>"20190303162235293"</f>
        <v>20190303162235293</v>
      </c>
      <c r="B1227" t="str">
        <f>"1551601355285438"</f>
        <v>1551601355285438</v>
      </c>
      <c r="C1227" t="s">
        <v>40</v>
      </c>
      <c r="D1227">
        <v>5.6034920000000001</v>
      </c>
      <c r="E1227">
        <v>0.48044789999999998</v>
      </c>
      <c r="F1227" t="s">
        <v>41</v>
      </c>
      <c r="G1227">
        <v>-214.97399999999999</v>
      </c>
      <c r="H1227" s="1">
        <v>-2.662065E-6</v>
      </c>
      <c r="I1227">
        <v>366.66469999999998</v>
      </c>
      <c r="J1227">
        <v>-234.4992</v>
      </c>
      <c r="K1227">
        <v>1.1206590000000001</v>
      </c>
      <c r="L1227">
        <v>367.87790000000001</v>
      </c>
      <c r="M1227">
        <v>0.99980769999999997</v>
      </c>
      <c r="N1227">
        <v>-1.321372E-2</v>
      </c>
      <c r="O1227">
        <v>1.449723E-2</v>
      </c>
      <c r="P1227">
        <v>0.98042079999999998</v>
      </c>
      <c r="Q1227">
        <v>0.16007839999999901</v>
      </c>
      <c r="R1227">
        <v>-0.1146747</v>
      </c>
      <c r="S1227">
        <v>3.0660099999999999</v>
      </c>
      <c r="T1227">
        <v>-0.17401849999999999</v>
      </c>
      <c r="U1227">
        <v>-0.18795780000000001</v>
      </c>
      <c r="V1227">
        <v>0.1290104</v>
      </c>
      <c r="W1227">
        <v>0.1728971</v>
      </c>
      <c r="X1227">
        <v>0.9764543</v>
      </c>
      <c r="Y1227">
        <v>7.5490689999999999E-2</v>
      </c>
      <c r="Z1227">
        <v>-3.2685449999999999E-3</v>
      </c>
      <c r="AA1227">
        <v>0.9971411</v>
      </c>
      <c r="AB1227">
        <v>24</v>
      </c>
      <c r="AC1227">
        <v>19.525199999999899</v>
      </c>
      <c r="AD1227">
        <v>-1.1206616620649901</v>
      </c>
      <c r="AE1227">
        <v>-1.21320000000002</v>
      </c>
      <c r="AF1227">
        <v>1.4912647602706</v>
      </c>
      <c r="AG1227">
        <v>-1.1206616620649901</v>
      </c>
      <c r="AH1227">
        <v>19.441758242980502</v>
      </c>
      <c r="AI1227">
        <v>93.289351312963404</v>
      </c>
      <c r="AJ1227">
        <v>85.613761082874007</v>
      </c>
      <c r="AK1227">
        <v>19.531044947072001</v>
      </c>
      <c r="AL1227">
        <v>80.043694964233694</v>
      </c>
      <c r="AM1227">
        <v>82.473599490448905</v>
      </c>
      <c r="AN1227">
        <v>1.00000004524252</v>
      </c>
    </row>
    <row r="1228" spans="1:40" x14ac:dyDescent="0.25">
      <c r="A1228" t="str">
        <f>"20190303162235314"</f>
        <v>20190303162235314</v>
      </c>
      <c r="B1228" t="str">
        <f>"1551601355305934"</f>
        <v>1551601355305934</v>
      </c>
      <c r="C1228" t="s">
        <v>40</v>
      </c>
      <c r="D1228">
        <v>5.6703000000000001</v>
      </c>
      <c r="E1228">
        <v>0.48043330000000001</v>
      </c>
      <c r="F1228" t="s">
        <v>41</v>
      </c>
      <c r="G1228">
        <v>-214.76759999999999</v>
      </c>
      <c r="H1228" s="1">
        <v>-2.749045E-6</v>
      </c>
      <c r="I1228">
        <v>366.67349999999999</v>
      </c>
      <c r="J1228">
        <v>-234.2602</v>
      </c>
      <c r="K1228">
        <v>1.1206670000000001</v>
      </c>
      <c r="L1228">
        <v>367.88080000000002</v>
      </c>
      <c r="M1228">
        <v>0.99981330000000002</v>
      </c>
      <c r="N1228">
        <v>-1.3308850000000001E-2</v>
      </c>
      <c r="O1228">
        <v>1.4022450000000001E-2</v>
      </c>
      <c r="P1228">
        <v>0.98037490000000005</v>
      </c>
      <c r="Q1228">
        <v>0.15981919999999999</v>
      </c>
      <c r="R1228">
        <v>-0.1154258</v>
      </c>
      <c r="S1228">
        <v>3.0664370000000001</v>
      </c>
      <c r="T1228">
        <v>-0.17415820000000001</v>
      </c>
      <c r="U1228">
        <v>-0.18716430000000001</v>
      </c>
      <c r="V1228">
        <v>0.1292982</v>
      </c>
      <c r="W1228">
        <v>0.172728399999999</v>
      </c>
      <c r="X1228">
        <v>0.97644600000000004</v>
      </c>
      <c r="Y1228">
        <v>7.4753189999999997E-2</v>
      </c>
      <c r="Z1228">
        <v>-3.2263069999999999E-3</v>
      </c>
      <c r="AA1228">
        <v>0.99719690000000005</v>
      </c>
      <c r="AB1228">
        <v>24</v>
      </c>
      <c r="AC1228">
        <v>19.492599999999999</v>
      </c>
      <c r="AD1228">
        <v>-1.1206697490449999</v>
      </c>
      <c r="AE1228">
        <v>-1.20730000000003</v>
      </c>
      <c r="AF1228">
        <v>1.47568046230578</v>
      </c>
      <c r="AG1228">
        <v>-1.1206697490449999</v>
      </c>
      <c r="AH1228">
        <v>19.409841461046899</v>
      </c>
      <c r="AI1228">
        <v>93.294940937098204</v>
      </c>
      <c r="AJ1228">
        <v>85.652312759486506</v>
      </c>
      <c r="AK1228">
        <v>19.498089112942001</v>
      </c>
      <c r="AL1228">
        <v>80.0535075294828</v>
      </c>
      <c r="AM1228">
        <v>82.456939126164499</v>
      </c>
      <c r="AN1228">
        <v>0.99999995780289896</v>
      </c>
    </row>
    <row r="1229" spans="1:40" x14ac:dyDescent="0.25">
      <c r="A1229" t="str">
        <f>"20190303162235337"</f>
        <v>20190303162235337</v>
      </c>
      <c r="B1229" t="str">
        <f>"1551601355325453"</f>
        <v>1551601355325453</v>
      </c>
      <c r="C1229" t="s">
        <v>40</v>
      </c>
      <c r="D1229">
        <v>5.6603159999999999</v>
      </c>
      <c r="E1229">
        <v>0.48045349999999998</v>
      </c>
      <c r="F1229" t="s">
        <v>41</v>
      </c>
      <c r="G1229">
        <v>-214.83459999999999</v>
      </c>
      <c r="H1229" s="1">
        <v>-2.7189220000000001E-6</v>
      </c>
      <c r="I1229">
        <v>366.68130000000002</v>
      </c>
      <c r="J1229">
        <v>-234.02979999999999</v>
      </c>
      <c r="K1229">
        <v>1.1206719999999999</v>
      </c>
      <c r="L1229">
        <v>367.88350000000003</v>
      </c>
      <c r="M1229">
        <v>0.99981850000000005</v>
      </c>
      <c r="N1229">
        <v>-1.339678E-2</v>
      </c>
      <c r="O1229">
        <v>1.354841E-2</v>
      </c>
      <c r="P1229">
        <v>0.98032300000000006</v>
      </c>
      <c r="Q1229">
        <v>0.15977839999999999</v>
      </c>
      <c r="R1229">
        <v>-0.115922</v>
      </c>
      <c r="S1229">
        <v>3.066589</v>
      </c>
      <c r="T1229">
        <v>-0.17691209999999999</v>
      </c>
      <c r="U1229">
        <v>-0.18936159999999999</v>
      </c>
      <c r="V1229">
        <v>0.1293339</v>
      </c>
      <c r="W1229">
        <v>0.1727707</v>
      </c>
      <c r="X1229">
        <v>0.97643380000000002</v>
      </c>
      <c r="Y1229">
        <v>7.498428E-2</v>
      </c>
      <c r="Z1229">
        <v>-3.26144E-3</v>
      </c>
      <c r="AA1229">
        <v>0.99717940000000005</v>
      </c>
      <c r="AB1229">
        <v>24</v>
      </c>
      <c r="AC1229">
        <v>19.1952</v>
      </c>
      <c r="AD1229">
        <v>-1.1206747189220001</v>
      </c>
      <c r="AE1229">
        <v>-1.2021999999999999</v>
      </c>
      <c r="AF1229">
        <v>1.4572297282292099</v>
      </c>
      <c r="AG1229">
        <v>-1.1206747189220001</v>
      </c>
      <c r="AH1229">
        <v>19.112257337657201</v>
      </c>
      <c r="AI1229">
        <v>93.346088182755807</v>
      </c>
      <c r="AJ1229">
        <v>85.639872355359699</v>
      </c>
      <c r="AK1229">
        <v>19.200463818546101</v>
      </c>
      <c r="AL1229">
        <v>80.051047038425295</v>
      </c>
      <c r="AM1229">
        <v>82.454787247649506</v>
      </c>
      <c r="AN1229">
        <v>0.99999996912506905</v>
      </c>
    </row>
    <row r="1230" spans="1:40" x14ac:dyDescent="0.25">
      <c r="A1230" t="str">
        <f>"20190303162235358"</f>
        <v>20190303162235358</v>
      </c>
      <c r="B1230" t="str">
        <f>"1551601355345951"</f>
        <v>1551601355345951</v>
      </c>
      <c r="C1230" t="s">
        <v>40</v>
      </c>
      <c r="D1230">
        <v>5.6633269999999998</v>
      </c>
      <c r="E1230">
        <v>0.48049950000000002</v>
      </c>
      <c r="F1230" t="s">
        <v>41</v>
      </c>
      <c r="G1230">
        <v>-214.86600000000001</v>
      </c>
      <c r="H1230" s="1">
        <v>-2.7041160000000001E-6</v>
      </c>
      <c r="I1230">
        <v>366.68880000000001</v>
      </c>
      <c r="J1230">
        <v>-233.79159999999999</v>
      </c>
      <c r="K1230">
        <v>1.1206659999999999</v>
      </c>
      <c r="L1230">
        <v>367.8861</v>
      </c>
      <c r="M1230">
        <v>0.99982439999999995</v>
      </c>
      <c r="N1230">
        <v>-1.347336E-2</v>
      </c>
      <c r="O1230">
        <v>1.3033680000000001E-2</v>
      </c>
      <c r="P1230">
        <v>0.98021899999999995</v>
      </c>
      <c r="Q1230">
        <v>0.16014919999999999</v>
      </c>
      <c r="R1230">
        <v>-0.11628910000000001</v>
      </c>
      <c r="S1230">
        <v>3.0668329999999999</v>
      </c>
      <c r="T1230">
        <v>-0.17934369999999999</v>
      </c>
      <c r="U1230">
        <v>-0.19119259999999999</v>
      </c>
      <c r="V1230">
        <v>0.12920309999999999</v>
      </c>
      <c r="W1230">
        <v>0.1732108</v>
      </c>
      <c r="X1230">
        <v>0.97637320000000005</v>
      </c>
      <c r="Y1230">
        <v>7.5055090000000005E-2</v>
      </c>
      <c r="Z1230">
        <v>-3.2827709999999999E-3</v>
      </c>
      <c r="AA1230">
        <v>0.997174</v>
      </c>
      <c r="AB1230">
        <v>24</v>
      </c>
      <c r="AC1230">
        <v>18.925599999999999</v>
      </c>
      <c r="AD1230">
        <v>-1.1206687041159999</v>
      </c>
      <c r="AE1230">
        <v>-1.19729999999998</v>
      </c>
      <c r="AF1230">
        <v>1.43886580302434</v>
      </c>
      <c r="AG1230">
        <v>-1.1206687041159999</v>
      </c>
      <c r="AH1230">
        <v>18.842580193526199</v>
      </c>
      <c r="AI1230">
        <v>93.393818488365596</v>
      </c>
      <c r="AJ1230">
        <v>85.633227966643204</v>
      </c>
      <c r="AK1230">
        <v>18.930638169194498</v>
      </c>
      <c r="AL1230">
        <v>80.025445729833095</v>
      </c>
      <c r="AM1230">
        <v>82.461867750491095</v>
      </c>
      <c r="AN1230">
        <v>1.00000002398224</v>
      </c>
    </row>
    <row r="1231" spans="1:40" x14ac:dyDescent="0.25">
      <c r="A1231" t="str">
        <f>"20190303162235381"</f>
        <v>20190303162235381</v>
      </c>
      <c r="B1231" t="str">
        <f>"1551601355375230"</f>
        <v>1551601355375230</v>
      </c>
      <c r="C1231" t="s">
        <v>40</v>
      </c>
      <c r="D1231">
        <v>5.6671809999999896</v>
      </c>
      <c r="E1231">
        <v>0.48051880000000002</v>
      </c>
      <c r="F1231" t="s">
        <v>41</v>
      </c>
      <c r="G1231">
        <v>-214.7424</v>
      </c>
      <c r="H1231" s="1">
        <v>-2.7577159999999999E-6</v>
      </c>
      <c r="I1231">
        <v>366.68549999999999</v>
      </c>
      <c r="J1231">
        <v>-233.55179999999999</v>
      </c>
      <c r="K1231">
        <v>1.120644</v>
      </c>
      <c r="L1231">
        <v>367.8886</v>
      </c>
      <c r="M1231">
        <v>0.99983049999999996</v>
      </c>
      <c r="N1231">
        <v>-1.3530459999999999E-2</v>
      </c>
      <c r="O1231">
        <v>1.2484769999999999E-2</v>
      </c>
      <c r="P1231">
        <v>0.98016420000000004</v>
      </c>
      <c r="Q1231">
        <v>0.160487299999999</v>
      </c>
      <c r="R1231">
        <v>-0.1162845</v>
      </c>
      <c r="S1231">
        <v>3.0671080000000002</v>
      </c>
      <c r="T1231">
        <v>-0.18043819999999999</v>
      </c>
      <c r="U1231">
        <v>-0.19329830000000001</v>
      </c>
      <c r="V1231">
        <v>0.12867049999999999</v>
      </c>
      <c r="W1231">
        <v>0.17359769999999999</v>
      </c>
      <c r="X1231">
        <v>0.97637479999999999</v>
      </c>
      <c r="Y1231">
        <v>7.5182310000000002E-2</v>
      </c>
      <c r="Z1231">
        <v>-3.2816249999999998E-3</v>
      </c>
      <c r="AA1231">
        <v>0.99716439999999995</v>
      </c>
      <c r="AB1231">
        <v>24</v>
      </c>
      <c r="AC1231">
        <v>18.809399999999901</v>
      </c>
      <c r="AD1231">
        <v>-1.120646757716</v>
      </c>
      <c r="AE1231">
        <v>-1.2031000000000001</v>
      </c>
      <c r="AF1231">
        <v>1.43279353392443</v>
      </c>
      <c r="AG1231">
        <v>-1.120646757716</v>
      </c>
      <c r="AH1231">
        <v>18.726709238159799</v>
      </c>
      <c r="AI1231">
        <v>93.4146630118411</v>
      </c>
      <c r="AJ1231">
        <v>85.624784156500795</v>
      </c>
      <c r="AK1231">
        <v>18.814844813524701</v>
      </c>
      <c r="AL1231">
        <v>80.0029368060992</v>
      </c>
      <c r="AM1231">
        <v>82.492598380145907</v>
      </c>
      <c r="AN1231">
        <v>1.0000000045452899</v>
      </c>
    </row>
    <row r="1232" spans="1:40" x14ac:dyDescent="0.25">
      <c r="A1232" t="str">
        <f>"20190303162235393"</f>
        <v>20190303162235393</v>
      </c>
      <c r="B1232" t="str">
        <f>"1551601355385966"</f>
        <v>1551601355385966</v>
      </c>
      <c r="C1232" t="s">
        <v>40</v>
      </c>
      <c r="D1232">
        <v>5.6663059999999996</v>
      </c>
      <c r="E1232">
        <v>0.48048610000000003</v>
      </c>
      <c r="F1232" t="s">
        <v>41</v>
      </c>
      <c r="G1232">
        <v>-214.7465</v>
      </c>
      <c r="H1232" s="1">
        <v>-2.7531890000000001E-6</v>
      </c>
      <c r="I1232">
        <v>366.70100000000002</v>
      </c>
      <c r="J1232">
        <v>-233.41900000000001</v>
      </c>
      <c r="K1232">
        <v>1.12063</v>
      </c>
      <c r="L1232">
        <v>367.88990000000001</v>
      </c>
      <c r="M1232">
        <v>0.99983420000000001</v>
      </c>
      <c r="N1232">
        <v>-1.355289E-2</v>
      </c>
      <c r="O1232">
        <v>1.2161170000000001E-2</v>
      </c>
      <c r="P1232">
        <v>0.98016899999999996</v>
      </c>
      <c r="Q1232">
        <v>0.16032349999999901</v>
      </c>
      <c r="R1232">
        <v>-0.1164705</v>
      </c>
      <c r="S1232">
        <v>3.0676570000000001</v>
      </c>
      <c r="T1232">
        <v>-0.18280779999999999</v>
      </c>
      <c r="U1232">
        <v>-0.1937256</v>
      </c>
      <c r="V1232">
        <v>0.12854599999999999</v>
      </c>
      <c r="W1232">
        <v>0.1734521</v>
      </c>
      <c r="X1232">
        <v>0.97641710000000004</v>
      </c>
      <c r="Y1232">
        <v>7.4983250000000001E-2</v>
      </c>
      <c r="Z1232">
        <v>-3.2980710000000001E-3</v>
      </c>
      <c r="AA1232">
        <v>0.99717929999999999</v>
      </c>
      <c r="AB1232">
        <v>24</v>
      </c>
      <c r="AC1232">
        <v>18.672499999999999</v>
      </c>
      <c r="AD1232">
        <v>-1.1206327531889999</v>
      </c>
      <c r="AE1232">
        <v>-1.18890000000004</v>
      </c>
      <c r="AF1232">
        <v>1.4108512587539399</v>
      </c>
      <c r="AG1232">
        <v>-1.1206327531889999</v>
      </c>
      <c r="AH1232">
        <v>18.589971844685401</v>
      </c>
      <c r="AI1232">
        <v>93.439836938574302</v>
      </c>
      <c r="AJ1232">
        <v>85.659963396442706</v>
      </c>
      <c r="AK1232">
        <v>18.677081469759798</v>
      </c>
      <c r="AL1232">
        <v>80.011407825754503</v>
      </c>
      <c r="AM1232">
        <v>82.500100934172494</v>
      </c>
      <c r="AN1232">
        <v>1.0000000291414</v>
      </c>
    </row>
    <row r="1233" spans="1:40" x14ac:dyDescent="0.25">
      <c r="A1233" t="str">
        <f>"20190303162235407"</f>
        <v>20190303162235407</v>
      </c>
      <c r="B1233" t="str">
        <f>"1551601355395726"</f>
        <v>1551601355395726</v>
      </c>
      <c r="C1233" t="s">
        <v>40</v>
      </c>
      <c r="D1233">
        <v>5.6133600000000001</v>
      </c>
      <c r="E1233">
        <v>0.4804467</v>
      </c>
      <c r="F1233" t="s">
        <v>41</v>
      </c>
      <c r="G1233">
        <v>-214.85290000000001</v>
      </c>
      <c r="H1233" s="1">
        <v>-2.7052259999999998E-6</v>
      </c>
      <c r="I1233">
        <v>366.71420000000001</v>
      </c>
      <c r="J1233">
        <v>-233.27510000000001</v>
      </c>
      <c r="K1233">
        <v>1.1206160000000001</v>
      </c>
      <c r="L1233">
        <v>367.8913</v>
      </c>
      <c r="M1233">
        <v>0.99983820000000001</v>
      </c>
      <c r="N1233">
        <v>-1.357334E-2</v>
      </c>
      <c r="O1233">
        <v>1.1800130000000001E-2</v>
      </c>
      <c r="P1233">
        <v>0.98017290000000001</v>
      </c>
      <c r="Q1233">
        <v>0.1605145</v>
      </c>
      <c r="R1233">
        <v>-0.1161732</v>
      </c>
      <c r="S1233">
        <v>3.067917</v>
      </c>
      <c r="T1233">
        <v>-0.18517539999999999</v>
      </c>
      <c r="U1233">
        <v>-0.1942749</v>
      </c>
      <c r="V1233">
        <v>0.12790290000000001</v>
      </c>
      <c r="W1233">
        <v>0.1736588</v>
      </c>
      <c r="X1233">
        <v>0.97646480000000002</v>
      </c>
      <c r="Y1233">
        <v>7.4792230000000001E-2</v>
      </c>
      <c r="Z1233">
        <v>-3.3126100000000001E-3</v>
      </c>
      <c r="AA1233">
        <v>0.99719360000000001</v>
      </c>
      <c r="AB1233">
        <v>24</v>
      </c>
      <c r="AC1233">
        <v>18.4222</v>
      </c>
      <c r="AD1233">
        <v>-1.1206187052259999</v>
      </c>
      <c r="AE1233">
        <v>-1.17709999999999</v>
      </c>
      <c r="AF1233">
        <v>1.38930253963815</v>
      </c>
      <c r="AG1233">
        <v>-1.1206187052259999</v>
      </c>
      <c r="AH1233">
        <v>18.339441070392599</v>
      </c>
      <c r="AI1233">
        <v>93.486705235871895</v>
      </c>
      <c r="AJ1233">
        <v>85.667838404092393</v>
      </c>
      <c r="AK1233">
        <v>18.426096890105299</v>
      </c>
      <c r="AL1233">
        <v>79.999382178994594</v>
      </c>
      <c r="AM1233">
        <v>82.537558488942096</v>
      </c>
      <c r="AN1233">
        <v>1.00000001814244</v>
      </c>
    </row>
    <row r="1234" spans="1:40" x14ac:dyDescent="0.25">
      <c r="A1234" t="str">
        <f>"20190303162235421"</f>
        <v>20190303162235421</v>
      </c>
      <c r="B1234" t="str">
        <f>"1551601355415247"</f>
        <v>1551601355415247</v>
      </c>
      <c r="C1234" t="s">
        <v>40</v>
      </c>
      <c r="D1234">
        <v>5.6060290000000004</v>
      </c>
      <c r="E1234">
        <v>0.4804081</v>
      </c>
      <c r="F1234" t="s">
        <v>41</v>
      </c>
      <c r="G1234">
        <v>-214.74449999999999</v>
      </c>
      <c r="H1234" s="1">
        <v>-2.7492829999999998E-6</v>
      </c>
      <c r="I1234">
        <v>366.72789999999998</v>
      </c>
      <c r="J1234">
        <v>-233.12710000000001</v>
      </c>
      <c r="K1234">
        <v>1.1205959999999999</v>
      </c>
      <c r="L1234">
        <v>367.89260000000002</v>
      </c>
      <c r="M1234">
        <v>0.99984269999999997</v>
      </c>
      <c r="N1234">
        <v>-1.358879E-2</v>
      </c>
      <c r="O1234">
        <v>1.1413049999999999E-2</v>
      </c>
      <c r="P1234">
        <v>0.98014920000000005</v>
      </c>
      <c r="Q1234">
        <v>0.160539299999999</v>
      </c>
      <c r="R1234">
        <v>-0.1163402</v>
      </c>
      <c r="S1234">
        <v>3.068222</v>
      </c>
      <c r="T1234">
        <v>-0.18554709999999999</v>
      </c>
      <c r="U1234">
        <v>-0.19262699999999999</v>
      </c>
      <c r="V1234">
        <v>0.1276986</v>
      </c>
      <c r="W1234">
        <v>0.1736935</v>
      </c>
      <c r="X1234">
        <v>0.9764853</v>
      </c>
      <c r="Y1234">
        <v>7.3868240000000002E-2</v>
      </c>
      <c r="Z1234">
        <v>-3.2663979999999998E-3</v>
      </c>
      <c r="AA1234">
        <v>0.99726269999999995</v>
      </c>
      <c r="AB1234">
        <v>24</v>
      </c>
      <c r="AC1234">
        <v>18.3826</v>
      </c>
      <c r="AD1234">
        <v>-1.1205987492830001</v>
      </c>
      <c r="AE1234">
        <v>-1.16470000000003</v>
      </c>
      <c r="AF1234">
        <v>1.3693766161111001</v>
      </c>
      <c r="AG1234">
        <v>-1.1205987492830001</v>
      </c>
      <c r="AH1234">
        <v>18.3003745399933</v>
      </c>
      <c r="AI1234">
        <v>93.494309882556095</v>
      </c>
      <c r="AJ1234">
        <v>85.720658409305997</v>
      </c>
      <c r="AK1234">
        <v>18.385718429739999</v>
      </c>
      <c r="AL1234">
        <v>79.997362673921103</v>
      </c>
      <c r="AM1234">
        <v>82.549498919308206</v>
      </c>
      <c r="AN1234">
        <v>0.99999995275014797</v>
      </c>
    </row>
    <row r="1235" spans="1:40" x14ac:dyDescent="0.25">
      <c r="A1235" t="str">
        <f>"20190303162235437"</f>
        <v>20190303162235437</v>
      </c>
      <c r="B1235" t="str">
        <f>"1551601355425982"</f>
        <v>1551601355425982</v>
      </c>
      <c r="C1235" t="s">
        <v>40</v>
      </c>
      <c r="D1235">
        <v>5.6672529999999997</v>
      </c>
      <c r="E1235">
        <v>0.48037419999999997</v>
      </c>
      <c r="F1235" t="s">
        <v>41</v>
      </c>
      <c r="G1235">
        <v>-214.7946</v>
      </c>
      <c r="H1235" s="1">
        <v>-2.7248990000000001E-6</v>
      </c>
      <c r="I1235">
        <v>366.74439999999998</v>
      </c>
      <c r="J1235">
        <v>-232.9571</v>
      </c>
      <c r="K1235">
        <v>1.1205780000000001</v>
      </c>
      <c r="L1235">
        <v>367.89400000000001</v>
      </c>
      <c r="M1235">
        <v>0.99984770000000001</v>
      </c>
      <c r="N1235">
        <v>-1.359935E-2</v>
      </c>
      <c r="O1235">
        <v>1.094491E-2</v>
      </c>
      <c r="P1235">
        <v>0.98006409999999999</v>
      </c>
      <c r="Q1235">
        <v>0.16076460000000001</v>
      </c>
      <c r="R1235">
        <v>-0.11674470000000001</v>
      </c>
      <c r="S1235">
        <v>3.0686650000000002</v>
      </c>
      <c r="T1235">
        <v>-0.18757499999999999</v>
      </c>
      <c r="U1235">
        <v>-0.1921997</v>
      </c>
      <c r="V1235">
        <v>0.12765280000000001</v>
      </c>
      <c r="W1235">
        <v>0.17392270000000001</v>
      </c>
      <c r="X1235">
        <v>0.97645059999999995</v>
      </c>
      <c r="Y1235">
        <v>7.3252330000000004E-2</v>
      </c>
      <c r="Z1235">
        <v>-3.2529080000000001E-3</v>
      </c>
      <c r="AA1235">
        <v>0.99730810000000003</v>
      </c>
      <c r="AB1235">
        <v>24</v>
      </c>
      <c r="AC1235">
        <v>18.162499999999898</v>
      </c>
      <c r="AD1235">
        <v>-1.1205807248989901</v>
      </c>
      <c r="AE1235">
        <v>-1.1496000000000199</v>
      </c>
      <c r="AF1235">
        <v>1.3432436639013301</v>
      </c>
      <c r="AG1235">
        <v>-1.1205807248989901</v>
      </c>
      <c r="AH1235">
        <v>18.080279070032901</v>
      </c>
      <c r="AI1235">
        <v>93.536822678783494</v>
      </c>
      <c r="AJ1235">
        <v>85.751113016011502</v>
      </c>
      <c r="AK1235">
        <v>18.164704675603701</v>
      </c>
      <c r="AL1235">
        <v>79.984028584256905</v>
      </c>
      <c r="AM1235">
        <v>82.551879386432503</v>
      </c>
      <c r="AN1235">
        <v>1.0000000585817399</v>
      </c>
    </row>
    <row r="1236" spans="1:40" x14ac:dyDescent="0.25">
      <c r="A1236" t="str">
        <f>"20190303162235460"</f>
        <v>20190303162235460</v>
      </c>
      <c r="B1236" t="str">
        <f>"1551601355445502"</f>
        <v>1551601355445502</v>
      </c>
      <c r="C1236" t="s">
        <v>40</v>
      </c>
      <c r="D1236">
        <v>5.6064360000000004</v>
      </c>
      <c r="E1236">
        <v>0.48040490000000002</v>
      </c>
      <c r="F1236" t="s">
        <v>41</v>
      </c>
      <c r="G1236">
        <v>-214.5924</v>
      </c>
      <c r="H1236" s="1">
        <v>-2.8122400000000002E-6</v>
      </c>
      <c r="I1236">
        <v>366.74079999999998</v>
      </c>
      <c r="J1236">
        <v>-232.71610000000001</v>
      </c>
      <c r="K1236">
        <v>1.1205480000000001</v>
      </c>
      <c r="L1236">
        <v>367.89580000000001</v>
      </c>
      <c r="M1236">
        <v>0.99985489999999999</v>
      </c>
      <c r="N1236">
        <v>-1.3607579999999999E-2</v>
      </c>
      <c r="O1236">
        <v>1.0250199999999999E-2</v>
      </c>
      <c r="P1236">
        <v>0.97998680000000005</v>
      </c>
      <c r="Q1236">
        <v>0.16005549999999999</v>
      </c>
      <c r="R1236">
        <v>-0.118357</v>
      </c>
      <c r="S1236">
        <v>3.0688170000000001</v>
      </c>
      <c r="T1236">
        <v>-0.187253</v>
      </c>
      <c r="U1236">
        <v>-0.192688</v>
      </c>
      <c r="V1236">
        <v>0.1285944</v>
      </c>
      <c r="W1236">
        <v>0.17321220000000001</v>
      </c>
      <c r="X1236">
        <v>0.97645329999999997</v>
      </c>
      <c r="Y1236">
        <v>7.2716909999999996E-2</v>
      </c>
      <c r="Z1236">
        <v>-3.1951589999999999E-3</v>
      </c>
      <c r="AA1236">
        <v>0.99734750000000005</v>
      </c>
      <c r="AB1236">
        <v>24</v>
      </c>
      <c r="AC1236">
        <v>18.123699999999999</v>
      </c>
      <c r="AD1236">
        <v>-1.1205508122400001</v>
      </c>
      <c r="AE1236">
        <v>-1.15500000000002</v>
      </c>
      <c r="AF1236">
        <v>1.3356429575053099</v>
      </c>
      <c r="AG1236">
        <v>-1.1205508122400001</v>
      </c>
      <c r="AH1236">
        <v>18.042216752437199</v>
      </c>
      <c r="AI1236">
        <v>93.544239656990399</v>
      </c>
      <c r="AJ1236">
        <v>85.766187271889905</v>
      </c>
      <c r="AK1236">
        <v>18.1262561378424</v>
      </c>
      <c r="AL1236">
        <v>80.025364209382104</v>
      </c>
      <c r="AM1236">
        <v>82.497584222650005</v>
      </c>
      <c r="AN1236">
        <v>1.00000001651054</v>
      </c>
    </row>
    <row r="1237" spans="1:40" x14ac:dyDescent="0.25">
      <c r="A1237" t="str">
        <f>"20190303162235484"</f>
        <v>20190303162235484</v>
      </c>
      <c r="B1237" t="str">
        <f>"1551601355475758"</f>
        <v>1551601355475758</v>
      </c>
      <c r="C1237" t="s">
        <v>40</v>
      </c>
      <c r="D1237">
        <v>5.6099809999999897</v>
      </c>
      <c r="E1237">
        <v>0.4804929</v>
      </c>
      <c r="F1237" t="s">
        <v>41</v>
      </c>
      <c r="G1237">
        <v>-214.71420000000001</v>
      </c>
      <c r="H1237" s="1">
        <v>-2.761487E-6</v>
      </c>
      <c r="I1237">
        <v>366.73239999999998</v>
      </c>
      <c r="J1237">
        <v>-232.46680000000001</v>
      </c>
      <c r="K1237">
        <v>1.120517</v>
      </c>
      <c r="L1237">
        <v>367.89749999999998</v>
      </c>
      <c r="M1237">
        <v>0.99986240000000004</v>
      </c>
      <c r="N1237">
        <v>-1.3606180000000001E-2</v>
      </c>
      <c r="O1237">
        <v>9.4934800000000003E-3</v>
      </c>
      <c r="P1237">
        <v>0.97989210000000004</v>
      </c>
      <c r="Q1237">
        <v>0.1593522</v>
      </c>
      <c r="R1237">
        <v>-0.120077</v>
      </c>
      <c r="S1237">
        <v>3.068527</v>
      </c>
      <c r="T1237">
        <v>-0.1910036</v>
      </c>
      <c r="U1237">
        <v>-0.19830320000000001</v>
      </c>
      <c r="V1237">
        <v>0.12958069999999999</v>
      </c>
      <c r="W1237">
        <v>0.17249970000000001</v>
      </c>
      <c r="X1237">
        <v>0.97644900000000001</v>
      </c>
      <c r="Y1237">
        <v>7.3777430000000005E-2</v>
      </c>
      <c r="Z1237">
        <v>-3.2554720000000001E-3</v>
      </c>
      <c r="AA1237">
        <v>0.99726939999999997</v>
      </c>
      <c r="AB1237">
        <v>24</v>
      </c>
      <c r="AC1237">
        <v>17.752600000000001</v>
      </c>
      <c r="AD1237">
        <v>-1.1205197614869999</v>
      </c>
      <c r="AE1237">
        <v>-1.16509999999999</v>
      </c>
      <c r="AF1237">
        <v>1.3283277255149599</v>
      </c>
      <c r="AG1237">
        <v>-1.1205197614869999</v>
      </c>
      <c r="AH1237">
        <v>17.670640749933401</v>
      </c>
      <c r="AI1237">
        <v>93.618165565096604</v>
      </c>
      <c r="AJ1237">
        <v>85.701078259871906</v>
      </c>
      <c r="AK1237">
        <v>17.755888138740399</v>
      </c>
      <c r="AL1237">
        <v>80.066810954723806</v>
      </c>
      <c r="AM1237">
        <v>82.440671844495199</v>
      </c>
      <c r="AN1237">
        <v>0.99999997695678899</v>
      </c>
    </row>
    <row r="1238" spans="1:40" x14ac:dyDescent="0.25">
      <c r="A1238" t="str">
        <f>"20190303162235505"</f>
        <v>20190303162235505</v>
      </c>
      <c r="B1238" t="str">
        <f>"1551601355495278"</f>
        <v>1551601355495278</v>
      </c>
      <c r="C1238" t="s">
        <v>40</v>
      </c>
      <c r="D1238">
        <v>5.5512540000000001</v>
      </c>
      <c r="E1238">
        <v>0.48062949999999999</v>
      </c>
      <c r="F1238" t="s">
        <v>41</v>
      </c>
      <c r="G1238">
        <v>-214.8184</v>
      </c>
      <c r="H1238" s="1">
        <v>-2.718157E-6</v>
      </c>
      <c r="I1238">
        <v>366.72469999999998</v>
      </c>
      <c r="J1238">
        <v>-232.24789999999999</v>
      </c>
      <c r="K1238">
        <v>1.120493</v>
      </c>
      <c r="L1238">
        <v>367.89870000000002</v>
      </c>
      <c r="M1238">
        <v>0.9998688</v>
      </c>
      <c r="N1238">
        <v>-1.3597299999999901E-2</v>
      </c>
      <c r="O1238">
        <v>8.8036690000000001E-3</v>
      </c>
      <c r="P1238">
        <v>0.97959010000000002</v>
      </c>
      <c r="Q1238">
        <v>0.15936120000000001</v>
      </c>
      <c r="R1238">
        <v>-0.12250519999999999</v>
      </c>
      <c r="S1238">
        <v>3.0682529999999999</v>
      </c>
      <c r="T1238">
        <v>-0.1948067</v>
      </c>
      <c r="U1238">
        <v>-0.20388790000000001</v>
      </c>
      <c r="V1238">
        <v>0.13133599999999901</v>
      </c>
      <c r="W1238">
        <v>0.1724908</v>
      </c>
      <c r="X1238">
        <v>0.97621610000000003</v>
      </c>
      <c r="Y1238">
        <v>7.4893749999999995E-2</v>
      </c>
      <c r="Z1238">
        <v>-3.3212609999999998E-3</v>
      </c>
      <c r="AA1238">
        <v>0.99718600000000002</v>
      </c>
      <c r="AB1238">
        <v>24</v>
      </c>
      <c r="AC1238">
        <v>17.429499999999901</v>
      </c>
      <c r="AD1238">
        <v>-1.1204957181570001</v>
      </c>
      <c r="AE1238">
        <v>-1.1740000000000299</v>
      </c>
      <c r="AF1238">
        <v>1.3219733774142499</v>
      </c>
      <c r="AG1238">
        <v>-1.1204957181570001</v>
      </c>
      <c r="AH1238">
        <v>17.347118579104698</v>
      </c>
      <c r="AI1238">
        <v>93.685094444328698</v>
      </c>
      <c r="AJ1238">
        <v>85.642078750230397</v>
      </c>
      <c r="AK1238">
        <v>17.433463432792699</v>
      </c>
      <c r="AL1238">
        <v>80.067329354387198</v>
      </c>
      <c r="AM1238">
        <v>82.337675294248896</v>
      </c>
      <c r="AN1238">
        <v>1.00000004743992</v>
      </c>
    </row>
    <row r="1239" spans="1:40" x14ac:dyDescent="0.25">
      <c r="A1239" t="str">
        <f>"20190303162235528"</f>
        <v>20190303162235528</v>
      </c>
      <c r="B1239" t="str">
        <f>"1551601355515774"</f>
        <v>1551601355515774</v>
      </c>
      <c r="C1239" t="s">
        <v>40</v>
      </c>
      <c r="D1239">
        <v>5.6090200000000001</v>
      </c>
      <c r="E1239">
        <v>0.48067270000000001</v>
      </c>
      <c r="F1239" t="s">
        <v>41</v>
      </c>
      <c r="G1239">
        <v>-214.6146</v>
      </c>
      <c r="H1239" s="1">
        <v>-2.8130450000000002E-6</v>
      </c>
      <c r="I1239">
        <v>366.68270000000001</v>
      </c>
      <c r="J1239">
        <v>-232.0076</v>
      </c>
      <c r="K1239">
        <v>1.1204809999999901</v>
      </c>
      <c r="L1239">
        <v>367.8999</v>
      </c>
      <c r="M1239">
        <v>0.99987559999999998</v>
      </c>
      <c r="N1239">
        <v>-1.3583120000000001E-2</v>
      </c>
      <c r="O1239">
        <v>8.0309549999999993E-3</v>
      </c>
      <c r="P1239">
        <v>0.97920309999999999</v>
      </c>
      <c r="Q1239">
        <v>0.15940179999999901</v>
      </c>
      <c r="R1239">
        <v>-0.12550989999999901</v>
      </c>
      <c r="S1239">
        <v>3.0677490000000001</v>
      </c>
      <c r="T1239">
        <v>-0.19493679999999999</v>
      </c>
      <c r="U1239">
        <v>-0.21154790000000001</v>
      </c>
      <c r="V1239">
        <v>0.1335848</v>
      </c>
      <c r="W1239">
        <v>0.17250770000000001</v>
      </c>
      <c r="X1239">
        <v>0.97590790000000005</v>
      </c>
      <c r="Y1239">
        <v>7.6608889999999999E-2</v>
      </c>
      <c r="Z1239">
        <v>-3.350619E-3</v>
      </c>
      <c r="AA1239">
        <v>0.99705560000000004</v>
      </c>
      <c r="AB1239">
        <v>24</v>
      </c>
      <c r="AC1239">
        <v>17.393000000000001</v>
      </c>
      <c r="AD1239">
        <v>-1.1204838130450001</v>
      </c>
      <c r="AE1239">
        <v>-1.2171999999999901</v>
      </c>
      <c r="AF1239">
        <v>1.35127536932568</v>
      </c>
      <c r="AG1239">
        <v>-1.1204838130450001</v>
      </c>
      <c r="AH1239">
        <v>17.311169274546199</v>
      </c>
      <c r="AI1239">
        <v>93.692164245407298</v>
      </c>
      <c r="AJ1239">
        <v>85.536656099049296</v>
      </c>
      <c r="AK1239">
        <v>17.399942837579498</v>
      </c>
      <c r="AL1239">
        <v>80.066346017454507</v>
      </c>
      <c r="AM1239">
        <v>82.205645022492305</v>
      </c>
      <c r="AN1239">
        <v>1.0000000173163699</v>
      </c>
    </row>
    <row r="1240" spans="1:40" x14ac:dyDescent="0.25">
      <c r="A1240" t="str">
        <f>"20190303162235549"</f>
        <v>20190303162235549</v>
      </c>
      <c r="B1240" t="str">
        <f>"1551601355535294"</f>
        <v>1551601355535294</v>
      </c>
      <c r="C1240" t="s">
        <v>40</v>
      </c>
      <c r="D1240">
        <v>5.5462980000000002</v>
      </c>
      <c r="E1240">
        <v>0.48070370000000001</v>
      </c>
      <c r="F1240" t="s">
        <v>41</v>
      </c>
      <c r="G1240">
        <v>-214.38589999999999</v>
      </c>
      <c r="H1240" s="1">
        <v>-2.920014E-6</v>
      </c>
      <c r="I1240">
        <v>366.63260000000002</v>
      </c>
      <c r="J1240">
        <v>-231.7774</v>
      </c>
      <c r="K1240">
        <v>1.1204750000000001</v>
      </c>
      <c r="L1240">
        <v>367.90089999999998</v>
      </c>
      <c r="M1240">
        <v>0.99988160000000004</v>
      </c>
      <c r="N1240">
        <v>-1.356709E-2</v>
      </c>
      <c r="O1240">
        <v>7.2842760000000001E-3</v>
      </c>
      <c r="P1240">
        <v>0.97873180000000004</v>
      </c>
      <c r="Q1240">
        <v>0.15982729999999901</v>
      </c>
      <c r="R1240">
        <v>-0.12860659999999999</v>
      </c>
      <c r="S1240">
        <v>3.067215</v>
      </c>
      <c r="T1240">
        <v>-0.19503000000000001</v>
      </c>
      <c r="U1240">
        <v>-0.2205811</v>
      </c>
      <c r="V1240">
        <v>0.13594890000000001</v>
      </c>
      <c r="W1240">
        <v>0.1729088</v>
      </c>
      <c r="X1240">
        <v>0.9755104</v>
      </c>
      <c r="Y1240">
        <v>7.87934E-2</v>
      </c>
      <c r="Z1240">
        <v>-3.3986910000000001E-3</v>
      </c>
      <c r="AA1240">
        <v>0.99688520000000003</v>
      </c>
      <c r="AB1240">
        <v>24</v>
      </c>
      <c r="AC1240">
        <v>17.391500000000001</v>
      </c>
      <c r="AD1240">
        <v>-1.120477920014</v>
      </c>
      <c r="AE1240">
        <v>-1.26829999999995</v>
      </c>
      <c r="AF1240">
        <v>1.3892265641155299</v>
      </c>
      <c r="AG1240">
        <v>-1.120477920014</v>
      </c>
      <c r="AH1240">
        <v>17.310327291263299</v>
      </c>
      <c r="AI1240">
        <v>93.691687905411399</v>
      </c>
      <c r="AJ1240">
        <v>85.411606751805806</v>
      </c>
      <c r="AK1240">
        <v>17.402093326561001</v>
      </c>
      <c r="AL1240">
        <v>80.043014385815894</v>
      </c>
      <c r="AM1240">
        <v>82.0662551417375</v>
      </c>
      <c r="AN1240">
        <v>1.0000000485184</v>
      </c>
    </row>
    <row r="1241" spans="1:40" x14ac:dyDescent="0.25">
      <c r="A1241" t="str">
        <f>"20190303162235571"</f>
        <v>20190303162235571</v>
      </c>
      <c r="B1241" t="str">
        <f>"1551601355565550"</f>
        <v>1551601355565550</v>
      </c>
      <c r="C1241" t="s">
        <v>40</v>
      </c>
      <c r="D1241">
        <v>5.4880040000000001</v>
      </c>
      <c r="E1241">
        <v>0.48073510000000003</v>
      </c>
      <c r="F1241" t="s">
        <v>41</v>
      </c>
      <c r="G1241">
        <v>-214.04900000000001</v>
      </c>
      <c r="H1241" s="1">
        <v>-3.0755699999999998E-6</v>
      </c>
      <c r="I1241">
        <v>366.57049999999998</v>
      </c>
      <c r="J1241">
        <v>-231.5487</v>
      </c>
      <c r="K1241">
        <v>1.1204809999999901</v>
      </c>
      <c r="L1241">
        <v>367.90159999999997</v>
      </c>
      <c r="M1241">
        <v>0.99988699999999997</v>
      </c>
      <c r="N1241">
        <v>-1.35467E-2</v>
      </c>
      <c r="O1241">
        <v>6.5409099999999996E-3</v>
      </c>
      <c r="P1241">
        <v>0.97825289999999998</v>
      </c>
      <c r="Q1241">
        <v>0.160892799999999</v>
      </c>
      <c r="R1241">
        <v>-0.13090109999999999</v>
      </c>
      <c r="S1241">
        <v>3.0666199999999999</v>
      </c>
      <c r="T1241">
        <v>-0.1938175</v>
      </c>
      <c r="U1241">
        <v>-0.23013310000000001</v>
      </c>
      <c r="V1241">
        <v>0.1375141</v>
      </c>
      <c r="W1241">
        <v>0.17394709999999999</v>
      </c>
      <c r="X1241">
        <v>0.97510629999999998</v>
      </c>
      <c r="Y1241">
        <v>8.1151879999999996E-2</v>
      </c>
      <c r="Z1241">
        <v>-3.4335009999999998E-3</v>
      </c>
      <c r="AA1241">
        <v>0.99669580000000002</v>
      </c>
      <c r="AB1241">
        <v>24</v>
      </c>
      <c r="AC1241">
        <v>17.499699999999901</v>
      </c>
      <c r="AD1241">
        <v>-1.1204840755699901</v>
      </c>
      <c r="AE1241">
        <v>-1.33109999999999</v>
      </c>
      <c r="AF1241">
        <v>1.4396777008259201</v>
      </c>
      <c r="AG1241">
        <v>-1.1204840755699901</v>
      </c>
      <c r="AH1241">
        <v>17.41961410919</v>
      </c>
      <c r="AI1241">
        <v>93.667902365680405</v>
      </c>
      <c r="AJ1241">
        <v>85.275417070154603</v>
      </c>
      <c r="AK1241">
        <v>17.514882590498701</v>
      </c>
      <c r="AL1241">
        <v>79.9826084238709</v>
      </c>
      <c r="AM1241">
        <v>81.972813823951</v>
      </c>
      <c r="AN1241">
        <v>1.00000000879845</v>
      </c>
    </row>
    <row r="1242" spans="1:40" x14ac:dyDescent="0.25">
      <c r="A1242" t="str">
        <f>"20190303162235593"</f>
        <v>20190303162235593</v>
      </c>
      <c r="B1242" t="str">
        <f>"1551601355586046"</f>
        <v>1551601355586046</v>
      </c>
      <c r="C1242" t="s">
        <v>40</v>
      </c>
      <c r="D1242">
        <v>5.5558769999999997</v>
      </c>
      <c r="E1242">
        <v>0.48072870000000001</v>
      </c>
      <c r="F1242" t="s">
        <v>41</v>
      </c>
      <c r="G1242">
        <v>-213.53829999999999</v>
      </c>
      <c r="H1242" s="1">
        <v>-3.3063349999999999E-6</v>
      </c>
      <c r="I1242">
        <v>366.50470000000001</v>
      </c>
      <c r="J1242">
        <v>-231.31620000000001</v>
      </c>
      <c r="K1242">
        <v>1.120485</v>
      </c>
      <c r="L1242">
        <v>367.90230000000003</v>
      </c>
      <c r="M1242">
        <v>0.99989189999999994</v>
      </c>
      <c r="N1242">
        <v>-1.352216E-2</v>
      </c>
      <c r="O1242">
        <v>5.7872419999999997E-3</v>
      </c>
      <c r="P1242">
        <v>0.9778966</v>
      </c>
      <c r="Q1242">
        <v>0.16149669999999999</v>
      </c>
      <c r="R1242">
        <v>-0.13280620000000001</v>
      </c>
      <c r="S1242">
        <v>3.0662539999999998</v>
      </c>
      <c r="T1242">
        <v>-0.19076119999999999</v>
      </c>
      <c r="U1242">
        <v>-0.23782349999999999</v>
      </c>
      <c r="V1242">
        <v>0.13867979999999899</v>
      </c>
      <c r="W1242">
        <v>0.17452319999999999</v>
      </c>
      <c r="X1242">
        <v>0.97483819999999999</v>
      </c>
      <c r="Y1242">
        <v>8.2897479999999996E-2</v>
      </c>
      <c r="Z1242">
        <v>-3.415408E-3</v>
      </c>
      <c r="AA1242">
        <v>0.9965522</v>
      </c>
      <c r="AB1242">
        <v>24</v>
      </c>
      <c r="AC1242">
        <v>17.777899999999999</v>
      </c>
      <c r="AD1242">
        <v>-1.120488306335</v>
      </c>
      <c r="AE1242">
        <v>-1.3976000000000099</v>
      </c>
      <c r="AF1242">
        <v>1.49457042528977</v>
      </c>
      <c r="AG1242">
        <v>-1.120488306335</v>
      </c>
      <c r="AH1242">
        <v>17.699634954767699</v>
      </c>
      <c r="AI1242">
        <v>93.609506015729593</v>
      </c>
      <c r="AJ1242">
        <v>85.173351476680097</v>
      </c>
      <c r="AK1242">
        <v>17.797930001346199</v>
      </c>
      <c r="AL1242">
        <v>79.949087251942601</v>
      </c>
      <c r="AM1242">
        <v>81.903469243800501</v>
      </c>
      <c r="AN1242">
        <v>0.99999997522275896</v>
      </c>
    </row>
    <row r="1243" spans="1:40" x14ac:dyDescent="0.25">
      <c r="A1243" t="str">
        <f>"20190303162235615"</f>
        <v>20190303162235615</v>
      </c>
      <c r="B1243" t="str">
        <f>"1551601355605326"</f>
        <v>1551601355605326</v>
      </c>
      <c r="C1243" t="s">
        <v>40</v>
      </c>
      <c r="D1243">
        <v>5.6132790000000004</v>
      </c>
      <c r="E1243">
        <v>0.4807111</v>
      </c>
      <c r="F1243" t="s">
        <v>41</v>
      </c>
      <c r="G1243">
        <v>-213.11330000000001</v>
      </c>
      <c r="H1243" s="1">
        <v>-3.4976160000000002E-6</v>
      </c>
      <c r="I1243">
        <v>366.45429999999999</v>
      </c>
      <c r="J1243">
        <v>-231.0829</v>
      </c>
      <c r="K1243">
        <v>1.1204809999999901</v>
      </c>
      <c r="L1243">
        <v>367.90269999999998</v>
      </c>
      <c r="M1243">
        <v>0.99989620000000001</v>
      </c>
      <c r="N1243">
        <v>-1.349653E-2</v>
      </c>
      <c r="O1243">
        <v>5.0350289999999999E-3</v>
      </c>
      <c r="P1243">
        <v>0.97759750000000001</v>
      </c>
      <c r="Q1243">
        <v>0.16225220000000001</v>
      </c>
      <c r="R1243">
        <v>-0.1340799</v>
      </c>
      <c r="S1243">
        <v>3.065887</v>
      </c>
      <c r="T1243">
        <v>-0.18872079999999999</v>
      </c>
      <c r="U1243">
        <v>-0.243866</v>
      </c>
      <c r="V1243">
        <v>0.13921610000000001</v>
      </c>
      <c r="W1243">
        <v>0.1752514</v>
      </c>
      <c r="X1243">
        <v>0.97463109999999997</v>
      </c>
      <c r="Y1243">
        <v>8.4111000000000005E-2</v>
      </c>
      <c r="Z1243">
        <v>-3.3927580000000001E-3</v>
      </c>
      <c r="AA1243">
        <v>0.99645059999999996</v>
      </c>
      <c r="AB1243">
        <v>23</v>
      </c>
      <c r="AC1243">
        <v>17.9695999999999</v>
      </c>
      <c r="AD1243">
        <v>-1.12048449761599</v>
      </c>
      <c r="AE1243">
        <v>-1.4483999999999899</v>
      </c>
      <c r="AF1243">
        <v>1.5329456009187801</v>
      </c>
      <c r="AG1243">
        <v>-1.12048449761599</v>
      </c>
      <c r="AH1243">
        <v>17.892958633286099</v>
      </c>
      <c r="AI1243">
        <v>93.570225996690894</v>
      </c>
      <c r="AJ1243">
        <v>85.103248945944799</v>
      </c>
      <c r="AK1243">
        <v>17.993425921076302</v>
      </c>
      <c r="AL1243">
        <v>79.906711418112394</v>
      </c>
      <c r="AM1243">
        <v>81.870872103922196</v>
      </c>
      <c r="AN1243">
        <v>0.99999997839418897</v>
      </c>
    </row>
    <row r="1244" spans="1:40" x14ac:dyDescent="0.25">
      <c r="A1244" t="str">
        <f>"20190303162235638"</f>
        <v>20190303162235638</v>
      </c>
      <c r="B1244" t="str">
        <f>"1551601355625823"</f>
        <v>1551601355625823</v>
      </c>
      <c r="C1244" t="s">
        <v>40</v>
      </c>
      <c r="D1244">
        <v>5.611364</v>
      </c>
      <c r="E1244">
        <v>0.48078029999999999</v>
      </c>
      <c r="F1244" t="s">
        <v>41</v>
      </c>
      <c r="G1244">
        <v>-212.667</v>
      </c>
      <c r="H1244" s="1">
        <v>-3.6958400000000001E-6</v>
      </c>
      <c r="I1244">
        <v>366.4162</v>
      </c>
      <c r="J1244">
        <v>-230.84389999999999</v>
      </c>
      <c r="K1244">
        <v>1.1204809999999901</v>
      </c>
      <c r="L1244">
        <v>367.90300000000002</v>
      </c>
      <c r="M1244">
        <v>0.99990029999999996</v>
      </c>
      <c r="N1244">
        <v>-1.346875E-2</v>
      </c>
      <c r="O1244">
        <v>4.2707470000000001E-3</v>
      </c>
      <c r="P1244">
        <v>0.97732799999999997</v>
      </c>
      <c r="Q1244">
        <v>0.16243850000000001</v>
      </c>
      <c r="R1244">
        <v>-0.1358085</v>
      </c>
      <c r="S1244">
        <v>3.0657649999999999</v>
      </c>
      <c r="T1244">
        <v>-0.18653040000000001</v>
      </c>
      <c r="U1244">
        <v>-0.24746699999999999</v>
      </c>
      <c r="V1244">
        <v>0.14019499999999999</v>
      </c>
      <c r="W1244">
        <v>0.1754087</v>
      </c>
      <c r="X1244">
        <v>0.97446250000000001</v>
      </c>
      <c r="Y1244">
        <v>8.451968E-2</v>
      </c>
      <c r="Z1244">
        <v>-3.3372649999999998E-3</v>
      </c>
      <c r="AA1244">
        <v>0.99641619999999997</v>
      </c>
      <c r="AB1244">
        <v>23</v>
      </c>
      <c r="AC1244">
        <v>18.1768999999999</v>
      </c>
      <c r="AD1244">
        <v>-1.1204846958400001</v>
      </c>
      <c r="AE1244">
        <v>-1.4868000000000099</v>
      </c>
      <c r="AF1244">
        <v>1.55853947726591</v>
      </c>
      <c r="AG1244">
        <v>-1.1204846958400001</v>
      </c>
      <c r="AH1244">
        <v>18.102055034405101</v>
      </c>
      <c r="AI1244">
        <v>93.528964532374999</v>
      </c>
      <c r="AJ1244">
        <v>85.079118764873698</v>
      </c>
      <c r="AK1244">
        <v>18.203541625860598</v>
      </c>
      <c r="AL1244">
        <v>79.897557278864198</v>
      </c>
      <c r="AM1244">
        <v>81.813086926428994</v>
      </c>
      <c r="AN1244">
        <v>1.00000000698347</v>
      </c>
    </row>
    <row r="1245" spans="1:40" x14ac:dyDescent="0.25">
      <c r="A1245" t="str">
        <f>"20190303162235660"</f>
        <v>20190303162235660</v>
      </c>
      <c r="B1245" t="str">
        <f>"1551601355655102"</f>
        <v>1551601355655102</v>
      </c>
      <c r="C1245" t="s">
        <v>40</v>
      </c>
      <c r="D1245">
        <v>5.5742260000000003</v>
      </c>
      <c r="E1245">
        <v>0.51113169999999997</v>
      </c>
      <c r="F1245" t="s">
        <v>41</v>
      </c>
      <c r="G1245">
        <v>-212.32230000000001</v>
      </c>
      <c r="H1245" s="1">
        <v>-3.8502220000000002E-6</v>
      </c>
      <c r="I1245">
        <v>366.37950000000001</v>
      </c>
      <c r="J1245">
        <v>-230.6104</v>
      </c>
      <c r="K1245">
        <v>1.1204829999999999</v>
      </c>
      <c r="L1245">
        <v>367.90309999999999</v>
      </c>
      <c r="M1245">
        <v>0.99990349999999995</v>
      </c>
      <c r="N1245">
        <v>-1.3438139999999999E-2</v>
      </c>
      <c r="O1245">
        <v>3.535379E-3</v>
      </c>
      <c r="P1245">
        <v>0.9771706</v>
      </c>
      <c r="Q1245">
        <v>0.16224379999999999</v>
      </c>
      <c r="R1245">
        <v>-0.1371657</v>
      </c>
      <c r="S1245">
        <v>3.0654140000000001</v>
      </c>
      <c r="T1245">
        <v>-0.18544459999999999</v>
      </c>
      <c r="U1245">
        <v>-0.25213619999999998</v>
      </c>
      <c r="V1245">
        <v>0.14082979999999901</v>
      </c>
      <c r="W1245">
        <v>0.17518520000000001</v>
      </c>
      <c r="X1245">
        <v>0.97441109999999997</v>
      </c>
      <c r="Y1245">
        <v>8.5304909999999998E-2</v>
      </c>
      <c r="Z1245">
        <v>-3.314333E-3</v>
      </c>
      <c r="AA1245">
        <v>0.99634940000000005</v>
      </c>
      <c r="AB1245">
        <v>23</v>
      </c>
      <c r="AC1245">
        <v>18.288099999999901</v>
      </c>
      <c r="AD1245">
        <v>-1.12048685022199</v>
      </c>
      <c r="AE1245">
        <v>-1.5235999999999801</v>
      </c>
      <c r="AF1245">
        <v>1.5823527129805299</v>
      </c>
      <c r="AG1245">
        <v>-1.12048685022199</v>
      </c>
      <c r="AH1245">
        <v>18.214694856778902</v>
      </c>
      <c r="AI1245">
        <v>93.506970035672794</v>
      </c>
      <c r="AJ1245">
        <v>85.035047777907906</v>
      </c>
      <c r="AK1245">
        <v>18.317599177167398</v>
      </c>
      <c r="AL1245">
        <v>79.910563601544595</v>
      </c>
      <c r="AM1245">
        <v>81.776094787341506</v>
      </c>
      <c r="AN1245">
        <v>0.99999993933514297</v>
      </c>
    </row>
    <row r="1246" spans="1:40" x14ac:dyDescent="0.25">
      <c r="A1246" t="str">
        <f>"20190303162235682"</f>
        <v>20190303162235682</v>
      </c>
      <c r="B1246" t="str">
        <f>"1551601355675602"</f>
        <v>1551601355675602</v>
      </c>
      <c r="C1246" t="s">
        <v>40</v>
      </c>
      <c r="D1246">
        <v>5.4221469999999998</v>
      </c>
      <c r="E1246">
        <v>0.51860580000000001</v>
      </c>
      <c r="F1246" t="s">
        <v>44</v>
      </c>
      <c r="G1246">
        <v>-205.34780000000001</v>
      </c>
      <c r="H1246" s="1">
        <v>-4.416822E-6</v>
      </c>
      <c r="I1246">
        <v>363.75380000000001</v>
      </c>
      <c r="J1246">
        <v>-230.37610000000001</v>
      </c>
      <c r="K1246">
        <v>1.1204909999999999</v>
      </c>
      <c r="L1246">
        <v>367.90309999999999</v>
      </c>
      <c r="M1246">
        <v>0.99990619999999997</v>
      </c>
      <c r="N1246">
        <v>-1.340204E-2</v>
      </c>
      <c r="O1246">
        <v>2.8144889999999999E-3</v>
      </c>
      <c r="P1246">
        <v>0.97700489999999995</v>
      </c>
      <c r="Q1246">
        <v>0.1616427</v>
      </c>
      <c r="R1246">
        <v>-0.1390438</v>
      </c>
      <c r="S1246">
        <v>3.0226289999999998</v>
      </c>
      <c r="T1246">
        <v>-0.13406479999999901</v>
      </c>
      <c r="U1246">
        <v>-0.49646000000000001</v>
      </c>
      <c r="V1246">
        <v>0.1419974</v>
      </c>
      <c r="W1246">
        <v>0.17455090000000001</v>
      </c>
      <c r="X1246">
        <v>0.97435550000000004</v>
      </c>
      <c r="Y1246">
        <v>0.16464529999999999</v>
      </c>
      <c r="Z1246">
        <v>-4.8231389999999997E-3</v>
      </c>
      <c r="AA1246">
        <v>0.98634109999999997</v>
      </c>
      <c r="AB1246">
        <v>23</v>
      </c>
      <c r="AC1246">
        <v>25.028300000000002</v>
      </c>
      <c r="AD1246">
        <v>-1.1204954168219901</v>
      </c>
      <c r="AE1246">
        <v>-4.1492999999999798</v>
      </c>
      <c r="AF1246">
        <v>4.2115165182778602</v>
      </c>
      <c r="AG1246">
        <v>-1.1204954168219901</v>
      </c>
      <c r="AH1246">
        <v>24.967817850288501</v>
      </c>
      <c r="AI1246">
        <v>92.533826209409796</v>
      </c>
      <c r="AJ1246">
        <v>80.425599495200601</v>
      </c>
      <c r="AK1246">
        <v>25.3453015284496</v>
      </c>
      <c r="AL1246">
        <v>79.947475256807607</v>
      </c>
      <c r="AM1246">
        <v>81.708389070431593</v>
      </c>
      <c r="AN1246">
        <v>0.99999995933890895</v>
      </c>
    </row>
    <row r="1247" spans="1:40" x14ac:dyDescent="0.25">
      <c r="A1247" t="str">
        <f>"20190303162235706"</f>
        <v>20190303162235706</v>
      </c>
      <c r="B1247" t="str">
        <f>"1551601355695119"</f>
        <v>1551601355695119</v>
      </c>
      <c r="C1247" t="s">
        <v>40</v>
      </c>
      <c r="D1247">
        <v>5.419511</v>
      </c>
      <c r="E1247">
        <v>0.52164639999999995</v>
      </c>
      <c r="F1247" t="s">
        <v>44</v>
      </c>
      <c r="G1247">
        <v>-205.59649999999999</v>
      </c>
      <c r="H1247" s="1">
        <v>-4.6346319999999997E-6</v>
      </c>
      <c r="I1247">
        <v>363.29379999999998</v>
      </c>
      <c r="J1247">
        <v>-230.1352</v>
      </c>
      <c r="K1247">
        <v>1.1205050000000001</v>
      </c>
      <c r="L1247">
        <v>367.90289999999999</v>
      </c>
      <c r="M1247">
        <v>0.99990860000000004</v>
      </c>
      <c r="N1247">
        <v>-1.335984E-2</v>
      </c>
      <c r="O1247">
        <v>2.1015610000000001E-3</v>
      </c>
      <c r="P1247">
        <v>0.97669030000000001</v>
      </c>
      <c r="Q1247">
        <v>0.16169520000000001</v>
      </c>
      <c r="R1247">
        <v>-0.14117779999999999</v>
      </c>
      <c r="S1247">
        <v>3.0133510000000001</v>
      </c>
      <c r="T1247">
        <v>-0.13625880000000001</v>
      </c>
      <c r="U1247">
        <v>-0.56051640000000003</v>
      </c>
      <c r="V1247">
        <v>0.14342650000000001</v>
      </c>
      <c r="W1247">
        <v>0.1745641</v>
      </c>
      <c r="X1247">
        <v>0.97414389999999995</v>
      </c>
      <c r="Y1247">
        <v>0.18470110000000001</v>
      </c>
      <c r="Z1247">
        <v>-5.4498510000000003E-3</v>
      </c>
      <c r="AA1247">
        <v>0.98277959999999998</v>
      </c>
      <c r="AB1247">
        <v>23</v>
      </c>
      <c r="AC1247">
        <v>24.538699999999999</v>
      </c>
      <c r="AD1247">
        <v>-1.12050963463199</v>
      </c>
      <c r="AE1247">
        <v>-4.6091000000000104</v>
      </c>
      <c r="AF1247">
        <v>4.6512960521558497</v>
      </c>
      <c r="AG1247">
        <v>-1.12050963463199</v>
      </c>
      <c r="AH1247">
        <v>24.479655383683699</v>
      </c>
      <c r="AI1247">
        <v>92.574773807337195</v>
      </c>
      <c r="AJ1247">
        <v>79.2416680179428</v>
      </c>
      <c r="AK1247">
        <v>24.942807069574499</v>
      </c>
      <c r="AL1247">
        <v>79.946708201763101</v>
      </c>
      <c r="AM1247">
        <v>81.624324429182195</v>
      </c>
      <c r="AN1247">
        <v>1.00000006190913</v>
      </c>
    </row>
    <row r="1248" spans="1:40" x14ac:dyDescent="0.25">
      <c r="A1248" t="str">
        <f>"20190303162235727"</f>
        <v>20190303162235727</v>
      </c>
      <c r="B1248" t="str">
        <f>"1551601355715145"</f>
        <v>1551601355715145</v>
      </c>
      <c r="C1248" t="s">
        <v>40</v>
      </c>
      <c r="D1248">
        <v>5.4070499999999999</v>
      </c>
      <c r="E1248">
        <v>0.52299989999999996</v>
      </c>
      <c r="F1248" t="s">
        <v>44</v>
      </c>
      <c r="G1248">
        <v>-206.08670000000001</v>
      </c>
      <c r="H1248" s="1">
        <v>-4.88755299999999E-6</v>
      </c>
      <c r="I1248">
        <v>363.18310000000002</v>
      </c>
      <c r="J1248">
        <v>-229.90649999999999</v>
      </c>
      <c r="K1248">
        <v>1.1205229999999999</v>
      </c>
      <c r="L1248">
        <v>367.90260000000001</v>
      </c>
      <c r="M1248">
        <v>0.99991030000000003</v>
      </c>
      <c r="N1248">
        <v>-1.331541E-2</v>
      </c>
      <c r="O1248">
        <v>1.4529670000000001E-3</v>
      </c>
      <c r="P1248">
        <v>0.976387</v>
      </c>
      <c r="Q1248">
        <v>0.16143289999999999</v>
      </c>
      <c r="R1248">
        <v>-0.14355419999999999</v>
      </c>
      <c r="S1248">
        <v>3.0094150000000002</v>
      </c>
      <c r="T1248">
        <v>-0.14022000000000001</v>
      </c>
      <c r="U1248">
        <v>-0.59063719999999997</v>
      </c>
      <c r="V1248">
        <v>0.1451597</v>
      </c>
      <c r="W1248">
        <v>0.1742612</v>
      </c>
      <c r="X1248">
        <v>0.97394130000000001</v>
      </c>
      <c r="Y1248">
        <v>0.1937518</v>
      </c>
      <c r="Z1248">
        <v>-5.819739E-3</v>
      </c>
      <c r="AA1248">
        <v>0.9810333</v>
      </c>
      <c r="AB1248">
        <v>23</v>
      </c>
      <c r="AC1248">
        <v>23.819799999999901</v>
      </c>
      <c r="AD1248">
        <v>-1.120527887553</v>
      </c>
      <c r="AE1248">
        <v>-4.7194999999999796</v>
      </c>
      <c r="AF1248">
        <v>4.7440058396980298</v>
      </c>
      <c r="AG1248">
        <v>-1.120527887553</v>
      </c>
      <c r="AH1248">
        <v>23.7623187712774</v>
      </c>
      <c r="AI1248">
        <v>92.647647936997103</v>
      </c>
      <c r="AJ1248">
        <v>78.709678243336697</v>
      </c>
      <c r="AK1248">
        <v>24.2571426087591</v>
      </c>
      <c r="AL1248">
        <v>79.964332407800896</v>
      </c>
      <c r="AM1248">
        <v>81.522834770582406</v>
      </c>
      <c r="AN1248">
        <v>0.99999998008760904</v>
      </c>
    </row>
    <row r="1249" spans="1:40" x14ac:dyDescent="0.25">
      <c r="A1249" t="str">
        <f>"20190303162235750"</f>
        <v>20190303162235750</v>
      </c>
      <c r="B1249" t="str">
        <f>"1551601355745403"</f>
        <v>1551601355745403</v>
      </c>
      <c r="C1249" t="s">
        <v>40</v>
      </c>
      <c r="D1249">
        <v>5.434037</v>
      </c>
      <c r="E1249">
        <v>0.5242774</v>
      </c>
      <c r="F1249" t="s">
        <v>44</v>
      </c>
      <c r="G1249">
        <v>-206.36330000000001</v>
      </c>
      <c r="H1249" s="1">
        <v>-5.0257879999999999E-6</v>
      </c>
      <c r="I1249">
        <v>363.14069999999998</v>
      </c>
      <c r="J1249">
        <v>-229.67359999999999</v>
      </c>
      <c r="K1249">
        <v>1.12053799999999</v>
      </c>
      <c r="L1249">
        <v>367.90210000000002</v>
      </c>
      <c r="M1249">
        <v>0.99991180000000002</v>
      </c>
      <c r="N1249">
        <v>-1.326664E-2</v>
      </c>
      <c r="O1249">
        <v>8.2027279999999998E-4</v>
      </c>
      <c r="P1249">
        <v>0.97622030000000004</v>
      </c>
      <c r="Q1249">
        <v>0.16076589999999999</v>
      </c>
      <c r="R1249">
        <v>-0.14542649999999999</v>
      </c>
      <c r="S1249">
        <v>3.0067900000000001</v>
      </c>
      <c r="T1249">
        <v>-0.14310719999999999</v>
      </c>
      <c r="U1249">
        <v>-0.60815430000000004</v>
      </c>
      <c r="V1249">
        <v>0.14640329999999999</v>
      </c>
      <c r="W1249">
        <v>0.1735526</v>
      </c>
      <c r="X1249">
        <v>0.97388169999999996</v>
      </c>
      <c r="Y1249">
        <v>0.1987709</v>
      </c>
      <c r="Z1249">
        <v>-6.0408049999999998E-3</v>
      </c>
      <c r="AA1249">
        <v>0.98002739999999999</v>
      </c>
      <c r="AB1249">
        <v>23</v>
      </c>
      <c r="AC1249">
        <v>23.310299999999899</v>
      </c>
      <c r="AD1249">
        <v>-1.12054302578799</v>
      </c>
      <c r="AE1249">
        <v>-4.7614000000000303</v>
      </c>
      <c r="AF1249">
        <v>4.7699399958102697</v>
      </c>
      <c r="AG1249">
        <v>-1.12054302578799</v>
      </c>
      <c r="AH1249">
        <v>23.254801359838599</v>
      </c>
      <c r="AI1249">
        <v>92.702509837012201</v>
      </c>
      <c r="AJ1249">
        <v>78.408476363533296</v>
      </c>
      <c r="AK1249">
        <v>23.7653893408424</v>
      </c>
      <c r="AL1249">
        <v>80.0055606124333</v>
      </c>
      <c r="AM1249">
        <v>81.450763066995904</v>
      </c>
      <c r="AN1249">
        <v>0.99999999840626996</v>
      </c>
    </row>
    <row r="1250" spans="1:40" x14ac:dyDescent="0.25">
      <c r="A1250" t="str">
        <f>"20190303162235771"</f>
        <v>20190303162235771</v>
      </c>
      <c r="B1250" t="str">
        <f>"1551601355765898"</f>
        <v>1551601355765898</v>
      </c>
      <c r="C1250" t="s">
        <v>40</v>
      </c>
      <c r="D1250">
        <v>5.4578600000000002</v>
      </c>
      <c r="E1250">
        <v>0.52452080000000001</v>
      </c>
      <c r="F1250" t="s">
        <v>44</v>
      </c>
      <c r="G1250">
        <v>-207.74209999999999</v>
      </c>
      <c r="H1250" s="1">
        <v>-5.5080280000000004E-6</v>
      </c>
      <c r="I1250">
        <v>363.34980000000002</v>
      </c>
      <c r="J1250">
        <v>-229.44130000000001</v>
      </c>
      <c r="K1250">
        <v>1.1205560000000001</v>
      </c>
      <c r="L1250">
        <v>367.90159999999997</v>
      </c>
      <c r="M1250">
        <v>0.99991269999999999</v>
      </c>
      <c r="N1250">
        <v>-1.321111E-2</v>
      </c>
      <c r="O1250">
        <v>2.2244189999999999E-4</v>
      </c>
      <c r="P1250">
        <v>0.9761358</v>
      </c>
      <c r="Q1250">
        <v>0.1600164</v>
      </c>
      <c r="R1250">
        <v>-0.1468121</v>
      </c>
      <c r="S1250">
        <v>3.0054470000000002</v>
      </c>
      <c r="T1250">
        <v>-0.15355679999999999</v>
      </c>
      <c r="U1250">
        <v>-0.62384030000000001</v>
      </c>
      <c r="V1250">
        <v>0.1471944</v>
      </c>
      <c r="W1250">
        <v>0.17275760000000001</v>
      </c>
      <c r="X1250">
        <v>0.97390379999999999</v>
      </c>
      <c r="Y1250">
        <v>0.20313329999999999</v>
      </c>
      <c r="Z1250">
        <v>-6.4967799999999997E-3</v>
      </c>
      <c r="AA1250">
        <v>0.97912960000000004</v>
      </c>
      <c r="AB1250">
        <v>23</v>
      </c>
      <c r="AC1250">
        <v>21.699200000000001</v>
      </c>
      <c r="AD1250">
        <v>-1.12056150802799</v>
      </c>
      <c r="AE1250">
        <v>-4.5517999999999503</v>
      </c>
      <c r="AF1250">
        <v>4.5450175024514596</v>
      </c>
      <c r="AG1250">
        <v>-1.12056150802799</v>
      </c>
      <c r="AH1250">
        <v>21.6429030664228</v>
      </c>
      <c r="AI1250">
        <v>92.900684392701507</v>
      </c>
      <c r="AJ1250">
        <v>78.140200953755297</v>
      </c>
      <c r="AK1250">
        <v>22.143353299205501</v>
      </c>
      <c r="AL1250">
        <v>80.051809338765395</v>
      </c>
      <c r="AM1250">
        <v>81.405446900203899</v>
      </c>
      <c r="AN1250">
        <v>0.999999995701779</v>
      </c>
    </row>
    <row r="1251" spans="1:40" x14ac:dyDescent="0.25">
      <c r="A1251" t="str">
        <f>"20190303162235794"</f>
        <v>20190303162235794</v>
      </c>
      <c r="B1251" t="str">
        <f>"1551601355785418"</f>
        <v>1551601355785418</v>
      </c>
      <c r="C1251" t="s">
        <v>40</v>
      </c>
      <c r="D1251">
        <v>5.4263830000000004</v>
      </c>
      <c r="E1251">
        <v>0.52444299999999999</v>
      </c>
      <c r="F1251" t="s">
        <v>44</v>
      </c>
      <c r="G1251">
        <v>-208.12970000000001</v>
      </c>
      <c r="H1251" s="1">
        <v>-5.6248820000000001E-6</v>
      </c>
      <c r="I1251">
        <v>363.4323</v>
      </c>
      <c r="J1251">
        <v>-229.21510000000001</v>
      </c>
      <c r="K1251">
        <v>1.1205700000000001</v>
      </c>
      <c r="L1251">
        <v>367.90100000000001</v>
      </c>
      <c r="M1251">
        <v>0.99991359999999996</v>
      </c>
      <c r="N1251">
        <v>-1.3143200000000001E-2</v>
      </c>
      <c r="O1251">
        <v>-3.2080999999999999E-4</v>
      </c>
      <c r="P1251">
        <v>0.97595790000000004</v>
      </c>
      <c r="Q1251">
        <v>0.16007769999999999</v>
      </c>
      <c r="R1251">
        <v>-0.14792379999999999</v>
      </c>
      <c r="S1251">
        <v>3.0044400000000002</v>
      </c>
      <c r="T1251">
        <v>-0.15797340000000001</v>
      </c>
      <c r="U1251">
        <v>-0.63006589999999996</v>
      </c>
      <c r="V1251">
        <v>0.14776520000000001</v>
      </c>
      <c r="W1251">
        <v>0.17275940000000001</v>
      </c>
      <c r="X1251">
        <v>0.97381709999999999</v>
      </c>
      <c r="Y1251">
        <v>0.2045922</v>
      </c>
      <c r="Z1251">
        <v>-6.6649359999999998E-3</v>
      </c>
      <c r="AA1251">
        <v>0.97882460000000004</v>
      </c>
      <c r="AB1251">
        <v>23</v>
      </c>
      <c r="AC1251">
        <v>21.0854</v>
      </c>
      <c r="AD1251">
        <v>-1.120575624882</v>
      </c>
      <c r="AE1251">
        <v>-4.4687000000000099</v>
      </c>
      <c r="AF1251">
        <v>4.4499069203730404</v>
      </c>
      <c r="AG1251">
        <v>-1.120575624882</v>
      </c>
      <c r="AH1251">
        <v>21.029989714699099</v>
      </c>
      <c r="AI1251">
        <v>92.984150103510899</v>
      </c>
      <c r="AJ1251">
        <v>78.0525494289286</v>
      </c>
      <c r="AK1251">
        <v>21.524818901245499</v>
      </c>
      <c r="AL1251">
        <v>80.051705222261205</v>
      </c>
      <c r="AM1251">
        <v>81.371862389277695</v>
      </c>
      <c r="AN1251">
        <v>1.0000000544359</v>
      </c>
    </row>
    <row r="1252" spans="1:40" x14ac:dyDescent="0.25">
      <c r="A1252" t="str">
        <f>"20190303162235817"</f>
        <v>20190303162235817</v>
      </c>
      <c r="B1252" t="str">
        <f>"1551601355805915"</f>
        <v>1551601355805915</v>
      </c>
      <c r="C1252" t="s">
        <v>40</v>
      </c>
      <c r="D1252">
        <v>5.4850300000000001</v>
      </c>
      <c r="E1252">
        <v>0.52454069999999997</v>
      </c>
      <c r="F1252" t="s">
        <v>44</v>
      </c>
      <c r="G1252">
        <v>-208.66659999999999</v>
      </c>
      <c r="H1252" s="1">
        <v>-5.78280099999999E-6</v>
      </c>
      <c r="I1252">
        <v>363.572</v>
      </c>
      <c r="J1252">
        <v>-228.96539999999999</v>
      </c>
      <c r="K1252">
        <v>1.120593</v>
      </c>
      <c r="L1252">
        <v>367.90019999999998</v>
      </c>
      <c r="M1252">
        <v>0.99991459999999999</v>
      </c>
      <c r="N1252">
        <v>-1.3048860000000001E-2</v>
      </c>
      <c r="O1252">
        <v>-8.6730729999999999E-4</v>
      </c>
      <c r="P1252">
        <v>0.97577670000000005</v>
      </c>
      <c r="Q1252">
        <v>0.16032150000000001</v>
      </c>
      <c r="R1252">
        <v>-0.14885309999999999</v>
      </c>
      <c r="S1252">
        <v>3.0048370000000002</v>
      </c>
      <c r="T1252">
        <v>-0.16386329999999999</v>
      </c>
      <c r="U1252">
        <v>-0.63302609999999904</v>
      </c>
      <c r="V1252">
        <v>0.1481468</v>
      </c>
      <c r="W1252">
        <v>0.1729224</v>
      </c>
      <c r="X1252">
        <v>0.97373010000000004</v>
      </c>
      <c r="Y1252">
        <v>0.20493210000000001</v>
      </c>
      <c r="Z1252">
        <v>-6.8404349999999997E-3</v>
      </c>
      <c r="AA1252">
        <v>0.97875230000000002</v>
      </c>
      <c r="AB1252">
        <v>23</v>
      </c>
      <c r="AC1252">
        <v>20.2988</v>
      </c>
      <c r="AD1252">
        <v>-1.120598782801</v>
      </c>
      <c r="AE1252">
        <v>-4.32820000000003</v>
      </c>
      <c r="AF1252">
        <v>4.2980623894854304</v>
      </c>
      <c r="AG1252">
        <v>-1.120598782801</v>
      </c>
      <c r="AH1252">
        <v>20.243535075144798</v>
      </c>
      <c r="AI1252">
        <v>93.099473809389806</v>
      </c>
      <c r="AJ1252">
        <v>78.013090517470602</v>
      </c>
      <c r="AK1252">
        <v>20.725100585390202</v>
      </c>
      <c r="AL1252">
        <v>80.042222448240295</v>
      </c>
      <c r="AM1252">
        <v>81.349155880607</v>
      </c>
      <c r="AN1252">
        <v>0.99999996920900402</v>
      </c>
    </row>
    <row r="1253" spans="1:40" x14ac:dyDescent="0.25">
      <c r="A1253" t="str">
        <f>"20190303162235839"</f>
        <v>20190303162235839</v>
      </c>
      <c r="B1253" t="str">
        <f>"1551601355825435"</f>
        <v>1551601355825435</v>
      </c>
      <c r="C1253" t="s">
        <v>40</v>
      </c>
      <c r="D1253">
        <v>5.5663199999999904</v>
      </c>
      <c r="E1253">
        <v>0.52441359999999904</v>
      </c>
      <c r="F1253" t="s">
        <v>44</v>
      </c>
      <c r="G1253">
        <v>-208.81979999999999</v>
      </c>
      <c r="H1253" s="1">
        <v>-5.8249339999999996E-6</v>
      </c>
      <c r="I1253">
        <v>363.63049999999998</v>
      </c>
      <c r="J1253">
        <v>-228.74340000000001</v>
      </c>
      <c r="K1253">
        <v>1.1206160000000001</v>
      </c>
      <c r="L1253">
        <v>367.89940000000001</v>
      </c>
      <c r="M1253">
        <v>0.99991540000000001</v>
      </c>
      <c r="N1253">
        <v>-1.295148E-2</v>
      </c>
      <c r="O1253">
        <v>-1.3038430000000001E-3</v>
      </c>
      <c r="P1253">
        <v>0.97539149999999997</v>
      </c>
      <c r="Q1253">
        <v>0.16127749999999999</v>
      </c>
      <c r="R1253">
        <v>-0.15033740000000001</v>
      </c>
      <c r="S1253">
        <v>3.0047760000000001</v>
      </c>
      <c r="T1253">
        <v>-0.1671406</v>
      </c>
      <c r="U1253">
        <v>-0.63684079999999998</v>
      </c>
      <c r="V1253">
        <v>0.14918999999999999</v>
      </c>
      <c r="W1253">
        <v>0.17379259999999999</v>
      </c>
      <c r="X1253">
        <v>0.9734159</v>
      </c>
      <c r="Y1253">
        <v>0.2056848</v>
      </c>
      <c r="Z1253">
        <v>-6.9464319999999998E-3</v>
      </c>
      <c r="AA1253">
        <v>0.97859359999999995</v>
      </c>
      <c r="AB1253">
        <v>23</v>
      </c>
      <c r="AC1253">
        <v>19.9236</v>
      </c>
      <c r="AD1253">
        <v>-1.1206218249339901</v>
      </c>
      <c r="AE1253">
        <v>-4.2689000000000297</v>
      </c>
      <c r="AF1253">
        <v>4.2301219108089496</v>
      </c>
      <c r="AG1253">
        <v>-1.1206218249339901</v>
      </c>
      <c r="AH1253">
        <v>19.869050702478201</v>
      </c>
      <c r="AI1253">
        <v>93.157465944758698</v>
      </c>
      <c r="AJ1253">
        <v>77.981171552769197</v>
      </c>
      <c r="AK1253">
        <v>20.345242698785199</v>
      </c>
      <c r="AL1253">
        <v>79.9915976427733</v>
      </c>
      <c r="AM1253">
        <v>81.286402160373299</v>
      </c>
      <c r="AN1253">
        <v>1.0000000191437799</v>
      </c>
    </row>
    <row r="1254" spans="1:40" x14ac:dyDescent="0.25">
      <c r="A1254" t="str">
        <f>"20190303162235862"</f>
        <v>20190303162235862</v>
      </c>
      <c r="B1254" t="str">
        <f>"1551601355855691"</f>
        <v>1551601355855691</v>
      </c>
      <c r="C1254" t="s">
        <v>40</v>
      </c>
      <c r="D1254">
        <v>5.4760169999999997</v>
      </c>
      <c r="E1254">
        <v>0.52416779999999996</v>
      </c>
      <c r="F1254" t="s">
        <v>44</v>
      </c>
      <c r="G1254">
        <v>-208.18870000000001</v>
      </c>
      <c r="H1254" s="1">
        <v>-5.6314970000000003E-6</v>
      </c>
      <c r="I1254">
        <v>363.51639999999998</v>
      </c>
      <c r="J1254">
        <v>-228.50190000000001</v>
      </c>
      <c r="K1254">
        <v>1.1206389999999999</v>
      </c>
      <c r="L1254">
        <v>367.89859999999999</v>
      </c>
      <c r="M1254">
        <v>0.99991629999999998</v>
      </c>
      <c r="N1254">
        <v>-1.283366E-2</v>
      </c>
      <c r="O1254">
        <v>-1.7323079999999999E-3</v>
      </c>
      <c r="P1254">
        <v>0.9750335</v>
      </c>
      <c r="Q1254">
        <v>0.16194020000000001</v>
      </c>
      <c r="R1254">
        <v>-0.15193889999999999</v>
      </c>
      <c r="S1254">
        <v>3.0040279999999999</v>
      </c>
      <c r="T1254">
        <v>-0.16377649999999999</v>
      </c>
      <c r="U1254">
        <v>-0.64056400000000002</v>
      </c>
      <c r="V1254">
        <v>0.1503563</v>
      </c>
      <c r="W1254">
        <v>0.1743509</v>
      </c>
      <c r="X1254">
        <v>0.97313649999999996</v>
      </c>
      <c r="Y1254">
        <v>0.20648830000000001</v>
      </c>
      <c r="Z1254">
        <v>-6.8318060000000002E-3</v>
      </c>
      <c r="AA1254">
        <v>0.97842519999999999</v>
      </c>
      <c r="AB1254">
        <v>23</v>
      </c>
      <c r="AC1254">
        <v>20.313199999999899</v>
      </c>
      <c r="AD1254">
        <v>-1.120644631497</v>
      </c>
      <c r="AE1254">
        <v>-4.3822000000000099</v>
      </c>
      <c r="AF1254">
        <v>4.3343965496315402</v>
      </c>
      <c r="AG1254">
        <v>-1.120644631497</v>
      </c>
      <c r="AH1254">
        <v>20.261836126886799</v>
      </c>
      <c r="AI1254">
        <v>93.095797292194007</v>
      </c>
      <c r="AJ1254">
        <v>77.925320117455001</v>
      </c>
      <c r="AK1254">
        <v>20.750538332110199</v>
      </c>
      <c r="AL1254">
        <v>79.959112775661296</v>
      </c>
      <c r="AM1254">
        <v>81.216859001244401</v>
      </c>
      <c r="AN1254">
        <v>0.99999995045637302</v>
      </c>
    </row>
    <row r="1255" spans="1:40" x14ac:dyDescent="0.25">
      <c r="A1255" t="str">
        <f>"20190303162235883"</f>
        <v>20190303162235883</v>
      </c>
      <c r="B1255" t="str">
        <f>"1551601355875210"</f>
        <v>1551601355875210</v>
      </c>
      <c r="C1255" t="s">
        <v>40</v>
      </c>
      <c r="D1255">
        <v>5.4423919999999999</v>
      </c>
      <c r="E1255">
        <v>0.52402360000000003</v>
      </c>
      <c r="F1255" t="s">
        <v>44</v>
      </c>
      <c r="G1255">
        <v>-207.7756</v>
      </c>
      <c r="H1255" s="1">
        <v>-5.5034760000000001E-6</v>
      </c>
      <c r="I1255">
        <v>363.45069999999998</v>
      </c>
      <c r="J1255">
        <v>-228.27719999999999</v>
      </c>
      <c r="K1255">
        <v>1.1206560000000001</v>
      </c>
      <c r="L1255">
        <v>367.89780000000002</v>
      </c>
      <c r="M1255">
        <v>0.99991699999999994</v>
      </c>
      <c r="N1255">
        <v>-1.271254E-2</v>
      </c>
      <c r="O1255">
        <v>-2.0832749999999999E-3</v>
      </c>
      <c r="P1255">
        <v>0.97485599999999994</v>
      </c>
      <c r="Q1255">
        <v>0.16185039999999901</v>
      </c>
      <c r="R1255">
        <v>-0.15316859999999999</v>
      </c>
      <c r="S1255">
        <v>3.0033569999999998</v>
      </c>
      <c r="T1255">
        <v>-0.16238710000000001</v>
      </c>
      <c r="U1255">
        <v>-0.64453130000000003</v>
      </c>
      <c r="V1255">
        <v>0.15122849999999999</v>
      </c>
      <c r="W1255">
        <v>0.17415510000000001</v>
      </c>
      <c r="X1255">
        <v>0.97303649999999997</v>
      </c>
      <c r="Y1255">
        <v>0.20743010000000001</v>
      </c>
      <c r="Z1255">
        <v>-6.790099E-3</v>
      </c>
      <c r="AA1255">
        <v>0.97822629999999999</v>
      </c>
      <c r="AB1255">
        <v>23</v>
      </c>
      <c r="AC1255">
        <v>20.5016</v>
      </c>
      <c r="AD1255">
        <v>-1.1206615034759999</v>
      </c>
      <c r="AE1255">
        <v>-4.44710000000003</v>
      </c>
      <c r="AF1255">
        <v>4.3918435127639999</v>
      </c>
      <c r="AG1255">
        <v>-1.1206615034759999</v>
      </c>
      <c r="AH1255">
        <v>20.452456038566201</v>
      </c>
      <c r="AI1255">
        <v>93.066534215464998</v>
      </c>
      <c r="AJ1255">
        <v>77.880672349513205</v>
      </c>
      <c r="AK1255">
        <v>20.948678470382401</v>
      </c>
      <c r="AL1255">
        <v>79.970506539436897</v>
      </c>
      <c r="AM1255">
        <v>81.165816744128307</v>
      </c>
      <c r="AN1255">
        <v>1.0000000442002499</v>
      </c>
    </row>
    <row r="1256" spans="1:40" x14ac:dyDescent="0.25">
      <c r="A1256" t="str">
        <f>"20190303162235906"</f>
        <v>20190303162235906</v>
      </c>
      <c r="B1256" t="str">
        <f>"1551601355895706"</f>
        <v>1551601355895706</v>
      </c>
      <c r="C1256" t="s">
        <v>40</v>
      </c>
      <c r="D1256">
        <v>5.5645499999999997</v>
      </c>
      <c r="E1256">
        <v>0.52399899999999999</v>
      </c>
      <c r="F1256" t="s">
        <v>44</v>
      </c>
      <c r="G1256">
        <v>-207.60429999999999</v>
      </c>
      <c r="H1256" s="1">
        <v>-5.4475360000000001E-6</v>
      </c>
      <c r="I1256">
        <v>363.4418</v>
      </c>
      <c r="J1256">
        <v>-228.03970000000001</v>
      </c>
      <c r="K1256">
        <v>1.120673</v>
      </c>
      <c r="L1256">
        <v>367.89690000000002</v>
      </c>
      <c r="M1256">
        <v>0.99991810000000003</v>
      </c>
      <c r="N1256">
        <v>-1.257259E-2</v>
      </c>
      <c r="O1256">
        <v>-2.400929E-3</v>
      </c>
      <c r="P1256">
        <v>0.97490089999999996</v>
      </c>
      <c r="Q1256">
        <v>0.16092699999999999</v>
      </c>
      <c r="R1256">
        <v>-0.1538543</v>
      </c>
      <c r="S1256">
        <v>3.0026700000000002</v>
      </c>
      <c r="T1256">
        <v>-0.16277249999999999</v>
      </c>
      <c r="U1256">
        <v>-0.64721680000000004</v>
      </c>
      <c r="V1256">
        <v>0.15158949999999999</v>
      </c>
      <c r="W1256">
        <v>0.17310889999999901</v>
      </c>
      <c r="X1256">
        <v>0.97316689999999995</v>
      </c>
      <c r="Y1256">
        <v>0.20799989999999999</v>
      </c>
      <c r="Z1256">
        <v>-6.7946430000000004E-3</v>
      </c>
      <c r="AA1256">
        <v>0.97810520000000001</v>
      </c>
      <c r="AB1256">
        <v>23</v>
      </c>
      <c r="AC1256">
        <v>20.435400000000001</v>
      </c>
      <c r="AD1256">
        <v>-1.1206784475360001</v>
      </c>
      <c r="AE1256">
        <v>-4.4551000000000096</v>
      </c>
      <c r="AF1256">
        <v>4.39340595535141</v>
      </c>
      <c r="AG1256">
        <v>-1.1206784475360001</v>
      </c>
      <c r="AH1256">
        <v>20.387506194262301</v>
      </c>
      <c r="AI1256">
        <v>93.075850970501705</v>
      </c>
      <c r="AJ1256">
        <v>77.839013433042993</v>
      </c>
      <c r="AK1256">
        <v>20.8856013773215</v>
      </c>
      <c r="AL1256">
        <v>80.031372888907399</v>
      </c>
      <c r="AM1256">
        <v>81.146230051400494</v>
      </c>
      <c r="AN1256">
        <v>0.99999994151253302</v>
      </c>
    </row>
    <row r="1257" spans="1:40" x14ac:dyDescent="0.25">
      <c r="A1257" t="str">
        <f>"20190303162235929"</f>
        <v>20190303162235929</v>
      </c>
      <c r="B1257" t="str">
        <f>"1551601355915226"</f>
        <v>1551601355915226</v>
      </c>
      <c r="C1257" t="s">
        <v>40</v>
      </c>
      <c r="D1257">
        <v>5.4101569999999999</v>
      </c>
      <c r="E1257">
        <v>0.52401469999999895</v>
      </c>
      <c r="F1257" t="s">
        <v>44</v>
      </c>
      <c r="G1257">
        <v>-207.72900000000001</v>
      </c>
      <c r="H1257" s="1">
        <v>-5.4796010000000003E-6</v>
      </c>
      <c r="I1257">
        <v>363.50360000000001</v>
      </c>
      <c r="J1257">
        <v>-227.8032</v>
      </c>
      <c r="K1257">
        <v>1.1206769999999999</v>
      </c>
      <c r="L1257">
        <v>367.89600000000002</v>
      </c>
      <c r="M1257">
        <v>0.99991940000000001</v>
      </c>
      <c r="N1257">
        <v>-1.2427550000000001E-2</v>
      </c>
      <c r="O1257">
        <v>-2.6715010000000002E-3</v>
      </c>
      <c r="P1257">
        <v>0.97502540000000004</v>
      </c>
      <c r="Q1257">
        <v>0.16016040000000001</v>
      </c>
      <c r="R1257">
        <v>-0.15386540000000001</v>
      </c>
      <c r="S1257">
        <v>3.0020899999999999</v>
      </c>
      <c r="T1257">
        <v>-0.16564519999999999</v>
      </c>
      <c r="U1257">
        <v>-0.64935299999999996</v>
      </c>
      <c r="V1257">
        <v>0.1513253</v>
      </c>
      <c r="W1257">
        <v>0.1722127</v>
      </c>
      <c r="X1257">
        <v>0.97336699999999998</v>
      </c>
      <c r="Y1257">
        <v>0.2084278</v>
      </c>
      <c r="Z1257">
        <v>-6.8786169999999897E-3</v>
      </c>
      <c r="AA1257">
        <v>0.97801360000000004</v>
      </c>
      <c r="AB1257">
        <v>23</v>
      </c>
      <c r="AC1257">
        <v>20.074199999999902</v>
      </c>
      <c r="AD1257">
        <v>-1.120682479601</v>
      </c>
      <c r="AE1257">
        <v>-4.3923999999999497</v>
      </c>
      <c r="AF1257">
        <v>4.3258856553144502</v>
      </c>
      <c r="AG1257">
        <v>-1.120682479601</v>
      </c>
      <c r="AH1257">
        <v>20.026300216113199</v>
      </c>
      <c r="AI1257">
        <v>93.130898725802794</v>
      </c>
      <c r="AJ1257">
        <v>77.810806956312604</v>
      </c>
      <c r="AK1257">
        <v>20.5188185885259</v>
      </c>
      <c r="AL1257">
        <v>80.083504286074202</v>
      </c>
      <c r="AM1257">
        <v>81.163205437232705</v>
      </c>
      <c r="AN1257">
        <v>0.99999993857518799</v>
      </c>
    </row>
    <row r="1258" spans="1:40" x14ac:dyDescent="0.25">
      <c r="A1258" t="str">
        <f>"20190303162235950"</f>
        <v>20190303162235950</v>
      </c>
      <c r="B1258" t="str">
        <f>"1551601355945486"</f>
        <v>1551601355945486</v>
      </c>
      <c r="C1258" t="s">
        <v>40</v>
      </c>
      <c r="D1258">
        <v>5.3789249999999997</v>
      </c>
      <c r="E1258">
        <v>0.52398559999999905</v>
      </c>
      <c r="F1258" t="s">
        <v>44</v>
      </c>
      <c r="G1258">
        <v>-207.78720000000001</v>
      </c>
      <c r="H1258" s="1">
        <v>-5.4890469999999997E-6</v>
      </c>
      <c r="I1258">
        <v>363.56810000000002</v>
      </c>
      <c r="J1258">
        <v>-227.5779</v>
      </c>
      <c r="K1258">
        <v>1.120673</v>
      </c>
      <c r="L1258">
        <v>367.89510000000001</v>
      </c>
      <c r="M1258">
        <v>0.99992029999999998</v>
      </c>
      <c r="N1258">
        <v>-1.2284949999999999E-2</v>
      </c>
      <c r="O1258">
        <v>-2.8904550000000001E-3</v>
      </c>
      <c r="P1258">
        <v>0.97515529999999995</v>
      </c>
      <c r="Q1258">
        <v>0.15882299999999999</v>
      </c>
      <c r="R1258">
        <v>-0.15442690000000001</v>
      </c>
      <c r="S1258">
        <v>3.0020289999999998</v>
      </c>
      <c r="T1258">
        <v>-0.1680818</v>
      </c>
      <c r="U1258">
        <v>-0.64910889999999999</v>
      </c>
      <c r="V1258">
        <v>0.15166379999999999</v>
      </c>
      <c r="W1258">
        <v>0.1707456</v>
      </c>
      <c r="X1258">
        <v>0.97357280000000002</v>
      </c>
      <c r="Y1258">
        <v>0.2081335</v>
      </c>
      <c r="Z1258">
        <v>-6.9252369999999999E-3</v>
      </c>
      <c r="AA1258">
        <v>0.9780759</v>
      </c>
      <c r="AB1258">
        <v>23</v>
      </c>
      <c r="AC1258">
        <v>19.790699999999902</v>
      </c>
      <c r="AD1258">
        <v>-1.1206784890470001</v>
      </c>
      <c r="AE1258">
        <v>-4.3269999999999902</v>
      </c>
      <c r="AF1258">
        <v>4.2567466630059201</v>
      </c>
      <c r="AG1258">
        <v>-1.1206784890470001</v>
      </c>
      <c r="AH1258">
        <v>19.742707167367801</v>
      </c>
      <c r="AI1258">
        <v>93.176030513666305</v>
      </c>
      <c r="AJ1258">
        <v>77.832657977628202</v>
      </c>
      <c r="AK1258">
        <v>20.227463971671298</v>
      </c>
      <c r="AL1258">
        <v>80.168827192180999</v>
      </c>
      <c r="AM1258">
        <v>81.145593817643601</v>
      </c>
      <c r="AN1258">
        <v>0.99999998252481903</v>
      </c>
    </row>
    <row r="1259" spans="1:40" x14ac:dyDescent="0.25">
      <c r="A1259" t="str">
        <f>"20190303162235965"</f>
        <v>20190303162235965</v>
      </c>
      <c r="B1259" t="str">
        <f>"1551601355955243"</f>
        <v>1551601355955243</v>
      </c>
      <c r="C1259" t="s">
        <v>40</v>
      </c>
      <c r="D1259">
        <v>5.3900259999999998</v>
      </c>
      <c r="E1259">
        <v>0.52395809999999998</v>
      </c>
      <c r="F1259" t="s">
        <v>44</v>
      </c>
      <c r="G1259">
        <v>-208.06530000000001</v>
      </c>
      <c r="H1259" s="1">
        <v>-5.5665239999999998E-6</v>
      </c>
      <c r="I1259">
        <v>363.66800000000001</v>
      </c>
      <c r="J1259">
        <v>-227.42609999999999</v>
      </c>
      <c r="K1259">
        <v>1.120671</v>
      </c>
      <c r="L1259">
        <v>367.89449999999999</v>
      </c>
      <c r="M1259">
        <v>0.99992130000000001</v>
      </c>
      <c r="N1259">
        <v>-1.218698E-2</v>
      </c>
      <c r="O1259">
        <v>-3.019458E-3</v>
      </c>
      <c r="P1259">
        <v>0.97515510000000005</v>
      </c>
      <c r="Q1259">
        <v>0.1583697</v>
      </c>
      <c r="R1259">
        <v>-0.15489449999999999</v>
      </c>
      <c r="S1259">
        <v>3.0015260000000001</v>
      </c>
      <c r="T1259">
        <v>-0.17238879999999901</v>
      </c>
      <c r="U1259">
        <v>-0.65023799999999998</v>
      </c>
      <c r="V1259">
        <v>0.152</v>
      </c>
      <c r="W1259">
        <v>0.17020199999999999</v>
      </c>
      <c r="X1259">
        <v>0.97361560000000003</v>
      </c>
      <c r="Y1259">
        <v>0.20837510000000001</v>
      </c>
      <c r="Z1259">
        <v>-7.0612009999999996E-3</v>
      </c>
      <c r="AA1259">
        <v>0.97802350000000005</v>
      </c>
      <c r="AB1259">
        <v>23</v>
      </c>
      <c r="AC1259">
        <v>19.360799999999902</v>
      </c>
      <c r="AD1259">
        <v>-1.1206765665239999</v>
      </c>
      <c r="AE1259">
        <v>-4.2264999999999802</v>
      </c>
      <c r="AF1259">
        <v>4.15472992901823</v>
      </c>
      <c r="AG1259">
        <v>-1.1206765665239999</v>
      </c>
      <c r="AH1259">
        <v>19.311713148333901</v>
      </c>
      <c r="AI1259">
        <v>93.247070708855006</v>
      </c>
      <c r="AJ1259">
        <v>77.858430469813101</v>
      </c>
      <c r="AK1259">
        <v>19.7853471405828</v>
      </c>
      <c r="AL1259">
        <v>80.200436316778607</v>
      </c>
      <c r="AM1259">
        <v>81.126661766565604</v>
      </c>
      <c r="AN1259">
        <v>1.0000000286836701</v>
      </c>
    </row>
    <row r="1260" spans="1:40" x14ac:dyDescent="0.25">
      <c r="A1260" t="str">
        <f>"20190303162235978"</f>
        <v>20190303162235978</v>
      </c>
      <c r="B1260" t="str">
        <f>"1551601355965978"</f>
        <v>1551601355965978</v>
      </c>
      <c r="C1260" t="s">
        <v>40</v>
      </c>
      <c r="D1260">
        <v>5.4366490000000001</v>
      </c>
      <c r="E1260">
        <v>0.52396679999999995</v>
      </c>
      <c r="F1260" t="s">
        <v>44</v>
      </c>
      <c r="G1260">
        <v>-208.09950000000001</v>
      </c>
      <c r="H1260" s="1">
        <v>-5.5724750000000004E-6</v>
      </c>
      <c r="I1260">
        <v>363.70310000000001</v>
      </c>
      <c r="J1260">
        <v>-227.28399999999999</v>
      </c>
      <c r="K1260">
        <v>1.1206659999999999</v>
      </c>
      <c r="L1260">
        <v>367.89400000000001</v>
      </c>
      <c r="M1260">
        <v>0.99992219999999998</v>
      </c>
      <c r="N1260">
        <v>-1.2094000000000001E-2</v>
      </c>
      <c r="O1260">
        <v>-3.122161E-3</v>
      </c>
      <c r="P1260">
        <v>0.97518629999999995</v>
      </c>
      <c r="Q1260">
        <v>0.15811069999999999</v>
      </c>
      <c r="R1260">
        <v>-0.1549613</v>
      </c>
      <c r="S1260">
        <v>3.001312</v>
      </c>
      <c r="T1260">
        <v>-0.17403450000000001</v>
      </c>
      <c r="U1260">
        <v>-0.65090939999999997</v>
      </c>
      <c r="V1260">
        <v>0.15196109999999999</v>
      </c>
      <c r="W1260">
        <v>0.16985799999999901</v>
      </c>
      <c r="X1260">
        <v>0.97368169999999998</v>
      </c>
      <c r="Y1260">
        <v>0.2084915</v>
      </c>
      <c r="Z1260">
        <v>-7.1055240000000002E-3</v>
      </c>
      <c r="AA1260">
        <v>0.97799840000000005</v>
      </c>
      <c r="AB1260">
        <v>23</v>
      </c>
      <c r="AC1260">
        <v>19.1845</v>
      </c>
      <c r="AD1260">
        <v>-1.120671572475</v>
      </c>
      <c r="AE1260">
        <v>-4.1908999999999903</v>
      </c>
      <c r="AF1260">
        <v>4.1175674300478002</v>
      </c>
      <c r="AG1260">
        <v>-1.120671572475</v>
      </c>
      <c r="AH1260">
        <v>19.1351699789473</v>
      </c>
      <c r="AI1260">
        <v>93.276920194291193</v>
      </c>
      <c r="AJ1260">
        <v>77.856086467587005</v>
      </c>
      <c r="AK1260">
        <v>19.605228803499099</v>
      </c>
      <c r="AL1260">
        <v>80.220436864677595</v>
      </c>
      <c r="AM1260">
        <v>81.129489169684902</v>
      </c>
      <c r="AN1260">
        <v>0.99999998449604899</v>
      </c>
    </row>
    <row r="1261" spans="1:40" x14ac:dyDescent="0.25">
      <c r="A1261" t="str">
        <f>"20190303162235995"</f>
        <v>20190303162235995</v>
      </c>
      <c r="B1261" t="str">
        <f>"1551601355985498"</f>
        <v>1551601355985498</v>
      </c>
      <c r="C1261" t="s">
        <v>40</v>
      </c>
      <c r="D1261">
        <v>5.3915629999999997</v>
      </c>
      <c r="E1261">
        <v>0.52395579999999997</v>
      </c>
      <c r="F1261" t="s">
        <v>44</v>
      </c>
      <c r="G1261">
        <v>-208.0471</v>
      </c>
      <c r="H1261" s="1">
        <v>-5.5529309999999996E-6</v>
      </c>
      <c r="I1261">
        <v>363.71600000000001</v>
      </c>
      <c r="J1261">
        <v>-227.11070000000001</v>
      </c>
      <c r="K1261">
        <v>1.1206659999999999</v>
      </c>
      <c r="L1261">
        <v>367.89330000000001</v>
      </c>
      <c r="M1261">
        <v>0.99992309999999995</v>
      </c>
      <c r="N1261">
        <v>-1.1977939999999999E-2</v>
      </c>
      <c r="O1261">
        <v>-3.2294429999999998E-3</v>
      </c>
      <c r="P1261">
        <v>0.97519080000000002</v>
      </c>
      <c r="Q1261">
        <v>0.15748690000000001</v>
      </c>
      <c r="R1261">
        <v>-0.15556719999999999</v>
      </c>
      <c r="S1261">
        <v>3.0011139999999998</v>
      </c>
      <c r="T1261">
        <v>-0.17483389999999999</v>
      </c>
      <c r="U1261">
        <v>-0.6517944</v>
      </c>
      <c r="V1261">
        <v>0.15245529999999999</v>
      </c>
      <c r="W1261">
        <v>0.16912729999999901</v>
      </c>
      <c r="X1261">
        <v>0.97373160000000003</v>
      </c>
      <c r="Y1261">
        <v>0.20867250000000001</v>
      </c>
      <c r="Z1261">
        <v>-7.1211209999999898E-3</v>
      </c>
      <c r="AA1261">
        <v>0.97795960000000004</v>
      </c>
      <c r="AB1261">
        <v>23</v>
      </c>
      <c r="AC1261">
        <v>19.063600000000001</v>
      </c>
      <c r="AD1261">
        <v>-1.1206715529309901</v>
      </c>
      <c r="AE1261">
        <v>-4.1772999999999998</v>
      </c>
      <c r="AF1261">
        <v>4.10218222059863</v>
      </c>
      <c r="AG1261">
        <v>-1.1206715529309901</v>
      </c>
      <c r="AH1261">
        <v>19.014293079079799</v>
      </c>
      <c r="AI1261">
        <v>93.2973276294301</v>
      </c>
      <c r="AJ1261">
        <v>77.825489184328006</v>
      </c>
      <c r="AK1261">
        <v>19.484022813517999</v>
      </c>
      <c r="AL1261">
        <v>80.262917142303806</v>
      </c>
      <c r="AM1261">
        <v>81.101550661338393</v>
      </c>
      <c r="AN1261">
        <v>0.99999994547096804</v>
      </c>
    </row>
    <row r="1262" spans="1:40" x14ac:dyDescent="0.25">
      <c r="A1262" t="str">
        <f>"20190303162236011"</f>
        <v>20190303162236011</v>
      </c>
      <c r="B1262" t="str">
        <f>"1551601356005994"</f>
        <v>1551601356005994</v>
      </c>
      <c r="C1262" t="s">
        <v>40</v>
      </c>
      <c r="D1262">
        <v>5.3694419999999896</v>
      </c>
      <c r="E1262">
        <v>0.5240302</v>
      </c>
      <c r="F1262" t="s">
        <v>44</v>
      </c>
      <c r="G1262">
        <v>-208.06630000000001</v>
      </c>
      <c r="H1262" s="1">
        <v>-5.5546509999999996E-6</v>
      </c>
      <c r="I1262">
        <v>363.74619999999999</v>
      </c>
      <c r="J1262">
        <v>-226.94630000000001</v>
      </c>
      <c r="K1262">
        <v>1.1206609999999999</v>
      </c>
      <c r="L1262">
        <v>367.89260000000002</v>
      </c>
      <c r="M1262">
        <v>0.99992420000000004</v>
      </c>
      <c r="N1262">
        <v>-1.186397E-2</v>
      </c>
      <c r="O1262">
        <v>-3.313982E-3</v>
      </c>
      <c r="P1262">
        <v>0.97519829999999996</v>
      </c>
      <c r="Q1262">
        <v>0.15720219999999999</v>
      </c>
      <c r="R1262">
        <v>-0.1558078</v>
      </c>
      <c r="S1262">
        <v>3.0005950000000001</v>
      </c>
      <c r="T1262">
        <v>-0.17657039999999999</v>
      </c>
      <c r="U1262">
        <v>-0.65341190000000005</v>
      </c>
      <c r="V1262">
        <v>0.15260670000000001</v>
      </c>
      <c r="W1262">
        <v>0.1687381</v>
      </c>
      <c r="X1262">
        <v>0.97377539999999996</v>
      </c>
      <c r="Y1262">
        <v>0.20912059999999999</v>
      </c>
      <c r="Z1262">
        <v>-7.1789449999999999E-3</v>
      </c>
      <c r="AA1262">
        <v>0.9778635</v>
      </c>
      <c r="AB1262">
        <v>23</v>
      </c>
      <c r="AC1262">
        <v>18.8799999999999</v>
      </c>
      <c r="AD1262">
        <v>-1.120666554651</v>
      </c>
      <c r="AE1262">
        <v>-4.1464000000000203</v>
      </c>
      <c r="AF1262">
        <v>4.0701244428008998</v>
      </c>
      <c r="AG1262">
        <v>-1.120666554651</v>
      </c>
      <c r="AH1262">
        <v>18.8303462593958</v>
      </c>
      <c r="AI1262">
        <v>93.329173485956503</v>
      </c>
      <c r="AJ1262">
        <v>77.8033153835663</v>
      </c>
      <c r="AK1262">
        <v>19.297765330611199</v>
      </c>
      <c r="AL1262">
        <v>80.285541783317996</v>
      </c>
      <c r="AM1262">
        <v>81.093249644814307</v>
      </c>
      <c r="AN1262">
        <v>0.99999994046082796</v>
      </c>
    </row>
    <row r="1263" spans="1:40" x14ac:dyDescent="0.25">
      <c r="A1263" t="str">
        <f>"20190303162236029"</f>
        <v>20190303162236029</v>
      </c>
      <c r="B1263" t="str">
        <f>"1551601356025514"</f>
        <v>1551601356025514</v>
      </c>
      <c r="C1263" t="s">
        <v>40</v>
      </c>
      <c r="D1263">
        <v>5.345326</v>
      </c>
      <c r="E1263">
        <v>0.52412789999999998</v>
      </c>
      <c r="F1263" t="s">
        <v>44</v>
      </c>
      <c r="G1263">
        <v>-207.9101</v>
      </c>
      <c r="H1263" s="1">
        <v>-5.5037439999999999E-6</v>
      </c>
      <c r="I1263">
        <v>363.73719999999997</v>
      </c>
      <c r="J1263">
        <v>-226.75229999999999</v>
      </c>
      <c r="K1263">
        <v>1.120652</v>
      </c>
      <c r="L1263">
        <v>367.89190000000002</v>
      </c>
      <c r="M1263">
        <v>0.99992559999999997</v>
      </c>
      <c r="N1263">
        <v>-1.1724389999999999E-2</v>
      </c>
      <c r="O1263">
        <v>-3.392735E-3</v>
      </c>
      <c r="P1263">
        <v>0.97531590000000001</v>
      </c>
      <c r="Q1263">
        <v>0.15625629999999999</v>
      </c>
      <c r="R1263">
        <v>-0.15602369999999999</v>
      </c>
      <c r="S1263">
        <v>3.0001530000000001</v>
      </c>
      <c r="T1263">
        <v>-0.17661940000000001</v>
      </c>
      <c r="U1263">
        <v>-0.65490719999999902</v>
      </c>
      <c r="V1263">
        <v>0.15273729999999999</v>
      </c>
      <c r="W1263">
        <v>0.1676646</v>
      </c>
      <c r="X1263">
        <v>0.97394040000000004</v>
      </c>
      <c r="Y1263">
        <v>0.20953869999999999</v>
      </c>
      <c r="Z1263">
        <v>-7.1769109999999898E-3</v>
      </c>
      <c r="AA1263">
        <v>0.97777400000000003</v>
      </c>
      <c r="AB1263">
        <v>23</v>
      </c>
      <c r="AC1263">
        <v>18.842199999999899</v>
      </c>
      <c r="AD1263">
        <v>-1.1206575037440001</v>
      </c>
      <c r="AE1263">
        <v>-4.15470000000004</v>
      </c>
      <c r="AF1263">
        <v>4.0769918896786201</v>
      </c>
      <c r="AG1263">
        <v>-1.1206575037440001</v>
      </c>
      <c r="AH1263">
        <v>18.7927931995808</v>
      </c>
      <c r="AI1263">
        <v>93.335235302436899</v>
      </c>
      <c r="AJ1263">
        <v>77.759676901529801</v>
      </c>
      <c r="AK1263">
        <v>19.262575434022601</v>
      </c>
      <c r="AL1263">
        <v>80.347938384791803</v>
      </c>
      <c r="AM1263">
        <v>81.087235614682598</v>
      </c>
      <c r="AN1263">
        <v>1.0000000018283</v>
      </c>
    </row>
    <row r="1264" spans="1:40" x14ac:dyDescent="0.25">
      <c r="A1264" t="str">
        <f>"20190303162236051"</f>
        <v>20190303162236051</v>
      </c>
      <c r="B1264" t="str">
        <f>"1551601356046010"</f>
        <v>1551601356046010</v>
      </c>
      <c r="C1264" t="s">
        <v>40</v>
      </c>
      <c r="D1264">
        <v>5.3450340000000001</v>
      </c>
      <c r="E1264">
        <v>0.52414510000000003</v>
      </c>
      <c r="F1264" t="s">
        <v>44</v>
      </c>
      <c r="G1264">
        <v>-207.95259999999999</v>
      </c>
      <c r="H1264" s="1">
        <v>-5.5119770000000003E-6</v>
      </c>
      <c r="I1264">
        <v>363.77569999999997</v>
      </c>
      <c r="J1264">
        <v>-226.5204</v>
      </c>
      <c r="K1264">
        <v>1.1206389999999999</v>
      </c>
      <c r="L1264">
        <v>367.89100000000002</v>
      </c>
      <c r="M1264">
        <v>0.99992729999999996</v>
      </c>
      <c r="N1264">
        <v>-1.1552750000000001E-2</v>
      </c>
      <c r="O1264">
        <v>-3.4602190000000001E-3</v>
      </c>
      <c r="P1264">
        <v>0.97569220000000001</v>
      </c>
      <c r="Q1264">
        <v>0.1544575</v>
      </c>
      <c r="R1264">
        <v>-0.15546079999999901</v>
      </c>
      <c r="S1264">
        <v>2.9995120000000002</v>
      </c>
      <c r="T1264">
        <v>-0.1788025</v>
      </c>
      <c r="U1264">
        <v>-0.6567383</v>
      </c>
      <c r="V1264">
        <v>0.1520986</v>
      </c>
      <c r="W1264">
        <v>0.165711</v>
      </c>
      <c r="X1264">
        <v>0.97437459999999998</v>
      </c>
      <c r="Y1264">
        <v>0.2100765</v>
      </c>
      <c r="Z1264">
        <v>-7.2475830000000002E-3</v>
      </c>
      <c r="AA1264">
        <v>0.97765809999999997</v>
      </c>
      <c r="AB1264">
        <v>23</v>
      </c>
      <c r="AC1264">
        <v>18.567799999999998</v>
      </c>
      <c r="AD1264">
        <v>-1.1206445119770001</v>
      </c>
      <c r="AE1264">
        <v>-4.1152999999999897</v>
      </c>
      <c r="AF1264">
        <v>4.0370056502583704</v>
      </c>
      <c r="AG1264">
        <v>-1.1206445119770001</v>
      </c>
      <c r="AH1264">
        <v>18.517635078692798</v>
      </c>
      <c r="AI1264">
        <v>93.383894674651899</v>
      </c>
      <c r="AJ1264">
        <v>77.701452451936106</v>
      </c>
      <c r="AK1264">
        <v>18.985680594860899</v>
      </c>
      <c r="AL1264">
        <v>80.461459522640197</v>
      </c>
      <c r="AM1264">
        <v>81.127803778807305</v>
      </c>
      <c r="AN1264">
        <v>0.99999999038405996</v>
      </c>
    </row>
    <row r="1265" spans="1:40" x14ac:dyDescent="0.25">
      <c r="A1265" t="str">
        <f>"20190303162236064"</f>
        <v>20190303162236064</v>
      </c>
      <c r="B1265" t="str">
        <f>"1551601356055770"</f>
        <v>1551601356055770</v>
      </c>
      <c r="C1265" t="s">
        <v>40</v>
      </c>
      <c r="D1265">
        <v>5.3498989999999997</v>
      </c>
      <c r="E1265">
        <v>0.52417879999999994</v>
      </c>
      <c r="F1265" t="s">
        <v>44</v>
      </c>
      <c r="G1265">
        <v>-208.29929999999999</v>
      </c>
      <c r="H1265" s="1">
        <v>-5.6069020000000001E-6</v>
      </c>
      <c r="I1265">
        <v>363.911</v>
      </c>
      <c r="J1265">
        <v>-226.38149999999999</v>
      </c>
      <c r="K1265">
        <v>1.120633</v>
      </c>
      <c r="L1265">
        <v>367.89049999999997</v>
      </c>
      <c r="M1265">
        <v>0.9999285</v>
      </c>
      <c r="N1265">
        <v>-1.1449600000000001E-2</v>
      </c>
      <c r="O1265">
        <v>-3.490712E-3</v>
      </c>
      <c r="P1265">
        <v>0.9758734</v>
      </c>
      <c r="Q1265">
        <v>0.1535986</v>
      </c>
      <c r="R1265">
        <v>-0.15517349999999999</v>
      </c>
      <c r="S1265">
        <v>2.9995569999999998</v>
      </c>
      <c r="T1265">
        <v>-0.1844807</v>
      </c>
      <c r="U1265">
        <v>-0.65518189999999998</v>
      </c>
      <c r="V1265">
        <v>0.15177689999999999</v>
      </c>
      <c r="W1265">
        <v>0.16475770000000001</v>
      </c>
      <c r="X1265">
        <v>0.97458639999999996</v>
      </c>
      <c r="Y1265">
        <v>0.20953630000000001</v>
      </c>
      <c r="Z1265">
        <v>-7.4050039999999998E-3</v>
      </c>
      <c r="AA1265">
        <v>0.9777728</v>
      </c>
      <c r="AB1265">
        <v>23</v>
      </c>
      <c r="AC1265">
        <v>18.0822</v>
      </c>
      <c r="AD1265">
        <v>-1.120638606902</v>
      </c>
      <c r="AE1265">
        <v>-3.9794999999999701</v>
      </c>
      <c r="AF1265">
        <v>3.9020569761466999</v>
      </c>
      <c r="AG1265">
        <v>-1.120638606902</v>
      </c>
      <c r="AH1265">
        <v>18.029930712264399</v>
      </c>
      <c r="AI1265">
        <v>93.476330212507904</v>
      </c>
      <c r="AJ1265">
        <v>77.788318453134394</v>
      </c>
      <c r="AK1265">
        <v>18.481349545458698</v>
      </c>
      <c r="AL1265">
        <v>80.516840832769702</v>
      </c>
      <c r="AM1265">
        <v>81.148165176867195</v>
      </c>
      <c r="AN1265">
        <v>0.99999998907392895</v>
      </c>
    </row>
    <row r="1266" spans="1:40" x14ac:dyDescent="0.25">
      <c r="A1266" t="str">
        <f>"20190303162236077"</f>
        <v>20190303162236077</v>
      </c>
      <c r="B1266" t="str">
        <f>"1551601356065532"</f>
        <v>1551601356065532</v>
      </c>
      <c r="C1266" t="s">
        <v>40</v>
      </c>
      <c r="D1266">
        <v>5.3446550000000004</v>
      </c>
      <c r="E1266">
        <v>0.52425010000000005</v>
      </c>
      <c r="F1266" t="s">
        <v>44</v>
      </c>
      <c r="G1266">
        <v>-208.41300000000001</v>
      </c>
      <c r="H1266" s="1">
        <v>-5.6358740000000002E-6</v>
      </c>
      <c r="I1266">
        <v>363.96910000000003</v>
      </c>
      <c r="J1266">
        <v>-226.24299999999999</v>
      </c>
      <c r="K1266">
        <v>1.120627</v>
      </c>
      <c r="L1266">
        <v>367.89</v>
      </c>
      <c r="M1266">
        <v>0.99992950000000003</v>
      </c>
      <c r="N1266">
        <v>-1.134916E-2</v>
      </c>
      <c r="O1266">
        <v>-3.511255E-3</v>
      </c>
      <c r="P1266">
        <v>0.97606590000000004</v>
      </c>
      <c r="Q1266">
        <v>0.1527222</v>
      </c>
      <c r="R1266">
        <v>-0.15482660000000001</v>
      </c>
      <c r="S1266">
        <v>2.9994960000000002</v>
      </c>
      <c r="T1266">
        <v>-0.1870685</v>
      </c>
      <c r="U1266">
        <v>-0.65460209999999996</v>
      </c>
      <c r="V1266">
        <v>0.15140619999999999</v>
      </c>
      <c r="W1266">
        <v>0.163788299999999</v>
      </c>
      <c r="X1266">
        <v>0.97480739999999999</v>
      </c>
      <c r="Y1266">
        <v>0.2093295</v>
      </c>
      <c r="Z1266">
        <v>-7.4717849999999999E-3</v>
      </c>
      <c r="AA1266">
        <v>0.97781660000000004</v>
      </c>
      <c r="AB1266">
        <v>24</v>
      </c>
      <c r="AC1266">
        <v>17.829999999999998</v>
      </c>
      <c r="AD1266">
        <v>-1.120632635874</v>
      </c>
      <c r="AE1266">
        <v>-3.9208999999999601</v>
      </c>
      <c r="AF1266">
        <v>3.8437826384304601</v>
      </c>
      <c r="AG1266">
        <v>-1.120632635874</v>
      </c>
      <c r="AH1266">
        <v>17.776675215364602</v>
      </c>
      <c r="AI1266">
        <v>93.525854617762207</v>
      </c>
      <c r="AJ1266">
        <v>77.798985691931307</v>
      </c>
      <c r="AK1266">
        <v>18.2219829927657</v>
      </c>
      <c r="AL1266">
        <v>80.573147990370899</v>
      </c>
      <c r="AM1266">
        <v>81.171414200829005</v>
      </c>
      <c r="AN1266">
        <v>0.99999995585504398</v>
      </c>
    </row>
    <row r="1267" spans="1:40" x14ac:dyDescent="0.25">
      <c r="A1267" t="str">
        <f>"20190303162236096"</f>
        <v>20190303162236096</v>
      </c>
      <c r="B1267" t="str">
        <f>"1551601356086026"</f>
        <v>1551601356086026</v>
      </c>
      <c r="C1267" t="s">
        <v>40</v>
      </c>
      <c r="D1267">
        <v>5.3386839999999998</v>
      </c>
      <c r="E1267">
        <v>0.52441280000000001</v>
      </c>
      <c r="F1267" t="s">
        <v>44</v>
      </c>
      <c r="G1267">
        <v>-208.50890000000001</v>
      </c>
      <c r="H1267" s="1">
        <v>-5.6594079999999998E-6</v>
      </c>
      <c r="I1267">
        <v>364.02409999999998</v>
      </c>
      <c r="J1267">
        <v>-226.04589999999999</v>
      </c>
      <c r="K1267">
        <v>1.1206160000000001</v>
      </c>
      <c r="L1267">
        <v>367.88929999999999</v>
      </c>
      <c r="M1267">
        <v>0.99993100000000001</v>
      </c>
      <c r="N1267">
        <v>-1.121275E-2</v>
      </c>
      <c r="O1267">
        <v>-3.5318509999999999E-3</v>
      </c>
      <c r="P1267">
        <v>0.976132</v>
      </c>
      <c r="Q1267">
        <v>0.1526846</v>
      </c>
      <c r="R1267">
        <v>-0.1544478</v>
      </c>
      <c r="S1267">
        <v>2.9994960000000002</v>
      </c>
      <c r="T1267">
        <v>-0.18954109999999999</v>
      </c>
      <c r="U1267">
        <v>-0.65386959999999905</v>
      </c>
      <c r="V1267">
        <v>0.15100439999999901</v>
      </c>
      <c r="W1267">
        <v>0.1636213</v>
      </c>
      <c r="X1267">
        <v>0.97489780000000004</v>
      </c>
      <c r="Y1267">
        <v>0.2090718</v>
      </c>
      <c r="Z1267">
        <v>-7.5286340000000002E-3</v>
      </c>
      <c r="AA1267">
        <v>0.9778713</v>
      </c>
      <c r="AB1267">
        <v>24</v>
      </c>
      <c r="AC1267">
        <v>17.5369999999999</v>
      </c>
      <c r="AD1267">
        <v>-1.1206216594080001</v>
      </c>
      <c r="AE1267">
        <v>-3.86520000000001</v>
      </c>
      <c r="AF1267">
        <v>3.78848121079095</v>
      </c>
      <c r="AG1267">
        <v>-1.1206216594080001</v>
      </c>
      <c r="AH1267">
        <v>17.482464331184001</v>
      </c>
      <c r="AI1267">
        <v>93.584650801587301</v>
      </c>
      <c r="AJ1267">
        <v>77.772955478922995</v>
      </c>
      <c r="AK1267">
        <v>17.923307224928401</v>
      </c>
      <c r="AL1267">
        <v>80.582847555002601</v>
      </c>
      <c r="AM1267">
        <v>81.195279462786601</v>
      </c>
      <c r="AN1267">
        <v>0.99999998953894498</v>
      </c>
    </row>
    <row r="1268" spans="1:40" x14ac:dyDescent="0.25">
      <c r="A1268" t="str">
        <f>"20190303162236113"</f>
        <v>20190303162236113</v>
      </c>
      <c r="B1268" t="str">
        <f>"1551601356105546"</f>
        <v>1551601356105546</v>
      </c>
      <c r="C1268" t="s">
        <v>40</v>
      </c>
      <c r="D1268">
        <v>5.3268500000000003</v>
      </c>
      <c r="E1268">
        <v>0.52461630000000004</v>
      </c>
      <c r="F1268" t="s">
        <v>44</v>
      </c>
      <c r="G1268">
        <v>-208.203</v>
      </c>
      <c r="H1268" s="1">
        <v>-5.5613950000000003E-6</v>
      </c>
      <c r="I1268">
        <v>363.99579999999997</v>
      </c>
      <c r="J1268">
        <v>-225.87450000000001</v>
      </c>
      <c r="K1268">
        <v>1.1206039999999999</v>
      </c>
      <c r="L1268">
        <v>367.8886</v>
      </c>
      <c r="M1268">
        <v>0.99993209999999999</v>
      </c>
      <c r="N1268">
        <v>-1.110219E-2</v>
      </c>
      <c r="O1268">
        <v>-3.5433600000000002E-3</v>
      </c>
      <c r="P1268">
        <v>0.97616579999999997</v>
      </c>
      <c r="Q1268">
        <v>0.15283150000000001</v>
      </c>
      <c r="R1268">
        <v>-0.1540879</v>
      </c>
      <c r="S1268">
        <v>2.9992519999999998</v>
      </c>
      <c r="T1268">
        <v>-0.18836800000000001</v>
      </c>
      <c r="U1268">
        <v>-0.65444950000000002</v>
      </c>
      <c r="V1268">
        <v>0.1506323</v>
      </c>
      <c r="W1268">
        <v>0.1636618</v>
      </c>
      <c r="X1268">
        <v>0.97494860000000005</v>
      </c>
      <c r="Y1268">
        <v>0.20926320000000001</v>
      </c>
      <c r="Z1268">
        <v>-7.4844109999999998E-3</v>
      </c>
      <c r="AA1268">
        <v>0.97783070000000005</v>
      </c>
      <c r="AB1268">
        <v>24</v>
      </c>
      <c r="AC1268">
        <v>17.671500000000002</v>
      </c>
      <c r="AD1268">
        <v>-1.120609561395</v>
      </c>
      <c r="AE1268">
        <v>-3.8928000000000198</v>
      </c>
      <c r="AF1268">
        <v>3.8155221101817398</v>
      </c>
      <c r="AG1268">
        <v>-1.120609561395</v>
      </c>
      <c r="AH1268">
        <v>17.617617266947502</v>
      </c>
      <c r="AI1268">
        <v>93.557277497624995</v>
      </c>
      <c r="AJ1268">
        <v>77.779935500170595</v>
      </c>
      <c r="AK1268">
        <v>18.060853050922699</v>
      </c>
      <c r="AL1268">
        <v>80.580495691986101</v>
      </c>
      <c r="AM1268">
        <v>81.217087556253901</v>
      </c>
      <c r="AN1268">
        <v>1.0000000236122399</v>
      </c>
    </row>
    <row r="1269" spans="1:40" x14ac:dyDescent="0.25">
      <c r="A1269" t="str">
        <f>"20190303162236129"</f>
        <v>20190303162236129</v>
      </c>
      <c r="B1269" t="str">
        <f>"1551601356115307"</f>
        <v>1551601356115307</v>
      </c>
      <c r="C1269" t="s">
        <v>40</v>
      </c>
      <c r="D1269">
        <v>5.3237269999999999</v>
      </c>
      <c r="E1269">
        <v>0.52470550000000005</v>
      </c>
      <c r="F1269" t="s">
        <v>44</v>
      </c>
      <c r="G1269">
        <v>-207.8879</v>
      </c>
      <c r="H1269" s="1">
        <v>-5.4613669999999996E-6</v>
      </c>
      <c r="I1269">
        <v>363.96100000000001</v>
      </c>
      <c r="J1269">
        <v>-225.6977</v>
      </c>
      <c r="K1269">
        <v>1.120592</v>
      </c>
      <c r="L1269">
        <v>367.88799999999998</v>
      </c>
      <c r="M1269">
        <v>0.99993330000000002</v>
      </c>
      <c r="N1269">
        <v>-1.0996290000000001E-2</v>
      </c>
      <c r="O1269">
        <v>-3.5520730000000002E-3</v>
      </c>
      <c r="P1269">
        <v>0.9762229</v>
      </c>
      <c r="Q1269">
        <v>0.1527926</v>
      </c>
      <c r="R1269">
        <v>-0.15376379999999901</v>
      </c>
      <c r="S1269">
        <v>2.9991150000000002</v>
      </c>
      <c r="T1269">
        <v>-0.18685260000000001</v>
      </c>
      <c r="U1269">
        <v>-0.65490719999999902</v>
      </c>
      <c r="V1269">
        <v>0.1502995</v>
      </c>
      <c r="W1269">
        <v>0.1635202</v>
      </c>
      <c r="X1269">
        <v>0.97502370000000005</v>
      </c>
      <c r="Y1269">
        <v>0.20941360000000001</v>
      </c>
      <c r="Z1269">
        <v>-7.4276780000000001E-3</v>
      </c>
      <c r="AA1269">
        <v>0.97779890000000003</v>
      </c>
      <c r="AB1269">
        <v>24</v>
      </c>
      <c r="AC1269">
        <v>17.8097999999999</v>
      </c>
      <c r="AD1269">
        <v>-1.120597461367</v>
      </c>
      <c r="AE1269">
        <v>-3.92700000000002</v>
      </c>
      <c r="AF1269">
        <v>3.8491774879811902</v>
      </c>
      <c r="AG1269">
        <v>-1.120597461367</v>
      </c>
      <c r="AH1269">
        <v>17.756599107734001</v>
      </c>
      <c r="AI1269">
        <v>93.529321255981699</v>
      </c>
      <c r="AJ1269">
        <v>77.768977346194006</v>
      </c>
      <c r="AK1269">
        <v>18.203535861946801</v>
      </c>
      <c r="AL1269">
        <v>80.588719392462494</v>
      </c>
      <c r="AM1269">
        <v>81.236855087258206</v>
      </c>
      <c r="AN1269">
        <v>1.00000000553499</v>
      </c>
    </row>
    <row r="1270" spans="1:40" x14ac:dyDescent="0.25">
      <c r="A1270" t="str">
        <f>"20190303162236152"</f>
        <v>20190303162236152</v>
      </c>
      <c r="B1270" t="str">
        <f>"1551601356145563"</f>
        <v>1551601356145563</v>
      </c>
      <c r="C1270" t="s">
        <v>40</v>
      </c>
      <c r="D1270">
        <v>5.3242859999999999</v>
      </c>
      <c r="E1270">
        <v>0.52496469999999995</v>
      </c>
      <c r="F1270" t="s">
        <v>44</v>
      </c>
      <c r="G1270">
        <v>-207.6387</v>
      </c>
      <c r="H1270" s="1">
        <v>-5.3797509999999999E-6</v>
      </c>
      <c r="I1270">
        <v>363.94959999999998</v>
      </c>
      <c r="J1270">
        <v>-225.46100000000001</v>
      </c>
      <c r="K1270">
        <v>1.120574</v>
      </c>
      <c r="L1270">
        <v>367.88709999999998</v>
      </c>
      <c r="M1270">
        <v>0.99993469999999995</v>
      </c>
      <c r="N1270">
        <v>-1.086853E-2</v>
      </c>
      <c r="O1270">
        <v>-3.5619029999999999E-3</v>
      </c>
      <c r="P1270">
        <v>0.97622140000000002</v>
      </c>
      <c r="Q1270">
        <v>0.1526856</v>
      </c>
      <c r="R1270">
        <v>-0.15388009999999999</v>
      </c>
      <c r="S1270">
        <v>2.999161</v>
      </c>
      <c r="T1270">
        <v>-0.18610450000000001</v>
      </c>
      <c r="U1270">
        <v>-0.65408330000000003</v>
      </c>
      <c r="V1270">
        <v>0.15040729999999999</v>
      </c>
      <c r="W1270">
        <v>0.1632874</v>
      </c>
      <c r="X1270">
        <v>0.97504610000000003</v>
      </c>
      <c r="Y1270">
        <v>0.20914920000000001</v>
      </c>
      <c r="Z1270">
        <v>-7.3788059999999999E-3</v>
      </c>
      <c r="AA1270">
        <v>0.9778559</v>
      </c>
      <c r="AB1270">
        <v>24</v>
      </c>
      <c r="AC1270">
        <v>17.822299999999899</v>
      </c>
      <c r="AD1270">
        <v>-1.120579379751</v>
      </c>
      <c r="AE1270">
        <v>-3.9375</v>
      </c>
      <c r="AF1270">
        <v>3.85944257541595</v>
      </c>
      <c r="AG1270">
        <v>-1.120579379751</v>
      </c>
      <c r="AH1270">
        <v>17.769235170271699</v>
      </c>
      <c r="AI1270">
        <v>93.526452311530804</v>
      </c>
      <c r="AJ1270">
        <v>77.745801698370499</v>
      </c>
      <c r="AK1270">
        <v>18.2180326510762</v>
      </c>
      <c r="AL1270">
        <v>80.602239651280399</v>
      </c>
      <c r="AM1270">
        <v>81.230865848724406</v>
      </c>
      <c r="AN1270">
        <v>1.00000001400863</v>
      </c>
    </row>
    <row r="1271" spans="1:40" x14ac:dyDescent="0.25">
      <c r="A1271" t="str">
        <f>"20190303162236165"</f>
        <v>20190303162236165</v>
      </c>
      <c r="B1271" t="str">
        <f>"1551601356155323"</f>
        <v>1551601356155323</v>
      </c>
      <c r="C1271" t="s">
        <v>40</v>
      </c>
      <c r="D1271">
        <v>5.3278410000000003</v>
      </c>
      <c r="E1271">
        <v>0.5250823</v>
      </c>
      <c r="F1271" t="s">
        <v>44</v>
      </c>
      <c r="G1271">
        <v>-207.27250000000001</v>
      </c>
      <c r="H1271" s="1">
        <v>-5.2637400000000004E-6</v>
      </c>
      <c r="I1271">
        <v>363.9074</v>
      </c>
      <c r="J1271">
        <v>-225.3253</v>
      </c>
      <c r="K1271">
        <v>1.120566</v>
      </c>
      <c r="L1271">
        <v>367.88659999999999</v>
      </c>
      <c r="M1271">
        <v>0.99993540000000003</v>
      </c>
      <c r="N1271">
        <v>-1.0801120000000001E-2</v>
      </c>
      <c r="O1271">
        <v>-3.5681229999999999E-3</v>
      </c>
      <c r="P1271">
        <v>0.97610739999999996</v>
      </c>
      <c r="Q1271">
        <v>0.15313199999999999</v>
      </c>
      <c r="R1271">
        <v>-0.1541594</v>
      </c>
      <c r="S1271">
        <v>2.998535</v>
      </c>
      <c r="T1271">
        <v>-0.18473790000000001</v>
      </c>
      <c r="U1271">
        <v>-0.65609740000000005</v>
      </c>
      <c r="V1271">
        <v>0.1506818</v>
      </c>
      <c r="W1271">
        <v>0.16366649999999999</v>
      </c>
      <c r="X1271">
        <v>0.97494009999999998</v>
      </c>
      <c r="Y1271">
        <v>0.20981749999999999</v>
      </c>
      <c r="Z1271">
        <v>-7.3506099999999996E-3</v>
      </c>
      <c r="AA1271">
        <v>0.9777129</v>
      </c>
      <c r="AB1271">
        <v>24</v>
      </c>
      <c r="AC1271">
        <v>18.052799999999898</v>
      </c>
      <c r="AD1271">
        <v>-1.12057126374</v>
      </c>
      <c r="AE1271">
        <v>-3.9791999999999899</v>
      </c>
      <c r="AF1271">
        <v>3.9004245926493502</v>
      </c>
      <c r="AG1271">
        <v>-1.12057126374</v>
      </c>
      <c r="AH1271">
        <v>18.000742280893402</v>
      </c>
      <c r="AI1271">
        <v>93.481557577176005</v>
      </c>
      <c r="AJ1271">
        <v>77.774075416103699</v>
      </c>
      <c r="AK1271">
        <v>18.4525259686366</v>
      </c>
      <c r="AL1271">
        <v>80.580222148110906</v>
      </c>
      <c r="AM1271">
        <v>81.214170981128404</v>
      </c>
      <c r="AN1271">
        <v>0.99999996333074903</v>
      </c>
    </row>
    <row r="1272" spans="1:40" x14ac:dyDescent="0.25">
      <c r="A1272" t="str">
        <f>"20190303162236177"</f>
        <v>20190303162236177</v>
      </c>
      <c r="B1272" t="str">
        <f>"1551601356166059"</f>
        <v>1551601356166059</v>
      </c>
      <c r="C1272" t="s">
        <v>40</v>
      </c>
      <c r="D1272">
        <v>5.321027</v>
      </c>
      <c r="E1272">
        <v>0.5250823</v>
      </c>
      <c r="F1272" t="s">
        <v>44</v>
      </c>
      <c r="G1272">
        <v>-206.93450000000001</v>
      </c>
      <c r="H1272" s="1">
        <v>-5.1341779999999997E-6</v>
      </c>
      <c r="I1272">
        <v>363.8519</v>
      </c>
      <c r="J1272">
        <v>-225.18260000000001</v>
      </c>
      <c r="K1272">
        <v>1.1205609999999999</v>
      </c>
      <c r="L1272">
        <v>367.8861</v>
      </c>
      <c r="M1272">
        <v>0.99993589999999999</v>
      </c>
      <c r="N1272">
        <v>-1.073699E-2</v>
      </c>
      <c r="O1272">
        <v>-3.5759170000000001E-3</v>
      </c>
      <c r="P1272">
        <v>0.97603770000000001</v>
      </c>
      <c r="Q1272">
        <v>0.15313309999999999</v>
      </c>
      <c r="R1272">
        <v>-0.1545974</v>
      </c>
      <c r="S1272">
        <v>2.9982150000000001</v>
      </c>
      <c r="T1272">
        <v>-0.18268480000000001</v>
      </c>
      <c r="U1272">
        <v>-0.65777589999999997</v>
      </c>
      <c r="V1272">
        <v>0.15111359999999999</v>
      </c>
      <c r="W1272">
        <v>0.16360350000000001</v>
      </c>
      <c r="X1272">
        <v>0.97488390000000003</v>
      </c>
      <c r="Y1272">
        <v>0.2103622</v>
      </c>
      <c r="Z1272">
        <v>-7.29445599999999E-3</v>
      </c>
      <c r="AA1272">
        <v>0.97759629999999997</v>
      </c>
      <c r="AB1272">
        <v>24</v>
      </c>
      <c r="AC1272">
        <v>18.248099999999901</v>
      </c>
      <c r="AD1272">
        <v>-1.120566134178</v>
      </c>
      <c r="AE1272">
        <v>-4.0341999999999896</v>
      </c>
      <c r="AF1272">
        <v>3.9546990348513802</v>
      </c>
      <c r="AG1272">
        <v>-1.120566134178</v>
      </c>
      <c r="AH1272">
        <v>18.1969893161024</v>
      </c>
      <c r="AI1272">
        <v>93.443625754265597</v>
      </c>
      <c r="AJ1272">
        <v>77.738738598609999</v>
      </c>
      <c r="AK1272">
        <v>18.6554478125739</v>
      </c>
      <c r="AL1272">
        <v>80.583881658067099</v>
      </c>
      <c r="AM1272">
        <v>81.188888478654704</v>
      </c>
      <c r="AN1272">
        <v>1.0000000218981999</v>
      </c>
    </row>
    <row r="1273" spans="1:40" x14ac:dyDescent="0.25">
      <c r="A1273" t="str">
        <f>"20190303162236197"</f>
        <v>20190303162236197</v>
      </c>
      <c r="B1273" t="str">
        <f>"1551601356185579"</f>
        <v>1551601356185579</v>
      </c>
      <c r="C1273" t="s">
        <v>40</v>
      </c>
      <c r="D1273">
        <v>5.34056</v>
      </c>
      <c r="E1273">
        <v>0.53159219999999996</v>
      </c>
      <c r="F1273" t="s">
        <v>44</v>
      </c>
      <c r="G1273">
        <v>-206.804</v>
      </c>
      <c r="H1273" s="1">
        <v>-5.0742609999999998E-6</v>
      </c>
      <c r="I1273">
        <v>363.84789999999998</v>
      </c>
      <c r="J1273">
        <v>-224.9828</v>
      </c>
      <c r="K1273">
        <v>1.1205540000000001</v>
      </c>
      <c r="L1273">
        <v>367.88529999999997</v>
      </c>
      <c r="M1273">
        <v>0.99993679999999996</v>
      </c>
      <c r="N1273">
        <v>-1.0655090000000001E-2</v>
      </c>
      <c r="O1273">
        <v>-3.589708E-3</v>
      </c>
      <c r="P1273">
        <v>0.97579570000000004</v>
      </c>
      <c r="Q1273">
        <v>0.153516299999999</v>
      </c>
      <c r="R1273">
        <v>-0.15574209999999999</v>
      </c>
      <c r="S1273">
        <v>2.9980009999999999</v>
      </c>
      <c r="T1273">
        <v>-0.18279119999999999</v>
      </c>
      <c r="U1273">
        <v>-0.65872189999999997</v>
      </c>
      <c r="V1273">
        <v>0.15224689999999999</v>
      </c>
      <c r="W1273">
        <v>0.1639022</v>
      </c>
      <c r="X1273">
        <v>0.97465740000000001</v>
      </c>
      <c r="Y1273">
        <v>0.21065700000000001</v>
      </c>
      <c r="Z1273">
        <v>-7.2990349999999997E-3</v>
      </c>
      <c r="AA1273">
        <v>0.97753279999999998</v>
      </c>
      <c r="AB1273">
        <v>24</v>
      </c>
      <c r="AC1273">
        <v>18.178799999999899</v>
      </c>
      <c r="AD1273">
        <v>-1.1205590742610001</v>
      </c>
      <c r="AE1273">
        <v>-4.0373999999999901</v>
      </c>
      <c r="AF1273">
        <v>3.9577825569698302</v>
      </c>
      <c r="AG1273">
        <v>-1.1205590742610001</v>
      </c>
      <c r="AH1273">
        <v>18.127536919250801</v>
      </c>
      <c r="AI1273">
        <v>93.456046701177399</v>
      </c>
      <c r="AJ1273">
        <v>77.683887815420107</v>
      </c>
      <c r="AK1273">
        <v>18.588364375758399</v>
      </c>
      <c r="AL1273">
        <v>80.566533483183207</v>
      </c>
      <c r="AM1273">
        <v>81.121826694083794</v>
      </c>
      <c r="AN1273">
        <v>1.0000000485495999</v>
      </c>
    </row>
    <row r="1274" spans="1:40" x14ac:dyDescent="0.25">
      <c r="A1274" t="str">
        <f>"20190303162236235"</f>
        <v>20190303162236235</v>
      </c>
      <c r="B1274" t="str">
        <f>"1551601356225595"</f>
        <v>1551601356225595</v>
      </c>
      <c r="C1274" t="s">
        <v>40</v>
      </c>
      <c r="D1274">
        <v>5.3572959999999998</v>
      </c>
      <c r="E1274">
        <v>0.53194370000000002</v>
      </c>
      <c r="F1274" t="s">
        <v>44</v>
      </c>
      <c r="G1274">
        <v>-200.30510000000001</v>
      </c>
      <c r="H1274" s="1">
        <v>-2.2051650000000002E-6</v>
      </c>
      <c r="I1274">
        <v>361.98700000000002</v>
      </c>
      <c r="J1274">
        <v>-224.5823</v>
      </c>
      <c r="K1274">
        <v>1.120541</v>
      </c>
      <c r="L1274">
        <v>367.88389999999998</v>
      </c>
      <c r="M1274">
        <v>0.9999382</v>
      </c>
      <c r="N1274">
        <v>-1.0517800000000001E-2</v>
      </c>
      <c r="O1274">
        <v>-3.6267109999999999E-3</v>
      </c>
      <c r="P1274">
        <v>0.97537689999999999</v>
      </c>
      <c r="Q1274">
        <v>0.1539681</v>
      </c>
      <c r="R1274">
        <v>-0.1579055</v>
      </c>
      <c r="S1274">
        <v>2.981995</v>
      </c>
      <c r="T1274">
        <v>-0.13540529999999901</v>
      </c>
      <c r="U1274">
        <v>-0.71273799999999998</v>
      </c>
      <c r="V1274">
        <v>0.1543775</v>
      </c>
      <c r="W1274">
        <v>0.16421450000000001</v>
      </c>
      <c r="X1274">
        <v>0.97426959999999996</v>
      </c>
      <c r="Y1274">
        <v>0.22866210000000001</v>
      </c>
      <c r="Z1274">
        <v>-6.2121600000000004E-3</v>
      </c>
      <c r="AA1274">
        <v>0.97348599999999996</v>
      </c>
      <c r="AB1274">
        <v>24</v>
      </c>
      <c r="AC1274">
        <v>24.277200000000001</v>
      </c>
      <c r="AD1274">
        <v>-1.1205432051649999</v>
      </c>
      <c r="AE1274">
        <v>-5.8969000000000102</v>
      </c>
      <c r="AF1274">
        <v>5.7971478163258201</v>
      </c>
      <c r="AG1274">
        <v>-1.1205432051649999</v>
      </c>
      <c r="AH1274">
        <v>24.249644739926499</v>
      </c>
      <c r="AI1274">
        <v>92.573270033616595</v>
      </c>
      <c r="AJ1274">
        <v>76.555140327162803</v>
      </c>
      <c r="AK1274">
        <v>24.958121121022302</v>
      </c>
      <c r="AL1274">
        <v>80.548394098031096</v>
      </c>
      <c r="AM1274">
        <v>80.996078548272294</v>
      </c>
      <c r="AN1274">
        <v>1.0000000340003199</v>
      </c>
    </row>
    <row r="1275" spans="1:40" x14ac:dyDescent="0.25">
      <c r="A1275" t="str">
        <f>"20190303162236252"</f>
        <v>20190303162236252</v>
      </c>
      <c r="B1275" t="str">
        <f>"1551601356245114"</f>
        <v>1551601356245114</v>
      </c>
      <c r="C1275" t="s">
        <v>40</v>
      </c>
      <c r="D1275">
        <v>5.3785610000000004</v>
      </c>
      <c r="E1275">
        <v>0.53204609999999997</v>
      </c>
      <c r="F1275" t="s">
        <v>44</v>
      </c>
      <c r="G1275">
        <v>-200.47329999999999</v>
      </c>
      <c r="H1275" s="1">
        <v>-2.288494E-6</v>
      </c>
      <c r="I1275">
        <v>362.048</v>
      </c>
      <c r="J1275">
        <v>-224.3877</v>
      </c>
      <c r="K1275">
        <v>1.1205459999999901</v>
      </c>
      <c r="L1275">
        <v>367.88310000000001</v>
      </c>
      <c r="M1275">
        <v>0.99993869999999896</v>
      </c>
      <c r="N1275">
        <v>-1.046249E-2</v>
      </c>
      <c r="O1275">
        <v>-3.6478959999999999E-3</v>
      </c>
      <c r="P1275">
        <v>0.97513530000000004</v>
      </c>
      <c r="Q1275">
        <v>0.15414559999999999</v>
      </c>
      <c r="R1275">
        <v>-0.15921920000000001</v>
      </c>
      <c r="S1275">
        <v>2.9807739999999998</v>
      </c>
      <c r="T1275">
        <v>-0.1385411</v>
      </c>
      <c r="U1275">
        <v>-0.72152709999999998</v>
      </c>
      <c r="V1275">
        <v>0.155672</v>
      </c>
      <c r="W1275">
        <v>0.16433490000000001</v>
      </c>
      <c r="X1275">
        <v>0.97404329999999995</v>
      </c>
      <c r="Y1275">
        <v>0.2314293</v>
      </c>
      <c r="Z1275">
        <v>-6.3981949999999998E-3</v>
      </c>
      <c r="AA1275">
        <v>0.97283070000000005</v>
      </c>
      <c r="AB1275">
        <v>24</v>
      </c>
      <c r="AC1275">
        <v>23.914400000000001</v>
      </c>
      <c r="AD1275">
        <v>-1.1205482884939999</v>
      </c>
      <c r="AE1275">
        <v>-5.8351000000000104</v>
      </c>
      <c r="AF1275">
        <v>5.7359332983766498</v>
      </c>
      <c r="AG1275">
        <v>-1.1205482884939999</v>
      </c>
      <c r="AH1275">
        <v>23.8860318129795</v>
      </c>
      <c r="AI1275">
        <v>92.611764232456906</v>
      </c>
      <c r="AJ1275">
        <v>76.496814825065101</v>
      </c>
      <c r="AK1275">
        <v>24.5906298219655</v>
      </c>
      <c r="AL1275">
        <v>80.541400741298403</v>
      </c>
      <c r="AM1275">
        <v>80.919756241787397</v>
      </c>
      <c r="AN1275">
        <v>1.0000000406084399</v>
      </c>
    </row>
    <row r="1276" spans="1:40" x14ac:dyDescent="0.25">
      <c r="A1276" t="str">
        <f>"20190303162236267"</f>
        <v>20190303162236267</v>
      </c>
      <c r="B1276" t="str">
        <f>"1551601356255851"</f>
        <v>1551601356255851</v>
      </c>
      <c r="C1276" t="s">
        <v>40</v>
      </c>
      <c r="D1276">
        <v>5.3531319999999996</v>
      </c>
      <c r="E1276">
        <v>0.53402109999999903</v>
      </c>
      <c r="F1276" t="s">
        <v>44</v>
      </c>
      <c r="G1276">
        <v>-200.4375</v>
      </c>
      <c r="H1276" s="1">
        <v>-2.268249E-6</v>
      </c>
      <c r="I1276">
        <v>362.04430000000002</v>
      </c>
      <c r="J1276">
        <v>-224.23609999999999</v>
      </c>
      <c r="K1276">
        <v>1.120544</v>
      </c>
      <c r="L1276">
        <v>367.88249999999999</v>
      </c>
      <c r="M1276">
        <v>0.99993909999999997</v>
      </c>
      <c r="N1276">
        <v>-1.042363E-2</v>
      </c>
      <c r="O1276">
        <v>-3.665228E-3</v>
      </c>
      <c r="P1276">
        <v>0.97501090000000001</v>
      </c>
      <c r="Q1276">
        <v>0.1543601</v>
      </c>
      <c r="R1276">
        <v>-0.1597721</v>
      </c>
      <c r="S1276">
        <v>2.9799190000000002</v>
      </c>
      <c r="T1276">
        <v>-0.13941999999999999</v>
      </c>
      <c r="U1276">
        <v>-0.72647090000000003</v>
      </c>
      <c r="V1276">
        <v>0.15620889999999901</v>
      </c>
      <c r="W1276">
        <v>0.16450989999999999</v>
      </c>
      <c r="X1276">
        <v>0.97392769999999995</v>
      </c>
      <c r="Y1276">
        <v>0.2329948</v>
      </c>
      <c r="Z1276">
        <v>-6.4704319999999999E-3</v>
      </c>
      <c r="AA1276">
        <v>0.97245649999999995</v>
      </c>
      <c r="AB1276">
        <v>24</v>
      </c>
      <c r="AC1276">
        <v>23.7986</v>
      </c>
      <c r="AD1276">
        <v>-1.1205462682489999</v>
      </c>
      <c r="AE1276">
        <v>-5.8381999999999703</v>
      </c>
      <c r="AF1276">
        <v>5.7389280262116404</v>
      </c>
      <c r="AG1276">
        <v>-1.1205462682489999</v>
      </c>
      <c r="AH1276">
        <v>23.770133644386298</v>
      </c>
      <c r="AI1276">
        <v>92.623702739722404</v>
      </c>
      <c r="AJ1276">
        <v>76.426582863498695</v>
      </c>
      <c r="AK1276">
        <v>24.478769828186</v>
      </c>
      <c r="AL1276">
        <v>80.531234731535804</v>
      </c>
      <c r="AM1276">
        <v>80.887900325546795</v>
      </c>
      <c r="AN1276">
        <v>0.99999994623225297</v>
      </c>
    </row>
    <row r="1277" spans="1:40" x14ac:dyDescent="0.25">
      <c r="A1277" t="str">
        <f>"20190303162236291"</f>
        <v>20190303162236291</v>
      </c>
      <c r="B1277" t="str">
        <f>"1551601356285542"</f>
        <v>1551601356285542</v>
      </c>
      <c r="C1277" t="s">
        <v>40</v>
      </c>
      <c r="D1277">
        <v>5.3710459999999998</v>
      </c>
      <c r="E1277">
        <v>0.53367310000000001</v>
      </c>
      <c r="F1277" t="s">
        <v>44</v>
      </c>
      <c r="G1277">
        <v>-205.80969999999999</v>
      </c>
      <c r="H1277" s="1">
        <v>-4.7348839999999997E-6</v>
      </c>
      <c r="I1277">
        <v>363.28960000000001</v>
      </c>
      <c r="J1277">
        <v>-223.97559999999999</v>
      </c>
      <c r="K1277">
        <v>1.1205400000000001</v>
      </c>
      <c r="L1277">
        <v>367.88150000000002</v>
      </c>
      <c r="M1277">
        <v>0.99993949999999998</v>
      </c>
      <c r="N1277">
        <v>-1.0365920000000001E-2</v>
      </c>
      <c r="O1277">
        <v>-3.6962940000000001E-3</v>
      </c>
      <c r="P1277">
        <v>0.97470659999999998</v>
      </c>
      <c r="Q1277">
        <v>0.1547085</v>
      </c>
      <c r="R1277">
        <v>-0.16128319999999999</v>
      </c>
      <c r="S1277">
        <v>2.9837340000000001</v>
      </c>
      <c r="T1277">
        <v>-0.18144689999999999</v>
      </c>
      <c r="U1277">
        <v>-0.74371339999999997</v>
      </c>
      <c r="V1277">
        <v>0.15769140000000001</v>
      </c>
      <c r="W1277">
        <v>0.16479820000000001</v>
      </c>
      <c r="X1277">
        <v>0.97364010000000001</v>
      </c>
      <c r="Y1277">
        <v>0.23778450000000001</v>
      </c>
      <c r="Z1277">
        <v>-8.1836979999999997E-3</v>
      </c>
      <c r="AA1277">
        <v>0.97128340000000002</v>
      </c>
      <c r="AB1277">
        <v>24</v>
      </c>
      <c r="AC1277">
        <v>18.165899999999901</v>
      </c>
      <c r="AD1277">
        <v>-1.1205447348840001</v>
      </c>
      <c r="AE1277">
        <v>-4.5919000000000096</v>
      </c>
      <c r="AF1277">
        <v>4.5085940014242203</v>
      </c>
      <c r="AG1277">
        <v>-1.1205447348840001</v>
      </c>
      <c r="AH1277">
        <v>18.1179528472904</v>
      </c>
      <c r="AI1277">
        <v>93.434592431626697</v>
      </c>
      <c r="AJ1277">
        <v>76.025961951525005</v>
      </c>
      <c r="AK1277">
        <v>18.704097298431499</v>
      </c>
      <c r="AL1277">
        <v>80.514488628094099</v>
      </c>
      <c r="AM1277">
        <v>80.800222829980797</v>
      </c>
      <c r="AN1277">
        <v>1.0000000343426001</v>
      </c>
    </row>
    <row r="1278" spans="1:40" x14ac:dyDescent="0.25">
      <c r="A1278" t="str">
        <f>"20190303162236308"</f>
        <v>20190303162236308</v>
      </c>
      <c r="B1278" t="str">
        <f>"1551601356295302"</f>
        <v>1551601356295302</v>
      </c>
      <c r="C1278" t="s">
        <v>40</v>
      </c>
      <c r="D1278">
        <v>5.3571949999999999</v>
      </c>
      <c r="E1278">
        <v>0.53344759999999902</v>
      </c>
      <c r="F1278" t="s">
        <v>44</v>
      </c>
      <c r="G1278">
        <v>-205.96180000000001</v>
      </c>
      <c r="H1278" s="1">
        <v>-4.7854500000000001E-6</v>
      </c>
      <c r="I1278">
        <v>363.3811</v>
      </c>
      <c r="J1278">
        <v>-223.78919999999999</v>
      </c>
      <c r="K1278">
        <v>1.120528</v>
      </c>
      <c r="L1278">
        <v>367.88080000000002</v>
      </c>
      <c r="M1278">
        <v>0.99993980000000005</v>
      </c>
      <c r="N1278">
        <v>-1.033015E-2</v>
      </c>
      <c r="O1278">
        <v>-3.7188849999999999E-3</v>
      </c>
      <c r="P1278">
        <v>0.97446880000000002</v>
      </c>
      <c r="Q1278">
        <v>0.1540559</v>
      </c>
      <c r="R1278">
        <v>-0.16333349999999999</v>
      </c>
      <c r="S1278">
        <v>2.9839479999999998</v>
      </c>
      <c r="T1278">
        <v>-0.185616</v>
      </c>
      <c r="U1278">
        <v>-0.74548340000000002</v>
      </c>
      <c r="V1278">
        <v>0.15972059999999999</v>
      </c>
      <c r="W1278">
        <v>0.16410820000000001</v>
      </c>
      <c r="X1278">
        <v>0.97342580000000001</v>
      </c>
      <c r="Y1278">
        <v>0.23826729999999999</v>
      </c>
      <c r="Z1278">
        <v>-8.3526590000000001E-3</v>
      </c>
      <c r="AA1278">
        <v>0.97116369999999996</v>
      </c>
      <c r="AB1278">
        <v>24</v>
      </c>
      <c r="AC1278">
        <v>17.827399999999901</v>
      </c>
      <c r="AD1278">
        <v>-1.12053278545</v>
      </c>
      <c r="AE1278">
        <v>-4.4997000000000096</v>
      </c>
      <c r="AF1278">
        <v>4.4169623607712998</v>
      </c>
      <c r="AG1278">
        <v>-1.12053278545</v>
      </c>
      <c r="AH1278">
        <v>17.777982676917599</v>
      </c>
      <c r="AI1278">
        <v>93.500396870131496</v>
      </c>
      <c r="AJ1278">
        <v>76.047302904250799</v>
      </c>
      <c r="AK1278">
        <v>18.352706020653201</v>
      </c>
      <c r="AL1278">
        <v>80.554567885667396</v>
      </c>
      <c r="AM1278">
        <v>80.681886255172003</v>
      </c>
      <c r="AN1278">
        <v>0.99999997973861898</v>
      </c>
    </row>
    <row r="1279" spans="1:40" x14ac:dyDescent="0.25">
      <c r="A1279" t="str">
        <f>"20190303162236324"</f>
        <v>20190303162236324</v>
      </c>
      <c r="B1279" t="str">
        <f>"1551601356315800"</f>
        <v>1551601356315800</v>
      </c>
      <c r="C1279" t="s">
        <v>40</v>
      </c>
      <c r="D1279">
        <v>5.3872650000000002</v>
      </c>
      <c r="E1279">
        <v>0.53354140000000005</v>
      </c>
      <c r="F1279" t="s">
        <v>44</v>
      </c>
      <c r="G1279">
        <v>-206.04949999999999</v>
      </c>
      <c r="H1279" s="1">
        <v>-4.8172460000000002E-6</v>
      </c>
      <c r="I1279">
        <v>363.42200000000003</v>
      </c>
      <c r="J1279">
        <v>-223.62260000000001</v>
      </c>
      <c r="K1279">
        <v>1.1205210000000001</v>
      </c>
      <c r="L1279">
        <v>367.8802</v>
      </c>
      <c r="M1279">
        <v>0.9999401</v>
      </c>
      <c r="N1279">
        <v>-1.030156E-2</v>
      </c>
      <c r="O1279">
        <v>-3.7386540000000001E-3</v>
      </c>
      <c r="P1279">
        <v>0.97437090000000004</v>
      </c>
      <c r="Q1279">
        <v>0.15364079999999999</v>
      </c>
      <c r="R1279">
        <v>-0.1643059</v>
      </c>
      <c r="S1279">
        <v>2.9827119999999998</v>
      </c>
      <c r="T1279">
        <v>-0.18840370000000001</v>
      </c>
      <c r="U1279">
        <v>-0.74969479999999999</v>
      </c>
      <c r="V1279">
        <v>0.16067419999999999</v>
      </c>
      <c r="W1279">
        <v>0.1636637</v>
      </c>
      <c r="X1279">
        <v>0.97334370000000003</v>
      </c>
      <c r="Y1279">
        <v>0.23961569999999999</v>
      </c>
      <c r="Z1279">
        <v>-8.5048280000000007E-3</v>
      </c>
      <c r="AA1279">
        <v>0.97083059999999999</v>
      </c>
      <c r="AB1279">
        <v>24</v>
      </c>
      <c r="AC1279">
        <v>17.5731</v>
      </c>
      <c r="AD1279">
        <v>-1.120525817246</v>
      </c>
      <c r="AE1279">
        <v>-4.4582000000000299</v>
      </c>
      <c r="AF1279">
        <v>4.37575046005853</v>
      </c>
      <c r="AG1279">
        <v>-1.120525817246</v>
      </c>
      <c r="AH1279">
        <v>17.522709789259899</v>
      </c>
      <c r="AI1279">
        <v>93.550186595867402</v>
      </c>
      <c r="AJ1279">
        <v>75.978920141438095</v>
      </c>
      <c r="AK1279">
        <v>18.0955278606191</v>
      </c>
      <c r="AL1279">
        <v>80.580384944517306</v>
      </c>
      <c r="AM1279">
        <v>80.626460958551903</v>
      </c>
      <c r="AN1279">
        <v>0.99999998178650995</v>
      </c>
    </row>
    <row r="1280" spans="1:40" x14ac:dyDescent="0.25">
      <c r="A1280" t="str">
        <f>"20190303162236342"</f>
        <v>20190303162236342</v>
      </c>
      <c r="B1280" t="str">
        <f>"1551601356335317"</f>
        <v>1551601356335317</v>
      </c>
      <c r="C1280" t="s">
        <v>40</v>
      </c>
      <c r="D1280">
        <v>5.3830439999999999</v>
      </c>
      <c r="E1280">
        <v>0.53349550000000001</v>
      </c>
      <c r="F1280" t="s">
        <v>44</v>
      </c>
      <c r="G1280">
        <v>-206.06549999999999</v>
      </c>
      <c r="H1280" s="1">
        <v>-4.8199880000000001E-6</v>
      </c>
      <c r="I1280">
        <v>363.44319999999999</v>
      </c>
      <c r="J1280">
        <v>-223.4314</v>
      </c>
      <c r="K1280">
        <v>1.1205160000000001</v>
      </c>
      <c r="L1280">
        <v>367.87950000000001</v>
      </c>
      <c r="M1280">
        <v>0.9999403</v>
      </c>
      <c r="N1280">
        <v>-1.027288E-2</v>
      </c>
      <c r="O1280">
        <v>-3.7612829999999998E-3</v>
      </c>
      <c r="P1280">
        <v>0.97409210000000002</v>
      </c>
      <c r="Q1280">
        <v>0.1529182</v>
      </c>
      <c r="R1280">
        <v>-0.1666164</v>
      </c>
      <c r="S1280">
        <v>2.9818570000000002</v>
      </c>
      <c r="T1280">
        <v>-0.1903077</v>
      </c>
      <c r="U1280">
        <v>-0.75357059999999998</v>
      </c>
      <c r="V1280">
        <v>0.1629642</v>
      </c>
      <c r="W1280">
        <v>0.1629101</v>
      </c>
      <c r="X1280">
        <v>0.97308939999999999</v>
      </c>
      <c r="Y1280">
        <v>0.24083350000000001</v>
      </c>
      <c r="Z1280">
        <v>-8.6184680000000007E-3</v>
      </c>
      <c r="AA1280">
        <v>0.97052819999999995</v>
      </c>
      <c r="AB1280">
        <v>24</v>
      </c>
      <c r="AC1280">
        <v>17.3659</v>
      </c>
      <c r="AD1280">
        <v>-1.1205208199879999</v>
      </c>
      <c r="AE1280">
        <v>-4.4363000000000099</v>
      </c>
      <c r="AF1280">
        <v>4.3539305784628599</v>
      </c>
      <c r="AG1280">
        <v>-1.1205208199879999</v>
      </c>
      <c r="AH1280">
        <v>17.314792528811299</v>
      </c>
      <c r="AI1280">
        <v>93.591222035119003</v>
      </c>
      <c r="AJ1280">
        <v>75.885199223227701</v>
      </c>
      <c r="AK1280">
        <v>17.8889440355175</v>
      </c>
      <c r="AL1280">
        <v>80.624150665874197</v>
      </c>
      <c r="AM1280">
        <v>80.492847426293395</v>
      </c>
      <c r="AN1280">
        <v>1.0000000057780001</v>
      </c>
    </row>
    <row r="1281" spans="1:40" x14ac:dyDescent="0.25">
      <c r="A1281" t="str">
        <f>"20190303162236364"</f>
        <v>20190303162236364</v>
      </c>
      <c r="B1281" t="str">
        <f>"1551601356355814"</f>
        <v>1551601356355814</v>
      </c>
      <c r="C1281" t="s">
        <v>40</v>
      </c>
      <c r="D1281">
        <v>5.3774089999999903</v>
      </c>
      <c r="E1281">
        <v>0.53356949999999903</v>
      </c>
      <c r="F1281" t="s">
        <v>44</v>
      </c>
      <c r="G1281">
        <v>-206.29769999999999</v>
      </c>
      <c r="H1281" s="1">
        <v>-4.9134750000000004E-6</v>
      </c>
      <c r="I1281">
        <v>363.50940000000003</v>
      </c>
      <c r="J1281">
        <v>-223.19839999999999</v>
      </c>
      <c r="K1281">
        <v>1.1205099999999999</v>
      </c>
      <c r="L1281">
        <v>367.87849999999997</v>
      </c>
      <c r="M1281">
        <v>0.99994050000000001</v>
      </c>
      <c r="N1281">
        <v>-1.024337E-2</v>
      </c>
      <c r="O1281">
        <v>-3.7885560000000002E-3</v>
      </c>
      <c r="P1281">
        <v>0.97363279999999996</v>
      </c>
      <c r="Q1281">
        <v>0.153007</v>
      </c>
      <c r="R1281">
        <v>-0.16920060000000001</v>
      </c>
      <c r="S1281">
        <v>2.980362</v>
      </c>
      <c r="T1281">
        <v>-0.19491140000000001</v>
      </c>
      <c r="U1281">
        <v>-0.76016240000000002</v>
      </c>
      <c r="V1281">
        <v>0.16552349999999999</v>
      </c>
      <c r="W1281">
        <v>0.16296550000000001</v>
      </c>
      <c r="X1281">
        <v>0.97264799999999996</v>
      </c>
      <c r="Y1281">
        <v>0.24290970000000001</v>
      </c>
      <c r="Z1281">
        <v>-8.8696550000000006E-3</v>
      </c>
      <c r="AA1281">
        <v>0.97000839999999999</v>
      </c>
      <c r="AB1281">
        <v>24</v>
      </c>
      <c r="AC1281">
        <v>16.900700000000001</v>
      </c>
      <c r="AD1281">
        <v>-1.1205149134749901</v>
      </c>
      <c r="AE1281">
        <v>-4.36909999999994</v>
      </c>
      <c r="AF1281">
        <v>4.2873707222332502</v>
      </c>
      <c r="AG1281">
        <v>-1.1205149134749901</v>
      </c>
      <c r="AH1281">
        <v>16.8477142442058</v>
      </c>
      <c r="AI1281">
        <v>93.687850478911997</v>
      </c>
      <c r="AJ1281">
        <v>75.722540082730106</v>
      </c>
      <c r="AK1281">
        <v>17.420751322362602</v>
      </c>
      <c r="AL1281">
        <v>80.620933030227206</v>
      </c>
      <c r="AM1281">
        <v>80.342030843592994</v>
      </c>
      <c r="AN1281">
        <v>0.999999957573249</v>
      </c>
    </row>
    <row r="1282" spans="1:40" x14ac:dyDescent="0.25">
      <c r="A1282" t="str">
        <f>"20190303162236378"</f>
        <v>20190303162236378</v>
      </c>
      <c r="B1282" t="str">
        <f>"1551601356365574"</f>
        <v>1551601356365574</v>
      </c>
      <c r="C1282" t="s">
        <v>40</v>
      </c>
      <c r="D1282">
        <v>5.4242140000000001</v>
      </c>
      <c r="E1282">
        <v>0.53356949999999903</v>
      </c>
      <c r="F1282" t="s">
        <v>44</v>
      </c>
      <c r="G1282">
        <v>-205.96520000000001</v>
      </c>
      <c r="H1282" s="1">
        <v>-4.776624E-6</v>
      </c>
      <c r="I1282">
        <v>363.42809999999997</v>
      </c>
      <c r="J1282">
        <v>-223.04169999999999</v>
      </c>
      <c r="K1282">
        <v>1.1205099999999999</v>
      </c>
      <c r="L1282">
        <v>367.87790000000001</v>
      </c>
      <c r="M1282">
        <v>0.99994050000000001</v>
      </c>
      <c r="N1282">
        <v>-1.022868E-2</v>
      </c>
      <c r="O1282">
        <v>-3.8064850000000001E-3</v>
      </c>
      <c r="P1282">
        <v>0.97341940000000005</v>
      </c>
      <c r="Q1282">
        <v>0.15293479999999901</v>
      </c>
      <c r="R1282">
        <v>-0.170487</v>
      </c>
      <c r="S1282">
        <v>2.9780120000000001</v>
      </c>
      <c r="T1282">
        <v>-0.19363259999999999</v>
      </c>
      <c r="U1282">
        <v>-0.76907349999999997</v>
      </c>
      <c r="V1282">
        <v>0.16679359999999999</v>
      </c>
      <c r="W1282">
        <v>0.16287670000000001</v>
      </c>
      <c r="X1282">
        <v>0.97244600000000003</v>
      </c>
      <c r="Y1282">
        <v>0.2457975</v>
      </c>
      <c r="Z1282">
        <v>-8.9280160000000004E-3</v>
      </c>
      <c r="AA1282">
        <v>0.96928009999999998</v>
      </c>
      <c r="AB1282">
        <v>24</v>
      </c>
      <c r="AC1282">
        <v>17.0764999999999</v>
      </c>
      <c r="AD1282">
        <v>-1.120514776624</v>
      </c>
      <c r="AE1282">
        <v>-4.4498000000000397</v>
      </c>
      <c r="AF1282">
        <v>4.3671551402960098</v>
      </c>
      <c r="AG1282">
        <v>-1.120514776624</v>
      </c>
      <c r="AH1282">
        <v>17.024674063719701</v>
      </c>
      <c r="AI1282">
        <v>93.647839971568004</v>
      </c>
      <c r="AJ1282">
        <v>75.612750617805006</v>
      </c>
      <c r="AK1282">
        <v>17.6115622350755</v>
      </c>
      <c r="AL1282">
        <v>80.626090892681901</v>
      </c>
      <c r="AM1282">
        <v>80.267351947736401</v>
      </c>
      <c r="AN1282">
        <v>1.0000000736599199</v>
      </c>
    </row>
    <row r="1283" spans="1:40" x14ac:dyDescent="0.25">
      <c r="A1283" t="str">
        <f>"20190303162236397"</f>
        <v>20190303162236397</v>
      </c>
      <c r="B1283" t="str">
        <f>"1551601356386069"</f>
        <v>1551601356386069</v>
      </c>
      <c r="C1283" t="s">
        <v>40</v>
      </c>
      <c r="D1283">
        <v>5.3908170000000002</v>
      </c>
      <c r="E1283">
        <v>0.53195459999999894</v>
      </c>
      <c r="F1283" t="s">
        <v>44</v>
      </c>
      <c r="G1283">
        <v>-205.83279999999999</v>
      </c>
      <c r="H1283" s="1">
        <v>-4.7190679999999901E-6</v>
      </c>
      <c r="I1283">
        <v>363.40960000000001</v>
      </c>
      <c r="J1283">
        <v>-222.8339</v>
      </c>
      <c r="K1283">
        <v>1.1205069999999999</v>
      </c>
      <c r="L1283">
        <v>367.87700000000001</v>
      </c>
      <c r="M1283">
        <v>0.99994059999999996</v>
      </c>
      <c r="N1283">
        <v>-1.0214900000000001E-2</v>
      </c>
      <c r="O1283">
        <v>-3.8309730000000001E-3</v>
      </c>
      <c r="P1283">
        <v>0.97313769999999999</v>
      </c>
      <c r="Q1283">
        <v>0.1519742</v>
      </c>
      <c r="R1283">
        <v>-0.17293649999999999</v>
      </c>
      <c r="S1283">
        <v>2.9769899999999998</v>
      </c>
      <c r="T1283">
        <v>-0.19383900000000001</v>
      </c>
      <c r="U1283">
        <v>-0.77297969999999905</v>
      </c>
      <c r="V1283">
        <v>0.16922039999999999</v>
      </c>
      <c r="W1283">
        <v>0.1618994</v>
      </c>
      <c r="X1283">
        <v>0.97218979999999999</v>
      </c>
      <c r="Y1283">
        <v>0.24704209999999999</v>
      </c>
      <c r="Z1283">
        <v>-8.9808089999999993E-3</v>
      </c>
      <c r="AA1283">
        <v>0.96896309999999997</v>
      </c>
      <c r="AB1283">
        <v>24</v>
      </c>
      <c r="AC1283">
        <v>17.001100000000001</v>
      </c>
      <c r="AD1283">
        <v>-1.1205117190679901</v>
      </c>
      <c r="AE1283">
        <v>-4.4673999999999401</v>
      </c>
      <c r="AF1283">
        <v>4.38441776567229</v>
      </c>
      <c r="AG1283">
        <v>-1.1205117190679901</v>
      </c>
      <c r="AH1283">
        <v>16.949220464993601</v>
      </c>
      <c r="AI1283">
        <v>93.662118567795503</v>
      </c>
      <c r="AJ1283">
        <v>75.4966689488501</v>
      </c>
      <c r="AK1283">
        <v>17.5429398912346</v>
      </c>
      <c r="AL1283">
        <v>80.682838430214602</v>
      </c>
      <c r="AM1283">
        <v>80.125960778602007</v>
      </c>
      <c r="AN1283">
        <v>0.99999998336027895</v>
      </c>
    </row>
    <row r="1284" spans="1:40" x14ac:dyDescent="0.25">
      <c r="A1284" t="str">
        <f>"20190303162236412"</f>
        <v>20190303162236412</v>
      </c>
      <c r="B1284" t="str">
        <f>"1551601356405590"</f>
        <v>1551601356405590</v>
      </c>
      <c r="C1284" t="s">
        <v>40</v>
      </c>
      <c r="D1284">
        <v>5.4101359999999996</v>
      </c>
      <c r="E1284">
        <v>0.53061879999999995</v>
      </c>
      <c r="F1284" t="s">
        <v>44</v>
      </c>
      <c r="G1284">
        <v>-206.8475</v>
      </c>
      <c r="H1284" s="1">
        <v>-5.1143479999999999E-6</v>
      </c>
      <c r="I1284">
        <v>363.75869999999998</v>
      </c>
      <c r="J1284">
        <v>-222.67500000000001</v>
      </c>
      <c r="K1284">
        <v>1.120501</v>
      </c>
      <c r="L1284">
        <v>367.87639999999999</v>
      </c>
      <c r="M1284">
        <v>0.99994050000000001</v>
      </c>
      <c r="N1284">
        <v>-1.020833E-2</v>
      </c>
      <c r="O1284">
        <v>-3.8516990000000001E-3</v>
      </c>
      <c r="P1284">
        <v>0.97299990000000003</v>
      </c>
      <c r="Q1284">
        <v>0.15153320000000001</v>
      </c>
      <c r="R1284">
        <v>-0.17409549999999999</v>
      </c>
      <c r="S1284">
        <v>2.979034</v>
      </c>
      <c r="T1284">
        <v>-0.20880650000000001</v>
      </c>
      <c r="U1284">
        <v>-0.76745609999999997</v>
      </c>
      <c r="V1284">
        <v>0.17035999999999901</v>
      </c>
      <c r="W1284">
        <v>0.16145000000000001</v>
      </c>
      <c r="X1284">
        <v>0.97206550000000003</v>
      </c>
      <c r="Y1284">
        <v>0.2450977</v>
      </c>
      <c r="Z1284">
        <v>-9.4880199999999998E-3</v>
      </c>
      <c r="AA1284">
        <v>0.96945199999999998</v>
      </c>
      <c r="AB1284">
        <v>24</v>
      </c>
      <c r="AC1284">
        <v>15.827500000000001</v>
      </c>
      <c r="AD1284">
        <v>-1.120506114348</v>
      </c>
      <c r="AE1284">
        <v>-4.1177000000000099</v>
      </c>
      <c r="AF1284">
        <v>4.03774952613057</v>
      </c>
      <c r="AG1284">
        <v>-1.120506114348</v>
      </c>
      <c r="AH1284">
        <v>15.7692197506819</v>
      </c>
      <c r="AI1284">
        <v>93.937790090308496</v>
      </c>
      <c r="AJ1284">
        <v>75.637835746561706</v>
      </c>
      <c r="AK1284">
        <v>16.316471638603598</v>
      </c>
      <c r="AL1284">
        <v>80.7089304254296</v>
      </c>
      <c r="AM1284">
        <v>80.0595410438046</v>
      </c>
      <c r="AN1284">
        <v>0.99999998419512404</v>
      </c>
    </row>
    <row r="1285" spans="1:40" x14ac:dyDescent="0.25">
      <c r="A1285" t="str">
        <f>"20190303162236426"</f>
        <v>20190303162236426</v>
      </c>
      <c r="B1285" t="str">
        <f>"1551601356415351"</f>
        <v>1551601356415351</v>
      </c>
      <c r="C1285" t="s">
        <v>40</v>
      </c>
      <c r="D1285">
        <v>5.4374789999999997</v>
      </c>
      <c r="E1285">
        <v>0.5301034</v>
      </c>
      <c r="F1285" t="s">
        <v>44</v>
      </c>
      <c r="G1285">
        <v>-207.51509999999999</v>
      </c>
      <c r="H1285" s="1">
        <v>-5.329116E-6</v>
      </c>
      <c r="I1285">
        <v>364.00869999999998</v>
      </c>
      <c r="J1285">
        <v>-222.5361</v>
      </c>
      <c r="K1285">
        <v>1.1204970000000001</v>
      </c>
      <c r="L1285">
        <v>367.87580000000003</v>
      </c>
      <c r="M1285">
        <v>0.99994059999999996</v>
      </c>
      <c r="N1285">
        <v>-1.020421E-2</v>
      </c>
      <c r="O1285">
        <v>-3.8728090000000001E-3</v>
      </c>
      <c r="P1285">
        <v>0.97271660000000004</v>
      </c>
      <c r="Q1285">
        <v>0.15063799999999999</v>
      </c>
      <c r="R1285">
        <v>-0.1764404</v>
      </c>
      <c r="S1285">
        <v>2.9814609999999999</v>
      </c>
      <c r="T1285">
        <v>-0.2203668</v>
      </c>
      <c r="U1285">
        <v>-0.76065059999999995</v>
      </c>
      <c r="V1285">
        <v>0.17268649999999999</v>
      </c>
      <c r="W1285">
        <v>0.16054689999999999</v>
      </c>
      <c r="X1285">
        <v>0.97180460000000002</v>
      </c>
      <c r="Y1285">
        <v>0.24274899999999999</v>
      </c>
      <c r="Z1285">
        <v>-9.8356190000000003E-3</v>
      </c>
      <c r="AA1285">
        <v>0.97003919999999999</v>
      </c>
      <c r="AB1285">
        <v>24</v>
      </c>
      <c r="AC1285">
        <v>15.021000000000001</v>
      </c>
      <c r="AD1285">
        <v>-1.1205023291159999</v>
      </c>
      <c r="AE1285">
        <v>-3.8671000000000402</v>
      </c>
      <c r="AF1285">
        <v>3.7891204656113202</v>
      </c>
      <c r="AG1285">
        <v>-1.1205023291159999</v>
      </c>
      <c r="AH1285">
        <v>14.957805289540399</v>
      </c>
      <c r="AI1285">
        <v>94.153365012499606</v>
      </c>
      <c r="AJ1285">
        <v>75.784831178622198</v>
      </c>
      <c r="AK1285">
        <v>15.470904900886399</v>
      </c>
      <c r="AL1285">
        <v>80.761358867685601</v>
      </c>
      <c r="AM1285">
        <v>79.923903481786894</v>
      </c>
      <c r="AN1285">
        <v>1.0000000574815</v>
      </c>
    </row>
    <row r="1286" spans="1:40" x14ac:dyDescent="0.25">
      <c r="A1286" t="str">
        <f>"20190303162236440"</f>
        <v>20190303162236440</v>
      </c>
      <c r="B1286" t="str">
        <f>"1551601356426086"</f>
        <v>1551601356426086</v>
      </c>
      <c r="C1286" t="s">
        <v>40</v>
      </c>
      <c r="D1286">
        <v>5.4374690000000001</v>
      </c>
      <c r="E1286">
        <v>0.52962019999999999</v>
      </c>
      <c r="F1286" t="s">
        <v>44</v>
      </c>
      <c r="G1286">
        <v>-207.81970000000001</v>
      </c>
      <c r="H1286" s="1">
        <v>-5.4160749999999996E-6</v>
      </c>
      <c r="I1286">
        <v>364.10489999999999</v>
      </c>
      <c r="J1286">
        <v>-222.37559999999999</v>
      </c>
      <c r="K1286">
        <v>1.1204889999999901</v>
      </c>
      <c r="L1286">
        <v>367.87520000000001</v>
      </c>
      <c r="M1286">
        <v>0.99994039999999995</v>
      </c>
      <c r="N1286">
        <v>-1.020127E-2</v>
      </c>
      <c r="O1286">
        <v>-3.904687E-3</v>
      </c>
      <c r="P1286">
        <v>0.97258299999999998</v>
      </c>
      <c r="Q1286">
        <v>0.1502443</v>
      </c>
      <c r="R1286">
        <v>-0.17750839999999901</v>
      </c>
      <c r="S1286">
        <v>2.9807429999999999</v>
      </c>
      <c r="T1286">
        <v>-0.22695299999999999</v>
      </c>
      <c r="U1286">
        <v>-0.76379390000000003</v>
      </c>
      <c r="V1286">
        <v>0.17372589999999999</v>
      </c>
      <c r="W1286">
        <v>0.16014679999999901</v>
      </c>
      <c r="X1286">
        <v>0.97168529999999997</v>
      </c>
      <c r="Y1286">
        <v>0.2436913</v>
      </c>
      <c r="Z1286">
        <v>-1.0128949999999999E-2</v>
      </c>
      <c r="AA1286">
        <v>0.9698</v>
      </c>
      <c r="AB1286">
        <v>24</v>
      </c>
      <c r="AC1286">
        <v>14.5558999999999</v>
      </c>
      <c r="AD1286">
        <v>-1.1204944160750001</v>
      </c>
      <c r="AE1286">
        <v>-3.7703000000000202</v>
      </c>
      <c r="AF1286">
        <v>3.6929247110186001</v>
      </c>
      <c r="AG1286">
        <v>-1.1204944160750001</v>
      </c>
      <c r="AH1286">
        <v>14.490046265158</v>
      </c>
      <c r="AI1286">
        <v>94.2853508883546</v>
      </c>
      <c r="AJ1286">
        <v>75.702011555054398</v>
      </c>
      <c r="AK1286">
        <v>14.995153931324801</v>
      </c>
      <c r="AL1286">
        <v>80.784582919954701</v>
      </c>
      <c r="AM1286">
        <v>79.863290561380794</v>
      </c>
      <c r="AN1286">
        <v>1.0000000040585699</v>
      </c>
    </row>
    <row r="1287" spans="1:40" x14ac:dyDescent="0.25">
      <c r="A1287" t="str">
        <f>"20190303162236521"</f>
        <v>20190303162236521</v>
      </c>
      <c r="B1287" t="str">
        <f>"1551601356515878"</f>
        <v>1551601356515878</v>
      </c>
      <c r="C1287" t="s">
        <v>40</v>
      </c>
      <c r="D1287">
        <v>5.4261929999999996</v>
      </c>
      <c r="E1287">
        <v>0.52744869999999899</v>
      </c>
      <c r="F1287" t="s">
        <v>44</v>
      </c>
      <c r="G1287">
        <v>-207.8895</v>
      </c>
      <c r="H1287" s="1">
        <v>-5.429573E-6</v>
      </c>
      <c r="I1287">
        <v>364.16789999999997</v>
      </c>
      <c r="J1287">
        <v>-221.50200000000001</v>
      </c>
      <c r="K1287">
        <v>1.12035</v>
      </c>
      <c r="L1287">
        <v>367.87110000000001</v>
      </c>
      <c r="M1287">
        <v>0.9999382</v>
      </c>
      <c r="N1287">
        <v>-1.020137E-2</v>
      </c>
      <c r="O1287">
        <v>-4.4187640000000004E-3</v>
      </c>
      <c r="P1287">
        <v>0.97114619999999996</v>
      </c>
      <c r="Q1287">
        <v>0.15045430000000001</v>
      </c>
      <c r="R1287">
        <v>-0.18503700000000001</v>
      </c>
      <c r="S1287">
        <v>2.9809269999999999</v>
      </c>
      <c r="T1287">
        <v>-0.23057340000000001</v>
      </c>
      <c r="U1287">
        <v>-0.76287839999999996</v>
      </c>
      <c r="V1287">
        <v>0.18080969999999999</v>
      </c>
      <c r="W1287">
        <v>0.1602876</v>
      </c>
      <c r="X1287">
        <v>0.97036889999999998</v>
      </c>
      <c r="Y1287">
        <v>0.24288009999999999</v>
      </c>
      <c r="Z1287">
        <v>-1.0200209999999999E-2</v>
      </c>
      <c r="AA1287">
        <v>0.9700027</v>
      </c>
      <c r="AB1287">
        <v>24</v>
      </c>
      <c r="AC1287">
        <v>13.612500000000001</v>
      </c>
      <c r="AD1287">
        <v>-1.1203554295730001</v>
      </c>
      <c r="AE1287">
        <v>-3.70320000000003</v>
      </c>
      <c r="AF1287">
        <v>3.6201775375194001</v>
      </c>
      <c r="AG1287">
        <v>-1.1203554295730001</v>
      </c>
      <c r="AH1287">
        <v>13.5433127491122</v>
      </c>
      <c r="AI1287">
        <v>94.569253878006904</v>
      </c>
      <c r="AJ1287">
        <v>75.034512378127204</v>
      </c>
      <c r="AK1287">
        <v>14.063506031996299</v>
      </c>
      <c r="AL1287">
        <v>80.776410357822201</v>
      </c>
      <c r="AM1287">
        <v>79.445068550301201</v>
      </c>
      <c r="AN1287">
        <v>1.00000003220752</v>
      </c>
    </row>
    <row r="1288" spans="1:40" x14ac:dyDescent="0.25">
      <c r="A1288" t="str">
        <f>"20190303162236545"</f>
        <v>20190303162236545</v>
      </c>
      <c r="B1288" t="str">
        <f>"1551601356535398"</f>
        <v>1551601356535398</v>
      </c>
      <c r="C1288" t="s">
        <v>40</v>
      </c>
      <c r="D1288">
        <v>5.4421910000000002</v>
      </c>
      <c r="E1288">
        <v>0.52713849999999995</v>
      </c>
      <c r="F1288" t="s">
        <v>44</v>
      </c>
      <c r="G1288">
        <v>-207.44460000000001</v>
      </c>
      <c r="H1288" s="1">
        <v>-5.2674489999999996E-6</v>
      </c>
      <c r="I1288">
        <v>364.25259999999997</v>
      </c>
      <c r="J1288">
        <v>-221.25399999999999</v>
      </c>
      <c r="K1288">
        <v>1.120276</v>
      </c>
      <c r="L1288">
        <v>367.86970000000002</v>
      </c>
      <c r="M1288">
        <v>0.99993659999999995</v>
      </c>
      <c r="N1288">
        <v>-1.0204609999999999E-2</v>
      </c>
      <c r="O1288">
        <v>-4.7730230000000004E-3</v>
      </c>
      <c r="P1288">
        <v>0.97070610000000002</v>
      </c>
      <c r="Q1288">
        <v>0.15065110000000001</v>
      </c>
      <c r="R1288">
        <v>-0.18717420000000001</v>
      </c>
      <c r="S1288">
        <v>2.979797</v>
      </c>
      <c r="T1288">
        <v>-0.23748639999999999</v>
      </c>
      <c r="U1288">
        <v>-0.76702879999999996</v>
      </c>
      <c r="V1288">
        <v>0.18263560000000001</v>
      </c>
      <c r="W1288">
        <v>0.1604476</v>
      </c>
      <c r="X1288">
        <v>0.97000039999999998</v>
      </c>
      <c r="Y1288">
        <v>0.2438458</v>
      </c>
      <c r="Z1288">
        <v>-1.04873E-2</v>
      </c>
      <c r="AA1288">
        <v>0.96975730000000004</v>
      </c>
      <c r="AB1288">
        <v>24</v>
      </c>
      <c r="AC1288">
        <v>13.8094</v>
      </c>
      <c r="AD1288">
        <v>-1.1202812674489999</v>
      </c>
      <c r="AE1288">
        <v>-3.6171000000000402</v>
      </c>
      <c r="AF1288">
        <v>3.52940636303489</v>
      </c>
      <c r="AG1288">
        <v>-1.1202812674489999</v>
      </c>
      <c r="AH1288">
        <v>13.7418765174535</v>
      </c>
      <c r="AI1288">
        <v>94.514733508048394</v>
      </c>
      <c r="AJ1288">
        <v>75.595728013428797</v>
      </c>
      <c r="AK1288">
        <v>14.232038139864899</v>
      </c>
      <c r="AL1288">
        <v>80.767122391986007</v>
      </c>
      <c r="AM1288">
        <v>79.336954034496202</v>
      </c>
      <c r="AN1288">
        <v>0.99999998536664003</v>
      </c>
    </row>
    <row r="1289" spans="1:40" x14ac:dyDescent="0.25">
      <c r="A1289" t="str">
        <f>"20190303162236565"</f>
        <v>20190303162236565</v>
      </c>
      <c r="B1289" t="str">
        <f>"1551601356555895"</f>
        <v>1551601356555895</v>
      </c>
      <c r="C1289" t="s">
        <v>40</v>
      </c>
      <c r="D1289">
        <v>5.4367269999999897</v>
      </c>
      <c r="E1289">
        <v>0.52683990000000003</v>
      </c>
      <c r="F1289" t="s">
        <v>44</v>
      </c>
      <c r="G1289">
        <v>-207.15199999999999</v>
      </c>
      <c r="H1289" s="1">
        <v>-5.15365699999999E-6</v>
      </c>
      <c r="I1289">
        <v>364.22089999999997</v>
      </c>
      <c r="J1289">
        <v>-221.02539999999999</v>
      </c>
      <c r="K1289">
        <v>1.1201829999999999</v>
      </c>
      <c r="L1289">
        <v>367.86810000000003</v>
      </c>
      <c r="M1289">
        <v>0.99993430000000005</v>
      </c>
      <c r="N1289">
        <v>-1.020867E-2</v>
      </c>
      <c r="O1289">
        <v>-5.2347799999999996E-3</v>
      </c>
      <c r="P1289">
        <v>0.97025139999999999</v>
      </c>
      <c r="Q1289">
        <v>0.15073989999999901</v>
      </c>
      <c r="R1289">
        <v>-0.18944569999999999</v>
      </c>
      <c r="S1289">
        <v>2.9786220000000001</v>
      </c>
      <c r="T1289">
        <v>-0.236625</v>
      </c>
      <c r="U1289">
        <v>-0.77069089999999996</v>
      </c>
      <c r="V1289">
        <v>0.18449750000000001</v>
      </c>
      <c r="W1289">
        <v>0.16049330000000001</v>
      </c>
      <c r="X1289">
        <v>0.96964039999999996</v>
      </c>
      <c r="Y1289">
        <v>0.24461179999999999</v>
      </c>
      <c r="Z1289">
        <v>-1.0459410000000001E-2</v>
      </c>
      <c r="AA1289">
        <v>0.96956469999999995</v>
      </c>
      <c r="AB1289">
        <v>24</v>
      </c>
      <c r="AC1289">
        <v>13.873399999999901</v>
      </c>
      <c r="AD1289">
        <v>-1.120188153657</v>
      </c>
      <c r="AE1289">
        <v>-3.64720000000005</v>
      </c>
      <c r="AF1289">
        <v>3.5528564551953501</v>
      </c>
      <c r="AG1289">
        <v>-1.120188153657</v>
      </c>
      <c r="AH1289">
        <v>13.808100309900899</v>
      </c>
      <c r="AI1289">
        <v>94.492294457598305</v>
      </c>
      <c r="AJ1289">
        <v>75.570656495488606</v>
      </c>
      <c r="AK1289">
        <v>14.301791659058001</v>
      </c>
      <c r="AL1289">
        <v>80.764469416635606</v>
      </c>
      <c r="AM1289">
        <v>79.2268734910148</v>
      </c>
      <c r="AN1289">
        <v>0.99999996608164898</v>
      </c>
    </row>
    <row r="1290" spans="1:40" x14ac:dyDescent="0.25">
      <c r="A1290" t="str">
        <f>"20190303162236609"</f>
        <v>20190303162236609</v>
      </c>
      <c r="B1290" t="str">
        <f>"1551601356595910"</f>
        <v>1551601356595910</v>
      </c>
      <c r="C1290" t="s">
        <v>40</v>
      </c>
      <c r="D1290">
        <v>5.6882010000000003</v>
      </c>
      <c r="E1290">
        <v>0.52616229999999997</v>
      </c>
      <c r="F1290" t="s">
        <v>44</v>
      </c>
      <c r="G1290">
        <v>-206.89859999999999</v>
      </c>
      <c r="H1290" s="1">
        <v>-5.0419230000000004E-6</v>
      </c>
      <c r="I1290">
        <v>364.1925</v>
      </c>
      <c r="J1290">
        <v>-220.53700000000001</v>
      </c>
      <c r="K1290">
        <v>1.119969</v>
      </c>
      <c r="L1290">
        <v>367.8639</v>
      </c>
      <c r="M1290">
        <v>0.99992590000000003</v>
      </c>
      <c r="N1290">
        <v>-1.0220430000000001E-2</v>
      </c>
      <c r="O1290">
        <v>-6.6303849999999999E-3</v>
      </c>
      <c r="P1290">
        <v>0.9691805</v>
      </c>
      <c r="Q1290">
        <v>0.15118599999999999</v>
      </c>
      <c r="R1290">
        <v>-0.19450529999999999</v>
      </c>
      <c r="S1290">
        <v>2.9773860000000001</v>
      </c>
      <c r="T1290">
        <v>-0.2360923</v>
      </c>
      <c r="U1290">
        <v>-0.77465819999999996</v>
      </c>
      <c r="V1290">
        <v>0.18828980000000001</v>
      </c>
      <c r="W1290">
        <v>0.1608453</v>
      </c>
      <c r="X1290">
        <v>0.96885279999999996</v>
      </c>
      <c r="Y1290">
        <v>0.24457309999999999</v>
      </c>
      <c r="Z1290">
        <v>-1.034646E-2</v>
      </c>
      <c r="AA1290">
        <v>0.96957559999999998</v>
      </c>
      <c r="AB1290">
        <v>24</v>
      </c>
      <c r="AC1290">
        <v>13.638400000000001</v>
      </c>
      <c r="AD1290">
        <v>-1.119974041923</v>
      </c>
      <c r="AE1290">
        <v>-3.6714000000000002</v>
      </c>
      <c r="AF1290">
        <v>3.5585111839298702</v>
      </c>
      <c r="AG1290">
        <v>-1.119974041923</v>
      </c>
      <c r="AH1290">
        <v>13.5770730149165</v>
      </c>
      <c r="AI1290">
        <v>94.562242390083696</v>
      </c>
      <c r="AJ1290">
        <v>75.313295687390706</v>
      </c>
      <c r="AK1290">
        <v>14.080278951537499</v>
      </c>
      <c r="AL1290">
        <v>80.744036185553696</v>
      </c>
      <c r="AM1290">
        <v>79.002057546660893</v>
      </c>
      <c r="AN1290">
        <v>1.0000000036919801</v>
      </c>
    </row>
    <row r="1291" spans="1:40" x14ac:dyDescent="0.25">
      <c r="A1291" t="str">
        <f>"20190303162236633"</f>
        <v>20190303162236633</v>
      </c>
      <c r="B1291" t="str">
        <f>"1551601356625190"</f>
        <v>1551601356625190</v>
      </c>
      <c r="C1291" t="s">
        <v>40</v>
      </c>
      <c r="D1291">
        <v>5.4540579999999999</v>
      </c>
      <c r="E1291">
        <v>0.52563930000000003</v>
      </c>
      <c r="F1291" t="s">
        <v>44</v>
      </c>
      <c r="G1291">
        <v>-206.33439999999999</v>
      </c>
      <c r="H1291" s="1">
        <v>-4.7940439999999997E-6</v>
      </c>
      <c r="I1291">
        <v>364.12509999999997</v>
      </c>
      <c r="J1291">
        <v>-220.29159999999999</v>
      </c>
      <c r="K1291">
        <v>1.119858</v>
      </c>
      <c r="L1291">
        <v>367.86110000000002</v>
      </c>
      <c r="M1291">
        <v>0.999919</v>
      </c>
      <c r="N1291">
        <v>-1.0232049999999999E-2</v>
      </c>
      <c r="O1291">
        <v>-7.5798459999999899E-3</v>
      </c>
      <c r="P1291">
        <v>0.96854569999999995</v>
      </c>
      <c r="Q1291">
        <v>0.15152560000000001</v>
      </c>
      <c r="R1291">
        <v>-0.19738169999999999</v>
      </c>
      <c r="S1291">
        <v>2.9748540000000001</v>
      </c>
      <c r="T1291">
        <v>-0.23458809999999999</v>
      </c>
      <c r="U1291">
        <v>-0.78311160000000002</v>
      </c>
      <c r="V1291">
        <v>0.1902935</v>
      </c>
      <c r="W1291">
        <v>0.16113749999999999</v>
      </c>
      <c r="X1291">
        <v>0.96841259999999996</v>
      </c>
      <c r="Y1291">
        <v>0.2464365</v>
      </c>
      <c r="Z1291">
        <v>-1.0313289999999999E-2</v>
      </c>
      <c r="AA1291">
        <v>0.96910410000000002</v>
      </c>
      <c r="AB1291">
        <v>24</v>
      </c>
      <c r="AC1291">
        <v>13.9572</v>
      </c>
      <c r="AD1291">
        <v>-1.119862794044</v>
      </c>
      <c r="AE1291">
        <v>-3.7360000000000402</v>
      </c>
      <c r="AF1291">
        <v>3.6084168300277599</v>
      </c>
      <c r="AG1291">
        <v>-1.119862794044</v>
      </c>
      <c r="AH1291">
        <v>13.901607531285</v>
      </c>
      <c r="AI1291">
        <v>94.458471045323606</v>
      </c>
      <c r="AJ1291">
        <v>75.448953884368095</v>
      </c>
      <c r="AK1291">
        <v>14.405882709872101</v>
      </c>
      <c r="AL1291">
        <v>80.727072464492593</v>
      </c>
      <c r="AM1291">
        <v>78.882994844242404</v>
      </c>
      <c r="AN1291">
        <v>0.99999993694362799</v>
      </c>
    </row>
    <row r="1292" spans="1:40" x14ac:dyDescent="0.25">
      <c r="A1292" t="str">
        <f>"20190303162236654"</f>
        <v>20190303162236654</v>
      </c>
      <c r="B1292" t="str">
        <f>"1551601356645687"</f>
        <v>1551601356645687</v>
      </c>
      <c r="C1292" t="s">
        <v>40</v>
      </c>
      <c r="D1292">
        <v>5.4442529999999998</v>
      </c>
      <c r="E1292">
        <v>0.52531680000000003</v>
      </c>
      <c r="F1292" t="s">
        <v>44</v>
      </c>
      <c r="G1292">
        <v>-205.98670000000001</v>
      </c>
      <c r="H1292" s="1">
        <v>-4.6438920000000003E-6</v>
      </c>
      <c r="I1292">
        <v>364.072</v>
      </c>
      <c r="J1292">
        <v>-220.0548</v>
      </c>
      <c r="K1292">
        <v>1.1197349999999999</v>
      </c>
      <c r="L1292">
        <v>367.85820000000001</v>
      </c>
      <c r="M1292">
        <v>0.99990979999999996</v>
      </c>
      <c r="N1292">
        <v>-1.0247819999999999E-2</v>
      </c>
      <c r="O1292">
        <v>-8.6843659999999902E-3</v>
      </c>
      <c r="P1292">
        <v>0.96804559999999995</v>
      </c>
      <c r="Q1292">
        <v>0.15083070000000001</v>
      </c>
      <c r="R1292">
        <v>-0.200345</v>
      </c>
      <c r="S1292">
        <v>2.973328</v>
      </c>
      <c r="T1292">
        <v>-0.23276759999999999</v>
      </c>
      <c r="U1292">
        <v>-0.78759769999999996</v>
      </c>
      <c r="V1292">
        <v>0.1922355</v>
      </c>
      <c r="W1292">
        <v>0.16039529999999999</v>
      </c>
      <c r="X1292">
        <v>0.96815229999999997</v>
      </c>
      <c r="Y1292">
        <v>0.24686730000000001</v>
      </c>
      <c r="Z1292">
        <v>-1.0194129999999999E-2</v>
      </c>
      <c r="AA1292">
        <v>0.96899570000000002</v>
      </c>
      <c r="AB1292">
        <v>24</v>
      </c>
      <c r="AC1292">
        <v>14.0680999999999</v>
      </c>
      <c r="AD1292">
        <v>-1.119739643892</v>
      </c>
      <c r="AE1292">
        <v>-3.78620000000006</v>
      </c>
      <c r="AF1292">
        <v>3.6423615434590899</v>
      </c>
      <c r="AG1292">
        <v>-1.119739643892</v>
      </c>
      <c r="AH1292">
        <v>14.0176447089564</v>
      </c>
      <c r="AI1292">
        <v>94.420934397754493</v>
      </c>
      <c r="AJ1292">
        <v>75.434306885595205</v>
      </c>
      <c r="AK1292">
        <v>14.5263545898448</v>
      </c>
      <c r="AL1292">
        <v>80.770158489687205</v>
      </c>
      <c r="AM1292">
        <v>78.769468794671695</v>
      </c>
      <c r="AN1292">
        <v>1.00000000785881</v>
      </c>
    </row>
    <row r="1293" spans="1:40" x14ac:dyDescent="0.25">
      <c r="A1293" t="str">
        <f>"20190303162236676"</f>
        <v>20190303162236676</v>
      </c>
      <c r="B1293" t="str">
        <f>"1551601356665206"</f>
        <v>1551601356665206</v>
      </c>
      <c r="C1293" t="s">
        <v>40</v>
      </c>
      <c r="D1293">
        <v>5.4466260000000002</v>
      </c>
      <c r="E1293">
        <v>0.5250283</v>
      </c>
      <c r="F1293" t="s">
        <v>44</v>
      </c>
      <c r="G1293">
        <v>-205.86429999999999</v>
      </c>
      <c r="H1293" s="1">
        <v>-4.5874999999999997E-6</v>
      </c>
      <c r="I1293">
        <v>364.06920000000002</v>
      </c>
      <c r="J1293">
        <v>-219.8099</v>
      </c>
      <c r="K1293">
        <v>1.119597</v>
      </c>
      <c r="L1293">
        <v>367.8546</v>
      </c>
      <c r="M1293">
        <v>0.99989709999999998</v>
      </c>
      <c r="N1293">
        <v>-1.0266859999999999E-2</v>
      </c>
      <c r="O1293">
        <v>-1.0033540000000001E-2</v>
      </c>
      <c r="P1293">
        <v>0.9674587</v>
      </c>
      <c r="Q1293">
        <v>0.15048699999999901</v>
      </c>
      <c r="R1293">
        <v>-0.2034156</v>
      </c>
      <c r="S1293">
        <v>2.9713750000000001</v>
      </c>
      <c r="T1293">
        <v>-0.23446539999999999</v>
      </c>
      <c r="U1293">
        <v>-0.79339599999999999</v>
      </c>
      <c r="V1293">
        <v>0.19405819999999999</v>
      </c>
      <c r="W1293">
        <v>0.15999620000000001</v>
      </c>
      <c r="X1293">
        <v>0.96785469999999896</v>
      </c>
      <c r="Y1293">
        <v>0.2474732</v>
      </c>
      <c r="Z1293">
        <v>-1.020044E-2</v>
      </c>
      <c r="AA1293">
        <v>0.96884099999999995</v>
      </c>
      <c r="AB1293">
        <v>24</v>
      </c>
      <c r="AC1293">
        <v>13.945600000000001</v>
      </c>
      <c r="AD1293">
        <v>-1.1196015875000001</v>
      </c>
      <c r="AE1293">
        <v>-3.7853999999999801</v>
      </c>
      <c r="AF1293">
        <v>3.6235258453224399</v>
      </c>
      <c r="AG1293">
        <v>-1.1196015875000001</v>
      </c>
      <c r="AH1293">
        <v>13.8994407478155</v>
      </c>
      <c r="AI1293">
        <v>94.456907798614196</v>
      </c>
      <c r="AJ1293">
        <v>75.388447977778995</v>
      </c>
      <c r="AK1293">
        <v>14.4075639984171</v>
      </c>
      <c r="AL1293">
        <v>80.793324758806605</v>
      </c>
      <c r="AM1293">
        <v>78.662334464650499</v>
      </c>
      <c r="AN1293">
        <v>1.00000004465688</v>
      </c>
    </row>
    <row r="1294" spans="1:40" x14ac:dyDescent="0.25">
      <c r="A1294" t="str">
        <f>"20190303162236699"</f>
        <v>20190303162236699</v>
      </c>
      <c r="B1294" t="str">
        <f>"1551601356685702"</f>
        <v>1551601356685702</v>
      </c>
      <c r="C1294" t="s">
        <v>40</v>
      </c>
      <c r="D1294">
        <v>5.5969870000000004</v>
      </c>
      <c r="E1294">
        <v>0.5250283</v>
      </c>
      <c r="F1294" t="s">
        <v>44</v>
      </c>
      <c r="G1294">
        <v>-205.77590000000001</v>
      </c>
      <c r="H1294" s="1">
        <v>-4.54584E-6</v>
      </c>
      <c r="I1294">
        <v>364.0711</v>
      </c>
      <c r="J1294">
        <v>-219.5616</v>
      </c>
      <c r="K1294">
        <v>1.1194360000000001</v>
      </c>
      <c r="L1294">
        <v>367.85039999999998</v>
      </c>
      <c r="M1294">
        <v>0.99987969999999904</v>
      </c>
      <c r="N1294">
        <v>-1.0287350000000001E-2</v>
      </c>
      <c r="O1294">
        <v>-1.162316E-2</v>
      </c>
      <c r="P1294">
        <v>0.96667619999999999</v>
      </c>
      <c r="Q1294">
        <v>0.1502522</v>
      </c>
      <c r="R1294">
        <v>-0.20727219999999999</v>
      </c>
      <c r="S1294">
        <v>2.9694370000000001</v>
      </c>
      <c r="T1294">
        <v>-0.23689450000000001</v>
      </c>
      <c r="U1294">
        <v>-0.8005371</v>
      </c>
      <c r="V1294">
        <v>0.19644400000000001</v>
      </c>
      <c r="W1294">
        <v>0.159695</v>
      </c>
      <c r="X1294">
        <v>0.96742300000000003</v>
      </c>
      <c r="Y1294">
        <v>0.2482491</v>
      </c>
      <c r="Z1294">
        <v>-1.0223640000000001E-2</v>
      </c>
      <c r="AA1294">
        <v>0.96864229999999996</v>
      </c>
      <c r="AB1294">
        <v>24</v>
      </c>
      <c r="AC1294">
        <v>13.785699999999901</v>
      </c>
      <c r="AD1294">
        <v>-1.1194405458399901</v>
      </c>
      <c r="AE1294">
        <v>-3.7792999999999699</v>
      </c>
      <c r="AF1294">
        <v>3.5967440035346301</v>
      </c>
      <c r="AG1294">
        <v>-1.1194405458399901</v>
      </c>
      <c r="AH1294">
        <v>13.744403982059</v>
      </c>
      <c r="AI1294">
        <v>94.505241605242404</v>
      </c>
      <c r="AJ1294">
        <v>75.335235986247</v>
      </c>
      <c r="AK1294">
        <v>14.251258028141701</v>
      </c>
      <c r="AL1294">
        <v>80.810806615335906</v>
      </c>
      <c r="AM1294">
        <v>78.521637354143195</v>
      </c>
      <c r="AN1294">
        <v>0.99999999954499996</v>
      </c>
    </row>
    <row r="1295" spans="1:40" x14ac:dyDescent="0.25">
      <c r="A1295" t="str">
        <f>"20190303162236721"</f>
        <v>20190303162236721</v>
      </c>
      <c r="B1295" t="str">
        <f>"1551601356715958"</f>
        <v>1551601356715958</v>
      </c>
      <c r="C1295" t="s">
        <v>40</v>
      </c>
      <c r="D1295">
        <v>5.6379039999999998</v>
      </c>
      <c r="E1295">
        <v>0.52052089999999995</v>
      </c>
      <c r="F1295" t="s">
        <v>44</v>
      </c>
      <c r="G1295">
        <v>-205.6061</v>
      </c>
      <c r="H1295" s="1">
        <v>-4.4745019999999997E-6</v>
      </c>
      <c r="I1295">
        <v>364.03620000000001</v>
      </c>
      <c r="J1295">
        <v>-219.31370000000001</v>
      </c>
      <c r="K1295">
        <v>1.119264</v>
      </c>
      <c r="L1295">
        <v>367.84559999999999</v>
      </c>
      <c r="M1295">
        <v>0.99985650000000004</v>
      </c>
      <c r="N1295">
        <v>-1.030823E-2</v>
      </c>
      <c r="O1295">
        <v>-1.344416E-2</v>
      </c>
      <c r="P1295">
        <v>0.96580790000000005</v>
      </c>
      <c r="Q1295">
        <v>0.14984040000000001</v>
      </c>
      <c r="R1295">
        <v>-0.21157300000000001</v>
      </c>
      <c r="S1295">
        <v>2.9665530000000002</v>
      </c>
      <c r="T1295">
        <v>-0.23796139999999999</v>
      </c>
      <c r="U1295">
        <v>-0.81079100000000004</v>
      </c>
      <c r="V1295">
        <v>0.19905610000000001</v>
      </c>
      <c r="W1295">
        <v>0.15920960000000001</v>
      </c>
      <c r="X1295">
        <v>0.96696899999999997</v>
      </c>
      <c r="Y1295">
        <v>0.24983079999999999</v>
      </c>
      <c r="Z1295">
        <v>-1.021683E-2</v>
      </c>
      <c r="AA1295">
        <v>0.96823559999999997</v>
      </c>
      <c r="AB1295">
        <v>24</v>
      </c>
      <c r="AC1295">
        <v>13.707599999999999</v>
      </c>
      <c r="AD1295">
        <v>-1.1192684745020001</v>
      </c>
      <c r="AE1295">
        <v>-3.8093999999999801</v>
      </c>
      <c r="AF1295">
        <v>3.60246224057253</v>
      </c>
      <c r="AG1295">
        <v>-1.1192684745020001</v>
      </c>
      <c r="AH1295">
        <v>13.672952809089701</v>
      </c>
      <c r="AI1295">
        <v>94.526016359866304</v>
      </c>
      <c r="AJ1295">
        <v>75.239520885516498</v>
      </c>
      <c r="AK1295">
        <v>14.1837983147096</v>
      </c>
      <c r="AL1295">
        <v>80.8389787765379</v>
      </c>
      <c r="AM1295">
        <v>78.367829896265505</v>
      </c>
      <c r="AN1295">
        <v>1.0000000373201801</v>
      </c>
    </row>
    <row r="1296" spans="1:40" x14ac:dyDescent="0.25">
      <c r="A1296" t="str">
        <f>"20190303162236744"</f>
        <v>20190303162236744</v>
      </c>
      <c r="B1296" t="str">
        <f>"1551601356735478"</f>
        <v>1551601356735478</v>
      </c>
      <c r="C1296" t="s">
        <v>40</v>
      </c>
      <c r="D1296">
        <v>5.625718</v>
      </c>
      <c r="E1296">
        <v>0.51816819999999997</v>
      </c>
      <c r="F1296" t="s">
        <v>44</v>
      </c>
      <c r="G1296">
        <v>-205.0198</v>
      </c>
      <c r="H1296" s="1">
        <v>-4.1969520000000002E-6</v>
      </c>
      <c r="I1296">
        <v>364.0564</v>
      </c>
      <c r="J1296">
        <v>-219.06780000000001</v>
      </c>
      <c r="K1296">
        <v>1.1190899999999999</v>
      </c>
      <c r="L1296">
        <v>367.84</v>
      </c>
      <c r="M1296">
        <v>0.9998264</v>
      </c>
      <c r="N1296">
        <v>-1.032915E-2</v>
      </c>
      <c r="O1296">
        <v>-1.550345E-2</v>
      </c>
      <c r="P1296">
        <v>0.9650552</v>
      </c>
      <c r="Q1296">
        <v>0.14830599999999999</v>
      </c>
      <c r="R1296">
        <v>-0.21604200000000001</v>
      </c>
      <c r="S1296">
        <v>2.9698329999999999</v>
      </c>
      <c r="T1296">
        <v>-0.2325499</v>
      </c>
      <c r="U1296">
        <v>-0.78729249999999995</v>
      </c>
      <c r="V1296">
        <v>0.201602</v>
      </c>
      <c r="W1296">
        <v>0.15760080000000001</v>
      </c>
      <c r="X1296">
        <v>0.96670500000000004</v>
      </c>
      <c r="Y1296">
        <v>0.2404782</v>
      </c>
      <c r="Z1296">
        <v>-9.4733379999999996E-3</v>
      </c>
      <c r="AA1296">
        <v>0.97060829999999998</v>
      </c>
      <c r="AB1296">
        <v>24</v>
      </c>
      <c r="AC1296">
        <v>14.048</v>
      </c>
      <c r="AD1296">
        <v>-1.1190941969520001</v>
      </c>
      <c r="AE1296">
        <v>-3.7835999999999701</v>
      </c>
      <c r="AF1296">
        <v>3.5443696168183298</v>
      </c>
      <c r="AG1296">
        <v>-1.1190941969520001</v>
      </c>
      <c r="AH1296">
        <v>14.022007328961401</v>
      </c>
      <c r="AI1296">
        <v>94.424513275778807</v>
      </c>
      <c r="AJ1296">
        <v>75.814377670282497</v>
      </c>
      <c r="AK1296">
        <v>14.506261314884799</v>
      </c>
      <c r="AL1296">
        <v>80.932334295321297</v>
      </c>
      <c r="AM1296">
        <v>78.220059701369806</v>
      </c>
      <c r="AN1296">
        <v>0.99999996779481903</v>
      </c>
    </row>
    <row r="1297" spans="1:40" x14ac:dyDescent="0.25">
      <c r="A1297" t="str">
        <f>"20190303162236766"</f>
        <v>20190303162236766</v>
      </c>
      <c r="B1297" t="str">
        <f>"1551601356755975"</f>
        <v>1551601356755975</v>
      </c>
      <c r="C1297" t="s">
        <v>40</v>
      </c>
      <c r="D1297">
        <v>5.5652879999999998</v>
      </c>
      <c r="E1297">
        <v>0.51618560000000002</v>
      </c>
      <c r="F1297" t="s">
        <v>44</v>
      </c>
      <c r="G1297">
        <v>-204.8383</v>
      </c>
      <c r="H1297" s="1">
        <v>-4.0982500000000001E-6</v>
      </c>
      <c r="I1297">
        <v>364.09280000000001</v>
      </c>
      <c r="J1297">
        <v>-218.8237</v>
      </c>
      <c r="K1297">
        <v>1.1189260000000001</v>
      </c>
      <c r="L1297">
        <v>367.83359999999999</v>
      </c>
      <c r="M1297">
        <v>0.99978800000000001</v>
      </c>
      <c r="N1297">
        <v>-1.0349830000000001E-2</v>
      </c>
      <c r="O1297">
        <v>-1.7799269999999999E-2</v>
      </c>
      <c r="P1297">
        <v>0.9641151</v>
      </c>
      <c r="Q1297">
        <v>0.14714189999999999</v>
      </c>
      <c r="R1297">
        <v>-0.22097919999999999</v>
      </c>
      <c r="S1297">
        <v>2.9694669999999999</v>
      </c>
      <c r="T1297">
        <v>-0.23353579999999999</v>
      </c>
      <c r="U1297">
        <v>-0.78198239999999997</v>
      </c>
      <c r="V1297">
        <v>0.20439060000000001</v>
      </c>
      <c r="W1297">
        <v>0.15636</v>
      </c>
      <c r="X1297">
        <v>0.96632090000000004</v>
      </c>
      <c r="Y1297">
        <v>0.23666609999999999</v>
      </c>
      <c r="Z1297">
        <v>-9.1918020000000007E-3</v>
      </c>
      <c r="AA1297">
        <v>0.97154750000000001</v>
      </c>
      <c r="AB1297">
        <v>25</v>
      </c>
      <c r="AC1297">
        <v>13.985399999999901</v>
      </c>
      <c r="AD1297">
        <v>-1.1189300982499999</v>
      </c>
      <c r="AE1297">
        <v>-3.7407999999999699</v>
      </c>
      <c r="AF1297">
        <v>3.4705320459669098</v>
      </c>
      <c r="AG1297">
        <v>-1.1189300982499999</v>
      </c>
      <c r="AH1297">
        <v>13.9663401082133</v>
      </c>
      <c r="AI1297">
        <v>94.445895677772796</v>
      </c>
      <c r="AJ1297">
        <v>76.045072990098305</v>
      </c>
      <c r="AK1297">
        <v>14.434516038480099</v>
      </c>
      <c r="AL1297">
        <v>81.004319910671796</v>
      </c>
      <c r="AM1297">
        <v>78.057152914008199</v>
      </c>
      <c r="AN1297">
        <v>1.00000002437258</v>
      </c>
    </row>
    <row r="1298" spans="1:40" x14ac:dyDescent="0.25">
      <c r="A1298" t="str">
        <f>"20190303162236788"</f>
        <v>20190303162236788</v>
      </c>
      <c r="B1298" t="str">
        <f>"1551601356775495"</f>
        <v>1551601356775495</v>
      </c>
      <c r="C1298" t="s">
        <v>40</v>
      </c>
      <c r="D1298">
        <v>5.6264320000000003</v>
      </c>
      <c r="E1298">
        <v>0.51436590000000004</v>
      </c>
      <c r="F1298" t="s">
        <v>44</v>
      </c>
      <c r="G1298">
        <v>-204.6413</v>
      </c>
      <c r="H1298" s="1">
        <v>-3.997913E-6</v>
      </c>
      <c r="I1298">
        <v>364.09829999999999</v>
      </c>
      <c r="J1298">
        <v>-218.58250000000001</v>
      </c>
      <c r="K1298">
        <v>1.118784</v>
      </c>
      <c r="L1298">
        <v>367.82659999999998</v>
      </c>
      <c r="M1298">
        <v>0.99974110000000005</v>
      </c>
      <c r="N1298">
        <v>-1.0369420000000001E-2</v>
      </c>
      <c r="O1298">
        <v>-2.0263420000000001E-2</v>
      </c>
      <c r="P1298">
        <v>0.96272469999999999</v>
      </c>
      <c r="Q1298">
        <v>0.14764730000000001</v>
      </c>
      <c r="R1298">
        <v>-0.22663150000000001</v>
      </c>
      <c r="S1298">
        <v>2.968216</v>
      </c>
      <c r="T1298">
        <v>-0.2341791</v>
      </c>
      <c r="U1298">
        <v>-0.78176880000000004</v>
      </c>
      <c r="V1298">
        <v>0.20774010000000001</v>
      </c>
      <c r="W1298">
        <v>0.156791299999999</v>
      </c>
      <c r="X1298">
        <v>0.96553639999999996</v>
      </c>
      <c r="Y1298">
        <v>0.23431540000000001</v>
      </c>
      <c r="Z1298">
        <v>-8.9501440000000002E-3</v>
      </c>
      <c r="AA1298">
        <v>0.97211950000000003</v>
      </c>
      <c r="AB1298">
        <v>25</v>
      </c>
      <c r="AC1298">
        <v>13.9412</v>
      </c>
      <c r="AD1298">
        <v>-1.118787997913</v>
      </c>
      <c r="AE1298">
        <v>-3.7282999999999902</v>
      </c>
      <c r="AF1298">
        <v>3.4244410016390998</v>
      </c>
      <c r="AG1298">
        <v>-1.118787997913</v>
      </c>
      <c r="AH1298">
        <v>13.9301650554582</v>
      </c>
      <c r="AI1298">
        <v>94.459585588775496</v>
      </c>
      <c r="AJ1298">
        <v>76.1888898136488</v>
      </c>
      <c r="AK1298">
        <v>14.3884669520519</v>
      </c>
      <c r="AL1298">
        <v>80.979299421747498</v>
      </c>
      <c r="AM1298">
        <v>77.857625062401794</v>
      </c>
      <c r="AN1298">
        <v>1.0000000003143299</v>
      </c>
    </row>
    <row r="1299" spans="1:40" x14ac:dyDescent="0.25">
      <c r="A1299" t="str">
        <f>"20190303162236811"</f>
        <v>20190303162236811</v>
      </c>
      <c r="B1299" t="str">
        <f>"1551601356805751"</f>
        <v>1551601356805751</v>
      </c>
      <c r="C1299" t="s">
        <v>40</v>
      </c>
      <c r="D1299">
        <v>5.5718319999999997</v>
      </c>
      <c r="E1299">
        <v>0.51185550000000002</v>
      </c>
      <c r="F1299" t="s">
        <v>44</v>
      </c>
      <c r="G1299">
        <v>-204.1618</v>
      </c>
      <c r="H1299" s="1">
        <v>-3.7750100000000001E-6</v>
      </c>
      <c r="I1299">
        <v>364.0154</v>
      </c>
      <c r="J1299">
        <v>-218.3295</v>
      </c>
      <c r="K1299">
        <v>1.118655</v>
      </c>
      <c r="L1299">
        <v>367.8184</v>
      </c>
      <c r="M1299">
        <v>0.99968029999999997</v>
      </c>
      <c r="N1299">
        <v>-1.0388669999999999E-2</v>
      </c>
      <c r="O1299">
        <v>-2.305012E-2</v>
      </c>
      <c r="P1299">
        <v>0.96114250000000001</v>
      </c>
      <c r="Q1299">
        <v>0.14811879999999999</v>
      </c>
      <c r="R1299">
        <v>-0.23295089999999999</v>
      </c>
      <c r="S1299">
        <v>2.9668730000000001</v>
      </c>
      <c r="T1299">
        <v>-0.23017699999999999</v>
      </c>
      <c r="U1299">
        <v>-0.78411869999999995</v>
      </c>
      <c r="V1299">
        <v>0.2114499</v>
      </c>
      <c r="W1299">
        <v>0.157189299999999</v>
      </c>
      <c r="X1299">
        <v>0.96466600000000002</v>
      </c>
      <c r="Y1299">
        <v>0.23246790000000001</v>
      </c>
      <c r="Z1299">
        <v>-8.5638940000000007E-3</v>
      </c>
      <c r="AA1299">
        <v>0.97256640000000005</v>
      </c>
      <c r="AB1299">
        <v>25</v>
      </c>
      <c r="AC1299">
        <v>14.1676999999999</v>
      </c>
      <c r="AD1299">
        <v>-1.1186587750100001</v>
      </c>
      <c r="AE1299">
        <v>-3.8029999999999902</v>
      </c>
      <c r="AF1299">
        <v>3.4553106143354202</v>
      </c>
      <c r="AG1299">
        <v>-1.1186587750100001</v>
      </c>
      <c r="AH1299">
        <v>14.169200049284701</v>
      </c>
      <c r="AI1299">
        <v>94.386129840204305</v>
      </c>
      <c r="AJ1299">
        <v>76.295297844762104</v>
      </c>
      <c r="AK1299">
        <v>14.627262181730901</v>
      </c>
      <c r="AL1299">
        <v>80.956209512166197</v>
      </c>
      <c r="AM1299">
        <v>77.636586318897798</v>
      </c>
      <c r="AN1299">
        <v>1.0000000139002401</v>
      </c>
    </row>
    <row r="1300" spans="1:40" x14ac:dyDescent="0.25">
      <c r="A1300" t="str">
        <f>"20190303162236833"</f>
        <v>20190303162236833</v>
      </c>
      <c r="B1300" t="str">
        <f>"1551601356825640"</f>
        <v>1551601356825640</v>
      </c>
      <c r="C1300" t="s">
        <v>40</v>
      </c>
      <c r="D1300">
        <v>5.5104790000000001</v>
      </c>
      <c r="E1300">
        <v>0.51027699999999998</v>
      </c>
      <c r="F1300" t="s">
        <v>44</v>
      </c>
      <c r="G1300">
        <v>-203.6611</v>
      </c>
      <c r="H1300" s="1">
        <v>-3.538521E-6</v>
      </c>
      <c r="I1300">
        <v>363.94549999999998</v>
      </c>
      <c r="J1300">
        <v>-218.08260000000001</v>
      </c>
      <c r="K1300">
        <v>1.118541</v>
      </c>
      <c r="L1300">
        <v>367.80939999999998</v>
      </c>
      <c r="M1300">
        <v>0.99960870000000002</v>
      </c>
      <c r="N1300">
        <v>-1.0406479999999999E-2</v>
      </c>
      <c r="O1300">
        <v>-2.5967810000000001E-2</v>
      </c>
      <c r="P1300">
        <v>0.95971479999999998</v>
      </c>
      <c r="Q1300">
        <v>0.14782509999999999</v>
      </c>
      <c r="R1300">
        <v>-0.23894660000000001</v>
      </c>
      <c r="S1300">
        <v>2.9663240000000002</v>
      </c>
      <c r="T1300">
        <v>-0.22622139999999999</v>
      </c>
      <c r="U1300">
        <v>-0.78320310000000004</v>
      </c>
      <c r="V1300">
        <v>0.21470439999999999</v>
      </c>
      <c r="W1300">
        <v>0.15682860000000001</v>
      </c>
      <c r="X1300">
        <v>0.96400560000000002</v>
      </c>
      <c r="Y1300">
        <v>0.2294291</v>
      </c>
      <c r="Z1300">
        <v>-8.1281249999999999E-3</v>
      </c>
      <c r="AA1300">
        <v>0.97329149999999998</v>
      </c>
      <c r="AB1300">
        <v>25</v>
      </c>
      <c r="AC1300">
        <v>14.4215</v>
      </c>
      <c r="AD1300">
        <v>-1.118544538521</v>
      </c>
      <c r="AE1300">
        <v>-3.8639000000000001</v>
      </c>
      <c r="AF1300">
        <v>3.4686132826155802</v>
      </c>
      <c r="AG1300">
        <v>-1.118544538521</v>
      </c>
      <c r="AH1300">
        <v>14.4359528326387</v>
      </c>
      <c r="AI1300">
        <v>94.308467840416697</v>
      </c>
      <c r="AJ1300">
        <v>76.489314227920005</v>
      </c>
      <c r="AK1300">
        <v>14.888893651818501</v>
      </c>
      <c r="AL1300">
        <v>80.977135452493201</v>
      </c>
      <c r="AM1300">
        <v>77.443955989206003</v>
      </c>
      <c r="AN1300">
        <v>0.99999999299433995</v>
      </c>
    </row>
    <row r="1301" spans="1:40" x14ac:dyDescent="0.25">
      <c r="A1301" t="str">
        <f>"20190303162236854"</f>
        <v>20190303162236854</v>
      </c>
      <c r="B1301" t="str">
        <f>"1551601356845159"</f>
        <v>1551601356845159</v>
      </c>
      <c r="C1301" t="s">
        <v>40</v>
      </c>
      <c r="D1301">
        <v>5.5091150000000004</v>
      </c>
      <c r="E1301">
        <v>0.50874549999999996</v>
      </c>
      <c r="F1301" t="s">
        <v>44</v>
      </c>
      <c r="G1301">
        <v>-203.3673</v>
      </c>
      <c r="H1301" s="1">
        <v>-3.4021739999999999E-6</v>
      </c>
      <c r="I1301">
        <v>363.89370000000002</v>
      </c>
      <c r="J1301">
        <v>-217.83959999999999</v>
      </c>
      <c r="K1301">
        <v>1.118425</v>
      </c>
      <c r="L1301">
        <v>367.7998</v>
      </c>
      <c r="M1301">
        <v>0.99952430000000003</v>
      </c>
      <c r="N1301">
        <v>-1.0423969999999999E-2</v>
      </c>
      <c r="O1301">
        <v>-2.902884E-2</v>
      </c>
      <c r="P1301">
        <v>0.95812699999999995</v>
      </c>
      <c r="Q1301">
        <v>0.1482165</v>
      </c>
      <c r="R1301">
        <v>-0.24499889999999999</v>
      </c>
      <c r="S1301">
        <v>2.9642330000000001</v>
      </c>
      <c r="T1301">
        <v>-0.22531780000000001</v>
      </c>
      <c r="U1301">
        <v>-0.78878780000000004</v>
      </c>
      <c r="V1301">
        <v>0.21789069999999999</v>
      </c>
      <c r="W1301">
        <v>0.15714919999999999</v>
      </c>
      <c r="X1301">
        <v>0.96323820000000004</v>
      </c>
      <c r="Y1301">
        <v>0.2283452</v>
      </c>
      <c r="Z1301">
        <v>-7.864612E-3</v>
      </c>
      <c r="AA1301">
        <v>0.97354850000000004</v>
      </c>
      <c r="AB1301">
        <v>25</v>
      </c>
      <c r="AC1301">
        <v>14.472299999999899</v>
      </c>
      <c r="AD1301">
        <v>-1.1184284021740001</v>
      </c>
      <c r="AE1301">
        <v>-3.9060999999999799</v>
      </c>
      <c r="AF1301">
        <v>3.4650277951566899</v>
      </c>
      <c r="AG1301">
        <v>-1.1184284021740001</v>
      </c>
      <c r="AH1301">
        <v>14.4988840550932</v>
      </c>
      <c r="AI1301">
        <v>94.290643139885802</v>
      </c>
      <c r="AJ1301">
        <v>76.559222464602499</v>
      </c>
      <c r="AK1301">
        <v>14.9490781841233</v>
      </c>
      <c r="AL1301">
        <v>80.958536125397998</v>
      </c>
      <c r="AM1301">
        <v>77.2538394891249</v>
      </c>
      <c r="AN1301">
        <v>1.0000000290731801</v>
      </c>
    </row>
    <row r="1302" spans="1:40" x14ac:dyDescent="0.25">
      <c r="A1302" t="str">
        <f>"20190303162236878"</f>
        <v>20190303162236878</v>
      </c>
      <c r="B1302" t="str">
        <f>"1551601356865658"</f>
        <v>1551601356865658</v>
      </c>
      <c r="C1302" t="s">
        <v>40</v>
      </c>
      <c r="D1302">
        <v>5.570074</v>
      </c>
      <c r="E1302">
        <v>0.50727290000000003</v>
      </c>
      <c r="F1302" t="s">
        <v>44</v>
      </c>
      <c r="G1302">
        <v>-202.89429999999999</v>
      </c>
      <c r="H1302" s="1">
        <v>-3.188045E-6</v>
      </c>
      <c r="I1302">
        <v>363.78590000000003</v>
      </c>
      <c r="J1302">
        <v>-217.5891</v>
      </c>
      <c r="K1302">
        <v>1.118296</v>
      </c>
      <c r="L1302">
        <v>367.78879999999998</v>
      </c>
      <c r="M1302">
        <v>0.99942149999999996</v>
      </c>
      <c r="N1302">
        <v>-1.044229E-2</v>
      </c>
      <c r="O1302">
        <v>-3.2366279999999997E-2</v>
      </c>
      <c r="P1302">
        <v>0.95616869999999998</v>
      </c>
      <c r="Q1302">
        <v>0.14841550000000001</v>
      </c>
      <c r="R1302">
        <v>-0.25241750000000002</v>
      </c>
      <c r="S1302">
        <v>2.9619900000000001</v>
      </c>
      <c r="T1302">
        <v>-0.22165969999999999</v>
      </c>
      <c r="U1302">
        <v>-0.79550169999999998</v>
      </c>
      <c r="V1302">
        <v>0.2221959</v>
      </c>
      <c r="W1302">
        <v>0.15726419999999999</v>
      </c>
      <c r="X1302">
        <v>0.96223539999999996</v>
      </c>
      <c r="Y1302">
        <v>0.22736509999999999</v>
      </c>
      <c r="Z1302">
        <v>-7.5159739999999999E-3</v>
      </c>
      <c r="AA1302">
        <v>0.9737806</v>
      </c>
      <c r="AB1302">
        <v>25</v>
      </c>
      <c r="AC1302">
        <v>14.694800000000001</v>
      </c>
      <c r="AD1302">
        <v>-1.1182991880449999</v>
      </c>
      <c r="AE1302">
        <v>-4.0028999999999497</v>
      </c>
      <c r="AF1302">
        <v>3.5062569307708702</v>
      </c>
      <c r="AG1302">
        <v>-1.1182991880449999</v>
      </c>
      <c r="AH1302">
        <v>14.737211899838901</v>
      </c>
      <c r="AI1302">
        <v>94.222035308458999</v>
      </c>
      <c r="AJ1302">
        <v>76.6170798970211</v>
      </c>
      <c r="AK1302">
        <v>15.1897941170811</v>
      </c>
      <c r="AL1302">
        <v>80.951863937354801</v>
      </c>
      <c r="AM1302">
        <v>76.997379587896603</v>
      </c>
      <c r="AN1302">
        <v>1.0000000057958001</v>
      </c>
    </row>
    <row r="1303" spans="1:40" x14ac:dyDescent="0.25">
      <c r="A1303" t="str">
        <f>"20190303162236899"</f>
        <v>20190303162236899</v>
      </c>
      <c r="B1303" t="str">
        <f>"1551601356895911"</f>
        <v>1551601356895911</v>
      </c>
      <c r="C1303" t="s">
        <v>40</v>
      </c>
      <c r="D1303">
        <v>5.5716999999999999</v>
      </c>
      <c r="E1303">
        <v>0.50516479999999997</v>
      </c>
      <c r="F1303" t="s">
        <v>44</v>
      </c>
      <c r="G1303">
        <v>-202.48419999999999</v>
      </c>
      <c r="H1303" s="1">
        <v>-3.006548E-6</v>
      </c>
      <c r="I1303">
        <v>363.6737</v>
      </c>
      <c r="J1303">
        <v>-217.3432</v>
      </c>
      <c r="K1303">
        <v>1.118161</v>
      </c>
      <c r="L1303">
        <v>367.77699999999999</v>
      </c>
      <c r="M1303">
        <v>0.99930410000000003</v>
      </c>
      <c r="N1303">
        <v>-1.046011E-2</v>
      </c>
      <c r="O1303">
        <v>-3.5805749999999997E-2</v>
      </c>
      <c r="P1303">
        <v>0.95405289999999998</v>
      </c>
      <c r="Q1303">
        <v>0.1484345</v>
      </c>
      <c r="R1303">
        <v>-0.2602893</v>
      </c>
      <c r="S1303">
        <v>2.95871</v>
      </c>
      <c r="T1303">
        <v>-0.21905050000000001</v>
      </c>
      <c r="U1303">
        <v>-0.80606080000000002</v>
      </c>
      <c r="V1303">
        <v>0.22686799999999999</v>
      </c>
      <c r="W1303">
        <v>0.157194</v>
      </c>
      <c r="X1303">
        <v>0.96115609999999996</v>
      </c>
      <c r="Y1303">
        <v>0.22754099999999999</v>
      </c>
      <c r="Z1303">
        <v>-7.2461349999999999E-3</v>
      </c>
      <c r="AA1303">
        <v>0.97374150000000004</v>
      </c>
      <c r="AB1303">
        <v>25</v>
      </c>
      <c r="AC1303">
        <v>14.859</v>
      </c>
      <c r="AD1303">
        <v>-1.1181640065480001</v>
      </c>
      <c r="AE1303">
        <v>-4.1032999999999902</v>
      </c>
      <c r="AF1303">
        <v>3.5499236689947198</v>
      </c>
      <c r="AG1303">
        <v>-1.1181640065480001</v>
      </c>
      <c r="AH1303">
        <v>14.9179090448584</v>
      </c>
      <c r="AI1303">
        <v>94.170531572254404</v>
      </c>
      <c r="AJ1303">
        <v>76.614624402365806</v>
      </c>
      <c r="AK1303">
        <v>15.375183220758601</v>
      </c>
      <c r="AL1303">
        <v>80.955937123127001</v>
      </c>
      <c r="AM1303">
        <v>76.719178333889403</v>
      </c>
      <c r="AN1303">
        <v>1.0000000458136</v>
      </c>
    </row>
    <row r="1304" spans="1:40" x14ac:dyDescent="0.25">
      <c r="A1304" t="str">
        <f>"20190303162236924"</f>
        <v>20190303162236924</v>
      </c>
      <c r="B1304" t="str">
        <f>"1551601356915432"</f>
        <v>1551601356915432</v>
      </c>
      <c r="C1304" t="s">
        <v>40</v>
      </c>
      <c r="D1304">
        <v>5.5086219999999999</v>
      </c>
      <c r="E1304">
        <v>0.50384580000000001</v>
      </c>
      <c r="F1304" t="s">
        <v>44</v>
      </c>
      <c r="G1304">
        <v>-202.07329999999999</v>
      </c>
      <c r="H1304" s="1">
        <v>-2.8214120000000001E-6</v>
      </c>
      <c r="I1304">
        <v>363.57619999999997</v>
      </c>
      <c r="J1304">
        <v>-217.0848</v>
      </c>
      <c r="K1304">
        <v>1.1180349999999999</v>
      </c>
      <c r="L1304">
        <v>367.7636</v>
      </c>
      <c r="M1304">
        <v>0.99916139999999998</v>
      </c>
      <c r="N1304">
        <v>-1.0478009999999999E-2</v>
      </c>
      <c r="O1304">
        <v>-3.9581489999999997E-2</v>
      </c>
      <c r="P1304">
        <v>0.9515768</v>
      </c>
      <c r="Q1304">
        <v>0.147034</v>
      </c>
      <c r="R1304">
        <v>-0.2699685</v>
      </c>
      <c r="S1304">
        <v>2.9562840000000001</v>
      </c>
      <c r="T1304">
        <v>-0.21647910000000001</v>
      </c>
      <c r="U1304">
        <v>-0.8132935</v>
      </c>
      <c r="V1304">
        <v>0.23303599999999999</v>
      </c>
      <c r="W1304">
        <v>0.155694</v>
      </c>
      <c r="X1304">
        <v>0.95992370000000005</v>
      </c>
      <c r="Y1304">
        <v>0.22630320000000001</v>
      </c>
      <c r="Z1304">
        <v>-6.9030439999999997E-3</v>
      </c>
      <c r="AA1304">
        <v>0.97403249999999997</v>
      </c>
      <c r="AB1304">
        <v>25</v>
      </c>
      <c r="AC1304">
        <v>15.0115</v>
      </c>
      <c r="AD1304">
        <v>-1.1180378214119999</v>
      </c>
      <c r="AE1304">
        <v>-4.1874000000000198</v>
      </c>
      <c r="AF1304">
        <v>3.5715267092476299</v>
      </c>
      <c r="AG1304">
        <v>-1.1180378214119999</v>
      </c>
      <c r="AH1304">
        <v>15.0878361339409</v>
      </c>
      <c r="AI1304">
        <v>94.124412655777405</v>
      </c>
      <c r="AJ1304">
        <v>76.682330271313205</v>
      </c>
      <c r="AK1304">
        <v>15.5450510069807</v>
      </c>
      <c r="AL1304">
        <v>81.042951403260204</v>
      </c>
      <c r="AM1304">
        <v>76.354559401488402</v>
      </c>
      <c r="AN1304">
        <v>0.99999995437684397</v>
      </c>
    </row>
    <row r="1305" spans="1:40" x14ac:dyDescent="0.25">
      <c r="A1305" t="str">
        <f>"20190303162236956"</f>
        <v>20190303162236956</v>
      </c>
      <c r="B1305" t="str">
        <f>"1551601356945688"</f>
        <v>1551601356945688</v>
      </c>
      <c r="C1305" t="s">
        <v>40</v>
      </c>
      <c r="D1305">
        <v>5.5045390000000003</v>
      </c>
      <c r="E1305">
        <v>0.50197740000000002</v>
      </c>
      <c r="F1305" t="s">
        <v>44</v>
      </c>
      <c r="G1305">
        <v>-202.04249999999999</v>
      </c>
      <c r="H1305" s="1">
        <v>-2.8177959999999998E-6</v>
      </c>
      <c r="I1305">
        <v>363.52249999999998</v>
      </c>
      <c r="J1305">
        <v>-216.7235</v>
      </c>
      <c r="K1305">
        <v>1.117888</v>
      </c>
      <c r="L1305">
        <v>367.74259999999998</v>
      </c>
      <c r="M1305">
        <v>0.99892709999999996</v>
      </c>
      <c r="N1305">
        <v>-1.0500590000000001E-2</v>
      </c>
      <c r="O1305">
        <v>-4.5104459999999999E-2</v>
      </c>
      <c r="P1305">
        <v>0.94745190000000001</v>
      </c>
      <c r="Q1305">
        <v>0.14581160000000001</v>
      </c>
      <c r="R1305">
        <v>-0.28473419999999999</v>
      </c>
      <c r="S1305">
        <v>2.9505159999999999</v>
      </c>
      <c r="T1305">
        <v>-0.2193012</v>
      </c>
      <c r="U1305">
        <v>-0.83187869999999997</v>
      </c>
      <c r="V1305">
        <v>0.2426951</v>
      </c>
      <c r="W1305">
        <v>0.1543359</v>
      </c>
      <c r="X1305">
        <v>0.95774709999999996</v>
      </c>
      <c r="Y1305">
        <v>0.2270923</v>
      </c>
      <c r="Z1305">
        <v>-6.671026E-3</v>
      </c>
      <c r="AA1305">
        <v>0.9738504</v>
      </c>
      <c r="AB1305">
        <v>25</v>
      </c>
      <c r="AC1305">
        <v>14.680999999999999</v>
      </c>
      <c r="AD1305">
        <v>-1.1178908177959901</v>
      </c>
      <c r="AE1305">
        <v>-4.2201000000000004</v>
      </c>
      <c r="AF1305">
        <v>3.5346593472834398</v>
      </c>
      <c r="AG1305">
        <v>-1.1178908177959901</v>
      </c>
      <c r="AH1305">
        <v>14.777271888390199</v>
      </c>
      <c r="AI1305">
        <v>94.207890134301195</v>
      </c>
      <c r="AJ1305">
        <v>76.547849848442794</v>
      </c>
      <c r="AK1305">
        <v>15.2351980966857</v>
      </c>
      <c r="AL1305">
        <v>81.121717279185702</v>
      </c>
      <c r="AM1305">
        <v>75.780445645206896</v>
      </c>
      <c r="AN1305">
        <v>0.99999999457561495</v>
      </c>
    </row>
    <row r="1306" spans="1:40" x14ac:dyDescent="0.25">
      <c r="A1306" t="str">
        <f>"20190303162236978"</f>
        <v>20190303162236978</v>
      </c>
      <c r="B1306" t="str">
        <f>"1551601356965208"</f>
        <v>1551601356965208</v>
      </c>
      <c r="C1306" t="s">
        <v>40</v>
      </c>
      <c r="D1306">
        <v>5.4119159999999997</v>
      </c>
      <c r="E1306">
        <v>0.50171840000000001</v>
      </c>
      <c r="F1306" t="s">
        <v>44</v>
      </c>
      <c r="G1306">
        <v>-201.81460000000001</v>
      </c>
      <c r="H1306" s="1">
        <v>-2.7276290000000001E-6</v>
      </c>
      <c r="I1306">
        <v>363.38159999999999</v>
      </c>
      <c r="J1306">
        <v>-216.47329999999999</v>
      </c>
      <c r="K1306">
        <v>1.1178049999999999</v>
      </c>
      <c r="L1306">
        <v>367.7269</v>
      </c>
      <c r="M1306">
        <v>0.99874169999999995</v>
      </c>
      <c r="N1306">
        <v>-1.051417E-2</v>
      </c>
      <c r="O1306">
        <v>-4.9037619999999997E-2</v>
      </c>
      <c r="P1306">
        <v>0.94318400000000002</v>
      </c>
      <c r="Q1306">
        <v>0.14399509999999999</v>
      </c>
      <c r="R1306">
        <v>-0.29944910000000002</v>
      </c>
      <c r="S1306">
        <v>2.9417420000000001</v>
      </c>
      <c r="T1306">
        <v>-0.22057589999999999</v>
      </c>
      <c r="U1306">
        <v>-0.86050419999999905</v>
      </c>
      <c r="V1306">
        <v>0.253832</v>
      </c>
      <c r="W1306">
        <v>0.152397799999999</v>
      </c>
      <c r="X1306">
        <v>0.95516710000000005</v>
      </c>
      <c r="Y1306">
        <v>0.23274800000000001</v>
      </c>
      <c r="Z1306">
        <v>-6.702286E-3</v>
      </c>
      <c r="AA1306">
        <v>0.97251399999999999</v>
      </c>
      <c r="AB1306">
        <v>25</v>
      </c>
      <c r="AC1306">
        <v>14.6586999999999</v>
      </c>
      <c r="AD1306">
        <v>-1.1178077276289999</v>
      </c>
      <c r="AE1306">
        <v>-4.3452999999999999</v>
      </c>
      <c r="AF1306">
        <v>3.6019510910960602</v>
      </c>
      <c r="AG1306">
        <v>-1.1178077276289999</v>
      </c>
      <c r="AH1306">
        <v>14.7751809633746</v>
      </c>
      <c r="AI1306">
        <v>94.2037841521784</v>
      </c>
      <c r="AJ1306">
        <v>76.299450149261602</v>
      </c>
      <c r="AK1306">
        <v>15.2489185937581</v>
      </c>
      <c r="AL1306">
        <v>81.234091597576096</v>
      </c>
      <c r="AM1306">
        <v>75.117833139489306</v>
      </c>
      <c r="AN1306">
        <v>0.99999998129562395</v>
      </c>
    </row>
    <row r="1307" spans="1:40" x14ac:dyDescent="0.25">
      <c r="A1307" t="str">
        <f>"20190303162236990"</f>
        <v>20190303162236990</v>
      </c>
      <c r="B1307" t="str">
        <f>"1551601356985704"</f>
        <v>1551601356985704</v>
      </c>
      <c r="C1307" t="s">
        <v>40</v>
      </c>
      <c r="D1307">
        <v>5.2977939999999997</v>
      </c>
      <c r="E1307">
        <v>0.50221470000000001</v>
      </c>
      <c r="F1307" t="s">
        <v>44</v>
      </c>
      <c r="G1307">
        <v>-201.84469999999999</v>
      </c>
      <c r="H1307" s="1">
        <v>-2.7853930000000001E-6</v>
      </c>
      <c r="I1307">
        <v>363.21980000000002</v>
      </c>
      <c r="J1307">
        <v>-216.3314</v>
      </c>
      <c r="K1307">
        <v>1.117774</v>
      </c>
      <c r="L1307">
        <v>367.71749999999997</v>
      </c>
      <c r="M1307">
        <v>0.99862799999999996</v>
      </c>
      <c r="N1307">
        <v>-1.052114E-2</v>
      </c>
      <c r="O1307">
        <v>-5.1301800000000002E-2</v>
      </c>
      <c r="P1307">
        <v>0.94093839999999995</v>
      </c>
      <c r="Q1307">
        <v>0.14234059999999901</v>
      </c>
      <c r="R1307">
        <v>-0.30720399999999998</v>
      </c>
      <c r="S1307">
        <v>2.9284059999999998</v>
      </c>
      <c r="T1307">
        <v>-0.22376789999999999</v>
      </c>
      <c r="U1307">
        <v>-0.90225219999999995</v>
      </c>
      <c r="V1307">
        <v>0.25952009999999998</v>
      </c>
      <c r="W1307">
        <v>0.1506846</v>
      </c>
      <c r="X1307">
        <v>0.95390960000000002</v>
      </c>
      <c r="Y1307">
        <v>0.24438319999999999</v>
      </c>
      <c r="Z1307">
        <v>-7.1404190000000003E-3</v>
      </c>
      <c r="AA1307">
        <v>0.96965239999999997</v>
      </c>
      <c r="AB1307">
        <v>25</v>
      </c>
      <c r="AC1307">
        <v>14.486700000000001</v>
      </c>
      <c r="AD1307">
        <v>-1.1177767853929901</v>
      </c>
      <c r="AE1307">
        <v>-4.4976999999999503</v>
      </c>
      <c r="AF1307">
        <v>3.7282970926839201</v>
      </c>
      <c r="AG1307">
        <v>-1.1177767853929901</v>
      </c>
      <c r="AH1307">
        <v>14.618992444975699</v>
      </c>
      <c r="AI1307">
        <v>94.237252908927402</v>
      </c>
      <c r="AJ1307">
        <v>75.692777384440205</v>
      </c>
      <c r="AK1307">
        <v>15.1282703657601</v>
      </c>
      <c r="AL1307">
        <v>81.333398040917402</v>
      </c>
      <c r="AM1307">
        <v>74.7805029298124</v>
      </c>
      <c r="AN1307">
        <v>1.0000000279766601</v>
      </c>
    </row>
    <row r="1308" spans="1:40" x14ac:dyDescent="0.25">
      <c r="A1308" t="str">
        <f>"20190303162237006"</f>
        <v>20190303162237006</v>
      </c>
      <c r="B1308" t="str">
        <f>"1551601356995465"</f>
        <v>1551601356995465</v>
      </c>
      <c r="C1308" t="s">
        <v>40</v>
      </c>
      <c r="D1308">
        <v>5.3046850000000001</v>
      </c>
      <c r="E1308">
        <v>0.5473266</v>
      </c>
      <c r="F1308" t="s">
        <v>44</v>
      </c>
      <c r="G1308">
        <v>-201.98099999999999</v>
      </c>
      <c r="H1308" s="1">
        <v>-2.868841E-6</v>
      </c>
      <c r="I1308">
        <v>363.15260000000001</v>
      </c>
      <c r="J1308">
        <v>-216.1694</v>
      </c>
      <c r="K1308">
        <v>1.1177379999999999</v>
      </c>
      <c r="L1308">
        <v>367.70639999999997</v>
      </c>
      <c r="M1308">
        <v>0.99849030000000005</v>
      </c>
      <c r="N1308">
        <v>-1.05287E-2</v>
      </c>
      <c r="O1308">
        <v>-5.3909039999999998E-2</v>
      </c>
      <c r="P1308">
        <v>0.93853160000000002</v>
      </c>
      <c r="Q1308">
        <v>0.1401329</v>
      </c>
      <c r="R1308">
        <v>-0.31546990000000003</v>
      </c>
      <c r="S1308">
        <v>2.9194789999999999</v>
      </c>
      <c r="T1308">
        <v>-0.22740199999999999</v>
      </c>
      <c r="U1308">
        <v>-0.92868039999999996</v>
      </c>
      <c r="V1308">
        <v>0.26540150000000001</v>
      </c>
      <c r="W1308">
        <v>0.1484172</v>
      </c>
      <c r="X1308">
        <v>0.95264599999999999</v>
      </c>
      <c r="Y1308">
        <v>0.25063770000000002</v>
      </c>
      <c r="Z1308">
        <v>-7.3386010000000002E-3</v>
      </c>
      <c r="AA1308">
        <v>0.96805319999999995</v>
      </c>
      <c r="AB1308">
        <v>25</v>
      </c>
      <c r="AC1308">
        <v>14.1884</v>
      </c>
      <c r="AD1308">
        <v>-1.117740868841</v>
      </c>
      <c r="AE1308">
        <v>-4.5537999999999599</v>
      </c>
      <c r="AF1308">
        <v>3.7610902534086001</v>
      </c>
      <c r="AG1308">
        <v>-1.117740868841</v>
      </c>
      <c r="AH1308">
        <v>14.3326281923223</v>
      </c>
      <c r="AI1308">
        <v>94.313755733765603</v>
      </c>
      <c r="AJ1308">
        <v>75.2962762243924</v>
      </c>
      <c r="AK1308">
        <v>14.8599924442617</v>
      </c>
      <c r="AL1308">
        <v>81.464787984638505</v>
      </c>
      <c r="AM1308">
        <v>74.432479818128101</v>
      </c>
      <c r="AN1308">
        <v>1.00000001138704</v>
      </c>
    </row>
    <row r="1309" spans="1:40" x14ac:dyDescent="0.25">
      <c r="A1309" t="str">
        <f>"20190303162237019"</f>
        <v>20190303162237019</v>
      </c>
      <c r="B1309" t="str">
        <f>"1551601357015961"</f>
        <v>1551601357015961</v>
      </c>
      <c r="C1309" t="s">
        <v>40</v>
      </c>
      <c r="D1309">
        <v>5.1521749999999997</v>
      </c>
      <c r="E1309">
        <v>0.54741099999999998</v>
      </c>
      <c r="F1309" t="s">
        <v>44</v>
      </c>
      <c r="G1309">
        <v>-199.96449999999999</v>
      </c>
      <c r="H1309" s="1">
        <v>-1.0263740000000001E-5</v>
      </c>
      <c r="I1309">
        <v>360.17970000000003</v>
      </c>
      <c r="J1309">
        <v>-216.00069999999999</v>
      </c>
      <c r="K1309">
        <v>1.1177049999999999</v>
      </c>
      <c r="L1309">
        <v>367.6943</v>
      </c>
      <c r="M1309">
        <v>0.99833830000000001</v>
      </c>
      <c r="N1309">
        <v>-1.053629E-2</v>
      </c>
      <c r="O1309">
        <v>-5.665357E-2</v>
      </c>
      <c r="P1309">
        <v>0.93587600000000004</v>
      </c>
      <c r="Q1309">
        <v>0.13824910000000001</v>
      </c>
      <c r="R1309">
        <v>-0.32407390000000003</v>
      </c>
      <c r="S1309">
        <v>2.7896879999999999</v>
      </c>
      <c r="T1309">
        <v>-0.19242139999999999</v>
      </c>
      <c r="U1309">
        <v>-1.295715</v>
      </c>
      <c r="V1309">
        <v>0.2715127</v>
      </c>
      <c r="W1309">
        <v>0.14647180000000001</v>
      </c>
      <c r="X1309">
        <v>0.95122390000000001</v>
      </c>
      <c r="Y1309">
        <v>0.36841940000000001</v>
      </c>
      <c r="Z1309">
        <v>-1.098085E-2</v>
      </c>
      <c r="AA1309">
        <v>0.92959480000000005</v>
      </c>
      <c r="AB1309">
        <v>25</v>
      </c>
      <c r="AC1309">
        <v>16.036200000000001</v>
      </c>
      <c r="AD1309">
        <v>-1.1177152637400001</v>
      </c>
      <c r="AE1309">
        <v>-7.5145999999999704</v>
      </c>
      <c r="AF1309">
        <v>6.5678092744225598</v>
      </c>
      <c r="AG1309">
        <v>-1.1177152637400001</v>
      </c>
      <c r="AH1309">
        <v>16.370982871769598</v>
      </c>
      <c r="AI1309">
        <v>93.625701296806994</v>
      </c>
      <c r="AJ1309">
        <v>68.140034064043306</v>
      </c>
      <c r="AK1309">
        <v>17.6746848985707</v>
      </c>
      <c r="AL1309">
        <v>81.577483013638798</v>
      </c>
      <c r="AM1309">
        <v>74.069393483399196</v>
      </c>
      <c r="AN1309">
        <v>1.00000002119386</v>
      </c>
    </row>
    <row r="1310" spans="1:40" x14ac:dyDescent="0.25">
      <c r="A1310" t="str">
        <f>"20190303162237035"</f>
        <v>20190303162237035</v>
      </c>
      <c r="B1310" t="str">
        <f>"1551601357025720"</f>
        <v>1551601357025720</v>
      </c>
      <c r="C1310" t="s">
        <v>40</v>
      </c>
      <c r="D1310">
        <v>5.1618649999999997</v>
      </c>
      <c r="E1310">
        <v>0.54593919999999996</v>
      </c>
      <c r="F1310" t="s">
        <v>44</v>
      </c>
      <c r="G1310">
        <v>-200.52549999999999</v>
      </c>
      <c r="H1310" s="1">
        <v>-2.7615179999999998E-6</v>
      </c>
      <c r="I1310">
        <v>360.33339999999998</v>
      </c>
      <c r="J1310">
        <v>-215.8399</v>
      </c>
      <c r="K1310">
        <v>1.117672</v>
      </c>
      <c r="L1310">
        <v>367.6823</v>
      </c>
      <c r="M1310">
        <v>0.99818519999999999</v>
      </c>
      <c r="N1310">
        <v>-1.054334E-2</v>
      </c>
      <c r="O1310">
        <v>-5.9291730000000001E-2</v>
      </c>
      <c r="P1310">
        <v>0.93188269999999995</v>
      </c>
      <c r="Q1310">
        <v>0.1344381</v>
      </c>
      <c r="R1310">
        <v>-0.33692939999999999</v>
      </c>
      <c r="S1310">
        <v>2.777679</v>
      </c>
      <c r="T1310">
        <v>-0.20061979999999999</v>
      </c>
      <c r="U1310">
        <v>-1.3212280000000001</v>
      </c>
      <c r="V1310">
        <v>0.28204439999999997</v>
      </c>
      <c r="W1310">
        <v>0.14255789999999999</v>
      </c>
      <c r="X1310">
        <v>0.94875089999999995</v>
      </c>
      <c r="Y1310">
        <v>0.37440489999999998</v>
      </c>
      <c r="Z1310">
        <v>-1.14453E-2</v>
      </c>
      <c r="AA1310">
        <v>0.92719470000000004</v>
      </c>
      <c r="AB1310">
        <v>25</v>
      </c>
      <c r="AC1310">
        <v>15.314399999999999</v>
      </c>
      <c r="AD1310">
        <v>-1.117674761518</v>
      </c>
      <c r="AE1310">
        <v>-7.3489000000000102</v>
      </c>
      <c r="AF1310">
        <v>6.4001929687591899</v>
      </c>
      <c r="AG1310">
        <v>-1.117674761518</v>
      </c>
      <c r="AH1310">
        <v>15.6554286592169</v>
      </c>
      <c r="AI1310">
        <v>93.780788435547507</v>
      </c>
      <c r="AJ1310">
        <v>67.764460467930604</v>
      </c>
      <c r="AK1310">
        <v>16.950047593258201</v>
      </c>
      <c r="AL1310">
        <v>81.804112233475806</v>
      </c>
      <c r="AM1310">
        <v>73.443854054245904</v>
      </c>
      <c r="AN1310">
        <v>1.0000000343372799</v>
      </c>
    </row>
    <row r="1311" spans="1:40" x14ac:dyDescent="0.25">
      <c r="A1311" t="str">
        <f>"20190303162237058"</f>
        <v>20190303162237058</v>
      </c>
      <c r="B1311" t="str">
        <f>"1551601357045240"</f>
        <v>1551601357045240</v>
      </c>
      <c r="C1311" t="s">
        <v>40</v>
      </c>
      <c r="D1311">
        <v>5.1221940000000004</v>
      </c>
      <c r="E1311">
        <v>0.54364140000000005</v>
      </c>
      <c r="F1311" t="s">
        <v>44</v>
      </c>
      <c r="G1311">
        <v>-201.51669999999999</v>
      </c>
      <c r="H1311" s="1">
        <v>-3.1782540000000001E-6</v>
      </c>
      <c r="I1311">
        <v>360.70350000000002</v>
      </c>
      <c r="J1311">
        <v>-215.57259999999999</v>
      </c>
      <c r="K1311">
        <v>1.1176250000000001</v>
      </c>
      <c r="L1311">
        <v>367.66140000000001</v>
      </c>
      <c r="M1311">
        <v>0.99791249999999998</v>
      </c>
      <c r="N1311">
        <v>-1.0554859999999999E-2</v>
      </c>
      <c r="O1311">
        <v>-6.3714240000000005E-2</v>
      </c>
      <c r="P1311">
        <v>0.92702569999999995</v>
      </c>
      <c r="Q1311">
        <v>0.13280520000000001</v>
      </c>
      <c r="R1311">
        <v>-0.3506938</v>
      </c>
      <c r="S1311">
        <v>2.76355</v>
      </c>
      <c r="T1311">
        <v>-0.21564749999999999</v>
      </c>
      <c r="U1311">
        <v>-1.3464969999999901</v>
      </c>
      <c r="V1311">
        <v>0.29187829999999998</v>
      </c>
      <c r="W1311">
        <v>0.14081469999999999</v>
      </c>
      <c r="X1311">
        <v>0.94603289999999995</v>
      </c>
      <c r="Y1311">
        <v>0.37888189999999999</v>
      </c>
      <c r="Z1311">
        <v>-1.204415E-2</v>
      </c>
      <c r="AA1311">
        <v>0.92536669999999999</v>
      </c>
      <c r="AB1311">
        <v>25</v>
      </c>
      <c r="AC1311">
        <v>14.055899999999999</v>
      </c>
      <c r="AD1311">
        <v>-1.1176281782539901</v>
      </c>
      <c r="AE1311">
        <v>-6.9578999999999898</v>
      </c>
      <c r="AF1311">
        <v>6.0175930912979601</v>
      </c>
      <c r="AG1311">
        <v>-1.1176281782539901</v>
      </c>
      <c r="AH1311">
        <v>14.397568746643501</v>
      </c>
      <c r="AI1311">
        <v>94.096644481574501</v>
      </c>
      <c r="AJ1311">
        <v>67.317073371719204</v>
      </c>
      <c r="AK1311">
        <v>15.644503992507699</v>
      </c>
      <c r="AL1311">
        <v>81.905007720202406</v>
      </c>
      <c r="AM1311">
        <v>72.853504207184599</v>
      </c>
      <c r="AN1311">
        <v>0.99999998481469399</v>
      </c>
    </row>
    <row r="1312" spans="1:40" x14ac:dyDescent="0.25">
      <c r="A1312" t="str">
        <f>"20190303162237073"</f>
        <v>20190303162237073</v>
      </c>
      <c r="B1312" t="str">
        <f>"1551601357065736"</f>
        <v>1551601357065736</v>
      </c>
      <c r="C1312" t="s">
        <v>40</v>
      </c>
      <c r="D1312">
        <v>5.1293939999999996</v>
      </c>
      <c r="E1312">
        <v>0.54130069999999997</v>
      </c>
      <c r="F1312" t="s">
        <v>44</v>
      </c>
      <c r="G1312">
        <v>-201.32740000000001</v>
      </c>
      <c r="H1312" s="1">
        <v>-3.1134109999999998E-6</v>
      </c>
      <c r="I1312">
        <v>360.56630000000001</v>
      </c>
      <c r="J1312">
        <v>-215.4161</v>
      </c>
      <c r="K1312">
        <v>1.1175949999999999</v>
      </c>
      <c r="L1312">
        <v>367.64850000000001</v>
      </c>
      <c r="M1312">
        <v>0.99774149999999995</v>
      </c>
      <c r="N1312">
        <v>-1.0561640000000001E-2</v>
      </c>
      <c r="O1312">
        <v>-6.6335779999999997E-2</v>
      </c>
      <c r="P1312">
        <v>0.92450239999999995</v>
      </c>
      <c r="Q1312">
        <v>0.13305400000000001</v>
      </c>
      <c r="R1312">
        <v>-0.35720089999999999</v>
      </c>
      <c r="S1312">
        <v>2.749069</v>
      </c>
      <c r="T1312">
        <v>-0.21568300000000001</v>
      </c>
      <c r="U1312">
        <v>-1.369232</v>
      </c>
      <c r="V1312">
        <v>0.29605900000000002</v>
      </c>
      <c r="W1312">
        <v>0.14100779999999999</v>
      </c>
      <c r="X1312">
        <v>0.94470410000000005</v>
      </c>
      <c r="Y1312">
        <v>0.38449810000000001</v>
      </c>
      <c r="Z1312">
        <v>-1.2151800000000001E-2</v>
      </c>
      <c r="AA1312">
        <v>0.92304580000000003</v>
      </c>
      <c r="AB1312">
        <v>25</v>
      </c>
      <c r="AC1312">
        <v>14.0886999999999</v>
      </c>
      <c r="AD1312">
        <v>-1.117598113411</v>
      </c>
      <c r="AE1312">
        <v>-7.0822000000000003</v>
      </c>
      <c r="AF1312">
        <v>6.1013132964094696</v>
      </c>
      <c r="AG1312">
        <v>-1.117598113411</v>
      </c>
      <c r="AH1312">
        <v>14.454883144307001</v>
      </c>
      <c r="AI1312">
        <v>94.074347962883394</v>
      </c>
      <c r="AJ1312">
        <v>67.1157043776942</v>
      </c>
      <c r="AK1312">
        <v>15.7295485059048</v>
      </c>
      <c r="AL1312">
        <v>81.893832392359101</v>
      </c>
      <c r="AM1312">
        <v>72.599631058348805</v>
      </c>
      <c r="AN1312">
        <v>0.99999998384932498</v>
      </c>
    </row>
    <row r="1313" spans="1:40" x14ac:dyDescent="0.25">
      <c r="A1313" t="str">
        <f>"20190303162237086"</f>
        <v>20190303162237086</v>
      </c>
      <c r="B1313" t="str">
        <f>"1551601357075497"</f>
        <v>1551601357075497</v>
      </c>
      <c r="C1313" t="s">
        <v>40</v>
      </c>
      <c r="D1313">
        <v>5.1516349999999997</v>
      </c>
      <c r="E1313">
        <v>0.54020880000000004</v>
      </c>
      <c r="F1313" t="s">
        <v>44</v>
      </c>
      <c r="G1313">
        <v>-201.05869999999999</v>
      </c>
      <c r="H1313" s="1">
        <v>-2.9968350000000002E-6</v>
      </c>
      <c r="I1313">
        <v>360.48230000000001</v>
      </c>
      <c r="J1313">
        <v>-215.26560000000001</v>
      </c>
      <c r="K1313">
        <v>1.117569</v>
      </c>
      <c r="L1313">
        <v>367.63589999999999</v>
      </c>
      <c r="M1313">
        <v>0.99756929999999999</v>
      </c>
      <c r="N1313">
        <v>-1.056824E-2</v>
      </c>
      <c r="O1313">
        <v>-6.8876450000000006E-2</v>
      </c>
      <c r="P1313">
        <v>0.92207399999999995</v>
      </c>
      <c r="Q1313">
        <v>0.13333599999999901</v>
      </c>
      <c r="R1313">
        <v>-0.36332009999999998</v>
      </c>
      <c r="S1313">
        <v>2.74614</v>
      </c>
      <c r="T1313">
        <v>-0.2137637</v>
      </c>
      <c r="U1313">
        <v>-1.3706969999999901</v>
      </c>
      <c r="V1313">
        <v>0.2999328</v>
      </c>
      <c r="W1313">
        <v>0.1412339</v>
      </c>
      <c r="X1313">
        <v>0.94344749999999999</v>
      </c>
      <c r="Y1313">
        <v>0.38295800000000002</v>
      </c>
      <c r="Z1313">
        <v>-1.1854419999999999E-2</v>
      </c>
      <c r="AA1313">
        <v>0.92368969999999995</v>
      </c>
      <c r="AB1313">
        <v>25</v>
      </c>
      <c r="AC1313">
        <v>14.206899999999999</v>
      </c>
      <c r="AD1313">
        <v>-1.117571996835</v>
      </c>
      <c r="AE1313">
        <v>-7.1535999999999804</v>
      </c>
      <c r="AF1313">
        <v>6.1277849023306903</v>
      </c>
      <c r="AG1313">
        <v>-1.117571996835</v>
      </c>
      <c r="AH1313">
        <v>14.593858083524999</v>
      </c>
      <c r="AI1313">
        <v>94.038757254021604</v>
      </c>
      <c r="AJ1313">
        <v>67.223052646118106</v>
      </c>
      <c r="AK1313">
        <v>15.8675583735939</v>
      </c>
      <c r="AL1313">
        <v>81.880746520372298</v>
      </c>
      <c r="AM1313">
        <v>72.363941656846706</v>
      </c>
      <c r="AN1313">
        <v>0.99999994214064802</v>
      </c>
    </row>
    <row r="1314" spans="1:40" x14ac:dyDescent="0.25">
      <c r="A1314" t="str">
        <f>"20190303162237100"</f>
        <v>20190303162237100</v>
      </c>
      <c r="B1314" t="str">
        <f>"1551601357095992"</f>
        <v>1551601357095992</v>
      </c>
      <c r="C1314" t="s">
        <v>40</v>
      </c>
      <c r="D1314">
        <v>5.1850149999999999</v>
      </c>
      <c r="E1314">
        <v>0.53781250000000003</v>
      </c>
      <c r="F1314" t="s">
        <v>44</v>
      </c>
      <c r="G1314">
        <v>-200.67189999999999</v>
      </c>
      <c r="H1314" s="1">
        <v>-2.8469400000000001E-6</v>
      </c>
      <c r="I1314">
        <v>360.28039999999999</v>
      </c>
      <c r="J1314">
        <v>-215.0926</v>
      </c>
      <c r="K1314">
        <v>1.1175520000000001</v>
      </c>
      <c r="L1314">
        <v>367.62079999999997</v>
      </c>
      <c r="M1314">
        <v>0.99736060000000004</v>
      </c>
      <c r="N1314">
        <v>-1.057611E-2</v>
      </c>
      <c r="O1314">
        <v>-7.1833919999999996E-2</v>
      </c>
      <c r="P1314">
        <v>0.9180992</v>
      </c>
      <c r="Q1314">
        <v>0.136577799999999</v>
      </c>
      <c r="R1314">
        <v>-0.37207659999999998</v>
      </c>
      <c r="S1314">
        <v>2.7397610000000001</v>
      </c>
      <c r="T1314">
        <v>-0.20980879999999999</v>
      </c>
      <c r="U1314">
        <v>-1.38089</v>
      </c>
      <c r="V1314">
        <v>0.30618659999999998</v>
      </c>
      <c r="W1314">
        <v>0.1443818</v>
      </c>
      <c r="X1314">
        <v>0.94095890000000004</v>
      </c>
      <c r="Y1314">
        <v>0.38385540000000001</v>
      </c>
      <c r="Z1314">
        <v>-1.1558769999999999E-2</v>
      </c>
      <c r="AA1314">
        <v>0.9233209</v>
      </c>
      <c r="AB1314">
        <v>25</v>
      </c>
      <c r="AC1314">
        <v>14.4207</v>
      </c>
      <c r="AD1314">
        <v>-1.1175548469399901</v>
      </c>
      <c r="AE1314">
        <v>-7.3403999999999803</v>
      </c>
      <c r="AF1314">
        <v>6.2556429675839498</v>
      </c>
      <c r="AG1314">
        <v>-1.1175548469399901</v>
      </c>
      <c r="AH1314">
        <v>14.839976168168301</v>
      </c>
      <c r="AI1314">
        <v>93.969593423068702</v>
      </c>
      <c r="AJ1314">
        <v>67.142632774763797</v>
      </c>
      <c r="AK1314">
        <v>16.1433234015058</v>
      </c>
      <c r="AL1314">
        <v>81.698517714167593</v>
      </c>
      <c r="AM1314">
        <v>71.975190522728894</v>
      </c>
      <c r="AN1314">
        <v>0.99999999484000501</v>
      </c>
    </row>
    <row r="1315" spans="1:40" x14ac:dyDescent="0.25">
      <c r="A1315" t="str">
        <f>"20190303162237114"</f>
        <v>20190303162237114</v>
      </c>
      <c r="B1315" t="str">
        <f>"1551601357105752"</f>
        <v>1551601357105752</v>
      </c>
      <c r="C1315" t="s">
        <v>40</v>
      </c>
      <c r="D1315">
        <v>5.1136189999999999</v>
      </c>
      <c r="E1315">
        <v>0.53667149999999997</v>
      </c>
      <c r="F1315" t="s">
        <v>44</v>
      </c>
      <c r="G1315">
        <v>-199.80539999999999</v>
      </c>
      <c r="H1315" s="1">
        <v>-1.025317E-5</v>
      </c>
      <c r="I1315">
        <v>359.85050000000001</v>
      </c>
      <c r="J1315">
        <v>-214.94730000000001</v>
      </c>
      <c r="K1315">
        <v>1.1175219999999999</v>
      </c>
      <c r="L1315">
        <v>367.60750000000002</v>
      </c>
      <c r="M1315">
        <v>0.99717500000000003</v>
      </c>
      <c r="N1315">
        <v>-1.0583270000000001E-2</v>
      </c>
      <c r="O1315">
        <v>-7.4364979999999997E-2</v>
      </c>
      <c r="P1315">
        <v>0.91567560000000003</v>
      </c>
      <c r="Q1315">
        <v>0.1392833</v>
      </c>
      <c r="R1315">
        <v>-0.37701289999999998</v>
      </c>
      <c r="S1315">
        <v>2.7341609999999998</v>
      </c>
      <c r="T1315">
        <v>-0.19987930000000001</v>
      </c>
      <c r="U1315">
        <v>-1.38974</v>
      </c>
      <c r="V1315">
        <v>0.30893080000000001</v>
      </c>
      <c r="W1315">
        <v>0.1470293</v>
      </c>
      <c r="X1315">
        <v>0.93965109999999996</v>
      </c>
      <c r="Y1315">
        <v>0.38472659999999997</v>
      </c>
      <c r="Z1315">
        <v>-1.1048870000000001E-2</v>
      </c>
      <c r="AA1315">
        <v>0.92296449999999997</v>
      </c>
      <c r="AB1315">
        <v>25</v>
      </c>
      <c r="AC1315">
        <v>15.1419</v>
      </c>
      <c r="AD1315">
        <v>-1.1175322531699901</v>
      </c>
      <c r="AE1315">
        <v>-7.7569999999999997</v>
      </c>
      <c r="AF1315">
        <v>6.5810339880071904</v>
      </c>
      <c r="AG1315">
        <v>-1.1175322531699901</v>
      </c>
      <c r="AH1315">
        <v>15.609500076634101</v>
      </c>
      <c r="AI1315">
        <v>93.774316066573306</v>
      </c>
      <c r="AJ1315">
        <v>67.139497586825101</v>
      </c>
      <c r="AK1315">
        <v>16.976907236909302</v>
      </c>
      <c r="AL1315">
        <v>81.545191015208403</v>
      </c>
      <c r="AM1315">
        <v>71.800592222110396</v>
      </c>
      <c r="AN1315">
        <v>1.00000002198916</v>
      </c>
    </row>
    <row r="1316" spans="1:40" x14ac:dyDescent="0.25">
      <c r="A1316" t="str">
        <f>"20190303162237128"</f>
        <v>20190303162237128</v>
      </c>
      <c r="B1316" t="str">
        <f>"1551601357115512"</f>
        <v>1551601357115512</v>
      </c>
      <c r="C1316" t="s">
        <v>40</v>
      </c>
      <c r="D1316">
        <v>5.1010019999999896</v>
      </c>
      <c r="E1316">
        <v>0.53667149999999997</v>
      </c>
      <c r="F1316" t="s">
        <v>44</v>
      </c>
      <c r="G1316">
        <v>-198.941</v>
      </c>
      <c r="H1316" s="1">
        <v>-6.6239030000000001E-6</v>
      </c>
      <c r="I1316">
        <v>359.42160000000001</v>
      </c>
      <c r="J1316">
        <v>-214.79580000000001</v>
      </c>
      <c r="K1316">
        <v>1.1174869999999999</v>
      </c>
      <c r="L1316">
        <v>367.59339999999997</v>
      </c>
      <c r="M1316">
        <v>0.99697239999999998</v>
      </c>
      <c r="N1316">
        <v>-1.059098E-2</v>
      </c>
      <c r="O1316">
        <v>-7.7032799999999998E-2</v>
      </c>
      <c r="P1316">
        <v>0.91329280000000002</v>
      </c>
      <c r="Q1316">
        <v>0.1424666</v>
      </c>
      <c r="R1316">
        <v>-0.381575</v>
      </c>
      <c r="S1316">
        <v>2.730362</v>
      </c>
      <c r="T1316">
        <v>-0.1906294</v>
      </c>
      <c r="U1316">
        <v>-1.3963620000000001</v>
      </c>
      <c r="V1316">
        <v>0.31118449999999998</v>
      </c>
      <c r="W1316">
        <v>0.1501537</v>
      </c>
      <c r="X1316">
        <v>0.93841249999999998</v>
      </c>
      <c r="Y1316">
        <v>0.3846233</v>
      </c>
      <c r="Z1316">
        <v>-1.05307E-2</v>
      </c>
      <c r="AA1316">
        <v>0.92301359999999999</v>
      </c>
      <c r="AB1316">
        <v>25</v>
      </c>
      <c r="AC1316">
        <v>15.854799999999999</v>
      </c>
      <c r="AD1316">
        <v>-1.117493623903</v>
      </c>
      <c r="AE1316">
        <v>-8.1717999999999602</v>
      </c>
      <c r="AF1316">
        <v>6.8990276461831597</v>
      </c>
      <c r="AG1316">
        <v>-1.117493623903</v>
      </c>
      <c r="AH1316">
        <v>16.372949039484201</v>
      </c>
      <c r="AI1316">
        <v>93.598978820207904</v>
      </c>
      <c r="AJ1316">
        <v>67.151026470751006</v>
      </c>
      <c r="AK1316">
        <v>17.802214320466099</v>
      </c>
      <c r="AL1316">
        <v>81.364165968176394</v>
      </c>
      <c r="AM1316">
        <v>71.654098646837397</v>
      </c>
      <c r="AN1316">
        <v>0.99999997341009395</v>
      </c>
    </row>
    <row r="1317" spans="1:40" x14ac:dyDescent="0.25">
      <c r="A1317" t="str">
        <f>"20190303162237146"</f>
        <v>20190303162237146</v>
      </c>
      <c r="B1317" t="str">
        <f>"1551601357136008"</f>
        <v>1551601357136008</v>
      </c>
      <c r="C1317" t="s">
        <v>40</v>
      </c>
      <c r="D1317">
        <v>5.0901899999999998</v>
      </c>
      <c r="E1317">
        <v>0.51715889999999998</v>
      </c>
      <c r="F1317" t="s">
        <v>44</v>
      </c>
      <c r="G1317">
        <v>-197.96090000000001</v>
      </c>
      <c r="H1317" s="1">
        <v>-6.2868069999999997E-6</v>
      </c>
      <c r="I1317">
        <v>358.87189999999998</v>
      </c>
      <c r="J1317">
        <v>-214.5891</v>
      </c>
      <c r="K1317">
        <v>1.1174280000000001</v>
      </c>
      <c r="L1317">
        <v>367.57330000000002</v>
      </c>
      <c r="M1317">
        <v>0.99667790000000001</v>
      </c>
      <c r="N1317">
        <v>-1.060227E-2</v>
      </c>
      <c r="O1317">
        <v>-8.0751519999999993E-2</v>
      </c>
      <c r="P1317">
        <v>0.90972900000000001</v>
      </c>
      <c r="Q1317">
        <v>0.14643249999999999</v>
      </c>
      <c r="R1317">
        <v>-0.38852409999999998</v>
      </c>
      <c r="S1317">
        <v>2.7235260000000001</v>
      </c>
      <c r="T1317">
        <v>-0.18078640000000001</v>
      </c>
      <c r="U1317">
        <v>-1.4109499999999999</v>
      </c>
      <c r="V1317">
        <v>0.31494739999999999</v>
      </c>
      <c r="W1317">
        <v>0.15402399999999999</v>
      </c>
      <c r="X1317">
        <v>0.93652800000000003</v>
      </c>
      <c r="Y1317">
        <v>0.38609399999999999</v>
      </c>
      <c r="Z1317">
        <v>-1.001412E-2</v>
      </c>
      <c r="AA1317">
        <v>0.92240509999999998</v>
      </c>
      <c r="AB1317">
        <v>25</v>
      </c>
      <c r="AC1317">
        <v>16.6281999999999</v>
      </c>
      <c r="AD1317">
        <v>-1.117434286807</v>
      </c>
      <c r="AE1317">
        <v>-8.7014000000000298</v>
      </c>
      <c r="AF1317">
        <v>7.3042574140120298</v>
      </c>
      <c r="AG1317">
        <v>-1.117434286807</v>
      </c>
      <c r="AH1317">
        <v>17.215548780050199</v>
      </c>
      <c r="AI1317">
        <v>93.4195093270922</v>
      </c>
      <c r="AJ1317">
        <v>67.009333511579896</v>
      </c>
      <c r="AK1317">
        <v>18.734352285407901</v>
      </c>
      <c r="AL1317">
        <v>81.139803935688207</v>
      </c>
      <c r="AM1317">
        <v>71.412590732703904</v>
      </c>
      <c r="AN1317">
        <v>0.99999997606337898</v>
      </c>
    </row>
    <row r="1318" spans="1:40" x14ac:dyDescent="0.25">
      <c r="A1318" t="str">
        <f>"20190303162237170"</f>
        <v>20190303162237170</v>
      </c>
      <c r="B1318" t="str">
        <f>"1551601357165288"</f>
        <v>1551601357165288</v>
      </c>
      <c r="C1318" t="s">
        <v>40</v>
      </c>
      <c r="D1318">
        <v>5.1816649999999997</v>
      </c>
      <c r="E1318">
        <v>0.51850810000000003</v>
      </c>
      <c r="F1318" t="s">
        <v>44</v>
      </c>
      <c r="G1318">
        <v>-188.9041</v>
      </c>
      <c r="H1318" s="1">
        <v>-3.48107E-6</v>
      </c>
      <c r="I1318">
        <v>355.58629999999999</v>
      </c>
      <c r="J1318">
        <v>-214.33109999999999</v>
      </c>
      <c r="K1318">
        <v>1.117326</v>
      </c>
      <c r="L1318">
        <v>367.5471</v>
      </c>
      <c r="M1318">
        <v>0.99627940000000004</v>
      </c>
      <c r="N1318">
        <v>-1.061754E-2</v>
      </c>
      <c r="O1318">
        <v>-8.5526030000000003E-2</v>
      </c>
      <c r="P1318">
        <v>0.9064873</v>
      </c>
      <c r="Q1318">
        <v>0.14658080000000001</v>
      </c>
      <c r="R1318">
        <v>-0.39597339999999998</v>
      </c>
      <c r="S1318">
        <v>2.7657929999999999</v>
      </c>
      <c r="T1318">
        <v>-0.12032619999999999</v>
      </c>
      <c r="U1318">
        <v>-1.2907709999999999</v>
      </c>
      <c r="V1318">
        <v>0.31818859999999999</v>
      </c>
      <c r="W1318">
        <v>0.1540697</v>
      </c>
      <c r="X1318">
        <v>0.93542429999999999</v>
      </c>
      <c r="Y1318">
        <v>0.34354489999999999</v>
      </c>
      <c r="Z1318">
        <v>-6.3689169999999896E-3</v>
      </c>
      <c r="AA1318">
        <v>0.93911469999999997</v>
      </c>
      <c r="AB1318">
        <v>25</v>
      </c>
      <c r="AC1318">
        <v>25.4269999999999</v>
      </c>
      <c r="AD1318">
        <v>-1.1173294810700001</v>
      </c>
      <c r="AE1318">
        <v>-11.960800000000001</v>
      </c>
      <c r="AF1318">
        <v>9.7267980171548096</v>
      </c>
      <c r="AG1318">
        <v>-1.1173294810700001</v>
      </c>
      <c r="AH1318">
        <v>26.315233702724601</v>
      </c>
      <c r="AI1318">
        <v>92.280651325131203</v>
      </c>
      <c r="AJ1318">
        <v>69.714370276064002</v>
      </c>
      <c r="AK1318">
        <v>28.077580908347599</v>
      </c>
      <c r="AL1318">
        <v>81.137154451534698</v>
      </c>
      <c r="AM1318">
        <v>71.214042389459806</v>
      </c>
      <c r="AN1318">
        <v>1.0000000393292601</v>
      </c>
    </row>
    <row r="1319" spans="1:40" x14ac:dyDescent="0.25">
      <c r="A1319" t="str">
        <f>"20190303162237191"</f>
        <v>20190303162237191</v>
      </c>
      <c r="B1319" t="str">
        <f>"1551601357185808"</f>
        <v>1551601357185808</v>
      </c>
      <c r="C1319" t="s">
        <v>40</v>
      </c>
      <c r="D1319">
        <v>4.9562999999999997</v>
      </c>
      <c r="E1319">
        <v>0.55171230000000004</v>
      </c>
      <c r="F1319" t="s">
        <v>44</v>
      </c>
      <c r="G1319">
        <v>-192.68989999999999</v>
      </c>
      <c r="H1319" s="1">
        <v>-4.7339589999999901E-6</v>
      </c>
      <c r="I1319">
        <v>357.13209999999998</v>
      </c>
      <c r="J1319">
        <v>-214.08439999999999</v>
      </c>
      <c r="K1319">
        <v>1.1172219999999999</v>
      </c>
      <c r="L1319">
        <v>367.5206</v>
      </c>
      <c r="M1319">
        <v>0.99586509999999995</v>
      </c>
      <c r="N1319">
        <v>-1.063251E-2</v>
      </c>
      <c r="O1319">
        <v>-9.0220610000000007E-2</v>
      </c>
      <c r="P1319">
        <v>0.90379410000000004</v>
      </c>
      <c r="Q1319">
        <v>0.14476029999999901</v>
      </c>
      <c r="R1319">
        <v>-0.40274140000000003</v>
      </c>
      <c r="S1319">
        <v>2.7536160000000001</v>
      </c>
      <c r="T1319">
        <v>-0.14216899999999999</v>
      </c>
      <c r="U1319">
        <v>-1.3251949999999999</v>
      </c>
      <c r="V1319">
        <v>0.32077519999999998</v>
      </c>
      <c r="W1319">
        <v>0.1521594</v>
      </c>
      <c r="X1319">
        <v>0.93485339999999995</v>
      </c>
      <c r="Y1319">
        <v>0.35017520000000002</v>
      </c>
      <c r="Z1319">
        <v>-7.0532499999999996E-3</v>
      </c>
      <c r="AA1319">
        <v>0.93665770000000004</v>
      </c>
      <c r="AB1319">
        <v>25</v>
      </c>
      <c r="AC1319">
        <v>21.394499999999901</v>
      </c>
      <c r="AD1319">
        <v>-1.1172267339590001</v>
      </c>
      <c r="AE1319">
        <v>-10.388500000000001</v>
      </c>
      <c r="AF1319">
        <v>8.3972649918810198</v>
      </c>
      <c r="AG1319">
        <v>-1.1172267339590001</v>
      </c>
      <c r="AH1319">
        <v>22.1955705230699</v>
      </c>
      <c r="AI1319">
        <v>92.6954327307798</v>
      </c>
      <c r="AJ1319">
        <v>69.276832489534996</v>
      </c>
      <c r="AK1319">
        <v>23.7572221811287</v>
      </c>
      <c r="AL1319">
        <v>81.2479126599777</v>
      </c>
      <c r="AM1319">
        <v>71.061425046141395</v>
      </c>
      <c r="AN1319">
        <v>1.00000004571747</v>
      </c>
    </row>
    <row r="1320" spans="1:40" x14ac:dyDescent="0.25">
      <c r="A1320" t="str">
        <f>"20190303162237207"</f>
        <v>20190303162237207</v>
      </c>
      <c r="B1320" t="str">
        <f>"1551601357195544"</f>
        <v>1551601357195544</v>
      </c>
      <c r="C1320" t="s">
        <v>40</v>
      </c>
      <c r="D1320">
        <v>4.9641489999999999</v>
      </c>
      <c r="E1320">
        <v>0.55586829999999998</v>
      </c>
      <c r="F1320" t="s">
        <v>44</v>
      </c>
      <c r="G1320">
        <v>-192.2893</v>
      </c>
      <c r="H1320" s="1">
        <v>-3.354117E-6</v>
      </c>
      <c r="I1320">
        <v>354.3784</v>
      </c>
      <c r="J1320">
        <v>-213.91220000000001</v>
      </c>
      <c r="K1320">
        <v>1.1171420000000001</v>
      </c>
      <c r="L1320">
        <v>367.50139999999999</v>
      </c>
      <c r="M1320">
        <v>0.99555590000000005</v>
      </c>
      <c r="N1320">
        <v>-1.064292E-2</v>
      </c>
      <c r="O1320">
        <v>-9.3569310000000003E-2</v>
      </c>
      <c r="P1320">
        <v>0.90205570000000002</v>
      </c>
      <c r="Q1320">
        <v>0.14360220000000001</v>
      </c>
      <c r="R1320">
        <v>-0.40703080000000003</v>
      </c>
      <c r="S1320">
        <v>2.633362</v>
      </c>
      <c r="T1320">
        <v>-0.13498769999999999</v>
      </c>
      <c r="U1320">
        <v>-1.5878909999999999</v>
      </c>
      <c r="V1320">
        <v>0.3220732</v>
      </c>
      <c r="W1320">
        <v>0.15094479999999999</v>
      </c>
      <c r="X1320">
        <v>0.93460390000000004</v>
      </c>
      <c r="Y1320">
        <v>0.43351050000000002</v>
      </c>
      <c r="Z1320">
        <v>-9.2696540000000004E-3</v>
      </c>
      <c r="AA1320">
        <v>0.90110089999999998</v>
      </c>
      <c r="AB1320">
        <v>25</v>
      </c>
      <c r="AC1320">
        <v>21.622900000000001</v>
      </c>
      <c r="AD1320">
        <v>-1.117145354117</v>
      </c>
      <c r="AE1320">
        <v>-13.1229999999999</v>
      </c>
      <c r="AF1320">
        <v>11.020567124073199</v>
      </c>
      <c r="AG1320">
        <v>-1.117145354117</v>
      </c>
      <c r="AH1320">
        <v>22.711699427937202</v>
      </c>
      <c r="AI1320">
        <v>92.533879100419398</v>
      </c>
      <c r="AJ1320">
        <v>64.115601690427098</v>
      </c>
      <c r="AK1320">
        <v>25.268996901012802</v>
      </c>
      <c r="AL1320">
        <v>81.318316628743005</v>
      </c>
      <c r="AM1320">
        <v>70.985572255092407</v>
      </c>
      <c r="AN1320">
        <v>0.99999996435024396</v>
      </c>
    </row>
    <row r="1321" spans="1:40" x14ac:dyDescent="0.25">
      <c r="A1321" t="str">
        <f>"20190303162237224"</f>
        <v>20190303162237224</v>
      </c>
      <c r="B1321" t="str">
        <f>"1551601357216040"</f>
        <v>1551601357216040</v>
      </c>
      <c r="C1321" t="s">
        <v>40</v>
      </c>
      <c r="D1321">
        <v>4.872509</v>
      </c>
      <c r="E1321">
        <v>0.55780669999999899</v>
      </c>
      <c r="F1321" t="s">
        <v>44</v>
      </c>
      <c r="G1321">
        <v>-195.15620000000001</v>
      </c>
      <c r="H1321" s="1">
        <v>-4.6655230000000001E-6</v>
      </c>
      <c r="I1321">
        <v>355.81119999999999</v>
      </c>
      <c r="J1321">
        <v>-213.71719999999999</v>
      </c>
      <c r="K1321">
        <v>1.1170500000000001</v>
      </c>
      <c r="L1321">
        <v>367.47890000000001</v>
      </c>
      <c r="M1321">
        <v>0.99518359999999995</v>
      </c>
      <c r="N1321">
        <v>-1.0654810000000001E-2</v>
      </c>
      <c r="O1321">
        <v>-9.7448000000000007E-2</v>
      </c>
      <c r="P1321">
        <v>0.89944950000000001</v>
      </c>
      <c r="Q1321">
        <v>0.1406869</v>
      </c>
      <c r="R1321">
        <v>-0.41376109999999999</v>
      </c>
      <c r="S1321">
        <v>2.6150820000000001</v>
      </c>
      <c r="T1321">
        <v>-0.1557596</v>
      </c>
      <c r="U1321">
        <v>-1.6299129999999999</v>
      </c>
      <c r="V1321">
        <v>0.32537880000000002</v>
      </c>
      <c r="W1321">
        <v>0.1479452</v>
      </c>
      <c r="X1321">
        <v>0.93393839999999995</v>
      </c>
      <c r="Y1321">
        <v>0.44311679999999998</v>
      </c>
      <c r="Z1321">
        <v>-1.0343059999999999E-2</v>
      </c>
      <c r="AA1321">
        <v>0.89640419999999998</v>
      </c>
      <c r="AB1321">
        <v>25</v>
      </c>
      <c r="AC1321">
        <v>18.5609999999999</v>
      </c>
      <c r="AD1321">
        <v>-1.117054665523</v>
      </c>
      <c r="AE1321">
        <v>-11.6677</v>
      </c>
      <c r="AF1321">
        <v>9.7779430215090795</v>
      </c>
      <c r="AG1321">
        <v>-1.117054665523</v>
      </c>
      <c r="AH1321">
        <v>19.558932413376098</v>
      </c>
      <c r="AI1321">
        <v>92.924375127326897</v>
      </c>
      <c r="AJ1321">
        <v>63.438518539259597</v>
      </c>
      <c r="AK1321">
        <v>21.895383486220499</v>
      </c>
      <c r="AL1321">
        <v>81.492133728761004</v>
      </c>
      <c r="AM1321">
        <v>70.791955368642405</v>
      </c>
      <c r="AN1321">
        <v>1.0000000403435101</v>
      </c>
    </row>
    <row r="1322" spans="1:40" x14ac:dyDescent="0.25">
      <c r="A1322" t="str">
        <f>"20190303162237247"</f>
        <v>20190303162237247</v>
      </c>
      <c r="B1322" t="str">
        <f>"1551601357235562"</f>
        <v>1551601357235562</v>
      </c>
      <c r="C1322" t="s">
        <v>40</v>
      </c>
      <c r="D1322">
        <v>4.8179990000000004</v>
      </c>
      <c r="E1322">
        <v>0.55771059999999995</v>
      </c>
      <c r="F1322" t="s">
        <v>44</v>
      </c>
      <c r="G1322">
        <v>-197.0992</v>
      </c>
      <c r="H1322" s="1">
        <v>-5.4746820000000002E-6</v>
      </c>
      <c r="I1322">
        <v>356.84789999999998</v>
      </c>
      <c r="J1322">
        <v>-213.46180000000001</v>
      </c>
      <c r="K1322">
        <v>1.1169439999999999</v>
      </c>
      <c r="L1322">
        <v>367.44799999999998</v>
      </c>
      <c r="M1322">
        <v>0.99465800000000004</v>
      </c>
      <c r="N1322">
        <v>-1.067091E-2</v>
      </c>
      <c r="O1322">
        <v>-0.10267220000000001</v>
      </c>
      <c r="P1322">
        <v>0.89667459999999899</v>
      </c>
      <c r="Q1322">
        <v>0.13804900000000001</v>
      </c>
      <c r="R1322">
        <v>-0.42061520000000002</v>
      </c>
      <c r="S1322">
        <v>2.5980989999999999</v>
      </c>
      <c r="T1322">
        <v>-0.17464299999999999</v>
      </c>
      <c r="U1322">
        <v>-1.6620790000000001</v>
      </c>
      <c r="V1322">
        <v>0.32757829999999999</v>
      </c>
      <c r="W1322">
        <v>0.14522119999999999</v>
      </c>
      <c r="X1322">
        <v>0.93359700000000001</v>
      </c>
      <c r="Y1322">
        <v>0.44880710000000001</v>
      </c>
      <c r="Z1322">
        <v>-1.114454E-2</v>
      </c>
      <c r="AA1322">
        <v>0.893559199999999</v>
      </c>
      <c r="AB1322">
        <v>25</v>
      </c>
      <c r="AC1322">
        <v>16.3626</v>
      </c>
      <c r="AD1322">
        <v>-1.1169494746819999</v>
      </c>
      <c r="AE1322">
        <v>-10.600099999999999</v>
      </c>
      <c r="AF1322">
        <v>8.8349961215697306</v>
      </c>
      <c r="AG1322">
        <v>-1.1169494746819999</v>
      </c>
      <c r="AH1322">
        <v>17.3077069857836</v>
      </c>
      <c r="AI1322">
        <v>93.2896870920287</v>
      </c>
      <c r="AJ1322">
        <v>62.957233303571599</v>
      </c>
      <c r="AK1322">
        <v>19.464363686051701</v>
      </c>
      <c r="AL1322">
        <v>81.6499118146385</v>
      </c>
      <c r="AM1322">
        <v>70.665169317152504</v>
      </c>
      <c r="AN1322">
        <v>1.0000000489846601</v>
      </c>
    </row>
    <row r="1323" spans="1:40" x14ac:dyDescent="0.25">
      <c r="A1323" t="str">
        <f>"20190303162237269"</f>
        <v>20190303162237269</v>
      </c>
      <c r="B1323" t="str">
        <f>"1551601357265816"</f>
        <v>1551601357265816</v>
      </c>
      <c r="C1323" t="s">
        <v>40</v>
      </c>
      <c r="D1323">
        <v>4.7724840000000004</v>
      </c>
      <c r="E1323">
        <v>0.55670600000000003</v>
      </c>
      <c r="F1323" t="s">
        <v>44</v>
      </c>
      <c r="G1323">
        <v>-198.67269999999999</v>
      </c>
      <c r="H1323" s="1">
        <v>-6.0554709999999997E-6</v>
      </c>
      <c r="I1323">
        <v>357.84870000000001</v>
      </c>
      <c r="J1323">
        <v>-213.20609999999999</v>
      </c>
      <c r="K1323">
        <v>1.1168359999999999</v>
      </c>
      <c r="L1323">
        <v>367.41550000000001</v>
      </c>
      <c r="M1323">
        <v>0.99409009999999998</v>
      </c>
      <c r="N1323">
        <v>-1.068702E-2</v>
      </c>
      <c r="O1323">
        <v>-0.10803210000000001</v>
      </c>
      <c r="P1323">
        <v>0.89470740000000004</v>
      </c>
      <c r="Q1323">
        <v>0.1357303</v>
      </c>
      <c r="R1323">
        <v>-0.42553049999999998</v>
      </c>
      <c r="S1323">
        <v>2.58786</v>
      </c>
      <c r="T1323">
        <v>-0.1954486</v>
      </c>
      <c r="U1323">
        <v>-1.679718</v>
      </c>
      <c r="V1323">
        <v>0.32764520000000003</v>
      </c>
      <c r="W1323">
        <v>0.14284530000000001</v>
      </c>
      <c r="X1323">
        <v>0.93393990000000005</v>
      </c>
      <c r="Y1323">
        <v>0.44973639999999998</v>
      </c>
      <c r="Z1323">
        <v>-1.179201E-2</v>
      </c>
      <c r="AA1323">
        <v>0.89308349999999903</v>
      </c>
      <c r="AB1323">
        <v>25</v>
      </c>
      <c r="AC1323">
        <v>14.5334</v>
      </c>
      <c r="AD1323">
        <v>-1.1168420554709999</v>
      </c>
      <c r="AE1323">
        <v>-9.5668000000000006</v>
      </c>
      <c r="AF1323">
        <v>7.9080577595324</v>
      </c>
      <c r="AG1323">
        <v>-1.1168420554709999</v>
      </c>
      <c r="AH1323">
        <v>15.4183871123169</v>
      </c>
      <c r="AI1323">
        <v>93.687758209745297</v>
      </c>
      <c r="AJ1323">
        <v>62.846809514173003</v>
      </c>
      <c r="AK1323">
        <v>17.364082896894601</v>
      </c>
      <c r="AL1323">
        <v>81.787474435340201</v>
      </c>
      <c r="AM1323">
        <v>70.6680871341797</v>
      </c>
      <c r="AN1323">
        <v>0.99999994681356796</v>
      </c>
    </row>
    <row r="1324" spans="1:40" x14ac:dyDescent="0.25">
      <c r="A1324" t="str">
        <f>"20190303162237284"</f>
        <v>20190303162237284</v>
      </c>
      <c r="B1324" t="str">
        <f>"1551601357275576"</f>
        <v>1551601357275576</v>
      </c>
      <c r="C1324" t="s">
        <v>40</v>
      </c>
      <c r="D1324">
        <v>4.7584299999999997</v>
      </c>
      <c r="E1324">
        <v>0.55629209999999996</v>
      </c>
      <c r="F1324" t="s">
        <v>44</v>
      </c>
      <c r="G1324">
        <v>-199.26339999999999</v>
      </c>
      <c r="H1324" s="1">
        <v>-6.3037170000000001E-6</v>
      </c>
      <c r="I1324">
        <v>358.31470000000002</v>
      </c>
      <c r="J1324">
        <v>-213.0428</v>
      </c>
      <c r="K1324">
        <v>1.1167750000000001</v>
      </c>
      <c r="L1324">
        <v>367.39409999999998</v>
      </c>
      <c r="M1324">
        <v>0.99370570000000003</v>
      </c>
      <c r="N1324">
        <v>-1.0697079999999999E-2</v>
      </c>
      <c r="O1324">
        <v>-0.111511</v>
      </c>
      <c r="P1324">
        <v>0.89322429999999997</v>
      </c>
      <c r="Q1324">
        <v>0.135134</v>
      </c>
      <c r="R1324">
        <v>-0.42882360000000003</v>
      </c>
      <c r="S1324">
        <v>2.5826720000000001</v>
      </c>
      <c r="T1324">
        <v>-0.20687759999999999</v>
      </c>
      <c r="U1324">
        <v>-1.685791</v>
      </c>
      <c r="V1324">
        <v>0.32782159999999999</v>
      </c>
      <c r="W1324">
        <v>0.14221149999999999</v>
      </c>
      <c r="X1324">
        <v>0.93397479999999999</v>
      </c>
      <c r="Y1324">
        <v>0.44881700000000002</v>
      </c>
      <c r="Z1324">
        <v>-1.202696E-2</v>
      </c>
      <c r="AA1324">
        <v>0.89354279999999997</v>
      </c>
      <c r="AB1324">
        <v>25</v>
      </c>
      <c r="AC1324">
        <v>13.779400000000001</v>
      </c>
      <c r="AD1324">
        <v>-1.116781303717</v>
      </c>
      <c r="AE1324">
        <v>-9.0793999999999606</v>
      </c>
      <c r="AF1324">
        <v>7.4519935971596203</v>
      </c>
      <c r="AG1324">
        <v>-1.116781303717</v>
      </c>
      <c r="AH1324">
        <v>14.638913624816899</v>
      </c>
      <c r="AI1324">
        <v>93.889357448613396</v>
      </c>
      <c r="AJ1324">
        <v>63.021461014388002</v>
      </c>
      <c r="AK1324">
        <v>16.464422284650301</v>
      </c>
      <c r="AL1324">
        <v>81.824163666947896</v>
      </c>
      <c r="AM1324">
        <v>70.659120847758402</v>
      </c>
      <c r="AN1324">
        <v>1.0000000195969201</v>
      </c>
    </row>
    <row r="1325" spans="1:40" x14ac:dyDescent="0.25">
      <c r="A1325" t="str">
        <f>"20190303162237297"</f>
        <v>20190303162237297</v>
      </c>
      <c r="B1325" t="str">
        <f>"1551601357286314"</f>
        <v>1551601357286314</v>
      </c>
      <c r="C1325" t="s">
        <v>40</v>
      </c>
      <c r="D1325">
        <v>4.734788</v>
      </c>
      <c r="E1325">
        <v>0.55595620000000001</v>
      </c>
      <c r="F1325" t="s">
        <v>44</v>
      </c>
      <c r="G1325">
        <v>-199.28739999999999</v>
      </c>
      <c r="H1325" s="1">
        <v>-6.3240610000000001E-6</v>
      </c>
      <c r="I1325">
        <v>358.36430000000001</v>
      </c>
      <c r="J1325">
        <v>-212.8895</v>
      </c>
      <c r="K1325">
        <v>1.1167199999999999</v>
      </c>
      <c r="L1325">
        <v>367.37329999999997</v>
      </c>
      <c r="M1325">
        <v>0.99332739999999997</v>
      </c>
      <c r="N1325">
        <v>-1.070633E-2</v>
      </c>
      <c r="O1325">
        <v>-0.1148305</v>
      </c>
      <c r="P1325">
        <v>0.89175389999999999</v>
      </c>
      <c r="Q1325">
        <v>0.1350372</v>
      </c>
      <c r="R1325">
        <v>-0.43190260000000003</v>
      </c>
      <c r="S1325">
        <v>2.5778500000000002</v>
      </c>
      <c r="T1325">
        <v>-0.20929229999999999</v>
      </c>
      <c r="U1325">
        <v>-1.692261</v>
      </c>
      <c r="V1325">
        <v>0.32793820000000001</v>
      </c>
      <c r="W1325">
        <v>0.14208309999999999</v>
      </c>
      <c r="X1325">
        <v>0.93395340000000004</v>
      </c>
      <c r="Y1325">
        <v>0.4481522</v>
      </c>
      <c r="Z1325">
        <v>-1.1901119999999999E-2</v>
      </c>
      <c r="AA1325">
        <v>0.89387799999999995</v>
      </c>
      <c r="AB1325">
        <v>25</v>
      </c>
      <c r="AC1325">
        <v>13.6021</v>
      </c>
      <c r="AD1325">
        <v>-1.1167263240609999</v>
      </c>
      <c r="AE1325">
        <v>-9.0089999999999506</v>
      </c>
      <c r="AF1325">
        <v>7.3529248028362497</v>
      </c>
      <c r="AG1325">
        <v>-1.1167263240609999</v>
      </c>
      <c r="AH1325">
        <v>14.4788454685849</v>
      </c>
      <c r="AI1325">
        <v>93.933952195165801</v>
      </c>
      <c r="AJ1325">
        <v>63.076755790983</v>
      </c>
      <c r="AK1325">
        <v>16.277270868980999</v>
      </c>
      <c r="AL1325">
        <v>81.831595851819898</v>
      </c>
      <c r="AM1325">
        <v>70.652342336378496</v>
      </c>
      <c r="AN1325">
        <v>1.0000000118482</v>
      </c>
    </row>
    <row r="1326" spans="1:40" x14ac:dyDescent="0.25">
      <c r="A1326" t="str">
        <f>"20190303162237309"</f>
        <v>20190303162237309</v>
      </c>
      <c r="B1326" t="str">
        <f>"1551601357305833"</f>
        <v>1551601357305833</v>
      </c>
      <c r="C1326" t="s">
        <v>40</v>
      </c>
      <c r="D1326">
        <v>4.724558</v>
      </c>
      <c r="E1326">
        <v>0.55542269999999905</v>
      </c>
      <c r="F1326" t="s">
        <v>44</v>
      </c>
      <c r="G1326">
        <v>-199.1557</v>
      </c>
      <c r="H1326" s="1">
        <v>-6.2837730000000002E-6</v>
      </c>
      <c r="I1326">
        <v>358.30540000000002</v>
      </c>
      <c r="J1326">
        <v>-212.7586</v>
      </c>
      <c r="K1326">
        <v>1.1166769999999999</v>
      </c>
      <c r="L1326">
        <v>367.35509999999999</v>
      </c>
      <c r="M1326">
        <v>0.99299249999999994</v>
      </c>
      <c r="N1326">
        <v>-1.071395E-2</v>
      </c>
      <c r="O1326">
        <v>-0.117691</v>
      </c>
      <c r="P1326">
        <v>0.89030919999999902</v>
      </c>
      <c r="Q1326">
        <v>0.13494020000000001</v>
      </c>
      <c r="R1326">
        <v>-0.4349036</v>
      </c>
      <c r="S1326">
        <v>2.573013</v>
      </c>
      <c r="T1326">
        <v>-0.2092185</v>
      </c>
      <c r="U1326">
        <v>-1.6988829999999999</v>
      </c>
      <c r="V1326">
        <v>0.32840560000000002</v>
      </c>
      <c r="W1326">
        <v>0.1419552</v>
      </c>
      <c r="X1326">
        <v>0.93380859999999999</v>
      </c>
      <c r="Y1326">
        <v>0.44795810000000003</v>
      </c>
      <c r="Z1326">
        <v>-1.172348E-2</v>
      </c>
      <c r="AA1326">
        <v>0.89397769999999999</v>
      </c>
      <c r="AB1326">
        <v>25</v>
      </c>
      <c r="AC1326">
        <v>13.6029</v>
      </c>
      <c r="AD1326">
        <v>-1.1166832837729901</v>
      </c>
      <c r="AE1326">
        <v>-9.0496999999999694</v>
      </c>
      <c r="AF1326">
        <v>7.3514270735973604</v>
      </c>
      <c r="AG1326">
        <v>-1.1166832837729901</v>
      </c>
      <c r="AH1326">
        <v>14.5057189700408</v>
      </c>
      <c r="AI1326">
        <v>93.928185315773902</v>
      </c>
      <c r="AJ1326">
        <v>63.124332401869303</v>
      </c>
      <c r="AK1326">
        <v>16.300501354635699</v>
      </c>
      <c r="AL1326">
        <v>81.838998999168993</v>
      </c>
      <c r="AM1326">
        <v>70.624039450168596</v>
      </c>
      <c r="AN1326">
        <v>1.00000000917617</v>
      </c>
    </row>
    <row r="1327" spans="1:40" x14ac:dyDescent="0.25">
      <c r="A1327" t="str">
        <f>"20190303162237325"</f>
        <v>20190303162237325</v>
      </c>
      <c r="B1327" t="str">
        <f>"1551601357316235"</f>
        <v>1551601357316235</v>
      </c>
      <c r="C1327" t="s">
        <v>40</v>
      </c>
      <c r="D1327">
        <v>4.700672</v>
      </c>
      <c r="E1327">
        <v>0.55532869999999901</v>
      </c>
      <c r="F1327" t="s">
        <v>44</v>
      </c>
      <c r="G1327">
        <v>-198.99879999999999</v>
      </c>
      <c r="H1327" s="1">
        <v>-6.2342109999999996E-6</v>
      </c>
      <c r="I1327">
        <v>358.23050000000001</v>
      </c>
      <c r="J1327">
        <v>-212.58410000000001</v>
      </c>
      <c r="K1327">
        <v>1.1166210000000001</v>
      </c>
      <c r="L1327">
        <v>367.3304</v>
      </c>
      <c r="M1327">
        <v>0.99252890000000005</v>
      </c>
      <c r="N1327">
        <v>-1.0723770000000001E-2</v>
      </c>
      <c r="O1327">
        <v>-0.1215383</v>
      </c>
      <c r="P1327">
        <v>0.887826</v>
      </c>
      <c r="Q1327">
        <v>0.1347727</v>
      </c>
      <c r="R1327">
        <v>-0.4400018</v>
      </c>
      <c r="S1327">
        <v>2.569016</v>
      </c>
      <c r="T1327">
        <v>-0.20849039999999999</v>
      </c>
      <c r="U1327">
        <v>-1.703613</v>
      </c>
      <c r="V1327">
        <v>0.33015699999999998</v>
      </c>
      <c r="W1327">
        <v>0.14173329999999901</v>
      </c>
      <c r="X1327">
        <v>0.93322459999999996</v>
      </c>
      <c r="Y1327">
        <v>0.44629400000000002</v>
      </c>
      <c r="Z1327">
        <v>-1.139748E-2</v>
      </c>
      <c r="AA1327">
        <v>0.89481379999999999</v>
      </c>
      <c r="AB1327">
        <v>25</v>
      </c>
      <c r="AC1327">
        <v>13.5853</v>
      </c>
      <c r="AD1327">
        <v>-1.116627234211</v>
      </c>
      <c r="AE1327">
        <v>-9.0998999999999892</v>
      </c>
      <c r="AF1327">
        <v>7.34694125635031</v>
      </c>
      <c r="AG1327">
        <v>-1.116627234211</v>
      </c>
      <c r="AH1327">
        <v>14.522900315962699</v>
      </c>
      <c r="AI1327">
        <v>93.924788452614095</v>
      </c>
      <c r="AJ1327">
        <v>63.165760911926597</v>
      </c>
      <c r="AK1327">
        <v>16.313768289142601</v>
      </c>
      <c r="AL1327">
        <v>81.851843242080193</v>
      </c>
      <c r="AM1327">
        <v>70.517195357207697</v>
      </c>
      <c r="AN1327">
        <v>1.00000006351152</v>
      </c>
    </row>
    <row r="1328" spans="1:40" x14ac:dyDescent="0.25">
      <c r="A1328" t="str">
        <f>"20190303162237353"</f>
        <v>20190303162237353</v>
      </c>
      <c r="B1328" t="str">
        <f>"1551601357346491"</f>
        <v>1551601357346491</v>
      </c>
      <c r="C1328" t="s">
        <v>40</v>
      </c>
      <c r="D1328">
        <v>4.6727990000000004</v>
      </c>
      <c r="E1328">
        <v>0.55485299999999904</v>
      </c>
      <c r="F1328" t="s">
        <v>44</v>
      </c>
      <c r="G1328">
        <v>-198.84360000000001</v>
      </c>
      <c r="H1328" s="1">
        <v>-6.1710669999999998E-6</v>
      </c>
      <c r="I1328">
        <v>358.11430000000001</v>
      </c>
      <c r="J1328">
        <v>-212.2816</v>
      </c>
      <c r="K1328">
        <v>1.116533</v>
      </c>
      <c r="L1328">
        <v>367.28539999999998</v>
      </c>
      <c r="M1328">
        <v>0.99167430000000001</v>
      </c>
      <c r="N1328">
        <v>-1.0740319999999999E-2</v>
      </c>
      <c r="O1328">
        <v>-0.1283234</v>
      </c>
      <c r="P1328">
        <v>0.8840249</v>
      </c>
      <c r="Q1328">
        <v>0.13380300000000001</v>
      </c>
      <c r="R1328">
        <v>-0.44788109999999998</v>
      </c>
      <c r="S1328">
        <v>2.5597530000000002</v>
      </c>
      <c r="T1328">
        <v>-0.2080196</v>
      </c>
      <c r="U1328">
        <v>-1.716888</v>
      </c>
      <c r="V1328">
        <v>0.3320767</v>
      </c>
      <c r="W1328">
        <v>0.14069200000000001</v>
      </c>
      <c r="X1328">
        <v>0.9327008</v>
      </c>
      <c r="Y1328">
        <v>0.44489139999999999</v>
      </c>
      <c r="Z1328">
        <v>-1.092252E-2</v>
      </c>
      <c r="AA1328">
        <v>0.89551789999999998</v>
      </c>
      <c r="AB1328">
        <v>25</v>
      </c>
      <c r="AC1328">
        <v>13.437999999999899</v>
      </c>
      <c r="AD1328">
        <v>-1.1165391710670001</v>
      </c>
      <c r="AE1328">
        <v>-9.1710999999999601</v>
      </c>
      <c r="AF1328">
        <v>7.3362060113128402</v>
      </c>
      <c r="AG1328">
        <v>-1.1165391710670001</v>
      </c>
      <c r="AH1328">
        <v>14.4358299416358</v>
      </c>
      <c r="AI1328">
        <v>93.944414505753997</v>
      </c>
      <c r="AJ1328">
        <v>63.060583708733198</v>
      </c>
      <c r="AK1328">
        <v>16.2314436962575</v>
      </c>
      <c r="AL1328">
        <v>81.912108547913903</v>
      </c>
      <c r="AM1328">
        <v>70.402350582211</v>
      </c>
      <c r="AN1328">
        <v>0.99999997793376405</v>
      </c>
    </row>
    <row r="1329" spans="1:40" x14ac:dyDescent="0.25">
      <c r="A1329" t="str">
        <f>"20190303162237368"</f>
        <v>20190303162237368</v>
      </c>
      <c r="B1329" t="str">
        <f>"1551601357356251"</f>
        <v>1551601357356251</v>
      </c>
      <c r="C1329" t="s">
        <v>40</v>
      </c>
      <c r="D1329">
        <v>4.674023</v>
      </c>
      <c r="E1329">
        <v>0.55474480000000004</v>
      </c>
      <c r="F1329" t="s">
        <v>44</v>
      </c>
      <c r="G1329">
        <v>-198.5735</v>
      </c>
      <c r="H1329" s="1">
        <v>-6.0679010000000002E-6</v>
      </c>
      <c r="I1329">
        <v>357.93209999999999</v>
      </c>
      <c r="J1329">
        <v>-212.0933</v>
      </c>
      <c r="K1329">
        <v>1.1164860000000001</v>
      </c>
      <c r="L1329">
        <v>367.25639999999999</v>
      </c>
      <c r="M1329">
        <v>0.99111150000000003</v>
      </c>
      <c r="N1329">
        <v>-1.075009E-2</v>
      </c>
      <c r="O1329">
        <v>-0.1325991</v>
      </c>
      <c r="P1329">
        <v>0.88162890000000005</v>
      </c>
      <c r="Q1329">
        <v>0.13353499999999999</v>
      </c>
      <c r="R1329">
        <v>-0.45265729999999998</v>
      </c>
      <c r="S1329">
        <v>2.5451199999999998</v>
      </c>
      <c r="T1329">
        <v>-0.2073015</v>
      </c>
      <c r="U1329">
        <v>-1.736572</v>
      </c>
      <c r="V1329">
        <v>0.33310909999999999</v>
      </c>
      <c r="W1329">
        <v>0.14038419999999999</v>
      </c>
      <c r="X1329">
        <v>0.93237899999999996</v>
      </c>
      <c r="Y1329">
        <v>0.44814929999999997</v>
      </c>
      <c r="Z1329">
        <v>-1.080102E-2</v>
      </c>
      <c r="AA1329">
        <v>0.89389349999999901</v>
      </c>
      <c r="AB1329">
        <v>25</v>
      </c>
      <c r="AC1329">
        <v>13.5198</v>
      </c>
      <c r="AD1329">
        <v>-1.116492067901</v>
      </c>
      <c r="AE1329">
        <v>-9.3242999999999903</v>
      </c>
      <c r="AF1329">
        <v>7.4148696908508898</v>
      </c>
      <c r="AG1329">
        <v>-1.116492067901</v>
      </c>
      <c r="AH1329">
        <v>14.5695345845524</v>
      </c>
      <c r="AI1329">
        <v>93.907007275975502</v>
      </c>
      <c r="AJ1329">
        <v>63.0271026278226</v>
      </c>
      <c r="AK1329">
        <v>16.385914227788799</v>
      </c>
      <c r="AL1329">
        <v>81.929921134822493</v>
      </c>
      <c r="AM1329">
        <v>70.339821531067898</v>
      </c>
      <c r="AN1329">
        <v>0.999999997876725</v>
      </c>
    </row>
    <row r="1330" spans="1:40" x14ac:dyDescent="0.25">
      <c r="A1330" t="str">
        <f>"20190303162237381"</f>
        <v>20190303162237381</v>
      </c>
      <c r="B1330" t="str">
        <f>"1551601357375771"</f>
        <v>1551601357375771</v>
      </c>
      <c r="C1330" t="s">
        <v>40</v>
      </c>
      <c r="D1330">
        <v>4.6283729999999998</v>
      </c>
      <c r="E1330">
        <v>0.55487919999999902</v>
      </c>
      <c r="F1330" t="s">
        <v>44</v>
      </c>
      <c r="G1330">
        <v>-198.3494</v>
      </c>
      <c r="H1330" s="1">
        <v>-5.9787129999999998E-6</v>
      </c>
      <c r="I1330">
        <v>357.77030000000002</v>
      </c>
      <c r="J1330">
        <v>-211.94880000000001</v>
      </c>
      <c r="K1330">
        <v>1.116457</v>
      </c>
      <c r="L1330">
        <v>367.23360000000002</v>
      </c>
      <c r="M1330">
        <v>0.99066419999999999</v>
      </c>
      <c r="N1330">
        <v>-1.0757289999999999E-2</v>
      </c>
      <c r="O1330">
        <v>-0.1359003</v>
      </c>
      <c r="P1330">
        <v>0.87904300000000002</v>
      </c>
      <c r="Q1330">
        <v>0.13283229999999999</v>
      </c>
      <c r="R1330">
        <v>-0.45786349999999998</v>
      </c>
      <c r="S1330">
        <v>2.535507</v>
      </c>
      <c r="T1330">
        <v>-0.2059733</v>
      </c>
      <c r="U1330">
        <v>-1.7500309999999999</v>
      </c>
      <c r="V1330">
        <v>0.33550859999999999</v>
      </c>
      <c r="W1330">
        <v>0.13963249999999999</v>
      </c>
      <c r="X1330">
        <v>0.93163130000000005</v>
      </c>
      <c r="Y1330">
        <v>0.4499784</v>
      </c>
      <c r="Z1330">
        <v>-1.0650349999999999E-2</v>
      </c>
      <c r="AA1330">
        <v>0.89297590000000004</v>
      </c>
      <c r="AB1330">
        <v>25</v>
      </c>
      <c r="AC1330">
        <v>13.599399999999999</v>
      </c>
      <c r="AD1330">
        <v>-1.116462978713</v>
      </c>
      <c r="AE1330">
        <v>-9.4633000000000003</v>
      </c>
      <c r="AF1330">
        <v>7.4931983984578396</v>
      </c>
      <c r="AG1330">
        <v>-1.116462978713</v>
      </c>
      <c r="AH1330">
        <v>14.692637764471399</v>
      </c>
      <c r="AI1330">
        <v>93.872604960743701</v>
      </c>
      <c r="AJ1330">
        <v>62.978563430819001</v>
      </c>
      <c r="AK1330">
        <v>16.530823219049299</v>
      </c>
      <c r="AL1330">
        <v>81.973419373538505</v>
      </c>
      <c r="AM1330">
        <v>70.194518061671303</v>
      </c>
      <c r="AN1330">
        <v>1.0000000674349401</v>
      </c>
    </row>
    <row r="1331" spans="1:40" x14ac:dyDescent="0.25">
      <c r="A1331" t="str">
        <f>"20190303162237395"</f>
        <v>20190303162237395</v>
      </c>
      <c r="B1331" t="str">
        <f>"1551601357385531"</f>
        <v>1551601357385531</v>
      </c>
      <c r="C1331" t="s">
        <v>40</v>
      </c>
      <c r="D1331">
        <v>4.629588</v>
      </c>
      <c r="E1331">
        <v>0.55477089999999996</v>
      </c>
      <c r="F1331" t="s">
        <v>44</v>
      </c>
      <c r="G1331">
        <v>-198.27510000000001</v>
      </c>
      <c r="H1331" s="1">
        <v>-5.9331330000000003E-6</v>
      </c>
      <c r="I1331">
        <v>357.66879999999998</v>
      </c>
      <c r="J1331">
        <v>-211.79339999999999</v>
      </c>
      <c r="K1331">
        <v>1.1164190000000001</v>
      </c>
      <c r="L1331">
        <v>367.20839999999998</v>
      </c>
      <c r="M1331">
        <v>0.99016519999999997</v>
      </c>
      <c r="N1331">
        <v>-1.076497E-2</v>
      </c>
      <c r="O1331">
        <v>-0.13948869999999999</v>
      </c>
      <c r="P1331">
        <v>0.87665090000000001</v>
      </c>
      <c r="Q1331">
        <v>0.13232550000000001</v>
      </c>
      <c r="R1331">
        <v>-0.4625727</v>
      </c>
      <c r="S1331">
        <v>2.5242309999999999</v>
      </c>
      <c r="T1331">
        <v>-0.2061038</v>
      </c>
      <c r="U1331">
        <v>-1.76571699999999</v>
      </c>
      <c r="V1331">
        <v>0.33712839999999999</v>
      </c>
      <c r="W1331">
        <v>0.13908579999999901</v>
      </c>
      <c r="X1331">
        <v>0.93112810000000001</v>
      </c>
      <c r="Y1331">
        <v>0.45233830000000003</v>
      </c>
      <c r="Z1331">
        <v>-1.055503E-2</v>
      </c>
      <c r="AA1331">
        <v>0.89178400000000002</v>
      </c>
      <c r="AB1331">
        <v>25</v>
      </c>
      <c r="AC1331">
        <v>13.518299999999901</v>
      </c>
      <c r="AD1331">
        <v>-1.1164249331330001</v>
      </c>
      <c r="AE1331">
        <v>-9.5396000000000001</v>
      </c>
      <c r="AF1331">
        <v>7.5262995241803301</v>
      </c>
      <c r="AG1331">
        <v>-1.1164249331330001</v>
      </c>
      <c r="AH1331">
        <v>14.650164897178801</v>
      </c>
      <c r="AI1331">
        <v>93.8778002769631</v>
      </c>
      <c r="AJ1331">
        <v>62.808856751566097</v>
      </c>
      <c r="AK1331">
        <v>16.5081470999482</v>
      </c>
      <c r="AL1331">
        <v>82.005050927364493</v>
      </c>
      <c r="AM1331">
        <v>70.096478294665502</v>
      </c>
      <c r="AN1331">
        <v>0.99999997822890396</v>
      </c>
    </row>
    <row r="1332" spans="1:40" x14ac:dyDescent="0.25">
      <c r="A1332" t="str">
        <f>"20190303162237413"</f>
        <v>20190303162237413</v>
      </c>
      <c r="B1332" t="str">
        <f>"1551601357406026"</f>
        <v>1551601357406026</v>
      </c>
      <c r="C1332" t="s">
        <v>40</v>
      </c>
      <c r="D1332">
        <v>4.6455900000000003</v>
      </c>
      <c r="E1332">
        <v>0.55458649999999998</v>
      </c>
      <c r="F1332" t="s">
        <v>44</v>
      </c>
      <c r="G1332">
        <v>-198.25299999999999</v>
      </c>
      <c r="H1332" s="1">
        <v>-5.9190119999999999E-6</v>
      </c>
      <c r="I1332">
        <v>357.63690000000003</v>
      </c>
      <c r="J1332">
        <v>-211.58330000000001</v>
      </c>
      <c r="K1332">
        <v>1.1163620000000001</v>
      </c>
      <c r="L1332">
        <v>367.17329999999998</v>
      </c>
      <c r="M1332">
        <v>0.98946270000000003</v>
      </c>
      <c r="N1332">
        <v>-1.077556E-2</v>
      </c>
      <c r="O1332">
        <v>-0.144387299999999</v>
      </c>
      <c r="P1332">
        <v>0.87176699999999996</v>
      </c>
      <c r="Q1332">
        <v>0.13049669999999999</v>
      </c>
      <c r="R1332">
        <v>-0.47222199999999998</v>
      </c>
      <c r="S1332">
        <v>2.515244</v>
      </c>
      <c r="T1332">
        <v>-0.2073854</v>
      </c>
      <c r="U1332">
        <v>-1.7779849999999999</v>
      </c>
      <c r="V1332">
        <v>0.34276050000000002</v>
      </c>
      <c r="W1332">
        <v>0.1371513</v>
      </c>
      <c r="X1332">
        <v>0.92935719999999999</v>
      </c>
      <c r="Y1332">
        <v>0.45232509999999998</v>
      </c>
      <c r="Z1332">
        <v>-1.0309509999999999E-2</v>
      </c>
      <c r="AA1332">
        <v>0.89179349999999902</v>
      </c>
      <c r="AB1332">
        <v>25</v>
      </c>
      <c r="AC1332">
        <v>13.330299999999999</v>
      </c>
      <c r="AD1332">
        <v>-1.1163679190119999</v>
      </c>
      <c r="AE1332">
        <v>-9.5363999999999507</v>
      </c>
      <c r="AF1332">
        <v>7.4769341869177497</v>
      </c>
      <c r="AG1332">
        <v>-1.1163679190119999</v>
      </c>
      <c r="AH1332">
        <v>14.5003435172626</v>
      </c>
      <c r="AI1332">
        <v>93.914519312074702</v>
      </c>
      <c r="AJ1332">
        <v>62.722629309499297</v>
      </c>
      <c r="AK1332">
        <v>16.352699602350601</v>
      </c>
      <c r="AL1332">
        <v>82.116962574771193</v>
      </c>
      <c r="AM1332">
        <v>69.7552895494414</v>
      </c>
      <c r="AN1332">
        <v>1.0000000223218899</v>
      </c>
    </row>
    <row r="1333" spans="1:40" x14ac:dyDescent="0.25">
      <c r="A1333" t="str">
        <f>"20190303162237436"</f>
        <v>20190303162237436</v>
      </c>
      <c r="B1333" t="str">
        <f>"1551601357425547"</f>
        <v>1551601357425547</v>
      </c>
      <c r="C1333" t="s">
        <v>40</v>
      </c>
      <c r="D1333">
        <v>4.6343230000000002</v>
      </c>
      <c r="E1333">
        <v>0.554432699999999</v>
      </c>
      <c r="F1333" t="s">
        <v>44</v>
      </c>
      <c r="G1333">
        <v>-198.37350000000001</v>
      </c>
      <c r="H1333" s="1">
        <v>-5.9311010000000001E-6</v>
      </c>
      <c r="I1333">
        <v>357.61680000000001</v>
      </c>
      <c r="J1333">
        <v>-211.32640000000001</v>
      </c>
      <c r="K1333">
        <v>1.1162909999999999</v>
      </c>
      <c r="L1333">
        <v>367.12900000000002</v>
      </c>
      <c r="M1333">
        <v>0.98855459999999995</v>
      </c>
      <c r="N1333">
        <v>-1.078981E-2</v>
      </c>
      <c r="O1333">
        <v>-0.15047749999999999</v>
      </c>
      <c r="P1333">
        <v>0.86769759999999996</v>
      </c>
      <c r="Q1333">
        <v>0.128721</v>
      </c>
      <c r="R1333">
        <v>-0.48013739999999999</v>
      </c>
      <c r="S1333">
        <v>2.4950869999999998</v>
      </c>
      <c r="T1333">
        <v>-0.21086060000000001</v>
      </c>
      <c r="U1333">
        <v>-1.8050539999999999</v>
      </c>
      <c r="V1333">
        <v>0.34546739999999998</v>
      </c>
      <c r="W1333">
        <v>0.13529059999999901</v>
      </c>
      <c r="X1333">
        <v>0.92862730000000004</v>
      </c>
      <c r="Y1333">
        <v>0.45656849999999999</v>
      </c>
      <c r="Z1333">
        <v>-1.024922E-2</v>
      </c>
      <c r="AA1333">
        <v>0.88962919999999901</v>
      </c>
      <c r="AB1333">
        <v>25</v>
      </c>
      <c r="AC1333">
        <v>12.9529</v>
      </c>
      <c r="AD1333">
        <v>-1.11629693110099</v>
      </c>
      <c r="AE1333">
        <v>-9.5122</v>
      </c>
      <c r="AF1333">
        <v>7.4188462439371996</v>
      </c>
      <c r="AG1333">
        <v>-1.11629693110099</v>
      </c>
      <c r="AH1333">
        <v>14.168485185125499</v>
      </c>
      <c r="AI1333">
        <v>93.992646321482297</v>
      </c>
      <c r="AJ1333">
        <v>62.362723892601103</v>
      </c>
      <c r="AK1333">
        <v>16.032197942599399</v>
      </c>
      <c r="AL1333">
        <v>82.224575530237502</v>
      </c>
      <c r="AM1333">
        <v>69.593820974155193</v>
      </c>
      <c r="AN1333">
        <v>0.99999996660820401</v>
      </c>
    </row>
    <row r="1334" spans="1:40" x14ac:dyDescent="0.25">
      <c r="A1334" t="str">
        <f>"20190303162237459"</f>
        <v>20190303162237459</v>
      </c>
      <c r="B1334" t="str">
        <f>"1551601357455803"</f>
        <v>1551601357455803</v>
      </c>
      <c r="C1334" t="s">
        <v>40</v>
      </c>
      <c r="D1334">
        <v>4.6618599999999999</v>
      </c>
      <c r="E1334">
        <v>0.55468379999999995</v>
      </c>
      <c r="F1334" t="s">
        <v>44</v>
      </c>
      <c r="G1334">
        <v>-198.3201</v>
      </c>
      <c r="H1334" s="1">
        <v>-5.8917179999999999E-6</v>
      </c>
      <c r="I1334">
        <v>357.524</v>
      </c>
      <c r="J1334">
        <v>-211.0712</v>
      </c>
      <c r="K1334">
        <v>1.1162030000000001</v>
      </c>
      <c r="L1334">
        <v>367.08330000000001</v>
      </c>
      <c r="M1334">
        <v>0.98759439999999998</v>
      </c>
      <c r="N1334">
        <v>-1.080615E-2</v>
      </c>
      <c r="O1334">
        <v>-0.15665490000000001</v>
      </c>
      <c r="P1334">
        <v>0.86398739999999996</v>
      </c>
      <c r="Q1334">
        <v>0.12954760000000001</v>
      </c>
      <c r="R1334">
        <v>-0.48656329999999998</v>
      </c>
      <c r="S1334">
        <v>2.4768370000000002</v>
      </c>
      <c r="T1334">
        <v>-0.2125793</v>
      </c>
      <c r="U1334">
        <v>-1.829102</v>
      </c>
      <c r="V1334">
        <v>0.34661409999999998</v>
      </c>
      <c r="W1334">
        <v>0.13603370000000001</v>
      </c>
      <c r="X1334">
        <v>0.92809129999999995</v>
      </c>
      <c r="Y1334">
        <v>0.45971129999999999</v>
      </c>
      <c r="Z1334">
        <v>-1.0075489999999999E-2</v>
      </c>
      <c r="AA1334">
        <v>0.88801129999999995</v>
      </c>
      <c r="AB1334">
        <v>25</v>
      </c>
      <c r="AC1334">
        <v>12.751099999999999</v>
      </c>
      <c r="AD1334">
        <v>-1.116208891718</v>
      </c>
      <c r="AE1334">
        <v>-9.5593000000000004</v>
      </c>
      <c r="AF1334">
        <v>7.407284181763</v>
      </c>
      <c r="AG1334">
        <v>-1.116208891718</v>
      </c>
      <c r="AH1334">
        <v>14.0224563321774</v>
      </c>
      <c r="AI1334">
        <v>94.026112918871803</v>
      </c>
      <c r="AJ1334">
        <v>62.154996369442998</v>
      </c>
      <c r="AK1334">
        <v>15.8978949181069</v>
      </c>
      <c r="AL1334">
        <v>82.181601865228004</v>
      </c>
      <c r="AM1334">
        <v>69.520856794588894</v>
      </c>
      <c r="AN1334">
        <v>0.99999998149509395</v>
      </c>
    </row>
    <row r="1335" spans="1:40" x14ac:dyDescent="0.25">
      <c r="A1335" t="str">
        <f>"20190303162237481"</f>
        <v>20190303162237481</v>
      </c>
      <c r="B1335" t="str">
        <f>"1551601357475323"</f>
        <v>1551601357475323</v>
      </c>
      <c r="C1335" t="s">
        <v>40</v>
      </c>
      <c r="D1335">
        <v>4.6373540000000002</v>
      </c>
      <c r="E1335">
        <v>0.55431799999999998</v>
      </c>
      <c r="F1335" t="s">
        <v>44</v>
      </c>
      <c r="G1335">
        <v>-197.71969999999999</v>
      </c>
      <c r="H1335" s="1">
        <v>-5.6369519999999999E-6</v>
      </c>
      <c r="I1335">
        <v>357.04309999999998</v>
      </c>
      <c r="J1335">
        <v>-210.81829999999999</v>
      </c>
      <c r="K1335">
        <v>1.1161080000000001</v>
      </c>
      <c r="L1335">
        <v>367.03620000000001</v>
      </c>
      <c r="M1335">
        <v>0.98657649999999997</v>
      </c>
      <c r="N1335">
        <v>-1.0825309999999999E-2</v>
      </c>
      <c r="O1335">
        <v>-0.16294059999999999</v>
      </c>
      <c r="P1335">
        <v>0.86023780000000005</v>
      </c>
      <c r="Q1335">
        <v>0.1335539</v>
      </c>
      <c r="R1335">
        <v>-0.49209199999999997</v>
      </c>
      <c r="S1335">
        <v>2.4609380000000001</v>
      </c>
      <c r="T1335">
        <v>-0.2057379</v>
      </c>
      <c r="U1335">
        <v>-1.8505860000000001</v>
      </c>
      <c r="V1335">
        <v>0.34683760000000002</v>
      </c>
      <c r="W1335">
        <v>0.1399437</v>
      </c>
      <c r="X1335">
        <v>0.92742630000000004</v>
      </c>
      <c r="Y1335">
        <v>0.46182139999999999</v>
      </c>
      <c r="Z1335">
        <v>-9.6226860000000001E-3</v>
      </c>
      <c r="AA1335">
        <v>0.88692079999999995</v>
      </c>
      <c r="AB1335">
        <v>25</v>
      </c>
      <c r="AC1335">
        <v>13.098599999999999</v>
      </c>
      <c r="AD1335">
        <v>-1.1161136369519999</v>
      </c>
      <c r="AE1335">
        <v>-9.9931000000000196</v>
      </c>
      <c r="AF1335">
        <v>7.68982523486505</v>
      </c>
      <c r="AG1335">
        <v>-1.1161136369519999</v>
      </c>
      <c r="AH1335">
        <v>14.485426632915599</v>
      </c>
      <c r="AI1335">
        <v>93.893294430903595</v>
      </c>
      <c r="AJ1335">
        <v>62.037672600877301</v>
      </c>
      <c r="AK1335">
        <v>16.437965401196699</v>
      </c>
      <c r="AL1335">
        <v>81.955411989264803</v>
      </c>
      <c r="AM1335">
        <v>69.495278299594204</v>
      </c>
      <c r="AN1335">
        <v>1.0000000509375599</v>
      </c>
    </row>
    <row r="1336" spans="1:40" x14ac:dyDescent="0.25">
      <c r="A1336" t="str">
        <f>"20190303162237503"</f>
        <v>20190303162237503</v>
      </c>
      <c r="B1336" t="str">
        <f>"1551601357495818"</f>
        <v>1551601357495818</v>
      </c>
      <c r="C1336" t="s">
        <v>40</v>
      </c>
      <c r="D1336">
        <v>4.6380530000000002</v>
      </c>
      <c r="E1336">
        <v>0.55421790000000004</v>
      </c>
      <c r="F1336" t="s">
        <v>44</v>
      </c>
      <c r="G1336">
        <v>-196.47980000000001</v>
      </c>
      <c r="H1336" s="1">
        <v>-5.0997219999999998E-6</v>
      </c>
      <c r="I1336">
        <v>356.11340000000001</v>
      </c>
      <c r="J1336">
        <v>-210.57759999999999</v>
      </c>
      <c r="K1336">
        <v>1.1159779999999999</v>
      </c>
      <c r="L1336">
        <v>366.98950000000002</v>
      </c>
      <c r="M1336">
        <v>0.98553299999999999</v>
      </c>
      <c r="N1336">
        <v>-1.084749E-2</v>
      </c>
      <c r="O1336">
        <v>-0.16913689999999901</v>
      </c>
      <c r="P1336">
        <v>0.8565275</v>
      </c>
      <c r="Q1336">
        <v>0.1382042</v>
      </c>
      <c r="R1336">
        <v>-0.49725340000000001</v>
      </c>
      <c r="S1336">
        <v>2.44957</v>
      </c>
      <c r="T1336">
        <v>-0.1906745</v>
      </c>
      <c r="U1336">
        <v>-1.866028</v>
      </c>
      <c r="V1336">
        <v>0.34681220000000001</v>
      </c>
      <c r="W1336">
        <v>0.14447670000000001</v>
      </c>
      <c r="X1336">
        <v>0.92674040000000002</v>
      </c>
      <c r="Y1336">
        <v>0.461891</v>
      </c>
      <c r="Z1336">
        <v>-8.9159949999999995E-3</v>
      </c>
      <c r="AA1336">
        <v>0.88689189999999996</v>
      </c>
      <c r="AB1336">
        <v>25</v>
      </c>
      <c r="AC1336">
        <v>14.0977999999999</v>
      </c>
      <c r="AD1336">
        <v>-1.1159830997219999</v>
      </c>
      <c r="AE1336">
        <v>-10.876099999999999</v>
      </c>
      <c r="AF1336">
        <v>8.3021731794179594</v>
      </c>
      <c r="AG1336">
        <v>-1.1159830997219999</v>
      </c>
      <c r="AH1336">
        <v>15.6727534472931</v>
      </c>
      <c r="AI1336">
        <v>93.600438882145795</v>
      </c>
      <c r="AJ1336">
        <v>62.088930034325202</v>
      </c>
      <c r="AK1336">
        <v>17.7709509706022</v>
      </c>
      <c r="AL1336">
        <v>81.693022723039803</v>
      </c>
      <c r="AM1336">
        <v>69.482744006481795</v>
      </c>
      <c r="AN1336">
        <v>0.99999999395194406</v>
      </c>
    </row>
    <row r="1337" spans="1:40" x14ac:dyDescent="0.25">
      <c r="A1337" t="str">
        <f>"20190303162237525"</f>
        <v>20190303162237525</v>
      </c>
      <c r="B1337" t="str">
        <f>"1551601357515339"</f>
        <v>1551601357515339</v>
      </c>
      <c r="C1337" t="s">
        <v>40</v>
      </c>
      <c r="D1337">
        <v>4.7039339999999896</v>
      </c>
      <c r="E1337">
        <v>0.55403999999999998</v>
      </c>
      <c r="F1337" t="s">
        <v>44</v>
      </c>
      <c r="G1337">
        <v>-194.90530000000001</v>
      </c>
      <c r="H1337" s="1">
        <v>-4.176823E-6</v>
      </c>
      <c r="I1337">
        <v>354.88159999999999</v>
      </c>
      <c r="J1337">
        <v>-210.32570000000001</v>
      </c>
      <c r="K1337">
        <v>1.115788</v>
      </c>
      <c r="L1337">
        <v>366.93860000000001</v>
      </c>
      <c r="M1337">
        <v>0.98434710000000003</v>
      </c>
      <c r="N1337">
        <v>-1.0876530000000001E-2</v>
      </c>
      <c r="O1337">
        <v>-0.17590500000000001</v>
      </c>
      <c r="P1337">
        <v>0.85289199999999998</v>
      </c>
      <c r="Q1337">
        <v>0.13957120000000001</v>
      </c>
      <c r="R1337">
        <v>-0.50308589999999997</v>
      </c>
      <c r="S1337">
        <v>2.4373320000000001</v>
      </c>
      <c r="T1337">
        <v>-0.17355499999999999</v>
      </c>
      <c r="U1337">
        <v>-1.8829959999999999</v>
      </c>
      <c r="V1337">
        <v>0.34689320000000001</v>
      </c>
      <c r="W1337">
        <v>0.14569760000000001</v>
      </c>
      <c r="X1337">
        <v>0.92651890000000003</v>
      </c>
      <c r="Y1337">
        <v>0.4619432</v>
      </c>
      <c r="Z1337">
        <v>-8.2017610000000001E-3</v>
      </c>
      <c r="AA1337">
        <v>0.88687159999999998</v>
      </c>
      <c r="AB1337">
        <v>25</v>
      </c>
      <c r="AC1337">
        <v>15.420400000000001</v>
      </c>
      <c r="AD1337">
        <v>-1.1157921768229999</v>
      </c>
      <c r="AE1337">
        <v>-12.057</v>
      </c>
      <c r="AF1337">
        <v>9.1266338127952302</v>
      </c>
      <c r="AG1337">
        <v>-1.1157921768229999</v>
      </c>
      <c r="AH1337">
        <v>17.244901845032501</v>
      </c>
      <c r="AI1337">
        <v>93.273044819219905</v>
      </c>
      <c r="AJ1337">
        <v>62.110567082400998</v>
      </c>
      <c r="AK1337">
        <v>19.542954653263699</v>
      </c>
      <c r="AL1337">
        <v>81.622322070817901</v>
      </c>
      <c r="AM1337">
        <v>69.473854514132697</v>
      </c>
      <c r="AN1337">
        <v>0.99999997745460401</v>
      </c>
    </row>
    <row r="1338" spans="1:40" x14ac:dyDescent="0.25">
      <c r="A1338" t="str">
        <f>"20190303162237549"</f>
        <v>20190303162237549</v>
      </c>
      <c r="B1338" t="str">
        <f>"1551601357545596"</f>
        <v>1551601357545596</v>
      </c>
      <c r="C1338" t="s">
        <v>40</v>
      </c>
      <c r="D1338">
        <v>4.7012839999999896</v>
      </c>
      <c r="E1338">
        <v>0.55384800000000001</v>
      </c>
      <c r="F1338" t="s">
        <v>44</v>
      </c>
      <c r="G1338">
        <v>-194.16480000000001</v>
      </c>
      <c r="H1338" s="1">
        <v>-3.715727E-6</v>
      </c>
      <c r="I1338">
        <v>354.2706</v>
      </c>
      <c r="J1338">
        <v>-210.0591</v>
      </c>
      <c r="K1338">
        <v>1.1155790000000001</v>
      </c>
      <c r="L1338">
        <v>366.88240000000002</v>
      </c>
      <c r="M1338">
        <v>0.98298920000000001</v>
      </c>
      <c r="N1338">
        <v>-1.0911000000000001E-2</v>
      </c>
      <c r="O1338">
        <v>-0.1833391</v>
      </c>
      <c r="P1338">
        <v>0.84772159999999996</v>
      </c>
      <c r="Q1338">
        <v>0.13930880000000001</v>
      </c>
      <c r="R1338">
        <v>-0.51182179999999999</v>
      </c>
      <c r="S1338">
        <v>2.424042</v>
      </c>
      <c r="T1338">
        <v>-0.16736219999999999</v>
      </c>
      <c r="U1338">
        <v>-1.9001159999999999</v>
      </c>
      <c r="V1338">
        <v>0.34947879999999998</v>
      </c>
      <c r="W1338">
        <v>0.14524479999999901</v>
      </c>
      <c r="X1338">
        <v>0.92561789999999999</v>
      </c>
      <c r="Y1338">
        <v>0.46152910000000003</v>
      </c>
      <c r="Z1338">
        <v>-7.725188E-3</v>
      </c>
      <c r="AA1338">
        <v>0.88709150000000003</v>
      </c>
      <c r="AB1338">
        <v>25</v>
      </c>
      <c r="AC1338">
        <v>15.8942999999999</v>
      </c>
      <c r="AD1338">
        <v>-1.115582715727</v>
      </c>
      <c r="AE1338">
        <v>-12.611800000000001</v>
      </c>
      <c r="AF1338">
        <v>9.4551978720517997</v>
      </c>
      <c r="AG1338">
        <v>-1.115582715727</v>
      </c>
      <c r="AH1338">
        <v>17.8831679684561</v>
      </c>
      <c r="AI1338">
        <v>93.156548102021404</v>
      </c>
      <c r="AJ1338">
        <v>62.133672831662203</v>
      </c>
      <c r="AK1338">
        <v>20.259639389270902</v>
      </c>
      <c r="AL1338">
        <v>81.648544649618799</v>
      </c>
      <c r="AM1338">
        <v>69.315333679258003</v>
      </c>
      <c r="AN1338">
        <v>0.99999999018844499</v>
      </c>
    </row>
    <row r="1339" spans="1:40" x14ac:dyDescent="0.25">
      <c r="A1339" t="str">
        <f>"20190303162237571"</f>
        <v>20190303162237571</v>
      </c>
      <c r="B1339" t="str">
        <f>"1551601357566090"</f>
        <v>1551601357566090</v>
      </c>
      <c r="C1339" t="s">
        <v>40</v>
      </c>
      <c r="D1339">
        <v>4.7300849999999999</v>
      </c>
      <c r="E1339">
        <v>0.55364259999999998</v>
      </c>
      <c r="F1339" t="s">
        <v>44</v>
      </c>
      <c r="G1339">
        <v>-193.95230000000001</v>
      </c>
      <c r="H1339" s="1">
        <v>-3.5261879999999999E-6</v>
      </c>
      <c r="I1339">
        <v>353.98759999999999</v>
      </c>
      <c r="J1339">
        <v>-209.81190000000001</v>
      </c>
      <c r="K1339">
        <v>1.115386</v>
      </c>
      <c r="L1339">
        <v>366.82810000000001</v>
      </c>
      <c r="M1339">
        <v>0.98162819999999995</v>
      </c>
      <c r="N1339">
        <v>-1.0943680000000001E-2</v>
      </c>
      <c r="O1339">
        <v>-0.19048979999999999</v>
      </c>
      <c r="P1339">
        <v>0.84160199999999996</v>
      </c>
      <c r="Q1339">
        <v>0.1399707</v>
      </c>
      <c r="R1339">
        <v>-0.52164630000000001</v>
      </c>
      <c r="S1339">
        <v>2.4041600000000001</v>
      </c>
      <c r="T1339">
        <v>-0.1665161</v>
      </c>
      <c r="U1339">
        <v>-1.9247129999999999</v>
      </c>
      <c r="V1339">
        <v>0.35360829999999999</v>
      </c>
      <c r="W1339">
        <v>0.14570050000000001</v>
      </c>
      <c r="X1339">
        <v>0.92397649999999998</v>
      </c>
      <c r="Y1339">
        <v>0.46418540000000003</v>
      </c>
      <c r="Z1339">
        <v>-7.4952179999999997E-3</v>
      </c>
      <c r="AA1339">
        <v>0.88570629999999995</v>
      </c>
      <c r="AB1339">
        <v>25</v>
      </c>
      <c r="AC1339">
        <v>15.8596</v>
      </c>
      <c r="AD1339">
        <v>-1.115389526188</v>
      </c>
      <c r="AE1339">
        <v>-12.8405</v>
      </c>
      <c r="AF1339">
        <v>9.5555295122844193</v>
      </c>
      <c r="AG1339">
        <v>-1.115389526188</v>
      </c>
      <c r="AH1339">
        <v>17.961629303515</v>
      </c>
      <c r="AI1339">
        <v>93.137994030680602</v>
      </c>
      <c r="AJ1339">
        <v>61.987164981647297</v>
      </c>
      <c r="AK1339">
        <v>20.375778887987501</v>
      </c>
      <c r="AL1339">
        <v>81.622154471758606</v>
      </c>
      <c r="AM1339">
        <v>69.058016668016805</v>
      </c>
      <c r="AN1339">
        <v>1.0000000190406899</v>
      </c>
    </row>
    <row r="1340" spans="1:40" x14ac:dyDescent="0.25">
      <c r="A1340" t="str">
        <f>"20190303162237592"</f>
        <v>20190303162237592</v>
      </c>
      <c r="B1340" t="str">
        <f>"1551601357585611"</f>
        <v>1551601357585611</v>
      </c>
      <c r="C1340" t="s">
        <v>40</v>
      </c>
      <c r="D1340">
        <v>4.7724489999999999</v>
      </c>
      <c r="E1340">
        <v>0.553415199999999</v>
      </c>
      <c r="F1340" t="s">
        <v>44</v>
      </c>
      <c r="G1340">
        <v>-193.7073</v>
      </c>
      <c r="H1340" s="1">
        <v>-3.2925849999999998E-6</v>
      </c>
      <c r="I1340">
        <v>353.63139999999999</v>
      </c>
      <c r="J1340">
        <v>-209.5676</v>
      </c>
      <c r="K1340">
        <v>1.1151960000000001</v>
      </c>
      <c r="L1340">
        <v>366.77229999999997</v>
      </c>
      <c r="M1340">
        <v>0.98017449999999995</v>
      </c>
      <c r="N1340">
        <v>-1.0976690000000001E-2</v>
      </c>
      <c r="O1340">
        <v>-0.19783220000000001</v>
      </c>
      <c r="P1340">
        <v>0.834383599999999</v>
      </c>
      <c r="Q1340">
        <v>0.1414667</v>
      </c>
      <c r="R1340">
        <v>-0.532721</v>
      </c>
      <c r="S1340">
        <v>2.3821560000000002</v>
      </c>
      <c r="T1340">
        <v>-0.16498589999999999</v>
      </c>
      <c r="U1340">
        <v>-1.952026</v>
      </c>
      <c r="V1340">
        <v>0.35904219999999998</v>
      </c>
      <c r="W1340">
        <v>0.14696509999999999</v>
      </c>
      <c r="X1340">
        <v>0.92167779999999999</v>
      </c>
      <c r="Y1340">
        <v>0.46764820000000001</v>
      </c>
      <c r="Z1340">
        <v>-7.2797039999999997E-3</v>
      </c>
      <c r="AA1340">
        <v>0.88388469999999997</v>
      </c>
      <c r="AB1340">
        <v>25</v>
      </c>
      <c r="AC1340">
        <v>15.860299999999899</v>
      </c>
      <c r="AD1340">
        <v>-1.1151992925849901</v>
      </c>
      <c r="AE1340">
        <v>-13.140899999999901</v>
      </c>
      <c r="AF1340">
        <v>9.71480377718248</v>
      </c>
      <c r="AG1340">
        <v>-1.1151992925849901</v>
      </c>
      <c r="AH1340">
        <v>18.0936041927649</v>
      </c>
      <c r="AI1340">
        <v>93.108266049974404</v>
      </c>
      <c r="AJ1340">
        <v>61.767794244213299</v>
      </c>
      <c r="AK1340">
        <v>20.566953945000702</v>
      </c>
      <c r="AL1340">
        <v>81.548909652855997</v>
      </c>
      <c r="AM1340">
        <v>68.716457977037194</v>
      </c>
      <c r="AN1340">
        <v>1.0000000045058399</v>
      </c>
    </row>
    <row r="1341" spans="1:40" x14ac:dyDescent="0.25">
      <c r="A1341" t="str">
        <f>"20190303162237614"</f>
        <v>20190303162237614</v>
      </c>
      <c r="B1341" t="str">
        <f>"1551601357606106"</f>
        <v>1551601357606106</v>
      </c>
      <c r="C1341" t="s">
        <v>40</v>
      </c>
      <c r="D1341">
        <v>4.8138079999999999</v>
      </c>
      <c r="E1341">
        <v>0.5530408</v>
      </c>
      <c r="F1341" t="s">
        <v>44</v>
      </c>
      <c r="G1341">
        <v>-193.40369999999999</v>
      </c>
      <c r="H1341" s="1">
        <v>-3.0036080000000001E-6</v>
      </c>
      <c r="I1341">
        <v>353.1909</v>
      </c>
      <c r="J1341">
        <v>-209.31639999999999</v>
      </c>
      <c r="K1341">
        <v>1.1149960000000001</v>
      </c>
      <c r="L1341">
        <v>366.71269999999998</v>
      </c>
      <c r="M1341">
        <v>0.97856209999999999</v>
      </c>
      <c r="N1341">
        <v>-1.101241E-2</v>
      </c>
      <c r="O1341">
        <v>-0.20565739999999999</v>
      </c>
      <c r="P1341">
        <v>0.82621449999999996</v>
      </c>
      <c r="Q1341">
        <v>0.1412775</v>
      </c>
      <c r="R1341">
        <v>-0.54535369999999905</v>
      </c>
      <c r="S1341">
        <v>2.358047</v>
      </c>
      <c r="T1341">
        <v>-0.16269020000000001</v>
      </c>
      <c r="U1341">
        <v>-1.9813229999999999</v>
      </c>
      <c r="V1341">
        <v>0.36576330000000001</v>
      </c>
      <c r="W1341">
        <v>0.14652029999999999</v>
      </c>
      <c r="X1341">
        <v>0.91910230000000004</v>
      </c>
      <c r="Y1341">
        <v>0.4714835</v>
      </c>
      <c r="Z1341">
        <v>-7.0530230000000003E-3</v>
      </c>
      <c r="AA1341">
        <v>0.88184669999999898</v>
      </c>
      <c r="AB1341">
        <v>25</v>
      </c>
      <c r="AC1341">
        <v>15.912699999999999</v>
      </c>
      <c r="AD1341">
        <v>-1.114999003608</v>
      </c>
      <c r="AE1341">
        <v>-13.521799999999899</v>
      </c>
      <c r="AF1341">
        <v>9.9316444125437897</v>
      </c>
      <c r="AG1341">
        <v>-1.114999003608</v>
      </c>
      <c r="AH1341">
        <v>18.301357423549401</v>
      </c>
      <c r="AI1341">
        <v>93.065132782634706</v>
      </c>
      <c r="AJ1341">
        <v>61.512530774316403</v>
      </c>
      <c r="AK1341">
        <v>20.852349197626701</v>
      </c>
      <c r="AL1341">
        <v>81.574673799281101</v>
      </c>
      <c r="AM1341">
        <v>68.2995655659509</v>
      </c>
      <c r="AN1341">
        <v>1.0000000139021299</v>
      </c>
    </row>
    <row r="1342" spans="1:40" x14ac:dyDescent="0.25">
      <c r="A1342" t="str">
        <f>"20190303162237638"</f>
        <v>20190303162237638</v>
      </c>
      <c r="B1342" t="str">
        <f>"1551601357625627"</f>
        <v>1551601357625627</v>
      </c>
      <c r="C1342" t="s">
        <v>40</v>
      </c>
      <c r="D1342">
        <v>4.8177659999999998</v>
      </c>
      <c r="E1342">
        <v>0.55275989999999997</v>
      </c>
      <c r="F1342" t="s">
        <v>44</v>
      </c>
      <c r="G1342">
        <v>-193.76390000000001</v>
      </c>
      <c r="H1342" s="1">
        <v>-3.1338969999999999E-6</v>
      </c>
      <c r="I1342">
        <v>353.29109999999997</v>
      </c>
      <c r="J1342">
        <v>-209.05459999999999</v>
      </c>
      <c r="K1342">
        <v>1.114787</v>
      </c>
      <c r="L1342">
        <v>366.64800000000002</v>
      </c>
      <c r="M1342">
        <v>0.97675650000000003</v>
      </c>
      <c r="N1342">
        <v>-1.104986E-2</v>
      </c>
      <c r="O1342">
        <v>-0.21406720000000001</v>
      </c>
      <c r="P1342">
        <v>0.81698970000000004</v>
      </c>
      <c r="Q1342">
        <v>0.13960330000000001</v>
      </c>
      <c r="R1342">
        <v>-0.55949879999999996</v>
      </c>
      <c r="S1342">
        <v>2.331512</v>
      </c>
      <c r="T1342">
        <v>-0.16715169999999999</v>
      </c>
      <c r="U1342">
        <v>-2.012054</v>
      </c>
      <c r="V1342">
        <v>0.3736643</v>
      </c>
      <c r="W1342">
        <v>0.14457529999999999</v>
      </c>
      <c r="X1342">
        <v>0.91622760000000003</v>
      </c>
      <c r="Y1342">
        <v>0.47549170000000002</v>
      </c>
      <c r="Z1342">
        <v>-6.8888100000000004E-3</v>
      </c>
      <c r="AA1342">
        <v>0.87969330000000001</v>
      </c>
      <c r="AB1342">
        <v>25</v>
      </c>
      <c r="AC1342">
        <v>15.2906999999999</v>
      </c>
      <c r="AD1342">
        <v>-1.1147901338970001</v>
      </c>
      <c r="AE1342">
        <v>-13.3569</v>
      </c>
      <c r="AF1342">
        <v>9.7444197142857494</v>
      </c>
      <c r="AG1342">
        <v>-1.1147901338970001</v>
      </c>
      <c r="AH1342">
        <v>17.742160229260399</v>
      </c>
      <c r="AI1342">
        <v>93.152275323815402</v>
      </c>
      <c r="AJ1342">
        <v>61.2233541991015</v>
      </c>
      <c r="AK1342">
        <v>20.272659475548402</v>
      </c>
      <c r="AL1342">
        <v>81.687313641357505</v>
      </c>
      <c r="AM1342">
        <v>67.812934238305004</v>
      </c>
      <c r="AN1342">
        <v>1.0000000207331601</v>
      </c>
    </row>
    <row r="1343" spans="1:40" x14ac:dyDescent="0.25">
      <c r="A1343" t="str">
        <f>"20190303162237660"</f>
        <v>20190303162237660</v>
      </c>
      <c r="B1343" t="str">
        <f>"1551601357646123"</f>
        <v>1551601357646123</v>
      </c>
      <c r="C1343" t="s">
        <v>40</v>
      </c>
      <c r="D1343">
        <v>4.9663519999999997</v>
      </c>
      <c r="E1343">
        <v>0.55249409999999999</v>
      </c>
      <c r="F1343" t="s">
        <v>44</v>
      </c>
      <c r="G1343">
        <v>-194.51849999999999</v>
      </c>
      <c r="H1343" s="1">
        <v>-3.5117510000000001E-6</v>
      </c>
      <c r="I1343">
        <v>353.70949999999999</v>
      </c>
      <c r="J1343">
        <v>-208.81229999999999</v>
      </c>
      <c r="K1343">
        <v>1.1146259999999999</v>
      </c>
      <c r="L1343">
        <v>366.58580000000001</v>
      </c>
      <c r="M1343">
        <v>0.97497809999999996</v>
      </c>
      <c r="N1343">
        <v>-1.1081199999999999E-2</v>
      </c>
      <c r="O1343">
        <v>-0.2220249</v>
      </c>
      <c r="P1343">
        <v>0.80891590000000002</v>
      </c>
      <c r="Q1343">
        <v>0.1366753</v>
      </c>
      <c r="R1343">
        <v>-0.57181759999999904</v>
      </c>
      <c r="S1343">
        <v>2.300125</v>
      </c>
      <c r="T1343">
        <v>-0.1763989</v>
      </c>
      <c r="U1343">
        <v>-2.0473330000000001</v>
      </c>
      <c r="V1343">
        <v>0.37997829999999999</v>
      </c>
      <c r="W1343">
        <v>0.1414369</v>
      </c>
      <c r="X1343">
        <v>0.91411819999999999</v>
      </c>
      <c r="Y1343">
        <v>0.48173290000000002</v>
      </c>
      <c r="Z1343">
        <v>-6.8565980000000002E-3</v>
      </c>
      <c r="AA1343">
        <v>0.8762913</v>
      </c>
      <c r="AB1343">
        <v>26</v>
      </c>
      <c r="AC1343">
        <v>14.293799999999999</v>
      </c>
      <c r="AD1343">
        <v>-1.1146295117509999</v>
      </c>
      <c r="AE1343">
        <v>-12.876300000000001</v>
      </c>
      <c r="AF1343">
        <v>9.3497209643350097</v>
      </c>
      <c r="AG1343">
        <v>-1.1146295117509999</v>
      </c>
      <c r="AH1343">
        <v>16.739838586090499</v>
      </c>
      <c r="AI1343">
        <v>93.3270060990113</v>
      </c>
      <c r="AJ1343">
        <v>60.815282022374397</v>
      </c>
      <c r="AK1343">
        <v>19.206297845960702</v>
      </c>
      <c r="AL1343">
        <v>81.8689979649062</v>
      </c>
      <c r="AM1343">
        <v>67.428446832411595</v>
      </c>
      <c r="AN1343">
        <v>0.99999999436187004</v>
      </c>
    </row>
    <row r="1344" spans="1:40" x14ac:dyDescent="0.25">
      <c r="A1344" t="str">
        <f>"20190303162237683"</f>
        <v>20190303162237683</v>
      </c>
      <c r="B1344" t="str">
        <f>"1551601357675403"</f>
        <v>1551601357675403</v>
      </c>
      <c r="C1344" t="s">
        <v>40</v>
      </c>
      <c r="D1344">
        <v>4.9807759999999996</v>
      </c>
      <c r="E1344">
        <v>0.5681813</v>
      </c>
      <c r="F1344" t="s">
        <v>44</v>
      </c>
      <c r="G1344">
        <v>-195.43260000000001</v>
      </c>
      <c r="H1344" s="1">
        <v>-4.039061E-6</v>
      </c>
      <c r="I1344">
        <v>354.3546</v>
      </c>
      <c r="J1344">
        <v>-208.55520000000001</v>
      </c>
      <c r="K1344">
        <v>1.114501</v>
      </c>
      <c r="L1344">
        <v>366.51749999999998</v>
      </c>
      <c r="M1344">
        <v>0.97298629999999997</v>
      </c>
      <c r="N1344">
        <v>-1.1108059999999999E-2</v>
      </c>
      <c r="O1344">
        <v>-0.230596</v>
      </c>
      <c r="P1344">
        <v>0.8015021</v>
      </c>
      <c r="Q1344">
        <v>0.13306179999999901</v>
      </c>
      <c r="R1344">
        <v>-0.58300039999999997</v>
      </c>
      <c r="S1344">
        <v>2.272278</v>
      </c>
      <c r="T1344">
        <v>-0.18929760000000001</v>
      </c>
      <c r="U1344">
        <v>-2.0772400000000002</v>
      </c>
      <c r="V1344">
        <v>0.38447920000000002</v>
      </c>
      <c r="W1344">
        <v>0.1376742</v>
      </c>
      <c r="X1344">
        <v>0.91280969999999995</v>
      </c>
      <c r="Y1344">
        <v>0.48556480000000002</v>
      </c>
      <c r="Z1344">
        <v>-6.6843650000000003E-3</v>
      </c>
      <c r="AA1344">
        <v>0.87417509999999998</v>
      </c>
      <c r="AB1344">
        <v>26</v>
      </c>
      <c r="AC1344">
        <v>13.1226</v>
      </c>
      <c r="AD1344">
        <v>-1.1145050390610001</v>
      </c>
      <c r="AE1344">
        <v>-12.162899999999899</v>
      </c>
      <c r="AF1344">
        <v>8.7748125892245596</v>
      </c>
      <c r="AG1344">
        <v>-1.1145050390610001</v>
      </c>
      <c r="AH1344">
        <v>15.5135931328713</v>
      </c>
      <c r="AI1344">
        <v>93.578097938499496</v>
      </c>
      <c r="AJ1344">
        <v>60.506592122418802</v>
      </c>
      <c r="AK1344">
        <v>17.858080225779599</v>
      </c>
      <c r="AL1344">
        <v>82.086715464601596</v>
      </c>
      <c r="AM1344">
        <v>67.158973969162105</v>
      </c>
      <c r="AN1344">
        <v>0.99999999449618404</v>
      </c>
    </row>
    <row r="1345" spans="1:40" x14ac:dyDescent="0.25">
      <c r="A1345" t="str">
        <f>"20190303162237704"</f>
        <v>20190303162237704</v>
      </c>
      <c r="B1345" t="str">
        <f>"1551601357695899"</f>
        <v>1551601357695899</v>
      </c>
      <c r="C1345" t="s">
        <v>40</v>
      </c>
      <c r="D1345">
        <v>4.9428780000000003</v>
      </c>
      <c r="E1345">
        <v>0.56811699999999998</v>
      </c>
      <c r="F1345" t="s">
        <v>44</v>
      </c>
      <c r="G1345">
        <v>-194.6113</v>
      </c>
      <c r="H1345" s="1">
        <v>-2.8290279999999999E-6</v>
      </c>
      <c r="I1345">
        <v>352.31189999999998</v>
      </c>
      <c r="J1345">
        <v>-208.31399999999999</v>
      </c>
      <c r="K1345">
        <v>1.1144369999999999</v>
      </c>
      <c r="L1345">
        <v>366.45080000000002</v>
      </c>
      <c r="M1345">
        <v>0.9710259</v>
      </c>
      <c r="N1345">
        <v>-1.1126749999999999E-2</v>
      </c>
      <c r="O1345">
        <v>-0.23871500000000001</v>
      </c>
      <c r="P1345">
        <v>0.79521219999999904</v>
      </c>
      <c r="Q1345">
        <v>0.1294661</v>
      </c>
      <c r="R1345">
        <v>-0.59234809999999904</v>
      </c>
      <c r="S1345">
        <v>2.166382</v>
      </c>
      <c r="T1345">
        <v>-0.17315359999999999</v>
      </c>
      <c r="U1345">
        <v>-2.2070310000000002</v>
      </c>
      <c r="V1345">
        <v>0.38737169999999999</v>
      </c>
      <c r="W1345">
        <v>0.13399929999999999</v>
      </c>
      <c r="X1345">
        <v>0.91213350000000004</v>
      </c>
      <c r="Y1345">
        <v>0.52506409999999903</v>
      </c>
      <c r="Z1345">
        <v>-7.7787079999999996E-3</v>
      </c>
      <c r="AA1345">
        <v>0.85102710000000004</v>
      </c>
      <c r="AB1345">
        <v>26</v>
      </c>
      <c r="AC1345">
        <v>13.7027</v>
      </c>
      <c r="AD1345">
        <v>-1.114439829028</v>
      </c>
      <c r="AE1345">
        <v>-14.1389</v>
      </c>
      <c r="AF1345">
        <v>10.425446025368201</v>
      </c>
      <c r="AG1345">
        <v>-1.114439829028</v>
      </c>
      <c r="AH1345">
        <v>16.628604550025099</v>
      </c>
      <c r="AI1345">
        <v>93.249898369159496</v>
      </c>
      <c r="AJ1345">
        <v>57.913992131624198</v>
      </c>
      <c r="AK1345">
        <v>19.658138015628701</v>
      </c>
      <c r="AL1345">
        <v>82.299242403674896</v>
      </c>
      <c r="AM1345">
        <v>66.989675110609198</v>
      </c>
      <c r="AN1345">
        <v>1.00000008409181</v>
      </c>
    </row>
    <row r="1346" spans="1:40" x14ac:dyDescent="0.25">
      <c r="A1346" t="str">
        <f>"20190303162237728"</f>
        <v>20190303162237728</v>
      </c>
      <c r="B1346" t="str">
        <f>"1551601357715419"</f>
        <v>1551601357715419</v>
      </c>
      <c r="C1346" t="s">
        <v>40</v>
      </c>
      <c r="D1346">
        <v>4.9636870000000002</v>
      </c>
      <c r="E1346">
        <v>0.56746790000000003</v>
      </c>
      <c r="F1346" t="s">
        <v>44</v>
      </c>
      <c r="G1346">
        <v>-194.91460000000001</v>
      </c>
      <c r="H1346" s="1">
        <v>-2.9732179999999998E-6</v>
      </c>
      <c r="I1346">
        <v>352.46480000000003</v>
      </c>
      <c r="J1346">
        <v>-208.05850000000001</v>
      </c>
      <c r="K1346">
        <v>1.114417</v>
      </c>
      <c r="L1346">
        <v>366.37779999999998</v>
      </c>
      <c r="M1346">
        <v>0.96886099999999997</v>
      </c>
      <c r="N1346">
        <v>-1.1141699999999999E-2</v>
      </c>
      <c r="O1346">
        <v>-0.24735460000000001</v>
      </c>
      <c r="P1346">
        <v>0.7889429</v>
      </c>
      <c r="Q1346">
        <v>0.12841569999999999</v>
      </c>
      <c r="R1346">
        <v>-0.60089820000000005</v>
      </c>
      <c r="S1346">
        <v>2.1387019999999999</v>
      </c>
      <c r="T1346">
        <v>-0.17787720000000001</v>
      </c>
      <c r="U1346">
        <v>-2.2323300000000001</v>
      </c>
      <c r="V1346">
        <v>0.38904519999999998</v>
      </c>
      <c r="W1346">
        <v>0.13291240000000001</v>
      </c>
      <c r="X1346">
        <v>0.91157999999999995</v>
      </c>
      <c r="Y1346">
        <v>0.52776969999999901</v>
      </c>
      <c r="Z1346">
        <v>-7.5148619999999998E-3</v>
      </c>
      <c r="AA1346">
        <v>0.84935430000000001</v>
      </c>
      <c r="AB1346">
        <v>26</v>
      </c>
      <c r="AC1346">
        <v>13.1439</v>
      </c>
      <c r="AD1346">
        <v>-1.114419973218</v>
      </c>
      <c r="AE1346">
        <v>-13.912999999999901</v>
      </c>
      <c r="AF1346">
        <v>10.194632033623201</v>
      </c>
      <c r="AG1346">
        <v>-1.114419973218</v>
      </c>
      <c r="AH1346">
        <v>16.1224025618409</v>
      </c>
      <c r="AI1346">
        <v>93.343563355872803</v>
      </c>
      <c r="AJ1346">
        <v>57.693723279277201</v>
      </c>
      <c r="AK1346">
        <v>19.1077031205674</v>
      </c>
      <c r="AL1346">
        <v>82.362078514400906</v>
      </c>
      <c r="AM1346">
        <v>66.888122073281707</v>
      </c>
      <c r="AN1346">
        <v>0.99999998505839904</v>
      </c>
    </row>
    <row r="1347" spans="1:40" x14ac:dyDescent="0.25">
      <c r="A1347" t="str">
        <f>"20190303162237751"</f>
        <v>20190303162237751</v>
      </c>
      <c r="B1347" t="str">
        <f>"1551601357745677"</f>
        <v>1551601357745677</v>
      </c>
      <c r="C1347" t="s">
        <v>40</v>
      </c>
      <c r="D1347">
        <v>5.0773549999999998</v>
      </c>
      <c r="E1347">
        <v>0.55835319999999899</v>
      </c>
      <c r="F1347" t="s">
        <v>44</v>
      </c>
      <c r="G1347">
        <v>-195.0471</v>
      </c>
      <c r="H1347" s="1">
        <v>-3.040327E-6</v>
      </c>
      <c r="I1347">
        <v>352.53980000000001</v>
      </c>
      <c r="J1347">
        <v>-207.7979</v>
      </c>
      <c r="K1347">
        <v>1.114419</v>
      </c>
      <c r="L1347">
        <v>366.30090000000001</v>
      </c>
      <c r="M1347">
        <v>0.96656399999999998</v>
      </c>
      <c r="N1347">
        <v>-1.1154249999999999E-2</v>
      </c>
      <c r="O1347">
        <v>-0.2561831</v>
      </c>
      <c r="P1347">
        <v>0.78306219999999904</v>
      </c>
      <c r="Q1347">
        <v>0.1295867</v>
      </c>
      <c r="R1347">
        <v>-0.60829369999999905</v>
      </c>
      <c r="S1347">
        <v>2.1171419999999999</v>
      </c>
      <c r="T1347">
        <v>-0.18133150000000001</v>
      </c>
      <c r="U1347">
        <v>-2.2516479999999999</v>
      </c>
      <c r="V1347">
        <v>0.3893721</v>
      </c>
      <c r="W1347">
        <v>0.13408529999999999</v>
      </c>
      <c r="X1347">
        <v>0.91126859999999998</v>
      </c>
      <c r="Y1347">
        <v>0.52795939999999997</v>
      </c>
      <c r="Z1347">
        <v>-7.0975839999999997E-3</v>
      </c>
      <c r="AA1347">
        <v>0.84923989999999905</v>
      </c>
      <c r="AB1347">
        <v>26</v>
      </c>
      <c r="AC1347">
        <v>12.7507999999999</v>
      </c>
      <c r="AD1347">
        <v>-1.114422040327</v>
      </c>
      <c r="AE1347">
        <v>-13.761100000000001</v>
      </c>
      <c r="AF1347">
        <v>9.9997814029049206</v>
      </c>
      <c r="AG1347">
        <v>-1.114422040327</v>
      </c>
      <c r="AH1347">
        <v>15.795073869291199</v>
      </c>
      <c r="AI1347">
        <v>93.411516797440001</v>
      </c>
      <c r="AJ1347">
        <v>57.662306040328303</v>
      </c>
      <c r="AK1347">
        <v>18.727571202006299</v>
      </c>
      <c r="AL1347">
        <v>82.294269292998706</v>
      </c>
      <c r="AM1347">
        <v>66.863671106906196</v>
      </c>
      <c r="AN1347">
        <v>0.99999998064022899</v>
      </c>
    </row>
    <row r="1348" spans="1:40" x14ac:dyDescent="0.25">
      <c r="A1348" t="str">
        <f>"20190303162237773"</f>
        <v>20190303162237773</v>
      </c>
      <c r="B1348" t="str">
        <f>"1551601357766170"</f>
        <v>1551601357766170</v>
      </c>
      <c r="C1348" t="s">
        <v>40</v>
      </c>
      <c r="D1348">
        <v>5.1123890000000003</v>
      </c>
      <c r="E1348">
        <v>0.5574654</v>
      </c>
      <c r="F1348" t="s">
        <v>44</v>
      </c>
      <c r="G1348">
        <v>-198.30969999999999</v>
      </c>
      <c r="H1348" s="1">
        <v>-5.550261E-6</v>
      </c>
      <c r="I1348">
        <v>356.50889999999998</v>
      </c>
      <c r="J1348">
        <v>-207.54769999999999</v>
      </c>
      <c r="K1348">
        <v>1.1144229999999999</v>
      </c>
      <c r="L1348">
        <v>366.22469999999998</v>
      </c>
      <c r="M1348">
        <v>0.96427989999999997</v>
      </c>
      <c r="N1348">
        <v>-1.1164820000000001E-2</v>
      </c>
      <c r="O1348">
        <v>-0.26464969999999999</v>
      </c>
      <c r="P1348">
        <v>0.77780769999999899</v>
      </c>
      <c r="Q1348">
        <v>0.13060619999999901</v>
      </c>
      <c r="R1348">
        <v>-0.6147823</v>
      </c>
      <c r="S1348">
        <v>2.1495820000000001</v>
      </c>
      <c r="T1348">
        <v>-0.25247609999999998</v>
      </c>
      <c r="U1348">
        <v>-2.2184140000000001</v>
      </c>
      <c r="V1348">
        <v>0.38901459999999999</v>
      </c>
      <c r="W1348">
        <v>0.1351224</v>
      </c>
      <c r="X1348">
        <v>0.91126810000000003</v>
      </c>
      <c r="Y1348">
        <v>0.50717120000000004</v>
      </c>
      <c r="Z1348">
        <v>-5.7295330000000002E-3</v>
      </c>
      <c r="AA1348">
        <v>0.86182630000000005</v>
      </c>
      <c r="AB1348">
        <v>26</v>
      </c>
      <c r="AC1348">
        <v>9.2379999999999995</v>
      </c>
      <c r="AD1348">
        <v>-1.1144285502610001</v>
      </c>
      <c r="AE1348">
        <v>-9.7157999999999998</v>
      </c>
      <c r="AF1348">
        <v>6.87683127110272</v>
      </c>
      <c r="AG1348">
        <v>-1.1144285502610001</v>
      </c>
      <c r="AH1348">
        <v>11.4012373491448</v>
      </c>
      <c r="AI1348">
        <v>94.784483775235898</v>
      </c>
      <c r="AJ1348">
        <v>58.903076019250797</v>
      </c>
      <c r="AK1348">
        <v>13.361174065791801</v>
      </c>
      <c r="AL1348">
        <v>82.234302146322094</v>
      </c>
      <c r="AM1348">
        <v>66.882669917175704</v>
      </c>
      <c r="AN1348">
        <v>0.99999998603626405</v>
      </c>
    </row>
    <row r="1349" spans="1:40" x14ac:dyDescent="0.25">
      <c r="A1349" t="str">
        <f>"20190303162237795"</f>
        <v>20190303162237795</v>
      </c>
      <c r="B1349" t="str">
        <f>"1551601357785691"</f>
        <v>1551601357785691</v>
      </c>
      <c r="C1349" t="s">
        <v>40</v>
      </c>
      <c r="D1349">
        <v>5.0765640000000003</v>
      </c>
      <c r="E1349">
        <v>0.55869309999999905</v>
      </c>
      <c r="F1349" t="s">
        <v>44</v>
      </c>
      <c r="G1349">
        <v>-197.88</v>
      </c>
      <c r="H1349" s="1">
        <v>-5.3534539999999997E-6</v>
      </c>
      <c r="I1349">
        <v>356.12139999999999</v>
      </c>
      <c r="J1349">
        <v>-207.30670000000001</v>
      </c>
      <c r="K1349">
        <v>1.114419</v>
      </c>
      <c r="L1349">
        <v>366.149</v>
      </c>
      <c r="M1349">
        <v>0.96200779999999997</v>
      </c>
      <c r="N1349">
        <v>-1.117398E-2</v>
      </c>
      <c r="O1349">
        <v>-0.27279360000000002</v>
      </c>
      <c r="P1349">
        <v>0.77167580000000002</v>
      </c>
      <c r="Q1349">
        <v>0.13138739999999999</v>
      </c>
      <c r="R1349">
        <v>-0.62229789999999996</v>
      </c>
      <c r="S1349">
        <v>2.134903</v>
      </c>
      <c r="T1349">
        <v>-0.2460965</v>
      </c>
      <c r="U1349">
        <v>-2.2310789999999998</v>
      </c>
      <c r="V1349">
        <v>0.39019779999999998</v>
      </c>
      <c r="W1349">
        <v>0.1358868</v>
      </c>
      <c r="X1349">
        <v>0.91064840000000002</v>
      </c>
      <c r="Y1349">
        <v>0.50536159999999997</v>
      </c>
      <c r="Z1349">
        <v>-5.0263590000000002E-3</v>
      </c>
      <c r="AA1349">
        <v>0.86289300000000002</v>
      </c>
      <c r="AB1349">
        <v>26</v>
      </c>
      <c r="AC1349">
        <v>9.4267000000000092</v>
      </c>
      <c r="AD1349">
        <v>-1.1144243534539999</v>
      </c>
      <c r="AE1349">
        <v>-10.0276</v>
      </c>
      <c r="AF1349">
        <v>7.0294369990725896</v>
      </c>
      <c r="AG1349">
        <v>-1.1144243534539999</v>
      </c>
      <c r="AH1349">
        <v>11.7278635804745</v>
      </c>
      <c r="AI1349">
        <v>94.659559695402606</v>
      </c>
      <c r="AJ1349">
        <v>59.062406235879202</v>
      </c>
      <c r="AK1349">
        <v>13.7185170600077</v>
      </c>
      <c r="AL1349">
        <v>82.190097860867695</v>
      </c>
      <c r="AM1349">
        <v>66.805666537531806</v>
      </c>
      <c r="AN1349">
        <v>1.00000002698081</v>
      </c>
    </row>
    <row r="1350" spans="1:40" x14ac:dyDescent="0.25">
      <c r="A1350" t="str">
        <f>"20190303162237817"</f>
        <v>20190303162237817</v>
      </c>
      <c r="B1350" t="str">
        <f>"1551601357806187"</f>
        <v>1551601357806187</v>
      </c>
      <c r="C1350" t="s">
        <v>40</v>
      </c>
      <c r="D1350">
        <v>5.1029309999999999</v>
      </c>
      <c r="E1350">
        <v>0.55924549999999995</v>
      </c>
      <c r="F1350" t="s">
        <v>44</v>
      </c>
      <c r="G1350">
        <v>-196.68989999999999</v>
      </c>
      <c r="H1350" s="1">
        <v>-4.5140110000000004E-6</v>
      </c>
      <c r="I1350">
        <v>354.75599999999997</v>
      </c>
      <c r="J1350">
        <v>-207.05119999999999</v>
      </c>
      <c r="K1350">
        <v>1.1144069999999999</v>
      </c>
      <c r="L1350">
        <v>366.06639999999999</v>
      </c>
      <c r="M1350">
        <v>0.95952090000000001</v>
      </c>
      <c r="N1350">
        <v>-1.118325E-2</v>
      </c>
      <c r="O1350">
        <v>-0.28141579999999999</v>
      </c>
      <c r="P1350">
        <v>0.76413940000000002</v>
      </c>
      <c r="Q1350">
        <v>0.1324361</v>
      </c>
      <c r="R1350">
        <v>-0.63131000000000004</v>
      </c>
      <c r="S1350">
        <v>2.104279</v>
      </c>
      <c r="T1350">
        <v>-0.22088169999999999</v>
      </c>
      <c r="U1350">
        <v>-2.2581180000000001</v>
      </c>
      <c r="V1350">
        <v>0.39278360000000001</v>
      </c>
      <c r="W1350">
        <v>0.13688159999999999</v>
      </c>
      <c r="X1350">
        <v>0.9093869</v>
      </c>
      <c r="Y1350">
        <v>0.50920900000000002</v>
      </c>
      <c r="Z1350">
        <v>-4.7412909999999999E-3</v>
      </c>
      <c r="AA1350">
        <v>0.86062989999999995</v>
      </c>
      <c r="AB1350">
        <v>26</v>
      </c>
      <c r="AC1350">
        <v>10.3613</v>
      </c>
      <c r="AD1350">
        <v>-1.114411514011</v>
      </c>
      <c r="AE1350">
        <v>-11.3104</v>
      </c>
      <c r="AF1350">
        <v>7.8955509683220102</v>
      </c>
      <c r="AG1350">
        <v>-1.114411514011</v>
      </c>
      <c r="AH1350">
        <v>13.0567095084367</v>
      </c>
      <c r="AI1350">
        <v>94.177246266589705</v>
      </c>
      <c r="AJ1350">
        <v>58.838136469590502</v>
      </c>
      <c r="AK1350">
        <v>15.2989967417355</v>
      </c>
      <c r="AL1350">
        <v>82.132562443073894</v>
      </c>
      <c r="AM1350">
        <v>66.639454154352094</v>
      </c>
      <c r="AN1350">
        <v>1.0000000313695601</v>
      </c>
    </row>
    <row r="1351" spans="1:40" x14ac:dyDescent="0.25">
      <c r="A1351" t="str">
        <f>"20190303162237840"</f>
        <v>20190303162237840</v>
      </c>
      <c r="B1351" t="str">
        <f>"1551601357835467"</f>
        <v>1551601357835467</v>
      </c>
      <c r="C1351" t="s">
        <v>40</v>
      </c>
      <c r="D1351">
        <v>5.1323379999999998</v>
      </c>
      <c r="E1351">
        <v>0.55804299999999996</v>
      </c>
      <c r="F1351" t="s">
        <v>44</v>
      </c>
      <c r="G1351">
        <v>-195.86709999999999</v>
      </c>
      <c r="H1351" s="1">
        <v>-3.8269869999999901E-6</v>
      </c>
      <c r="I1351">
        <v>353.74169999999998</v>
      </c>
      <c r="J1351">
        <v>-206.8133</v>
      </c>
      <c r="K1351">
        <v>1.1143879999999999</v>
      </c>
      <c r="L1351">
        <v>365.98719999999997</v>
      </c>
      <c r="M1351">
        <v>0.95712680000000006</v>
      </c>
      <c r="N1351">
        <v>-1.119239E-2</v>
      </c>
      <c r="O1351">
        <v>-0.28945310000000002</v>
      </c>
      <c r="P1351">
        <v>0.75601370000000001</v>
      </c>
      <c r="Q1351">
        <v>0.13549259999999999</v>
      </c>
      <c r="R1351">
        <v>-0.64037900000000003</v>
      </c>
      <c r="S1351">
        <v>2.0737760000000001</v>
      </c>
      <c r="T1351">
        <v>-0.20663690000000001</v>
      </c>
      <c r="U1351">
        <v>-2.2852779999999999</v>
      </c>
      <c r="V1351">
        <v>0.3962154</v>
      </c>
      <c r="W1351">
        <v>0.13985259999999999</v>
      </c>
      <c r="X1351">
        <v>0.90744400000000003</v>
      </c>
      <c r="Y1351">
        <v>0.51346780000000003</v>
      </c>
      <c r="Z1351">
        <v>-4.5327099999999997E-3</v>
      </c>
      <c r="AA1351">
        <v>0.85809679999999999</v>
      </c>
      <c r="AB1351">
        <v>26</v>
      </c>
      <c r="AC1351">
        <v>10.946199999999999</v>
      </c>
      <c r="AD1351">
        <v>-1.1143918269869999</v>
      </c>
      <c r="AE1351">
        <v>-12.2454999999999</v>
      </c>
      <c r="AF1351">
        <v>8.5134292748661906</v>
      </c>
      <c r="AG1351">
        <v>-1.1143918269869999</v>
      </c>
      <c r="AH1351">
        <v>13.958022575469</v>
      </c>
      <c r="AI1351">
        <v>93.899293285826204</v>
      </c>
      <c r="AJ1351">
        <v>58.619694481789999</v>
      </c>
      <c r="AK1351">
        <v>16.3873958083494</v>
      </c>
      <c r="AL1351">
        <v>81.960683087138506</v>
      </c>
      <c r="AM1351">
        <v>66.412574064747503</v>
      </c>
      <c r="AN1351">
        <v>1.0000000030299601</v>
      </c>
    </row>
    <row r="1352" spans="1:40" x14ac:dyDescent="0.25">
      <c r="A1352" t="str">
        <f>"20190303162237861"</f>
        <v>20190303162237861</v>
      </c>
      <c r="B1352" t="str">
        <f>"1551601357855965"</f>
        <v>1551601357855965</v>
      </c>
      <c r="C1352" t="s">
        <v>40</v>
      </c>
      <c r="D1352">
        <v>5.1898780000000002</v>
      </c>
      <c r="E1352">
        <v>0.55796230000000002</v>
      </c>
      <c r="F1352" t="s">
        <v>44</v>
      </c>
      <c r="G1352">
        <v>-195.57550000000001</v>
      </c>
      <c r="H1352" s="1">
        <v>-3.5844860000000002E-6</v>
      </c>
      <c r="I1352">
        <v>353.38830000000002</v>
      </c>
      <c r="J1352">
        <v>-206.56219999999999</v>
      </c>
      <c r="K1352">
        <v>1.1143590000000001</v>
      </c>
      <c r="L1352">
        <v>365.90109999999999</v>
      </c>
      <c r="M1352">
        <v>0.9545093</v>
      </c>
      <c r="N1352">
        <v>-1.120373E-2</v>
      </c>
      <c r="O1352">
        <v>-0.29797099999999999</v>
      </c>
      <c r="P1352">
        <v>0.74845950000000006</v>
      </c>
      <c r="Q1352">
        <v>0.138039299999999</v>
      </c>
      <c r="R1352">
        <v>-0.64865569999999995</v>
      </c>
      <c r="S1352">
        <v>2.0540620000000001</v>
      </c>
      <c r="T1352">
        <v>-0.20369119999999999</v>
      </c>
      <c r="U1352">
        <v>-2.3028559999999998</v>
      </c>
      <c r="V1352">
        <v>0.3983023</v>
      </c>
      <c r="W1352">
        <v>0.14232429999999999</v>
      </c>
      <c r="X1352">
        <v>0.90614519999999998</v>
      </c>
      <c r="Y1352">
        <v>0.51319879999999996</v>
      </c>
      <c r="Z1352">
        <v>-4.0279920000000002E-3</v>
      </c>
      <c r="AA1352">
        <v>0.85826029999999998</v>
      </c>
      <c r="AB1352">
        <v>26</v>
      </c>
      <c r="AC1352">
        <v>10.9866999999999</v>
      </c>
      <c r="AD1352">
        <v>-1.1143625844859999</v>
      </c>
      <c r="AE1352">
        <v>-12.512799999999899</v>
      </c>
      <c r="AF1352">
        <v>8.6317513278583604</v>
      </c>
      <c r="AG1352">
        <v>-1.1143625844859999</v>
      </c>
      <c r="AH1352">
        <v>14.1528649819231</v>
      </c>
      <c r="AI1352">
        <v>93.845735759048594</v>
      </c>
      <c r="AJ1352">
        <v>58.621223985434597</v>
      </c>
      <c r="AK1352">
        <v>16.614828381666499</v>
      </c>
      <c r="AL1352">
        <v>81.817634340445295</v>
      </c>
      <c r="AM1352">
        <v>66.271782864715306</v>
      </c>
      <c r="AN1352">
        <v>1.0000000260194</v>
      </c>
    </row>
    <row r="1353" spans="1:40" x14ac:dyDescent="0.25">
      <c r="A1353" t="str">
        <f>"20190303162237884"</f>
        <v>20190303162237884</v>
      </c>
      <c r="B1353" t="str">
        <f>"1551601357875486"</f>
        <v>1551601357875486</v>
      </c>
      <c r="C1353" t="s">
        <v>40</v>
      </c>
      <c r="D1353">
        <v>5.221266</v>
      </c>
      <c r="E1353">
        <v>0.55792310000000001</v>
      </c>
      <c r="F1353" t="s">
        <v>44</v>
      </c>
      <c r="G1353">
        <v>-194.77070000000001</v>
      </c>
      <c r="H1353" s="1">
        <v>-2.8985650000000002E-6</v>
      </c>
      <c r="I1353">
        <v>352.37990000000002</v>
      </c>
      <c r="J1353">
        <v>-206.3252</v>
      </c>
      <c r="K1353">
        <v>1.114314</v>
      </c>
      <c r="L1353">
        <v>365.8175</v>
      </c>
      <c r="M1353">
        <v>0.95194140000000005</v>
      </c>
      <c r="N1353">
        <v>-1.121686E-2</v>
      </c>
      <c r="O1353">
        <v>-0.30607509999999999</v>
      </c>
      <c r="P1353">
        <v>0.74251679999999998</v>
      </c>
      <c r="Q1353">
        <v>0.13969989999999999</v>
      </c>
      <c r="R1353">
        <v>-0.65509790000000001</v>
      </c>
      <c r="S1353">
        <v>2.0281069999999999</v>
      </c>
      <c r="T1353">
        <v>-0.19166730000000001</v>
      </c>
      <c r="U1353">
        <v>-2.3256230000000002</v>
      </c>
      <c r="V1353">
        <v>0.39856789999999997</v>
      </c>
      <c r="W1353">
        <v>0.14393220000000001</v>
      </c>
      <c r="X1353">
        <v>0.90577439999999998</v>
      </c>
      <c r="Y1353">
        <v>0.51558099999999996</v>
      </c>
      <c r="Z1353">
        <v>-3.8089590000000002E-3</v>
      </c>
      <c r="AA1353">
        <v>0.85683240000000005</v>
      </c>
      <c r="AB1353">
        <v>26</v>
      </c>
      <c r="AC1353">
        <v>11.5544999999999</v>
      </c>
      <c r="AD1353">
        <v>-1.114316898565</v>
      </c>
      <c r="AE1353">
        <v>-13.4375999999999</v>
      </c>
      <c r="AF1353">
        <v>9.2193953093107908</v>
      </c>
      <c r="AG1353">
        <v>-1.114316898565</v>
      </c>
      <c r="AH1353">
        <v>15.0535563854427</v>
      </c>
      <c r="AI1353">
        <v>93.612035487968299</v>
      </c>
      <c r="AJ1353">
        <v>58.515043782703202</v>
      </c>
      <c r="AK1353">
        <v>17.687524187106401</v>
      </c>
      <c r="AL1353">
        <v>81.724550319688802</v>
      </c>
      <c r="AM1353">
        <v>66.249065937420895</v>
      </c>
      <c r="AN1353">
        <v>1.0000000564013001</v>
      </c>
    </row>
    <row r="1354" spans="1:40" x14ac:dyDescent="0.25">
      <c r="A1354" t="str">
        <f>"20190303162237906"</f>
        <v>20190303162237906</v>
      </c>
      <c r="B1354" t="str">
        <f>"1551601357895979"</f>
        <v>1551601357895979</v>
      </c>
      <c r="C1354" t="s">
        <v>40</v>
      </c>
      <c r="D1354">
        <v>5.341132</v>
      </c>
      <c r="E1354">
        <v>0.55741960000000002</v>
      </c>
      <c r="F1354" t="s">
        <v>44</v>
      </c>
      <c r="G1354">
        <v>-194.12899999999999</v>
      </c>
      <c r="H1354" s="1">
        <v>-2.2611159999999999E-6</v>
      </c>
      <c r="I1354">
        <v>351.56659999999999</v>
      </c>
      <c r="J1354">
        <v>-206.0806</v>
      </c>
      <c r="K1354">
        <v>1.1142529999999999</v>
      </c>
      <c r="L1354">
        <v>365.72859999999997</v>
      </c>
      <c r="M1354">
        <v>0.94918000000000002</v>
      </c>
      <c r="N1354">
        <v>-1.123357E-2</v>
      </c>
      <c r="O1354">
        <v>-0.31453320000000001</v>
      </c>
      <c r="P1354">
        <v>0.73620669999999899</v>
      </c>
      <c r="Q1354">
        <v>0.141545</v>
      </c>
      <c r="R1354">
        <v>-0.66178919999999997</v>
      </c>
      <c r="S1354">
        <v>2.0063930000000001</v>
      </c>
      <c r="T1354">
        <v>-0.18331649999999999</v>
      </c>
      <c r="U1354">
        <v>-2.3444210000000001</v>
      </c>
      <c r="V1354">
        <v>0.39887089999999997</v>
      </c>
      <c r="W1354">
        <v>0.14570669999999999</v>
      </c>
      <c r="X1354">
        <v>0.90535719999999997</v>
      </c>
      <c r="Y1354">
        <v>0.51598940000000004</v>
      </c>
      <c r="Z1354">
        <v>-3.4870859999999999E-3</v>
      </c>
      <c r="AA1354">
        <v>0.85658789999999996</v>
      </c>
      <c r="AB1354">
        <v>26</v>
      </c>
      <c r="AC1354">
        <v>11.9515999999999</v>
      </c>
      <c r="AD1354">
        <v>-1.1142552611159999</v>
      </c>
      <c r="AE1354">
        <v>-14.1619999999999</v>
      </c>
      <c r="AF1354">
        <v>9.6488380692960796</v>
      </c>
      <c r="AG1354">
        <v>-1.1142552611159999</v>
      </c>
      <c r="AH1354">
        <v>15.7427184060285</v>
      </c>
      <c r="AI1354">
        <v>93.4533952386181</v>
      </c>
      <c r="AJ1354">
        <v>58.495534392622098</v>
      </c>
      <c r="AK1354">
        <v>18.4979680961432</v>
      </c>
      <c r="AL1354">
        <v>81.621795654186101</v>
      </c>
      <c r="AM1354">
        <v>66.223272875339802</v>
      </c>
      <c r="AN1354">
        <v>1.0000000484417599</v>
      </c>
    </row>
    <row r="1355" spans="1:40" x14ac:dyDescent="0.25">
      <c r="A1355" t="str">
        <f>"20190303162237929"</f>
        <v>20190303162237929</v>
      </c>
      <c r="B1355" t="str">
        <f>"1551601357915500"</f>
        <v>1551601357915500</v>
      </c>
      <c r="C1355" t="s">
        <v>40</v>
      </c>
      <c r="D1355">
        <v>5.234178</v>
      </c>
      <c r="E1355">
        <v>0.55794529999999998</v>
      </c>
      <c r="F1355" t="s">
        <v>44</v>
      </c>
      <c r="G1355">
        <v>-193.82859999999999</v>
      </c>
      <c r="H1355" s="1">
        <v>-1.9373979999999998E-6</v>
      </c>
      <c r="I1355">
        <v>351.15469999999999</v>
      </c>
      <c r="J1355">
        <v>-205.83019999999999</v>
      </c>
      <c r="K1355">
        <v>1.114177</v>
      </c>
      <c r="L1355">
        <v>365.63490000000002</v>
      </c>
      <c r="M1355">
        <v>0.94623290000000004</v>
      </c>
      <c r="N1355">
        <v>-1.1252669999999999E-2</v>
      </c>
      <c r="O1355">
        <v>-0.32329049999999998</v>
      </c>
      <c r="P1355">
        <v>0.72977309999999995</v>
      </c>
      <c r="Q1355">
        <v>0.14388020000000001</v>
      </c>
      <c r="R1355">
        <v>-0.66837869999999899</v>
      </c>
      <c r="S1355">
        <v>1.9860530000000001</v>
      </c>
      <c r="T1355">
        <v>-0.18062110000000001</v>
      </c>
      <c r="U1355">
        <v>-2.3624269999999998</v>
      </c>
      <c r="V1355">
        <v>0.39885530000000002</v>
      </c>
      <c r="W1355">
        <v>0.1479721</v>
      </c>
      <c r="X1355">
        <v>0.90499660000000004</v>
      </c>
      <c r="Y1355">
        <v>0.51563879999999995</v>
      </c>
      <c r="Z1355">
        <v>-3.0575369999999999E-3</v>
      </c>
      <c r="AA1355">
        <v>0.85680059999999902</v>
      </c>
      <c r="AB1355">
        <v>26</v>
      </c>
      <c r="AC1355">
        <v>12.0015999999999</v>
      </c>
      <c r="AD1355">
        <v>-1.114178937398</v>
      </c>
      <c r="AE1355">
        <v>-14.4802</v>
      </c>
      <c r="AF1355">
        <v>9.7879083179629003</v>
      </c>
      <c r="AG1355">
        <v>-1.114178937398</v>
      </c>
      <c r="AH1355">
        <v>15.982542520828799</v>
      </c>
      <c r="AI1355">
        <v>93.4022150349535</v>
      </c>
      <c r="AJ1355">
        <v>58.516177771518002</v>
      </c>
      <c r="AK1355">
        <v>18.774616091294298</v>
      </c>
      <c r="AL1355">
        <v>81.490575568581804</v>
      </c>
      <c r="AM1355">
        <v>66.215677297663603</v>
      </c>
      <c r="AN1355">
        <v>1.0000000693640201</v>
      </c>
    </row>
    <row r="1356" spans="1:40" x14ac:dyDescent="0.25">
      <c r="A1356" t="str">
        <f>"20190303162237952"</f>
        <v>20190303162237952</v>
      </c>
      <c r="B1356" t="str">
        <f>"1551601357945755"</f>
        <v>1551601357945755</v>
      </c>
      <c r="C1356" t="s">
        <v>40</v>
      </c>
      <c r="D1356">
        <v>5.3179939999999997</v>
      </c>
      <c r="E1356">
        <v>0.57890929999999996</v>
      </c>
      <c r="F1356" t="s">
        <v>44</v>
      </c>
      <c r="G1356">
        <v>-193.1661</v>
      </c>
      <c r="H1356" s="1">
        <v>-1.212691E-6</v>
      </c>
      <c r="I1356">
        <v>350.22820000000002</v>
      </c>
      <c r="J1356">
        <v>-205.5779</v>
      </c>
      <c r="K1356">
        <v>1.114096</v>
      </c>
      <c r="L1356">
        <v>365.53769999999997</v>
      </c>
      <c r="M1356">
        <v>0.94313409999999998</v>
      </c>
      <c r="N1356">
        <v>-1.1272900000000001E-2</v>
      </c>
      <c r="O1356">
        <v>-0.33222170000000001</v>
      </c>
      <c r="P1356">
        <v>0.72191870000000002</v>
      </c>
      <c r="Q1356">
        <v>0.14640649999999999</v>
      </c>
      <c r="R1356">
        <v>-0.67631300000000005</v>
      </c>
      <c r="S1356">
        <v>1.960464</v>
      </c>
      <c r="T1356">
        <v>-0.17248089999999999</v>
      </c>
      <c r="U1356">
        <v>-2.38504</v>
      </c>
      <c r="V1356">
        <v>0.40043119999999999</v>
      </c>
      <c r="W1356">
        <v>0.15039129999999901</v>
      </c>
      <c r="X1356">
        <v>0.90390119999999896</v>
      </c>
      <c r="Y1356">
        <v>0.51706189999999996</v>
      </c>
      <c r="Z1356">
        <v>-2.8306450000000001E-3</v>
      </c>
      <c r="AA1356">
        <v>0.85594329999999996</v>
      </c>
      <c r="AB1356">
        <v>26</v>
      </c>
      <c r="AC1356">
        <v>12.411799999999999</v>
      </c>
      <c r="AD1356">
        <v>-1.114097212691</v>
      </c>
      <c r="AE1356">
        <v>-15.3094999999999</v>
      </c>
      <c r="AF1356">
        <v>10.2832369559843</v>
      </c>
      <c r="AG1356">
        <v>-1.114097212691</v>
      </c>
      <c r="AH1356">
        <v>16.739714159212401</v>
      </c>
      <c r="AI1356">
        <v>93.245697104702799</v>
      </c>
      <c r="AJ1356">
        <v>58.437517984093098</v>
      </c>
      <c r="AK1356">
        <v>19.677505050803099</v>
      </c>
      <c r="AL1356">
        <v>81.350396658623097</v>
      </c>
      <c r="AM1356">
        <v>66.106500112017699</v>
      </c>
      <c r="AN1356">
        <v>1.0000000342052799</v>
      </c>
    </row>
    <row r="1357" spans="1:40" x14ac:dyDescent="0.25">
      <c r="A1357" t="str">
        <f>"20190303162237975"</f>
        <v>20190303162237975</v>
      </c>
      <c r="B1357" t="str">
        <f>"1551601357965275"</f>
        <v>1551601357965275</v>
      </c>
      <c r="C1357" t="s">
        <v>40</v>
      </c>
      <c r="D1357">
        <v>5.2575900000000004</v>
      </c>
      <c r="E1357">
        <v>0.57938250000000002</v>
      </c>
      <c r="F1357" t="s">
        <v>44</v>
      </c>
      <c r="G1357">
        <v>-194.44470000000001</v>
      </c>
      <c r="H1357" s="1">
        <v>-1.4605729999999999E-6</v>
      </c>
      <c r="I1357">
        <v>350.07229999999998</v>
      </c>
      <c r="J1357">
        <v>-205.33179999999999</v>
      </c>
      <c r="K1357">
        <v>1.114001</v>
      </c>
      <c r="L1357">
        <v>365.44009999999997</v>
      </c>
      <c r="M1357">
        <v>0.93997390000000003</v>
      </c>
      <c r="N1357">
        <v>-1.129379E-2</v>
      </c>
      <c r="O1357">
        <v>-0.34105960000000002</v>
      </c>
      <c r="P1357">
        <v>0.7141554</v>
      </c>
      <c r="Q1357">
        <v>0.1465658</v>
      </c>
      <c r="R1357">
        <v>-0.68447150000000001</v>
      </c>
      <c r="S1357">
        <v>1.821777</v>
      </c>
      <c r="T1357">
        <v>-0.1823043</v>
      </c>
      <c r="U1357">
        <v>-2.5306700000000002</v>
      </c>
      <c r="V1357">
        <v>0.4022675</v>
      </c>
      <c r="W1357">
        <v>0.15043989999999999</v>
      </c>
      <c r="X1357">
        <v>0.90307740000000003</v>
      </c>
      <c r="Y1357">
        <v>0.56292769999999903</v>
      </c>
      <c r="Z1357">
        <v>-4.1253979999999997E-3</v>
      </c>
      <c r="AA1357">
        <v>0.8264958</v>
      </c>
      <c r="AB1357">
        <v>26</v>
      </c>
      <c r="AC1357">
        <v>10.887099999999901</v>
      </c>
      <c r="AD1357">
        <v>-1.1140024605729999</v>
      </c>
      <c r="AE1357">
        <v>-15.3677999999999</v>
      </c>
      <c r="AF1357">
        <v>10.6954440063398</v>
      </c>
      <c r="AG1357">
        <v>-1.1140024605729999</v>
      </c>
      <c r="AH1357">
        <v>15.421953934728601</v>
      </c>
      <c r="AI1357">
        <v>93.396931923200299</v>
      </c>
      <c r="AJ1357">
        <v>55.257891692774997</v>
      </c>
      <c r="AK1357">
        <v>18.800802832320802</v>
      </c>
      <c r="AL1357">
        <v>81.347580156654999</v>
      </c>
      <c r="AM1357">
        <v>65.989859129776804</v>
      </c>
      <c r="AN1357">
        <v>1.0000000477294999</v>
      </c>
    </row>
    <row r="1358" spans="1:40" x14ac:dyDescent="0.25">
      <c r="A1358" t="str">
        <f>"20190303162237988"</f>
        <v>20190303162237988</v>
      </c>
      <c r="B1358" t="str">
        <f>"1551601357976011"</f>
        <v>1551601357976011</v>
      </c>
      <c r="C1358" t="s">
        <v>40</v>
      </c>
      <c r="D1358">
        <v>5.2259779999999996</v>
      </c>
      <c r="E1358">
        <v>0.57937340000000004</v>
      </c>
      <c r="F1358" t="s">
        <v>41</v>
      </c>
      <c r="G1358">
        <v>-194.0669</v>
      </c>
      <c r="H1358" s="1">
        <v>-4.9332170000000003E-6</v>
      </c>
      <c r="I1358">
        <v>349.36340000000001</v>
      </c>
      <c r="J1358">
        <v>-205.17449999999999</v>
      </c>
      <c r="K1358">
        <v>1.113934</v>
      </c>
      <c r="L1358">
        <v>365.37630000000001</v>
      </c>
      <c r="M1358">
        <v>0.93787980000000004</v>
      </c>
      <c r="N1358">
        <v>-1.1307859999999999E-2</v>
      </c>
      <c r="O1358">
        <v>-0.34677599999999997</v>
      </c>
      <c r="P1358">
        <v>0.70946909999999996</v>
      </c>
      <c r="Q1358">
        <v>0.1458779</v>
      </c>
      <c r="R1358">
        <v>-0.68947349999999996</v>
      </c>
      <c r="S1358">
        <v>1.78944399999999</v>
      </c>
      <c r="T1358">
        <v>-0.1769608</v>
      </c>
      <c r="U1358">
        <v>-2.5538020000000001</v>
      </c>
      <c r="V1358">
        <v>0.40307999999999999</v>
      </c>
      <c r="W1358">
        <v>0.14968890000000001</v>
      </c>
      <c r="X1358">
        <v>0.90283979999999997</v>
      </c>
      <c r="Y1358">
        <v>0.5684456</v>
      </c>
      <c r="Z1358">
        <v>-4.1526970000000003E-3</v>
      </c>
      <c r="AA1358">
        <v>0.82271039999999995</v>
      </c>
      <c r="AB1358">
        <v>26</v>
      </c>
      <c r="AC1358">
        <v>11.1075999999999</v>
      </c>
      <c r="AD1358">
        <v>-1.113938933217</v>
      </c>
      <c r="AE1358">
        <v>-16.012899999999998</v>
      </c>
      <c r="AF1358">
        <v>11.1306741655085</v>
      </c>
      <c r="AG1358">
        <v>-1.113938933217</v>
      </c>
      <c r="AH1358">
        <v>15.9194920328964</v>
      </c>
      <c r="AI1358">
        <v>93.282105060344094</v>
      </c>
      <c r="AJ1358">
        <v>55.039321460199503</v>
      </c>
      <c r="AK1358">
        <v>19.4566953491879</v>
      </c>
      <c r="AL1358">
        <v>81.391101521319797</v>
      </c>
      <c r="AM1358">
        <v>65.941247353996602</v>
      </c>
      <c r="AN1358">
        <v>0.99999997882362401</v>
      </c>
    </row>
    <row r="1359" spans="1:40" x14ac:dyDescent="0.25">
      <c r="A1359" t="str">
        <f>"20190303162238002"</f>
        <v>20190303162238002</v>
      </c>
      <c r="B1359" t="str">
        <f>"1551601357995531"</f>
        <v>1551601357995531</v>
      </c>
      <c r="C1359" t="s">
        <v>40</v>
      </c>
      <c r="D1359">
        <v>5.2808699999999904</v>
      </c>
      <c r="E1359">
        <v>0.5795479</v>
      </c>
      <c r="F1359" t="s">
        <v>41</v>
      </c>
      <c r="G1359">
        <v>-194.20699999999999</v>
      </c>
      <c r="H1359" s="1">
        <v>-5.002401E-6</v>
      </c>
      <c r="I1359">
        <v>349.49369999999999</v>
      </c>
      <c r="J1359">
        <v>-205.02459999999999</v>
      </c>
      <c r="K1359">
        <v>1.1138680000000001</v>
      </c>
      <c r="L1359">
        <v>365.31459999999998</v>
      </c>
      <c r="M1359">
        <v>0.93583360000000004</v>
      </c>
      <c r="N1359">
        <v>-1.132149E-2</v>
      </c>
      <c r="O1359">
        <v>-0.35226049999999998</v>
      </c>
      <c r="P1359">
        <v>0.70480129999999996</v>
      </c>
      <c r="Q1359">
        <v>0.1452032</v>
      </c>
      <c r="R1359">
        <v>-0.6943859</v>
      </c>
      <c r="S1359">
        <v>1.771881</v>
      </c>
      <c r="T1359">
        <v>-0.17996479999999901</v>
      </c>
      <c r="U1359">
        <v>-2.5659480000000001</v>
      </c>
      <c r="V1359">
        <v>0.4040301</v>
      </c>
      <c r="W1359">
        <v>0.14895050000000001</v>
      </c>
      <c r="X1359">
        <v>0.90253720000000004</v>
      </c>
      <c r="Y1359">
        <v>0.56925000000000003</v>
      </c>
      <c r="Z1359">
        <v>-3.8455400000000002E-3</v>
      </c>
      <c r="AA1359">
        <v>0.82215550000000004</v>
      </c>
      <c r="AB1359">
        <v>26</v>
      </c>
      <c r="AC1359">
        <v>10.817600000000001</v>
      </c>
      <c r="AD1359">
        <v>-1.113873002401</v>
      </c>
      <c r="AE1359">
        <v>-15.8208999999999</v>
      </c>
      <c r="AF1359">
        <v>10.958804540580401</v>
      </c>
      <c r="AG1359">
        <v>-1.113873002401</v>
      </c>
      <c r="AH1359">
        <v>15.644712828480101</v>
      </c>
      <c r="AI1359">
        <v>93.337398935843595</v>
      </c>
      <c r="AJ1359">
        <v>54.989535847938498</v>
      </c>
      <c r="AK1359">
        <v>19.1335608162656</v>
      </c>
      <c r="AL1359">
        <v>81.433888467629899</v>
      </c>
      <c r="AM1359">
        <v>65.8838310400361</v>
      </c>
      <c r="AN1359">
        <v>0.99999998527004896</v>
      </c>
    </row>
    <row r="1360" spans="1:40" x14ac:dyDescent="0.25">
      <c r="A1360" t="str">
        <f>"20190303162238018"</f>
        <v>20190303162238018</v>
      </c>
      <c r="B1360" t="str">
        <f>"1551601358005292"</f>
        <v>1551601358005292</v>
      </c>
      <c r="C1360" t="s">
        <v>40</v>
      </c>
      <c r="D1360">
        <v>5.2876539999999999</v>
      </c>
      <c r="E1360">
        <v>0.57919560000000003</v>
      </c>
      <c r="F1360" t="s">
        <v>44</v>
      </c>
      <c r="G1360">
        <v>-194.58029999999999</v>
      </c>
      <c r="H1360" s="1">
        <v>-1.431546E-6</v>
      </c>
      <c r="I1360">
        <v>349.9622</v>
      </c>
      <c r="J1360">
        <v>-204.8475</v>
      </c>
      <c r="K1360">
        <v>1.113785</v>
      </c>
      <c r="L1360">
        <v>365.23989999999998</v>
      </c>
      <c r="M1360">
        <v>0.93334209999999995</v>
      </c>
      <c r="N1360">
        <v>-1.133786E-2</v>
      </c>
      <c r="O1360">
        <v>-0.3588094</v>
      </c>
      <c r="P1360">
        <v>0.69893689999999997</v>
      </c>
      <c r="Q1360">
        <v>0.14267249999999901</v>
      </c>
      <c r="R1360">
        <v>-0.70080810000000004</v>
      </c>
      <c r="S1360">
        <v>1.7543789999999999</v>
      </c>
      <c r="T1360">
        <v>-0.18710350000000001</v>
      </c>
      <c r="U1360">
        <v>-2.578827</v>
      </c>
      <c r="V1360">
        <v>0.40576519999999999</v>
      </c>
      <c r="W1360">
        <v>0.1463392</v>
      </c>
      <c r="X1360">
        <v>0.90218589999999999</v>
      </c>
      <c r="Y1360">
        <v>0.5691811</v>
      </c>
      <c r="Z1360">
        <v>-3.343183E-3</v>
      </c>
      <c r="AA1360">
        <v>0.82220539999999998</v>
      </c>
      <c r="AB1360">
        <v>26</v>
      </c>
      <c r="AC1360">
        <v>10.267200000000001</v>
      </c>
      <c r="AD1360">
        <v>-1.113786431546</v>
      </c>
      <c r="AE1360">
        <v>-15.2776999999999</v>
      </c>
      <c r="AF1360">
        <v>10.5374510845597</v>
      </c>
      <c r="AG1360">
        <v>-1.113786431546</v>
      </c>
      <c r="AH1360">
        <v>15.010601477636699</v>
      </c>
      <c r="AI1360">
        <v>93.475296690976606</v>
      </c>
      <c r="AJ1360">
        <v>54.931122332797401</v>
      </c>
      <c r="AK1360">
        <v>18.3738007035838</v>
      </c>
      <c r="AL1360">
        <v>81.585162829106196</v>
      </c>
      <c r="AM1360">
        <v>65.783793009241293</v>
      </c>
      <c r="AN1360">
        <v>0.99999997857324396</v>
      </c>
    </row>
    <row r="1361" spans="1:40" x14ac:dyDescent="0.25">
      <c r="A1361" t="str">
        <f>"20190303162238040"</f>
        <v>20190303162238040</v>
      </c>
      <c r="B1361" t="str">
        <f>"1551601358025787"</f>
        <v>1551601358025787</v>
      </c>
      <c r="C1361" t="s">
        <v>40</v>
      </c>
      <c r="D1361">
        <v>5.3056660000000004</v>
      </c>
      <c r="E1361">
        <v>0.57867690000000005</v>
      </c>
      <c r="F1361" t="s">
        <v>44</v>
      </c>
      <c r="G1361">
        <v>-195.14580000000001</v>
      </c>
      <c r="H1361" s="1">
        <v>-2.0518649999999999E-6</v>
      </c>
      <c r="I1361">
        <v>350.75599999999997</v>
      </c>
      <c r="J1361">
        <v>-204.61920000000001</v>
      </c>
      <c r="K1361">
        <v>1.1136809999999999</v>
      </c>
      <c r="L1361">
        <v>365.14150000000001</v>
      </c>
      <c r="M1361">
        <v>0.93002770000000001</v>
      </c>
      <c r="N1361">
        <v>-1.135777E-2</v>
      </c>
      <c r="O1361">
        <v>-0.36731419999999998</v>
      </c>
      <c r="P1361">
        <v>0.69211020000000001</v>
      </c>
      <c r="Q1361">
        <v>0.1382534</v>
      </c>
      <c r="R1361">
        <v>-0.70842769999999899</v>
      </c>
      <c r="S1361">
        <v>1.735306</v>
      </c>
      <c r="T1361">
        <v>-0.19921839999999999</v>
      </c>
      <c r="U1361">
        <v>-2.590668</v>
      </c>
      <c r="V1361">
        <v>0.40704600000000002</v>
      </c>
      <c r="W1361">
        <v>0.14184479999999999</v>
      </c>
      <c r="X1361">
        <v>0.90232679999999998</v>
      </c>
      <c r="Y1361">
        <v>0.56753390000000004</v>
      </c>
      <c r="Z1361">
        <v>-2.4932349999999999E-3</v>
      </c>
      <c r="AA1361">
        <v>0.82334629999999998</v>
      </c>
      <c r="AB1361">
        <v>26</v>
      </c>
      <c r="AC1361">
        <v>9.4733999999999892</v>
      </c>
      <c r="AD1361">
        <v>-1.1136830518649901</v>
      </c>
      <c r="AE1361">
        <v>-14.3855</v>
      </c>
      <c r="AF1361">
        <v>9.8586229753761803</v>
      </c>
      <c r="AG1361">
        <v>-1.1136830518649901</v>
      </c>
      <c r="AH1361">
        <v>14.036750322989899</v>
      </c>
      <c r="AI1361">
        <v>93.714812813421503</v>
      </c>
      <c r="AJ1361">
        <v>54.917955927771601</v>
      </c>
      <c r="AK1361">
        <v>17.189040012187501</v>
      </c>
      <c r="AL1361">
        <v>81.845389234012202</v>
      </c>
      <c r="AM1361">
        <v>65.719527679146395</v>
      </c>
      <c r="AN1361">
        <v>1.0000000237006299</v>
      </c>
    </row>
    <row r="1362" spans="1:40" x14ac:dyDescent="0.25">
      <c r="A1362" t="str">
        <f>"20190303162238055"</f>
        <v>20190303162238055</v>
      </c>
      <c r="B1362" t="str">
        <f>"1551601358045308"</f>
        <v>1551601358045308</v>
      </c>
      <c r="C1362" t="s">
        <v>40</v>
      </c>
      <c r="D1362">
        <v>5.3141910000000001</v>
      </c>
      <c r="E1362">
        <v>0.57810119999999998</v>
      </c>
      <c r="F1362" t="s">
        <v>44</v>
      </c>
      <c r="G1362">
        <v>-195.85509999999999</v>
      </c>
      <c r="H1362" s="1">
        <v>-2.8465939999999998E-6</v>
      </c>
      <c r="I1362">
        <v>351.7987</v>
      </c>
      <c r="J1362">
        <v>-204.46279999999999</v>
      </c>
      <c r="K1362">
        <v>1.113629</v>
      </c>
      <c r="L1362">
        <v>365.07260000000002</v>
      </c>
      <c r="M1362">
        <v>0.92768649999999997</v>
      </c>
      <c r="N1362">
        <v>-1.1370130000000001E-2</v>
      </c>
      <c r="O1362">
        <v>-0.37318709999999999</v>
      </c>
      <c r="P1362">
        <v>0.68782500000000002</v>
      </c>
      <c r="Q1362">
        <v>0.13551969999999999</v>
      </c>
      <c r="R1362">
        <v>-0.71311400000000003</v>
      </c>
      <c r="S1362">
        <v>1.711273</v>
      </c>
      <c r="T1362">
        <v>-0.21745790000000001</v>
      </c>
      <c r="U1362">
        <v>-2.6053160000000002</v>
      </c>
      <c r="V1362">
        <v>0.40723930000000003</v>
      </c>
      <c r="W1362">
        <v>0.13908099999999901</v>
      </c>
      <c r="X1362">
        <v>0.90266970000000002</v>
      </c>
      <c r="Y1362">
        <v>0.56964619999999999</v>
      </c>
      <c r="Z1362">
        <v>-1.74983E-3</v>
      </c>
      <c r="AA1362">
        <v>0.82188809999999901</v>
      </c>
      <c r="AB1362">
        <v>26</v>
      </c>
      <c r="AC1362">
        <v>8.6076999999999906</v>
      </c>
      <c r="AD1362">
        <v>-1.1136318465940001</v>
      </c>
      <c r="AE1362">
        <v>-13.273899999999999</v>
      </c>
      <c r="AF1362">
        <v>9.0574435891659295</v>
      </c>
      <c r="AG1362">
        <v>-1.1136318465940001</v>
      </c>
      <c r="AH1362">
        <v>12.8759309735252</v>
      </c>
      <c r="AI1362">
        <v>94.0463849887621</v>
      </c>
      <c r="AJ1362">
        <v>54.875917134986103</v>
      </c>
      <c r="AK1362">
        <v>15.781858531100101</v>
      </c>
      <c r="AL1362">
        <v>82.005328657884803</v>
      </c>
      <c r="AM1362">
        <v>65.717491096910393</v>
      </c>
      <c r="AN1362">
        <v>0.999999979661789</v>
      </c>
    </row>
    <row r="1363" spans="1:40" x14ac:dyDescent="0.25">
      <c r="A1363" t="str">
        <f>"20190303162238067"</f>
        <v>20190303162238067</v>
      </c>
      <c r="B1363" t="str">
        <f>"1551601358056043"</f>
        <v>1551601358056043</v>
      </c>
      <c r="C1363" t="s">
        <v>40</v>
      </c>
      <c r="D1363">
        <v>5.3216570000000001</v>
      </c>
      <c r="E1363">
        <v>0.5777736</v>
      </c>
      <c r="F1363" t="s">
        <v>44</v>
      </c>
      <c r="G1363">
        <v>-196.19200000000001</v>
      </c>
      <c r="H1363" s="1">
        <v>-3.1946829999999998E-6</v>
      </c>
      <c r="I1363">
        <v>352.34199999999998</v>
      </c>
      <c r="J1363">
        <v>-204.32130000000001</v>
      </c>
      <c r="K1363">
        <v>1.113585</v>
      </c>
      <c r="L1363">
        <v>365.00920000000002</v>
      </c>
      <c r="M1363">
        <v>0.92552299999999998</v>
      </c>
      <c r="N1363">
        <v>-1.138052E-2</v>
      </c>
      <c r="O1363">
        <v>-0.37852049999999998</v>
      </c>
      <c r="P1363">
        <v>0.68392169999999997</v>
      </c>
      <c r="Q1363">
        <v>0.13310279999999899</v>
      </c>
      <c r="R1363">
        <v>-0.71731119999999904</v>
      </c>
      <c r="S1363">
        <v>1.6976169999999999</v>
      </c>
      <c r="T1363">
        <v>-0.2285761</v>
      </c>
      <c r="U1363">
        <v>-2.6129760000000002</v>
      </c>
      <c r="V1363">
        <v>0.40736159999999999</v>
      </c>
      <c r="W1363">
        <v>0.1366407</v>
      </c>
      <c r="X1363">
        <v>0.90298719999999999</v>
      </c>
      <c r="Y1363">
        <v>0.56897759999999997</v>
      </c>
      <c r="Z1363">
        <v>-1.036733E-3</v>
      </c>
      <c r="AA1363">
        <v>0.82235230000000004</v>
      </c>
      <c r="AB1363">
        <v>26</v>
      </c>
      <c r="AC1363">
        <v>8.1293000000000006</v>
      </c>
      <c r="AD1363">
        <v>-1.113588194683</v>
      </c>
      <c r="AE1363">
        <v>-12.667199999999999</v>
      </c>
      <c r="AF1363">
        <v>8.6001612603061197</v>
      </c>
      <c r="AG1363">
        <v>-1.113588194683</v>
      </c>
      <c r="AH1363">
        <v>12.252377724808101</v>
      </c>
      <c r="AI1363">
        <v>94.254446476792097</v>
      </c>
      <c r="AJ1363">
        <v>54.9343023924758</v>
      </c>
      <c r="AK1363">
        <v>15.010783200152501</v>
      </c>
      <c r="AL1363">
        <v>82.146495814053196</v>
      </c>
      <c r="AM1363">
        <v>65.718595083872202</v>
      </c>
      <c r="AN1363">
        <v>1.00000001870744</v>
      </c>
    </row>
    <row r="1364" spans="1:40" x14ac:dyDescent="0.25">
      <c r="A1364" t="str">
        <f>"20190303162238081"</f>
        <v>20190303162238081</v>
      </c>
      <c r="B1364" t="str">
        <f>"1551601358075564"</f>
        <v>1551601358075564</v>
      </c>
      <c r="C1364" t="s">
        <v>40</v>
      </c>
      <c r="D1364">
        <v>5.3639640000000002</v>
      </c>
      <c r="E1364">
        <v>0.57759839999999996</v>
      </c>
      <c r="F1364" t="s">
        <v>44</v>
      </c>
      <c r="G1364">
        <v>-196.4075</v>
      </c>
      <c r="H1364" s="1">
        <v>-3.4176909999999999E-6</v>
      </c>
      <c r="I1364">
        <v>352.6902</v>
      </c>
      <c r="J1364">
        <v>-204.17359999999999</v>
      </c>
      <c r="K1364">
        <v>1.113556</v>
      </c>
      <c r="L1364">
        <v>364.94220000000001</v>
      </c>
      <c r="M1364">
        <v>0.92321920000000002</v>
      </c>
      <c r="N1364">
        <v>-1.1390590000000001E-2</v>
      </c>
      <c r="O1364">
        <v>-0.38410529999999998</v>
      </c>
      <c r="P1364">
        <v>0.67969499999999905</v>
      </c>
      <c r="Q1364">
        <v>0.13061159999999999</v>
      </c>
      <c r="R1364">
        <v>-0.72177259999999999</v>
      </c>
      <c r="S1364">
        <v>1.683716</v>
      </c>
      <c r="T1364">
        <v>-0.23692550000000001</v>
      </c>
      <c r="U1364">
        <v>-2.6209720000000001</v>
      </c>
      <c r="V1364">
        <v>0.40760109999999999</v>
      </c>
      <c r="W1364">
        <v>0.13412639999999901</v>
      </c>
      <c r="X1364">
        <v>0.90325610000000001</v>
      </c>
      <c r="Y1364">
        <v>0.56819730000000002</v>
      </c>
      <c r="Z1364">
        <v>-3.3706429999999998E-4</v>
      </c>
      <c r="AA1364">
        <v>0.82289239999999997</v>
      </c>
      <c r="AB1364">
        <v>26</v>
      </c>
      <c r="AC1364">
        <v>7.76609999999999</v>
      </c>
      <c r="AD1364">
        <v>-1.113559417691</v>
      </c>
      <c r="AE1364">
        <v>-12.252000000000001</v>
      </c>
      <c r="AF1364">
        <v>8.28002678563446</v>
      </c>
      <c r="AG1364">
        <v>-1.113559417691</v>
      </c>
      <c r="AH1364">
        <v>11.8070610859652</v>
      </c>
      <c r="AI1364">
        <v>94.415494942209506</v>
      </c>
      <c r="AJ1364">
        <v>54.958883234625603</v>
      </c>
      <c r="AK1364">
        <v>14.463939630517901</v>
      </c>
      <c r="AL1364">
        <v>82.291893625666404</v>
      </c>
      <c r="AM1364">
        <v>65.712365958724504</v>
      </c>
      <c r="AN1364">
        <v>1.0000000650426799</v>
      </c>
    </row>
    <row r="1365" spans="1:40" x14ac:dyDescent="0.25">
      <c r="A1365" t="str">
        <f>"20190303162238097"</f>
        <v>20190303162238097</v>
      </c>
      <c r="B1365" t="str">
        <f>"1551601358085323"</f>
        <v>1551601358085323</v>
      </c>
      <c r="C1365" t="s">
        <v>40</v>
      </c>
      <c r="D1365">
        <v>5.3932029999999997</v>
      </c>
      <c r="E1365">
        <v>0.56916099999999903</v>
      </c>
      <c r="F1365" t="s">
        <v>44</v>
      </c>
      <c r="G1365">
        <v>-196.6003</v>
      </c>
      <c r="H1365" s="1">
        <v>-3.6137569999999999E-6</v>
      </c>
      <c r="I1365">
        <v>352.99489999999997</v>
      </c>
      <c r="J1365">
        <v>-204.00409999999999</v>
      </c>
      <c r="K1365">
        <v>1.1135079999999999</v>
      </c>
      <c r="L1365">
        <v>364.86360000000002</v>
      </c>
      <c r="M1365">
        <v>0.92050860000000001</v>
      </c>
      <c r="N1365">
        <v>-1.140157E-2</v>
      </c>
      <c r="O1365">
        <v>-0.39055590000000001</v>
      </c>
      <c r="P1365">
        <v>0.67484940000000004</v>
      </c>
      <c r="Q1365">
        <v>0.12736939999999999</v>
      </c>
      <c r="R1365">
        <v>-0.72688079999999999</v>
      </c>
      <c r="S1365">
        <v>1.6674800000000001</v>
      </c>
      <c r="T1365">
        <v>-0.24518110000000001</v>
      </c>
      <c r="U1365">
        <v>-2.6305239999999999</v>
      </c>
      <c r="V1365">
        <v>0.40781070000000003</v>
      </c>
      <c r="W1365">
        <v>0.1308638</v>
      </c>
      <c r="X1365">
        <v>0.90363990000000005</v>
      </c>
      <c r="Y1365">
        <v>0.56737649999999995</v>
      </c>
      <c r="Z1365">
        <v>4.6656090000000001E-4</v>
      </c>
      <c r="AA1365">
        <v>0.82345840000000003</v>
      </c>
      <c r="AB1365">
        <v>26</v>
      </c>
      <c r="AC1365">
        <v>7.4037999999999897</v>
      </c>
      <c r="AD1365">
        <v>-1.113511613757</v>
      </c>
      <c r="AE1365">
        <v>-11.8687</v>
      </c>
      <c r="AF1365">
        <v>7.9835783033497503</v>
      </c>
      <c r="AG1365">
        <v>-1.113511613757</v>
      </c>
      <c r="AH1365">
        <v>11.3792937930099</v>
      </c>
      <c r="AI1365">
        <v>94.579925400754803</v>
      </c>
      <c r="AJ1365">
        <v>54.946953259257299</v>
      </c>
      <c r="AK1365">
        <v>13.945097987010399</v>
      </c>
      <c r="AL1365">
        <v>82.480489033814806</v>
      </c>
      <c r="AM1365">
        <v>65.710448103869993</v>
      </c>
      <c r="AN1365">
        <v>0.99999998502846899</v>
      </c>
    </row>
    <row r="1366" spans="1:40" x14ac:dyDescent="0.25">
      <c r="A1366" t="str">
        <f>"20190303162238110"</f>
        <v>20190303162238110</v>
      </c>
      <c r="B1366" t="str">
        <f>"1551601358096059"</f>
        <v>1551601358096059</v>
      </c>
      <c r="C1366" t="s">
        <v>40</v>
      </c>
      <c r="D1366">
        <v>5.4244089999999998</v>
      </c>
      <c r="E1366">
        <v>0.56914819999999999</v>
      </c>
      <c r="F1366" t="s">
        <v>44</v>
      </c>
      <c r="G1366">
        <v>-197.26769999999999</v>
      </c>
      <c r="H1366" s="1">
        <v>-4.55704E-6</v>
      </c>
      <c r="I1366">
        <v>354.57530000000003</v>
      </c>
      <c r="J1366">
        <v>-203.8691</v>
      </c>
      <c r="K1366">
        <v>1.1134729999999999</v>
      </c>
      <c r="L1366">
        <v>364.8</v>
      </c>
      <c r="M1366">
        <v>0.91830529999999999</v>
      </c>
      <c r="N1366">
        <v>-1.141029E-2</v>
      </c>
      <c r="O1366">
        <v>-0.39570909999999998</v>
      </c>
      <c r="P1366">
        <v>0.67084589999999999</v>
      </c>
      <c r="Q1366">
        <v>0.12564220000000001</v>
      </c>
      <c r="R1366">
        <v>-0.73087650000000004</v>
      </c>
      <c r="S1366">
        <v>1.700745</v>
      </c>
      <c r="T1366">
        <v>-0.28113159999999998</v>
      </c>
      <c r="U1366">
        <v>-2.5975039999999998</v>
      </c>
      <c r="V1366">
        <v>0.4079644</v>
      </c>
      <c r="W1366">
        <v>0.12911819999999999</v>
      </c>
      <c r="X1366">
        <v>0.9038216</v>
      </c>
      <c r="Y1366">
        <v>0.55035509999999999</v>
      </c>
      <c r="Z1366">
        <v>3.212178E-3</v>
      </c>
      <c r="AA1366">
        <v>0.83492449999999996</v>
      </c>
      <c r="AB1366">
        <v>26</v>
      </c>
      <c r="AC1366">
        <v>6.6014000000000097</v>
      </c>
      <c r="AD1366">
        <v>-1.11347755704</v>
      </c>
      <c r="AE1366">
        <v>-10.224699999999901</v>
      </c>
      <c r="AF1366">
        <v>6.7213420523317797</v>
      </c>
      <c r="AG1366">
        <v>-1.11347755704</v>
      </c>
      <c r="AH1366">
        <v>10.024852015533501</v>
      </c>
      <c r="AI1366">
        <v>95.270907079961702</v>
      </c>
      <c r="AJ1366">
        <v>56.159413731805301</v>
      </c>
      <c r="AK1366">
        <v>12.1208056327878</v>
      </c>
      <c r="AL1366">
        <v>82.581360347729301</v>
      </c>
      <c r="AM1366">
        <v>65.706672087096095</v>
      </c>
      <c r="AN1366">
        <v>0.99999997293257903</v>
      </c>
    </row>
    <row r="1367" spans="1:40" x14ac:dyDescent="0.25">
      <c r="A1367" t="str">
        <f>"20190303162238123"</f>
        <v>20190303162238123</v>
      </c>
      <c r="B1367" t="str">
        <f>"1551601358115579"</f>
        <v>1551601358115579</v>
      </c>
      <c r="C1367" t="s">
        <v>40</v>
      </c>
      <c r="D1367">
        <v>5.4427070000000004</v>
      </c>
      <c r="E1367">
        <v>0.5694458</v>
      </c>
      <c r="F1367" t="s">
        <v>44</v>
      </c>
      <c r="G1367">
        <v>-197.3544</v>
      </c>
      <c r="H1367" s="1">
        <v>-4.6490550000000003E-6</v>
      </c>
      <c r="I1367">
        <v>354.7296</v>
      </c>
      <c r="J1367">
        <v>-203.7244</v>
      </c>
      <c r="K1367">
        <v>1.1134379999999999</v>
      </c>
      <c r="L1367">
        <v>364.73110000000003</v>
      </c>
      <c r="M1367">
        <v>0.91589679999999996</v>
      </c>
      <c r="N1367">
        <v>-1.141963E-2</v>
      </c>
      <c r="O1367">
        <v>-0.40125119999999997</v>
      </c>
      <c r="P1367">
        <v>0.66672209999999998</v>
      </c>
      <c r="Q1367">
        <v>0.1243925</v>
      </c>
      <c r="R1367">
        <v>-0.73485269999999903</v>
      </c>
      <c r="S1367">
        <v>1.686188</v>
      </c>
      <c r="T1367">
        <v>-0.28819800000000001</v>
      </c>
      <c r="U1367">
        <v>-2.606506</v>
      </c>
      <c r="V1367">
        <v>0.4077711</v>
      </c>
      <c r="W1367">
        <v>0.1278542</v>
      </c>
      <c r="X1367">
        <v>0.90408849999999996</v>
      </c>
      <c r="Y1367">
        <v>0.54988490000000001</v>
      </c>
      <c r="Z1367">
        <v>4.0342190000000003E-3</v>
      </c>
      <c r="AA1367">
        <v>0.83523080000000005</v>
      </c>
      <c r="AB1367">
        <v>26</v>
      </c>
      <c r="AC1367">
        <v>6.37</v>
      </c>
      <c r="AD1367">
        <v>-1.113442649055</v>
      </c>
      <c r="AE1367">
        <v>-10.0015</v>
      </c>
      <c r="AF1367">
        <v>6.5470761022425403</v>
      </c>
      <c r="AG1367">
        <v>-1.113442649055</v>
      </c>
      <c r="AH1367">
        <v>9.7619465140160795</v>
      </c>
      <c r="AI1367">
        <v>95.411350050990194</v>
      </c>
      <c r="AJ1367">
        <v>56.151301034924799</v>
      </c>
      <c r="AK1367">
        <v>11.806759071133801</v>
      </c>
      <c r="AL1367">
        <v>82.654387655231901</v>
      </c>
      <c r="AM1367">
        <v>65.723193606598898</v>
      </c>
      <c r="AN1367">
        <v>0.99999999114254901</v>
      </c>
    </row>
    <row r="1368" spans="1:40" x14ac:dyDescent="0.25">
      <c r="A1368" t="str">
        <f>"20190303162238139"</f>
        <v>20190303162238139</v>
      </c>
      <c r="B1368" t="str">
        <f>"1551601358136075"</f>
        <v>1551601358136075</v>
      </c>
      <c r="C1368" t="s">
        <v>40</v>
      </c>
      <c r="D1368">
        <v>5.3916019999999998</v>
      </c>
      <c r="E1368">
        <v>0.5699594</v>
      </c>
      <c r="F1368" t="s">
        <v>44</v>
      </c>
      <c r="G1368">
        <v>-197.17910000000001</v>
      </c>
      <c r="H1368" s="1">
        <v>-4.480165E-6</v>
      </c>
      <c r="I1368">
        <v>354.46159999999998</v>
      </c>
      <c r="J1368">
        <v>-203.54339999999999</v>
      </c>
      <c r="K1368">
        <v>1.113391</v>
      </c>
      <c r="L1368">
        <v>364.64299999999997</v>
      </c>
      <c r="M1368">
        <v>0.91280450000000002</v>
      </c>
      <c r="N1368">
        <v>-1.143245E-2</v>
      </c>
      <c r="O1368">
        <v>-0.40823720000000002</v>
      </c>
      <c r="P1368">
        <v>0.66170249999999997</v>
      </c>
      <c r="Q1368">
        <v>0.1235275</v>
      </c>
      <c r="R1368">
        <v>-0.73952119999999999</v>
      </c>
      <c r="S1368">
        <v>1.668015</v>
      </c>
      <c r="T1368">
        <v>-0.2837499</v>
      </c>
      <c r="U1368">
        <v>-2.6170960000000001</v>
      </c>
      <c r="V1368">
        <v>0.40715050000000003</v>
      </c>
      <c r="W1368">
        <v>0.12697259999999999</v>
      </c>
      <c r="X1368">
        <v>0.90449239999999997</v>
      </c>
      <c r="Y1368">
        <v>0.54921009999999904</v>
      </c>
      <c r="Z1368">
        <v>4.5423319999999996E-3</v>
      </c>
      <c r="AA1368">
        <v>0.83567199999999997</v>
      </c>
      <c r="AB1368">
        <v>26</v>
      </c>
      <c r="AC1368">
        <v>6.3642999999999796</v>
      </c>
      <c r="AD1368">
        <v>-1.1133954801649999</v>
      </c>
      <c r="AE1368">
        <v>-10.1814</v>
      </c>
      <c r="AF1368">
        <v>6.6388340098371996</v>
      </c>
      <c r="AG1368">
        <v>-1.1133954801649999</v>
      </c>
      <c r="AH1368">
        <v>9.8814685269348299</v>
      </c>
      <c r="AI1368">
        <v>95.343167111445197</v>
      </c>
      <c r="AJ1368">
        <v>56.104942670275499</v>
      </c>
      <c r="AK1368">
        <v>11.956470497359399</v>
      </c>
      <c r="AL1368">
        <v>82.705315017971301</v>
      </c>
      <c r="AM1368">
        <v>65.765463744193497</v>
      </c>
      <c r="AN1368">
        <v>1.0000000362293799</v>
      </c>
    </row>
    <row r="1369" spans="1:40" x14ac:dyDescent="0.25">
      <c r="A1369" t="str">
        <f>"20190303162238166"</f>
        <v>20190303162238166</v>
      </c>
      <c r="B1369" t="str">
        <f>"1551601358155595"</f>
        <v>1551601358155595</v>
      </c>
      <c r="C1369" t="s">
        <v>40</v>
      </c>
      <c r="D1369">
        <v>5.479158</v>
      </c>
      <c r="E1369">
        <v>0.56942769999999898</v>
      </c>
      <c r="F1369" t="s">
        <v>44</v>
      </c>
      <c r="G1369">
        <v>-196.73159999999999</v>
      </c>
      <c r="H1369" s="1">
        <v>-4.0180759999999999E-6</v>
      </c>
      <c r="I1369">
        <v>353.7405</v>
      </c>
      <c r="J1369">
        <v>-203.28210000000001</v>
      </c>
      <c r="K1369">
        <v>1.113316</v>
      </c>
      <c r="L1369">
        <v>364.5127</v>
      </c>
      <c r="M1369">
        <v>0.9081901</v>
      </c>
      <c r="N1369">
        <v>-1.145301E-2</v>
      </c>
      <c r="O1369">
        <v>-0.41840070000000001</v>
      </c>
      <c r="P1369">
        <v>0.65433269999999899</v>
      </c>
      <c r="Q1369">
        <v>0.124974</v>
      </c>
      <c r="R1369">
        <v>-0.74580829999999998</v>
      </c>
      <c r="S1369">
        <v>1.643723</v>
      </c>
      <c r="T1369">
        <v>-0.26866839999999997</v>
      </c>
      <c r="U1369">
        <v>-2.6308289999999999</v>
      </c>
      <c r="V1369">
        <v>0.40585640000000001</v>
      </c>
      <c r="W1369">
        <v>0.12838769999999999</v>
      </c>
      <c r="X1369">
        <v>0.90487410000000001</v>
      </c>
      <c r="Y1369">
        <v>0.54751289999999997</v>
      </c>
      <c r="Z1369">
        <v>4.8760210000000003E-3</v>
      </c>
      <c r="AA1369">
        <v>0.8367831</v>
      </c>
      <c r="AB1369">
        <v>26</v>
      </c>
      <c r="AC1369">
        <v>6.55050000000002</v>
      </c>
      <c r="AD1369">
        <v>-1.1133200180759999</v>
      </c>
      <c r="AE1369">
        <v>-10.7721999999999</v>
      </c>
      <c r="AF1369">
        <v>6.9884394297143597</v>
      </c>
      <c r="AG1369">
        <v>-1.1133200180759999</v>
      </c>
      <c r="AH1369">
        <v>10.375971869218899</v>
      </c>
      <c r="AI1369">
        <v>95.085622611038104</v>
      </c>
      <c r="AJ1369">
        <v>56.038888782126897</v>
      </c>
      <c r="AK1369">
        <v>12.5594012339863</v>
      </c>
      <c r="AL1369">
        <v>82.623566245624801</v>
      </c>
      <c r="AM1369">
        <v>65.842692015015999</v>
      </c>
      <c r="AN1369">
        <v>0.99999997789152895</v>
      </c>
    </row>
    <row r="1370" spans="1:40" x14ac:dyDescent="0.25">
      <c r="A1370" t="str">
        <f>"20190303162238188"</f>
        <v>20190303162238188</v>
      </c>
      <c r="B1370" t="str">
        <f>"1551601358176091"</f>
        <v>1551601358176091</v>
      </c>
      <c r="C1370" t="s">
        <v>40</v>
      </c>
      <c r="D1370">
        <v>5.4202089999999998</v>
      </c>
      <c r="E1370">
        <v>0.56970969999999999</v>
      </c>
      <c r="F1370" t="s">
        <v>44</v>
      </c>
      <c r="G1370">
        <v>-196.45009999999999</v>
      </c>
      <c r="H1370" s="1">
        <v>-3.7614359999999998E-6</v>
      </c>
      <c r="I1370">
        <v>353.3546</v>
      </c>
      <c r="J1370">
        <v>-203.04169999999999</v>
      </c>
      <c r="K1370">
        <v>1.1132310000000001</v>
      </c>
      <c r="L1370">
        <v>364.38940000000002</v>
      </c>
      <c r="M1370">
        <v>0.90376239999999997</v>
      </c>
      <c r="N1370">
        <v>-1.1475320000000001E-2</v>
      </c>
      <c r="O1370">
        <v>-0.42788080000000001</v>
      </c>
      <c r="P1370">
        <v>0.6471344</v>
      </c>
      <c r="Q1370">
        <v>0.1278241</v>
      </c>
      <c r="R1370">
        <v>-0.75158389999999997</v>
      </c>
      <c r="S1370">
        <v>1.6198729999999999</v>
      </c>
      <c r="T1370">
        <v>-0.26396799999999998</v>
      </c>
      <c r="U1370">
        <v>-2.6455989999999998</v>
      </c>
      <c r="V1370">
        <v>0.40473150000000002</v>
      </c>
      <c r="W1370">
        <v>0.131183299999999</v>
      </c>
      <c r="X1370">
        <v>0.90497700000000003</v>
      </c>
      <c r="Y1370">
        <v>0.5463789</v>
      </c>
      <c r="Z1370">
        <v>5.5260169999999898E-3</v>
      </c>
      <c r="AA1370">
        <v>0.83751989999999998</v>
      </c>
      <c r="AB1370">
        <v>26</v>
      </c>
      <c r="AC1370">
        <v>6.5915999999999997</v>
      </c>
      <c r="AD1370">
        <v>-1.1132347614360001</v>
      </c>
      <c r="AE1370">
        <v>-11.034800000000001</v>
      </c>
      <c r="AF1370">
        <v>7.0996340996324996</v>
      </c>
      <c r="AG1370">
        <v>-1.1132347614360001</v>
      </c>
      <c r="AH1370">
        <v>10.600010640608399</v>
      </c>
      <c r="AI1370">
        <v>94.986894972853605</v>
      </c>
      <c r="AJ1370">
        <v>56.186768507487699</v>
      </c>
      <c r="AK1370">
        <v>12.806417202471</v>
      </c>
      <c r="AL1370">
        <v>82.462024021744796</v>
      </c>
      <c r="AM1370">
        <v>65.904446143840801</v>
      </c>
      <c r="AN1370">
        <v>1.0000000079100699</v>
      </c>
    </row>
    <row r="1371" spans="1:40" x14ac:dyDescent="0.25">
      <c r="A1371" t="str">
        <f>"20190303162238210"</f>
        <v>20190303162238210</v>
      </c>
      <c r="B1371" t="str">
        <f>"1551601358195612"</f>
        <v>1551601358195612</v>
      </c>
      <c r="C1371" t="s">
        <v>40</v>
      </c>
      <c r="D1371">
        <v>5.4107859999999999</v>
      </c>
      <c r="E1371">
        <v>0.56971119999999897</v>
      </c>
      <c r="F1371" t="s">
        <v>44</v>
      </c>
      <c r="G1371">
        <v>-195.76130000000001</v>
      </c>
      <c r="H1371" s="1">
        <v>-3.030691E-6</v>
      </c>
      <c r="I1371">
        <v>352.20589999999999</v>
      </c>
      <c r="J1371">
        <v>-202.81440000000001</v>
      </c>
      <c r="K1371">
        <v>1.113137</v>
      </c>
      <c r="L1371">
        <v>364.26979999999998</v>
      </c>
      <c r="M1371">
        <v>0.89941319999999902</v>
      </c>
      <c r="N1371">
        <v>-1.149915E-2</v>
      </c>
      <c r="O1371">
        <v>-0.43694810000000001</v>
      </c>
      <c r="P1371">
        <v>0.64000900000000005</v>
      </c>
      <c r="Q1371">
        <v>0.12922980000000001</v>
      </c>
      <c r="R1371">
        <v>-0.75742229999999999</v>
      </c>
      <c r="S1371">
        <v>1.5912170000000001</v>
      </c>
      <c r="T1371">
        <v>-0.2433128</v>
      </c>
      <c r="U1371">
        <v>-2.6628720000000001</v>
      </c>
      <c r="V1371">
        <v>0.4040184</v>
      </c>
      <c r="W1371">
        <v>0.13252149999999999</v>
      </c>
      <c r="X1371">
        <v>0.90510060000000003</v>
      </c>
      <c r="Y1371">
        <v>0.54711449999999995</v>
      </c>
      <c r="Z1371">
        <v>5.1382349999999997E-3</v>
      </c>
      <c r="AA1371">
        <v>0.83704199999999995</v>
      </c>
      <c r="AB1371">
        <v>26</v>
      </c>
      <c r="AC1371">
        <v>7.0530999999999997</v>
      </c>
      <c r="AD1371">
        <v>-1.113140030691</v>
      </c>
      <c r="AE1371">
        <v>-12.063899999999901</v>
      </c>
      <c r="AF1371">
        <v>7.7201216777814103</v>
      </c>
      <c r="AG1371">
        <v>-1.113140030691</v>
      </c>
      <c r="AH1371">
        <v>11.542480264727599</v>
      </c>
      <c r="AI1371">
        <v>94.583090826615901</v>
      </c>
      <c r="AJ1371">
        <v>56.223642152508098</v>
      </c>
      <c r="AK1371">
        <v>13.9308366622147</v>
      </c>
      <c r="AL1371">
        <v>82.384675102919701</v>
      </c>
      <c r="AM1371">
        <v>65.944992485211699</v>
      </c>
      <c r="AN1371">
        <v>0.99999995581058398</v>
      </c>
    </row>
    <row r="1372" spans="1:40" x14ac:dyDescent="0.25">
      <c r="A1372" t="str">
        <f>"20190303162238232"</f>
        <v>20190303162238232</v>
      </c>
      <c r="B1372" t="str">
        <f>"1551601358225868"</f>
        <v>1551601358225868</v>
      </c>
      <c r="C1372" t="s">
        <v>40</v>
      </c>
      <c r="D1372">
        <v>5.4282339999999998</v>
      </c>
      <c r="E1372">
        <v>0.56941850000000005</v>
      </c>
      <c r="F1372" t="s">
        <v>44</v>
      </c>
      <c r="G1372">
        <v>-195.28389999999999</v>
      </c>
      <c r="H1372" s="1">
        <v>-2.4618669999999998E-6</v>
      </c>
      <c r="I1372">
        <v>351.38659999999999</v>
      </c>
      <c r="J1372">
        <v>-202.5778</v>
      </c>
      <c r="K1372">
        <v>1.1130180000000001</v>
      </c>
      <c r="L1372">
        <v>364.142</v>
      </c>
      <c r="M1372">
        <v>0.894690599999999</v>
      </c>
      <c r="N1372">
        <v>-1.152705E-2</v>
      </c>
      <c r="O1372">
        <v>-0.44653789999999999</v>
      </c>
      <c r="P1372">
        <v>0.632615699999999</v>
      </c>
      <c r="Q1372">
        <v>0.12995989999999999</v>
      </c>
      <c r="R1372">
        <v>-0.76348419999999995</v>
      </c>
      <c r="S1372">
        <v>1.565186</v>
      </c>
      <c r="T1372">
        <v>-0.2313627</v>
      </c>
      <c r="U1372">
        <v>-2.6777340000000001</v>
      </c>
      <c r="V1372">
        <v>0.40308369999999999</v>
      </c>
      <c r="W1372">
        <v>0.13317370000000001</v>
      </c>
      <c r="X1372">
        <v>0.90542160000000005</v>
      </c>
      <c r="Y1372">
        <v>0.54633299999999996</v>
      </c>
      <c r="Z1372">
        <v>5.2356249999999998E-3</v>
      </c>
      <c r="AA1372">
        <v>0.83755170000000001</v>
      </c>
      <c r="AB1372">
        <v>26</v>
      </c>
      <c r="AC1372">
        <v>7.2938999999999998</v>
      </c>
      <c r="AD1372">
        <v>-1.1130204618670001</v>
      </c>
      <c r="AE1372">
        <v>-12.7554</v>
      </c>
      <c r="AF1372">
        <v>8.1091452911984803</v>
      </c>
      <c r="AG1372">
        <v>-1.1130204618670001</v>
      </c>
      <c r="AH1372">
        <v>12.1526335596189</v>
      </c>
      <c r="AI1372">
        <v>94.3565726031389</v>
      </c>
      <c r="AJ1372">
        <v>56.285819569188902</v>
      </c>
      <c r="AK1372">
        <v>14.6520836175841</v>
      </c>
      <c r="AL1372">
        <v>82.346972869174095</v>
      </c>
      <c r="AM1372">
        <v>66.001899600468306</v>
      </c>
      <c r="AN1372">
        <v>0.99999998866196904</v>
      </c>
    </row>
    <row r="1373" spans="1:40" x14ac:dyDescent="0.25">
      <c r="A1373" t="str">
        <f>"20190303162238254"</f>
        <v>20190303162238254</v>
      </c>
      <c r="B1373" t="str">
        <f>"1551601358245387"</f>
        <v>1551601358245387</v>
      </c>
      <c r="C1373" t="s">
        <v>40</v>
      </c>
      <c r="D1373">
        <v>5.5346719999999996</v>
      </c>
      <c r="E1373">
        <v>0.56899909999999998</v>
      </c>
      <c r="F1373" t="s">
        <v>44</v>
      </c>
      <c r="G1373">
        <v>-194.88810000000001</v>
      </c>
      <c r="H1373" s="1">
        <v>-1.9523910000000001E-6</v>
      </c>
      <c r="I1373">
        <v>350.7038</v>
      </c>
      <c r="J1373">
        <v>-202.351</v>
      </c>
      <c r="K1373">
        <v>1.112895</v>
      </c>
      <c r="L1373">
        <v>364.01620000000003</v>
      </c>
      <c r="M1373">
        <v>0.88995669999999905</v>
      </c>
      <c r="N1373">
        <v>-1.1557410000000001E-2</v>
      </c>
      <c r="O1373">
        <v>-0.45589859999999999</v>
      </c>
      <c r="P1373">
        <v>0.62508199999999903</v>
      </c>
      <c r="Q1373">
        <v>0.13039890000000001</v>
      </c>
      <c r="R1373">
        <v>-0.76958979999999999</v>
      </c>
      <c r="S1373">
        <v>1.5400240000000001</v>
      </c>
      <c r="T1373">
        <v>-0.22290589999999999</v>
      </c>
      <c r="U1373">
        <v>-2.691284</v>
      </c>
      <c r="V1373">
        <v>0.4024702</v>
      </c>
      <c r="W1373">
        <v>0.1335182</v>
      </c>
      <c r="X1373">
        <v>0.9056438</v>
      </c>
      <c r="Y1373">
        <v>0.54531839999999998</v>
      </c>
      <c r="Z1373">
        <v>5.4573169999999997E-3</v>
      </c>
      <c r="AA1373">
        <v>0.83821129999999999</v>
      </c>
      <c r="AB1373">
        <v>26</v>
      </c>
      <c r="AC1373">
        <v>7.4628999999999897</v>
      </c>
      <c r="AD1373">
        <v>-1.1128969523909999</v>
      </c>
      <c r="AE1373">
        <v>-13.3124</v>
      </c>
      <c r="AF1373">
        <v>8.4010248598054496</v>
      </c>
      <c r="AG1373">
        <v>-1.1128969523909999</v>
      </c>
      <c r="AH1373">
        <v>12.644373891192901</v>
      </c>
      <c r="AI1373">
        <v>94.192818360031794</v>
      </c>
      <c r="AJ1373">
        <v>56.399613547704298</v>
      </c>
      <c r="AK1373">
        <v>15.221561990216101</v>
      </c>
      <c r="AL1373">
        <v>82.327056946614306</v>
      </c>
      <c r="AM1373">
        <v>66.039526805137498</v>
      </c>
      <c r="AN1373">
        <v>1.00000003204885</v>
      </c>
    </row>
    <row r="1374" spans="1:40" x14ac:dyDescent="0.25">
      <c r="A1374" t="str">
        <f>"20190303162238268"</f>
        <v>20190303162238268</v>
      </c>
      <c r="B1374" t="str">
        <f>"1551601358256123"</f>
        <v>1551601358256123</v>
      </c>
      <c r="C1374" t="s">
        <v>40</v>
      </c>
      <c r="D1374">
        <v>5.467079</v>
      </c>
      <c r="E1374">
        <v>0.569218</v>
      </c>
      <c r="F1374" t="s">
        <v>44</v>
      </c>
      <c r="G1374">
        <v>-194.7561</v>
      </c>
      <c r="H1374" s="1">
        <v>-1.7740160000000001E-6</v>
      </c>
      <c r="I1374">
        <v>350.46179999999998</v>
      </c>
      <c r="J1374">
        <v>-202.2004</v>
      </c>
      <c r="K1374">
        <v>1.1127990000000001</v>
      </c>
      <c r="L1374">
        <v>363.93079999999998</v>
      </c>
      <c r="M1374">
        <v>0.88669449999999905</v>
      </c>
      <c r="N1374">
        <v>-1.157963E-2</v>
      </c>
      <c r="O1374">
        <v>-0.46221089999999998</v>
      </c>
      <c r="P1374">
        <v>0.61924309999999905</v>
      </c>
      <c r="Q1374">
        <v>0.13048029999999999</v>
      </c>
      <c r="R1374">
        <v>-0.77428240000000004</v>
      </c>
      <c r="S1374">
        <v>1.515579</v>
      </c>
      <c r="T1374">
        <v>-0.22208030000000001</v>
      </c>
      <c r="U1374">
        <v>-2.7048030000000001</v>
      </c>
      <c r="V1374">
        <v>0.40290730000000002</v>
      </c>
      <c r="W1374">
        <v>0.13351350000000001</v>
      </c>
      <c r="X1374">
        <v>0.90545010000000004</v>
      </c>
      <c r="Y1374">
        <v>0.5469212</v>
      </c>
      <c r="Z1374">
        <v>5.7738679999999997E-3</v>
      </c>
      <c r="AA1374">
        <v>0.83716420000000002</v>
      </c>
      <c r="AB1374">
        <v>26</v>
      </c>
      <c r="AC1374">
        <v>7.4442999999999904</v>
      </c>
      <c r="AD1374">
        <v>-1.112800774016</v>
      </c>
      <c r="AE1374">
        <v>-13.4689999999999</v>
      </c>
      <c r="AF1374">
        <v>8.4583945260943096</v>
      </c>
      <c r="AG1374">
        <v>-1.112800774016</v>
      </c>
      <c r="AH1374">
        <v>12.760476653774599</v>
      </c>
      <c r="AI1374">
        <v>94.157402019240905</v>
      </c>
      <c r="AJ1374">
        <v>56.461241175665897</v>
      </c>
      <c r="AK1374">
        <v>15.3496751741931</v>
      </c>
      <c r="AL1374">
        <v>82.3273285405634</v>
      </c>
      <c r="AM1374">
        <v>66.011886453458501</v>
      </c>
      <c r="AN1374">
        <v>1.0000000153327699</v>
      </c>
    </row>
    <row r="1375" spans="1:40" x14ac:dyDescent="0.25">
      <c r="A1375" t="str">
        <f>"20190303162238287"</f>
        <v>20190303162238287</v>
      </c>
      <c r="B1375" t="str">
        <f>"1551601358275644"</f>
        <v>1551601358275644</v>
      </c>
      <c r="C1375" t="s">
        <v>40</v>
      </c>
      <c r="D1375">
        <v>5.4931169999999998</v>
      </c>
      <c r="E1375">
        <v>0.56969269999999905</v>
      </c>
      <c r="F1375" t="s">
        <v>44</v>
      </c>
      <c r="G1375">
        <v>-194.65450000000001</v>
      </c>
      <c r="H1375" s="1">
        <v>-1.5968450000000001E-6</v>
      </c>
      <c r="I1375">
        <v>350.20819999999998</v>
      </c>
      <c r="J1375">
        <v>-202.00720000000001</v>
      </c>
      <c r="K1375">
        <v>1.11267</v>
      </c>
      <c r="L1375">
        <v>363.81900000000002</v>
      </c>
      <c r="M1375">
        <v>0.8823645</v>
      </c>
      <c r="N1375">
        <v>-1.161006E-2</v>
      </c>
      <c r="O1375">
        <v>-0.47042329999999999</v>
      </c>
      <c r="P1375">
        <v>0.61046309999999904</v>
      </c>
      <c r="Q1375">
        <v>0.12995409999999999</v>
      </c>
      <c r="R1375">
        <v>-0.78131079999999997</v>
      </c>
      <c r="S1375">
        <v>1.493927</v>
      </c>
      <c r="T1375">
        <v>-0.22031139999999999</v>
      </c>
      <c r="U1375">
        <v>-2.7167970000000001</v>
      </c>
      <c r="V1375">
        <v>0.40483360000000002</v>
      </c>
      <c r="W1375">
        <v>0.13284379999999901</v>
      </c>
      <c r="X1375">
        <v>0.90468899999999997</v>
      </c>
      <c r="Y1375">
        <v>0.54585469999999903</v>
      </c>
      <c r="Z1375">
        <v>6.2836200000000002E-3</v>
      </c>
      <c r="AA1375">
        <v>0.8378563</v>
      </c>
      <c r="AB1375">
        <v>26</v>
      </c>
      <c r="AC1375">
        <v>7.3526999999999898</v>
      </c>
      <c r="AD1375">
        <v>-1.1126715968449901</v>
      </c>
      <c r="AE1375">
        <v>-13.610799999999999</v>
      </c>
      <c r="AF1375">
        <v>8.5073711325365693</v>
      </c>
      <c r="AG1375">
        <v>-1.1126715968449901</v>
      </c>
      <c r="AH1375">
        <v>12.825120525029099</v>
      </c>
      <c r="AI1375">
        <v>94.135134621123896</v>
      </c>
      <c r="AJ1375">
        <v>56.442229229109401</v>
      </c>
      <c r="AK1375">
        <v>15.4303959168475</v>
      </c>
      <c r="AL1375">
        <v>82.366043923144105</v>
      </c>
      <c r="AM1375">
        <v>65.8922612073696</v>
      </c>
      <c r="AN1375">
        <v>0.99999995280419796</v>
      </c>
    </row>
    <row r="1376" spans="1:40" x14ac:dyDescent="0.25">
      <c r="A1376" t="str">
        <f>"20190303162238301"</f>
        <v>20190303162238301</v>
      </c>
      <c r="B1376" t="str">
        <f>"1551601358285404"</f>
        <v>1551601358285404</v>
      </c>
      <c r="C1376" t="s">
        <v>40</v>
      </c>
      <c r="D1376">
        <v>5.5012720000000002</v>
      </c>
      <c r="E1376">
        <v>0.58800169999999996</v>
      </c>
      <c r="F1376" t="s">
        <v>44</v>
      </c>
      <c r="G1376">
        <v>-194.70699999999999</v>
      </c>
      <c r="H1376" s="1">
        <v>-1.5805919999999999E-6</v>
      </c>
      <c r="I1376">
        <v>350.15710000000001</v>
      </c>
      <c r="J1376">
        <v>-201.86240000000001</v>
      </c>
      <c r="K1376">
        <v>1.1125670000000001</v>
      </c>
      <c r="L1376">
        <v>363.7337</v>
      </c>
      <c r="M1376">
        <v>0.87901749999999901</v>
      </c>
      <c r="N1376">
        <v>-1.1633360000000001E-2</v>
      </c>
      <c r="O1376">
        <v>-0.4766475</v>
      </c>
      <c r="P1376">
        <v>0.60385630000000001</v>
      </c>
      <c r="Q1376">
        <v>0.12875049999999999</v>
      </c>
      <c r="R1376">
        <v>-0.78662659999999995</v>
      </c>
      <c r="S1376">
        <v>1.461395</v>
      </c>
      <c r="T1376">
        <v>-0.22274150000000001</v>
      </c>
      <c r="U1376">
        <v>-2.7349239999999999</v>
      </c>
      <c r="V1376">
        <v>0.40624860000000002</v>
      </c>
      <c r="W1376">
        <v>0.1315355</v>
      </c>
      <c r="X1376">
        <v>0.90424579999999999</v>
      </c>
      <c r="Y1376">
        <v>0.54997659999999904</v>
      </c>
      <c r="Z1376">
        <v>6.6876000000000001E-3</v>
      </c>
      <c r="AA1376">
        <v>0.83515329999999999</v>
      </c>
      <c r="AB1376">
        <v>26</v>
      </c>
      <c r="AC1376">
        <v>7.15540000000001</v>
      </c>
      <c r="AD1376">
        <v>-1.112568580592</v>
      </c>
      <c r="AE1376">
        <v>-13.5765999999999</v>
      </c>
      <c r="AF1376">
        <v>8.4794781658341201</v>
      </c>
      <c r="AG1376">
        <v>-1.112568580592</v>
      </c>
      <c r="AH1376">
        <v>12.6951183264396</v>
      </c>
      <c r="AI1376">
        <v>94.168131543732301</v>
      </c>
      <c r="AJ1376">
        <v>56.259763213891503</v>
      </c>
      <c r="AK1376">
        <v>15.307037209521701</v>
      </c>
      <c r="AL1376">
        <v>82.441667922242502</v>
      </c>
      <c r="AM1376">
        <v>65.807147379418794</v>
      </c>
      <c r="AN1376">
        <v>0.99999998978992499</v>
      </c>
    </row>
    <row r="1377" spans="1:40" x14ac:dyDescent="0.25">
      <c r="A1377" t="str">
        <f>"20190303162238320"</f>
        <v>20190303162238320</v>
      </c>
      <c r="B1377" t="str">
        <f>"1551601358315660"</f>
        <v>1551601358315660</v>
      </c>
      <c r="C1377" t="s">
        <v>40</v>
      </c>
      <c r="D1377">
        <v>5.500826</v>
      </c>
      <c r="E1377">
        <v>0.58772469999999999</v>
      </c>
      <c r="F1377" t="s">
        <v>44</v>
      </c>
      <c r="G1377">
        <v>-195.35910000000001</v>
      </c>
      <c r="H1377" s="1">
        <v>-1.535641E-6</v>
      </c>
      <c r="I1377">
        <v>349.78800000000001</v>
      </c>
      <c r="J1377">
        <v>-201.6687</v>
      </c>
      <c r="K1377">
        <v>1.112419</v>
      </c>
      <c r="L1377">
        <v>363.61700000000002</v>
      </c>
      <c r="M1377">
        <v>0.87438859999999996</v>
      </c>
      <c r="N1377">
        <v>-1.1663959999999999E-2</v>
      </c>
      <c r="O1377">
        <v>-0.48508649999999998</v>
      </c>
      <c r="P1377">
        <v>0.59508909999999904</v>
      </c>
      <c r="Q1377">
        <v>0.12504989999999999</v>
      </c>
      <c r="R1377">
        <v>-0.79387149999999995</v>
      </c>
      <c r="S1377">
        <v>1.322357</v>
      </c>
      <c r="T1377">
        <v>-0.22622780000000001</v>
      </c>
      <c r="U1377">
        <v>-2.835693</v>
      </c>
      <c r="V1377">
        <v>0.4080647</v>
      </c>
      <c r="W1377">
        <v>0.1277095</v>
      </c>
      <c r="X1377">
        <v>0.90397649999999996</v>
      </c>
      <c r="Y1377">
        <v>0.58670290000000003</v>
      </c>
      <c r="Z1377">
        <v>5.5962969999999897E-3</v>
      </c>
      <c r="AA1377">
        <v>0.80978289999999997</v>
      </c>
      <c r="AB1377">
        <v>26</v>
      </c>
      <c r="AC1377">
        <v>6.3095999999999801</v>
      </c>
      <c r="AD1377">
        <v>-1.112420535641</v>
      </c>
      <c r="AE1377">
        <v>-13.828999999999899</v>
      </c>
      <c r="AF1377">
        <v>8.9837154798947694</v>
      </c>
      <c r="AG1377">
        <v>-1.112420535641</v>
      </c>
      <c r="AH1377">
        <v>12.1610004780509</v>
      </c>
      <c r="AI1377">
        <v>94.207987696383995</v>
      </c>
      <c r="AJ1377">
        <v>53.545546083823702</v>
      </c>
      <c r="AK1377">
        <v>15.1602953763761</v>
      </c>
      <c r="AL1377">
        <v>82.662747050895803</v>
      </c>
      <c r="AM1377">
        <v>65.705072386621495</v>
      </c>
      <c r="AN1377">
        <v>1.00000001416429</v>
      </c>
    </row>
    <row r="1378" spans="1:40" x14ac:dyDescent="0.25">
      <c r="A1378" t="str">
        <f>"20190303162238343"</f>
        <v>20190303162238343</v>
      </c>
      <c r="B1378" t="str">
        <f>"1551601358336155"</f>
        <v>1551601358336155</v>
      </c>
      <c r="C1378" t="s">
        <v>40</v>
      </c>
      <c r="D1378">
        <v>5.4756640000000001</v>
      </c>
      <c r="E1378">
        <v>0.58739989999999997</v>
      </c>
      <c r="F1378" t="s">
        <v>44</v>
      </c>
      <c r="G1378">
        <v>-195.53739999999999</v>
      </c>
      <c r="H1378" s="1">
        <v>-1.7732020000000001E-6</v>
      </c>
      <c r="I1378">
        <v>350.10930000000002</v>
      </c>
      <c r="J1378">
        <v>-201.4408</v>
      </c>
      <c r="K1378">
        <v>1.1122799999999999</v>
      </c>
      <c r="L1378">
        <v>363.47649999999999</v>
      </c>
      <c r="M1378">
        <v>0.86873999999999996</v>
      </c>
      <c r="N1378">
        <v>-1.169688E-2</v>
      </c>
      <c r="O1378">
        <v>-0.49513040000000003</v>
      </c>
      <c r="P1378">
        <v>0.58501579999999997</v>
      </c>
      <c r="Q1378">
        <v>0.1215688</v>
      </c>
      <c r="R1378">
        <v>-0.80185919999999999</v>
      </c>
      <c r="S1378">
        <v>1.292343</v>
      </c>
      <c r="T1378">
        <v>-0.2344707</v>
      </c>
      <c r="U1378">
        <v>-2.8471069999999998</v>
      </c>
      <c r="V1378">
        <v>0.40949799999999997</v>
      </c>
      <c r="W1378">
        <v>0.1241139</v>
      </c>
      <c r="X1378">
        <v>0.9038292</v>
      </c>
      <c r="Y1378">
        <v>0.58564530000000004</v>
      </c>
      <c r="Z1378">
        <v>6.9581850000000004E-3</v>
      </c>
      <c r="AA1378">
        <v>0.81053759999999997</v>
      </c>
      <c r="AB1378">
        <v>26</v>
      </c>
      <c r="AC1378">
        <v>5.9034000000000004</v>
      </c>
      <c r="AD1378">
        <v>-1.1122817732019901</v>
      </c>
      <c r="AE1378">
        <v>-13.367199999999899</v>
      </c>
      <c r="AF1378">
        <v>8.6402025893965497</v>
      </c>
      <c r="AG1378">
        <v>-1.1122817732019901</v>
      </c>
      <c r="AH1378">
        <v>11.6801568526572</v>
      </c>
      <c r="AI1378">
        <v>94.377926091298207</v>
      </c>
      <c r="AJ1378">
        <v>53.5084288735165</v>
      </c>
      <c r="AK1378">
        <v>14.5710787394581</v>
      </c>
      <c r="AL1378">
        <v>82.8704128256839</v>
      </c>
      <c r="AM1378">
        <v>65.626140409544107</v>
      </c>
      <c r="AN1378">
        <v>1.00000004747492</v>
      </c>
    </row>
    <row r="1379" spans="1:40" x14ac:dyDescent="0.25">
      <c r="A1379" t="str">
        <f>"20190303162238358"</f>
        <v>20190303162238358</v>
      </c>
      <c r="B1379" t="str">
        <f>"1551601358345916"</f>
        <v>1551601358345916</v>
      </c>
      <c r="C1379" t="s">
        <v>40</v>
      </c>
      <c r="D1379">
        <v>5.7288300000000003</v>
      </c>
      <c r="E1379">
        <v>0.58739989999999997</v>
      </c>
      <c r="F1379" t="s">
        <v>44</v>
      </c>
      <c r="G1379">
        <v>-195.703</v>
      </c>
      <c r="H1379" s="1">
        <v>-2.0002790000000002E-6</v>
      </c>
      <c r="I1379">
        <v>350.41840000000002</v>
      </c>
      <c r="J1379">
        <v>-201.28890000000001</v>
      </c>
      <c r="K1379">
        <v>1.112204</v>
      </c>
      <c r="L1379">
        <v>363.38040000000001</v>
      </c>
      <c r="M1379">
        <v>0.86484439999999996</v>
      </c>
      <c r="N1379">
        <v>-1.171633E-2</v>
      </c>
      <c r="O1379">
        <v>-0.5019034</v>
      </c>
      <c r="P1379">
        <v>0.57804149999999999</v>
      </c>
      <c r="Q1379">
        <v>0.11986040000000001</v>
      </c>
      <c r="R1379">
        <v>-0.80715689999999995</v>
      </c>
      <c r="S1379">
        <v>1.2571559999999999</v>
      </c>
      <c r="T1379">
        <v>-0.24370059999999999</v>
      </c>
      <c r="U1379">
        <v>-2.8610229999999999</v>
      </c>
      <c r="V1379">
        <v>0.41047860000000003</v>
      </c>
      <c r="W1379">
        <v>0.1223413</v>
      </c>
      <c r="X1379">
        <v>0.90362600000000004</v>
      </c>
      <c r="Y1379">
        <v>0.58906539999999996</v>
      </c>
      <c r="Z1379">
        <v>7.961348E-3</v>
      </c>
      <c r="AA1379">
        <v>0.80804619999999905</v>
      </c>
      <c r="AB1379">
        <v>26</v>
      </c>
      <c r="AC1379">
        <v>5.5858999999999996</v>
      </c>
      <c r="AD1379">
        <v>-1.112206000279</v>
      </c>
      <c r="AE1379">
        <v>-12.9619999999999</v>
      </c>
      <c r="AF1379">
        <v>8.3552267964541205</v>
      </c>
      <c r="AG1379">
        <v>-1.112206000279</v>
      </c>
      <c r="AH1379">
        <v>11.267420169935599</v>
      </c>
      <c r="AI1379">
        <v>94.533428686947602</v>
      </c>
      <c r="AJ1379">
        <v>53.441638793207801</v>
      </c>
      <c r="AK1379">
        <v>14.071303219429</v>
      </c>
      <c r="AL1379">
        <v>82.972755088392404</v>
      </c>
      <c r="AM1379">
        <v>65.569735304970195</v>
      </c>
      <c r="AN1379">
        <v>1.00000001130982</v>
      </c>
    </row>
    <row r="1380" spans="1:40" x14ac:dyDescent="0.25">
      <c r="A1380" t="str">
        <f>"20190303162238378"</f>
        <v>20190303162238378</v>
      </c>
      <c r="B1380" t="str">
        <f>"1551601358365436"</f>
        <v>1551601358365436</v>
      </c>
      <c r="C1380" t="s">
        <v>40</v>
      </c>
      <c r="D1380">
        <v>5.7006899999999998</v>
      </c>
      <c r="E1380">
        <v>0.57592480000000001</v>
      </c>
      <c r="F1380" t="s">
        <v>44</v>
      </c>
      <c r="G1380">
        <v>-195.78110000000001</v>
      </c>
      <c r="H1380" s="1">
        <v>-2.0897940000000001E-6</v>
      </c>
      <c r="I1380">
        <v>350.53449999999998</v>
      </c>
      <c r="J1380">
        <v>-201.09129999999999</v>
      </c>
      <c r="K1380">
        <v>1.112117</v>
      </c>
      <c r="L1380">
        <v>363.25310000000002</v>
      </c>
      <c r="M1380">
        <v>0.85964619999999903</v>
      </c>
      <c r="N1380">
        <v>-1.1738790000000001E-2</v>
      </c>
      <c r="O1380">
        <v>-0.51075539999999997</v>
      </c>
      <c r="P1380">
        <v>0.56784119999999905</v>
      </c>
      <c r="Q1380">
        <v>0.114270899999999</v>
      </c>
      <c r="R1380">
        <v>-0.81516829999999996</v>
      </c>
      <c r="S1380">
        <v>1.2313229999999999</v>
      </c>
      <c r="T1380">
        <v>-0.2486458</v>
      </c>
      <c r="U1380">
        <v>-2.871826</v>
      </c>
      <c r="V1380">
        <v>0.41316940000000002</v>
      </c>
      <c r="W1380">
        <v>0.1166498</v>
      </c>
      <c r="X1380">
        <v>0.90315219999999896</v>
      </c>
      <c r="Y1380">
        <v>0.58800629999999998</v>
      </c>
      <c r="Z1380">
        <v>9.1032309999999998E-3</v>
      </c>
      <c r="AA1380">
        <v>0.80880509999999906</v>
      </c>
      <c r="AB1380">
        <v>26</v>
      </c>
      <c r="AC1380">
        <v>5.3101999999999796</v>
      </c>
      <c r="AD1380">
        <v>-1.1121190897939901</v>
      </c>
      <c r="AE1380">
        <v>-12.7186</v>
      </c>
      <c r="AF1380">
        <v>8.1686624272391608</v>
      </c>
      <c r="AG1380">
        <v>-1.1121190897939901</v>
      </c>
      <c r="AH1380">
        <v>10.990190919142201</v>
      </c>
      <c r="AI1380">
        <v>94.643099797442503</v>
      </c>
      <c r="AJ1380">
        <v>53.377741331070503</v>
      </c>
      <c r="AK1380">
        <v>13.738564377665799</v>
      </c>
      <c r="AL1380">
        <v>83.301207939937598</v>
      </c>
      <c r="AM1380">
        <v>65.417097802456297</v>
      </c>
      <c r="AN1380">
        <v>1.0000000126506099</v>
      </c>
    </row>
    <row r="1381" spans="1:40" x14ac:dyDescent="0.25">
      <c r="A1381" t="str">
        <f>"20190303162238400"</f>
        <v>20190303162238400</v>
      </c>
      <c r="B1381" t="str">
        <f>"1551601358385931"</f>
        <v>1551601358385931</v>
      </c>
      <c r="C1381" t="s">
        <v>40</v>
      </c>
      <c r="D1381">
        <v>5.5441630000000002</v>
      </c>
      <c r="E1381">
        <v>0.57530749999999997</v>
      </c>
      <c r="F1381" t="s">
        <v>44</v>
      </c>
      <c r="G1381">
        <v>-197.21469999999999</v>
      </c>
      <c r="H1381" s="1">
        <v>-4.57743E-6</v>
      </c>
      <c r="I1381">
        <v>354.64229999999998</v>
      </c>
      <c r="J1381">
        <v>-200.86779999999999</v>
      </c>
      <c r="K1381">
        <v>1.1120589999999999</v>
      </c>
      <c r="L1381">
        <v>363.10570000000001</v>
      </c>
      <c r="M1381">
        <v>0.85357519999999998</v>
      </c>
      <c r="N1381">
        <v>-1.176116E-2</v>
      </c>
      <c r="O1381">
        <v>-0.52083690000000005</v>
      </c>
      <c r="P1381">
        <v>0.55649919999999997</v>
      </c>
      <c r="Q1381">
        <v>0.11271979999999999</v>
      </c>
      <c r="R1381">
        <v>-0.82316669999999903</v>
      </c>
      <c r="S1381">
        <v>1.2789459999999999</v>
      </c>
      <c r="T1381">
        <v>-0.3668998</v>
      </c>
      <c r="U1381">
        <v>-2.8407589999999998</v>
      </c>
      <c r="V1381">
        <v>0.41521479999999999</v>
      </c>
      <c r="W1381">
        <v>0.1150144</v>
      </c>
      <c r="X1381">
        <v>0.90242359999999999</v>
      </c>
      <c r="Y1381">
        <v>0.56326350000000003</v>
      </c>
      <c r="Z1381">
        <v>2.1007499999999998E-2</v>
      </c>
      <c r="AA1381">
        <v>0.82601029999999998</v>
      </c>
      <c r="AB1381">
        <v>26</v>
      </c>
      <c r="AC1381">
        <v>3.65309999999999</v>
      </c>
      <c r="AD1381">
        <v>-1.1120635774299901</v>
      </c>
      <c r="AE1381">
        <v>-8.4634000000000302</v>
      </c>
      <c r="AF1381">
        <v>5.2455058663599301</v>
      </c>
      <c r="AG1381">
        <v>-1.1120635774299901</v>
      </c>
      <c r="AH1381">
        <v>7.4187965589951501</v>
      </c>
      <c r="AI1381">
        <v>96.977965896064305</v>
      </c>
      <c r="AJ1381">
        <v>54.737543643736601</v>
      </c>
      <c r="AK1381">
        <v>9.1537183470992396</v>
      </c>
      <c r="AL1381">
        <v>83.395544368263302</v>
      </c>
      <c r="AM1381">
        <v>65.292332665937593</v>
      </c>
      <c r="AN1381">
        <v>0.99999999809167905</v>
      </c>
    </row>
    <row r="1382" spans="1:40" x14ac:dyDescent="0.25">
      <c r="A1382" t="str">
        <f>"20190303162238422"</f>
        <v>20190303162238422</v>
      </c>
      <c r="B1382" t="str">
        <f>"1551601358416187"</f>
        <v>1551601358416187</v>
      </c>
      <c r="C1382" t="s">
        <v>40</v>
      </c>
      <c r="D1382">
        <v>5.5313040000000004</v>
      </c>
      <c r="E1382">
        <v>0.58227930000000006</v>
      </c>
      <c r="F1382" t="s">
        <v>44</v>
      </c>
      <c r="G1382">
        <v>-197.14250000000001</v>
      </c>
      <c r="H1382" s="1">
        <v>-4.5158159999999996E-6</v>
      </c>
      <c r="I1382">
        <v>354.54860000000002</v>
      </c>
      <c r="J1382">
        <v>-200.6532</v>
      </c>
      <c r="K1382">
        <v>1.112025</v>
      </c>
      <c r="L1382">
        <v>362.96050000000002</v>
      </c>
      <c r="M1382">
        <v>0.84755049999999899</v>
      </c>
      <c r="N1382">
        <v>-1.178154E-2</v>
      </c>
      <c r="O1382">
        <v>-0.53058419999999995</v>
      </c>
      <c r="P1382">
        <v>0.54760580000000003</v>
      </c>
      <c r="Q1382">
        <v>0.113441</v>
      </c>
      <c r="R1382">
        <v>-0.82901130000000001</v>
      </c>
      <c r="S1382">
        <v>1.2429349999999999</v>
      </c>
      <c r="T1382">
        <v>-0.37103589999999997</v>
      </c>
      <c r="U1382">
        <v>-2.8550420000000001</v>
      </c>
      <c r="V1382">
        <v>0.41453210000000001</v>
      </c>
      <c r="W1382">
        <v>0.11572250000000001</v>
      </c>
      <c r="X1382">
        <v>0.90264690000000003</v>
      </c>
      <c r="Y1382">
        <v>0.56407669999999999</v>
      </c>
      <c r="Z1382">
        <v>2.2568689999999999E-2</v>
      </c>
      <c r="AA1382">
        <v>0.82541390000000003</v>
      </c>
      <c r="AB1382">
        <v>26</v>
      </c>
      <c r="AC1382">
        <v>3.5106999999999799</v>
      </c>
      <c r="AD1382">
        <v>-1.1120295158159901</v>
      </c>
      <c r="AE1382">
        <v>-8.4118999999999993</v>
      </c>
      <c r="AF1382">
        <v>5.1899082067529996</v>
      </c>
      <c r="AG1382">
        <v>-1.1120295158159901</v>
      </c>
      <c r="AH1382">
        <v>7.3301329940259397</v>
      </c>
      <c r="AI1382">
        <v>97.058120279904401</v>
      </c>
      <c r="AJ1382">
        <v>54.700600054113501</v>
      </c>
      <c r="AK1382">
        <v>9.0500058866652608</v>
      </c>
      <c r="AL1382">
        <v>83.354700464560295</v>
      </c>
      <c r="AM1382">
        <v>65.333491865442696</v>
      </c>
      <c r="AN1382">
        <v>0.99999999250813498</v>
      </c>
    </row>
    <row r="1383" spans="1:40" x14ac:dyDescent="0.25">
      <c r="A1383" t="str">
        <f>"20190303162238445"</f>
        <v>20190303162238445</v>
      </c>
      <c r="B1383" t="str">
        <f>"1551601358435707"</f>
        <v>1551601358435707</v>
      </c>
      <c r="C1383" t="s">
        <v>40</v>
      </c>
      <c r="D1383">
        <v>5.5881629999999998</v>
      </c>
      <c r="E1383">
        <v>0.58167389999999997</v>
      </c>
      <c r="F1383" t="s">
        <v>41</v>
      </c>
      <c r="G1383">
        <v>-194.8451</v>
      </c>
      <c r="H1383" s="1">
        <v>-4.7315159999999999E-6</v>
      </c>
      <c r="I1383">
        <v>348.36509999999998</v>
      </c>
      <c r="J1383">
        <v>-200.43039999999999</v>
      </c>
      <c r="K1383">
        <v>1.111972</v>
      </c>
      <c r="L1383">
        <v>362.80549999999999</v>
      </c>
      <c r="M1383">
        <v>0.84106429999999999</v>
      </c>
      <c r="N1383">
        <v>-1.18046E-2</v>
      </c>
      <c r="O1383">
        <v>-0.54080680000000003</v>
      </c>
      <c r="P1383">
        <v>0.53921249999999998</v>
      </c>
      <c r="Q1383">
        <v>0.1130739</v>
      </c>
      <c r="R1383">
        <v>-0.83454479999999998</v>
      </c>
      <c r="S1383">
        <v>1.1498109999999999</v>
      </c>
      <c r="T1383">
        <v>-0.22014259999999999</v>
      </c>
      <c r="U1383">
        <v>-2.8893740000000001</v>
      </c>
      <c r="V1383">
        <v>0.41276190000000001</v>
      </c>
      <c r="W1383">
        <v>0.1153568</v>
      </c>
      <c r="X1383">
        <v>0.90350459999999999</v>
      </c>
      <c r="Y1383">
        <v>0.58087699999999998</v>
      </c>
      <c r="Z1383">
        <v>9.6322749999999992E-3</v>
      </c>
      <c r="AA1383">
        <v>0.8139343</v>
      </c>
      <c r="AB1383">
        <v>26</v>
      </c>
      <c r="AC1383">
        <v>5.5852999999999797</v>
      </c>
      <c r="AD1383">
        <v>-1.1119767315159901</v>
      </c>
      <c r="AE1383">
        <v>-14.4404</v>
      </c>
      <c r="AF1383">
        <v>9.0785426357130596</v>
      </c>
      <c r="AG1383">
        <v>-1.1119767315159901</v>
      </c>
      <c r="AH1383">
        <v>12.4437458303364</v>
      </c>
      <c r="AI1383">
        <v>94.129021696631796</v>
      </c>
      <c r="AJ1383">
        <v>53.886754651729603</v>
      </c>
      <c r="AK1383">
        <v>15.4435500753521</v>
      </c>
      <c r="AL1383">
        <v>83.375795317314996</v>
      </c>
      <c r="AM1383">
        <v>65.446928378872599</v>
      </c>
      <c r="AN1383">
        <v>1.0000000698095</v>
      </c>
    </row>
    <row r="1384" spans="1:40" x14ac:dyDescent="0.25">
      <c r="A1384" t="str">
        <f>"20190303162238465"</f>
        <v>20190303162238465</v>
      </c>
      <c r="B1384" t="str">
        <f>"1551601358456204"</f>
        <v>1551601358456204</v>
      </c>
      <c r="C1384" t="s">
        <v>40</v>
      </c>
      <c r="D1384">
        <v>5.5551360000000001</v>
      </c>
      <c r="E1384">
        <v>0.58096219999999998</v>
      </c>
      <c r="F1384" t="s">
        <v>41</v>
      </c>
      <c r="G1384">
        <v>-194.63939999999999</v>
      </c>
      <c r="H1384" s="1">
        <v>-4.5059180000000004E-6</v>
      </c>
      <c r="I1384">
        <v>347.80939999999998</v>
      </c>
      <c r="J1384">
        <v>-200.22300000000001</v>
      </c>
      <c r="K1384">
        <v>1.1118840000000001</v>
      </c>
      <c r="L1384">
        <v>362.6576</v>
      </c>
      <c r="M1384">
        <v>0.83480240000000006</v>
      </c>
      <c r="N1384">
        <v>-1.182975E-2</v>
      </c>
      <c r="O1384">
        <v>-0.55042239999999998</v>
      </c>
      <c r="P1384">
        <v>0.53146819999999995</v>
      </c>
      <c r="Q1384">
        <v>0.11056439999999999</v>
      </c>
      <c r="R1384">
        <v>-0.83983180000000002</v>
      </c>
      <c r="S1384">
        <v>1.11998</v>
      </c>
      <c r="T1384">
        <v>-0.215057</v>
      </c>
      <c r="U1384">
        <v>-2.9002690000000002</v>
      </c>
      <c r="V1384">
        <v>0.41100140000000002</v>
      </c>
      <c r="W1384">
        <v>0.1128324</v>
      </c>
      <c r="X1384">
        <v>0.90462520000000002</v>
      </c>
      <c r="Y1384">
        <v>0.5798818</v>
      </c>
      <c r="Z1384">
        <v>9.9322500000000001E-3</v>
      </c>
      <c r="AA1384">
        <v>0.81464009999999998</v>
      </c>
      <c r="AB1384">
        <v>26</v>
      </c>
      <c r="AC1384">
        <v>5.5835999999999899</v>
      </c>
      <c r="AD1384">
        <v>-1.1118885059179999</v>
      </c>
      <c r="AE1384">
        <v>-14.8482</v>
      </c>
      <c r="AF1384">
        <v>9.2770510009921896</v>
      </c>
      <c r="AG1384">
        <v>-1.1118885059179999</v>
      </c>
      <c r="AH1384">
        <v>12.772136367531299</v>
      </c>
      <c r="AI1384">
        <v>94.029033693943902</v>
      </c>
      <c r="AJ1384">
        <v>54.007191938120897</v>
      </c>
      <c r="AK1384">
        <v>15.8248993271812</v>
      </c>
      <c r="AL1384">
        <v>83.521383241031998</v>
      </c>
      <c r="AM1384">
        <v>65.566117653148495</v>
      </c>
      <c r="AN1384">
        <v>1.00000002688337</v>
      </c>
    </row>
    <row r="1385" spans="1:40" x14ac:dyDescent="0.25">
      <c r="A1385" t="str">
        <f>"20190303162238489"</f>
        <v>20190303162238489</v>
      </c>
      <c r="B1385" t="str">
        <f>"1551601358475724"</f>
        <v>1551601358475724</v>
      </c>
      <c r="C1385" t="s">
        <v>40</v>
      </c>
      <c r="D1385">
        <v>5.7858460000000003</v>
      </c>
      <c r="E1385">
        <v>0.57872309999999905</v>
      </c>
      <c r="F1385" t="s">
        <v>41</v>
      </c>
      <c r="G1385">
        <v>-194.67429999999999</v>
      </c>
      <c r="H1385" s="1">
        <v>-4.5462099999999996E-6</v>
      </c>
      <c r="I1385">
        <v>347.90960000000001</v>
      </c>
      <c r="J1385">
        <v>-200.00149999999999</v>
      </c>
      <c r="K1385">
        <v>1.111761</v>
      </c>
      <c r="L1385">
        <v>362.49549999999999</v>
      </c>
      <c r="M1385">
        <v>0.82786329999999997</v>
      </c>
      <c r="N1385">
        <v>-1.186071E-2</v>
      </c>
      <c r="O1385">
        <v>-0.56080479999999999</v>
      </c>
      <c r="P1385">
        <v>0.52175150000000003</v>
      </c>
      <c r="Q1385">
        <v>0.10765429999999999</v>
      </c>
      <c r="R1385">
        <v>-0.84627779999999997</v>
      </c>
      <c r="S1385">
        <v>1.0942689999999999</v>
      </c>
      <c r="T1385">
        <v>-0.2192769</v>
      </c>
      <c r="U1385">
        <v>-2.9084780000000001</v>
      </c>
      <c r="V1385">
        <v>0.41041280000000002</v>
      </c>
      <c r="W1385">
        <v>0.10985689999999999</v>
      </c>
      <c r="X1385">
        <v>0.90525840000000002</v>
      </c>
      <c r="Y1385">
        <v>0.57677250000000002</v>
      </c>
      <c r="Z1385">
        <v>1.123414E-2</v>
      </c>
      <c r="AA1385">
        <v>0.81682759999999999</v>
      </c>
      <c r="AB1385">
        <v>26</v>
      </c>
      <c r="AC1385">
        <v>5.3272000000000004</v>
      </c>
      <c r="AD1385">
        <v>-1.11176554621</v>
      </c>
      <c r="AE1385">
        <v>-14.585899999999899</v>
      </c>
      <c r="AF1385">
        <v>9.0419007981076902</v>
      </c>
      <c r="AG1385">
        <v>-1.11176554621</v>
      </c>
      <c r="AH1385">
        <v>12.5267075428536</v>
      </c>
      <c r="AI1385">
        <v>94.116090670358801</v>
      </c>
      <c r="AJ1385">
        <v>54.177878176127102</v>
      </c>
      <c r="AK1385">
        <v>15.489041110951501</v>
      </c>
      <c r="AL1385">
        <v>83.692933372759498</v>
      </c>
      <c r="AM1385">
        <v>65.612106768018805</v>
      </c>
      <c r="AN1385">
        <v>0.99999998782600497</v>
      </c>
    </row>
    <row r="1386" spans="1:40" x14ac:dyDescent="0.25">
      <c r="A1386" t="str">
        <f>"20190303162238511"</f>
        <v>20190303162238511</v>
      </c>
      <c r="B1386" t="str">
        <f>"1551601358505981"</f>
        <v>1551601358505981</v>
      </c>
      <c r="C1386" t="s">
        <v>40</v>
      </c>
      <c r="D1386">
        <v>5.5971349999999997</v>
      </c>
      <c r="E1386">
        <v>0.57773560000000002</v>
      </c>
      <c r="F1386" t="s">
        <v>41</v>
      </c>
      <c r="G1386">
        <v>-195.18979999999999</v>
      </c>
      <c r="H1386" s="1">
        <v>-5.1703909999999899E-6</v>
      </c>
      <c r="I1386">
        <v>349.47500000000002</v>
      </c>
      <c r="J1386">
        <v>-199.78870000000001</v>
      </c>
      <c r="K1386">
        <v>1.1116109999999999</v>
      </c>
      <c r="L1386">
        <v>362.33550000000002</v>
      </c>
      <c r="M1386">
        <v>0.8209168</v>
      </c>
      <c r="N1386">
        <v>-1.1894739999999999E-2</v>
      </c>
      <c r="O1386">
        <v>-0.57092410000000005</v>
      </c>
      <c r="P1386">
        <v>0.5101173</v>
      </c>
      <c r="Q1386">
        <v>0.105934</v>
      </c>
      <c r="R1386">
        <v>-0.8535568</v>
      </c>
      <c r="S1386">
        <v>1.076462</v>
      </c>
      <c r="T1386">
        <v>-0.24872169999999999</v>
      </c>
      <c r="U1386">
        <v>-2.912903</v>
      </c>
      <c r="V1386">
        <v>0.4118716</v>
      </c>
      <c r="W1386">
        <v>0.10799739999999999</v>
      </c>
      <c r="X1386">
        <v>0.9048195</v>
      </c>
      <c r="Y1386">
        <v>0.57145360000000001</v>
      </c>
      <c r="Z1386">
        <v>1.519365E-2</v>
      </c>
      <c r="AA1386">
        <v>0.82049369999999999</v>
      </c>
      <c r="AB1386">
        <v>26</v>
      </c>
      <c r="AC1386">
        <v>4.5989000000000102</v>
      </c>
      <c r="AD1386">
        <v>-1.1116161703909999</v>
      </c>
      <c r="AE1386">
        <v>-12.8605</v>
      </c>
      <c r="AF1386">
        <v>7.8801385454434003</v>
      </c>
      <c r="AG1386">
        <v>-1.1116161703909999</v>
      </c>
      <c r="AH1386">
        <v>11.045302990714699</v>
      </c>
      <c r="AI1386">
        <v>94.683680429287193</v>
      </c>
      <c r="AJ1386">
        <v>54.494497752763998</v>
      </c>
      <c r="AK1386">
        <v>13.613632585109199</v>
      </c>
      <c r="AL1386">
        <v>83.800112653427803</v>
      </c>
      <c r="AM1386">
        <v>65.525089194665298</v>
      </c>
      <c r="AN1386">
        <v>0.999999990436785</v>
      </c>
    </row>
    <row r="1387" spans="1:40" x14ac:dyDescent="0.25">
      <c r="A1387" t="str">
        <f>"20190303162238534"</f>
        <v>20190303162238534</v>
      </c>
      <c r="B1387" t="str">
        <f>"1551601358525499"</f>
        <v>1551601358525499</v>
      </c>
      <c r="C1387" t="s">
        <v>40</v>
      </c>
      <c r="D1387">
        <v>5.6296540000000004</v>
      </c>
      <c r="E1387">
        <v>0.57762530000000001</v>
      </c>
      <c r="F1387" t="s">
        <v>44</v>
      </c>
      <c r="G1387">
        <v>-195.28370000000001</v>
      </c>
      <c r="H1387" s="1">
        <v>-1.4796330000000001E-6</v>
      </c>
      <c r="I1387">
        <v>349.72730000000001</v>
      </c>
      <c r="J1387">
        <v>-199.56790000000001</v>
      </c>
      <c r="K1387">
        <v>1.1114310000000001</v>
      </c>
      <c r="L1387">
        <v>362.16489999999999</v>
      </c>
      <c r="M1387">
        <v>0.81336059999999999</v>
      </c>
      <c r="N1387">
        <v>-1.193755E-2</v>
      </c>
      <c r="O1387">
        <v>-0.58163759999999998</v>
      </c>
      <c r="P1387">
        <v>0.4984036</v>
      </c>
      <c r="Q1387">
        <v>0.1080252</v>
      </c>
      <c r="R1387">
        <v>-0.86018899999999998</v>
      </c>
      <c r="S1387">
        <v>1.0442499999999999</v>
      </c>
      <c r="T1387">
        <v>-0.25767020000000002</v>
      </c>
      <c r="U1387">
        <v>-2.922577</v>
      </c>
      <c r="V1387">
        <v>0.4122575</v>
      </c>
      <c r="W1387">
        <v>0.1099366</v>
      </c>
      <c r="X1387">
        <v>0.90441009999999999</v>
      </c>
      <c r="Y1387">
        <v>0.56956099999999998</v>
      </c>
      <c r="Z1387">
        <v>1.7153979999999999E-2</v>
      </c>
      <c r="AA1387">
        <v>0.82177009999999995</v>
      </c>
      <c r="AB1387">
        <v>26</v>
      </c>
      <c r="AC1387">
        <v>4.2841999999999896</v>
      </c>
      <c r="AD1387">
        <v>-1.111432479633</v>
      </c>
      <c r="AE1387">
        <v>-12.4375999999999</v>
      </c>
      <c r="AF1387">
        <v>7.5709004131622502</v>
      </c>
      <c r="AG1387">
        <v>-1.111432479633</v>
      </c>
      <c r="AH1387">
        <v>10.6435600323194</v>
      </c>
      <c r="AI1387">
        <v>94.863694842536802</v>
      </c>
      <c r="AJ1387">
        <v>54.575270833209899</v>
      </c>
      <c r="AK1387">
        <v>13.1087446151182</v>
      </c>
      <c r="AL1387">
        <v>83.688338930919599</v>
      </c>
      <c r="AM1387">
        <v>65.4950654811541</v>
      </c>
      <c r="AN1387">
        <v>0.99999996565390903</v>
      </c>
    </row>
    <row r="1388" spans="1:40" x14ac:dyDescent="0.25">
      <c r="A1388" t="str">
        <f>"20190303162238556"</f>
        <v>20190303162238556</v>
      </c>
      <c r="B1388" t="str">
        <f>"1551601358545999"</f>
        <v>1551601358545999</v>
      </c>
      <c r="C1388" t="s">
        <v>40</v>
      </c>
      <c r="D1388">
        <v>5.7857940000000001</v>
      </c>
      <c r="E1388">
        <v>0.57627090000000003</v>
      </c>
      <c r="F1388" t="s">
        <v>41</v>
      </c>
      <c r="G1388">
        <v>-195.05510000000001</v>
      </c>
      <c r="H1388" s="1">
        <v>-4.9871089999999997E-6</v>
      </c>
      <c r="I1388">
        <v>349.00670000000002</v>
      </c>
      <c r="J1388">
        <v>-199.3613</v>
      </c>
      <c r="K1388">
        <v>1.11124</v>
      </c>
      <c r="L1388">
        <v>362.00069999999999</v>
      </c>
      <c r="M1388">
        <v>0.80591550000000001</v>
      </c>
      <c r="N1388">
        <v>-1.198858E-2</v>
      </c>
      <c r="O1388">
        <v>-0.59190909999999997</v>
      </c>
      <c r="P1388">
        <v>0.48648469999999999</v>
      </c>
      <c r="Q1388">
        <v>0.11256090000000001</v>
      </c>
      <c r="R1388">
        <v>-0.86640810000000001</v>
      </c>
      <c r="S1388">
        <v>1.0067440000000001</v>
      </c>
      <c r="T1388">
        <v>-0.24794730000000001</v>
      </c>
      <c r="U1388">
        <v>-2.935425</v>
      </c>
      <c r="V1388">
        <v>0.41295890000000002</v>
      </c>
      <c r="W1388">
        <v>0.114284</v>
      </c>
      <c r="X1388">
        <v>0.90355090000000005</v>
      </c>
      <c r="Y1388">
        <v>0.56967979999999996</v>
      </c>
      <c r="Z1388">
        <v>1.6996879999999999E-2</v>
      </c>
      <c r="AA1388">
        <v>0.82169099999999995</v>
      </c>
      <c r="AB1388">
        <v>26</v>
      </c>
      <c r="AC1388">
        <v>4.3061999999999898</v>
      </c>
      <c r="AD1388">
        <v>-1.111244987109</v>
      </c>
      <c r="AE1388">
        <v>-12.9939999999999</v>
      </c>
      <c r="AF1388">
        <v>7.8718819087615302</v>
      </c>
      <c r="AG1388">
        <v>-1.111244987109</v>
      </c>
      <c r="AH1388">
        <v>11.089424647057101</v>
      </c>
      <c r="AI1388">
        <v>94.671442592311706</v>
      </c>
      <c r="AJ1388">
        <v>54.630777608256103</v>
      </c>
      <c r="AK1388">
        <v>13.644659365833199</v>
      </c>
      <c r="AL1388">
        <v>83.437671378283497</v>
      </c>
      <c r="AM1388">
        <v>65.437703634258398</v>
      </c>
      <c r="AN1388">
        <v>1.0000000573179999</v>
      </c>
    </row>
    <row r="1389" spans="1:40" x14ac:dyDescent="0.25">
      <c r="A1389" t="str">
        <f>"20190303162238580"</f>
        <v>20190303162238580</v>
      </c>
      <c r="B1389" t="str">
        <f>"1551601358565515"</f>
        <v>1551601358565515</v>
      </c>
      <c r="C1389" t="s">
        <v>40</v>
      </c>
      <c r="D1389">
        <v>5.6482419999999998</v>
      </c>
      <c r="E1389">
        <v>0.57563999999999904</v>
      </c>
      <c r="F1389" t="s">
        <v>41</v>
      </c>
      <c r="G1389">
        <v>-194.88079999999999</v>
      </c>
      <c r="H1389" s="1">
        <v>-4.7812780000000001E-6</v>
      </c>
      <c r="I1389">
        <v>348.49270000000001</v>
      </c>
      <c r="J1389">
        <v>-199.1438</v>
      </c>
      <c r="K1389">
        <v>1.1109880000000001</v>
      </c>
      <c r="L1389">
        <v>361.8227</v>
      </c>
      <c r="M1389">
        <v>0.79762339999999998</v>
      </c>
      <c r="N1389">
        <v>-1.205795E-2</v>
      </c>
      <c r="O1389">
        <v>-0.60303519999999999</v>
      </c>
      <c r="P1389">
        <v>0.47427039999999998</v>
      </c>
      <c r="Q1389">
        <v>0.11728089999999999</v>
      </c>
      <c r="R1389">
        <v>-0.87253239999999999</v>
      </c>
      <c r="S1389">
        <v>0.97698969999999896</v>
      </c>
      <c r="T1389">
        <v>-0.2423083</v>
      </c>
      <c r="U1389">
        <v>-2.9454349999999998</v>
      </c>
      <c r="V1389">
        <v>0.4127962</v>
      </c>
      <c r="W1389">
        <v>0.11879869999999999</v>
      </c>
      <c r="X1389">
        <v>0.90304269999999998</v>
      </c>
      <c r="Y1389">
        <v>0.56662609999999902</v>
      </c>
      <c r="Z1389">
        <v>1.7436259999999999E-2</v>
      </c>
      <c r="AA1389">
        <v>0.82379059999999904</v>
      </c>
      <c r="AB1389">
        <v>26</v>
      </c>
      <c r="AC1389">
        <v>4.2629999999999999</v>
      </c>
      <c r="AD1389">
        <v>-1.1109927812779901</v>
      </c>
      <c r="AE1389">
        <v>-13.329999999999901</v>
      </c>
      <c r="AF1389">
        <v>8.0116783753931493</v>
      </c>
      <c r="AG1389">
        <v>-1.1109927812779901</v>
      </c>
      <c r="AH1389">
        <v>11.367920195804</v>
      </c>
      <c r="AI1389">
        <v>94.567364926359602</v>
      </c>
      <c r="AJ1389">
        <v>54.825272714830803</v>
      </c>
      <c r="AK1389">
        <v>13.951734835817501</v>
      </c>
      <c r="AL1389">
        <v>83.177222612136106</v>
      </c>
      <c r="AM1389">
        <v>65.434052529316702</v>
      </c>
      <c r="AN1389">
        <v>0.99999997593970902</v>
      </c>
    </row>
    <row r="1390" spans="1:40" x14ac:dyDescent="0.25">
      <c r="A1390" t="str">
        <f>"20190303162238604"</f>
        <v>20190303162238604</v>
      </c>
      <c r="B1390" t="str">
        <f>"1551601358595772"</f>
        <v>1551601358595772</v>
      </c>
      <c r="C1390" t="s">
        <v>40</v>
      </c>
      <c r="D1390">
        <v>5.5388729999999997</v>
      </c>
      <c r="E1390">
        <v>0.57557579999999997</v>
      </c>
      <c r="F1390" t="s">
        <v>41</v>
      </c>
      <c r="G1390">
        <v>-194.55889999999999</v>
      </c>
      <c r="H1390" s="1">
        <v>-4.3474530000000001E-6</v>
      </c>
      <c r="I1390">
        <v>347.38569999999999</v>
      </c>
      <c r="J1390">
        <v>-198.92930000000001</v>
      </c>
      <c r="K1390">
        <v>1.110697</v>
      </c>
      <c r="L1390">
        <v>361.64179999999999</v>
      </c>
      <c r="M1390">
        <v>0.78893389999999997</v>
      </c>
      <c r="N1390">
        <v>-1.214431E-2</v>
      </c>
      <c r="O1390">
        <v>-0.61435810000000002</v>
      </c>
      <c r="P1390">
        <v>0.46296100000000001</v>
      </c>
      <c r="Q1390">
        <v>0.1199708</v>
      </c>
      <c r="R1390">
        <v>-0.87822250000000002</v>
      </c>
      <c r="S1390">
        <v>0.93945310000000004</v>
      </c>
      <c r="T1390">
        <v>-0.22764719999999999</v>
      </c>
      <c r="U1390">
        <v>-2.958221</v>
      </c>
      <c r="V1390">
        <v>0.41143429999999998</v>
      </c>
      <c r="W1390">
        <v>0.12130150000000001</v>
      </c>
      <c r="X1390">
        <v>0.90333149999999995</v>
      </c>
      <c r="Y1390">
        <v>0.56544910000000004</v>
      </c>
      <c r="Z1390">
        <v>1.6662070000000001E-2</v>
      </c>
      <c r="AA1390">
        <v>0.82461489999999904</v>
      </c>
      <c r="AB1390">
        <v>26</v>
      </c>
      <c r="AC1390">
        <v>4.3704000000000098</v>
      </c>
      <c r="AD1390">
        <v>-1.1107013474529901</v>
      </c>
      <c r="AE1390">
        <v>-14.2561</v>
      </c>
      <c r="AF1390">
        <v>8.5155119885504504</v>
      </c>
      <c r="AG1390">
        <v>-1.1107013474529901</v>
      </c>
      <c r="AH1390">
        <v>12.139847952513</v>
      </c>
      <c r="AI1390">
        <v>94.283582388795494</v>
      </c>
      <c r="AJ1390">
        <v>54.952210657833398</v>
      </c>
      <c r="AK1390">
        <v>14.8702222653367</v>
      </c>
      <c r="AL1390">
        <v>83.032778339569205</v>
      </c>
      <c r="AM1390">
        <v>65.5124789465834</v>
      </c>
      <c r="AN1390">
        <v>1.00000001800549</v>
      </c>
    </row>
    <row r="1391" spans="1:40" x14ac:dyDescent="0.25">
      <c r="A1391" t="str">
        <f>"20190303162238624"</f>
        <v>20190303162238624</v>
      </c>
      <c r="B1391" t="str">
        <f>"1551601358616268"</f>
        <v>1551601358616268</v>
      </c>
      <c r="C1391" t="s">
        <v>40</v>
      </c>
      <c r="D1391">
        <v>5.6137360000000003</v>
      </c>
      <c r="E1391">
        <v>0.5754534</v>
      </c>
      <c r="F1391" t="s">
        <v>41</v>
      </c>
      <c r="G1391">
        <v>-194.14949999999999</v>
      </c>
      <c r="H1391" s="1">
        <v>-3.7601260000000001E-6</v>
      </c>
      <c r="I1391">
        <v>345.8732</v>
      </c>
      <c r="J1391">
        <v>-198.74250000000001</v>
      </c>
      <c r="K1391">
        <v>1.11042</v>
      </c>
      <c r="L1391">
        <v>361.47899999999998</v>
      </c>
      <c r="M1391">
        <v>0.78087289999999998</v>
      </c>
      <c r="N1391">
        <v>-1.2233900000000001E-2</v>
      </c>
      <c r="O1391">
        <v>-0.62457030000000002</v>
      </c>
      <c r="P1391">
        <v>0.45483000000000001</v>
      </c>
      <c r="Q1391">
        <v>0.1202964</v>
      </c>
      <c r="R1391">
        <v>-0.88241650000000005</v>
      </c>
      <c r="S1391">
        <v>0.90028379999999997</v>
      </c>
      <c r="T1391">
        <v>-0.2092019</v>
      </c>
      <c r="U1391">
        <v>-2.9700319999999998</v>
      </c>
      <c r="V1391">
        <v>0.40807710000000003</v>
      </c>
      <c r="W1391">
        <v>0.12152159999999999</v>
      </c>
      <c r="X1391">
        <v>0.9048235</v>
      </c>
      <c r="Y1391">
        <v>0.56564749999999997</v>
      </c>
      <c r="Z1391">
        <v>1.5151380000000001E-2</v>
      </c>
      <c r="AA1391">
        <v>0.82450789999999996</v>
      </c>
      <c r="AB1391">
        <v>26</v>
      </c>
      <c r="AC1391">
        <v>4.5930000000000097</v>
      </c>
      <c r="AD1391">
        <v>-1.1104237601260001</v>
      </c>
      <c r="AE1391">
        <v>-15.6058</v>
      </c>
      <c r="AF1391">
        <v>9.2749756885107004</v>
      </c>
      <c r="AG1391">
        <v>-1.1104237601260001</v>
      </c>
      <c r="AH1391">
        <v>13.2726227966332</v>
      </c>
      <c r="AI1391">
        <v>93.923067671629397</v>
      </c>
      <c r="AJ1391">
        <v>55.053956094124601</v>
      </c>
      <c r="AK1391">
        <v>16.230241244393898</v>
      </c>
      <c r="AL1391">
        <v>83.020073372873995</v>
      </c>
      <c r="AM1391">
        <v>65.724535766654796</v>
      </c>
      <c r="AN1391">
        <v>0.99999999248160998</v>
      </c>
    </row>
    <row r="1392" spans="1:40" x14ac:dyDescent="0.25">
      <c r="A1392" t="str">
        <f>"20190303162238645"</f>
        <v>20190303162238645</v>
      </c>
      <c r="B1392" t="str">
        <f>"1551601358635792"</f>
        <v>1551601358635792</v>
      </c>
      <c r="C1392" t="s">
        <v>40</v>
      </c>
      <c r="D1392">
        <v>5.6341239999999999</v>
      </c>
      <c r="E1392">
        <v>0.57532609999999995</v>
      </c>
      <c r="F1392" t="s">
        <v>41</v>
      </c>
      <c r="G1392">
        <v>-193.92509999999999</v>
      </c>
      <c r="H1392" s="1">
        <v>-3.363397E-6</v>
      </c>
      <c r="I1392">
        <v>344.9948</v>
      </c>
      <c r="J1392">
        <v>-198.54499999999999</v>
      </c>
      <c r="K1392">
        <v>1.110123</v>
      </c>
      <c r="L1392">
        <v>361.30149999999998</v>
      </c>
      <c r="M1392">
        <v>0.77185090000000001</v>
      </c>
      <c r="N1392">
        <v>-1.233501E-2</v>
      </c>
      <c r="O1392">
        <v>-0.63568400000000003</v>
      </c>
      <c r="P1392">
        <v>0.4473799</v>
      </c>
      <c r="Q1392">
        <v>0.117539</v>
      </c>
      <c r="R1392">
        <v>-0.88658689999999996</v>
      </c>
      <c r="S1392">
        <v>0.87042240000000004</v>
      </c>
      <c r="T1392">
        <v>-0.20063719999999999</v>
      </c>
      <c r="U1392">
        <v>-2.9784549999999999</v>
      </c>
      <c r="V1392">
        <v>0.4030396</v>
      </c>
      <c r="W1392">
        <v>0.11871959999999999</v>
      </c>
      <c r="X1392">
        <v>0.90744950000000002</v>
      </c>
      <c r="Y1392">
        <v>0.56211820000000001</v>
      </c>
      <c r="Z1392">
        <v>1.494999E-2</v>
      </c>
      <c r="AA1392">
        <v>0.82692180000000004</v>
      </c>
      <c r="AB1392">
        <v>26</v>
      </c>
      <c r="AC1392">
        <v>4.6199000000000003</v>
      </c>
      <c r="AD1392">
        <v>-1.110126363397</v>
      </c>
      <c r="AE1392">
        <v>-16.3066999999999</v>
      </c>
      <c r="AF1392">
        <v>9.6090530333400999</v>
      </c>
      <c r="AG1392">
        <v>-1.110126363397</v>
      </c>
      <c r="AH1392">
        <v>13.873321556221899</v>
      </c>
      <c r="AI1392">
        <v>93.763548879895595</v>
      </c>
      <c r="AJ1392">
        <v>55.292436409122999</v>
      </c>
      <c r="AK1392">
        <v>16.912579097895801</v>
      </c>
      <c r="AL1392">
        <v>83.181786687449701</v>
      </c>
      <c r="AM1392">
        <v>66.051816215678897</v>
      </c>
      <c r="AN1392">
        <v>0.99999992882128197</v>
      </c>
    </row>
    <row r="1393" spans="1:40" x14ac:dyDescent="0.25">
      <c r="A1393" t="str">
        <f>"20190303162238668"</f>
        <v>20190303162238668</v>
      </c>
      <c r="B1393" t="str">
        <f>"1551601358655307"</f>
        <v>1551601358655307</v>
      </c>
      <c r="C1393" t="s">
        <v>40</v>
      </c>
      <c r="D1393">
        <v>5.5981959999999997</v>
      </c>
      <c r="E1393">
        <v>0.57519679999999995</v>
      </c>
      <c r="F1393" t="s">
        <v>41</v>
      </c>
      <c r="G1393">
        <v>-193.86099999999999</v>
      </c>
      <c r="H1393" s="1">
        <v>-3.198808E-6</v>
      </c>
      <c r="I1393">
        <v>344.65089999999998</v>
      </c>
      <c r="J1393">
        <v>-198.34049999999999</v>
      </c>
      <c r="K1393">
        <v>1.109823</v>
      </c>
      <c r="L1393">
        <v>361.11160000000001</v>
      </c>
      <c r="M1393">
        <v>0.76194039999999996</v>
      </c>
      <c r="N1393">
        <v>-1.2441890000000001E-2</v>
      </c>
      <c r="O1393">
        <v>-0.64752790000000005</v>
      </c>
      <c r="P1393">
        <v>0.4406968</v>
      </c>
      <c r="Q1393">
        <v>0.11328149999999999</v>
      </c>
      <c r="R1393">
        <v>-0.89047980000000004</v>
      </c>
      <c r="S1393">
        <v>0.84007259999999995</v>
      </c>
      <c r="T1393">
        <v>-0.19910259999999999</v>
      </c>
      <c r="U1393">
        <v>-2.9862980000000001</v>
      </c>
      <c r="V1393">
        <v>0.39623000000000003</v>
      </c>
      <c r="W1393">
        <v>0.1144881</v>
      </c>
      <c r="X1393">
        <v>0.9109853</v>
      </c>
      <c r="Y1393">
        <v>0.55770929999999996</v>
      </c>
      <c r="Z1393">
        <v>1.5681980000000002E-2</v>
      </c>
      <c r="AA1393">
        <v>0.82988819999999996</v>
      </c>
      <c r="AB1393">
        <v>26</v>
      </c>
      <c r="AC1393">
        <v>4.4794999999999998</v>
      </c>
      <c r="AD1393">
        <v>-1.109826198808</v>
      </c>
      <c r="AE1393">
        <v>-16.460699999999999</v>
      </c>
      <c r="AF1393">
        <v>9.6015780638654196</v>
      </c>
      <c r="AG1393">
        <v>-1.109826198808</v>
      </c>
      <c r="AH1393">
        <v>14.013650008291799</v>
      </c>
      <c r="AI1393">
        <v>93.737947808611494</v>
      </c>
      <c r="AJ1393">
        <v>55.582657515786103</v>
      </c>
      <c r="AK1393">
        <v>17.0236424440529</v>
      </c>
      <c r="AL1393">
        <v>83.425899519899104</v>
      </c>
      <c r="AM1393">
        <v>66.493530414993998</v>
      </c>
      <c r="AN1393">
        <v>0.99999997737884905</v>
      </c>
    </row>
    <row r="1394" spans="1:40" x14ac:dyDescent="0.25">
      <c r="A1394" t="str">
        <f>"20190303162238690"</f>
        <v>20190303162238690</v>
      </c>
      <c r="B1394" t="str">
        <f>"1551601358685564"</f>
        <v>1551601358685564</v>
      </c>
      <c r="C1394" t="s">
        <v>40</v>
      </c>
      <c r="D1394">
        <v>5.7240310000000001</v>
      </c>
      <c r="E1394">
        <v>0.57479690000000006</v>
      </c>
      <c r="F1394" t="s">
        <v>41</v>
      </c>
      <c r="G1394">
        <v>-193.95740000000001</v>
      </c>
      <c r="H1394" s="1">
        <v>-3.3575999999999998E-6</v>
      </c>
      <c r="I1394">
        <v>344.96129999999999</v>
      </c>
      <c r="J1394">
        <v>-198.15129999999999</v>
      </c>
      <c r="K1394">
        <v>1.109553</v>
      </c>
      <c r="L1394">
        <v>360.93009999999998</v>
      </c>
      <c r="M1394">
        <v>0.75221009999999999</v>
      </c>
      <c r="N1394">
        <v>-1.2542849999999999E-2</v>
      </c>
      <c r="O1394">
        <v>-0.6588039</v>
      </c>
      <c r="P1394">
        <v>0.43353510000000001</v>
      </c>
      <c r="Q1394">
        <v>0.1134163</v>
      </c>
      <c r="R1394">
        <v>-0.89397109999999902</v>
      </c>
      <c r="S1394">
        <v>0.81231690000000001</v>
      </c>
      <c r="T1394">
        <v>-0.20568030000000001</v>
      </c>
      <c r="U1394">
        <v>-2.9930729999999999</v>
      </c>
      <c r="V1394">
        <v>0.39002399999999998</v>
      </c>
      <c r="W1394">
        <v>0.1146563</v>
      </c>
      <c r="X1394">
        <v>0.91363839999999996</v>
      </c>
      <c r="Y1394">
        <v>0.55297980000000002</v>
      </c>
      <c r="Z1394">
        <v>1.7501019999999999E-2</v>
      </c>
      <c r="AA1394">
        <v>0.83301080000000005</v>
      </c>
      <c r="AB1394">
        <v>26</v>
      </c>
      <c r="AC1394">
        <v>4.1938999999999798</v>
      </c>
      <c r="AD1394">
        <v>-1.1095563576</v>
      </c>
      <c r="AE1394">
        <v>-15.9687999999999</v>
      </c>
      <c r="AF1394">
        <v>9.2080760824200496</v>
      </c>
      <c r="AG1394">
        <v>-1.1095563576</v>
      </c>
      <c r="AH1394">
        <v>13.6145897996635</v>
      </c>
      <c r="AI1394">
        <v>93.862020063033498</v>
      </c>
      <c r="AJ1394">
        <v>55.9279831844743</v>
      </c>
      <c r="AK1394">
        <v>16.4735192312823</v>
      </c>
      <c r="AL1394">
        <v>83.416198351628097</v>
      </c>
      <c r="AM1394">
        <v>66.8828007316922</v>
      </c>
      <c r="AN1394">
        <v>0.99999995683012399</v>
      </c>
    </row>
    <row r="1395" spans="1:40" x14ac:dyDescent="0.25">
      <c r="A1395" t="str">
        <f>"20190303162238712"</f>
        <v>20190303162238712</v>
      </c>
      <c r="B1395" t="str">
        <f>"1551601358706059"</f>
        <v>1551601358706059</v>
      </c>
      <c r="C1395" t="s">
        <v>40</v>
      </c>
      <c r="D1395">
        <v>5.6080009999999998</v>
      </c>
      <c r="E1395">
        <v>0.57453920000000003</v>
      </c>
      <c r="F1395" t="s">
        <v>41</v>
      </c>
      <c r="G1395">
        <v>-193.8295</v>
      </c>
      <c r="H1395" s="1">
        <v>-3.115949E-6</v>
      </c>
      <c r="I1395">
        <v>344.47730000000001</v>
      </c>
      <c r="J1395">
        <v>-197.95959999999999</v>
      </c>
      <c r="K1395">
        <v>1.109307</v>
      </c>
      <c r="L1395">
        <v>360.74</v>
      </c>
      <c r="M1395">
        <v>0.74176129999999996</v>
      </c>
      <c r="N1395">
        <v>-1.265166E-2</v>
      </c>
      <c r="O1395">
        <v>-0.67054469999999899</v>
      </c>
      <c r="P1395">
        <v>0.42419889999999999</v>
      </c>
      <c r="Q1395">
        <v>0.1166133</v>
      </c>
      <c r="R1395">
        <v>-0.89802950000000004</v>
      </c>
      <c r="S1395">
        <v>0.78788760000000002</v>
      </c>
      <c r="T1395">
        <v>-0.20227800000000001</v>
      </c>
      <c r="U1395">
        <v>-2.9994200000000002</v>
      </c>
      <c r="V1395">
        <v>0.38502989999999998</v>
      </c>
      <c r="W1395">
        <v>0.1178583</v>
      </c>
      <c r="X1395">
        <v>0.91534769999999999</v>
      </c>
      <c r="Y1395">
        <v>0.54667519999999903</v>
      </c>
      <c r="Z1395">
        <v>1.8032630000000001E-2</v>
      </c>
      <c r="AA1395">
        <v>0.83715049999999902</v>
      </c>
      <c r="AB1395">
        <v>26</v>
      </c>
      <c r="AC1395">
        <v>4.1300999999999899</v>
      </c>
      <c r="AD1395">
        <v>-1.109310115949</v>
      </c>
      <c r="AE1395">
        <v>-16.262699999999899</v>
      </c>
      <c r="AF1395">
        <v>9.2539198345376192</v>
      </c>
      <c r="AG1395">
        <v>-1.109310115949</v>
      </c>
      <c r="AH1395">
        <v>13.908738615947399</v>
      </c>
      <c r="AI1395">
        <v>93.798987838350399</v>
      </c>
      <c r="AJ1395">
        <v>56.362932222031198</v>
      </c>
      <c r="AK1395">
        <v>16.742718152203999</v>
      </c>
      <c r="AL1395">
        <v>83.231484998758702</v>
      </c>
      <c r="AM1395">
        <v>67.186534675520804</v>
      </c>
      <c r="AN1395">
        <v>1.00000000733409</v>
      </c>
    </row>
    <row r="1396" spans="1:40" x14ac:dyDescent="0.25">
      <c r="A1396" t="str">
        <f>"20190303162238735"</f>
        <v>20190303162238735</v>
      </c>
      <c r="B1396" t="str">
        <f>"1551601358725585"</f>
        <v>1551601358725585</v>
      </c>
      <c r="C1396" t="s">
        <v>40</v>
      </c>
      <c r="D1396">
        <v>5.674188</v>
      </c>
      <c r="E1396">
        <v>0.57419560000000003</v>
      </c>
      <c r="F1396" t="s">
        <v>41</v>
      </c>
      <c r="G1396">
        <v>-193.5367</v>
      </c>
      <c r="H1396" s="1">
        <v>-2.4884589999999999E-6</v>
      </c>
      <c r="I1396">
        <v>343.19619999999998</v>
      </c>
      <c r="J1396">
        <v>-197.76900000000001</v>
      </c>
      <c r="K1396">
        <v>1.1090469999999999</v>
      </c>
      <c r="L1396">
        <v>360.5444</v>
      </c>
      <c r="M1396">
        <v>0.73073789999999905</v>
      </c>
      <c r="N1396">
        <v>-1.2767300000000001E-2</v>
      </c>
      <c r="O1396">
        <v>-0.68253889999999995</v>
      </c>
      <c r="P1396">
        <v>0.41244150000000002</v>
      </c>
      <c r="Q1396">
        <v>0.11944879999999999</v>
      </c>
      <c r="R1396">
        <v>-0.90311900000000001</v>
      </c>
      <c r="S1396">
        <v>0.75814820000000005</v>
      </c>
      <c r="T1396">
        <v>-0.19015009999999999</v>
      </c>
      <c r="U1396">
        <v>-3.0072329999999998</v>
      </c>
      <c r="V1396">
        <v>0.3819456</v>
      </c>
      <c r="W1396">
        <v>0.1206525</v>
      </c>
      <c r="X1396">
        <v>0.91627530000000001</v>
      </c>
      <c r="Y1396">
        <v>0.54136399999999996</v>
      </c>
      <c r="Z1396">
        <v>1.718509E-2</v>
      </c>
      <c r="AA1396">
        <v>0.84061280000000005</v>
      </c>
      <c r="AB1396">
        <v>26</v>
      </c>
      <c r="AC1396">
        <v>4.2323000000000004</v>
      </c>
      <c r="AD1396">
        <v>-1.1090494884590001</v>
      </c>
      <c r="AE1396">
        <v>-17.348199999999999</v>
      </c>
      <c r="AF1396">
        <v>9.7514601371893903</v>
      </c>
      <c r="AG1396">
        <v>-1.1090494884590001</v>
      </c>
      <c r="AH1396">
        <v>14.8773522749894</v>
      </c>
      <c r="AI1396">
        <v>93.567592990286201</v>
      </c>
      <c r="AJ1396">
        <v>56.756894199361803</v>
      </c>
      <c r="AK1396">
        <v>17.822922776278201</v>
      </c>
      <c r="AL1396">
        <v>83.070237933574504</v>
      </c>
      <c r="AM1396">
        <v>67.371385535080506</v>
      </c>
      <c r="AN1396">
        <v>0.99999994625284805</v>
      </c>
    </row>
    <row r="1397" spans="1:40" x14ac:dyDescent="0.25">
      <c r="A1397" t="str">
        <f>"20190303162238756"</f>
        <v>20190303162238756</v>
      </c>
      <c r="B1397" t="str">
        <f>"1551601358746076"</f>
        <v>1551601358746076</v>
      </c>
      <c r="C1397" t="s">
        <v>40</v>
      </c>
      <c r="D1397">
        <v>5.7104879999999998</v>
      </c>
      <c r="E1397">
        <v>0.57380489999999995</v>
      </c>
      <c r="F1397" t="s">
        <v>41</v>
      </c>
      <c r="G1397">
        <v>-193.35390000000001</v>
      </c>
      <c r="H1397" s="1">
        <v>-1.9702100000000001E-6</v>
      </c>
      <c r="I1397">
        <v>342.10160000000002</v>
      </c>
      <c r="J1397">
        <v>-197.59309999999999</v>
      </c>
      <c r="K1397">
        <v>1.108798</v>
      </c>
      <c r="L1397">
        <v>360.35770000000002</v>
      </c>
      <c r="M1397">
        <v>0.71996919999999898</v>
      </c>
      <c r="N1397">
        <v>-1.28786E-2</v>
      </c>
      <c r="O1397">
        <v>-0.69388649999999996</v>
      </c>
      <c r="P1397">
        <v>0.3999627</v>
      </c>
      <c r="Q1397">
        <v>0.11816210000000001</v>
      </c>
      <c r="R1397">
        <v>-0.90888290000000005</v>
      </c>
      <c r="S1397">
        <v>0.72203059999999997</v>
      </c>
      <c r="T1397">
        <v>-0.18136869999999999</v>
      </c>
      <c r="U1397">
        <v>-3.0160520000000002</v>
      </c>
      <c r="V1397">
        <v>0.3803879</v>
      </c>
      <c r="W1397">
        <v>0.11929770000000001</v>
      </c>
      <c r="X1397">
        <v>0.91710040000000004</v>
      </c>
      <c r="Y1397">
        <v>0.53831090000000004</v>
      </c>
      <c r="Z1397">
        <v>1.6609180000000001E-2</v>
      </c>
      <c r="AA1397">
        <v>0.84258259999999996</v>
      </c>
      <c r="AB1397">
        <v>26</v>
      </c>
      <c r="AC1397">
        <v>4.2391999999999799</v>
      </c>
      <c r="AD1397">
        <v>-1.10879997021</v>
      </c>
      <c r="AE1397">
        <v>-18.2561</v>
      </c>
      <c r="AF1397">
        <v>10.167564652808</v>
      </c>
      <c r="AG1397">
        <v>-1.10879997021</v>
      </c>
      <c r="AH1397">
        <v>15.666225061444001</v>
      </c>
      <c r="AI1397">
        <v>93.397597420281599</v>
      </c>
      <c r="AJ1397">
        <v>57.015954067845001</v>
      </c>
      <c r="AK1397">
        <v>18.709340341625801</v>
      </c>
      <c r="AL1397">
        <v>83.148427539326093</v>
      </c>
      <c r="AM1397">
        <v>67.472677252481802</v>
      </c>
      <c r="AN1397">
        <v>1.00000001968593</v>
      </c>
    </row>
    <row r="1398" spans="1:40" x14ac:dyDescent="0.25">
      <c r="A1398" t="str">
        <f>"20190303162238781"</f>
        <v>20190303162238781</v>
      </c>
      <c r="B1398" t="str">
        <f>"1551601358775357"</f>
        <v>1551601358775357</v>
      </c>
      <c r="C1398" t="s">
        <v>40</v>
      </c>
      <c r="D1398">
        <v>5.7358949999999904</v>
      </c>
      <c r="E1398">
        <v>0.57315459999999996</v>
      </c>
      <c r="F1398" t="s">
        <v>41</v>
      </c>
      <c r="G1398">
        <v>-193.5086</v>
      </c>
      <c r="H1398" s="1">
        <v>-2.0632009999999998E-6</v>
      </c>
      <c r="I1398">
        <v>342.22239999999999</v>
      </c>
      <c r="J1398">
        <v>-197.3938</v>
      </c>
      <c r="K1398">
        <v>1.1085259999999999</v>
      </c>
      <c r="L1398">
        <v>360.1386</v>
      </c>
      <c r="M1398">
        <v>0.70704719999999999</v>
      </c>
      <c r="N1398">
        <v>-1.300634E-2</v>
      </c>
      <c r="O1398">
        <v>-0.70704699999999998</v>
      </c>
      <c r="P1398">
        <v>0.38341190000000003</v>
      </c>
      <c r="Q1398">
        <v>0.11781519999999999</v>
      </c>
      <c r="R1398">
        <v>-0.91603250000000003</v>
      </c>
      <c r="S1398">
        <v>0.68130489999999999</v>
      </c>
      <c r="T1398">
        <v>-0.18494920000000001</v>
      </c>
      <c r="U1398">
        <v>-3.024994</v>
      </c>
      <c r="V1398">
        <v>0.3802102</v>
      </c>
      <c r="W1398">
        <v>0.11882470000000001</v>
      </c>
      <c r="X1398">
        <v>0.91723549999999998</v>
      </c>
      <c r="Y1398">
        <v>0.5340937</v>
      </c>
      <c r="Z1398">
        <v>1.808073E-2</v>
      </c>
      <c r="AA1398">
        <v>0.84523199999999998</v>
      </c>
      <c r="AB1398">
        <v>26</v>
      </c>
      <c r="AC1398">
        <v>3.88519999999999</v>
      </c>
      <c r="AD1398">
        <v>-1.1085280632009999</v>
      </c>
      <c r="AE1398">
        <v>-17.9162</v>
      </c>
      <c r="AF1398">
        <v>9.8852736986841805</v>
      </c>
      <c r="AG1398">
        <v>-1.1085280632009999</v>
      </c>
      <c r="AH1398">
        <v>15.3597561853546</v>
      </c>
      <c r="AI1398">
        <v>93.472941335542103</v>
      </c>
      <c r="AJ1398">
        <v>57.235367418965303</v>
      </c>
      <c r="AK1398">
        <v>18.2994420854391</v>
      </c>
      <c r="AL1398">
        <v>83.175722692806801</v>
      </c>
      <c r="AM1398">
        <v>67.485135733069299</v>
      </c>
      <c r="AN1398">
        <v>1.00000003398718</v>
      </c>
    </row>
    <row r="1399" spans="1:40" x14ac:dyDescent="0.25">
      <c r="A1399" t="str">
        <f>"20190303162238803"</f>
        <v>20190303162238803</v>
      </c>
      <c r="B1399" t="str">
        <f>"1551601358795852"</f>
        <v>1551601358795852</v>
      </c>
      <c r="C1399" t="s">
        <v>40</v>
      </c>
      <c r="D1399">
        <v>5.7194669999999999</v>
      </c>
      <c r="E1399">
        <v>0.57265459999999901</v>
      </c>
      <c r="F1399" t="s">
        <v>41</v>
      </c>
      <c r="G1399">
        <v>-193.68129999999999</v>
      </c>
      <c r="H1399" s="1">
        <v>-2.1100609999999999E-6</v>
      </c>
      <c r="I1399">
        <v>342.22449999999998</v>
      </c>
      <c r="J1399">
        <v>-197.21610000000001</v>
      </c>
      <c r="K1399">
        <v>1.1082959999999999</v>
      </c>
      <c r="L1399">
        <v>359.93540000000002</v>
      </c>
      <c r="M1399">
        <v>0.69481680000000001</v>
      </c>
      <c r="N1399">
        <v>-1.311997E-2</v>
      </c>
      <c r="O1399">
        <v>-0.71906709999999996</v>
      </c>
      <c r="P1399">
        <v>0.3655021</v>
      </c>
      <c r="Q1399">
        <v>0.11984160000000001</v>
      </c>
      <c r="R1399">
        <v>-0.92306359999999998</v>
      </c>
      <c r="S1399">
        <v>0.62913509999999995</v>
      </c>
      <c r="T1399">
        <v>-0.18785579999999999</v>
      </c>
      <c r="U1399">
        <v>-3.0357970000000001</v>
      </c>
      <c r="V1399">
        <v>0.38229160000000001</v>
      </c>
      <c r="W1399">
        <v>0.1206663</v>
      </c>
      <c r="X1399">
        <v>0.91612919999999998</v>
      </c>
      <c r="Y1399">
        <v>0.53411850000000005</v>
      </c>
      <c r="Z1399">
        <v>1.928063E-2</v>
      </c>
      <c r="AA1399">
        <v>0.84518979999999999</v>
      </c>
      <c r="AB1399">
        <v>26</v>
      </c>
      <c r="AC1399">
        <v>3.5348000000000099</v>
      </c>
      <c r="AD1399">
        <v>-1.1082981100610001</v>
      </c>
      <c r="AE1399">
        <v>-17.710899999999999</v>
      </c>
      <c r="AF1399">
        <v>9.7282772200596401</v>
      </c>
      <c r="AG1399">
        <v>-1.1082981100610001</v>
      </c>
      <c r="AH1399">
        <v>15.1356721240663</v>
      </c>
      <c r="AI1399">
        <v>93.524850856213007</v>
      </c>
      <c r="AJ1399">
        <v>57.269589234391702</v>
      </c>
      <c r="AK1399">
        <v>18.026543568258798</v>
      </c>
      <c r="AL1399">
        <v>83.069441578672297</v>
      </c>
      <c r="AM1399">
        <v>67.349708152024505</v>
      </c>
      <c r="AN1399">
        <v>0.99999996723944395</v>
      </c>
    </row>
    <row r="1400" spans="1:40" x14ac:dyDescent="0.25">
      <c r="A1400" t="str">
        <f>"20190303162238825"</f>
        <v>20190303162238825</v>
      </c>
      <c r="B1400" t="str">
        <f>"1551601358815371"</f>
        <v>1551601358815371</v>
      </c>
      <c r="C1400" t="s">
        <v>40</v>
      </c>
      <c r="D1400">
        <v>5.6646029999999996</v>
      </c>
      <c r="E1400">
        <v>0.57237399999999905</v>
      </c>
      <c r="F1400" t="s">
        <v>41</v>
      </c>
      <c r="G1400">
        <v>-193.80549999999999</v>
      </c>
      <c r="H1400" s="1">
        <v>-2.0006419999999998E-6</v>
      </c>
      <c r="I1400">
        <v>341.89240000000001</v>
      </c>
      <c r="J1400">
        <v>-197.04390000000001</v>
      </c>
      <c r="K1400">
        <v>1.108096</v>
      </c>
      <c r="L1400">
        <v>359.73079999999999</v>
      </c>
      <c r="M1400">
        <v>0.68227839999999995</v>
      </c>
      <c r="N1400">
        <v>-1.322709E-2</v>
      </c>
      <c r="O1400">
        <v>-0.73097290000000004</v>
      </c>
      <c r="P1400">
        <v>0.34656799999999999</v>
      </c>
      <c r="Q1400">
        <v>0.12097280000000001</v>
      </c>
      <c r="R1400">
        <v>-0.93019169999999995</v>
      </c>
      <c r="S1400">
        <v>0.57583619999999902</v>
      </c>
      <c r="T1400">
        <v>-0.18712129999999999</v>
      </c>
      <c r="U1400">
        <v>-3.0463260000000001</v>
      </c>
      <c r="V1400">
        <v>0.3851676</v>
      </c>
      <c r="W1400">
        <v>0.1215982</v>
      </c>
      <c r="X1400">
        <v>0.91480039999999996</v>
      </c>
      <c r="Y1400">
        <v>0.5343173</v>
      </c>
      <c r="Z1400">
        <v>1.9880510000000001E-2</v>
      </c>
      <c r="AA1400">
        <v>0.84505019999999997</v>
      </c>
      <c r="AB1400">
        <v>26</v>
      </c>
      <c r="AC1400">
        <v>3.2384000000000102</v>
      </c>
      <c r="AD1400">
        <v>-1.108098000642</v>
      </c>
      <c r="AE1400">
        <v>-17.838399999999901</v>
      </c>
      <c r="AF1400">
        <v>9.7679400616017702</v>
      </c>
      <c r="AG1400">
        <v>-1.108098000642</v>
      </c>
      <c r="AH1400">
        <v>15.193453398508799</v>
      </c>
      <c r="AI1400">
        <v>93.510582208250497</v>
      </c>
      <c r="AJ1400">
        <v>57.262852506314701</v>
      </c>
      <c r="AK1400">
        <v>18.096451596893999</v>
      </c>
      <c r="AL1400">
        <v>83.015651687755494</v>
      </c>
      <c r="AM1400">
        <v>67.166958468968403</v>
      </c>
      <c r="AN1400">
        <v>0.999999987086579</v>
      </c>
    </row>
    <row r="1401" spans="1:40" x14ac:dyDescent="0.25">
      <c r="A1401" t="str">
        <f>"20190303162238846"</f>
        <v>20190303162238846</v>
      </c>
      <c r="B1401" t="str">
        <f>"1551601358836075"</f>
        <v>1551601358836075</v>
      </c>
      <c r="C1401" t="s">
        <v>40</v>
      </c>
      <c r="D1401">
        <v>5.711767</v>
      </c>
      <c r="E1401">
        <v>0.57201959999999996</v>
      </c>
      <c r="F1401" t="s">
        <v>41</v>
      </c>
      <c r="G1401">
        <v>-193.97890000000001</v>
      </c>
      <c r="H1401" s="1">
        <v>-1.9411240000000002E-6</v>
      </c>
      <c r="I1401">
        <v>341.64609999999999</v>
      </c>
      <c r="J1401">
        <v>-196.88</v>
      </c>
      <c r="K1401">
        <v>1.1079239999999999</v>
      </c>
      <c r="L1401">
        <v>359.52890000000002</v>
      </c>
      <c r="M1401">
        <v>0.66972779999999998</v>
      </c>
      <c r="N1401">
        <v>-1.3322489999999999E-2</v>
      </c>
      <c r="O1401">
        <v>-0.74248719999999901</v>
      </c>
      <c r="P1401">
        <v>0.32834839999999998</v>
      </c>
      <c r="Q1401">
        <v>0.1225417</v>
      </c>
      <c r="R1401">
        <v>-0.93657420000000002</v>
      </c>
      <c r="S1401">
        <v>0.51802060000000005</v>
      </c>
      <c r="T1401">
        <v>-0.187281</v>
      </c>
      <c r="U1401">
        <v>-3.0565190000000002</v>
      </c>
      <c r="V1401">
        <v>0.3874069</v>
      </c>
      <c r="W1401">
        <v>0.1230081</v>
      </c>
      <c r="X1401">
        <v>0.91366570000000003</v>
      </c>
      <c r="Y1401">
        <v>0.53592340000000005</v>
      </c>
      <c r="Z1401">
        <v>2.0579099999999999E-2</v>
      </c>
      <c r="AA1401">
        <v>0.84401579999999998</v>
      </c>
      <c r="AB1401">
        <v>26</v>
      </c>
      <c r="AC1401">
        <v>2.90109999999998</v>
      </c>
      <c r="AD1401">
        <v>-1.1079259411239999</v>
      </c>
      <c r="AE1401">
        <v>-17.8828</v>
      </c>
      <c r="AF1401">
        <v>9.7868476767617807</v>
      </c>
      <c r="AG1401">
        <v>-1.1079259411239999</v>
      </c>
      <c r="AH1401">
        <v>15.165329996734</v>
      </c>
      <c r="AI1401">
        <v>93.512638739986798</v>
      </c>
      <c r="AJ1401">
        <v>57.164085826634</v>
      </c>
      <c r="AK1401">
        <v>18.0830617222027</v>
      </c>
      <c r="AL1401">
        <v>82.934259813574499</v>
      </c>
      <c r="AM1401">
        <v>67.022383463807202</v>
      </c>
      <c r="AN1401">
        <v>1.00000005509485</v>
      </c>
    </row>
    <row r="1402" spans="1:40" x14ac:dyDescent="0.25">
      <c r="A1402" t="str">
        <f>"20190303162238870"</f>
        <v>20190303162238870</v>
      </c>
      <c r="B1402" t="str">
        <f>"1551601358865356"</f>
        <v>1551601358865356</v>
      </c>
      <c r="C1402" t="s">
        <v>40</v>
      </c>
      <c r="D1402">
        <v>5.782832</v>
      </c>
      <c r="E1402">
        <v>0.57121690000000003</v>
      </c>
      <c r="F1402" t="s">
        <v>41</v>
      </c>
      <c r="G1402">
        <v>-194.1182</v>
      </c>
      <c r="H1402" s="1">
        <v>-1.7993599999999901E-6</v>
      </c>
      <c r="I1402">
        <v>341.22919999999999</v>
      </c>
      <c r="J1402">
        <v>-196.70949999999999</v>
      </c>
      <c r="K1402">
        <v>1.1077619999999999</v>
      </c>
      <c r="L1402">
        <v>359.31079999999997</v>
      </c>
      <c r="M1402">
        <v>0.65601019999999999</v>
      </c>
      <c r="N1402">
        <v>-1.341262E-2</v>
      </c>
      <c r="O1402">
        <v>-0.75463309999999995</v>
      </c>
      <c r="P1402">
        <v>0.31086570000000002</v>
      </c>
      <c r="Q1402">
        <v>0.12460300000000001</v>
      </c>
      <c r="R1402">
        <v>-0.94225130000000001</v>
      </c>
      <c r="S1402">
        <v>0.46261600000000003</v>
      </c>
      <c r="T1402">
        <v>-0.18558669999999999</v>
      </c>
      <c r="U1402">
        <v>-3.0653380000000001</v>
      </c>
      <c r="V1402">
        <v>0.38760090000000003</v>
      </c>
      <c r="W1402">
        <v>0.1249982</v>
      </c>
      <c r="X1402">
        <v>0.91331320000000005</v>
      </c>
      <c r="Y1402">
        <v>0.53573689999999996</v>
      </c>
      <c r="Z1402">
        <v>2.105748E-2</v>
      </c>
      <c r="AA1402">
        <v>0.84412240000000005</v>
      </c>
      <c r="AB1402">
        <v>26</v>
      </c>
      <c r="AC1402">
        <v>2.59129999999998</v>
      </c>
      <c r="AD1402">
        <v>-1.10776379936</v>
      </c>
      <c r="AE1402">
        <v>-18.081599999999899</v>
      </c>
      <c r="AF1402">
        <v>9.8708193217412195</v>
      </c>
      <c r="AG1402">
        <v>-1.10776379936</v>
      </c>
      <c r="AH1402">
        <v>15.290036378015101</v>
      </c>
      <c r="AI1402">
        <v>93.483189989994898</v>
      </c>
      <c r="AJ1402">
        <v>57.154845570438901</v>
      </c>
      <c r="AK1402">
        <v>18.233086056909201</v>
      </c>
      <c r="AL1402">
        <v>82.819348198626301</v>
      </c>
      <c r="AM1402">
        <v>67.004122544146497</v>
      </c>
      <c r="AN1402">
        <v>1.0000000044891399</v>
      </c>
    </row>
    <row r="1403" spans="1:40" x14ac:dyDescent="0.25">
      <c r="A1403" t="str">
        <f>"20190303162238891"</f>
        <v>20190303162238891</v>
      </c>
      <c r="B1403" t="str">
        <f>"1551601358885852"</f>
        <v>1551601358885852</v>
      </c>
      <c r="C1403" t="s">
        <v>40</v>
      </c>
      <c r="D1403">
        <v>5.7911609999999998</v>
      </c>
      <c r="E1403">
        <v>0.57093249999999995</v>
      </c>
      <c r="F1403" t="s">
        <v>41</v>
      </c>
      <c r="G1403">
        <v>-194.23269999999999</v>
      </c>
      <c r="H1403" s="1">
        <v>-1.684227E-6</v>
      </c>
      <c r="I1403">
        <v>340.88990000000001</v>
      </c>
      <c r="J1403">
        <v>-196.54769999999999</v>
      </c>
      <c r="K1403">
        <v>1.1076379999999999</v>
      </c>
      <c r="L1403">
        <v>359.09589999999997</v>
      </c>
      <c r="M1403">
        <v>0.64234749999999996</v>
      </c>
      <c r="N1403">
        <v>-1.348827E-2</v>
      </c>
      <c r="O1403">
        <v>-0.76629480000000005</v>
      </c>
      <c r="P1403">
        <v>0.29561389999999999</v>
      </c>
      <c r="Q1403">
        <v>0.12512670000000001</v>
      </c>
      <c r="R1403">
        <v>-0.94707790000000003</v>
      </c>
      <c r="S1403">
        <v>0.41305540000000002</v>
      </c>
      <c r="T1403">
        <v>-0.1847415</v>
      </c>
      <c r="U1403">
        <v>-3.0720519999999998</v>
      </c>
      <c r="V1403">
        <v>0.3859456</v>
      </c>
      <c r="W1403">
        <v>0.12554029999999999</v>
      </c>
      <c r="X1403">
        <v>0.91393959999999996</v>
      </c>
      <c r="Y1403">
        <v>0.53419479999999997</v>
      </c>
      <c r="Z1403">
        <v>2.170938E-2</v>
      </c>
      <c r="AA1403">
        <v>0.84508259999999902</v>
      </c>
      <c r="AB1403">
        <v>26</v>
      </c>
      <c r="AC1403">
        <v>2.3149999999999902</v>
      </c>
      <c r="AD1403">
        <v>-1.107639684227</v>
      </c>
      <c r="AE1403">
        <v>-18.2059999999999</v>
      </c>
      <c r="AF1403">
        <v>9.8855007145109095</v>
      </c>
      <c r="AG1403">
        <v>-1.107639684227</v>
      </c>
      <c r="AH1403">
        <v>15.383567438055501</v>
      </c>
      <c r="AI1403">
        <v>93.466350304992801</v>
      </c>
      <c r="AJ1403">
        <v>57.275146428665501</v>
      </c>
      <c r="AK1403">
        <v>18.3195015534777</v>
      </c>
      <c r="AL1403">
        <v>82.788041389475595</v>
      </c>
      <c r="AM1403">
        <v>67.106256538275602</v>
      </c>
      <c r="AN1403">
        <v>0.99999998276580404</v>
      </c>
    </row>
    <row r="1404" spans="1:40" x14ac:dyDescent="0.25">
      <c r="A1404" t="str">
        <f>"20190303162238914"</f>
        <v>20190303162238914</v>
      </c>
      <c r="B1404" t="str">
        <f>"1551601358905371"</f>
        <v>1551601358905371</v>
      </c>
      <c r="C1404" t="s">
        <v>40</v>
      </c>
      <c r="D1404">
        <v>5.8231229999999998</v>
      </c>
      <c r="E1404">
        <v>0.55171139999999996</v>
      </c>
      <c r="F1404" t="s">
        <v>41</v>
      </c>
      <c r="G1404">
        <v>-194.35310000000001</v>
      </c>
      <c r="H1404" s="1">
        <v>-1.6305539999999999E-6</v>
      </c>
      <c r="I1404">
        <v>340.69</v>
      </c>
      <c r="J1404">
        <v>-196.3896</v>
      </c>
      <c r="K1404">
        <v>1.107532</v>
      </c>
      <c r="L1404">
        <v>358.87759999999997</v>
      </c>
      <c r="M1404">
        <v>0.62835289999999999</v>
      </c>
      <c r="N1404">
        <v>-1.3552989999999999E-2</v>
      </c>
      <c r="O1404">
        <v>-0.77781049999999996</v>
      </c>
      <c r="P1404">
        <v>0.28109630000000002</v>
      </c>
      <c r="Q1404">
        <v>0.1247182</v>
      </c>
      <c r="R1404">
        <v>-0.95154110000000003</v>
      </c>
      <c r="S1404">
        <v>0.36694339999999998</v>
      </c>
      <c r="T1404">
        <v>-0.1852026</v>
      </c>
      <c r="U1404">
        <v>-3.0775450000000002</v>
      </c>
      <c r="V1404">
        <v>0.38340279999999999</v>
      </c>
      <c r="W1404">
        <v>0.1252007</v>
      </c>
      <c r="X1404">
        <v>0.91505579999999997</v>
      </c>
      <c r="Y1404">
        <v>0.53153909999999904</v>
      </c>
      <c r="Z1404">
        <v>2.264356E-2</v>
      </c>
      <c r="AA1404">
        <v>0.84673099999999901</v>
      </c>
      <c r="AB1404">
        <v>26</v>
      </c>
      <c r="AC1404">
        <v>2.0364999999999802</v>
      </c>
      <c r="AD1404">
        <v>-1.107533630554</v>
      </c>
      <c r="AE1404">
        <v>-18.1875999999999</v>
      </c>
      <c r="AF1404">
        <v>9.8091991917771697</v>
      </c>
      <c r="AG1404">
        <v>-1.107533630554</v>
      </c>
      <c r="AH1404">
        <v>15.371268231274</v>
      </c>
      <c r="AI1404">
        <v>93.475785395646398</v>
      </c>
      <c r="AJ1404">
        <v>57.455952195579897</v>
      </c>
      <c r="AK1404">
        <v>18.268084370413401</v>
      </c>
      <c r="AL1404">
        <v>82.807654045729606</v>
      </c>
      <c r="AM1404">
        <v>67.266613209076397</v>
      </c>
      <c r="AN1404">
        <v>1.00000001972098</v>
      </c>
    </row>
    <row r="1405" spans="1:40" x14ac:dyDescent="0.25">
      <c r="A1405" t="str">
        <f>"20190303162238936"</f>
        <v>20190303162238936</v>
      </c>
      <c r="B1405" t="str">
        <f>"1551601358925871"</f>
        <v>1551601358925871</v>
      </c>
      <c r="C1405" t="s">
        <v>40</v>
      </c>
      <c r="D1405">
        <v>5.788824</v>
      </c>
      <c r="E1405">
        <v>0.55230400000000002</v>
      </c>
      <c r="F1405" t="s">
        <v>41</v>
      </c>
      <c r="G1405">
        <v>-194.4854</v>
      </c>
      <c r="H1405" s="1">
        <v>-4.0185940000000002E-6</v>
      </c>
      <c r="I1405">
        <v>346.45760000000001</v>
      </c>
      <c r="J1405">
        <v>-196.23259999999999</v>
      </c>
      <c r="K1405">
        <v>1.1074539999999999</v>
      </c>
      <c r="L1405">
        <v>358.6524</v>
      </c>
      <c r="M1405">
        <v>0.613811</v>
      </c>
      <c r="N1405">
        <v>-1.360891E-2</v>
      </c>
      <c r="O1405">
        <v>-0.78933580000000003</v>
      </c>
      <c r="P1405">
        <v>0.26812039999999998</v>
      </c>
      <c r="Q1405">
        <v>0.1240525</v>
      </c>
      <c r="R1405">
        <v>-0.95536540000000003</v>
      </c>
      <c r="S1405">
        <v>0.46765139999999999</v>
      </c>
      <c r="T1405">
        <v>-0.27200770000000002</v>
      </c>
      <c r="U1405">
        <v>-3.0503230000000001</v>
      </c>
      <c r="V1405">
        <v>0.37892029999999999</v>
      </c>
      <c r="W1405">
        <v>0.1246893</v>
      </c>
      <c r="X1405">
        <v>0.91699079999999999</v>
      </c>
      <c r="Y1405">
        <v>0.4867726</v>
      </c>
      <c r="Z1405">
        <v>4.2462590000000001E-2</v>
      </c>
      <c r="AA1405">
        <v>0.872496099999999</v>
      </c>
      <c r="AB1405">
        <v>26</v>
      </c>
      <c r="AC1405">
        <v>1.7471999999999901</v>
      </c>
      <c r="AD1405">
        <v>-1.1074580185939999</v>
      </c>
      <c r="AE1405">
        <v>-12.194799999999899</v>
      </c>
      <c r="AF1405">
        <v>6.0577852343143599</v>
      </c>
      <c r="AG1405">
        <v>-1.1074580185939999</v>
      </c>
      <c r="AH1405">
        <v>10.613462367565999</v>
      </c>
      <c r="AI1405">
        <v>95.178139659839999</v>
      </c>
      <c r="AJ1405">
        <v>60.283819010578902</v>
      </c>
      <c r="AK1405">
        <v>12.2706482565415</v>
      </c>
      <c r="AL1405">
        <v>82.837186904745195</v>
      </c>
      <c r="AM1405">
        <v>67.548534568481102</v>
      </c>
      <c r="AN1405">
        <v>1.0000000712856001</v>
      </c>
    </row>
    <row r="1406" spans="1:40" x14ac:dyDescent="0.25">
      <c r="A1406" t="str">
        <f>"20190303162238959"</f>
        <v>20190303162238959</v>
      </c>
      <c r="B1406" t="str">
        <f>"1551601358945387"</f>
        <v>1551601358945387</v>
      </c>
      <c r="C1406" t="s">
        <v>40</v>
      </c>
      <c r="D1406">
        <v>5.7575690000000002</v>
      </c>
      <c r="E1406">
        <v>0.55249700000000002</v>
      </c>
      <c r="F1406" t="s">
        <v>41</v>
      </c>
      <c r="G1406">
        <v>-194.49610000000001</v>
      </c>
      <c r="H1406" s="1">
        <v>-3.859811E-6</v>
      </c>
      <c r="I1406">
        <v>345.98540000000003</v>
      </c>
      <c r="J1406">
        <v>-196.08449999999999</v>
      </c>
      <c r="K1406">
        <v>1.107389</v>
      </c>
      <c r="L1406">
        <v>358.43150000000003</v>
      </c>
      <c r="M1406">
        <v>0.59946580000000005</v>
      </c>
      <c r="N1406">
        <v>-1.3654919999999999E-2</v>
      </c>
      <c r="O1406">
        <v>-0.80028390000000005</v>
      </c>
      <c r="P1406">
        <v>0.25545420000000002</v>
      </c>
      <c r="Q1406">
        <v>0.12545539999999999</v>
      </c>
      <c r="R1406">
        <v>-0.95864689999999997</v>
      </c>
      <c r="S1406">
        <v>0.41909790000000002</v>
      </c>
      <c r="T1406">
        <v>-0.26728940000000001</v>
      </c>
      <c r="U1406">
        <v>-3.05722</v>
      </c>
      <c r="V1406">
        <v>0.37444769999999999</v>
      </c>
      <c r="W1406">
        <v>0.12625230000000001</v>
      </c>
      <c r="X1406">
        <v>0.91861269999999995</v>
      </c>
      <c r="Y1406">
        <v>0.48489209999999999</v>
      </c>
      <c r="Z1406">
        <v>4.2702909999999997E-2</v>
      </c>
      <c r="AA1406">
        <v>0.87353080000000005</v>
      </c>
      <c r="AB1406">
        <v>26</v>
      </c>
      <c r="AC1406">
        <v>1.5883999999999701</v>
      </c>
      <c r="AD1406">
        <v>-1.1073928598110001</v>
      </c>
      <c r="AE1406">
        <v>-12.446099999999999</v>
      </c>
      <c r="AF1406">
        <v>6.1425687057360303</v>
      </c>
      <c r="AG1406">
        <v>-1.1073928598110001</v>
      </c>
      <c r="AH1406">
        <v>10.829265660132601</v>
      </c>
      <c r="AI1406">
        <v>95.082896805204001</v>
      </c>
      <c r="AJ1406">
        <v>60.437255178102802</v>
      </c>
      <c r="AK1406">
        <v>12.4992185351075</v>
      </c>
      <c r="AL1406">
        <v>82.746919787136903</v>
      </c>
      <c r="AM1406">
        <v>67.823058958866497</v>
      </c>
      <c r="AN1406">
        <v>1.0000000079459299</v>
      </c>
    </row>
    <row r="1407" spans="1:40" x14ac:dyDescent="0.25">
      <c r="A1407" t="str">
        <f>"20190303162238984"</f>
        <v>20190303162238984</v>
      </c>
      <c r="B1407" t="str">
        <f>"1551601358975643"</f>
        <v>1551601358975643</v>
      </c>
      <c r="C1407" t="s">
        <v>40</v>
      </c>
      <c r="D1407">
        <v>5.7691990000000004</v>
      </c>
      <c r="E1407">
        <v>0.55196730000000005</v>
      </c>
      <c r="F1407" t="s">
        <v>41</v>
      </c>
      <c r="G1407">
        <v>-194.4374</v>
      </c>
      <c r="H1407" s="1">
        <v>-3.5243849999999999E-6</v>
      </c>
      <c r="I1407">
        <v>345.0523</v>
      </c>
      <c r="J1407">
        <v>-195.91800000000001</v>
      </c>
      <c r="K1407">
        <v>1.10734</v>
      </c>
      <c r="L1407">
        <v>358.17230000000001</v>
      </c>
      <c r="M1407">
        <v>0.5825515</v>
      </c>
      <c r="N1407">
        <v>-1.36997E-2</v>
      </c>
      <c r="O1407">
        <v>-0.81267840000000002</v>
      </c>
      <c r="P1407">
        <v>0.23899989999999999</v>
      </c>
      <c r="Q1407">
        <v>0.12713550000000001</v>
      </c>
      <c r="R1407">
        <v>-0.96266070000000004</v>
      </c>
      <c r="S1407">
        <v>0.37696839999999998</v>
      </c>
      <c r="T1407">
        <v>-0.2534477</v>
      </c>
      <c r="U1407">
        <v>-3.0620729999999998</v>
      </c>
      <c r="V1407">
        <v>0.3708476</v>
      </c>
      <c r="W1407">
        <v>0.1280647</v>
      </c>
      <c r="X1407">
        <v>0.91982140000000001</v>
      </c>
      <c r="Y1407">
        <v>0.47858060000000002</v>
      </c>
      <c r="Z1407">
        <v>4.127542E-2</v>
      </c>
      <c r="AA1407">
        <v>0.87707299999999999</v>
      </c>
      <c r="AB1407">
        <v>26</v>
      </c>
      <c r="AC1407">
        <v>1.4805999999999999</v>
      </c>
      <c r="AD1407">
        <v>-1.1073435243850001</v>
      </c>
      <c r="AE1407">
        <v>-13.12</v>
      </c>
      <c r="AF1407">
        <v>6.3954426616090396</v>
      </c>
      <c r="AG1407">
        <v>-1.1073435243850001</v>
      </c>
      <c r="AH1407">
        <v>11.4454403586568</v>
      </c>
      <c r="AI1407">
        <v>94.827673126696197</v>
      </c>
      <c r="AJ1407">
        <v>60.804569041747897</v>
      </c>
      <c r="AK1407">
        <v>13.157735425311399</v>
      </c>
      <c r="AL1407">
        <v>82.642226686138997</v>
      </c>
      <c r="AM1407">
        <v>68.042014544694098</v>
      </c>
      <c r="AN1407">
        <v>0.999999958854904</v>
      </c>
    </row>
    <row r="1408" spans="1:40" x14ac:dyDescent="0.25">
      <c r="A1408" t="str">
        <f>"20190303162239005"</f>
        <v>20190303162239005</v>
      </c>
      <c r="B1408" t="str">
        <f>"1551601358996139"</f>
        <v>1551601358996139</v>
      </c>
      <c r="C1408" t="s">
        <v>40</v>
      </c>
      <c r="D1408">
        <v>5.7891949999999897</v>
      </c>
      <c r="E1408">
        <v>0.55135749999999994</v>
      </c>
      <c r="F1408" t="s">
        <v>41</v>
      </c>
      <c r="G1408">
        <v>-194.42160000000001</v>
      </c>
      <c r="H1408" s="1">
        <v>-3.1714159999999998E-6</v>
      </c>
      <c r="I1408">
        <v>344.23939999999999</v>
      </c>
      <c r="J1408">
        <v>-195.77940000000001</v>
      </c>
      <c r="K1408">
        <v>1.107308</v>
      </c>
      <c r="L1408">
        <v>357.94650000000001</v>
      </c>
      <c r="M1408">
        <v>0.5677664</v>
      </c>
      <c r="N1408">
        <v>-1.373184E-2</v>
      </c>
      <c r="O1408">
        <v>-0.82307559999999902</v>
      </c>
      <c r="P1408">
        <v>0.2262759</v>
      </c>
      <c r="Q1408">
        <v>0.1280432</v>
      </c>
      <c r="R1408">
        <v>-0.96561129999999995</v>
      </c>
      <c r="S1408">
        <v>0.32937620000000001</v>
      </c>
      <c r="T1408">
        <v>-0.2437346</v>
      </c>
      <c r="U1408">
        <v>-3.0667420000000001</v>
      </c>
      <c r="V1408">
        <v>0.36631989999999998</v>
      </c>
      <c r="W1408">
        <v>0.12914049999999999</v>
      </c>
      <c r="X1408">
        <v>0.92148379999999996</v>
      </c>
      <c r="Y1408">
        <v>0.47632400000000003</v>
      </c>
      <c r="Z1408">
        <v>4.0278229999999998E-2</v>
      </c>
      <c r="AA1408">
        <v>0.87834679999999998</v>
      </c>
      <c r="AB1408">
        <v>26</v>
      </c>
      <c r="AC1408">
        <v>1.3577999999999899</v>
      </c>
      <c r="AD1408">
        <v>-1.107311171416</v>
      </c>
      <c r="AE1408">
        <v>-13.707100000000001</v>
      </c>
      <c r="AF1408">
        <v>6.6226851469995101</v>
      </c>
      <c r="AG1408">
        <v>-1.107311171416</v>
      </c>
      <c r="AH1408">
        <v>11.976624965478701</v>
      </c>
      <c r="AI1408">
        <v>94.625716249827406</v>
      </c>
      <c r="AJ1408">
        <v>61.058829386080603</v>
      </c>
      <c r="AK1408">
        <v>13.730464018027901</v>
      </c>
      <c r="AL1408">
        <v>82.580071810866599</v>
      </c>
      <c r="AM1408">
        <v>68.320563546442401</v>
      </c>
      <c r="AN1408">
        <v>0.99999996576934902</v>
      </c>
    </row>
    <row r="1409" spans="1:40" x14ac:dyDescent="0.25">
      <c r="A1409" t="str">
        <f>"20190303162239027"</f>
        <v>20190303162239027</v>
      </c>
      <c r="B1409" t="str">
        <f>"1551601359015659"</f>
        <v>1551601359015659</v>
      </c>
      <c r="C1409" t="s">
        <v>40</v>
      </c>
      <c r="D1409">
        <v>5.8095030000000003</v>
      </c>
      <c r="E1409">
        <v>0.55064269999999904</v>
      </c>
      <c r="F1409" t="s">
        <v>41</v>
      </c>
      <c r="G1409">
        <v>-194.42330000000001</v>
      </c>
      <c r="H1409" s="1">
        <v>-2.9760040000000001E-6</v>
      </c>
      <c r="I1409">
        <v>343.78280000000001</v>
      </c>
      <c r="J1409">
        <v>-195.64699999999999</v>
      </c>
      <c r="K1409">
        <v>1.1072839999999999</v>
      </c>
      <c r="L1409">
        <v>357.72199999999998</v>
      </c>
      <c r="M1409">
        <v>0.55301449999999996</v>
      </c>
      <c r="N1409">
        <v>-1.375878E-2</v>
      </c>
      <c r="O1409">
        <v>-0.83305839999999998</v>
      </c>
      <c r="P1409">
        <v>0.21505920000000001</v>
      </c>
      <c r="Q1409">
        <v>0.12919839999999999</v>
      </c>
      <c r="R1409">
        <v>-0.96801780000000004</v>
      </c>
      <c r="S1409">
        <v>0.29391479999999998</v>
      </c>
      <c r="T1409">
        <v>-0.23999670000000001</v>
      </c>
      <c r="U1409">
        <v>-3.0698240000000001</v>
      </c>
      <c r="V1409">
        <v>0.360541</v>
      </c>
      <c r="W1409">
        <v>0.13050970000000001</v>
      </c>
      <c r="X1409">
        <v>0.92356780000000005</v>
      </c>
      <c r="Y1409">
        <v>0.47080810000000001</v>
      </c>
      <c r="Z1409">
        <v>4.0590220000000003E-2</v>
      </c>
      <c r="AA1409">
        <v>0.88130140000000001</v>
      </c>
      <c r="AB1409">
        <v>26</v>
      </c>
      <c r="AC1409">
        <v>1.2237</v>
      </c>
      <c r="AD1409">
        <v>-1.1072869760039901</v>
      </c>
      <c r="AE1409">
        <v>-13.9391999999999</v>
      </c>
      <c r="AF1409">
        <v>6.6481666758347098</v>
      </c>
      <c r="AG1409">
        <v>-1.1072869760039901</v>
      </c>
      <c r="AH1409">
        <v>12.2135699759055</v>
      </c>
      <c r="AI1409">
        <v>94.552747324464903</v>
      </c>
      <c r="AJ1409">
        <v>61.439387362407999</v>
      </c>
      <c r="AK1409">
        <v>13.9497489638074</v>
      </c>
      <c r="AL1409">
        <v>82.500953372728603</v>
      </c>
      <c r="AM1409">
        <v>68.675396050885794</v>
      </c>
      <c r="AN1409">
        <v>1.0000000378359599</v>
      </c>
    </row>
    <row r="1410" spans="1:40" x14ac:dyDescent="0.25">
      <c r="A1410" t="str">
        <f>"20190303162239049"</f>
        <v>20190303162239049</v>
      </c>
      <c r="B1410" t="str">
        <f>"1551601359035687"</f>
        <v>1551601359035687</v>
      </c>
      <c r="C1410" t="s">
        <v>40</v>
      </c>
      <c r="D1410">
        <v>5.8453039999999996</v>
      </c>
      <c r="E1410">
        <v>0.54994770000000004</v>
      </c>
      <c r="F1410" t="s">
        <v>41</v>
      </c>
      <c r="G1410">
        <v>-194.41069999999999</v>
      </c>
      <c r="H1410" s="1">
        <v>-2.7727909999999999E-6</v>
      </c>
      <c r="I1410">
        <v>343.31689999999998</v>
      </c>
      <c r="J1410">
        <v>-195.51750000000001</v>
      </c>
      <c r="K1410">
        <v>1.1072679999999999</v>
      </c>
      <c r="L1410">
        <v>357.4932</v>
      </c>
      <c r="M1410">
        <v>0.53795179999999998</v>
      </c>
      <c r="N1410">
        <v>-1.3781649999999999E-2</v>
      </c>
      <c r="O1410">
        <v>-0.84286299999999903</v>
      </c>
      <c r="P1410">
        <v>0.20421259999999999</v>
      </c>
      <c r="Q1410">
        <v>0.130717</v>
      </c>
      <c r="R1410">
        <v>-0.97016000000000002</v>
      </c>
      <c r="S1410">
        <v>0.26364140000000003</v>
      </c>
      <c r="T1410">
        <v>-0.2361443</v>
      </c>
      <c r="U1410">
        <v>-3.0720830000000001</v>
      </c>
      <c r="V1410">
        <v>0.3542072</v>
      </c>
      <c r="W1410">
        <v>0.1322615</v>
      </c>
      <c r="X1410">
        <v>0.9257668</v>
      </c>
      <c r="Y1410">
        <v>0.46363199999999999</v>
      </c>
      <c r="Z1410">
        <v>4.0876120000000002E-2</v>
      </c>
      <c r="AA1410">
        <v>0.88508449999999905</v>
      </c>
      <c r="AB1410">
        <v>26</v>
      </c>
      <c r="AC1410">
        <v>1.10680000000002</v>
      </c>
      <c r="AD1410">
        <v>-1.1072707727909901</v>
      </c>
      <c r="AE1410">
        <v>-14.176299999999999</v>
      </c>
      <c r="AF1410">
        <v>6.6535749555131902</v>
      </c>
      <c r="AG1410">
        <v>-1.1072707727909901</v>
      </c>
      <c r="AH1410">
        <v>12.469661405677201</v>
      </c>
      <c r="AI1410">
        <v>94.479539038401697</v>
      </c>
      <c r="AJ1410">
        <v>61.916464446255198</v>
      </c>
      <c r="AK1410">
        <v>14.1770435502309</v>
      </c>
      <c r="AL1410">
        <v>82.399704687905199</v>
      </c>
      <c r="AM1410">
        <v>69.062673038415696</v>
      </c>
      <c r="AN1410">
        <v>1.00000000644816</v>
      </c>
    </row>
    <row r="1411" spans="1:40" x14ac:dyDescent="0.25">
      <c r="A1411" t="str">
        <f>"20190303162239071"</f>
        <v>20190303162239071</v>
      </c>
      <c r="B1411" t="str">
        <f>"1551601359065942"</f>
        <v>1551601359065942</v>
      </c>
      <c r="C1411" t="s">
        <v>40</v>
      </c>
      <c r="D1411">
        <v>5.836741</v>
      </c>
      <c r="E1411">
        <v>0.54880039999999997</v>
      </c>
      <c r="F1411" t="s">
        <v>41</v>
      </c>
      <c r="G1411">
        <v>-194.40119999999999</v>
      </c>
      <c r="H1411" s="1">
        <v>-2.5651370000000002E-6</v>
      </c>
      <c r="I1411">
        <v>342.83879999999999</v>
      </c>
      <c r="J1411">
        <v>-195.38380000000001</v>
      </c>
      <c r="K1411">
        <v>1.107259</v>
      </c>
      <c r="L1411">
        <v>357.24650000000003</v>
      </c>
      <c r="M1411">
        <v>0.52167859999999999</v>
      </c>
      <c r="N1411">
        <v>-1.380171E-2</v>
      </c>
      <c r="O1411">
        <v>-0.85303059999999997</v>
      </c>
      <c r="P1411">
        <v>0.19290679999999999</v>
      </c>
      <c r="Q1411">
        <v>0.13259550000000001</v>
      </c>
      <c r="R1411">
        <v>-0.972217</v>
      </c>
      <c r="S1411">
        <v>0.23417660000000001</v>
      </c>
      <c r="T1411">
        <v>-0.23228879999999999</v>
      </c>
      <c r="U1411">
        <v>-3.0742799999999999</v>
      </c>
      <c r="V1411">
        <v>0.347132</v>
      </c>
      <c r="W1411">
        <v>0.13439989999999999</v>
      </c>
      <c r="X1411">
        <v>0.92813579999999996</v>
      </c>
      <c r="Y1411">
        <v>0.45511180000000001</v>
      </c>
      <c r="Z1411">
        <v>4.1191640000000002E-2</v>
      </c>
      <c r="AA1411">
        <v>0.88948099999999997</v>
      </c>
      <c r="AB1411">
        <v>26</v>
      </c>
      <c r="AC1411">
        <v>0.98260000000001901</v>
      </c>
      <c r="AD1411">
        <v>-1.1072615651369999</v>
      </c>
      <c r="AE1411">
        <v>-14.4077</v>
      </c>
      <c r="AF1411">
        <v>6.6396026405506499</v>
      </c>
      <c r="AG1411">
        <v>-1.1072615651369999</v>
      </c>
      <c r="AH1411">
        <v>12.729194683920401</v>
      </c>
      <c r="AI1411">
        <v>94.410190644068294</v>
      </c>
      <c r="AJ1411">
        <v>62.453261179492898</v>
      </c>
      <c r="AK1411">
        <v>14.399400984040399</v>
      </c>
      <c r="AL1411">
        <v>82.276079629507393</v>
      </c>
      <c r="AM1411">
        <v>69.493704377446207</v>
      </c>
      <c r="AN1411">
        <v>1.00000001089282</v>
      </c>
    </row>
    <row r="1412" spans="1:40" x14ac:dyDescent="0.25">
      <c r="A1412" t="str">
        <f>"20190303162239094"</f>
        <v>20190303162239094</v>
      </c>
      <c r="B1412" t="str">
        <f>"1551601359085463"</f>
        <v>1551601359085463</v>
      </c>
      <c r="C1412" t="s">
        <v>40</v>
      </c>
      <c r="D1412">
        <v>5.8610790000000001</v>
      </c>
      <c r="E1412">
        <v>0.54839320000000003</v>
      </c>
      <c r="F1412" t="s">
        <v>41</v>
      </c>
      <c r="G1412">
        <v>-194.38210000000001</v>
      </c>
      <c r="H1412" s="1">
        <v>-2.323683E-6</v>
      </c>
      <c r="I1412">
        <v>342.2878</v>
      </c>
      <c r="J1412">
        <v>-195.26050000000001</v>
      </c>
      <c r="K1412">
        <v>1.107251</v>
      </c>
      <c r="L1412">
        <v>357.0086</v>
      </c>
      <c r="M1412">
        <v>0.50597349999999996</v>
      </c>
      <c r="N1412">
        <v>-1.381627E-2</v>
      </c>
      <c r="O1412">
        <v>-0.86243860000000006</v>
      </c>
      <c r="P1412">
        <v>0.18416270000000001</v>
      </c>
      <c r="Q1412">
        <v>0.134690899999999</v>
      </c>
      <c r="R1412">
        <v>-0.97362389999999999</v>
      </c>
      <c r="S1412">
        <v>0.20597840000000001</v>
      </c>
      <c r="T1412">
        <v>-0.22768640000000001</v>
      </c>
      <c r="U1412">
        <v>-3.075958</v>
      </c>
      <c r="V1412">
        <v>0.33837810000000001</v>
      </c>
      <c r="W1412">
        <v>0.13681879999999999</v>
      </c>
      <c r="X1412">
        <v>0.93101069999999997</v>
      </c>
      <c r="Y1412">
        <v>0.44696049999999998</v>
      </c>
      <c r="Z1412">
        <v>4.1211150000000002E-2</v>
      </c>
      <c r="AA1412">
        <v>0.89360390000000001</v>
      </c>
      <c r="AB1412">
        <v>26</v>
      </c>
      <c r="AC1412">
        <v>0.87839999999999896</v>
      </c>
      <c r="AD1412">
        <v>-1.107253323683</v>
      </c>
      <c r="AE1412">
        <v>-14.720799999999899</v>
      </c>
      <c r="AF1412">
        <v>6.6538945300101302</v>
      </c>
      <c r="AG1412">
        <v>-1.107253323683</v>
      </c>
      <c r="AH1412">
        <v>13.067814932564801</v>
      </c>
      <c r="AI1412">
        <v>94.318019208337006</v>
      </c>
      <c r="AJ1412">
        <v>63.015630169407999</v>
      </c>
      <c r="AK1412">
        <v>14.7060568967711</v>
      </c>
      <c r="AL1412">
        <v>82.136194726137703</v>
      </c>
      <c r="AM1412">
        <v>70.026201930201395</v>
      </c>
      <c r="AN1412">
        <v>1.00000002305376</v>
      </c>
    </row>
    <row r="1413" spans="1:40" x14ac:dyDescent="0.25">
      <c r="A1413" t="str">
        <f>"20190303162239116"</f>
        <v>20190303162239116</v>
      </c>
      <c r="B1413" t="str">
        <f>"1551601359105962"</f>
        <v>1551601359105962</v>
      </c>
      <c r="C1413" t="s">
        <v>40</v>
      </c>
      <c r="D1413">
        <v>6.0028920000000001</v>
      </c>
      <c r="E1413">
        <v>0.53981889999999999</v>
      </c>
      <c r="F1413" t="s">
        <v>41</v>
      </c>
      <c r="G1413">
        <v>-194.36170000000001</v>
      </c>
      <c r="H1413" s="1">
        <v>-2.0176270000000001E-6</v>
      </c>
      <c r="I1413">
        <v>341.58699999999999</v>
      </c>
      <c r="J1413">
        <v>-195.13759999999999</v>
      </c>
      <c r="K1413">
        <v>1.107267</v>
      </c>
      <c r="L1413">
        <v>356.7604</v>
      </c>
      <c r="M1413">
        <v>0.48960120000000001</v>
      </c>
      <c r="N1413">
        <v>-1.382472E-2</v>
      </c>
      <c r="O1413">
        <v>-0.87183699999999997</v>
      </c>
      <c r="P1413">
        <v>0.1768198</v>
      </c>
      <c r="Q1413">
        <v>0.1367138</v>
      </c>
      <c r="R1413">
        <v>-0.97470270000000003</v>
      </c>
      <c r="S1413">
        <v>0.17939759999999999</v>
      </c>
      <c r="T1413">
        <v>-0.22099360000000001</v>
      </c>
      <c r="U1413">
        <v>-3.0779420000000002</v>
      </c>
      <c r="V1413">
        <v>0.32770660000000001</v>
      </c>
      <c r="W1413">
        <v>0.13924300000000001</v>
      </c>
      <c r="X1413">
        <v>0.93446229999999997</v>
      </c>
      <c r="Y1413">
        <v>0.4377972</v>
      </c>
      <c r="Z1413">
        <v>4.0690120000000003E-2</v>
      </c>
      <c r="AA1413">
        <v>0.89815249999999902</v>
      </c>
      <c r="AB1413">
        <v>26</v>
      </c>
      <c r="AC1413">
        <v>0.77589999999997805</v>
      </c>
      <c r="AD1413">
        <v>-1.1072690176269999</v>
      </c>
      <c r="AE1413">
        <v>-15.173400000000001</v>
      </c>
      <c r="AF1413">
        <v>6.7174224696735303</v>
      </c>
      <c r="AG1413">
        <v>-1.1072690176269999</v>
      </c>
      <c r="AH1413">
        <v>13.5380069753085</v>
      </c>
      <c r="AI1413">
        <v>94.190357873744603</v>
      </c>
      <c r="AJ1413">
        <v>63.609856483455701</v>
      </c>
      <c r="AK1413">
        <v>15.1534630423865</v>
      </c>
      <c r="AL1413">
        <v>81.995955777262793</v>
      </c>
      <c r="AM1413">
        <v>70.674740809259902</v>
      </c>
      <c r="AN1413">
        <v>1.0000000094269199</v>
      </c>
    </row>
    <row r="1414" spans="1:40" x14ac:dyDescent="0.25">
      <c r="A1414" t="str">
        <f>"20190303162239138"</f>
        <v>20190303162239138</v>
      </c>
      <c r="B1414" t="str">
        <f>"1551601359125479"</f>
        <v>1551601359125479</v>
      </c>
      <c r="C1414" t="s">
        <v>40</v>
      </c>
      <c r="D1414">
        <v>5.8583800000000004</v>
      </c>
      <c r="E1414">
        <v>0.53900649999999894</v>
      </c>
      <c r="F1414" t="s">
        <v>41</v>
      </c>
      <c r="G1414">
        <v>-194.13749999999999</v>
      </c>
      <c r="H1414" s="1">
        <v>-2.519464E-6</v>
      </c>
      <c r="I1414">
        <v>342.89580000000001</v>
      </c>
      <c r="J1414">
        <v>-195.0266</v>
      </c>
      <c r="K1414">
        <v>1.1073139999999999</v>
      </c>
      <c r="L1414">
        <v>356.5258</v>
      </c>
      <c r="M1414">
        <v>0.47417900000000002</v>
      </c>
      <c r="N1414">
        <v>-1.3823820000000001E-2</v>
      </c>
      <c r="O1414">
        <v>-0.88031999999999999</v>
      </c>
      <c r="P1414">
        <v>0.17059179999999999</v>
      </c>
      <c r="Q1414">
        <v>0.1397611</v>
      </c>
      <c r="R1414">
        <v>-0.97537989999999997</v>
      </c>
      <c r="S1414">
        <v>0.22158810000000001</v>
      </c>
      <c r="T1414">
        <v>-0.2453496</v>
      </c>
      <c r="U1414">
        <v>-3.0721129999999999</v>
      </c>
      <c r="V1414">
        <v>0.3170713</v>
      </c>
      <c r="W1414">
        <v>0.1426972</v>
      </c>
      <c r="X1414">
        <v>0.93760509999999997</v>
      </c>
      <c r="Y1414">
        <v>0.40940260000000001</v>
      </c>
      <c r="Z1414">
        <v>4.832144E-2</v>
      </c>
      <c r="AA1414">
        <v>0.91107329999999997</v>
      </c>
      <c r="AB1414">
        <v>26</v>
      </c>
      <c r="AC1414">
        <v>0.88910000000001299</v>
      </c>
      <c r="AD1414">
        <v>-1.107316519464</v>
      </c>
      <c r="AE1414">
        <v>-13.6299999999999</v>
      </c>
      <c r="AF1414">
        <v>5.6438176906779498</v>
      </c>
      <c r="AG1414">
        <v>-1.107316519464</v>
      </c>
      <c r="AH1414">
        <v>12.3404370327154</v>
      </c>
      <c r="AI1414">
        <v>94.665092419574407</v>
      </c>
      <c r="AJ1414">
        <v>65.423324302273201</v>
      </c>
      <c r="AK1414">
        <v>13.6148894287945</v>
      </c>
      <c r="AL1414">
        <v>81.796048305750205</v>
      </c>
      <c r="AM1414">
        <v>71.315929726272103</v>
      </c>
      <c r="AN1414">
        <v>1.00000001185877</v>
      </c>
    </row>
    <row r="1415" spans="1:40" x14ac:dyDescent="0.25">
      <c r="A1415" t="str">
        <f>"20190303162239161"</f>
        <v>20190303162239161</v>
      </c>
      <c r="B1415" t="str">
        <f>"1551601359155735"</f>
        <v>1551601359155735</v>
      </c>
      <c r="C1415" t="s">
        <v>40</v>
      </c>
      <c r="D1415">
        <v>5.8346609999999997</v>
      </c>
      <c r="E1415">
        <v>0.53888970000000003</v>
      </c>
      <c r="F1415" t="s">
        <v>41</v>
      </c>
      <c r="G1415">
        <v>-194.054</v>
      </c>
      <c r="H1415" s="1">
        <v>-2.15719E-6</v>
      </c>
      <c r="I1415">
        <v>342.10320000000002</v>
      </c>
      <c r="J1415">
        <v>-194.90960000000001</v>
      </c>
      <c r="K1415">
        <v>1.107407</v>
      </c>
      <c r="L1415">
        <v>356.267</v>
      </c>
      <c r="M1415">
        <v>0.45727709999999999</v>
      </c>
      <c r="N1415">
        <v>-1.380936E-2</v>
      </c>
      <c r="O1415">
        <v>-0.88921719999999904</v>
      </c>
      <c r="P1415">
        <v>0.16293779999999999</v>
      </c>
      <c r="Q1415">
        <v>0.1423556</v>
      </c>
      <c r="R1415">
        <v>-0.97631290000000004</v>
      </c>
      <c r="S1415">
        <v>0.20724490000000001</v>
      </c>
      <c r="T1415">
        <v>-0.23595070000000001</v>
      </c>
      <c r="U1415">
        <v>-3.0732119999999998</v>
      </c>
      <c r="V1415">
        <v>0.3063611</v>
      </c>
      <c r="W1415">
        <v>0.14572079999999901</v>
      </c>
      <c r="X1415">
        <v>0.94069559999999997</v>
      </c>
      <c r="Y1415">
        <v>0.39621489999999998</v>
      </c>
      <c r="Z1415">
        <v>4.7166939999999997E-2</v>
      </c>
      <c r="AA1415">
        <v>0.91694549999999997</v>
      </c>
      <c r="AB1415">
        <v>26</v>
      </c>
      <c r="AC1415">
        <v>0.85560000000000902</v>
      </c>
      <c r="AD1415">
        <v>-1.10740915719</v>
      </c>
      <c r="AE1415">
        <v>-14.163799999999901</v>
      </c>
      <c r="AF1415">
        <v>5.6819040867865596</v>
      </c>
      <c r="AG1415">
        <v>-1.10740915719</v>
      </c>
      <c r="AH1415">
        <v>12.908553967507499</v>
      </c>
      <c r="AI1415">
        <v>94.489593926554406</v>
      </c>
      <c r="AJ1415">
        <v>66.242546797352105</v>
      </c>
      <c r="AK1415">
        <v>14.147125313113101</v>
      </c>
      <c r="AL1415">
        <v>81.620978182532994</v>
      </c>
      <c r="AM1415">
        <v>71.960862108444303</v>
      </c>
      <c r="AN1415">
        <v>0.99999994350260302</v>
      </c>
    </row>
    <row r="1416" spans="1:40" x14ac:dyDescent="0.25">
      <c r="A1416" t="str">
        <f>"20190303162239186"</f>
        <v>20190303162239186</v>
      </c>
      <c r="B1416" t="str">
        <f>"1551601359176231"</f>
        <v>1551601359176231</v>
      </c>
      <c r="C1416" t="s">
        <v>40</v>
      </c>
      <c r="D1416">
        <v>5.7992419999999996</v>
      </c>
      <c r="E1416">
        <v>0.53805990000000004</v>
      </c>
      <c r="F1416" t="s">
        <v>41</v>
      </c>
      <c r="G1416">
        <v>-194.0515</v>
      </c>
      <c r="H1416" s="1">
        <v>-2.040517E-6</v>
      </c>
      <c r="I1416">
        <v>341.83280000000002</v>
      </c>
      <c r="J1416">
        <v>-194.7937</v>
      </c>
      <c r="K1416">
        <v>1.107572</v>
      </c>
      <c r="L1416">
        <v>355.99650000000003</v>
      </c>
      <c r="M1416">
        <v>0.4398666</v>
      </c>
      <c r="N1416">
        <v>-1.377107E-2</v>
      </c>
      <c r="O1416">
        <v>-0.89795769999999997</v>
      </c>
      <c r="P1416">
        <v>0.15699759999999999</v>
      </c>
      <c r="Q1416">
        <v>0.14164849999999901</v>
      </c>
      <c r="R1416">
        <v>-0.97738829999999999</v>
      </c>
      <c r="S1416">
        <v>0.18292240000000001</v>
      </c>
      <c r="T1416">
        <v>-0.2360495</v>
      </c>
      <c r="U1416">
        <v>-3.076721</v>
      </c>
      <c r="V1416">
        <v>0.29367280000000001</v>
      </c>
      <c r="W1416">
        <v>0.1455477</v>
      </c>
      <c r="X1416">
        <v>0.94476039999999994</v>
      </c>
      <c r="Y1416">
        <v>0.38560800000000001</v>
      </c>
      <c r="Z1416">
        <v>4.8299969999999998E-2</v>
      </c>
      <c r="AA1416">
        <v>0.92139760000000004</v>
      </c>
      <c r="AB1416">
        <v>26</v>
      </c>
      <c r="AC1416">
        <v>0.74219999999999597</v>
      </c>
      <c r="AD1416">
        <v>-1.107574040517</v>
      </c>
      <c r="AE1416">
        <v>-14.1637</v>
      </c>
      <c r="AF1416">
        <v>5.5304752467436904</v>
      </c>
      <c r="AG1416">
        <v>-1.107574040517</v>
      </c>
      <c r="AH1416">
        <v>12.967032150830899</v>
      </c>
      <c r="AI1416">
        <v>94.492337486887095</v>
      </c>
      <c r="AJ1416">
        <v>66.901617539581594</v>
      </c>
      <c r="AK1416">
        <v>14.1406081732984</v>
      </c>
      <c r="AL1416">
        <v>81.631003690176698</v>
      </c>
      <c r="AM1416">
        <v>72.732473128005296</v>
      </c>
      <c r="AN1416">
        <v>1.0000000299216401</v>
      </c>
    </row>
    <row r="1417" spans="1:40" x14ac:dyDescent="0.25">
      <c r="A1417" t="str">
        <f>"20190303162239252"</f>
        <v>20190303162239252</v>
      </c>
      <c r="B1417" t="str">
        <f>"1551601359245528"</f>
        <v>1551601359245528</v>
      </c>
      <c r="C1417" t="s">
        <v>40</v>
      </c>
      <c r="D1417">
        <v>5.9134370000000001</v>
      </c>
      <c r="E1417">
        <v>0.52254820000000002</v>
      </c>
      <c r="F1417" t="s">
        <v>41</v>
      </c>
      <c r="G1417">
        <v>-194.00720000000001</v>
      </c>
      <c r="H1417" s="1">
        <v>-1.9910020000000001E-6</v>
      </c>
      <c r="I1417">
        <v>341.7448</v>
      </c>
      <c r="J1417">
        <v>-194.50049999999999</v>
      </c>
      <c r="K1417">
        <v>1.1083799999999999</v>
      </c>
      <c r="L1417">
        <v>355.24470000000002</v>
      </c>
      <c r="M1417">
        <v>0.39344299999999999</v>
      </c>
      <c r="N1417">
        <v>-1.354904E-2</v>
      </c>
      <c r="O1417">
        <v>-0.91924919999999999</v>
      </c>
      <c r="P1417">
        <v>0.14474219999999999</v>
      </c>
      <c r="Q1417">
        <v>0.1352624</v>
      </c>
      <c r="R1417">
        <v>-0.98018059999999996</v>
      </c>
      <c r="S1417">
        <v>0.169799799999999</v>
      </c>
      <c r="T1417">
        <v>-0.239116</v>
      </c>
      <c r="U1417">
        <v>-3.076813</v>
      </c>
      <c r="V1417">
        <v>0.25684679999999999</v>
      </c>
      <c r="W1417">
        <v>0.14076939999999999</v>
      </c>
      <c r="X1417">
        <v>0.95614520000000003</v>
      </c>
      <c r="Y1417">
        <v>0.3420492</v>
      </c>
      <c r="Z1417">
        <v>5.2401620000000003E-2</v>
      </c>
      <c r="AA1417">
        <v>0.93821980000000005</v>
      </c>
      <c r="AB1417">
        <v>26</v>
      </c>
      <c r="AC1417">
        <v>0.49329999999997598</v>
      </c>
      <c r="AD1417">
        <v>-1.1083819910020001</v>
      </c>
      <c r="AE1417">
        <v>-13.4999</v>
      </c>
      <c r="AF1417">
        <v>4.8259335884247898</v>
      </c>
      <c r="AG1417">
        <v>-1.1083819910020001</v>
      </c>
      <c r="AH1417">
        <v>12.520725955609599</v>
      </c>
      <c r="AI1417">
        <v>94.7219439080732</v>
      </c>
      <c r="AJ1417">
        <v>68.921561122326295</v>
      </c>
      <c r="AK1417">
        <v>13.464275847342901</v>
      </c>
      <c r="AL1417">
        <v>81.907629236713206</v>
      </c>
      <c r="AM1417">
        <v>74.963750690574301</v>
      </c>
      <c r="AN1417">
        <v>0.99999997306481903</v>
      </c>
    </row>
    <row r="1418" spans="1:40" x14ac:dyDescent="0.25">
      <c r="A1418" t="str">
        <f>"20190303162239276"</f>
        <v>20190303162239276</v>
      </c>
      <c r="B1418" t="str">
        <f>"1551601359266023"</f>
        <v>1551601359266023</v>
      </c>
      <c r="C1418" t="s">
        <v>40</v>
      </c>
      <c r="D1418">
        <v>5.7218349999999996</v>
      </c>
      <c r="E1418">
        <v>0.52227840000000003</v>
      </c>
      <c r="F1418" t="s">
        <v>41</v>
      </c>
      <c r="G1418">
        <v>-192.92439999999999</v>
      </c>
      <c r="H1418" s="1">
        <v>-3.6243799999999998E-6</v>
      </c>
      <c r="I1418">
        <v>336.22379999999998</v>
      </c>
      <c r="J1418">
        <v>-194.40190000000001</v>
      </c>
      <c r="K1418">
        <v>1.1088340000000001</v>
      </c>
      <c r="L1418">
        <v>354.96749999999997</v>
      </c>
      <c r="M1418">
        <v>0.3773359</v>
      </c>
      <c r="N1418">
        <v>-1.343332E-2</v>
      </c>
      <c r="O1418">
        <v>-0.92597910000000005</v>
      </c>
      <c r="P1418">
        <v>0.14019599999999999</v>
      </c>
      <c r="Q1418">
        <v>0.13751360000000001</v>
      </c>
      <c r="R1418">
        <v>-0.98052839999999997</v>
      </c>
      <c r="S1418">
        <v>0.2525635</v>
      </c>
      <c r="T1418">
        <v>-0.17760670000000001</v>
      </c>
      <c r="U1418">
        <v>-3.047882</v>
      </c>
      <c r="V1418">
        <v>0.24433579999999999</v>
      </c>
      <c r="W1418">
        <v>0.1435797</v>
      </c>
      <c r="X1418">
        <v>0.95900200000000002</v>
      </c>
      <c r="Y1418">
        <v>0.2995024</v>
      </c>
      <c r="Z1418">
        <v>3.7138949999999997E-2</v>
      </c>
      <c r="AA1418">
        <v>0.95337240000000001</v>
      </c>
      <c r="AB1418">
        <v>26</v>
      </c>
      <c r="AC1418">
        <v>1.47750000000002</v>
      </c>
      <c r="AD1418">
        <v>-1.10883762438</v>
      </c>
      <c r="AE1418">
        <v>-18.743699999999901</v>
      </c>
      <c r="AF1418">
        <v>5.6852775479339801</v>
      </c>
      <c r="AG1418">
        <v>-1.10883762438</v>
      </c>
      <c r="AH1418">
        <v>17.853309024829699</v>
      </c>
      <c r="AI1418">
        <v>93.386817556238</v>
      </c>
      <c r="AJ1418">
        <v>72.336240539502398</v>
      </c>
      <c r="AK1418">
        <v>18.769457765485701</v>
      </c>
      <c r="AL1418">
        <v>81.744958383979395</v>
      </c>
      <c r="AM1418">
        <v>75.7062129707667</v>
      </c>
      <c r="AN1418">
        <v>0.99999997470886404</v>
      </c>
    </row>
    <row r="1419" spans="1:40" x14ac:dyDescent="0.25">
      <c r="A1419" t="str">
        <f>"20190303162239340"</f>
        <v>20190303162239340</v>
      </c>
      <c r="B1419" t="str">
        <f>"1551601359336295"</f>
        <v>1551601359336295</v>
      </c>
      <c r="C1419" t="s">
        <v>40</v>
      </c>
      <c r="D1419">
        <v>5.6781030000000001</v>
      </c>
      <c r="E1419">
        <v>0.52331000000000005</v>
      </c>
      <c r="F1419" t="s">
        <v>41</v>
      </c>
      <c r="G1419">
        <v>-192.8212</v>
      </c>
      <c r="H1419" s="1">
        <v>-3.101046E-6</v>
      </c>
      <c r="I1419">
        <v>335.06790000000001</v>
      </c>
      <c r="J1419">
        <v>-194.1585</v>
      </c>
      <c r="K1419">
        <v>1.110571</v>
      </c>
      <c r="L1419">
        <v>354.22609999999997</v>
      </c>
      <c r="M1419">
        <v>0.33855359999999901</v>
      </c>
      <c r="N1419">
        <v>-1.301338E-2</v>
      </c>
      <c r="O1419">
        <v>-0.94085739999999995</v>
      </c>
      <c r="P1419">
        <v>0.13583110000000001</v>
      </c>
      <c r="Q1419">
        <v>0.13936319999999999</v>
      </c>
      <c r="R1419">
        <v>-0.98088129999999996</v>
      </c>
      <c r="S1419">
        <v>0.2421722</v>
      </c>
      <c r="T1419">
        <v>-0.16988059999999999</v>
      </c>
      <c r="U1419">
        <v>-3.048737</v>
      </c>
      <c r="V1419">
        <v>0.2078846</v>
      </c>
      <c r="W1419">
        <v>0.14701939999999999</v>
      </c>
      <c r="X1419">
        <v>0.9670415</v>
      </c>
      <c r="Y1419">
        <v>0.26293919999999998</v>
      </c>
      <c r="Z1419">
        <v>3.6855590000000001E-2</v>
      </c>
      <c r="AA1419">
        <v>0.96410819999999997</v>
      </c>
      <c r="AB1419">
        <v>27</v>
      </c>
      <c r="AC1419">
        <v>1.3372999999999899</v>
      </c>
      <c r="AD1419">
        <v>-1.110574101046</v>
      </c>
      <c r="AE1419">
        <v>-19.158199999999901</v>
      </c>
      <c r="AF1419">
        <v>5.2108847616844498</v>
      </c>
      <c r="AG1419">
        <v>-1.110574101046</v>
      </c>
      <c r="AH1419">
        <v>18.417851323637201</v>
      </c>
      <c r="AI1419">
        <v>93.320651113488296</v>
      </c>
      <c r="AJ1419">
        <v>74.202424725723503</v>
      </c>
      <c r="AK1419">
        <v>19.173000344575101</v>
      </c>
      <c r="AL1419">
        <v>81.545764175667799</v>
      </c>
      <c r="AM1419">
        <v>77.867780395314796</v>
      </c>
      <c r="AN1419">
        <v>0.99999998680788404</v>
      </c>
    </row>
    <row r="1420" spans="1:40" x14ac:dyDescent="0.25">
      <c r="A1420" t="str">
        <f>"20190303162239363"</f>
        <v>20190303162239363</v>
      </c>
      <c r="B1420" t="str">
        <f>"1551601359355815"</f>
        <v>1551601359355815</v>
      </c>
      <c r="C1420" t="s">
        <v>40</v>
      </c>
      <c r="D1420">
        <v>5.6532900000000001</v>
      </c>
      <c r="E1420">
        <v>0.52363440000000006</v>
      </c>
      <c r="F1420" t="s">
        <v>41</v>
      </c>
      <c r="G1420">
        <v>-192.72020000000001</v>
      </c>
      <c r="H1420" s="1">
        <v>-2.7195069999999999E-6</v>
      </c>
      <c r="I1420">
        <v>334.24119999999999</v>
      </c>
      <c r="J1420">
        <v>-194.0762</v>
      </c>
      <c r="K1420">
        <v>1.111381</v>
      </c>
      <c r="L1420">
        <v>353.95819999999998</v>
      </c>
      <c r="M1420">
        <v>0.32643040000000001</v>
      </c>
      <c r="N1420">
        <v>-1.2838219999999999E-2</v>
      </c>
      <c r="O1420">
        <v>-0.94513420000000004</v>
      </c>
      <c r="P1420">
        <v>0.135236</v>
      </c>
      <c r="Q1420">
        <v>0.14186589999999999</v>
      </c>
      <c r="R1420">
        <v>-0.98060480000000005</v>
      </c>
      <c r="S1420">
        <v>0.21966550000000001</v>
      </c>
      <c r="T1420">
        <v>-0.1696125</v>
      </c>
      <c r="U1420">
        <v>-3.0521850000000001</v>
      </c>
      <c r="V1420">
        <v>0.19565170000000001</v>
      </c>
      <c r="W1420">
        <v>0.15004670000000001</v>
      </c>
      <c r="X1420">
        <v>0.96912659999999995</v>
      </c>
      <c r="Y1420">
        <v>0.25769229999999999</v>
      </c>
      <c r="Z1420">
        <v>3.7275610000000001E-2</v>
      </c>
      <c r="AA1420">
        <v>0.96550769999999997</v>
      </c>
      <c r="AB1420">
        <v>27</v>
      </c>
      <c r="AC1420">
        <v>1.3559999999999901</v>
      </c>
      <c r="AD1420">
        <v>-1.111383719507</v>
      </c>
      <c r="AE1420">
        <v>-19.716999999999899</v>
      </c>
      <c r="AF1420">
        <v>5.1388001343183696</v>
      </c>
      <c r="AG1420">
        <v>-1.111383719507</v>
      </c>
      <c r="AH1420">
        <v>19.019276517092301</v>
      </c>
      <c r="AI1420">
        <v>93.228734476783899</v>
      </c>
      <c r="AJ1420">
        <v>74.880329909183601</v>
      </c>
      <c r="AK1420">
        <v>19.732595364677099</v>
      </c>
      <c r="AL1420">
        <v>81.370366954579495</v>
      </c>
      <c r="AM1420">
        <v>78.586280735944896</v>
      </c>
      <c r="AN1420">
        <v>0.99999998336066898</v>
      </c>
    </row>
    <row r="1421" spans="1:40" x14ac:dyDescent="0.25">
      <c r="A1421" t="str">
        <f>"20190303162239386"</f>
        <v>20190303162239386</v>
      </c>
      <c r="B1421" t="str">
        <f>"1551601359375335"</f>
        <v>1551601359375335</v>
      </c>
      <c r="C1421" t="s">
        <v>40</v>
      </c>
      <c r="D1421">
        <v>5.7821040000000004</v>
      </c>
      <c r="E1421">
        <v>0.52379169999999997</v>
      </c>
      <c r="F1421" t="s">
        <v>41</v>
      </c>
      <c r="G1421">
        <v>-192.62690000000001</v>
      </c>
      <c r="H1421" s="1">
        <v>-2.2970280000000001E-6</v>
      </c>
      <c r="I1421">
        <v>333.3143</v>
      </c>
      <c r="J1421">
        <v>-193.9975</v>
      </c>
      <c r="K1421">
        <v>1.1122350000000001</v>
      </c>
      <c r="L1421">
        <v>353.69349999999997</v>
      </c>
      <c r="M1421">
        <v>0.31569429999999998</v>
      </c>
      <c r="N1421">
        <v>-1.2663799999999999E-2</v>
      </c>
      <c r="O1421">
        <v>-0.94877659999999997</v>
      </c>
      <c r="P1421">
        <v>0.13977000000000001</v>
      </c>
      <c r="Q1421">
        <v>0.1449917</v>
      </c>
      <c r="R1421">
        <v>-0.97951109999999997</v>
      </c>
      <c r="S1421">
        <v>0.21438599999999999</v>
      </c>
      <c r="T1421">
        <v>-0.1643898</v>
      </c>
      <c r="U1421">
        <v>-3.053528</v>
      </c>
      <c r="V1421">
        <v>0.17973749999999999</v>
      </c>
      <c r="W1421">
        <v>0.1537483</v>
      </c>
      <c r="X1421">
        <v>0.97162539999999997</v>
      </c>
      <c r="Y1421">
        <v>0.24842420000000001</v>
      </c>
      <c r="Z1421">
        <v>3.624223E-2</v>
      </c>
      <c r="AA1421">
        <v>0.96797310000000003</v>
      </c>
      <c r="AB1421">
        <v>27</v>
      </c>
      <c r="AC1421">
        <v>1.37059999999999</v>
      </c>
      <c r="AD1421">
        <v>-1.1122372970279999</v>
      </c>
      <c r="AE1421">
        <v>-20.379199999999901</v>
      </c>
      <c r="AF1421">
        <v>5.1184375373568702</v>
      </c>
      <c r="AG1421">
        <v>-1.1122372970279999</v>
      </c>
      <c r="AH1421">
        <v>19.711132689002898</v>
      </c>
      <c r="AI1421">
        <v>93.126134036820304</v>
      </c>
      <c r="AJ1421">
        <v>75.443365682973095</v>
      </c>
      <c r="AK1421">
        <v>20.395201065745901</v>
      </c>
      <c r="AL1421">
        <v>81.155791140713504</v>
      </c>
      <c r="AM1421">
        <v>79.519534432667996</v>
      </c>
      <c r="AN1421">
        <v>1.00000001329215</v>
      </c>
    </row>
    <row r="1422" spans="1:40" x14ac:dyDescent="0.25">
      <c r="A1422" t="str">
        <f>"20190303162239420"</f>
        <v>20190303162239420</v>
      </c>
      <c r="B1422" t="str">
        <f>"1551601359405590"</f>
        <v>1551601359405590</v>
      </c>
      <c r="C1422" t="s">
        <v>40</v>
      </c>
      <c r="D1422">
        <v>5.6050829999999996</v>
      </c>
      <c r="E1422">
        <v>0.52389090000000005</v>
      </c>
      <c r="F1422" t="s">
        <v>41</v>
      </c>
      <c r="G1422">
        <v>-192.33109999999999</v>
      </c>
      <c r="H1422" s="1">
        <v>-1.5193669999999999E-6</v>
      </c>
      <c r="I1422">
        <v>331.685</v>
      </c>
      <c r="J1422">
        <v>-193.88319999999999</v>
      </c>
      <c r="K1422">
        <v>1.1133740000000001</v>
      </c>
      <c r="L1422">
        <v>353.29719999999998</v>
      </c>
      <c r="M1422">
        <v>0.30139969999999999</v>
      </c>
      <c r="N1422">
        <v>-1.242497E-2</v>
      </c>
      <c r="O1422">
        <v>-0.95341710000000002</v>
      </c>
      <c r="P1422">
        <v>0.14017360000000001</v>
      </c>
      <c r="Q1422">
        <v>0.1438895</v>
      </c>
      <c r="R1422">
        <v>-0.97961609999999999</v>
      </c>
      <c r="S1422">
        <v>0.23114009999999999</v>
      </c>
      <c r="T1422">
        <v>-0.15426889999999999</v>
      </c>
      <c r="U1422">
        <v>-3.0526119999999999</v>
      </c>
      <c r="V1422">
        <v>0.16429289999999999</v>
      </c>
      <c r="W1422">
        <v>0.1531961</v>
      </c>
      <c r="X1422">
        <v>0.97444280000000005</v>
      </c>
      <c r="Y1422">
        <v>0.2285211</v>
      </c>
      <c r="Z1422">
        <v>3.3963590000000002E-2</v>
      </c>
      <c r="AA1422">
        <v>0.97294630000000004</v>
      </c>
      <c r="AB1422">
        <v>27</v>
      </c>
      <c r="AC1422">
        <v>1.55209999999999</v>
      </c>
      <c r="AD1422">
        <v>-1.1133755193670001</v>
      </c>
      <c r="AE1422">
        <v>-21.612199999999898</v>
      </c>
      <c r="AF1422">
        <v>5.0212421994695804</v>
      </c>
      <c r="AG1422">
        <v>-1.1133755193670001</v>
      </c>
      <c r="AH1422">
        <v>21.0193697388823</v>
      </c>
      <c r="AI1422">
        <v>92.949236558570803</v>
      </c>
      <c r="AJ1422">
        <v>76.564609911432996</v>
      </c>
      <c r="AK1422">
        <v>21.639463544475898</v>
      </c>
      <c r="AL1422">
        <v>81.187808948965397</v>
      </c>
      <c r="AM1422">
        <v>80.4298282684247</v>
      </c>
      <c r="AN1422">
        <v>0.99999998625872999</v>
      </c>
    </row>
    <row r="1423" spans="1:40" x14ac:dyDescent="0.25">
      <c r="A1423" t="str">
        <f>"20190303162239441"</f>
        <v>20190303162239441</v>
      </c>
      <c r="B1423" t="str">
        <f>"1551601359435848"</f>
        <v>1551601359435848</v>
      </c>
      <c r="C1423" t="s">
        <v>40</v>
      </c>
      <c r="D1423">
        <v>5.6194240000000004</v>
      </c>
      <c r="E1423">
        <v>0.52374589999999999</v>
      </c>
      <c r="F1423" t="s">
        <v>41</v>
      </c>
      <c r="G1423">
        <v>-192.2354</v>
      </c>
      <c r="H1423" s="1">
        <v>-1.520559E-6</v>
      </c>
      <c r="I1423">
        <v>331.74709999999999</v>
      </c>
      <c r="J1423">
        <v>-193.8134</v>
      </c>
      <c r="K1423">
        <v>1.1140399999999999</v>
      </c>
      <c r="L1423">
        <v>353.04829999999998</v>
      </c>
      <c r="M1423">
        <v>0.29365380000000002</v>
      </c>
      <c r="N1423">
        <v>-1.2285570000000001E-2</v>
      </c>
      <c r="O1423">
        <v>-0.95583300000000004</v>
      </c>
      <c r="P1423">
        <v>0.14112420000000001</v>
      </c>
      <c r="Q1423">
        <v>0.14477479999999901</v>
      </c>
      <c r="R1423">
        <v>-0.97934920000000003</v>
      </c>
      <c r="S1423">
        <v>0.23338320000000001</v>
      </c>
      <c r="T1423">
        <v>-0.15769140000000001</v>
      </c>
      <c r="U1423">
        <v>-3.052216</v>
      </c>
      <c r="V1423">
        <v>0.155144899999999</v>
      </c>
      <c r="W1423">
        <v>0.15436510000000001</v>
      </c>
      <c r="X1423">
        <v>0.97575690000000004</v>
      </c>
      <c r="Y1423">
        <v>0.21989929999999999</v>
      </c>
      <c r="Z1423">
        <v>3.5363970000000002E-2</v>
      </c>
      <c r="AA1423">
        <v>0.97488140000000001</v>
      </c>
      <c r="AB1423">
        <v>27</v>
      </c>
      <c r="AC1423">
        <v>1.5780000000000001</v>
      </c>
      <c r="AD1423">
        <v>-1.114041520559</v>
      </c>
      <c r="AE1423">
        <v>-21.301199999999898</v>
      </c>
      <c r="AF1423">
        <v>4.7343527314327298</v>
      </c>
      <c r="AG1423">
        <v>-1.114041520559</v>
      </c>
      <c r="AH1423">
        <v>20.768847451051201</v>
      </c>
      <c r="AI1423">
        <v>92.993752163701799</v>
      </c>
      <c r="AJ1423">
        <v>77.158594013653399</v>
      </c>
      <c r="AK1423">
        <v>21.3307339006465</v>
      </c>
      <c r="AL1423">
        <v>81.120024231084699</v>
      </c>
      <c r="AM1423">
        <v>80.965623003922701</v>
      </c>
      <c r="AN1423">
        <v>1.0000000259958099</v>
      </c>
    </row>
    <row r="1424" spans="1:40" x14ac:dyDescent="0.25">
      <c r="A1424" t="str">
        <f>"20190303162239465"</f>
        <v>20190303162239465</v>
      </c>
      <c r="B1424" t="str">
        <f>"1551601359455367"</f>
        <v>1551601359455367</v>
      </c>
      <c r="C1424" t="s">
        <v>40</v>
      </c>
      <c r="D1424">
        <v>5.6154320000000002</v>
      </c>
      <c r="E1424">
        <v>0.52368649999999906</v>
      </c>
      <c r="F1424" t="s">
        <v>41</v>
      </c>
      <c r="G1424">
        <v>-192.12520000000001</v>
      </c>
      <c r="H1424" s="1">
        <v>-1.387835E-6</v>
      </c>
      <c r="I1424">
        <v>331.5061</v>
      </c>
      <c r="J1424">
        <v>-193.7388</v>
      </c>
      <c r="K1424">
        <v>1.114838</v>
      </c>
      <c r="L1424">
        <v>352.77769999999998</v>
      </c>
      <c r="M1424">
        <v>0.28654819999999998</v>
      </c>
      <c r="N1424">
        <v>-1.213585E-2</v>
      </c>
      <c r="O1424">
        <v>-0.95798899999999998</v>
      </c>
      <c r="P1424">
        <v>0.13670450000000001</v>
      </c>
      <c r="Q1424">
        <v>0.14488679999999901</v>
      </c>
      <c r="R1424">
        <v>-0.97995909999999997</v>
      </c>
      <c r="S1424">
        <v>0.23918149999999999</v>
      </c>
      <c r="T1424">
        <v>-0.1578388</v>
      </c>
      <c r="U1424">
        <v>-3.0521240000000001</v>
      </c>
      <c r="V1424">
        <v>0.1519905</v>
      </c>
      <c r="W1424">
        <v>0.15467549999999999</v>
      </c>
      <c r="X1424">
        <v>0.97620399999999996</v>
      </c>
      <c r="Y1424">
        <v>0.21080889999999999</v>
      </c>
      <c r="Z1424">
        <v>3.5771600000000001E-2</v>
      </c>
      <c r="AA1424">
        <v>0.97687259999999998</v>
      </c>
      <c r="AB1424">
        <v>27</v>
      </c>
      <c r="AC1424">
        <v>1.6135999999999899</v>
      </c>
      <c r="AD1424">
        <v>-1.114839387835</v>
      </c>
      <c r="AE1424">
        <v>-21.2715999999999</v>
      </c>
      <c r="AF1424">
        <v>4.5374703972192902</v>
      </c>
      <c r="AG1424">
        <v>-1.114839387835</v>
      </c>
      <c r="AH1424">
        <v>20.7851015464793</v>
      </c>
      <c r="AI1424">
        <v>92.999689140212197</v>
      </c>
      <c r="AJ1424">
        <v>77.685303035222006</v>
      </c>
      <c r="AK1424">
        <v>21.303801321918201</v>
      </c>
      <c r="AL1424">
        <v>81.102022617631803</v>
      </c>
      <c r="AM1424">
        <v>81.150360822047006</v>
      </c>
      <c r="AN1424">
        <v>0.99999993600324799</v>
      </c>
    </row>
    <row r="1425" spans="1:40" x14ac:dyDescent="0.25">
      <c r="A1425" t="str">
        <f>"20190303162239484"</f>
        <v>20190303162239484</v>
      </c>
      <c r="B1425" t="str">
        <f>"1551601359475864"</f>
        <v>1551601359475864</v>
      </c>
      <c r="C1425" t="s">
        <v>40</v>
      </c>
      <c r="D1425">
        <v>5.7734079999999999</v>
      </c>
      <c r="E1425">
        <v>0.52376809999999996</v>
      </c>
      <c r="F1425" t="s">
        <v>41</v>
      </c>
      <c r="G1425">
        <v>-192.12549999999999</v>
      </c>
      <c r="H1425" s="1">
        <v>-1.444344E-6</v>
      </c>
      <c r="I1425">
        <v>331.63760000000002</v>
      </c>
      <c r="J1425">
        <v>-193.67269999999999</v>
      </c>
      <c r="K1425">
        <v>1.115642</v>
      </c>
      <c r="L1425">
        <v>352.53539999999998</v>
      </c>
      <c r="M1425">
        <v>0.28133629999999998</v>
      </c>
      <c r="N1425">
        <v>-1.2009229999999999E-2</v>
      </c>
      <c r="O1425">
        <v>-0.9595342</v>
      </c>
      <c r="P1425">
        <v>0.13104169999999901</v>
      </c>
      <c r="Q1425">
        <v>0.14349619999999999</v>
      </c>
      <c r="R1425">
        <v>-0.98093710000000001</v>
      </c>
      <c r="S1425">
        <v>0.23295589999999999</v>
      </c>
      <c r="T1425">
        <v>-0.16098489999999999</v>
      </c>
      <c r="U1425">
        <v>-3.052673</v>
      </c>
      <c r="V1425">
        <v>0.15206140000000001</v>
      </c>
      <c r="W1425">
        <v>0.15345429999999999</v>
      </c>
      <c r="X1425">
        <v>0.97638570000000002</v>
      </c>
      <c r="Y1425">
        <v>0.20749190000000001</v>
      </c>
      <c r="Z1425">
        <v>3.6975010000000003E-2</v>
      </c>
      <c r="AA1425">
        <v>0.97753769999999995</v>
      </c>
      <c r="AB1425">
        <v>27</v>
      </c>
      <c r="AC1425">
        <v>1.5471999999999999</v>
      </c>
      <c r="AD1425">
        <v>-1.115643444344</v>
      </c>
      <c r="AE1425">
        <v>-20.897799999999901</v>
      </c>
      <c r="AF1425">
        <v>4.3826123897422802</v>
      </c>
      <c r="AG1425">
        <v>-1.115643444344</v>
      </c>
      <c r="AH1425">
        <v>20.431001072431499</v>
      </c>
      <c r="AI1425">
        <v>93.056170425057203</v>
      </c>
      <c r="AJ1425">
        <v>77.893068700783104</v>
      </c>
      <c r="AK1425">
        <v>20.925528821879901</v>
      </c>
      <c r="AL1425">
        <v>81.172837956896998</v>
      </c>
      <c r="AM1425">
        <v>81.147919589653597</v>
      </c>
      <c r="AN1425">
        <v>0.99999996336146901</v>
      </c>
    </row>
    <row r="1426" spans="1:40" x14ac:dyDescent="0.25">
      <c r="A1426" t="str">
        <f>"20190303162239530"</f>
        <v>20190303162239530</v>
      </c>
      <c r="B1426" t="str">
        <f>"1551601359515878"</f>
        <v>1551601359515878</v>
      </c>
      <c r="C1426" t="s">
        <v>40</v>
      </c>
      <c r="D1426">
        <v>5.6501720000000004</v>
      </c>
      <c r="E1426">
        <v>0.52377870000000004</v>
      </c>
      <c r="F1426" t="s">
        <v>41</v>
      </c>
      <c r="G1426">
        <v>-192.21250000000001</v>
      </c>
      <c r="H1426" s="1">
        <v>-1.6622970000000001E-6</v>
      </c>
      <c r="I1426">
        <v>332.0917</v>
      </c>
      <c r="J1426">
        <v>-193.5307</v>
      </c>
      <c r="K1426">
        <v>1.117272</v>
      </c>
      <c r="L1426">
        <v>352.01089999999999</v>
      </c>
      <c r="M1426">
        <v>0.27286670000000002</v>
      </c>
      <c r="N1426">
        <v>-1.1789060000000001E-2</v>
      </c>
      <c r="O1426">
        <v>-0.96197969999999999</v>
      </c>
      <c r="P1426">
        <v>0.1263579</v>
      </c>
      <c r="Q1426">
        <v>0.13906779999999999</v>
      </c>
      <c r="R1426">
        <v>-0.98218850000000002</v>
      </c>
      <c r="S1426">
        <v>0.21809390000000001</v>
      </c>
      <c r="T1426">
        <v>-0.16663410000000001</v>
      </c>
      <c r="U1426">
        <v>-3.0534970000000001</v>
      </c>
      <c r="V1426">
        <v>0.14764479999999999</v>
      </c>
      <c r="W1426">
        <v>0.14944560000000001</v>
      </c>
      <c r="X1426">
        <v>0.97768449999999996</v>
      </c>
      <c r="Y1426">
        <v>0.2036249</v>
      </c>
      <c r="Z1426">
        <v>3.9105920000000002E-2</v>
      </c>
      <c r="AA1426">
        <v>0.97826769999999996</v>
      </c>
      <c r="AB1426">
        <v>27</v>
      </c>
      <c r="AC1426">
        <v>1.31819999999999</v>
      </c>
      <c r="AD1426">
        <v>-1.1172736622970001</v>
      </c>
      <c r="AE1426">
        <v>-19.919199999999901</v>
      </c>
      <c r="AF1426">
        <v>4.1544805036579904</v>
      </c>
      <c r="AG1426">
        <v>-1.1172736622970001</v>
      </c>
      <c r="AH1426">
        <v>19.461951404909701</v>
      </c>
      <c r="AI1426">
        <v>93.213393921037806</v>
      </c>
      <c r="AJ1426">
        <v>77.950110813341595</v>
      </c>
      <c r="AK1426">
        <v>19.931772655205702</v>
      </c>
      <c r="AL1426">
        <v>81.405200165008395</v>
      </c>
      <c r="AM1426">
        <v>81.412380237615807</v>
      </c>
      <c r="AN1426">
        <v>0.99999997793332396</v>
      </c>
    </row>
    <row r="1427" spans="1:40" x14ac:dyDescent="0.25">
      <c r="A1427" t="str">
        <f>"20190303162239552"</f>
        <v>20190303162239552</v>
      </c>
      <c r="B1427" t="str">
        <f>"1551601359546135"</f>
        <v>1551601359546135</v>
      </c>
      <c r="C1427" t="s">
        <v>40</v>
      </c>
      <c r="D1427">
        <v>5.7264549999999996</v>
      </c>
      <c r="E1427">
        <v>0.52331229999999995</v>
      </c>
      <c r="F1427" t="s">
        <v>41</v>
      </c>
      <c r="G1427">
        <v>-192.29409999999999</v>
      </c>
      <c r="H1427" s="1">
        <v>-2.0376269999999999E-6</v>
      </c>
      <c r="I1427">
        <v>332.916</v>
      </c>
      <c r="J1427">
        <v>-193.45840000000001</v>
      </c>
      <c r="K1427">
        <v>1.117961</v>
      </c>
      <c r="L1427">
        <v>351.74259999999998</v>
      </c>
      <c r="M1427">
        <v>0.2698893</v>
      </c>
      <c r="N1427">
        <v>-1.169626E-2</v>
      </c>
      <c r="O1427">
        <v>-0.96282049999999997</v>
      </c>
      <c r="P1427">
        <v>0.1235363</v>
      </c>
      <c r="Q1427">
        <v>0.13577709999999901</v>
      </c>
      <c r="R1427">
        <v>-0.98300750000000003</v>
      </c>
      <c r="S1427">
        <v>0.19779969999999999</v>
      </c>
      <c r="T1427">
        <v>-0.17871129999999999</v>
      </c>
      <c r="U1427">
        <v>-3.0542910000000001</v>
      </c>
      <c r="V1427">
        <v>0.14728279999999999</v>
      </c>
      <c r="W1427">
        <v>0.14631520000000001</v>
      </c>
      <c r="X1427">
        <v>0.97821250000000004</v>
      </c>
      <c r="Y1427">
        <v>0.20708670000000001</v>
      </c>
      <c r="Z1427">
        <v>4.290472E-2</v>
      </c>
      <c r="AA1427">
        <v>0.97738130000000001</v>
      </c>
      <c r="AB1427">
        <v>27</v>
      </c>
      <c r="AC1427">
        <v>1.1643000000000201</v>
      </c>
      <c r="AD1427">
        <v>-1.117963037627</v>
      </c>
      <c r="AE1427">
        <v>-18.8265999999999</v>
      </c>
      <c r="AF1427">
        <v>3.9464929574127199</v>
      </c>
      <c r="AG1427">
        <v>-1.117963037627</v>
      </c>
      <c r="AH1427">
        <v>18.3775700946067</v>
      </c>
      <c r="AI1427">
        <v>93.403775086967599</v>
      </c>
      <c r="AJ1427">
        <v>77.880080487931707</v>
      </c>
      <c r="AK1427">
        <v>18.829756519896701</v>
      </c>
      <c r="AL1427">
        <v>81.586553309335898</v>
      </c>
      <c r="AM1427">
        <v>81.437678337986597</v>
      </c>
      <c r="AN1427">
        <v>1.00000002804156</v>
      </c>
    </row>
    <row r="1428" spans="1:40" x14ac:dyDescent="0.25">
      <c r="A1428" t="str">
        <f>"20190303162239575"</f>
        <v>20190303162239575</v>
      </c>
      <c r="B1428" t="str">
        <f>"1551601359565655"</f>
        <v>1551601359565655</v>
      </c>
      <c r="C1428" t="s">
        <v>40</v>
      </c>
      <c r="D1428">
        <v>5.2647469999999998</v>
      </c>
      <c r="E1428">
        <v>0.52312119999999995</v>
      </c>
      <c r="F1428" t="s">
        <v>41</v>
      </c>
      <c r="G1428">
        <v>-192.33099999999999</v>
      </c>
      <c r="H1428" s="1">
        <v>-2.3923489999999998E-6</v>
      </c>
      <c r="I1428">
        <v>333.72</v>
      </c>
      <c r="J1428">
        <v>-193.38740000000001</v>
      </c>
      <c r="K1428">
        <v>1.11854599999999</v>
      </c>
      <c r="L1428">
        <v>351.4794</v>
      </c>
      <c r="M1428">
        <v>0.26776299999999997</v>
      </c>
      <c r="N1428">
        <v>-1.161334E-2</v>
      </c>
      <c r="O1428">
        <v>-0.96341500000000002</v>
      </c>
      <c r="P1428">
        <v>0.1194051</v>
      </c>
      <c r="Q1428">
        <v>0.13289599999999999</v>
      </c>
      <c r="R1428">
        <v>-0.98391139999999999</v>
      </c>
      <c r="S1428">
        <v>0.19103999999999999</v>
      </c>
      <c r="T1428">
        <v>-0.18944369999999999</v>
      </c>
      <c r="U1428">
        <v>-3.0540159999999998</v>
      </c>
      <c r="V1428">
        <v>0.14912300000000001</v>
      </c>
      <c r="W1428">
        <v>0.1435495</v>
      </c>
      <c r="X1428">
        <v>0.97834339999999997</v>
      </c>
      <c r="Y1428">
        <v>0.20708109999999999</v>
      </c>
      <c r="Z1428">
        <v>4.6308410000000001E-2</v>
      </c>
      <c r="AA1428">
        <v>0.97722719999999996</v>
      </c>
      <c r="AB1428">
        <v>27</v>
      </c>
      <c r="AC1428">
        <v>1.05640000000002</v>
      </c>
      <c r="AD1428">
        <v>-1.1185483923489901</v>
      </c>
      <c r="AE1428">
        <v>-17.7593999999999</v>
      </c>
      <c r="AF1428">
        <v>3.7230928961888798</v>
      </c>
      <c r="AG1428">
        <v>-1.1185483923489901</v>
      </c>
      <c r="AH1428">
        <v>17.325221698604999</v>
      </c>
      <c r="AI1428">
        <v>93.611766802336703</v>
      </c>
      <c r="AJ1428">
        <v>77.871903778045095</v>
      </c>
      <c r="AK1428">
        <v>17.756009634078598</v>
      </c>
      <c r="AL1428">
        <v>81.7467067747139</v>
      </c>
      <c r="AM1428">
        <v>81.333454930860597</v>
      </c>
      <c r="AN1428">
        <v>0.99999996820140402</v>
      </c>
    </row>
    <row r="1429" spans="1:40" x14ac:dyDescent="0.25">
      <c r="A1429" t="str">
        <f>"20190303162239645"</f>
        <v>20190303162239645</v>
      </c>
      <c r="B1429" t="str">
        <f>"1551601359635928"</f>
        <v>1551601359635928</v>
      </c>
      <c r="C1429" t="s">
        <v>40</v>
      </c>
      <c r="D1429">
        <v>5.622261</v>
      </c>
      <c r="E1429">
        <v>0.5156326</v>
      </c>
      <c r="F1429" t="s">
        <v>41</v>
      </c>
      <c r="G1429">
        <v>-192.36959999999999</v>
      </c>
      <c r="H1429" s="1">
        <v>-2.6178970000000001E-6</v>
      </c>
      <c r="I1429">
        <v>334.22179999999997</v>
      </c>
      <c r="J1429">
        <v>-193.17089999999999</v>
      </c>
      <c r="K1429">
        <v>1.1198189999999999</v>
      </c>
      <c r="L1429">
        <v>350.67899999999997</v>
      </c>
      <c r="M1429">
        <v>0.2646732</v>
      </c>
      <c r="N1429">
        <v>-1.1418050000000001E-2</v>
      </c>
      <c r="O1429">
        <v>-0.96427070000000004</v>
      </c>
      <c r="P1429">
        <v>0.1144771</v>
      </c>
      <c r="Q1429">
        <v>0.13408610000000001</v>
      </c>
      <c r="R1429">
        <v>-0.98433550000000003</v>
      </c>
      <c r="S1429">
        <v>0.18011469999999999</v>
      </c>
      <c r="T1429">
        <v>-0.19794139999999999</v>
      </c>
      <c r="U1429">
        <v>-3.0539550000000002</v>
      </c>
      <c r="V1429">
        <v>0.1504125</v>
      </c>
      <c r="W1429">
        <v>0.14499000000000001</v>
      </c>
      <c r="X1429">
        <v>0.97793350000000001</v>
      </c>
      <c r="Y1429">
        <v>0.20743210000000001</v>
      </c>
      <c r="Z1429">
        <v>4.9166660000000001E-2</v>
      </c>
      <c r="AA1429">
        <v>0.97701309999999997</v>
      </c>
      <c r="AB1429">
        <v>27</v>
      </c>
      <c r="AC1429">
        <v>0.80129999999999701</v>
      </c>
      <c r="AD1429">
        <v>-1.119821617897</v>
      </c>
      <c r="AE1429">
        <v>-16.4572</v>
      </c>
      <c r="AF1429">
        <v>3.5668670864813401</v>
      </c>
      <c r="AG1429">
        <v>-1.119821617897</v>
      </c>
      <c r="AH1429">
        <v>16.008380382207701</v>
      </c>
      <c r="AI1429">
        <v>93.905973246141201</v>
      </c>
      <c r="AJ1429">
        <v>77.438968017281596</v>
      </c>
      <c r="AK1429">
        <v>16.439123569399499</v>
      </c>
      <c r="AL1429">
        <v>81.663299681300799</v>
      </c>
      <c r="AM1429">
        <v>81.256058869186305</v>
      </c>
      <c r="AN1429">
        <v>0.999999975339249</v>
      </c>
    </row>
    <row r="1430" spans="1:40" x14ac:dyDescent="0.25">
      <c r="A1430" t="str">
        <f>"20190303162239665"</f>
        <v>20190303162239665</v>
      </c>
      <c r="B1430" t="str">
        <f>"1551601359655448"</f>
        <v>1551601359655448</v>
      </c>
      <c r="C1430" t="s">
        <v>40</v>
      </c>
      <c r="D1430">
        <v>5.806762</v>
      </c>
      <c r="E1430">
        <v>0.51558660000000001</v>
      </c>
      <c r="F1430" t="s">
        <v>41</v>
      </c>
      <c r="G1430">
        <v>-191.84639999999999</v>
      </c>
      <c r="H1430" s="1">
        <v>-2.0514489999999998E-6</v>
      </c>
      <c r="I1430">
        <v>333.22590000000002</v>
      </c>
      <c r="J1430">
        <v>-193.10570000000001</v>
      </c>
      <c r="K1430">
        <v>1.120082</v>
      </c>
      <c r="L1430">
        <v>350.4391</v>
      </c>
      <c r="M1430">
        <v>0.26441310000000001</v>
      </c>
      <c r="N1430">
        <v>-1.137577E-2</v>
      </c>
      <c r="O1430">
        <v>-0.9643427</v>
      </c>
      <c r="P1430">
        <v>0.11128540000000001</v>
      </c>
      <c r="Q1430">
        <v>0.1352757</v>
      </c>
      <c r="R1430">
        <v>-0.98453869999999999</v>
      </c>
      <c r="S1430">
        <v>0.2312775</v>
      </c>
      <c r="T1430">
        <v>-0.19553229999999999</v>
      </c>
      <c r="U1430">
        <v>-3.047485</v>
      </c>
      <c r="V1430">
        <v>0.15319079999999999</v>
      </c>
      <c r="W1430">
        <v>0.14622180000000001</v>
      </c>
      <c r="X1430">
        <v>0.97731860000000004</v>
      </c>
      <c r="Y1430">
        <v>0.19069710000000001</v>
      </c>
      <c r="Z1430">
        <v>4.8711030000000002E-2</v>
      </c>
      <c r="AA1430">
        <v>0.98043959999999997</v>
      </c>
      <c r="AB1430">
        <v>27</v>
      </c>
      <c r="AC1430">
        <v>1.2593000000000201</v>
      </c>
      <c r="AD1430">
        <v>-1.120084051449</v>
      </c>
      <c r="AE1430">
        <v>-17.213199999999901</v>
      </c>
      <c r="AF1430">
        <v>3.3232173808505401</v>
      </c>
      <c r="AG1430">
        <v>-1.120084051449</v>
      </c>
      <c r="AH1430">
        <v>16.862470275312798</v>
      </c>
      <c r="AI1430">
        <v>93.728756871018504</v>
      </c>
      <c r="AJ1430">
        <v>78.851151550538802</v>
      </c>
      <c r="AK1430">
        <v>17.223276860937499</v>
      </c>
      <c r="AL1430">
        <v>81.5919621781551</v>
      </c>
      <c r="AM1430">
        <v>81.091600453070299</v>
      </c>
      <c r="AN1430">
        <v>0.999999940952918</v>
      </c>
    </row>
    <row r="1431" spans="1:40" x14ac:dyDescent="0.25">
      <c r="A1431" t="str">
        <f>"20190303162239687"</f>
        <v>20190303162239687</v>
      </c>
      <c r="B1431" t="str">
        <f>"1551601359675943"</f>
        <v>1551601359675943</v>
      </c>
      <c r="C1431" t="s">
        <v>40</v>
      </c>
      <c r="D1431">
        <v>5.2106539999999999</v>
      </c>
      <c r="E1431">
        <v>0.51507230000000004</v>
      </c>
      <c r="F1431" t="s">
        <v>41</v>
      </c>
      <c r="G1431">
        <v>-191.7285</v>
      </c>
      <c r="H1431" s="1">
        <v>-1.47371E-6</v>
      </c>
      <c r="I1431">
        <v>331.95229999999998</v>
      </c>
      <c r="J1431">
        <v>-193.03380000000001</v>
      </c>
      <c r="K1431">
        <v>1.12029</v>
      </c>
      <c r="L1431">
        <v>350.17559999999997</v>
      </c>
      <c r="M1431">
        <v>0.2643239</v>
      </c>
      <c r="N1431">
        <v>-1.1336219999999999E-2</v>
      </c>
      <c r="O1431">
        <v>-0.96436759999999999</v>
      </c>
      <c r="P1431">
        <v>0.108691</v>
      </c>
      <c r="Q1431">
        <v>0.13333739999999999</v>
      </c>
      <c r="R1431">
        <v>-0.98509310000000005</v>
      </c>
      <c r="S1431">
        <v>0.2269745</v>
      </c>
      <c r="T1431">
        <v>-0.1846032</v>
      </c>
      <c r="U1431">
        <v>-3.0468440000000001</v>
      </c>
      <c r="V1431">
        <v>0.15567</v>
      </c>
      <c r="W1431">
        <v>0.1443229</v>
      </c>
      <c r="X1431">
        <v>0.9772092</v>
      </c>
      <c r="Y1431">
        <v>0.19195950000000001</v>
      </c>
      <c r="Z1431">
        <v>4.5416430000000001E-2</v>
      </c>
      <c r="AA1431">
        <v>0.98035139999999998</v>
      </c>
      <c r="AB1431">
        <v>27</v>
      </c>
      <c r="AC1431">
        <v>1.3053000000000099</v>
      </c>
      <c r="AD1431">
        <v>-1.12029147371</v>
      </c>
      <c r="AE1431">
        <v>-18.223299999999899</v>
      </c>
      <c r="AF1431">
        <v>3.5449634593555999</v>
      </c>
      <c r="AG1431">
        <v>-1.12029147371</v>
      </c>
      <c r="AH1431">
        <v>17.853002138599301</v>
      </c>
      <c r="AI1431">
        <v>93.522068154005893</v>
      </c>
      <c r="AJ1431">
        <v>78.769201755150107</v>
      </c>
      <c r="AK1431">
        <v>18.235994743228702</v>
      </c>
      <c r="AL1431">
        <v>81.701928486489194</v>
      </c>
      <c r="AM1431">
        <v>80.948800430814103</v>
      </c>
      <c r="AN1431">
        <v>1.0000000344645199</v>
      </c>
    </row>
    <row r="1432" spans="1:40" x14ac:dyDescent="0.25">
      <c r="A1432" t="str">
        <f>"20190303162239710"</f>
        <v>20190303162239710</v>
      </c>
      <c r="B1432" t="str">
        <f>"1551601359695463"</f>
        <v>1551601359695463</v>
      </c>
      <c r="C1432" t="s">
        <v>40</v>
      </c>
      <c r="D1432">
        <v>5.6699330000000003</v>
      </c>
      <c r="E1432">
        <v>0.51394689999999998</v>
      </c>
      <c r="F1432" t="s">
        <v>41</v>
      </c>
      <c r="G1432">
        <v>-191.678</v>
      </c>
      <c r="H1432" s="1">
        <v>-1.4055430000000001E-6</v>
      </c>
      <c r="I1432">
        <v>331.82470000000001</v>
      </c>
      <c r="J1432">
        <v>-192.96350000000001</v>
      </c>
      <c r="K1432">
        <v>1.120412</v>
      </c>
      <c r="L1432">
        <v>349.91849999999999</v>
      </c>
      <c r="M1432">
        <v>0.264351</v>
      </c>
      <c r="N1432">
        <v>-1.130363E-2</v>
      </c>
      <c r="O1432">
        <v>-0.96436040000000001</v>
      </c>
      <c r="P1432">
        <v>0.10484540000000001</v>
      </c>
      <c r="Q1432">
        <v>0.12781380000000001</v>
      </c>
      <c r="R1432">
        <v>-0.98624109999999998</v>
      </c>
      <c r="S1432">
        <v>0.22502140000000001</v>
      </c>
      <c r="T1432">
        <v>-0.18593970000000001</v>
      </c>
      <c r="U1432">
        <v>-3.045776</v>
      </c>
      <c r="V1432">
        <v>0.159657299999999</v>
      </c>
      <c r="W1432">
        <v>0.13882220000000001</v>
      </c>
      <c r="X1432">
        <v>0.97736279999999998</v>
      </c>
      <c r="Y1432">
        <v>0.1925877</v>
      </c>
      <c r="Z1432">
        <v>4.5873209999999998E-2</v>
      </c>
      <c r="AA1432">
        <v>0.98020689999999999</v>
      </c>
      <c r="AB1432">
        <v>27</v>
      </c>
      <c r="AC1432">
        <v>1.2855000000000101</v>
      </c>
      <c r="AD1432">
        <v>-1.120413405543</v>
      </c>
      <c r="AE1432">
        <v>-18.093799999999899</v>
      </c>
      <c r="AF1432">
        <v>3.53018671093945</v>
      </c>
      <c r="AG1432">
        <v>-1.120413405543</v>
      </c>
      <c r="AH1432">
        <v>17.722289159993</v>
      </c>
      <c r="AI1432">
        <v>93.547937614418302</v>
      </c>
      <c r="AJ1432">
        <v>78.734438068364895</v>
      </c>
      <c r="AK1432">
        <v>18.105167148740101</v>
      </c>
      <c r="AL1432">
        <v>82.020302623202497</v>
      </c>
      <c r="AM1432">
        <v>80.722381233288104</v>
      </c>
      <c r="AN1432">
        <v>1.0000000497399799</v>
      </c>
    </row>
    <row r="1433" spans="1:40" x14ac:dyDescent="0.25">
      <c r="A1433" t="str">
        <f>"20190303162239732"</f>
        <v>20190303162239732</v>
      </c>
      <c r="B1433" t="str">
        <f>"1551601359725720"</f>
        <v>1551601359725720</v>
      </c>
      <c r="C1433" t="s">
        <v>40</v>
      </c>
      <c r="D1433">
        <v>5.8006640000000003</v>
      </c>
      <c r="E1433">
        <v>0.51275779999999904</v>
      </c>
      <c r="F1433" t="s">
        <v>41</v>
      </c>
      <c r="G1433">
        <v>-191.72030000000001</v>
      </c>
      <c r="H1433" s="1">
        <v>-1.8308370000000001E-6</v>
      </c>
      <c r="I1433">
        <v>332.78989999999999</v>
      </c>
      <c r="J1433">
        <v>-192.8903</v>
      </c>
      <c r="K1433">
        <v>1.120484</v>
      </c>
      <c r="L1433">
        <v>349.6515</v>
      </c>
      <c r="M1433">
        <v>0.264439799999999</v>
      </c>
      <c r="N1433">
        <v>-1.127511E-2</v>
      </c>
      <c r="O1433">
        <v>-0.96433650000000004</v>
      </c>
      <c r="P1433">
        <v>0.1015078</v>
      </c>
      <c r="Q1433">
        <v>0.12340039999999999</v>
      </c>
      <c r="R1433">
        <v>-0.98715200000000003</v>
      </c>
      <c r="S1433">
        <v>0.22094730000000001</v>
      </c>
      <c r="T1433">
        <v>-0.1991241</v>
      </c>
      <c r="U1433">
        <v>-3.0441590000000001</v>
      </c>
      <c r="V1433">
        <v>0.16317709999999999</v>
      </c>
      <c r="W1433">
        <v>0.1344146</v>
      </c>
      <c r="X1433">
        <v>0.97739759999999998</v>
      </c>
      <c r="Y1433">
        <v>0.19395309999999999</v>
      </c>
      <c r="Z1433">
        <v>4.9955039999999999E-2</v>
      </c>
      <c r="AA1433">
        <v>0.97973809999999995</v>
      </c>
      <c r="AB1433">
        <v>27</v>
      </c>
      <c r="AC1433">
        <v>1.1699999999999799</v>
      </c>
      <c r="AD1433">
        <v>-1.120485830837</v>
      </c>
      <c r="AE1433">
        <v>-16.861599999999999</v>
      </c>
      <c r="AF1433">
        <v>3.3162415674299499</v>
      </c>
      <c r="AG1433">
        <v>-1.120485830837</v>
      </c>
      <c r="AH1433">
        <v>16.498196127297501</v>
      </c>
      <c r="AI1433">
        <v>93.809351576592803</v>
      </c>
      <c r="AJ1433">
        <v>78.634638402197993</v>
      </c>
      <c r="AK1433">
        <v>16.865450544987802</v>
      </c>
      <c r="AL1433">
        <v>82.275230047497402</v>
      </c>
      <c r="AM1433">
        <v>80.521850918790093</v>
      </c>
      <c r="AN1433">
        <v>1.00000005957166</v>
      </c>
    </row>
    <row r="1434" spans="1:40" x14ac:dyDescent="0.25">
      <c r="A1434" t="str">
        <f>"20190303162239755"</f>
        <v>20190303162239755</v>
      </c>
      <c r="B1434" t="str">
        <f>"1551601359746215"</f>
        <v>1551601359746215</v>
      </c>
      <c r="C1434" t="s">
        <v>40</v>
      </c>
      <c r="D1434">
        <v>5.6164680000000002</v>
      </c>
      <c r="E1434">
        <v>0.51247529999999997</v>
      </c>
      <c r="F1434" t="s">
        <v>41</v>
      </c>
      <c r="G1434">
        <v>-191.71299999999999</v>
      </c>
      <c r="H1434" s="1">
        <v>-2.0451370000000001E-6</v>
      </c>
      <c r="I1434">
        <v>333.29390000000001</v>
      </c>
      <c r="J1434">
        <v>-192.81809999999999</v>
      </c>
      <c r="K1434">
        <v>1.120512</v>
      </c>
      <c r="L1434">
        <v>349.38839999999999</v>
      </c>
      <c r="M1434">
        <v>0.26452389999999998</v>
      </c>
      <c r="N1434">
        <v>-1.1251590000000001E-2</v>
      </c>
      <c r="O1434">
        <v>-0.96431369999999905</v>
      </c>
      <c r="P1434">
        <v>9.8141119999999998E-2</v>
      </c>
      <c r="Q1434">
        <v>0.1238438</v>
      </c>
      <c r="R1434">
        <v>-0.98743689999999995</v>
      </c>
      <c r="S1434">
        <v>0.2189941</v>
      </c>
      <c r="T1434">
        <v>-0.2084154</v>
      </c>
      <c r="U1434">
        <v>-3.0425719999999998</v>
      </c>
      <c r="V1434">
        <v>0.16657520000000001</v>
      </c>
      <c r="W1434">
        <v>0.13483889999999901</v>
      </c>
      <c r="X1434">
        <v>0.97676569999999996</v>
      </c>
      <c r="Y1434">
        <v>0.19463430000000001</v>
      </c>
      <c r="Z1434">
        <v>5.2845389999999999E-2</v>
      </c>
      <c r="AA1434">
        <v>0.97945130000000002</v>
      </c>
      <c r="AB1434">
        <v>27</v>
      </c>
      <c r="AC1434">
        <v>1.10509999999999</v>
      </c>
      <c r="AD1434">
        <v>-1.1205140451369999</v>
      </c>
      <c r="AE1434">
        <v>-16.094499999999901</v>
      </c>
      <c r="AF1434">
        <v>3.1765933153039199</v>
      </c>
      <c r="AG1434">
        <v>-1.1205140451369999</v>
      </c>
      <c r="AH1434">
        <v>15.7375469217681</v>
      </c>
      <c r="AI1434">
        <v>93.992340376900401</v>
      </c>
      <c r="AJ1434">
        <v>78.588290305996097</v>
      </c>
      <c r="AK1434">
        <v>16.093995151330098</v>
      </c>
      <c r="AL1434">
        <v>82.250695867001596</v>
      </c>
      <c r="AM1434">
        <v>80.322024774440393</v>
      </c>
      <c r="AN1434">
        <v>1.0000000294523601</v>
      </c>
    </row>
    <row r="1435" spans="1:40" x14ac:dyDescent="0.25">
      <c r="A1435" t="str">
        <f>"20190303162239776"</f>
        <v>20190303162239776</v>
      </c>
      <c r="B1435" t="str">
        <f>"1551601359765735"</f>
        <v>1551601359765735</v>
      </c>
      <c r="C1435" t="s">
        <v>40</v>
      </c>
      <c r="D1435">
        <v>5.8281049999999999</v>
      </c>
      <c r="E1435">
        <v>0.51179129999999995</v>
      </c>
      <c r="F1435" t="s">
        <v>41</v>
      </c>
      <c r="G1435">
        <v>-191.70169999999999</v>
      </c>
      <c r="H1435" s="1">
        <v>-1.9986429999999999E-6</v>
      </c>
      <c r="I1435">
        <v>333.19260000000003</v>
      </c>
      <c r="J1435">
        <v>-192.75120000000001</v>
      </c>
      <c r="K1435">
        <v>1.1205039999999999</v>
      </c>
      <c r="L1435">
        <v>349.14420000000001</v>
      </c>
      <c r="M1435">
        <v>0.2645265</v>
      </c>
      <c r="N1435">
        <v>-1.123365E-2</v>
      </c>
      <c r="O1435">
        <v>-0.96431310000000003</v>
      </c>
      <c r="P1435">
        <v>9.4829839999999999E-2</v>
      </c>
      <c r="Q1435">
        <v>0.1275289</v>
      </c>
      <c r="R1435">
        <v>-0.98729129999999998</v>
      </c>
      <c r="S1435">
        <v>0.2098083</v>
      </c>
      <c r="T1435">
        <v>-0.21057899999999999</v>
      </c>
      <c r="U1435">
        <v>-3.043701</v>
      </c>
      <c r="V1435">
        <v>0.169742</v>
      </c>
      <c r="W1435">
        <v>0.13848360000000001</v>
      </c>
      <c r="X1435">
        <v>0.97570999999999997</v>
      </c>
      <c r="Y1435">
        <v>0.19760349999999999</v>
      </c>
      <c r="Z1435">
        <v>5.3482019999999998E-2</v>
      </c>
      <c r="AA1435">
        <v>0.97882199999999997</v>
      </c>
      <c r="AB1435">
        <v>27</v>
      </c>
      <c r="AC1435">
        <v>1.0495000000000201</v>
      </c>
      <c r="AD1435">
        <v>-1.1205059986429999</v>
      </c>
      <c r="AE1435">
        <v>-15.9515999999999</v>
      </c>
      <c r="AF1435">
        <v>3.1920937199918198</v>
      </c>
      <c r="AG1435">
        <v>-1.1205059986429999</v>
      </c>
      <c r="AH1435">
        <v>15.5843783263779</v>
      </c>
      <c r="AI1435">
        <v>94.029084659478201</v>
      </c>
      <c r="AJ1435">
        <v>78.424413817968698</v>
      </c>
      <c r="AK1435">
        <v>15.947345980754401</v>
      </c>
      <c r="AL1435">
        <v>82.039892022476906</v>
      </c>
      <c r="AM1435">
        <v>80.131154833722405</v>
      </c>
      <c r="AN1435">
        <v>1.0000000290664699</v>
      </c>
    </row>
    <row r="1436" spans="1:40" x14ac:dyDescent="0.25">
      <c r="A1436" t="str">
        <f>"20190303162239800"</f>
        <v>20190303162239800</v>
      </c>
      <c r="B1436" t="str">
        <f>"1551601359786232"</f>
        <v>1551601359786232</v>
      </c>
      <c r="C1436" t="s">
        <v>40</v>
      </c>
      <c r="D1436">
        <v>5.6786640000000004</v>
      </c>
      <c r="E1436">
        <v>0.51105370000000006</v>
      </c>
      <c r="F1436" t="s">
        <v>41</v>
      </c>
      <c r="G1436">
        <v>-191.56549999999999</v>
      </c>
      <c r="H1436" s="1">
        <v>-1.181874E-6</v>
      </c>
      <c r="I1436">
        <v>331.3732</v>
      </c>
      <c r="J1436">
        <v>-192.67269999999999</v>
      </c>
      <c r="K1436">
        <v>1.1204209999999999</v>
      </c>
      <c r="L1436">
        <v>348.85759999999999</v>
      </c>
      <c r="M1436">
        <v>0.26436589999999999</v>
      </c>
      <c r="N1436">
        <v>-1.1216739999999999E-2</v>
      </c>
      <c r="O1436">
        <v>-0.96435760000000004</v>
      </c>
      <c r="P1436">
        <v>9.1222639999999994E-2</v>
      </c>
      <c r="Q1436">
        <v>0.13098750000000001</v>
      </c>
      <c r="R1436">
        <v>-0.98717860000000002</v>
      </c>
      <c r="S1436">
        <v>0.20309450000000001</v>
      </c>
      <c r="T1436">
        <v>-0.19192619999999999</v>
      </c>
      <c r="U1436">
        <v>-3.0439150000000001</v>
      </c>
      <c r="V1436">
        <v>0.173061299999999</v>
      </c>
      <c r="W1436">
        <v>0.1418731</v>
      </c>
      <c r="X1436">
        <v>0.97463929999999999</v>
      </c>
      <c r="Y1436">
        <v>0.1995806</v>
      </c>
      <c r="Z1436">
        <v>4.7784689999999998E-2</v>
      </c>
      <c r="AA1436">
        <v>0.97871560000000002</v>
      </c>
      <c r="AB1436">
        <v>27</v>
      </c>
      <c r="AC1436">
        <v>1.1072</v>
      </c>
      <c r="AD1436">
        <v>-1.1204221818739999</v>
      </c>
      <c r="AE1436">
        <v>-17.484399999999901</v>
      </c>
      <c r="AF1436">
        <v>3.5402849632789199</v>
      </c>
      <c r="AG1436">
        <v>-1.1204221818739999</v>
      </c>
      <c r="AH1436">
        <v>17.085114731543101</v>
      </c>
      <c r="AI1436">
        <v>93.674187635636201</v>
      </c>
      <c r="AJ1436">
        <v>78.293157942665303</v>
      </c>
      <c r="AK1436">
        <v>17.483995792634101</v>
      </c>
      <c r="AL1436">
        <v>81.843750819127905</v>
      </c>
      <c r="AM1436">
        <v>79.931250265411506</v>
      </c>
      <c r="AN1436">
        <v>0.99999997758289405</v>
      </c>
    </row>
    <row r="1437" spans="1:40" x14ac:dyDescent="0.25">
      <c r="A1437" t="str">
        <f>"20190303162239824"</f>
        <v>20190303162239824</v>
      </c>
      <c r="B1437" t="str">
        <f>"1551601359817463"</f>
        <v>1551601359817463</v>
      </c>
      <c r="C1437" t="s">
        <v>40</v>
      </c>
      <c r="D1437">
        <v>5.717816</v>
      </c>
      <c r="E1437">
        <v>0.51036819999999905</v>
      </c>
      <c r="F1437" t="s">
        <v>41</v>
      </c>
      <c r="G1437">
        <v>-191.4211</v>
      </c>
      <c r="H1437" s="1">
        <v>-4.5214929999999998E-6</v>
      </c>
      <c r="I1437">
        <v>329.53269999999998</v>
      </c>
      <c r="J1437">
        <v>-192.59819999999999</v>
      </c>
      <c r="K1437">
        <v>1.1202799999999999</v>
      </c>
      <c r="L1437">
        <v>348.58460000000002</v>
      </c>
      <c r="M1437">
        <v>0.26397140000000002</v>
      </c>
      <c r="N1437">
        <v>-1.120491E-2</v>
      </c>
      <c r="O1437">
        <v>-0.96446540000000003</v>
      </c>
      <c r="P1437">
        <v>8.5689390000000004E-2</v>
      </c>
      <c r="Q1437">
        <v>0.13178529999999999</v>
      </c>
      <c r="R1437">
        <v>-0.98756770000000005</v>
      </c>
      <c r="S1437">
        <v>0.1971588</v>
      </c>
      <c r="T1437">
        <v>-0.1764947</v>
      </c>
      <c r="U1437">
        <v>-3.0441590000000001</v>
      </c>
      <c r="V1437">
        <v>0.1781546</v>
      </c>
      <c r="W1437">
        <v>0.14258109999999999</v>
      </c>
      <c r="X1437">
        <v>0.97361779999999998</v>
      </c>
      <c r="Y1437">
        <v>0.20107659999999999</v>
      </c>
      <c r="Z1437">
        <v>4.3071360000000003E-2</v>
      </c>
      <c r="AA1437">
        <v>0.97862819999999995</v>
      </c>
      <c r="AB1437">
        <v>27</v>
      </c>
      <c r="AC1437">
        <v>1.17709999999999</v>
      </c>
      <c r="AD1437">
        <v>-1.120284521493</v>
      </c>
      <c r="AE1437">
        <v>-19.0519</v>
      </c>
      <c r="AF1437">
        <v>3.8807617764564601</v>
      </c>
      <c r="AG1437">
        <v>-1.120284521493</v>
      </c>
      <c r="AH1437">
        <v>18.622646987909299</v>
      </c>
      <c r="AI1437">
        <v>93.370368389619401</v>
      </c>
      <c r="AJ1437">
        <v>78.228633689554599</v>
      </c>
      <c r="AK1437">
        <v>19.0556639929179</v>
      </c>
      <c r="AL1437">
        <v>81.802769184025905</v>
      </c>
      <c r="AM1437">
        <v>79.630614871102495</v>
      </c>
      <c r="AN1437">
        <v>1.0000000260276001</v>
      </c>
    </row>
    <row r="1438" spans="1:40" x14ac:dyDescent="0.25">
      <c r="A1438" t="str">
        <f>"20190303162239844"</f>
        <v>20190303162239844</v>
      </c>
      <c r="B1438" t="str">
        <f>"1551601359836008"</f>
        <v>1551601359836008</v>
      </c>
      <c r="C1438" t="s">
        <v>40</v>
      </c>
      <c r="D1438">
        <v>5.6958659999999997</v>
      </c>
      <c r="E1438">
        <v>0.50145260000000003</v>
      </c>
      <c r="F1438" t="s">
        <v>41</v>
      </c>
      <c r="G1438">
        <v>-191.3683</v>
      </c>
      <c r="H1438" s="1">
        <v>-4.1263870000000003E-6</v>
      </c>
      <c r="I1438">
        <v>328.39920000000001</v>
      </c>
      <c r="J1438">
        <v>-192.53270000000001</v>
      </c>
      <c r="K1438">
        <v>1.120112</v>
      </c>
      <c r="L1438">
        <v>348.34300000000002</v>
      </c>
      <c r="M1438">
        <v>0.26337739999999998</v>
      </c>
      <c r="N1438">
        <v>-1.119792E-2</v>
      </c>
      <c r="O1438">
        <v>-0.96462800000000004</v>
      </c>
      <c r="P1438">
        <v>7.8759869999999996E-2</v>
      </c>
      <c r="Q1438">
        <v>0.1321862</v>
      </c>
      <c r="R1438">
        <v>-0.98809130000000001</v>
      </c>
      <c r="S1438">
        <v>0.18548580000000001</v>
      </c>
      <c r="T1438">
        <v>-0.1689514</v>
      </c>
      <c r="U1438">
        <v>-3.0441889999999998</v>
      </c>
      <c r="V1438">
        <v>0.18443680000000001</v>
      </c>
      <c r="W1438">
        <v>0.14288029999999999</v>
      </c>
      <c r="X1438">
        <v>0.97240329999999997</v>
      </c>
      <c r="Y1438">
        <v>0.20420640000000001</v>
      </c>
      <c r="Z1438">
        <v>4.0763800000000003E-2</v>
      </c>
      <c r="AA1438">
        <v>0.97807880000000003</v>
      </c>
      <c r="AB1438">
        <v>27</v>
      </c>
      <c r="AC1438">
        <v>1.1644000000000001</v>
      </c>
      <c r="AD1438">
        <v>-1.1201161263869901</v>
      </c>
      <c r="AE1438">
        <v>-19.9438</v>
      </c>
      <c r="AF1438">
        <v>4.1168499288618703</v>
      </c>
      <c r="AG1438">
        <v>-1.1201161263869901</v>
      </c>
      <c r="AH1438">
        <v>19.4849941076845</v>
      </c>
      <c r="AI1438">
        <v>93.219175373156006</v>
      </c>
      <c r="AJ1438">
        <v>78.069828078545996</v>
      </c>
      <c r="AK1438">
        <v>19.946631516370498</v>
      </c>
      <c r="AL1438">
        <v>81.785448289719199</v>
      </c>
      <c r="AM1438">
        <v>79.260222205475301</v>
      </c>
      <c r="AN1438">
        <v>0.99999994558660799</v>
      </c>
    </row>
    <row r="1439" spans="1:40" x14ac:dyDescent="0.25">
      <c r="A1439" t="str">
        <f>"20190303162239888"</f>
        <v>20190303162239888</v>
      </c>
      <c r="B1439" t="str">
        <f>"1551601359876023"</f>
        <v>1551601359876023</v>
      </c>
      <c r="C1439" t="s">
        <v>40</v>
      </c>
      <c r="D1439">
        <v>5.8929749999999999</v>
      </c>
      <c r="E1439">
        <v>0.50087209999999904</v>
      </c>
      <c r="F1439" t="s">
        <v>41</v>
      </c>
      <c r="G1439">
        <v>-190.77979999999999</v>
      </c>
      <c r="H1439" s="1">
        <v>-2.827829E-6</v>
      </c>
      <c r="I1439">
        <v>325.69720000000001</v>
      </c>
      <c r="J1439">
        <v>-192.3946</v>
      </c>
      <c r="K1439">
        <v>1.1197539999999999</v>
      </c>
      <c r="L1439">
        <v>347.82870000000003</v>
      </c>
      <c r="M1439">
        <v>0.2614262</v>
      </c>
      <c r="N1439">
        <v>-1.1191100000000001E-2</v>
      </c>
      <c r="O1439">
        <v>-0.96515879999999998</v>
      </c>
      <c r="P1439">
        <v>6.6342700000000004E-2</v>
      </c>
      <c r="Q1439">
        <v>0.13455129999999901</v>
      </c>
      <c r="R1439">
        <v>-0.98868350000000005</v>
      </c>
      <c r="S1439">
        <v>0.23510739999999999</v>
      </c>
      <c r="T1439">
        <v>-0.15024199999999999</v>
      </c>
      <c r="U1439">
        <v>-3.037506</v>
      </c>
      <c r="V1439">
        <v>0.19474459999999999</v>
      </c>
      <c r="W1439">
        <v>0.14502019999999999</v>
      </c>
      <c r="X1439">
        <v>0.97007410000000005</v>
      </c>
      <c r="Y1439">
        <v>0.1861593</v>
      </c>
      <c r="Z1439">
        <v>3.5267449999999999E-2</v>
      </c>
      <c r="AA1439">
        <v>0.98188640000000005</v>
      </c>
      <c r="AB1439">
        <v>27</v>
      </c>
      <c r="AC1439">
        <v>1.6148</v>
      </c>
      <c r="AD1439">
        <v>-1.119756827829</v>
      </c>
      <c r="AE1439">
        <v>-22.131499999999999</v>
      </c>
      <c r="AF1439">
        <v>4.2167420438716903</v>
      </c>
      <c r="AG1439">
        <v>-1.119756827829</v>
      </c>
      <c r="AH1439">
        <v>21.728593903043201</v>
      </c>
      <c r="AI1439">
        <v>92.8961223629681</v>
      </c>
      <c r="AJ1439">
        <v>79.017453718256306</v>
      </c>
      <c r="AK1439">
        <v>22.162277902359101</v>
      </c>
      <c r="AL1439">
        <v>81.661551396268393</v>
      </c>
      <c r="AM1439">
        <v>78.648628127815897</v>
      </c>
      <c r="AN1439">
        <v>1.000000038564</v>
      </c>
    </row>
    <row r="1440" spans="1:40" x14ac:dyDescent="0.25">
      <c r="A1440" t="str">
        <f>"20190303162239911"</f>
        <v>20190303162239911</v>
      </c>
      <c r="B1440" t="str">
        <f>"1551601359895543"</f>
        <v>1551601359895543</v>
      </c>
      <c r="C1440" t="s">
        <v>40</v>
      </c>
      <c r="D1440">
        <v>5.7023950000000001</v>
      </c>
      <c r="E1440">
        <v>0.49654019999999999</v>
      </c>
      <c r="F1440" t="s">
        <v>41</v>
      </c>
      <c r="G1440">
        <v>-190.8091</v>
      </c>
      <c r="H1440" s="1">
        <v>-2.1432699999999999E-6</v>
      </c>
      <c r="I1440">
        <v>324.08330000000001</v>
      </c>
      <c r="J1440">
        <v>-192.327</v>
      </c>
      <c r="K1440">
        <v>1.119564</v>
      </c>
      <c r="L1440">
        <v>347.5736</v>
      </c>
      <c r="M1440">
        <v>0.26005509999999998</v>
      </c>
      <c r="N1440">
        <v>-1.1190840000000001E-2</v>
      </c>
      <c r="O1440">
        <v>-0.96552910000000003</v>
      </c>
      <c r="P1440">
        <v>6.0821760000000002E-2</v>
      </c>
      <c r="Q1440">
        <v>0.13885710000000001</v>
      </c>
      <c r="R1440">
        <v>-0.98844310000000002</v>
      </c>
      <c r="S1440">
        <v>0.20300289999999999</v>
      </c>
      <c r="T1440">
        <v>-0.14336689999999999</v>
      </c>
      <c r="U1440">
        <v>-3.040222</v>
      </c>
      <c r="V1440">
        <v>0.1987157</v>
      </c>
      <c r="W1440">
        <v>0.14920329999999901</v>
      </c>
      <c r="X1440">
        <v>0.96863330000000003</v>
      </c>
      <c r="Y1440">
        <v>0.19513249999999999</v>
      </c>
      <c r="Z1440">
        <v>3.3096260000000002E-2</v>
      </c>
      <c r="AA1440">
        <v>0.98021829999999999</v>
      </c>
      <c r="AB1440">
        <v>27</v>
      </c>
      <c r="AC1440">
        <v>1.51789999999999</v>
      </c>
      <c r="AD1440">
        <v>-1.1195661432699999</v>
      </c>
      <c r="AE1440">
        <v>-23.490299999999898</v>
      </c>
      <c r="AF1440">
        <v>4.6330053494307304</v>
      </c>
      <c r="AG1440">
        <v>-1.1195661432699999</v>
      </c>
      <c r="AH1440">
        <v>23.0246628598568</v>
      </c>
      <c r="AI1440">
        <v>92.729176925642193</v>
      </c>
      <c r="AJ1440">
        <v>78.622912367245604</v>
      </c>
      <c r="AK1440">
        <v>23.512831958891699</v>
      </c>
      <c r="AL1440">
        <v>81.419240642352406</v>
      </c>
      <c r="AM1440">
        <v>78.406593426331895</v>
      </c>
      <c r="AN1440">
        <v>1.00000001201313</v>
      </c>
    </row>
    <row r="1441" spans="1:40" x14ac:dyDescent="0.25">
      <c r="A1441" t="str">
        <f>"20190303162239935"</f>
        <v>20190303162239935</v>
      </c>
      <c r="B1441" t="str">
        <f>"1551601359925799"</f>
        <v>1551601359925799</v>
      </c>
      <c r="C1441" t="s">
        <v>40</v>
      </c>
      <c r="D1441">
        <v>5.9673879999999997</v>
      </c>
      <c r="E1441">
        <v>0.49533870000000002</v>
      </c>
      <c r="F1441" t="s">
        <v>41</v>
      </c>
      <c r="G1441">
        <v>-190.50479999999999</v>
      </c>
      <c r="H1441" s="1">
        <v>-1.362927E-6</v>
      </c>
      <c r="I1441">
        <v>322.45299999999997</v>
      </c>
      <c r="J1441">
        <v>-192.25309999999999</v>
      </c>
      <c r="K1441">
        <v>1.1193360000000001</v>
      </c>
      <c r="L1441">
        <v>347.29149999999998</v>
      </c>
      <c r="M1441">
        <v>0.25817590000000001</v>
      </c>
      <c r="N1441">
        <v>-1.119382E-2</v>
      </c>
      <c r="O1441">
        <v>-0.96603329999999998</v>
      </c>
      <c r="P1441">
        <v>5.4225229999999999E-2</v>
      </c>
      <c r="Q1441">
        <v>0.1432648</v>
      </c>
      <c r="R1441">
        <v>-0.98819829999999997</v>
      </c>
      <c r="S1441">
        <v>0.22055050000000001</v>
      </c>
      <c r="T1441">
        <v>-0.13550789999999999</v>
      </c>
      <c r="U1441">
        <v>-3.0404969999999998</v>
      </c>
      <c r="V1441">
        <v>0.2032419</v>
      </c>
      <c r="W1441">
        <v>0.15346089999999901</v>
      </c>
      <c r="X1441">
        <v>0.96702770000000005</v>
      </c>
      <c r="Y1441">
        <v>0.18759480000000001</v>
      </c>
      <c r="Z1441">
        <v>3.073743E-2</v>
      </c>
      <c r="AA1441">
        <v>0.98176540000000001</v>
      </c>
      <c r="AB1441">
        <v>27</v>
      </c>
      <c r="AC1441">
        <v>1.7483</v>
      </c>
      <c r="AD1441">
        <v>-1.119337362927</v>
      </c>
      <c r="AE1441">
        <v>-24.8385</v>
      </c>
      <c r="AF1441">
        <v>4.71455382000436</v>
      </c>
      <c r="AG1441">
        <v>-1.119337362927</v>
      </c>
      <c r="AH1441">
        <v>24.398408973682798</v>
      </c>
      <c r="AI1441">
        <v>92.579101218579197</v>
      </c>
      <c r="AJ1441">
        <v>79.063410438880396</v>
      </c>
      <c r="AK1441">
        <v>24.874933051183199</v>
      </c>
      <c r="AL1441">
        <v>81.172455999735206</v>
      </c>
      <c r="AM1441">
        <v>78.130796520563905</v>
      </c>
      <c r="AN1441">
        <v>1.0000000451558499</v>
      </c>
    </row>
    <row r="1442" spans="1:40" x14ac:dyDescent="0.25">
      <c r="A1442" t="str">
        <f>"20190303162239955"</f>
        <v>20190303162239955</v>
      </c>
      <c r="B1442" t="str">
        <f>"1551601359946296"</f>
        <v>1551601359946296</v>
      </c>
      <c r="C1442" t="s">
        <v>40</v>
      </c>
      <c r="D1442">
        <v>5.740869</v>
      </c>
      <c r="E1442">
        <v>0.49465999999999999</v>
      </c>
      <c r="F1442" t="s">
        <v>41</v>
      </c>
      <c r="G1442">
        <v>-190.42670000000001</v>
      </c>
      <c r="H1442" s="1">
        <v>-6.7033209999999898E-7</v>
      </c>
      <c r="I1442">
        <v>320.887</v>
      </c>
      <c r="J1442">
        <v>-192.18770000000001</v>
      </c>
      <c r="K1442">
        <v>1.1191</v>
      </c>
      <c r="L1442">
        <v>347.03879999999998</v>
      </c>
      <c r="M1442">
        <v>0.25614520000000002</v>
      </c>
      <c r="N1442">
        <v>-1.119999E-2</v>
      </c>
      <c r="O1442">
        <v>-0.96657349999999997</v>
      </c>
      <c r="P1442">
        <v>4.5965899999999997E-2</v>
      </c>
      <c r="Q1442">
        <v>0.14459439999999901</v>
      </c>
      <c r="R1442">
        <v>-0.98842289999999999</v>
      </c>
      <c r="S1442">
        <v>0.21047969999999999</v>
      </c>
      <c r="T1442">
        <v>-0.1289999</v>
      </c>
      <c r="U1442">
        <v>-3.0430299999999999</v>
      </c>
      <c r="V1442">
        <v>0.20934620000000001</v>
      </c>
      <c r="W1442">
        <v>0.15463270000000001</v>
      </c>
      <c r="X1442">
        <v>0.9655376</v>
      </c>
      <c r="Y1442">
        <v>0.18882009999999999</v>
      </c>
      <c r="Z1442">
        <v>2.8720470000000001E-2</v>
      </c>
      <c r="AA1442">
        <v>0.98159160000000001</v>
      </c>
      <c r="AB1442">
        <v>27</v>
      </c>
      <c r="AC1442">
        <v>1.7609999999999899</v>
      </c>
      <c r="AD1442">
        <v>-1.1191006703321</v>
      </c>
      <c r="AE1442">
        <v>-26.151799999999898</v>
      </c>
      <c r="AF1442">
        <v>4.9877428699239896</v>
      </c>
      <c r="AG1442">
        <v>-1.1191006703321</v>
      </c>
      <c r="AH1442">
        <v>25.683501418554101</v>
      </c>
      <c r="AI1442">
        <v>92.449255678670397</v>
      </c>
      <c r="AJ1442">
        <v>79.009940337212896</v>
      </c>
      <c r="AK1442">
        <v>26.187252822006499</v>
      </c>
      <c r="AL1442">
        <v>81.104505136613795</v>
      </c>
      <c r="AM1442">
        <v>77.766580389081398</v>
      </c>
      <c r="AN1442">
        <v>0.99999998018874403</v>
      </c>
    </row>
    <row r="1443" spans="1:40" x14ac:dyDescent="0.25">
      <c r="A1443" t="str">
        <f>"20190303162239978"</f>
        <v>20190303162239978</v>
      </c>
      <c r="B1443" t="str">
        <f>"1551601359965816"</f>
        <v>1551601359965816</v>
      </c>
      <c r="C1443" t="s">
        <v>40</v>
      </c>
      <c r="D1443">
        <v>5.7151480000000001</v>
      </c>
      <c r="E1443">
        <v>0.49429859999999998</v>
      </c>
      <c r="F1443" t="s">
        <v>41</v>
      </c>
      <c r="G1443">
        <v>-190.53819999999999</v>
      </c>
      <c r="H1443" s="1">
        <v>-7.0207660000000005E-7</v>
      </c>
      <c r="I1443">
        <v>320.89179999999999</v>
      </c>
      <c r="J1443">
        <v>-192.1174</v>
      </c>
      <c r="K1443">
        <v>1.118787</v>
      </c>
      <c r="L1443">
        <v>346.76260000000002</v>
      </c>
      <c r="M1443">
        <v>0.25352520000000001</v>
      </c>
      <c r="N1443">
        <v>-1.121104E-2</v>
      </c>
      <c r="O1443">
        <v>-0.96726389999999995</v>
      </c>
      <c r="P1443">
        <v>3.9611430000000003E-2</v>
      </c>
      <c r="Q1443">
        <v>0.14516660000000001</v>
      </c>
      <c r="R1443">
        <v>-0.98861410000000005</v>
      </c>
      <c r="S1443">
        <v>0.19210820000000001</v>
      </c>
      <c r="T1443">
        <v>-0.1303385</v>
      </c>
      <c r="U1443">
        <v>-3.045258</v>
      </c>
      <c r="V1443">
        <v>0.21303830000000001</v>
      </c>
      <c r="W1443">
        <v>0.15503210000000001</v>
      </c>
      <c r="X1443">
        <v>0.96466560000000001</v>
      </c>
      <c r="Y1443">
        <v>0.19210269999999999</v>
      </c>
      <c r="Z1443">
        <v>2.912091E-2</v>
      </c>
      <c r="AA1443">
        <v>0.98094269999999995</v>
      </c>
      <c r="AB1443">
        <v>27</v>
      </c>
      <c r="AC1443">
        <v>1.5792000000000099</v>
      </c>
      <c r="AD1443">
        <v>-1.1187877020765999</v>
      </c>
      <c r="AE1443">
        <v>-25.870799999999999</v>
      </c>
      <c r="AF1443">
        <v>5.0223547233217998</v>
      </c>
      <c r="AG1443">
        <v>-1.1187877020765999</v>
      </c>
      <c r="AH1443">
        <v>25.378568233193899</v>
      </c>
      <c r="AI1443">
        <v>92.476228752327103</v>
      </c>
      <c r="AJ1443">
        <v>78.805946402419707</v>
      </c>
      <c r="AK1443">
        <v>25.894931134414499</v>
      </c>
      <c r="AL1443">
        <v>81.081341999270904</v>
      </c>
      <c r="AM1443">
        <v>77.546595278622902</v>
      </c>
      <c r="AN1443">
        <v>0.99999999456032995</v>
      </c>
    </row>
    <row r="1444" spans="1:40" x14ac:dyDescent="0.25">
      <c r="A1444" t="str">
        <f>"20190303162239999"</f>
        <v>20190303162239999</v>
      </c>
      <c r="B1444" t="str">
        <f>"1551601359985336"</f>
        <v>1551601359985336</v>
      </c>
      <c r="C1444" t="s">
        <v>40</v>
      </c>
      <c r="D1444">
        <v>5.9546349999999997</v>
      </c>
      <c r="E1444">
        <v>0.49349359999999998</v>
      </c>
      <c r="F1444" t="s">
        <v>41</v>
      </c>
      <c r="G1444">
        <v>-190.62090000000001</v>
      </c>
      <c r="H1444" s="1">
        <v>-6.6286179999999996E-7</v>
      </c>
      <c r="I1444">
        <v>320.74919999999997</v>
      </c>
      <c r="J1444">
        <v>-192.05549999999999</v>
      </c>
      <c r="K1444">
        <v>1.1184750000000001</v>
      </c>
      <c r="L1444">
        <v>346.51510000000002</v>
      </c>
      <c r="M1444">
        <v>0.25077700000000003</v>
      </c>
      <c r="N1444">
        <v>-1.12251E-2</v>
      </c>
      <c r="O1444">
        <v>-0.96797979999999995</v>
      </c>
      <c r="P1444">
        <v>3.0406820000000001E-2</v>
      </c>
      <c r="Q1444">
        <v>0.1466076</v>
      </c>
      <c r="R1444">
        <v>-0.98872729999999998</v>
      </c>
      <c r="S1444">
        <v>0.17527770000000001</v>
      </c>
      <c r="T1444">
        <v>-0.1310376</v>
      </c>
      <c r="U1444">
        <v>-3.0468139999999999</v>
      </c>
      <c r="V1444">
        <v>0.21935350000000001</v>
      </c>
      <c r="W1444">
        <v>0.15627939999999901</v>
      </c>
      <c r="X1444">
        <v>0.96304769999999895</v>
      </c>
      <c r="Y1444">
        <v>0.19474440000000001</v>
      </c>
      <c r="Z1444">
        <v>2.9333950000000001E-2</v>
      </c>
      <c r="AA1444">
        <v>0.98041529999999999</v>
      </c>
      <c r="AB1444">
        <v>27</v>
      </c>
      <c r="AC1444">
        <v>1.4345999999999799</v>
      </c>
      <c r="AD1444">
        <v>-1.1184756628618</v>
      </c>
      <c r="AE1444">
        <v>-25.765899999999998</v>
      </c>
      <c r="AF1444">
        <v>5.0636387112621</v>
      </c>
      <c r="AG1444">
        <v>-1.1184756628618</v>
      </c>
      <c r="AH1444">
        <v>25.254787660822</v>
      </c>
      <c r="AI1444">
        <v>92.486417475339195</v>
      </c>
      <c r="AJ1444">
        <v>78.662406821343197</v>
      </c>
      <c r="AK1444">
        <v>25.781693594483201</v>
      </c>
      <c r="AL1444">
        <v>81.008995576390703</v>
      </c>
      <c r="AM1444">
        <v>77.168637520750906</v>
      </c>
      <c r="AN1444">
        <v>1.0000000406509399</v>
      </c>
    </row>
    <row r="1445" spans="1:40" x14ac:dyDescent="0.25">
      <c r="A1445" t="str">
        <f>"20190303162240024"</f>
        <v>20190303162240024</v>
      </c>
      <c r="B1445" t="str">
        <f>"1551601360015592"</f>
        <v>1551601360015592</v>
      </c>
      <c r="C1445" t="s">
        <v>40</v>
      </c>
      <c r="D1445">
        <v>5.9715249999999997</v>
      </c>
      <c r="E1445">
        <v>0.49289650000000002</v>
      </c>
      <c r="F1445" t="s">
        <v>41</v>
      </c>
      <c r="G1445">
        <v>-190.72710000000001</v>
      </c>
      <c r="H1445" s="1">
        <v>-4.0469149999999999E-7</v>
      </c>
      <c r="I1445">
        <v>320.08150000000001</v>
      </c>
      <c r="J1445">
        <v>-191.98689999999999</v>
      </c>
      <c r="K1445">
        <v>1.1181160000000001</v>
      </c>
      <c r="L1445">
        <v>346.23520000000002</v>
      </c>
      <c r="M1445">
        <v>0.24721190000000001</v>
      </c>
      <c r="N1445">
        <v>-1.1245379999999999E-2</v>
      </c>
      <c r="O1445">
        <v>-0.96889630000000004</v>
      </c>
      <c r="P1445">
        <v>2.1516980000000002E-2</v>
      </c>
      <c r="Q1445">
        <v>0.146647</v>
      </c>
      <c r="R1445">
        <v>-0.98895489999999997</v>
      </c>
      <c r="S1445">
        <v>0.1532135</v>
      </c>
      <c r="T1445">
        <v>-0.12899649999999999</v>
      </c>
      <c r="U1445">
        <v>-3.048645</v>
      </c>
      <c r="V1445">
        <v>0.22460959999999999</v>
      </c>
      <c r="W1445">
        <v>0.15609899999999999</v>
      </c>
      <c r="X1445">
        <v>0.96186470000000002</v>
      </c>
      <c r="Y1445">
        <v>0.19823979999999999</v>
      </c>
      <c r="Z1445">
        <v>2.8699269999999999E-2</v>
      </c>
      <c r="AA1445">
        <v>0.97973330000000003</v>
      </c>
      <c r="AB1445">
        <v>27</v>
      </c>
      <c r="AC1445">
        <v>1.25979999999998</v>
      </c>
      <c r="AD1445">
        <v>-1.1181164046915</v>
      </c>
      <c r="AE1445">
        <v>-26.153700000000001</v>
      </c>
      <c r="AF1445">
        <v>5.2356742367886904</v>
      </c>
      <c r="AG1445">
        <v>-1.1181164046915</v>
      </c>
      <c r="AH1445">
        <v>25.606586826428</v>
      </c>
      <c r="AI1445">
        <v>92.449625736429795</v>
      </c>
      <c r="AJ1445">
        <v>78.444243472896801</v>
      </c>
      <c r="AK1445">
        <v>26.160270600810001</v>
      </c>
      <c r="AL1445">
        <v>81.019460119670796</v>
      </c>
      <c r="AM1445">
        <v>76.856120092709205</v>
      </c>
      <c r="AN1445">
        <v>1.0000000356596199</v>
      </c>
    </row>
    <row r="1446" spans="1:40" x14ac:dyDescent="0.25">
      <c r="A1446" t="str">
        <f>"20190303162240047"</f>
        <v>20190303162240047</v>
      </c>
      <c r="B1446" t="str">
        <f>"1551601360036089"</f>
        <v>1551601360036089</v>
      </c>
      <c r="C1446" t="s">
        <v>40</v>
      </c>
      <c r="D1446">
        <v>6.0400519999999904</v>
      </c>
      <c r="E1446">
        <v>0.48459970000000002</v>
      </c>
      <c r="F1446" t="s">
        <v>41</v>
      </c>
      <c r="G1446">
        <v>-190.89269999999999</v>
      </c>
      <c r="H1446" s="1">
        <v>-6.292006E-7</v>
      </c>
      <c r="I1446">
        <v>320.50209999999998</v>
      </c>
      <c r="J1446">
        <v>-191.91630000000001</v>
      </c>
      <c r="K1446">
        <v>1.1177090000000001</v>
      </c>
      <c r="L1446">
        <v>345.93900000000002</v>
      </c>
      <c r="M1446">
        <v>0.24281900000000001</v>
      </c>
      <c r="N1446">
        <v>-1.127295E-2</v>
      </c>
      <c r="O1446">
        <v>-0.97000609999999998</v>
      </c>
      <c r="P1446">
        <v>1.280391E-2</v>
      </c>
      <c r="Q1446">
        <v>0.145644</v>
      </c>
      <c r="R1446">
        <v>-0.98925410000000003</v>
      </c>
      <c r="S1446">
        <v>0.1296997</v>
      </c>
      <c r="T1446">
        <v>-0.13253819999999999</v>
      </c>
      <c r="U1446">
        <v>-3.0503230000000001</v>
      </c>
      <c r="V1446">
        <v>0.22891</v>
      </c>
      <c r="W1446">
        <v>0.15486639999999999</v>
      </c>
      <c r="X1446">
        <v>0.96104970000000001</v>
      </c>
      <c r="Y1446">
        <v>0.20135939999999999</v>
      </c>
      <c r="Z1446">
        <v>2.97954E-2</v>
      </c>
      <c r="AA1446">
        <v>0.97906420000000005</v>
      </c>
      <c r="AB1446">
        <v>27</v>
      </c>
      <c r="AC1446">
        <v>1.0236000000000101</v>
      </c>
      <c r="AD1446">
        <v>-1.1177096292005999</v>
      </c>
      <c r="AE1446">
        <v>-25.436900000000001</v>
      </c>
      <c r="AF1446">
        <v>5.1740201572174698</v>
      </c>
      <c r="AG1446">
        <v>-1.1177096292005999</v>
      </c>
      <c r="AH1446">
        <v>24.876129327159301</v>
      </c>
      <c r="AI1446">
        <v>92.518793467332799</v>
      </c>
      <c r="AJ1446">
        <v>78.250490522844402</v>
      </c>
      <c r="AK1446">
        <v>25.4330802244647</v>
      </c>
      <c r="AL1446">
        <v>81.090951645965504</v>
      </c>
      <c r="AM1446">
        <v>76.602501161931698</v>
      </c>
      <c r="AN1446">
        <v>0.99999995790952401</v>
      </c>
    </row>
    <row r="1447" spans="1:40" x14ac:dyDescent="0.25">
      <c r="A1447" t="str">
        <f>"20190303162240067"</f>
        <v>20190303162240067</v>
      </c>
      <c r="B1447" t="str">
        <f>"1551601360055608"</f>
        <v>1551601360055608</v>
      </c>
      <c r="C1447" t="s">
        <v>40</v>
      </c>
      <c r="D1447">
        <v>5.9679589999999996</v>
      </c>
      <c r="E1447">
        <v>0.4831744</v>
      </c>
      <c r="F1447" t="s">
        <v>41</v>
      </c>
      <c r="G1447">
        <v>-190.8236</v>
      </c>
      <c r="H1447" s="1">
        <v>-2.9579789999999999E-6</v>
      </c>
      <c r="I1447">
        <v>325.97340000000003</v>
      </c>
      <c r="J1447">
        <v>-191.86330000000001</v>
      </c>
      <c r="K1447">
        <v>1.1174090000000001</v>
      </c>
      <c r="L1447">
        <v>345.71100000000001</v>
      </c>
      <c r="M1447">
        <v>0.2391238</v>
      </c>
      <c r="N1447">
        <v>-1.1295319999999999E-2</v>
      </c>
      <c r="O1447">
        <v>-0.97092350000000005</v>
      </c>
      <c r="P1447">
        <v>7.0172350000000001E-3</v>
      </c>
      <c r="Q1447">
        <v>0.1431713</v>
      </c>
      <c r="R1447">
        <v>-0.98967340000000004</v>
      </c>
      <c r="S1447">
        <v>0.16723629999999901</v>
      </c>
      <c r="T1447">
        <v>-0.1710585</v>
      </c>
      <c r="U1447">
        <v>-3.0556030000000001</v>
      </c>
      <c r="V1447">
        <v>0.2310489</v>
      </c>
      <c r="W1447">
        <v>0.1522404</v>
      </c>
      <c r="X1447">
        <v>0.96095750000000002</v>
      </c>
      <c r="Y1447">
        <v>0.18569250000000001</v>
      </c>
      <c r="Z1447">
        <v>4.1736420000000003E-2</v>
      </c>
      <c r="AA1447">
        <v>0.98172110000000001</v>
      </c>
      <c r="AB1447">
        <v>27</v>
      </c>
      <c r="AC1447">
        <v>1.0397000000000101</v>
      </c>
      <c r="AD1447">
        <v>-1.1174119579790001</v>
      </c>
      <c r="AE1447">
        <v>-19.737599999999901</v>
      </c>
      <c r="AF1447">
        <v>3.69867533165236</v>
      </c>
      <c r="AG1447">
        <v>-1.1174119579790001</v>
      </c>
      <c r="AH1447">
        <v>19.351701043782899</v>
      </c>
      <c r="AI1447">
        <v>93.246091605447404</v>
      </c>
      <c r="AJ1447">
        <v>79.179601154169106</v>
      </c>
      <c r="AK1447">
        <v>19.733655058826699</v>
      </c>
      <c r="AL1447">
        <v>81.243216815182194</v>
      </c>
      <c r="AM1447">
        <v>76.480641727436506</v>
      </c>
      <c r="AN1447">
        <v>1.0000000251948</v>
      </c>
    </row>
    <row r="1448" spans="1:40" x14ac:dyDescent="0.25">
      <c r="A1448" t="str">
        <f>"20190303162240088"</f>
        <v>20190303162240088</v>
      </c>
      <c r="B1448" t="str">
        <f>"1551601360076104"</f>
        <v>1551601360076104</v>
      </c>
      <c r="C1448" t="s">
        <v>40</v>
      </c>
      <c r="D1448">
        <v>5.9805669999999997</v>
      </c>
      <c r="E1448">
        <v>0.4819542</v>
      </c>
      <c r="F1448" t="s">
        <v>41</v>
      </c>
      <c r="G1448">
        <v>-190.86940000000001</v>
      </c>
      <c r="H1448" s="1">
        <v>-3.1874359999999999E-6</v>
      </c>
      <c r="I1448">
        <v>326.47989999999999</v>
      </c>
      <c r="J1448">
        <v>-191.80430000000001</v>
      </c>
      <c r="K1448">
        <v>1.1170979999999999</v>
      </c>
      <c r="L1448">
        <v>345.45060000000001</v>
      </c>
      <c r="M1448">
        <v>0.2345151</v>
      </c>
      <c r="N1448">
        <v>-1.132088E-2</v>
      </c>
      <c r="O1448">
        <v>-0.97204659999999998</v>
      </c>
      <c r="P1448">
        <v>1.290088E-3</v>
      </c>
      <c r="Q1448">
        <v>0.14170260000000001</v>
      </c>
      <c r="R1448">
        <v>-0.98990880000000003</v>
      </c>
      <c r="S1448">
        <v>0.1579285</v>
      </c>
      <c r="T1448">
        <v>-0.17756129999999901</v>
      </c>
      <c r="U1448">
        <v>-3.0559080000000001</v>
      </c>
      <c r="V1448">
        <v>0.2322034</v>
      </c>
      <c r="W1448">
        <v>0.15061429999999901</v>
      </c>
      <c r="X1448">
        <v>0.9609354</v>
      </c>
      <c r="Y1448">
        <v>0.18402070000000001</v>
      </c>
      <c r="Z1448">
        <v>4.3817910000000002E-2</v>
      </c>
      <c r="AA1448">
        <v>0.98194519999999996</v>
      </c>
      <c r="AB1448">
        <v>27</v>
      </c>
      <c r="AC1448">
        <v>0.93489999999999895</v>
      </c>
      <c r="AD1448">
        <v>-1.117101187436</v>
      </c>
      <c r="AE1448">
        <v>-18.970700000000001</v>
      </c>
      <c r="AF1448">
        <v>3.5281716187911201</v>
      </c>
      <c r="AG1448">
        <v>-1.117101187436</v>
      </c>
      <c r="AH1448">
        <v>18.596520157615899</v>
      </c>
      <c r="AI1448">
        <v>93.377545970664301</v>
      </c>
      <c r="AJ1448">
        <v>79.257399151248094</v>
      </c>
      <c r="AK1448">
        <v>18.961183296599099</v>
      </c>
      <c r="AL1448">
        <v>81.337471881402706</v>
      </c>
      <c r="AM1448">
        <v>76.415285065967296</v>
      </c>
      <c r="AN1448">
        <v>0.99999996465460395</v>
      </c>
    </row>
    <row r="1449" spans="1:40" x14ac:dyDescent="0.25">
      <c r="A1449" t="str">
        <f>"20190303162240112"</f>
        <v>20190303162240112</v>
      </c>
      <c r="B1449" t="str">
        <f>"1551601360095624"</f>
        <v>1551601360095624</v>
      </c>
      <c r="C1449" t="s">
        <v>40</v>
      </c>
      <c r="D1449">
        <v>5.9251709999999997</v>
      </c>
      <c r="E1449">
        <v>0.4813809</v>
      </c>
      <c r="F1449" t="s">
        <v>41</v>
      </c>
      <c r="G1449">
        <v>-190.89259999999999</v>
      </c>
      <c r="H1449" s="1">
        <v>-3.2234680000000001E-6</v>
      </c>
      <c r="I1449">
        <v>326.54950000000002</v>
      </c>
      <c r="J1449">
        <v>-191.74250000000001</v>
      </c>
      <c r="K1449">
        <v>1.1167670000000001</v>
      </c>
      <c r="L1449">
        <v>345.16910000000001</v>
      </c>
      <c r="M1449">
        <v>0.2290391</v>
      </c>
      <c r="N1449">
        <v>-1.135107E-2</v>
      </c>
      <c r="O1449">
        <v>-0.97335110000000002</v>
      </c>
      <c r="P1449">
        <v>-2.9006689999999998E-3</v>
      </c>
      <c r="Q1449">
        <v>0.1442784</v>
      </c>
      <c r="R1449">
        <v>-0.98953290000000005</v>
      </c>
      <c r="S1449">
        <v>0.1474152</v>
      </c>
      <c r="T1449">
        <v>-0.1806315</v>
      </c>
      <c r="U1449">
        <v>-3.056244</v>
      </c>
      <c r="V1449">
        <v>0.23092309999999999</v>
      </c>
      <c r="W1449">
        <v>0.15303919999999999</v>
      </c>
      <c r="X1449">
        <v>0.96086079999999996</v>
      </c>
      <c r="Y1449">
        <v>0.18186359999999999</v>
      </c>
      <c r="Z1449">
        <v>4.4856269999999997E-2</v>
      </c>
      <c r="AA1449">
        <v>0.98230010000000001</v>
      </c>
      <c r="AB1449">
        <v>27</v>
      </c>
      <c r="AC1449">
        <v>0.84990000000001897</v>
      </c>
      <c r="AD1449">
        <v>-1.1167702234679999</v>
      </c>
      <c r="AE1449">
        <v>-18.619599999999899</v>
      </c>
      <c r="AF1449">
        <v>3.4252901197446102</v>
      </c>
      <c r="AG1449">
        <v>-1.1167702234679999</v>
      </c>
      <c r="AH1449">
        <v>18.253718471236599</v>
      </c>
      <c r="AI1449">
        <v>93.441104225209699</v>
      </c>
      <c r="AJ1449">
        <v>79.372103567480295</v>
      </c>
      <c r="AK1449">
        <v>18.605859995270499</v>
      </c>
      <c r="AL1449">
        <v>81.196905837003598</v>
      </c>
      <c r="AM1449">
        <v>76.486422689832906</v>
      </c>
      <c r="AN1449">
        <v>0.99999997591344403</v>
      </c>
    </row>
    <row r="1450" spans="1:40" x14ac:dyDescent="0.25">
      <c r="A1450" t="str">
        <f>"20190303162240135"</f>
        <v>20190303162240135</v>
      </c>
      <c r="B1450" t="str">
        <f>"1551601360125879"</f>
        <v>1551601360125879</v>
      </c>
      <c r="C1450" t="s">
        <v>40</v>
      </c>
      <c r="D1450">
        <v>5.9944750000000004</v>
      </c>
      <c r="E1450">
        <v>0.4742904</v>
      </c>
      <c r="F1450" t="s">
        <v>41</v>
      </c>
      <c r="G1450">
        <v>-190.86500000000001</v>
      </c>
      <c r="H1450" s="1">
        <v>-2.8243709999999998E-6</v>
      </c>
      <c r="I1450">
        <v>325.63630000000001</v>
      </c>
      <c r="J1450">
        <v>-191.68389999999999</v>
      </c>
      <c r="K1450">
        <v>1.11643</v>
      </c>
      <c r="L1450">
        <v>344.89269999999999</v>
      </c>
      <c r="M1450">
        <v>0.2231619</v>
      </c>
      <c r="N1450">
        <v>-1.1388769999999999E-2</v>
      </c>
      <c r="O1450">
        <v>-0.97471490000000005</v>
      </c>
      <c r="P1450">
        <v>-6.5762640000000001E-3</v>
      </c>
      <c r="Q1450">
        <v>0.14703469999999999</v>
      </c>
      <c r="R1450">
        <v>-0.98910960000000003</v>
      </c>
      <c r="S1450">
        <v>0.1373596</v>
      </c>
      <c r="T1450">
        <v>-0.1748161</v>
      </c>
      <c r="U1450">
        <v>-3.057617</v>
      </c>
      <c r="V1450">
        <v>0.22875989999999999</v>
      </c>
      <c r="W1450">
        <v>0.1556582</v>
      </c>
      <c r="X1450">
        <v>0.96095759999999997</v>
      </c>
      <c r="Y1450">
        <v>0.17917420000000001</v>
      </c>
      <c r="Z1450">
        <v>4.3120659999999998E-2</v>
      </c>
      <c r="AA1450">
        <v>0.98287190000000002</v>
      </c>
      <c r="AB1450">
        <v>27</v>
      </c>
      <c r="AC1450">
        <v>0.81889999999998497</v>
      </c>
      <c r="AD1450">
        <v>-1.116432824371</v>
      </c>
      <c r="AE1450">
        <v>-19.2563999999999</v>
      </c>
      <c r="AF1450">
        <v>3.4876255944180801</v>
      </c>
      <c r="AG1450">
        <v>-1.116432824371</v>
      </c>
      <c r="AH1450">
        <v>18.890094012928099</v>
      </c>
      <c r="AI1450">
        <v>93.326245095974002</v>
      </c>
      <c r="AJ1450">
        <v>79.539434990888196</v>
      </c>
      <c r="AK1450">
        <v>19.241767235767</v>
      </c>
      <c r="AL1450">
        <v>81.045028664024699</v>
      </c>
      <c r="AM1450">
        <v>76.609732664054803</v>
      </c>
      <c r="AN1450">
        <v>1.0000000380364999</v>
      </c>
    </row>
    <row r="1451" spans="1:40" x14ac:dyDescent="0.25">
      <c r="A1451" t="str">
        <f>"20190303162240157"</f>
        <v>20190303162240157</v>
      </c>
      <c r="B1451" t="str">
        <f>"1551601360145400"</f>
        <v>1551601360145400</v>
      </c>
      <c r="C1451" t="s">
        <v>40</v>
      </c>
      <c r="D1451">
        <v>5.9965719999999996</v>
      </c>
      <c r="E1451">
        <v>0.47423900000000002</v>
      </c>
      <c r="F1451" t="s">
        <v>41</v>
      </c>
      <c r="G1451">
        <v>-190.51740000000001</v>
      </c>
      <c r="H1451" s="1">
        <v>-2.5677349999999999E-6</v>
      </c>
      <c r="I1451">
        <v>325.25369999999998</v>
      </c>
      <c r="J1451">
        <v>-191.6318</v>
      </c>
      <c r="K1451">
        <v>1.116098</v>
      </c>
      <c r="L1451">
        <v>344.63679999999999</v>
      </c>
      <c r="M1451">
        <v>0.2172665</v>
      </c>
      <c r="N1451">
        <v>-1.1433759999999999E-2</v>
      </c>
      <c r="O1451">
        <v>-0.97604550000000001</v>
      </c>
      <c r="P1451">
        <v>-7.9233869999999901E-3</v>
      </c>
      <c r="Q1451">
        <v>0.1489858</v>
      </c>
      <c r="R1451">
        <v>-0.98880789999999996</v>
      </c>
      <c r="S1451">
        <v>0.1817627</v>
      </c>
      <c r="T1451">
        <v>-0.173959</v>
      </c>
      <c r="U1451">
        <v>-3.0600890000000001</v>
      </c>
      <c r="V1451">
        <v>0.2243415</v>
      </c>
      <c r="W1451">
        <v>0.1575165</v>
      </c>
      <c r="X1451">
        <v>0.96169610000000005</v>
      </c>
      <c r="Y1451">
        <v>0.15901289999999901</v>
      </c>
      <c r="Z1451">
        <v>4.2974270000000002E-2</v>
      </c>
      <c r="AA1451">
        <v>0.98634080000000002</v>
      </c>
      <c r="AB1451">
        <v>27</v>
      </c>
      <c r="AC1451">
        <v>1.1143999999999801</v>
      </c>
      <c r="AD1451">
        <v>-1.116100567735</v>
      </c>
      <c r="AE1451">
        <v>-19.383099999999999</v>
      </c>
      <c r="AF1451">
        <v>3.1135078571761001</v>
      </c>
      <c r="AG1451">
        <v>-1.116100567735</v>
      </c>
      <c r="AH1451">
        <v>19.099043334804801</v>
      </c>
      <c r="AI1451">
        <v>93.3009434777195</v>
      </c>
      <c r="AJ1451">
        <v>80.741141993214498</v>
      </c>
      <c r="AK1451">
        <v>19.383319322519199</v>
      </c>
      <c r="AL1451">
        <v>80.937225465352299</v>
      </c>
      <c r="AM1451">
        <v>76.869043322668205</v>
      </c>
      <c r="AN1451">
        <v>0.99999997257485396</v>
      </c>
    </row>
    <row r="1452" spans="1:40" x14ac:dyDescent="0.25">
      <c r="A1452" t="str">
        <f>"20190303162240202"</f>
        <v>20190303162240202</v>
      </c>
      <c r="B1452" t="str">
        <f>"1551601360196152"</f>
        <v>1551601360196152</v>
      </c>
      <c r="C1452" t="s">
        <v>40</v>
      </c>
      <c r="D1452">
        <v>5.7727599999999999</v>
      </c>
      <c r="E1452">
        <v>0.4753328</v>
      </c>
      <c r="F1452" t="s">
        <v>41</v>
      </c>
      <c r="G1452">
        <v>-190.4306</v>
      </c>
      <c r="H1452" s="1">
        <v>-1.9706880000000001E-6</v>
      </c>
      <c r="I1452">
        <v>323.91579999999999</v>
      </c>
      <c r="J1452">
        <v>-191.5266</v>
      </c>
      <c r="K1452">
        <v>1.115313</v>
      </c>
      <c r="L1452">
        <v>344.0856</v>
      </c>
      <c r="M1452">
        <v>0.20305870000000001</v>
      </c>
      <c r="N1452">
        <v>-1.1555319999999999E-2</v>
      </c>
      <c r="O1452">
        <v>-0.97909860000000004</v>
      </c>
      <c r="P1452">
        <v>-1.2314790000000001E-2</v>
      </c>
      <c r="Q1452">
        <v>0.15451860000000001</v>
      </c>
      <c r="R1452">
        <v>-0.9879135</v>
      </c>
      <c r="S1452">
        <v>0.17739869999999999</v>
      </c>
      <c r="T1452">
        <v>-0.16483129999999999</v>
      </c>
      <c r="U1452">
        <v>-3.060181</v>
      </c>
      <c r="V1452">
        <v>0.21481649999999999</v>
      </c>
      <c r="W1452">
        <v>0.16287189999999999</v>
      </c>
      <c r="X1452">
        <v>0.962978</v>
      </c>
      <c r="Y1452">
        <v>0.14605580000000001</v>
      </c>
      <c r="Z1452">
        <v>4.0303029999999997E-2</v>
      </c>
      <c r="AA1452">
        <v>0.98845510000000003</v>
      </c>
      <c r="AB1452">
        <v>27</v>
      </c>
      <c r="AC1452">
        <v>1.0960000000000001</v>
      </c>
      <c r="AD1452">
        <v>-1.1153149706879999</v>
      </c>
      <c r="AE1452">
        <v>-20.169799999999999</v>
      </c>
      <c r="AF1452">
        <v>3.0135750495827098</v>
      </c>
      <c r="AG1452">
        <v>-1.1153149706879999</v>
      </c>
      <c r="AH1452">
        <v>19.9114009909357</v>
      </c>
      <c r="AI1452">
        <v>93.169982835390002</v>
      </c>
      <c r="AJ1452">
        <v>81.3936457490354</v>
      </c>
      <c r="AK1452">
        <v>20.1690220755778</v>
      </c>
      <c r="AL1452">
        <v>80.626368999119094</v>
      </c>
      <c r="AM1452">
        <v>77.424629109030107</v>
      </c>
      <c r="AN1452">
        <v>1.00000000648293</v>
      </c>
    </row>
    <row r="1453" spans="1:40" x14ac:dyDescent="0.25">
      <c r="A1453" t="str">
        <f>"20190303162240247"</f>
        <v>20190303162240247</v>
      </c>
      <c r="B1453" t="str">
        <f>"1551601360236168"</f>
        <v>1551601360236168</v>
      </c>
      <c r="C1453" t="s">
        <v>40</v>
      </c>
      <c r="D1453">
        <v>6.0902859999999999</v>
      </c>
      <c r="E1453">
        <v>0.47535230000000001</v>
      </c>
      <c r="F1453" t="s">
        <v>41</v>
      </c>
      <c r="G1453">
        <v>-190.40600000000001</v>
      </c>
      <c r="H1453" s="1">
        <v>-1.11759E-6</v>
      </c>
      <c r="I1453">
        <v>321.94240000000002</v>
      </c>
      <c r="J1453">
        <v>-191.43279999999999</v>
      </c>
      <c r="K1453">
        <v>1.1145579999999999</v>
      </c>
      <c r="L1453">
        <v>343.53530000000001</v>
      </c>
      <c r="M1453">
        <v>0.1868165</v>
      </c>
      <c r="N1453">
        <v>-1.169132E-2</v>
      </c>
      <c r="O1453">
        <v>-0.98232549999999996</v>
      </c>
      <c r="P1453">
        <v>-1.9008250000000001E-2</v>
      </c>
      <c r="Q1453">
        <v>0.15428449999999999</v>
      </c>
      <c r="R1453">
        <v>-0.98784360000000004</v>
      </c>
      <c r="S1453">
        <v>0.15499879999999999</v>
      </c>
      <c r="T1453">
        <v>-0.15426400000000001</v>
      </c>
      <c r="U1453">
        <v>-3.0627140000000002</v>
      </c>
      <c r="V1453">
        <v>0.20566999999999999</v>
      </c>
      <c r="W1453">
        <v>0.16253979999999901</v>
      </c>
      <c r="X1453">
        <v>0.96502880000000002</v>
      </c>
      <c r="Y1453">
        <v>0.13692109999999999</v>
      </c>
      <c r="Z1453">
        <v>3.7086389999999997E-2</v>
      </c>
      <c r="AA1453">
        <v>0.98988750000000003</v>
      </c>
      <c r="AB1453">
        <v>27</v>
      </c>
      <c r="AC1453">
        <v>1.0267999999999999</v>
      </c>
      <c r="AD1453">
        <v>-1.11455911759</v>
      </c>
      <c r="AE1453">
        <v>-21.592899999999901</v>
      </c>
      <c r="AF1453">
        <v>3.0174429753210998</v>
      </c>
      <c r="AG1453">
        <v>-1.11455911759</v>
      </c>
      <c r="AH1453">
        <v>21.347788509145499</v>
      </c>
      <c r="AI1453">
        <v>92.959312434715699</v>
      </c>
      <c r="AJ1453">
        <v>81.954717427755696</v>
      </c>
      <c r="AK1453">
        <v>21.5887766760213</v>
      </c>
      <c r="AL1453">
        <v>80.645653468931499</v>
      </c>
      <c r="AM1453">
        <v>77.968942486937294</v>
      </c>
      <c r="AN1453">
        <v>0.99999996015673898</v>
      </c>
    </row>
    <row r="1454" spans="1:40" x14ac:dyDescent="0.25">
      <c r="A1454" t="str">
        <f>"20190303162240270"</f>
        <v>20190303162240270</v>
      </c>
      <c r="B1454" t="str">
        <f>"1551601360265448"</f>
        <v>1551601360265448</v>
      </c>
      <c r="C1454" t="s">
        <v>40</v>
      </c>
      <c r="D1454">
        <v>6.0370839999999903</v>
      </c>
      <c r="E1454">
        <v>0.47591509999999998</v>
      </c>
      <c r="F1454" t="s">
        <v>41</v>
      </c>
      <c r="G1454">
        <v>-190.51320000000001</v>
      </c>
      <c r="H1454" s="1">
        <v>-1.39822999999999E-6</v>
      </c>
      <c r="I1454">
        <v>322.5301</v>
      </c>
      <c r="J1454">
        <v>-191.3888</v>
      </c>
      <c r="K1454">
        <v>1.1142319999999999</v>
      </c>
      <c r="L1454">
        <v>343.25060000000002</v>
      </c>
      <c r="M1454">
        <v>0.1777511</v>
      </c>
      <c r="N1454">
        <v>-1.1757760000000001E-2</v>
      </c>
      <c r="O1454">
        <v>-0.98400549999999998</v>
      </c>
      <c r="P1454">
        <v>-2.22043E-2</v>
      </c>
      <c r="Q1454">
        <v>0.15357960000000001</v>
      </c>
      <c r="R1454">
        <v>-0.98788730000000002</v>
      </c>
      <c r="S1454">
        <v>0.13418579999999999</v>
      </c>
      <c r="T1454">
        <v>-0.162629</v>
      </c>
      <c r="U1454">
        <v>-3.0649410000000001</v>
      </c>
      <c r="V1454">
        <v>0.20001679999999999</v>
      </c>
      <c r="W1454">
        <v>0.16184389999999901</v>
      </c>
      <c r="X1454">
        <v>0.9663332</v>
      </c>
      <c r="Y1454">
        <v>0.13453329999999999</v>
      </c>
      <c r="Z1454">
        <v>3.9758639999999998E-2</v>
      </c>
      <c r="AA1454">
        <v>0.99011110000000002</v>
      </c>
      <c r="AB1454">
        <v>27</v>
      </c>
      <c r="AC1454">
        <v>0.87559999999999105</v>
      </c>
      <c r="AD1454">
        <v>-1.1142333982299999</v>
      </c>
      <c r="AE1454">
        <v>-20.720500000000001</v>
      </c>
      <c r="AF1454">
        <v>2.8135692930983902</v>
      </c>
      <c r="AG1454">
        <v>-1.1142333982299999</v>
      </c>
      <c r="AH1454">
        <v>20.4870032246485</v>
      </c>
      <c r="AI1454">
        <v>93.084204745481401</v>
      </c>
      <c r="AJ1454">
        <v>82.180238573649504</v>
      </c>
      <c r="AK1454">
        <v>20.7092971720325</v>
      </c>
      <c r="AL1454">
        <v>80.686061101985402</v>
      </c>
      <c r="AM1454">
        <v>78.305752879986798</v>
      </c>
      <c r="AN1454">
        <v>1.00000001083584</v>
      </c>
    </row>
    <row r="1455" spans="1:40" x14ac:dyDescent="0.25">
      <c r="A1455" t="str">
        <f>"20190303162240292"</f>
        <v>20190303162240292</v>
      </c>
      <c r="B1455" t="str">
        <f>"1551601360285945"</f>
        <v>1551601360285945</v>
      </c>
      <c r="C1455" t="s">
        <v>40</v>
      </c>
      <c r="D1455">
        <v>6.2104470000000003</v>
      </c>
      <c r="E1455">
        <v>0.47628330000000002</v>
      </c>
      <c r="F1455" t="s">
        <v>41</v>
      </c>
      <c r="G1455">
        <v>-190.61150000000001</v>
      </c>
      <c r="H1455" s="1">
        <v>-1.64072999999999E-6</v>
      </c>
      <c r="I1455">
        <v>323.03440000000001</v>
      </c>
      <c r="J1455">
        <v>-191.3501</v>
      </c>
      <c r="K1455">
        <v>1.1139810000000001</v>
      </c>
      <c r="L1455">
        <v>342.98180000000002</v>
      </c>
      <c r="M1455">
        <v>0.16884979999999999</v>
      </c>
      <c r="N1455">
        <v>-1.181459E-2</v>
      </c>
      <c r="O1455">
        <v>-0.98557099999999997</v>
      </c>
      <c r="P1455">
        <v>-2.5394650000000001E-2</v>
      </c>
      <c r="Q1455">
        <v>0.15323919999999999</v>
      </c>
      <c r="R1455">
        <v>-0.98786280000000004</v>
      </c>
      <c r="S1455">
        <v>0.1178741</v>
      </c>
      <c r="T1455">
        <v>-0.16896929999999999</v>
      </c>
      <c r="U1455">
        <v>-3.0657040000000002</v>
      </c>
      <c r="V1455">
        <v>0.19449630000000001</v>
      </c>
      <c r="W1455">
        <v>0.16153799999999999</v>
      </c>
      <c r="X1455">
        <v>0.9675106</v>
      </c>
      <c r="Y1455">
        <v>0.13084879999999999</v>
      </c>
      <c r="Z1455">
        <v>4.1830699999999998E-2</v>
      </c>
      <c r="AA1455">
        <v>0.9905195</v>
      </c>
      <c r="AB1455">
        <v>27</v>
      </c>
      <c r="AC1455">
        <v>0.73859999999999004</v>
      </c>
      <c r="AD1455">
        <v>-1.11398264073</v>
      </c>
      <c r="AE1455">
        <v>-19.947399999999998</v>
      </c>
      <c r="AF1455">
        <v>2.63215812247044</v>
      </c>
      <c r="AG1455">
        <v>-1.11398264073</v>
      </c>
      <c r="AH1455">
        <v>19.7242407366208</v>
      </c>
      <c r="AI1455">
        <v>93.204163658276201</v>
      </c>
      <c r="AJ1455">
        <v>82.398908292916602</v>
      </c>
      <c r="AK1455">
        <v>19.930250533841999</v>
      </c>
      <c r="AL1455">
        <v>80.703821937598804</v>
      </c>
      <c r="AM1455">
        <v>78.633468021333002</v>
      </c>
      <c r="AN1455">
        <v>1.00000004863502</v>
      </c>
    </row>
    <row r="1456" spans="1:40" x14ac:dyDescent="0.25">
      <c r="A1456" t="str">
        <f>"20190303162240314"</f>
        <v>20190303162240314</v>
      </c>
      <c r="B1456" t="str">
        <f>"1551601360306440"</f>
        <v>1551601360306440</v>
      </c>
      <c r="C1456" t="s">
        <v>40</v>
      </c>
      <c r="D1456">
        <v>5.4367020000000004</v>
      </c>
      <c r="E1456">
        <v>0.47630630000000002</v>
      </c>
      <c r="F1456" t="s">
        <v>41</v>
      </c>
      <c r="G1456">
        <v>-190.67679999999999</v>
      </c>
      <c r="H1456" s="1">
        <v>-1.747476E-6</v>
      </c>
      <c r="I1456">
        <v>323.24270000000001</v>
      </c>
      <c r="J1456">
        <v>-191.31489999999999</v>
      </c>
      <c r="K1456">
        <v>1.1137619999999999</v>
      </c>
      <c r="L1456">
        <v>342.71929999999998</v>
      </c>
      <c r="M1456">
        <v>0.15986129999999901</v>
      </c>
      <c r="N1456">
        <v>-1.186575E-2</v>
      </c>
      <c r="O1456">
        <v>-0.98706839999999996</v>
      </c>
      <c r="P1456">
        <v>-2.8835019999999999E-2</v>
      </c>
      <c r="Q1456">
        <v>0.1534894</v>
      </c>
      <c r="R1456">
        <v>-0.98772969999999904</v>
      </c>
      <c r="S1456">
        <v>0.1045837</v>
      </c>
      <c r="T1456">
        <v>-0.17305760000000001</v>
      </c>
      <c r="U1456">
        <v>-3.0664669999999998</v>
      </c>
      <c r="V1456">
        <v>0.18912229999999999</v>
      </c>
      <c r="W1456">
        <v>0.16183729999999999</v>
      </c>
      <c r="X1456">
        <v>0.96852539999999998</v>
      </c>
      <c r="Y1456">
        <v>0.12611220000000001</v>
      </c>
      <c r="Z1456">
        <v>4.3201110000000001E-2</v>
      </c>
      <c r="AA1456">
        <v>0.99107489999999998</v>
      </c>
      <c r="AB1456">
        <v>27</v>
      </c>
      <c r="AC1456">
        <v>0.63810000000000799</v>
      </c>
      <c r="AD1456">
        <v>-1.113763747476</v>
      </c>
      <c r="AE1456">
        <v>-19.476599999999902</v>
      </c>
      <c r="AF1456">
        <v>2.47579315903632</v>
      </c>
      <c r="AG1456">
        <v>-1.113763747476</v>
      </c>
      <c r="AH1456">
        <v>19.265168870302499</v>
      </c>
      <c r="AI1456">
        <v>93.281788986809204</v>
      </c>
      <c r="AJ1456">
        <v>82.676978760635805</v>
      </c>
      <c r="AK1456">
        <v>19.455507010941599</v>
      </c>
      <c r="AL1456">
        <v>80.686444234533397</v>
      </c>
      <c r="AM1456">
        <v>78.950982887365001</v>
      </c>
      <c r="AN1456">
        <v>1.0000000032368599</v>
      </c>
    </row>
    <row r="1457" spans="1:40" x14ac:dyDescent="0.25">
      <c r="A1457" t="str">
        <f>"20190303162240335"</f>
        <v>20190303162240335</v>
      </c>
      <c r="B1457" t="str">
        <f>"1551601360325960"</f>
        <v>1551601360325960</v>
      </c>
      <c r="C1457" t="s">
        <v>40</v>
      </c>
      <c r="D1457">
        <v>5.9165380000000001</v>
      </c>
      <c r="E1457">
        <v>0.48951800000000001</v>
      </c>
      <c r="F1457" t="s">
        <v>41</v>
      </c>
      <c r="G1457">
        <v>-190.70599999999999</v>
      </c>
      <c r="H1457" s="1">
        <v>-1.6334039999999901E-6</v>
      </c>
      <c r="I1457">
        <v>322.95870000000002</v>
      </c>
      <c r="J1457">
        <v>-191.2816</v>
      </c>
      <c r="K1457">
        <v>1.113564</v>
      </c>
      <c r="L1457">
        <v>342.45010000000002</v>
      </c>
      <c r="M1457">
        <v>0.15036849999999999</v>
      </c>
      <c r="N1457">
        <v>-1.191563E-2</v>
      </c>
      <c r="O1457">
        <v>-0.98855839999999995</v>
      </c>
      <c r="P1457">
        <v>-3.1278479999999997E-2</v>
      </c>
      <c r="Q1457">
        <v>0.1524276</v>
      </c>
      <c r="R1457">
        <v>-0.98781960000000002</v>
      </c>
      <c r="S1457">
        <v>9.4497680000000001E-2</v>
      </c>
      <c r="T1457">
        <v>-0.1728606</v>
      </c>
      <c r="U1457">
        <v>-3.0669249999999999</v>
      </c>
      <c r="V1457">
        <v>0.18228169999999999</v>
      </c>
      <c r="W1457">
        <v>0.16086639999999999</v>
      </c>
      <c r="X1457">
        <v>0.96999760000000002</v>
      </c>
      <c r="Y1457">
        <v>0.1198401</v>
      </c>
      <c r="Z1457">
        <v>4.3226130000000001E-2</v>
      </c>
      <c r="AA1457">
        <v>0.9918517</v>
      </c>
      <c r="AB1457">
        <v>27</v>
      </c>
      <c r="AC1457">
        <v>0.57560000000000799</v>
      </c>
      <c r="AD1457">
        <v>-1.1135656334040001</v>
      </c>
      <c r="AE1457">
        <v>-19.491399999999999</v>
      </c>
      <c r="AF1457">
        <v>2.3543677298057299</v>
      </c>
      <c r="AG1457">
        <v>-1.1135656334040001</v>
      </c>
      <c r="AH1457">
        <v>19.293391723265199</v>
      </c>
      <c r="AI1457">
        <v>93.279031647471697</v>
      </c>
      <c r="AJ1457">
        <v>83.042609157693505</v>
      </c>
      <c r="AK1457">
        <v>19.4683856550668</v>
      </c>
      <c r="AL1457">
        <v>80.742811076492998</v>
      </c>
      <c r="AM1457">
        <v>79.357113747548397</v>
      </c>
      <c r="AN1457">
        <v>0.99999998040480398</v>
      </c>
    </row>
    <row r="1458" spans="1:40" x14ac:dyDescent="0.25">
      <c r="A1458" t="str">
        <f>"20190303162240359"</f>
        <v>20190303162240359</v>
      </c>
      <c r="B1458" t="str">
        <f>"1551601360345480"</f>
        <v>1551601360345480</v>
      </c>
      <c r="C1458" t="s">
        <v>40</v>
      </c>
      <c r="D1458">
        <v>6.0765320000000003</v>
      </c>
      <c r="E1458">
        <v>0.49451070000000003</v>
      </c>
      <c r="F1458" t="s">
        <v>41</v>
      </c>
      <c r="G1458">
        <v>-191.37629999999999</v>
      </c>
      <c r="H1458" s="1">
        <v>-3.776317E-6</v>
      </c>
      <c r="I1458">
        <v>327.53820000000002</v>
      </c>
      <c r="J1458">
        <v>-191.2492</v>
      </c>
      <c r="K1458">
        <v>1.1133789999999999</v>
      </c>
      <c r="L1458">
        <v>342.16320000000002</v>
      </c>
      <c r="M1458">
        <v>0.14001250000000001</v>
      </c>
      <c r="N1458">
        <v>-1.1965719999999999E-2</v>
      </c>
      <c r="O1458">
        <v>-0.9900776</v>
      </c>
      <c r="P1458">
        <v>-3.540629E-2</v>
      </c>
      <c r="Q1458">
        <v>0.15391969999999999</v>
      </c>
      <c r="R1458">
        <v>-0.98744909999999997</v>
      </c>
      <c r="S1458">
        <v>-1.9500730000000001E-2</v>
      </c>
      <c r="T1458">
        <v>-0.2293897</v>
      </c>
      <c r="U1458">
        <v>-3.071777</v>
      </c>
      <c r="V1458">
        <v>0.17623739999999999</v>
      </c>
      <c r="W1458">
        <v>0.1624419</v>
      </c>
      <c r="X1458">
        <v>0.97085169999999998</v>
      </c>
      <c r="Y1458">
        <v>0.14621529999999999</v>
      </c>
      <c r="Z1458">
        <v>6.102556E-2</v>
      </c>
      <c r="AA1458">
        <v>0.98736869999999999</v>
      </c>
      <c r="AB1458">
        <v>27</v>
      </c>
      <c r="AC1458">
        <v>-0.127099999999984</v>
      </c>
      <c r="AD1458">
        <v>-1.1133827763169999</v>
      </c>
      <c r="AE1458">
        <v>-14.625</v>
      </c>
      <c r="AF1458">
        <v>2.1611527338030498</v>
      </c>
      <c r="AG1458">
        <v>-1.1133827763169999</v>
      </c>
      <c r="AH1458">
        <v>14.379789354940399</v>
      </c>
      <c r="AI1458">
        <v>94.378424401156906</v>
      </c>
      <c r="AJ1458">
        <v>81.452929636918199</v>
      </c>
      <c r="AK1458">
        <v>14.583845317263901</v>
      </c>
      <c r="AL1458">
        <v>80.651338725368603</v>
      </c>
      <c r="AM1458">
        <v>79.7112123654275</v>
      </c>
      <c r="AN1458">
        <v>1.00000000771363</v>
      </c>
    </row>
    <row r="1459" spans="1:40" x14ac:dyDescent="0.25">
      <c r="A1459" t="str">
        <f>"20190303162240379"</f>
        <v>20190303162240379</v>
      </c>
      <c r="B1459" t="str">
        <f>"1551601360365976"</f>
        <v>1551601360365976</v>
      </c>
      <c r="C1459" t="s">
        <v>40</v>
      </c>
      <c r="D1459">
        <v>5.838584</v>
      </c>
      <c r="E1459">
        <v>0.4987106</v>
      </c>
      <c r="F1459" t="s">
        <v>41</v>
      </c>
      <c r="G1459">
        <v>-191.631</v>
      </c>
      <c r="H1459" s="1">
        <v>-3.2577289999999999E-6</v>
      </c>
      <c r="I1459">
        <v>326.17140000000001</v>
      </c>
      <c r="J1459">
        <v>-191.22290000000001</v>
      </c>
      <c r="K1459">
        <v>1.11324</v>
      </c>
      <c r="L1459">
        <v>341.9051</v>
      </c>
      <c r="M1459">
        <v>0.1305308</v>
      </c>
      <c r="N1459">
        <v>-1.200616E-2</v>
      </c>
      <c r="O1459">
        <v>-0.99137160000000002</v>
      </c>
      <c r="P1459">
        <v>-4.1067399999999997E-2</v>
      </c>
      <c r="Q1459">
        <v>0.1581265</v>
      </c>
      <c r="R1459">
        <v>-0.98656469999999996</v>
      </c>
      <c r="S1459">
        <v>-7.3272710000000005E-2</v>
      </c>
      <c r="T1459">
        <v>-0.21365300000000001</v>
      </c>
      <c r="U1459">
        <v>-3.068756</v>
      </c>
      <c r="V1459">
        <v>0.1725506</v>
      </c>
      <c r="W1459">
        <v>0.16669510000000001</v>
      </c>
      <c r="X1459">
        <v>0.97079289999999996</v>
      </c>
      <c r="Y1459">
        <v>0.15405339999999901</v>
      </c>
      <c r="Z1459">
        <v>5.6137510000000002E-2</v>
      </c>
      <c r="AA1459">
        <v>0.98646650000000002</v>
      </c>
      <c r="AB1459">
        <v>27</v>
      </c>
      <c r="AC1459">
        <v>-0.40809999999996099</v>
      </c>
      <c r="AD1459">
        <v>-1.1132432577289999</v>
      </c>
      <c r="AE1459">
        <v>-15.733700000000001</v>
      </c>
      <c r="AF1459">
        <v>2.4462498200926501</v>
      </c>
      <c r="AG1459">
        <v>-1.1132432577289999</v>
      </c>
      <c r="AH1459">
        <v>15.4684058436291</v>
      </c>
      <c r="AI1459">
        <v>94.066054692886198</v>
      </c>
      <c r="AJ1459">
        <v>81.013388105149204</v>
      </c>
      <c r="AK1459">
        <v>15.7001601290051</v>
      </c>
      <c r="AL1459">
        <v>80.404278681214194</v>
      </c>
      <c r="AM1459">
        <v>79.921393235996106</v>
      </c>
      <c r="AN1459">
        <v>0.999999910307385</v>
      </c>
    </row>
    <row r="1460" spans="1:40" x14ac:dyDescent="0.25">
      <c r="A1460" t="str">
        <f>"20190303162240403"</f>
        <v>20190303162240403</v>
      </c>
      <c r="B1460" t="str">
        <f>"1551601360396233"</f>
        <v>1551601360396233</v>
      </c>
      <c r="C1460" t="s">
        <v>40</v>
      </c>
      <c r="D1460">
        <v>5.8744290000000001</v>
      </c>
      <c r="E1460">
        <v>0.50018409999999902</v>
      </c>
      <c r="F1460" t="s">
        <v>41</v>
      </c>
      <c r="G1460">
        <v>-191.92619999999999</v>
      </c>
      <c r="H1460" s="1">
        <v>-2.5448639999999998E-6</v>
      </c>
      <c r="I1460">
        <v>324.32659999999998</v>
      </c>
      <c r="J1460">
        <v>-191.1969</v>
      </c>
      <c r="K1460">
        <v>1.113113</v>
      </c>
      <c r="L1460">
        <v>341.6223</v>
      </c>
      <c r="M1460">
        <v>0.1200171</v>
      </c>
      <c r="N1460">
        <v>-1.204322E-2</v>
      </c>
      <c r="O1460">
        <v>-0.99269890000000005</v>
      </c>
      <c r="P1460">
        <v>-4.9068059999999997E-2</v>
      </c>
      <c r="Q1460">
        <v>0.16090299999999999</v>
      </c>
      <c r="R1460">
        <v>-0.98575009999999996</v>
      </c>
      <c r="S1460">
        <v>-0.122695899999999</v>
      </c>
      <c r="T1460">
        <v>-0.1942217</v>
      </c>
      <c r="U1460">
        <v>-3.0668329999999999</v>
      </c>
      <c r="V1460">
        <v>0.17017689999999999</v>
      </c>
      <c r="W1460">
        <v>0.16950319999999999</v>
      </c>
      <c r="X1460">
        <v>0.97072579999999997</v>
      </c>
      <c r="Y1460">
        <v>0.15949179999999999</v>
      </c>
      <c r="Z1460">
        <v>5.0035660000000003E-2</v>
      </c>
      <c r="AA1460">
        <v>0.98593039999999998</v>
      </c>
      <c r="AB1460">
        <v>27</v>
      </c>
      <c r="AC1460">
        <v>-0.72929999999999495</v>
      </c>
      <c r="AD1460">
        <v>-1.113115544864</v>
      </c>
      <c r="AE1460">
        <v>-17.2957</v>
      </c>
      <c r="AF1460">
        <v>2.7884287574514999</v>
      </c>
      <c r="AG1460">
        <v>-1.113115544864</v>
      </c>
      <c r="AH1460">
        <v>17.012789716252598</v>
      </c>
      <c r="AI1460">
        <v>93.694268872646603</v>
      </c>
      <c r="AJ1460">
        <v>80.691874025592298</v>
      </c>
      <c r="AK1460">
        <v>17.275687398220398</v>
      </c>
      <c r="AL1460">
        <v>80.241065127790606</v>
      </c>
      <c r="AM1460">
        <v>80.056581051793799</v>
      </c>
      <c r="AN1460">
        <v>1.00000004544474</v>
      </c>
    </row>
    <row r="1461" spans="1:40" x14ac:dyDescent="0.25">
      <c r="A1461" t="str">
        <f>"20190303162240426"</f>
        <v>20190303162240426</v>
      </c>
      <c r="B1461" t="str">
        <f>"1551601360415753"</f>
        <v>1551601360415753</v>
      </c>
      <c r="C1461" t="s">
        <v>40</v>
      </c>
      <c r="D1461">
        <v>5.8796309999999998</v>
      </c>
      <c r="E1461">
        <v>0.50091949999999996</v>
      </c>
      <c r="F1461" t="s">
        <v>41</v>
      </c>
      <c r="G1461">
        <v>-192.08709999999999</v>
      </c>
      <c r="H1461" s="1">
        <v>-2.536209E-6</v>
      </c>
      <c r="I1461">
        <v>324.20659999999998</v>
      </c>
      <c r="J1461">
        <v>-191.17420000000001</v>
      </c>
      <c r="K1461">
        <v>1.1130230000000001</v>
      </c>
      <c r="L1461">
        <v>341.33730000000003</v>
      </c>
      <c r="M1461">
        <v>0.1093437</v>
      </c>
      <c r="N1461">
        <v>-1.207165E-2</v>
      </c>
      <c r="O1461">
        <v>-0.99393089999999995</v>
      </c>
      <c r="P1461">
        <v>-5.4974080000000002E-2</v>
      </c>
      <c r="Q1461">
        <v>0.15918740000000001</v>
      </c>
      <c r="R1461">
        <v>-0.98571679999999995</v>
      </c>
      <c r="S1461">
        <v>-0.15678410000000001</v>
      </c>
      <c r="T1461">
        <v>-0.1960645</v>
      </c>
      <c r="U1461">
        <v>-3.067596</v>
      </c>
      <c r="V1461">
        <v>0.1655808</v>
      </c>
      <c r="W1461">
        <v>0.16788499999999901</v>
      </c>
      <c r="X1461">
        <v>0.97180120000000003</v>
      </c>
      <c r="Y1461">
        <v>0.15980539999999999</v>
      </c>
      <c r="Z1461">
        <v>5.0674429999999999E-2</v>
      </c>
      <c r="AA1461">
        <v>0.98584700000000003</v>
      </c>
      <c r="AB1461">
        <v>27</v>
      </c>
      <c r="AC1461">
        <v>-0.91289999999997895</v>
      </c>
      <c r="AD1461">
        <v>-1.11302553620899</v>
      </c>
      <c r="AE1461">
        <v>-17.130700000000001</v>
      </c>
      <c r="AF1461">
        <v>2.7690394783390802</v>
      </c>
      <c r="AG1461">
        <v>-1.11302553620899</v>
      </c>
      <c r="AH1461">
        <v>16.8571822873785</v>
      </c>
      <c r="AI1461">
        <v>93.727758568362006</v>
      </c>
      <c r="AJ1461">
        <v>80.671634446257698</v>
      </c>
      <c r="AK1461">
        <v>17.1193165794304</v>
      </c>
      <c r="AL1461">
        <v>80.335128546887205</v>
      </c>
      <c r="AM1461">
        <v>80.330490840517498</v>
      </c>
      <c r="AN1461">
        <v>0.99999997343753899</v>
      </c>
    </row>
    <row r="1462" spans="1:40" x14ac:dyDescent="0.25">
      <c r="A1462" t="str">
        <f>"20190303162240469"</f>
        <v>20190303162240469</v>
      </c>
      <c r="B1462" t="str">
        <f>"1551601360456263"</f>
        <v>1551601360456263</v>
      </c>
      <c r="C1462" t="s">
        <v>40</v>
      </c>
      <c r="D1462">
        <v>5.8916589999999998</v>
      </c>
      <c r="E1462">
        <v>0.50094529999999904</v>
      </c>
      <c r="F1462" t="s">
        <v>41</v>
      </c>
      <c r="G1462">
        <v>-192.119</v>
      </c>
      <c r="H1462" s="1">
        <v>-2.9944940000000001E-6</v>
      </c>
      <c r="I1462">
        <v>325.25510000000003</v>
      </c>
      <c r="J1462">
        <v>-191.1387</v>
      </c>
      <c r="K1462">
        <v>1.112978</v>
      </c>
      <c r="L1462">
        <v>340.78469999999999</v>
      </c>
      <c r="M1462">
        <v>8.8595930000000003E-2</v>
      </c>
      <c r="N1462">
        <v>-1.2107E-2</v>
      </c>
      <c r="O1462">
        <v>-0.99599420000000005</v>
      </c>
      <c r="P1462">
        <v>-5.5011650000000002E-2</v>
      </c>
      <c r="Q1462">
        <v>0.15569169999999999</v>
      </c>
      <c r="R1462">
        <v>-0.98627299999999996</v>
      </c>
      <c r="S1462">
        <v>-0.1802368</v>
      </c>
      <c r="T1462">
        <v>-0.212312</v>
      </c>
      <c r="U1462">
        <v>-3.0677189999999999</v>
      </c>
      <c r="V1462">
        <v>0.1452803</v>
      </c>
      <c r="W1462">
        <v>0.16483490000000001</v>
      </c>
      <c r="X1462">
        <v>0.97556299999999996</v>
      </c>
      <c r="Y1462">
        <v>0.146704799999999</v>
      </c>
      <c r="Z1462">
        <v>5.6089109999999998E-2</v>
      </c>
      <c r="AA1462">
        <v>0.98758880000000004</v>
      </c>
      <c r="AB1462">
        <v>27</v>
      </c>
      <c r="AC1462">
        <v>-0.98030000000002804</v>
      </c>
      <c r="AD1462">
        <v>-1.1129809944939999</v>
      </c>
      <c r="AE1462">
        <v>-15.529599999999901</v>
      </c>
      <c r="AF1462">
        <v>2.34043099973348</v>
      </c>
      <c r="AG1462">
        <v>-1.1129809944939999</v>
      </c>
      <c r="AH1462">
        <v>15.3033746799874</v>
      </c>
      <c r="AI1462">
        <v>94.112029236035994</v>
      </c>
      <c r="AJ1462">
        <v>81.304808556247295</v>
      </c>
      <c r="AK1462">
        <v>15.521263497367</v>
      </c>
      <c r="AL1462">
        <v>80.512356756388996</v>
      </c>
      <c r="AM1462">
        <v>81.529792888036596</v>
      </c>
      <c r="AN1462">
        <v>1.00000003839754</v>
      </c>
    </row>
    <row r="1463" spans="1:40" x14ac:dyDescent="0.25">
      <c r="A1463" t="str">
        <f>"20190303162240492"</f>
        <v>20190303162240492</v>
      </c>
      <c r="B1463" t="str">
        <f>"1551601360485542"</f>
        <v>1551601360485542</v>
      </c>
      <c r="C1463" t="s">
        <v>40</v>
      </c>
      <c r="D1463">
        <v>5.7025360000000003</v>
      </c>
      <c r="E1463">
        <v>0.50142940000000003</v>
      </c>
      <c r="F1463" t="s">
        <v>42</v>
      </c>
      <c r="G1463">
        <v>-191.19380000000001</v>
      </c>
      <c r="H1463">
        <v>1.0429360000000001</v>
      </c>
      <c r="I1463">
        <v>339.87699999999899</v>
      </c>
      <c r="J1463">
        <v>-191.12540000000001</v>
      </c>
      <c r="K1463">
        <v>1.113016</v>
      </c>
      <c r="L1463">
        <v>340.51179999999999</v>
      </c>
      <c r="M1463">
        <v>7.8402050000000001E-2</v>
      </c>
      <c r="N1463">
        <v>-1.211666E-2</v>
      </c>
      <c r="O1463">
        <v>-0.99684830000000002</v>
      </c>
      <c r="P1463">
        <v>-5.264191E-2</v>
      </c>
      <c r="Q1463">
        <v>0.15895229999999999</v>
      </c>
      <c r="R1463">
        <v>-0.98588200000000004</v>
      </c>
      <c r="S1463">
        <v>-0.1859894</v>
      </c>
      <c r="T1463">
        <v>-0.23664589999999999</v>
      </c>
      <c r="U1463">
        <v>-3.0687259999999998</v>
      </c>
      <c r="V1463">
        <v>0.13293260000000001</v>
      </c>
      <c r="W1463">
        <v>0.1683579</v>
      </c>
      <c r="X1463">
        <v>0.97672130000000001</v>
      </c>
      <c r="Y1463">
        <v>0.13837479999999999</v>
      </c>
      <c r="Z1463">
        <v>6.3977539999999999E-2</v>
      </c>
      <c r="AA1463">
        <v>0.98831139999999995</v>
      </c>
      <c r="AB1463">
        <v>27</v>
      </c>
      <c r="AC1463">
        <v>-6.8399999999996894E-2</v>
      </c>
      <c r="AD1463">
        <v>-7.0079999999999906E-2</v>
      </c>
      <c r="AE1463">
        <v>-0.634800000000041</v>
      </c>
      <c r="AF1463">
        <v>0.116558439695457</v>
      </c>
      <c r="AG1463">
        <v>-7.0079999999999906E-2</v>
      </c>
      <c r="AH1463">
        <v>0.62001291383346202</v>
      </c>
      <c r="AI1463">
        <v>96.338657620366405</v>
      </c>
      <c r="AJ1463">
        <v>79.353028252199607</v>
      </c>
      <c r="AK1463">
        <v>0.63475435373418199</v>
      </c>
      <c r="AL1463">
        <v>80.307642185292707</v>
      </c>
      <c r="AM1463">
        <v>82.249616135470802</v>
      </c>
      <c r="AN1463">
        <v>0.99999997825442899</v>
      </c>
    </row>
    <row r="1464" spans="1:40" x14ac:dyDescent="0.25">
      <c r="A1464" t="str">
        <f>"20190303162240525"</f>
        <v>20190303162240525</v>
      </c>
      <c r="B1464" t="str">
        <f>"1551601360515800"</f>
        <v>1551601360515800</v>
      </c>
      <c r="C1464" t="s">
        <v>40</v>
      </c>
      <c r="D1464">
        <v>6.0701519999999896</v>
      </c>
      <c r="E1464">
        <v>0.5016235</v>
      </c>
      <c r="F1464" t="s">
        <v>41</v>
      </c>
      <c r="G1464">
        <v>-192.04939999999999</v>
      </c>
      <c r="H1464" s="1">
        <v>-2.8658429999999999E-6</v>
      </c>
      <c r="I1464">
        <v>324.9984</v>
      </c>
      <c r="J1464">
        <v>-191.11009999999999</v>
      </c>
      <c r="K1464">
        <v>1.1131340000000001</v>
      </c>
      <c r="L1464">
        <v>340.09769999999997</v>
      </c>
      <c r="M1464">
        <v>6.3147220000000004E-2</v>
      </c>
      <c r="N1464">
        <v>-1.212036E-2</v>
      </c>
      <c r="O1464">
        <v>-0.99793080000000001</v>
      </c>
      <c r="P1464">
        <v>-5.4225589999999997E-2</v>
      </c>
      <c r="Q1464">
        <v>0.16222929999999999</v>
      </c>
      <c r="R1464">
        <v>-0.98526230000000004</v>
      </c>
      <c r="S1464">
        <v>-0.182785</v>
      </c>
      <c r="T1464">
        <v>-0.22016450000000001</v>
      </c>
      <c r="U1464">
        <v>-3.068695</v>
      </c>
      <c r="V1464">
        <v>0.1195119</v>
      </c>
      <c r="W1464">
        <v>0.17193039999999901</v>
      </c>
      <c r="X1464">
        <v>0.9778327</v>
      </c>
      <c r="Y1464">
        <v>0.1222144</v>
      </c>
      <c r="Z1464">
        <v>5.8898939999999997E-2</v>
      </c>
      <c r="AA1464">
        <v>0.99075449999999998</v>
      </c>
      <c r="AB1464">
        <v>27</v>
      </c>
      <c r="AC1464">
        <v>-0.93930000000000202</v>
      </c>
      <c r="AD1464">
        <v>-1.1131368658429901</v>
      </c>
      <c r="AE1464">
        <v>-15.0992999999999</v>
      </c>
      <c r="AF1464">
        <v>1.8807914628943601</v>
      </c>
      <c r="AG1464">
        <v>-1.1131368658429901</v>
      </c>
      <c r="AH1464">
        <v>14.929018764442</v>
      </c>
      <c r="AI1464">
        <v>94.230874753395099</v>
      </c>
      <c r="AJ1464">
        <v>82.819577079566102</v>
      </c>
      <c r="AK1464">
        <v>15.088142744488399</v>
      </c>
      <c r="AL1464">
        <v>80.099924135219894</v>
      </c>
      <c r="AM1464">
        <v>83.0318001569632</v>
      </c>
      <c r="AN1464">
        <v>0.99999997293752896</v>
      </c>
    </row>
    <row r="1465" spans="1:40" x14ac:dyDescent="0.25">
      <c r="A1465" t="str">
        <f>"20190303162240548"</f>
        <v>20190303162240548</v>
      </c>
      <c r="B1465" t="str">
        <f>"1551601360536294"</f>
        <v>1551601360536294</v>
      </c>
      <c r="C1465" t="s">
        <v>40</v>
      </c>
      <c r="D1465">
        <v>5.8914949999999999</v>
      </c>
      <c r="E1465">
        <v>0.50175409999999998</v>
      </c>
      <c r="F1465" t="s">
        <v>41</v>
      </c>
      <c r="G1465">
        <v>-192.13650000000001</v>
      </c>
      <c r="H1465" s="1">
        <v>-2.2913969999999999E-6</v>
      </c>
      <c r="I1465">
        <v>323.6053</v>
      </c>
      <c r="J1465">
        <v>-191.10310000000001</v>
      </c>
      <c r="K1465">
        <v>1.113262</v>
      </c>
      <c r="L1465">
        <v>339.81049999999999</v>
      </c>
      <c r="M1465">
        <v>5.283699E-2</v>
      </c>
      <c r="N1465">
        <v>-1.211104E-2</v>
      </c>
      <c r="O1465">
        <v>-0.99852969999999996</v>
      </c>
      <c r="P1465">
        <v>-5.0715360000000001E-2</v>
      </c>
      <c r="Q1465">
        <v>0.16296629999999901</v>
      </c>
      <c r="R1465">
        <v>-0.98532730000000002</v>
      </c>
      <c r="S1465">
        <v>-0.19096369999999999</v>
      </c>
      <c r="T1465">
        <v>-0.20710590000000001</v>
      </c>
      <c r="U1465">
        <v>-3.0685120000000001</v>
      </c>
      <c r="V1465">
        <v>0.1058436</v>
      </c>
      <c r="W1465">
        <v>0.17295949999999999</v>
      </c>
      <c r="X1465">
        <v>0.97922529999999997</v>
      </c>
      <c r="Y1465">
        <v>0.1146162</v>
      </c>
      <c r="Z1465">
        <v>5.4804859999999997E-2</v>
      </c>
      <c r="AA1465">
        <v>0.99189689999999997</v>
      </c>
      <c r="AB1465">
        <v>27</v>
      </c>
      <c r="AC1465">
        <v>-1.0334000000000001</v>
      </c>
      <c r="AD1465">
        <v>-1.1132642913969999</v>
      </c>
      <c r="AE1465">
        <v>-16.205199999999898</v>
      </c>
      <c r="AF1465">
        <v>1.8794192541379799</v>
      </c>
      <c r="AG1465">
        <v>-1.1132642913969999</v>
      </c>
      <c r="AH1465">
        <v>16.052503177397199</v>
      </c>
      <c r="AI1465">
        <v>93.940364084162894</v>
      </c>
      <c r="AJ1465">
        <v>83.322239351343299</v>
      </c>
      <c r="AK1465">
        <v>16.200445437569702</v>
      </c>
      <c r="AL1465">
        <v>80.040064789001306</v>
      </c>
      <c r="AM1465">
        <v>83.830900332814707</v>
      </c>
      <c r="AN1465">
        <v>1.00000002223064</v>
      </c>
    </row>
    <row r="1466" spans="1:40" x14ac:dyDescent="0.25">
      <c r="A1466" t="str">
        <f>"20190303162240569"</f>
        <v>20190303162240569</v>
      </c>
      <c r="B1466" t="str">
        <f>"1551601360555824"</f>
        <v>1551601360555824</v>
      </c>
      <c r="C1466" t="s">
        <v>40</v>
      </c>
      <c r="D1466">
        <v>5.8674359999999997</v>
      </c>
      <c r="E1466">
        <v>0.50216850000000002</v>
      </c>
      <c r="F1466" t="s">
        <v>41</v>
      </c>
      <c r="G1466">
        <v>-192.1223</v>
      </c>
      <c r="H1466" s="1">
        <v>-2.0100799999999999E-6</v>
      </c>
      <c r="I1466">
        <v>322.95839999999998</v>
      </c>
      <c r="J1466">
        <v>-191.09899999999999</v>
      </c>
      <c r="K1466">
        <v>1.1134010000000001</v>
      </c>
      <c r="L1466">
        <v>339.5446</v>
      </c>
      <c r="M1466">
        <v>4.3524809999999997E-2</v>
      </c>
      <c r="N1466">
        <v>-1.2096590000000001E-2</v>
      </c>
      <c r="O1466">
        <v>-0.99897919999999996</v>
      </c>
      <c r="P1466">
        <v>-4.8819109999999999E-2</v>
      </c>
      <c r="Q1466">
        <v>0.16385359999999999</v>
      </c>
      <c r="R1466">
        <v>-0.98527629999999999</v>
      </c>
      <c r="S1466">
        <v>-0.1855774</v>
      </c>
      <c r="T1466">
        <v>-0.2027128</v>
      </c>
      <c r="U1466">
        <v>-3.0685730000000002</v>
      </c>
      <c r="V1466">
        <v>9.4743569999999999E-2</v>
      </c>
      <c r="W1466">
        <v>0.17407999999999901</v>
      </c>
      <c r="X1466">
        <v>0.98016320000000001</v>
      </c>
      <c r="Y1466">
        <v>0.1036222</v>
      </c>
      <c r="Z1466">
        <v>5.3495439999999998E-2</v>
      </c>
      <c r="AA1466">
        <v>0.99317710000000003</v>
      </c>
      <c r="AB1466">
        <v>27</v>
      </c>
      <c r="AC1466">
        <v>-1.0232999999999699</v>
      </c>
      <c r="AD1466">
        <v>-1.1134030100799901</v>
      </c>
      <c r="AE1466">
        <v>-16.586200000000002</v>
      </c>
      <c r="AF1466">
        <v>1.73649873896853</v>
      </c>
      <c r="AG1466">
        <v>-1.1134030100799901</v>
      </c>
      <c r="AH1466">
        <v>16.452082196140999</v>
      </c>
      <c r="AI1466">
        <v>93.850294556866103</v>
      </c>
      <c r="AJ1466">
        <v>83.974803639012805</v>
      </c>
      <c r="AK1466">
        <v>16.5808957153066</v>
      </c>
      <c r="AL1466">
        <v>79.974876202881504</v>
      </c>
      <c r="AM1466">
        <v>84.478884391422298</v>
      </c>
      <c r="AN1466">
        <v>1.0000000445452899</v>
      </c>
    </row>
    <row r="1467" spans="1:40" x14ac:dyDescent="0.25">
      <c r="A1467" t="str">
        <f>"20190303162240591"</f>
        <v>20190303162240591</v>
      </c>
      <c r="B1467" t="str">
        <f>"1551601360586071"</f>
        <v>1551601360586071</v>
      </c>
      <c r="C1467" t="s">
        <v>40</v>
      </c>
      <c r="D1467">
        <v>5.8817729999999999</v>
      </c>
      <c r="E1467">
        <v>0.50257099999999999</v>
      </c>
      <c r="F1467" t="s">
        <v>41</v>
      </c>
      <c r="G1467">
        <v>-192.09620000000001</v>
      </c>
      <c r="H1467" s="1">
        <v>-1.788188E-6</v>
      </c>
      <c r="I1467">
        <v>322.45729999999998</v>
      </c>
      <c r="J1467">
        <v>-191.09710000000001</v>
      </c>
      <c r="K1467">
        <v>1.113626</v>
      </c>
      <c r="L1467">
        <v>339.27539999999999</v>
      </c>
      <c r="M1467">
        <v>3.4477720000000003E-2</v>
      </c>
      <c r="N1467">
        <v>-1.207633E-2</v>
      </c>
      <c r="O1467">
        <v>-0.99933260000000002</v>
      </c>
      <c r="P1467">
        <v>-5.015174E-2</v>
      </c>
      <c r="Q1467">
        <v>0.16074820000000001</v>
      </c>
      <c r="R1467">
        <v>-0.98572059999999995</v>
      </c>
      <c r="S1467">
        <v>-0.17910770000000001</v>
      </c>
      <c r="T1467">
        <v>-0.19998659999999999</v>
      </c>
      <c r="U1467">
        <v>-3.0691830000000002</v>
      </c>
      <c r="V1467">
        <v>8.7037530000000002E-2</v>
      </c>
      <c r="W1467">
        <v>0.17115529999999901</v>
      </c>
      <c r="X1467">
        <v>0.98139200000000004</v>
      </c>
      <c r="Y1467">
        <v>9.2520450000000004E-2</v>
      </c>
      <c r="Z1467">
        <v>5.2701680000000001E-2</v>
      </c>
      <c r="AA1467">
        <v>0.99431510000000001</v>
      </c>
      <c r="AB1467">
        <v>27</v>
      </c>
      <c r="AC1467">
        <v>-0.99909999999999799</v>
      </c>
      <c r="AD1467">
        <v>-1.1136277881879999</v>
      </c>
      <c r="AE1467">
        <v>-16.818100000000001</v>
      </c>
      <c r="AF1467">
        <v>1.57153164071322</v>
      </c>
      <c r="AG1467">
        <v>-1.1136277881879999</v>
      </c>
      <c r="AH1467">
        <v>16.7006827476967</v>
      </c>
      <c r="AI1467">
        <v>93.798195504748406</v>
      </c>
      <c r="AJ1467">
        <v>84.624305659279301</v>
      </c>
      <c r="AK1467">
        <v>16.811385510647298</v>
      </c>
      <c r="AL1467">
        <v>80.145002206611807</v>
      </c>
      <c r="AM1467">
        <v>84.931821679037498</v>
      </c>
      <c r="AN1467">
        <v>0.99999996300529403</v>
      </c>
    </row>
    <row r="1468" spans="1:40" x14ac:dyDescent="0.25">
      <c r="A1468" t="str">
        <f>"20190303162240617"</f>
        <v>20190303162240617</v>
      </c>
      <c r="B1468" t="str">
        <f>"1551601360605591"</f>
        <v>1551601360605591</v>
      </c>
      <c r="C1468" t="s">
        <v>40</v>
      </c>
      <c r="D1468">
        <v>5.9027830000000003</v>
      </c>
      <c r="E1468">
        <v>0.50298699999999996</v>
      </c>
      <c r="F1468" t="s">
        <v>41</v>
      </c>
      <c r="G1468">
        <v>-192.04239999999999</v>
      </c>
      <c r="H1468" s="1">
        <v>-2.034786E-6</v>
      </c>
      <c r="I1468">
        <v>323.06549999999999</v>
      </c>
      <c r="J1468">
        <v>-191.09710000000001</v>
      </c>
      <c r="K1468">
        <v>1.1140650000000001</v>
      </c>
      <c r="L1468">
        <v>338.95589999999999</v>
      </c>
      <c r="M1468">
        <v>2.4429449999999998E-2</v>
      </c>
      <c r="N1468">
        <v>-1.203999E-2</v>
      </c>
      <c r="O1468">
        <v>-0.99962910000000005</v>
      </c>
      <c r="P1468">
        <v>-5.3068299999999999E-2</v>
      </c>
      <c r="Q1468">
        <v>0.1570444</v>
      </c>
      <c r="R1468">
        <v>-0.98616479999999995</v>
      </c>
      <c r="S1468">
        <v>-0.1789703</v>
      </c>
      <c r="T1468">
        <v>-0.2108225</v>
      </c>
      <c r="U1468">
        <v>-3.0687259999999998</v>
      </c>
      <c r="V1468">
        <v>7.9832520000000004E-2</v>
      </c>
      <c r="W1468">
        <v>0.16763400000000001</v>
      </c>
      <c r="X1468">
        <v>0.98261169999999998</v>
      </c>
      <c r="Y1468">
        <v>8.2461699999999999E-2</v>
      </c>
      <c r="Z1468">
        <v>5.6308370000000003E-2</v>
      </c>
      <c r="AA1468">
        <v>0.99500219999999995</v>
      </c>
      <c r="AB1468">
        <v>27</v>
      </c>
      <c r="AC1468">
        <v>-0.94529999999997405</v>
      </c>
      <c r="AD1468">
        <v>-1.11406703478599</v>
      </c>
      <c r="AE1468">
        <v>-15.8904</v>
      </c>
      <c r="AF1468">
        <v>1.3267413146726099</v>
      </c>
      <c r="AG1468">
        <v>-1.11406703478599</v>
      </c>
      <c r="AH1468">
        <v>15.785245960392499</v>
      </c>
      <c r="AI1468">
        <v>94.022902518580906</v>
      </c>
      <c r="AJ1468">
        <v>85.195612971736097</v>
      </c>
      <c r="AK1468">
        <v>15.880030790402801</v>
      </c>
      <c r="AL1468">
        <v>80.349717480976196</v>
      </c>
      <c r="AM1468">
        <v>85.355192710065495</v>
      </c>
      <c r="AN1468">
        <v>1.00000007109121</v>
      </c>
    </row>
    <row r="1469" spans="1:40" x14ac:dyDescent="0.25">
      <c r="A1469" t="str">
        <f>"20190303162240637"</f>
        <v>20190303162240637</v>
      </c>
      <c r="B1469" t="str">
        <f>"1551601360626086"</f>
        <v>1551601360626086</v>
      </c>
      <c r="C1469" t="s">
        <v>40</v>
      </c>
      <c r="D1469">
        <v>5.9936699999999998</v>
      </c>
      <c r="E1469">
        <v>0.50338959999999999</v>
      </c>
      <c r="F1469" t="s">
        <v>41</v>
      </c>
      <c r="G1469">
        <v>-192.05779999999999</v>
      </c>
      <c r="H1469" s="1">
        <v>-2.3129969999999998E-6</v>
      </c>
      <c r="I1469">
        <v>323.70440000000002</v>
      </c>
      <c r="J1469">
        <v>-191.09880000000001</v>
      </c>
      <c r="K1469">
        <v>1.114547</v>
      </c>
      <c r="L1469">
        <v>338.69740000000002</v>
      </c>
      <c r="M1469">
        <v>1.7010899999999999E-2</v>
      </c>
      <c r="N1469">
        <v>-1.199909E-2</v>
      </c>
      <c r="O1469">
        <v>-0.99978350000000005</v>
      </c>
      <c r="P1469">
        <v>-5.3208499999999999E-2</v>
      </c>
      <c r="Q1469">
        <v>0.157631299999999</v>
      </c>
      <c r="R1469">
        <v>-0.9860641</v>
      </c>
      <c r="S1469">
        <v>-0.193222</v>
      </c>
      <c r="T1469">
        <v>-0.22406239999999999</v>
      </c>
      <c r="U1469">
        <v>-3.067383</v>
      </c>
      <c r="V1469">
        <v>7.247373E-2</v>
      </c>
      <c r="W1469">
        <v>0.16838610000000001</v>
      </c>
      <c r="X1469">
        <v>0.98305330000000002</v>
      </c>
      <c r="Y1469">
        <v>7.9680760000000003E-2</v>
      </c>
      <c r="Z1469">
        <v>6.067053E-2</v>
      </c>
      <c r="AA1469">
        <v>0.99497239999999998</v>
      </c>
      <c r="AB1469">
        <v>27</v>
      </c>
      <c r="AC1469">
        <v>-0.95899999999997398</v>
      </c>
      <c r="AD1469">
        <v>-1.1145493129970001</v>
      </c>
      <c r="AE1469">
        <v>-14.992999999999901</v>
      </c>
      <c r="AF1469">
        <v>1.20727954674181</v>
      </c>
      <c r="AG1469">
        <v>-1.1145493129970001</v>
      </c>
      <c r="AH1469">
        <v>14.892552715786399</v>
      </c>
      <c r="AI1469">
        <v>94.266058724223399</v>
      </c>
      <c r="AJ1469">
        <v>85.3653955163783</v>
      </c>
      <c r="AK1469">
        <v>14.982919290564199</v>
      </c>
      <c r="AL1469">
        <v>80.306003798436095</v>
      </c>
      <c r="AM1469">
        <v>85.783605704045002</v>
      </c>
      <c r="AN1469">
        <v>1.0000000554271</v>
      </c>
    </row>
    <row r="1470" spans="1:40" x14ac:dyDescent="0.25">
      <c r="A1470" t="str">
        <f>"20190303162240661"</f>
        <v>20190303162240661</v>
      </c>
      <c r="B1470" t="str">
        <f>"1551601360645606"</f>
        <v>1551601360645606</v>
      </c>
      <c r="C1470" t="s">
        <v>40</v>
      </c>
      <c r="D1470">
        <v>5.8808439999999997</v>
      </c>
      <c r="E1470">
        <v>0.5035444</v>
      </c>
      <c r="F1470" t="s">
        <v>41</v>
      </c>
      <c r="G1470">
        <v>-192.0805</v>
      </c>
      <c r="H1470" s="1">
        <v>-2.1820099999999999E-6</v>
      </c>
      <c r="I1470">
        <v>323.38510000000002</v>
      </c>
      <c r="J1470">
        <v>-191.102</v>
      </c>
      <c r="K1470">
        <v>1.1152249999999999</v>
      </c>
      <c r="L1470">
        <v>338.40820000000002</v>
      </c>
      <c r="M1470">
        <v>9.5759239999999995E-3</v>
      </c>
      <c r="N1470">
        <v>-1.1946790000000001E-2</v>
      </c>
      <c r="O1470">
        <v>-0.99988279999999996</v>
      </c>
      <c r="P1470">
        <v>-5.5561230000000003E-2</v>
      </c>
      <c r="Q1470">
        <v>0.15962370000000001</v>
      </c>
      <c r="R1470">
        <v>-0.98561330000000003</v>
      </c>
      <c r="S1470">
        <v>-0.19665530000000001</v>
      </c>
      <c r="T1470">
        <v>-0.22327469999999999</v>
      </c>
      <c r="U1470">
        <v>-3.0674739999999998</v>
      </c>
      <c r="V1470">
        <v>6.7247409999999994E-2</v>
      </c>
      <c r="W1470">
        <v>0.1705102</v>
      </c>
      <c r="X1470">
        <v>0.98305849999999995</v>
      </c>
      <c r="Y1470">
        <v>7.3378260000000001E-2</v>
      </c>
      <c r="Z1470">
        <v>6.0494810000000003E-2</v>
      </c>
      <c r="AA1470">
        <v>0.99546769999999996</v>
      </c>
      <c r="AB1470">
        <v>27</v>
      </c>
      <c r="AC1470">
        <v>-0.97849999999999604</v>
      </c>
      <c r="AD1470">
        <v>-1.1152271820099999</v>
      </c>
      <c r="AE1470">
        <v>-15.023099999999999</v>
      </c>
      <c r="AF1470">
        <v>1.11620038522499</v>
      </c>
      <c r="AG1470">
        <v>-1.1152271820099999</v>
      </c>
      <c r="AH1470">
        <v>14.9311069621765</v>
      </c>
      <c r="AI1470">
        <v>94.259735211562003</v>
      </c>
      <c r="AJ1470">
        <v>85.724708624464697</v>
      </c>
      <c r="AK1470">
        <v>15.0142462376047</v>
      </c>
      <c r="AL1470">
        <v>80.182515307912297</v>
      </c>
      <c r="AM1470">
        <v>86.086703217742595</v>
      </c>
      <c r="AN1470">
        <v>0.99999997843899802</v>
      </c>
    </row>
    <row r="1471" spans="1:40" x14ac:dyDescent="0.25">
      <c r="A1471" t="str">
        <f>"20190303162240682"</f>
        <v>20190303162240682</v>
      </c>
      <c r="B1471" t="str">
        <f>"1551601360675865"</f>
        <v>1551601360675865</v>
      </c>
      <c r="C1471" t="s">
        <v>40</v>
      </c>
      <c r="D1471">
        <v>5.874117</v>
      </c>
      <c r="E1471">
        <v>0.50388929999999998</v>
      </c>
      <c r="F1471" t="s">
        <v>41</v>
      </c>
      <c r="G1471">
        <v>-192.12569999999999</v>
      </c>
      <c r="H1471" s="1">
        <v>-1.9314470000000001E-6</v>
      </c>
      <c r="I1471">
        <v>322.77300000000002</v>
      </c>
      <c r="J1471">
        <v>-191.10570000000001</v>
      </c>
      <c r="K1471">
        <v>1.1159269999999999</v>
      </c>
      <c r="L1471">
        <v>338.14859999999999</v>
      </c>
      <c r="M1471">
        <v>3.8189579999999999E-3</v>
      </c>
      <c r="N1471">
        <v>-1.1899150000000001E-2</v>
      </c>
      <c r="O1471">
        <v>-0.99992190000000003</v>
      </c>
      <c r="P1471">
        <v>-5.5600940000000001E-2</v>
      </c>
      <c r="Q1471">
        <v>0.16093879999999999</v>
      </c>
      <c r="R1471">
        <v>-0.98539730000000003</v>
      </c>
      <c r="S1471">
        <v>-0.20086670000000001</v>
      </c>
      <c r="T1471">
        <v>-0.2188272</v>
      </c>
      <c r="U1471">
        <v>-3.0679020000000001</v>
      </c>
      <c r="V1471">
        <v>6.1345539999999997E-2</v>
      </c>
      <c r="W1471">
        <v>0.17195629999999901</v>
      </c>
      <c r="X1471">
        <v>0.98319259999999997</v>
      </c>
      <c r="Y1471">
        <v>6.8996000000000002E-2</v>
      </c>
      <c r="Z1471">
        <v>5.9110509999999998E-2</v>
      </c>
      <c r="AA1471">
        <v>0.99586419999999998</v>
      </c>
      <c r="AB1471">
        <v>27</v>
      </c>
      <c r="AC1471">
        <v>-1.01999999999998</v>
      </c>
      <c r="AD1471">
        <v>-1.115928931447</v>
      </c>
      <c r="AE1471">
        <v>-15.3756</v>
      </c>
      <c r="AF1471">
        <v>1.0730877098871101</v>
      </c>
      <c r="AG1471">
        <v>-1.115928931447</v>
      </c>
      <c r="AH1471">
        <v>15.291396928991199</v>
      </c>
      <c r="AI1471">
        <v>94.163703668320593</v>
      </c>
      <c r="AJ1471">
        <v>85.985797370753403</v>
      </c>
      <c r="AK1471">
        <v>15.369568460210999</v>
      </c>
      <c r="AL1471">
        <v>80.098417675522995</v>
      </c>
      <c r="AM1471">
        <v>86.429702561825593</v>
      </c>
      <c r="AN1471">
        <v>0.99999996654116996</v>
      </c>
    </row>
    <row r="1472" spans="1:40" x14ac:dyDescent="0.25">
      <c r="A1472" t="str">
        <f>"20190303162240705"</f>
        <v>20190303162240705</v>
      </c>
      <c r="B1472" t="str">
        <f>"1551601360696359"</f>
        <v>1551601360696359</v>
      </c>
      <c r="C1472" t="s">
        <v>40</v>
      </c>
      <c r="D1472">
        <v>5.8638309999999896</v>
      </c>
      <c r="E1472">
        <v>0.50367220000000001</v>
      </c>
      <c r="F1472" t="s">
        <v>41</v>
      </c>
      <c r="G1472">
        <v>-192.15459999999999</v>
      </c>
      <c r="H1472" s="1">
        <v>-1.7900589999999999E-6</v>
      </c>
      <c r="I1472">
        <v>322.42540000000002</v>
      </c>
      <c r="J1472">
        <v>-191.11019999999999</v>
      </c>
      <c r="K1472">
        <v>1.1167210000000001</v>
      </c>
      <c r="L1472">
        <v>337.87139999999999</v>
      </c>
      <c r="M1472">
        <v>-1.308483E-3</v>
      </c>
      <c r="N1472">
        <v>-1.1852089999999999E-2</v>
      </c>
      <c r="O1472">
        <v>-0.99992899999999996</v>
      </c>
      <c r="P1472">
        <v>-5.3449139999999999E-2</v>
      </c>
      <c r="Q1472">
        <v>0.16651550000000001</v>
      </c>
      <c r="R1472">
        <v>-0.98458920000000005</v>
      </c>
      <c r="S1472">
        <v>-0.20469670000000001</v>
      </c>
      <c r="T1472">
        <v>-0.21777959999999999</v>
      </c>
      <c r="U1472">
        <v>-3.068451</v>
      </c>
      <c r="V1472">
        <v>5.3878330000000002E-2</v>
      </c>
      <c r="W1472">
        <v>0.17766199999999999</v>
      </c>
      <c r="X1472">
        <v>0.98261549999999998</v>
      </c>
      <c r="Y1472">
        <v>6.5109310000000004E-2</v>
      </c>
      <c r="Z1472">
        <v>5.8815569999999998E-2</v>
      </c>
      <c r="AA1472">
        <v>0.99614329999999995</v>
      </c>
      <c r="AB1472">
        <v>28</v>
      </c>
      <c r="AC1472">
        <v>-1.04439999999999</v>
      </c>
      <c r="AD1472">
        <v>-1.11672279005899</v>
      </c>
      <c r="AE1472">
        <v>-15.4459999999999</v>
      </c>
      <c r="AF1472">
        <v>1.01888530854723</v>
      </c>
      <c r="AG1472">
        <v>-1.11672279005899</v>
      </c>
      <c r="AH1472">
        <v>15.3673925214365</v>
      </c>
      <c r="AI1472">
        <v>94.1472094836774</v>
      </c>
      <c r="AJ1472">
        <v>86.206740257900194</v>
      </c>
      <c r="AK1472">
        <v>15.441565657980201</v>
      </c>
      <c r="AL1472">
        <v>79.766391951496601</v>
      </c>
      <c r="AM1472">
        <v>86.861526409055401</v>
      </c>
      <c r="AN1472">
        <v>0.99999994076391696</v>
      </c>
    </row>
    <row r="1473" spans="1:40" x14ac:dyDescent="0.25">
      <c r="A1473" t="str">
        <f>"20190303162240748"</f>
        <v>20190303162240748</v>
      </c>
      <c r="B1473" t="str">
        <f>"1551601360735399"</f>
        <v>1551601360735399</v>
      </c>
      <c r="C1473" t="s">
        <v>40</v>
      </c>
      <c r="D1473">
        <v>6.0236210000000003</v>
      </c>
      <c r="E1473">
        <v>0.4926777</v>
      </c>
      <c r="F1473" t="s">
        <v>41</v>
      </c>
      <c r="G1473">
        <v>-192.20050000000001</v>
      </c>
      <c r="H1473" s="1">
        <v>-1.1209050000000001E-6</v>
      </c>
      <c r="I1473">
        <v>320.8372</v>
      </c>
      <c r="J1473">
        <v>-191.1198</v>
      </c>
      <c r="K1473">
        <v>1.1180680000000001</v>
      </c>
      <c r="L1473">
        <v>337.3306</v>
      </c>
      <c r="M1473">
        <v>-8.5188179999999992E-3</v>
      </c>
      <c r="N1473">
        <v>-1.177461E-2</v>
      </c>
      <c r="O1473">
        <v>-0.99989439999999996</v>
      </c>
      <c r="P1473">
        <v>-4.6767499999999997E-2</v>
      </c>
      <c r="Q1473">
        <v>0.173306399999999</v>
      </c>
      <c r="R1473">
        <v>-0.98375679999999999</v>
      </c>
      <c r="S1473">
        <v>-0.1965179</v>
      </c>
      <c r="T1473">
        <v>-0.20128660000000001</v>
      </c>
      <c r="U1473">
        <v>-3.0703740000000002</v>
      </c>
      <c r="V1473">
        <v>3.9577000000000001E-2</v>
      </c>
      <c r="W1473">
        <v>0.18463060000000001</v>
      </c>
      <c r="X1473">
        <v>0.98201079999999996</v>
      </c>
      <c r="Y1473">
        <v>5.5252809999999999E-2</v>
      </c>
      <c r="Z1473">
        <v>5.354648E-2</v>
      </c>
      <c r="AA1473">
        <v>0.99703560000000002</v>
      </c>
      <c r="AB1473">
        <v>28</v>
      </c>
      <c r="AC1473">
        <v>-1.0807</v>
      </c>
      <c r="AD1473">
        <v>-1.118069120905</v>
      </c>
      <c r="AE1473">
        <v>-16.493400000000001</v>
      </c>
      <c r="AF1473">
        <v>0.93586454467853297</v>
      </c>
      <c r="AG1473">
        <v>-1.118069120905</v>
      </c>
      <c r="AH1473">
        <v>16.4268442586188</v>
      </c>
      <c r="AI1473">
        <v>93.887463611397607</v>
      </c>
      <c r="AJ1473">
        <v>86.739289264648306</v>
      </c>
      <c r="AK1473">
        <v>16.491426054226601</v>
      </c>
      <c r="AL1473">
        <v>79.360403706007205</v>
      </c>
      <c r="AM1473">
        <v>87.692114438908902</v>
      </c>
      <c r="AN1473">
        <v>1.000000004351</v>
      </c>
    </row>
    <row r="1474" spans="1:40" x14ac:dyDescent="0.25">
      <c r="A1474" t="str">
        <f>"20190303162240793"</f>
        <v>20190303162240793</v>
      </c>
      <c r="B1474" t="str">
        <f>"1551601360787127"</f>
        <v>1551601360787127</v>
      </c>
      <c r="C1474" t="s">
        <v>40</v>
      </c>
      <c r="D1474">
        <v>5.8437919999999997</v>
      </c>
      <c r="E1474">
        <v>0.49369000000000002</v>
      </c>
      <c r="F1474" t="s">
        <v>41</v>
      </c>
      <c r="G1474">
        <v>-191.8083</v>
      </c>
      <c r="H1474" s="1">
        <v>-1.975019E-6</v>
      </c>
      <c r="I1474">
        <v>312.75189999999998</v>
      </c>
      <c r="J1474">
        <v>-191.13050000000001</v>
      </c>
      <c r="K1474">
        <v>1.1190690000000001</v>
      </c>
      <c r="L1474">
        <v>336.76150000000001</v>
      </c>
      <c r="M1474">
        <v>-1.2957400000000001E-2</v>
      </c>
      <c r="N1474">
        <v>-1.1699309999999999E-2</v>
      </c>
      <c r="O1474">
        <v>-0.99984770000000001</v>
      </c>
      <c r="P1474">
        <v>-4.1354700000000001E-2</v>
      </c>
      <c r="Q1474">
        <v>0.17289079999999901</v>
      </c>
      <c r="R1474">
        <v>-0.98407270000000002</v>
      </c>
      <c r="S1474">
        <v>-8.5998539999999998E-2</v>
      </c>
      <c r="T1474">
        <v>-0.13965420000000001</v>
      </c>
      <c r="U1474">
        <v>-3.0700379999999998</v>
      </c>
      <c r="V1474">
        <v>2.9356589999999998E-2</v>
      </c>
      <c r="W1474">
        <v>0.1842781</v>
      </c>
      <c r="X1474">
        <v>0.98243559999999996</v>
      </c>
      <c r="Y1474">
        <v>1.50247E-2</v>
      </c>
      <c r="Z1474">
        <v>3.3737000000000003E-2</v>
      </c>
      <c r="AA1474">
        <v>0.99931780000000003</v>
      </c>
      <c r="AB1474">
        <v>28</v>
      </c>
      <c r="AC1474">
        <v>-0.67779999999998997</v>
      </c>
      <c r="AD1474">
        <v>-1.119070975019</v>
      </c>
      <c r="AE1474">
        <v>-24.009599999999999</v>
      </c>
      <c r="AF1474">
        <v>0.36582573889063003</v>
      </c>
      <c r="AG1474">
        <v>-1.119070975019</v>
      </c>
      <c r="AH1474">
        <v>23.964347863444701</v>
      </c>
      <c r="AI1474">
        <v>92.673306434702894</v>
      </c>
      <c r="AJ1474">
        <v>89.125424022455604</v>
      </c>
      <c r="AK1474">
        <v>23.993251485335499</v>
      </c>
      <c r="AL1474">
        <v>79.380952680915698</v>
      </c>
      <c r="AM1474">
        <v>88.288428927220295</v>
      </c>
      <c r="AN1474">
        <v>0.99999996783169798</v>
      </c>
    </row>
    <row r="1475" spans="1:40" x14ac:dyDescent="0.25">
      <c r="A1475" t="str">
        <f>"20190303162240817"</f>
        <v>20190303162240817</v>
      </c>
      <c r="B1475" t="str">
        <f>"1551601360805671"</f>
        <v>1551601360805671</v>
      </c>
      <c r="C1475" t="s">
        <v>40</v>
      </c>
      <c r="D1475">
        <v>5.8836040000000001</v>
      </c>
      <c r="E1475">
        <v>0.49421290000000001</v>
      </c>
      <c r="F1475" t="s">
        <v>41</v>
      </c>
      <c r="G1475">
        <v>-191.66370000000001</v>
      </c>
      <c r="H1475" s="1">
        <v>-3.6940090000000002E-6</v>
      </c>
      <c r="I1475">
        <v>316.46980000000002</v>
      </c>
      <c r="J1475">
        <v>-191.13589999999999</v>
      </c>
      <c r="K1475">
        <v>1.1194599999999999</v>
      </c>
      <c r="L1475">
        <v>336.47210000000001</v>
      </c>
      <c r="M1475">
        <v>-1.427205E-2</v>
      </c>
      <c r="N1475">
        <v>-1.1665760000000001E-2</v>
      </c>
      <c r="O1475">
        <v>-0.9998302</v>
      </c>
      <c r="P1475">
        <v>-3.815056E-2</v>
      </c>
      <c r="Q1475">
        <v>0.1734715</v>
      </c>
      <c r="R1475">
        <v>-0.98409990000000003</v>
      </c>
      <c r="S1475">
        <v>-8.0795290000000006E-2</v>
      </c>
      <c r="T1475">
        <v>-0.16958319999999999</v>
      </c>
      <c r="U1475">
        <v>-3.0749819999999999</v>
      </c>
      <c r="V1475">
        <v>2.4685450000000001E-2</v>
      </c>
      <c r="W1475">
        <v>0.18486820000000001</v>
      </c>
      <c r="X1475">
        <v>0.98245320000000003</v>
      </c>
      <c r="Y1475">
        <v>1.196579E-2</v>
      </c>
      <c r="Z1475">
        <v>4.3396190000000001E-2</v>
      </c>
      <c r="AA1475">
        <v>0.99898629999999999</v>
      </c>
      <c r="AB1475">
        <v>28</v>
      </c>
      <c r="AC1475">
        <v>-0.52780000000001304</v>
      </c>
      <c r="AD1475">
        <v>-1.1194636940089999</v>
      </c>
      <c r="AE1475">
        <v>-20.002299999999899</v>
      </c>
      <c r="AF1475">
        <v>0.24149710355433199</v>
      </c>
      <c r="AG1475">
        <v>-1.1194636940089999</v>
      </c>
      <c r="AH1475">
        <v>19.945364833415699</v>
      </c>
      <c r="AI1475">
        <v>93.212206681668405</v>
      </c>
      <c r="AJ1475">
        <v>89.306300546139497</v>
      </c>
      <c r="AK1475">
        <v>19.978215589768901</v>
      </c>
      <c r="AL1475">
        <v>79.346551261326596</v>
      </c>
      <c r="AM1475">
        <v>88.560669794165506</v>
      </c>
      <c r="AN1475">
        <v>0.99999995650159001</v>
      </c>
    </row>
    <row r="1476" spans="1:40" x14ac:dyDescent="0.25">
      <c r="A1476" t="str">
        <f>"20190303162240863"</f>
        <v>20190303162240863</v>
      </c>
      <c r="B1476" t="str">
        <f>"1551601360856423"</f>
        <v>1551601360856423</v>
      </c>
      <c r="C1476" t="s">
        <v>40</v>
      </c>
      <c r="D1476">
        <v>5.8711919999999997</v>
      </c>
      <c r="E1476">
        <v>0.49480619999999997</v>
      </c>
      <c r="F1476" t="s">
        <v>41</v>
      </c>
      <c r="G1476">
        <v>-191.6207</v>
      </c>
      <c r="H1476" s="1">
        <v>-3.8383080000000004E-6</v>
      </c>
      <c r="I1476">
        <v>316.79919999999998</v>
      </c>
      <c r="J1476">
        <v>-191.14609999999999</v>
      </c>
      <c r="K1476">
        <v>1.1200209999999999</v>
      </c>
      <c r="L1476">
        <v>335.92790000000002</v>
      </c>
      <c r="M1476">
        <v>-1.573457E-2</v>
      </c>
      <c r="N1476">
        <v>-1.1615479999999999E-2</v>
      </c>
      <c r="O1476">
        <v>-0.99980899999999995</v>
      </c>
      <c r="P1476">
        <v>-2.5729399999999999E-2</v>
      </c>
      <c r="Q1476">
        <v>0.1751241</v>
      </c>
      <c r="R1476">
        <v>-0.98421040000000004</v>
      </c>
      <c r="S1476">
        <v>-7.5805659999999997E-2</v>
      </c>
      <c r="T1476">
        <v>-0.175058399999999</v>
      </c>
      <c r="U1476">
        <v>-3.0763850000000001</v>
      </c>
      <c r="V1476">
        <v>1.0574470000000001E-2</v>
      </c>
      <c r="W1476">
        <v>0.18652869999999999</v>
      </c>
      <c r="X1476">
        <v>0.98239259999999995</v>
      </c>
      <c r="Y1476">
        <v>8.8710609999999995E-3</v>
      </c>
      <c r="Z1476">
        <v>4.5193450000000003E-2</v>
      </c>
      <c r="AA1476">
        <v>0.99893889999999996</v>
      </c>
      <c r="AB1476">
        <v>28</v>
      </c>
      <c r="AC1476">
        <v>-0.47460000000000901</v>
      </c>
      <c r="AD1476">
        <v>-1.120024838308</v>
      </c>
      <c r="AE1476">
        <v>-19.128699999999998</v>
      </c>
      <c r="AF1476">
        <v>0.172946587684986</v>
      </c>
      <c r="AG1476">
        <v>-1.120024838308</v>
      </c>
      <c r="AH1476">
        <v>19.068466707541798</v>
      </c>
      <c r="AI1476">
        <v>93.361382955232898</v>
      </c>
      <c r="AJ1476">
        <v>89.480354765236399</v>
      </c>
      <c r="AK1476">
        <v>19.102114771334801</v>
      </c>
      <c r="AL1476">
        <v>79.249727976920795</v>
      </c>
      <c r="AM1476">
        <v>89.3832922767442</v>
      </c>
      <c r="AN1476">
        <v>0.99999999793711503</v>
      </c>
    </row>
    <row r="1477" spans="1:40" x14ac:dyDescent="0.25">
      <c r="A1477" t="str">
        <f>"20190303162240882"</f>
        <v>20190303162240882</v>
      </c>
      <c r="B1477" t="str">
        <f>"1551601360875943"</f>
        <v>1551601360875943</v>
      </c>
      <c r="C1477" t="s">
        <v>40</v>
      </c>
      <c r="D1477">
        <v>5.8278169999999996</v>
      </c>
      <c r="E1477">
        <v>0.4950812</v>
      </c>
      <c r="F1477" t="s">
        <v>41</v>
      </c>
      <c r="G1477">
        <v>-191.4229</v>
      </c>
      <c r="H1477" s="1">
        <v>-3.9217960000000002E-6</v>
      </c>
      <c r="I1477">
        <v>317.0872</v>
      </c>
      <c r="J1477">
        <v>-191.1508</v>
      </c>
      <c r="K1477">
        <v>1.120188</v>
      </c>
      <c r="L1477">
        <v>335.67009999999999</v>
      </c>
      <c r="M1477">
        <v>-1.6162949999999999E-2</v>
      </c>
      <c r="N1477">
        <v>-1.159636E-2</v>
      </c>
      <c r="O1477">
        <v>-0.99980250000000004</v>
      </c>
      <c r="P1477">
        <v>-1.975609E-2</v>
      </c>
      <c r="Q1477">
        <v>0.17461760000000001</v>
      </c>
      <c r="R1477">
        <v>-0.98443860000000005</v>
      </c>
      <c r="S1477">
        <v>-4.5242310000000001E-2</v>
      </c>
      <c r="T1477">
        <v>-0.1830667</v>
      </c>
      <c r="U1477">
        <v>-3.0794980000000001</v>
      </c>
      <c r="V1477">
        <v>4.0981289999999998E-3</v>
      </c>
      <c r="W1477">
        <v>0.1860185</v>
      </c>
      <c r="X1477">
        <v>0.98253769999999996</v>
      </c>
      <c r="Y1477">
        <v>-1.490494E-3</v>
      </c>
      <c r="Z1477">
        <v>4.7748789999999999E-2</v>
      </c>
      <c r="AA1477">
        <v>0.99885829999999998</v>
      </c>
      <c r="AB1477">
        <v>28</v>
      </c>
      <c r="AC1477">
        <v>-0.27209999999999401</v>
      </c>
      <c r="AD1477">
        <v>-1.1201919217959999</v>
      </c>
      <c r="AE1477">
        <v>-18.582899999999899</v>
      </c>
      <c r="AF1477">
        <v>-2.8207637978052199E-2</v>
      </c>
      <c r="AG1477">
        <v>-1.1201919217959999</v>
      </c>
      <c r="AH1477">
        <v>18.517596109903199</v>
      </c>
      <c r="AI1477">
        <v>93.461792538797297</v>
      </c>
      <c r="AJ1477">
        <v>90.087277924549198</v>
      </c>
      <c r="AK1477">
        <v>18.551468710104899</v>
      </c>
      <c r="AL1477">
        <v>79.279481095312093</v>
      </c>
      <c r="AM1477">
        <v>89.761022774004203</v>
      </c>
      <c r="AN1477">
        <v>1.00000000446242</v>
      </c>
    </row>
    <row r="1478" spans="1:40" x14ac:dyDescent="0.25">
      <c r="A1478" t="str">
        <f>"20190303162240906"</f>
        <v>20190303162240906</v>
      </c>
      <c r="B1478" t="str">
        <f>"1551601360895463"</f>
        <v>1551601360895463</v>
      </c>
      <c r="C1478" t="s">
        <v>40</v>
      </c>
      <c r="D1478">
        <v>5.8141299999999996</v>
      </c>
      <c r="E1478">
        <v>0.49540329999999999</v>
      </c>
      <c r="F1478" t="s">
        <v>41</v>
      </c>
      <c r="G1478">
        <v>-191.33080000000001</v>
      </c>
      <c r="H1478" s="1">
        <v>-4.0955820000000002E-6</v>
      </c>
      <c r="I1478">
        <v>317.50670000000002</v>
      </c>
      <c r="J1478">
        <v>-191.1559</v>
      </c>
      <c r="K1478">
        <v>1.120303</v>
      </c>
      <c r="L1478">
        <v>335.3845</v>
      </c>
      <c r="M1478">
        <v>-1.6502449999999998E-2</v>
      </c>
      <c r="N1478">
        <v>-1.157825E-2</v>
      </c>
      <c r="O1478">
        <v>-0.99979709999999999</v>
      </c>
      <c r="P1478">
        <v>-1.5665439999999999E-2</v>
      </c>
      <c r="Q1478">
        <v>0.17079359999999999</v>
      </c>
      <c r="R1478">
        <v>-0.98518289999999997</v>
      </c>
      <c r="S1478">
        <v>-3.0532839999999999E-2</v>
      </c>
      <c r="T1478">
        <v>-0.1899856</v>
      </c>
      <c r="U1478">
        <v>-3.0805359999999999</v>
      </c>
      <c r="V1478">
        <v>-4.0163800000000001E-4</v>
      </c>
      <c r="W1478">
        <v>0.18219080000000001</v>
      </c>
      <c r="X1478">
        <v>0.98326309999999995</v>
      </c>
      <c r="Y1478">
        <v>-6.6026380000000001E-3</v>
      </c>
      <c r="Z1478">
        <v>4.998176E-2</v>
      </c>
      <c r="AA1478">
        <v>0.99872830000000001</v>
      </c>
      <c r="AB1478">
        <v>28</v>
      </c>
      <c r="AC1478">
        <v>-0.17490000000000799</v>
      </c>
      <c r="AD1478">
        <v>-1.120307095582</v>
      </c>
      <c r="AE1478">
        <v>-17.877799999999901</v>
      </c>
      <c r="AF1478">
        <v>-0.119701000431344</v>
      </c>
      <c r="AG1478">
        <v>-1.120307095582</v>
      </c>
      <c r="AH1478">
        <v>17.808327428242901</v>
      </c>
      <c r="AI1478">
        <v>93.599605164875399</v>
      </c>
      <c r="AJ1478">
        <v>90.385115270986603</v>
      </c>
      <c r="AK1478">
        <v>17.843932921568101</v>
      </c>
      <c r="AL1478">
        <v>79.502606067697499</v>
      </c>
      <c r="AM1478">
        <v>90.023403869231103</v>
      </c>
      <c r="AN1478">
        <v>0.99999998636966603</v>
      </c>
    </row>
    <row r="1479" spans="1:40" x14ac:dyDescent="0.25">
      <c r="A1479" t="str">
        <f>"20190303162240927"</f>
        <v>20190303162240927</v>
      </c>
      <c r="B1479" t="str">
        <f>"1551601360915960"</f>
        <v>1551601360915960</v>
      </c>
      <c r="C1479" t="s">
        <v>40</v>
      </c>
      <c r="D1479">
        <v>5.8097519999999996</v>
      </c>
      <c r="E1479">
        <v>0.49567840000000002</v>
      </c>
      <c r="F1479" t="s">
        <v>41</v>
      </c>
      <c r="G1479">
        <v>-191.2739</v>
      </c>
      <c r="H1479" s="1">
        <v>-4.5346639999999998E-6</v>
      </c>
      <c r="I1479">
        <v>318.50619999999998</v>
      </c>
      <c r="J1479">
        <v>-191.1609</v>
      </c>
      <c r="K1479">
        <v>1.1203650000000001</v>
      </c>
      <c r="L1479">
        <v>335.11110000000002</v>
      </c>
      <c r="M1479">
        <v>-1.6724030000000001E-2</v>
      </c>
      <c r="N1479">
        <v>-1.156392E-2</v>
      </c>
      <c r="O1479">
        <v>-0.99979359999999995</v>
      </c>
      <c r="P1479">
        <v>-1.186797E-2</v>
      </c>
      <c r="Q1479">
        <v>0.16668289999999999</v>
      </c>
      <c r="R1479">
        <v>-0.98593929999999996</v>
      </c>
      <c r="S1479">
        <v>-2.1530150000000001E-2</v>
      </c>
      <c r="T1479">
        <v>-0.20445389999999999</v>
      </c>
      <c r="U1479">
        <v>-3.0802610000000001</v>
      </c>
      <c r="V1479">
        <v>-4.47613E-3</v>
      </c>
      <c r="W1479">
        <v>0.17807779999999901</v>
      </c>
      <c r="X1479">
        <v>0.98400620000000005</v>
      </c>
      <c r="Y1479">
        <v>-9.7422389999999998E-3</v>
      </c>
      <c r="Z1479">
        <v>5.4671249999999998E-2</v>
      </c>
      <c r="AA1479">
        <v>0.99845689999999998</v>
      </c>
      <c r="AB1479">
        <v>28</v>
      </c>
      <c r="AC1479">
        <v>-0.112999999999999</v>
      </c>
      <c r="AD1479">
        <v>-1.1203695346639999</v>
      </c>
      <c r="AE1479">
        <v>-16.604900000000001</v>
      </c>
      <c r="AF1479">
        <v>-0.16398860576286101</v>
      </c>
      <c r="AG1479">
        <v>-1.1203695346639999</v>
      </c>
      <c r="AH1479">
        <v>16.529221517739799</v>
      </c>
      <c r="AI1479">
        <v>93.877452138431195</v>
      </c>
      <c r="AJ1479">
        <v>90.568420402138699</v>
      </c>
      <c r="AK1479">
        <v>16.5679595647604</v>
      </c>
      <c r="AL1479">
        <v>79.742182622545002</v>
      </c>
      <c r="AM1479">
        <v>90.260630053582005</v>
      </c>
      <c r="AN1479">
        <v>0.99999997011552799</v>
      </c>
    </row>
    <row r="1480" spans="1:40" x14ac:dyDescent="0.25">
      <c r="A1480" t="str">
        <f>"20190303162240951"</f>
        <v>20190303162240951</v>
      </c>
      <c r="B1480" t="str">
        <f>"1551601360935479"</f>
        <v>1551601360935479</v>
      </c>
      <c r="C1480" t="s">
        <v>40</v>
      </c>
      <c r="D1480">
        <v>5.8047969999999998</v>
      </c>
      <c r="E1480">
        <v>0.49588969999999999</v>
      </c>
      <c r="F1480" t="s">
        <v>41</v>
      </c>
      <c r="G1480">
        <v>-191.21969999999999</v>
      </c>
      <c r="H1480" s="1">
        <v>-4.8731610000000002E-6</v>
      </c>
      <c r="I1480">
        <v>319.41269999999997</v>
      </c>
      <c r="J1480">
        <v>-191.16569999999999</v>
      </c>
      <c r="K1480">
        <v>1.1204190000000001</v>
      </c>
      <c r="L1480">
        <v>334.84379999999999</v>
      </c>
      <c r="M1480">
        <v>-1.687785E-2</v>
      </c>
      <c r="N1480">
        <v>-1.1553570000000001E-2</v>
      </c>
      <c r="O1480">
        <v>-0.99979099999999999</v>
      </c>
      <c r="P1480">
        <v>-9.7881749999999997E-3</v>
      </c>
      <c r="Q1480">
        <v>0.1625674</v>
      </c>
      <c r="R1480">
        <v>-0.98664929999999995</v>
      </c>
      <c r="S1480">
        <v>-1.153564E-2</v>
      </c>
      <c r="T1480">
        <v>-0.2198029</v>
      </c>
      <c r="U1480">
        <v>-3.079834</v>
      </c>
      <c r="V1480">
        <v>-6.7563700000000003E-3</v>
      </c>
      <c r="W1480">
        <v>0.17396029999999901</v>
      </c>
      <c r="X1480">
        <v>0.98472950000000004</v>
      </c>
      <c r="Y1480">
        <v>-1.313426E-2</v>
      </c>
      <c r="Z1480">
        <v>5.9640180000000001E-2</v>
      </c>
      <c r="AA1480">
        <v>0.99813350000000001</v>
      </c>
      <c r="AB1480">
        <v>28</v>
      </c>
      <c r="AC1480">
        <v>-5.4000000000001998E-2</v>
      </c>
      <c r="AD1480">
        <v>-1.1204238731609999</v>
      </c>
      <c r="AE1480">
        <v>-15.431100000000001</v>
      </c>
      <c r="AF1480">
        <v>-0.20538604667826399</v>
      </c>
      <c r="AG1480">
        <v>-1.1204238731609999</v>
      </c>
      <c r="AH1480">
        <v>15.348895595094699</v>
      </c>
      <c r="AI1480">
        <v>94.174644518407007</v>
      </c>
      <c r="AJ1480">
        <v>90.766638308785303</v>
      </c>
      <c r="AK1480">
        <v>15.3911055182152</v>
      </c>
      <c r="AL1480">
        <v>79.981840436058803</v>
      </c>
      <c r="AM1480">
        <v>90.393108372948305</v>
      </c>
      <c r="AN1480">
        <v>1.00000001134095</v>
      </c>
    </row>
    <row r="1481" spans="1:40" x14ac:dyDescent="0.25">
      <c r="A1481" t="str">
        <f>"20190303162240971"</f>
        <v>20190303162240971</v>
      </c>
      <c r="B1481" t="str">
        <f>"1551601360955975"</f>
        <v>1551601360955975</v>
      </c>
      <c r="C1481" t="s">
        <v>40</v>
      </c>
      <c r="D1481">
        <v>5.8080509999999999</v>
      </c>
      <c r="E1481">
        <v>0.49621150000000003</v>
      </c>
      <c r="F1481" t="s">
        <v>41</v>
      </c>
      <c r="G1481">
        <v>-191.18770000000001</v>
      </c>
      <c r="H1481" s="1">
        <v>-5.3311690000000003E-7</v>
      </c>
      <c r="I1481">
        <v>320.09519999999998</v>
      </c>
      <c r="J1481">
        <v>-191.1705</v>
      </c>
      <c r="K1481">
        <v>1.120492</v>
      </c>
      <c r="L1481">
        <v>334.57499999999999</v>
      </c>
      <c r="M1481">
        <v>-1.6959849999999999E-2</v>
      </c>
      <c r="N1481">
        <v>-1.154926E-2</v>
      </c>
      <c r="O1481">
        <v>-0.99978979999999995</v>
      </c>
      <c r="P1481">
        <v>-1.005166E-2</v>
      </c>
      <c r="Q1481">
        <v>0.16013179999999999</v>
      </c>
      <c r="R1481">
        <v>-0.9870449</v>
      </c>
      <c r="S1481">
        <v>-4.592896E-3</v>
      </c>
      <c r="T1481">
        <v>-0.2339109</v>
      </c>
      <c r="U1481">
        <v>-3.0790709999999999</v>
      </c>
      <c r="V1481">
        <v>-6.6174340000000002E-3</v>
      </c>
      <c r="W1481">
        <v>0.17152409999999901</v>
      </c>
      <c r="X1481">
        <v>0.98515770000000003</v>
      </c>
      <c r="Y1481">
        <v>-1.5464800000000001E-2</v>
      </c>
      <c r="Z1481">
        <v>6.420787E-2</v>
      </c>
      <c r="AA1481">
        <v>0.9978167</v>
      </c>
      <c r="AB1481">
        <v>28</v>
      </c>
      <c r="AC1481">
        <v>-1.7200000000002501E-2</v>
      </c>
      <c r="AD1481">
        <v>-1.12049253311689</v>
      </c>
      <c r="AE1481">
        <v>-14.479799999999999</v>
      </c>
      <c r="AF1481">
        <v>-0.22703449301197801</v>
      </c>
      <c r="AG1481">
        <v>-1.12049253311689</v>
      </c>
      <c r="AH1481">
        <v>14.3918285096253</v>
      </c>
      <c r="AI1481">
        <v>94.451297298012804</v>
      </c>
      <c r="AJ1481">
        <v>90.903779484826998</v>
      </c>
      <c r="AK1481">
        <v>14.4371664819747</v>
      </c>
      <c r="AL1481">
        <v>80.123554726487399</v>
      </c>
      <c r="AM1481">
        <v>90.384857507734097</v>
      </c>
      <c r="AN1481">
        <v>1.00000000059142</v>
      </c>
    </row>
    <row r="1482" spans="1:40" x14ac:dyDescent="0.25">
      <c r="A1482" t="str">
        <f>"20190303162240995"</f>
        <v>20190303162240995</v>
      </c>
      <c r="B1482" t="str">
        <f>"1551601360986231"</f>
        <v>1551601360986231</v>
      </c>
      <c r="C1482" t="s">
        <v>40</v>
      </c>
      <c r="D1482">
        <v>5.756049</v>
      </c>
      <c r="E1482">
        <v>0.49665419999999999</v>
      </c>
      <c r="F1482" t="s">
        <v>41</v>
      </c>
      <c r="G1482">
        <v>-191.1944</v>
      </c>
      <c r="H1482" s="1">
        <v>-8.8368950000000003E-7</v>
      </c>
      <c r="I1482">
        <v>320.90820000000002</v>
      </c>
      <c r="J1482">
        <v>-191.1756</v>
      </c>
      <c r="K1482">
        <v>1.1206119999999999</v>
      </c>
      <c r="L1482">
        <v>334.28129999999999</v>
      </c>
      <c r="M1482">
        <v>-1.6925599999999898E-2</v>
      </c>
      <c r="N1482">
        <v>-1.1550329999999999E-2</v>
      </c>
      <c r="O1482">
        <v>-0.99979019999999996</v>
      </c>
      <c r="P1482">
        <v>-1.371062E-2</v>
      </c>
      <c r="Q1482">
        <v>0.15876589999999999</v>
      </c>
      <c r="R1482">
        <v>-0.98722109999999996</v>
      </c>
      <c r="S1482">
        <v>-5.4016109999999997E-3</v>
      </c>
      <c r="T1482">
        <v>-0.25254559999999998</v>
      </c>
      <c r="U1482">
        <v>-3.0803219999999998</v>
      </c>
      <c r="V1482">
        <v>-2.976533E-3</v>
      </c>
      <c r="W1482">
        <v>0.1701597</v>
      </c>
      <c r="X1482">
        <v>0.98541199999999995</v>
      </c>
      <c r="Y1482">
        <v>-1.5169500000000001E-2</v>
      </c>
      <c r="Z1482">
        <v>7.0173289999999999E-2</v>
      </c>
      <c r="AA1482">
        <v>0.99741950000000001</v>
      </c>
      <c r="AB1482">
        <v>28</v>
      </c>
      <c r="AC1482">
        <v>-1.87999999999988E-2</v>
      </c>
      <c r="AD1482">
        <v>-1.1206128836895</v>
      </c>
      <c r="AE1482">
        <v>-13.3730999999999</v>
      </c>
      <c r="AF1482">
        <v>-0.206118184388905</v>
      </c>
      <c r="AG1482">
        <v>-1.1206128836895</v>
      </c>
      <c r="AH1482">
        <v>13.2782654587119</v>
      </c>
      <c r="AI1482">
        <v>94.823440392761995</v>
      </c>
      <c r="AJ1482">
        <v>90.8893295328444</v>
      </c>
      <c r="AK1482">
        <v>13.3270623744713</v>
      </c>
      <c r="AL1482">
        <v>80.202895486682095</v>
      </c>
      <c r="AM1482">
        <v>90.173066960627906</v>
      </c>
      <c r="AN1482">
        <v>0.99999999649839399</v>
      </c>
    </row>
    <row r="1483" spans="1:40" x14ac:dyDescent="0.25">
      <c r="A1483" t="str">
        <f>"20190303162241017"</f>
        <v>20190303162241017</v>
      </c>
      <c r="B1483" t="str">
        <f>"1551601361005755"</f>
        <v>1551601361005755</v>
      </c>
      <c r="C1483" t="s">
        <v>40</v>
      </c>
      <c r="D1483">
        <v>5.9994969999999999</v>
      </c>
      <c r="E1483">
        <v>0.49699939999999998</v>
      </c>
      <c r="F1483" t="s">
        <v>41</v>
      </c>
      <c r="G1483">
        <v>-191.25450000000001</v>
      </c>
      <c r="H1483" s="1">
        <v>-8.4967290000000005E-7</v>
      </c>
      <c r="I1483">
        <v>320.79169999999999</v>
      </c>
      <c r="J1483">
        <v>-191.18020000000001</v>
      </c>
      <c r="K1483">
        <v>1.1207549999999999</v>
      </c>
      <c r="L1483">
        <v>334.0016</v>
      </c>
      <c r="M1483">
        <v>-1.671419E-2</v>
      </c>
      <c r="N1483">
        <v>-1.1557059999999999E-2</v>
      </c>
      <c r="O1483">
        <v>-0.99979379999999995</v>
      </c>
      <c r="P1483">
        <v>-1.957534E-2</v>
      </c>
      <c r="Q1483">
        <v>0.1567656</v>
      </c>
      <c r="R1483">
        <v>-0.98744219999999905</v>
      </c>
      <c r="S1483">
        <v>-1.8020629999999999E-2</v>
      </c>
      <c r="T1483">
        <v>-0.25583800000000001</v>
      </c>
      <c r="U1483">
        <v>-3.0797119999999998</v>
      </c>
      <c r="V1483">
        <v>3.0343570000000001E-3</v>
      </c>
      <c r="W1483">
        <v>0.16816989999999901</v>
      </c>
      <c r="X1483">
        <v>0.9857534</v>
      </c>
      <c r="Y1483">
        <v>-1.087347E-2</v>
      </c>
      <c r="Z1483">
        <v>7.1244109999999999E-2</v>
      </c>
      <c r="AA1483">
        <v>0.99739960000000005</v>
      </c>
      <c r="AB1483">
        <v>28</v>
      </c>
      <c r="AC1483">
        <v>-7.4299999999993802E-2</v>
      </c>
      <c r="AD1483">
        <v>-1.12075584967289</v>
      </c>
      <c r="AE1483">
        <v>-13.209899999999999</v>
      </c>
      <c r="AF1483">
        <v>-0.145470750252153</v>
      </c>
      <c r="AG1483">
        <v>-1.12075584967289</v>
      </c>
      <c r="AH1483">
        <v>13.1148959333135</v>
      </c>
      <c r="AI1483">
        <v>94.884142736280197</v>
      </c>
      <c r="AJ1483">
        <v>90.635500142637696</v>
      </c>
      <c r="AK1483">
        <v>13.163500702905701</v>
      </c>
      <c r="AL1483">
        <v>80.318570238897493</v>
      </c>
      <c r="AM1483">
        <v>89.8236320559257</v>
      </c>
      <c r="AN1483">
        <v>1.0000000440999799</v>
      </c>
    </row>
    <row r="1484" spans="1:40" x14ac:dyDescent="0.25">
      <c r="A1484" t="str">
        <f>"20190303162241064"</f>
        <v>20190303162241064</v>
      </c>
      <c r="B1484" t="str">
        <f>"1551601361045767"</f>
        <v>1551601361045767</v>
      </c>
      <c r="C1484" t="s">
        <v>40</v>
      </c>
      <c r="D1484">
        <v>5.9938580000000004</v>
      </c>
      <c r="E1484">
        <v>0.49735390000000002</v>
      </c>
      <c r="F1484" t="s">
        <v>41</v>
      </c>
      <c r="G1484">
        <v>-191.33529999999999</v>
      </c>
      <c r="H1484" s="1">
        <v>-9.117662E-7</v>
      </c>
      <c r="I1484">
        <v>320.88630000000001</v>
      </c>
      <c r="J1484">
        <v>-191.18860000000001</v>
      </c>
      <c r="K1484">
        <v>1.1211340000000001</v>
      </c>
      <c r="L1484">
        <v>333.4298</v>
      </c>
      <c r="M1484">
        <v>-1.558236E-2</v>
      </c>
      <c r="N1484">
        <v>-1.158882E-2</v>
      </c>
      <c r="O1484">
        <v>-0.99981160000000002</v>
      </c>
      <c r="P1484">
        <v>-3.5909049999999998E-2</v>
      </c>
      <c r="Q1484">
        <v>0.15238769999999999</v>
      </c>
      <c r="R1484">
        <v>-0.98766869999999995</v>
      </c>
      <c r="S1484">
        <v>-3.642273E-2</v>
      </c>
      <c r="T1484">
        <v>-0.26312580000000002</v>
      </c>
      <c r="U1484">
        <v>-3.0791629999999999</v>
      </c>
      <c r="V1484">
        <v>2.0331849999999999E-2</v>
      </c>
      <c r="W1484">
        <v>0.16385139999999901</v>
      </c>
      <c r="X1484">
        <v>0.98627549999999997</v>
      </c>
      <c r="Y1484">
        <v>-3.7857540000000001E-3</v>
      </c>
      <c r="Z1484">
        <v>7.3573250000000007E-2</v>
      </c>
      <c r="AA1484">
        <v>0.99728260000000002</v>
      </c>
      <c r="AB1484">
        <v>28</v>
      </c>
      <c r="AC1484">
        <v>-0.14669999999998101</v>
      </c>
      <c r="AD1484">
        <v>-1.1211349117661999</v>
      </c>
      <c r="AE1484">
        <v>-12.5434999999999</v>
      </c>
      <c r="AF1484">
        <v>-4.8401623649226497E-2</v>
      </c>
      <c r="AG1484">
        <v>-1.1211349117661999</v>
      </c>
      <c r="AH1484">
        <v>12.4448578093197</v>
      </c>
      <c r="AI1484">
        <v>95.1477390083096</v>
      </c>
      <c r="AJ1484">
        <v>90.222838606617202</v>
      </c>
      <c r="AK1484">
        <v>12.4953500191767</v>
      </c>
      <c r="AL1484">
        <v>80.569483665093898</v>
      </c>
      <c r="AM1484">
        <v>88.819027526143799</v>
      </c>
      <c r="AN1484">
        <v>1.00000001365331</v>
      </c>
    </row>
    <row r="1485" spans="1:40" x14ac:dyDescent="0.25">
      <c r="A1485" t="str">
        <f>"20190303162241084"</f>
        <v>20190303162241084</v>
      </c>
      <c r="B1485" t="str">
        <f>"1551601361076023"</f>
        <v>1551601361076023</v>
      </c>
      <c r="C1485" t="s">
        <v>40</v>
      </c>
      <c r="D1485">
        <v>5.7715430000000003</v>
      </c>
      <c r="E1485">
        <v>0.4975251</v>
      </c>
      <c r="F1485" t="s">
        <v>42</v>
      </c>
      <c r="G1485">
        <v>-191.21539999999999</v>
      </c>
      <c r="H1485">
        <v>1.036219</v>
      </c>
      <c r="I1485">
        <v>332.46480000000003</v>
      </c>
      <c r="J1485">
        <v>-191.1919</v>
      </c>
      <c r="K1485">
        <v>1.121318</v>
      </c>
      <c r="L1485">
        <v>333.16109999999998</v>
      </c>
      <c r="M1485">
        <v>-1.471679E-2</v>
      </c>
      <c r="N1485">
        <v>-1.160781E-2</v>
      </c>
      <c r="O1485">
        <v>-0.99982439999999995</v>
      </c>
      <c r="P1485">
        <v>-4.0948659999999998E-2</v>
      </c>
      <c r="Q1485">
        <v>0.15479129999999899</v>
      </c>
      <c r="R1485">
        <v>-0.98709860000000005</v>
      </c>
      <c r="S1485">
        <v>-8.5433960000000003E-2</v>
      </c>
      <c r="T1485">
        <v>-0.27065359999999899</v>
      </c>
      <c r="U1485">
        <v>-3.076111</v>
      </c>
      <c r="V1485">
        <v>2.6162979999999999E-2</v>
      </c>
      <c r="W1485">
        <v>0.16628470000000001</v>
      </c>
      <c r="X1485">
        <v>0.98573060000000001</v>
      </c>
      <c r="Y1485">
        <v>1.295963E-2</v>
      </c>
      <c r="Z1485">
        <v>7.6045710000000002E-2</v>
      </c>
      <c r="AA1485">
        <v>0.99702009999999996</v>
      </c>
      <c r="AB1485">
        <v>28</v>
      </c>
      <c r="AC1485">
        <v>-2.3499999999984301E-2</v>
      </c>
      <c r="AD1485">
        <v>-8.5098999999999994E-2</v>
      </c>
      <c r="AE1485">
        <v>-0.69629999999995096</v>
      </c>
      <c r="AF1485">
        <v>1.30546913346059E-2</v>
      </c>
      <c r="AG1485">
        <v>-8.5098999999999994E-2</v>
      </c>
      <c r="AH1485">
        <v>0.68633056533382797</v>
      </c>
      <c r="AI1485">
        <v>97.066837286136803</v>
      </c>
      <c r="AJ1485">
        <v>88.910308577441995</v>
      </c>
      <c r="AK1485">
        <v>0.69170941129804897</v>
      </c>
      <c r="AL1485">
        <v>80.428126174616693</v>
      </c>
      <c r="AM1485">
        <v>88.479628735212501</v>
      </c>
      <c r="AN1485">
        <v>0.99999995937646402</v>
      </c>
    </row>
    <row r="1486" spans="1:40" x14ac:dyDescent="0.25">
      <c r="A1486" t="str">
        <f>"20190303162241128"</f>
        <v>20190303162241128</v>
      </c>
      <c r="B1486" t="str">
        <f>"1551601361116038"</f>
        <v>1551601361116038</v>
      </c>
      <c r="C1486" t="s">
        <v>40</v>
      </c>
      <c r="D1486">
        <v>5.9639369999999996</v>
      </c>
      <c r="E1486">
        <v>0.49750549999999999</v>
      </c>
      <c r="F1486" t="s">
        <v>42</v>
      </c>
      <c r="G1486">
        <v>-191.22450000000001</v>
      </c>
      <c r="H1486">
        <v>1.041876</v>
      </c>
      <c r="I1486">
        <v>332.21409999999997</v>
      </c>
      <c r="J1486">
        <v>-191.19710000000001</v>
      </c>
      <c r="K1486">
        <v>1.1215740000000001</v>
      </c>
      <c r="L1486">
        <v>332.62029999999999</v>
      </c>
      <c r="M1486">
        <v>-1.2547910000000001E-2</v>
      </c>
      <c r="N1486">
        <v>-1.164244E-2</v>
      </c>
      <c r="O1486">
        <v>-0.99985349999999995</v>
      </c>
      <c r="P1486">
        <v>-4.3339809999999999E-2</v>
      </c>
      <c r="Q1486">
        <v>0.15999240000000001</v>
      </c>
      <c r="R1486">
        <v>-0.9861664</v>
      </c>
      <c r="S1486">
        <v>-0.1049805</v>
      </c>
      <c r="T1486">
        <v>-0.25843290000000002</v>
      </c>
      <c r="U1486">
        <v>-3.0754090000000001</v>
      </c>
      <c r="V1486">
        <v>3.0608400000000001E-2</v>
      </c>
      <c r="W1486">
        <v>0.17153209999999999</v>
      </c>
      <c r="X1486">
        <v>0.98470290000000005</v>
      </c>
      <c r="Y1486">
        <v>2.1470699999999999E-2</v>
      </c>
      <c r="Z1486">
        <v>7.2088440000000004E-2</v>
      </c>
      <c r="AA1486">
        <v>0.99716709999999997</v>
      </c>
      <c r="AB1486">
        <v>28</v>
      </c>
      <c r="AC1486">
        <v>-2.7400000000000001E-2</v>
      </c>
      <c r="AD1486">
        <v>-7.9698000000000005E-2</v>
      </c>
      <c r="AE1486">
        <v>-0.406200000000012</v>
      </c>
      <c r="AF1486">
        <v>2.1477484934194199E-2</v>
      </c>
      <c r="AG1486">
        <v>-7.9698000000000005E-2</v>
      </c>
      <c r="AH1486">
        <v>0.39150862336188103</v>
      </c>
      <c r="AI1486">
        <v>101.489462381801</v>
      </c>
      <c r="AJ1486">
        <v>86.860000125228296</v>
      </c>
      <c r="AK1486">
        <v>0.40011505311574302</v>
      </c>
      <c r="AL1486">
        <v>80.123089143321096</v>
      </c>
      <c r="AM1486">
        <v>88.219597361526297</v>
      </c>
      <c r="AN1486">
        <v>0.99999996837468896</v>
      </c>
    </row>
    <row r="1487" spans="1:40" x14ac:dyDescent="0.25">
      <c r="A1487" t="str">
        <f>"20190303162241150"</f>
        <v>20190303162241150</v>
      </c>
      <c r="B1487" t="str">
        <f>"1551601361146295"</f>
        <v>1551601361146295</v>
      </c>
      <c r="C1487" t="s">
        <v>40</v>
      </c>
      <c r="D1487">
        <v>6.013433</v>
      </c>
      <c r="E1487">
        <v>0.49748530000000002</v>
      </c>
      <c r="F1487" t="s">
        <v>41</v>
      </c>
      <c r="G1487">
        <v>-191.77350000000001</v>
      </c>
      <c r="H1487" s="1">
        <v>-4.4426870000000001E-6</v>
      </c>
      <c r="I1487">
        <v>318.03590000000003</v>
      </c>
      <c r="J1487">
        <v>-191.19909999999999</v>
      </c>
      <c r="K1487">
        <v>1.1216109999999999</v>
      </c>
      <c r="L1487">
        <v>332.3605</v>
      </c>
      <c r="M1487">
        <v>-1.138461E-2</v>
      </c>
      <c r="N1487">
        <v>-1.165616E-2</v>
      </c>
      <c r="O1487">
        <v>-0.99986759999999997</v>
      </c>
      <c r="P1487">
        <v>-4.2696570000000003E-2</v>
      </c>
      <c r="Q1487">
        <v>0.15899440000000001</v>
      </c>
      <c r="R1487">
        <v>-0.98635600000000001</v>
      </c>
      <c r="S1487">
        <v>-0.1215363</v>
      </c>
      <c r="T1487">
        <v>-0.23648430000000001</v>
      </c>
      <c r="U1487">
        <v>-3.0751040000000001</v>
      </c>
      <c r="V1487">
        <v>3.1094549999999999E-2</v>
      </c>
      <c r="W1487">
        <v>0.17055339999999999</v>
      </c>
      <c r="X1487">
        <v>0.98485769999999995</v>
      </c>
      <c r="Y1487">
        <v>2.801478E-2</v>
      </c>
      <c r="Z1487">
        <v>6.4999799999999996E-2</v>
      </c>
      <c r="AA1487">
        <v>0.99749200000000005</v>
      </c>
      <c r="AB1487">
        <v>28</v>
      </c>
      <c r="AC1487">
        <v>-0.574400000000025</v>
      </c>
      <c r="AD1487">
        <v>-1.121615442687</v>
      </c>
      <c r="AE1487">
        <v>-14.324599999999901</v>
      </c>
      <c r="AF1487">
        <v>0.40876966701311701</v>
      </c>
      <c r="AG1487">
        <v>-1.121615442687</v>
      </c>
      <c r="AH1487">
        <v>14.243029156911</v>
      </c>
      <c r="AI1487">
        <v>94.500811997143799</v>
      </c>
      <c r="AJ1487">
        <v>88.356083575330004</v>
      </c>
      <c r="AK1487">
        <v>14.2929700694628</v>
      </c>
      <c r="AL1487">
        <v>80.180003660838906</v>
      </c>
      <c r="AM1487">
        <v>88.191622145621906</v>
      </c>
      <c r="AN1487">
        <v>1.0000000112702701</v>
      </c>
    </row>
    <row r="1488" spans="1:40" x14ac:dyDescent="0.25">
      <c r="A1488" t="str">
        <f>"20190303162241173"</f>
        <v>20190303162241173</v>
      </c>
      <c r="B1488" t="str">
        <f>"1551601361165815"</f>
        <v>1551601361165815</v>
      </c>
      <c r="C1488" t="s">
        <v>40</v>
      </c>
      <c r="D1488">
        <v>5.9522079999999997</v>
      </c>
      <c r="E1488">
        <v>0.49751840000000003</v>
      </c>
      <c r="F1488" t="s">
        <v>41</v>
      </c>
      <c r="G1488">
        <v>-191.77719999999999</v>
      </c>
      <c r="H1488" s="1">
        <v>-4.3257769999999997E-6</v>
      </c>
      <c r="I1488">
        <v>317.74239999999998</v>
      </c>
      <c r="J1488">
        <v>-191.20079999999999</v>
      </c>
      <c r="K1488">
        <v>1.121618</v>
      </c>
      <c r="L1488">
        <v>332.0763</v>
      </c>
      <c r="M1488">
        <v>-1.008889E-2</v>
      </c>
      <c r="N1488">
        <v>-1.166945E-2</v>
      </c>
      <c r="O1488">
        <v>-0.99988109999999997</v>
      </c>
      <c r="P1488">
        <v>-4.2773859999999997E-2</v>
      </c>
      <c r="Q1488">
        <v>0.15776860000000001</v>
      </c>
      <c r="R1488">
        <v>-0.98654929999999996</v>
      </c>
      <c r="S1488">
        <v>-0.121582</v>
      </c>
      <c r="T1488">
        <v>-0.2358818</v>
      </c>
      <c r="U1488">
        <v>-3.0742799999999999</v>
      </c>
      <c r="V1488">
        <v>3.2447320000000002E-2</v>
      </c>
      <c r="W1488">
        <v>0.16934630000000001</v>
      </c>
      <c r="X1488">
        <v>0.98502239999999996</v>
      </c>
      <c r="Y1488">
        <v>2.933531E-2</v>
      </c>
      <c r="Z1488">
        <v>6.4812499999999995E-2</v>
      </c>
      <c r="AA1488">
        <v>0.99746619999999997</v>
      </c>
      <c r="AB1488">
        <v>28</v>
      </c>
      <c r="AC1488">
        <v>-0.57640000000000602</v>
      </c>
      <c r="AD1488">
        <v>-1.1216223257769999</v>
      </c>
      <c r="AE1488">
        <v>-14.3339</v>
      </c>
      <c r="AF1488">
        <v>0.42912439705091598</v>
      </c>
      <c r="AG1488">
        <v>-1.1216223257769999</v>
      </c>
      <c r="AH1488">
        <v>14.251862688629799</v>
      </c>
      <c r="AI1488">
        <v>94.497875643791303</v>
      </c>
      <c r="AJ1488">
        <v>88.2753418911187</v>
      </c>
      <c r="AK1488">
        <v>14.302369540932199</v>
      </c>
      <c r="AL1488">
        <v>80.250186879473503</v>
      </c>
      <c r="AM1488">
        <v>88.113319552775394</v>
      </c>
      <c r="AN1488">
        <v>1.0000000632003101</v>
      </c>
    </row>
    <row r="1489" spans="1:40" x14ac:dyDescent="0.25">
      <c r="A1489" t="str">
        <f>"20190303162241196"</f>
        <v>20190303162241196</v>
      </c>
      <c r="B1489" t="str">
        <f>"1551601361186311"</f>
        <v>1551601361186311</v>
      </c>
      <c r="C1489" t="s">
        <v>40</v>
      </c>
      <c r="D1489">
        <v>5.9480209999999998</v>
      </c>
      <c r="E1489">
        <v>0.497471</v>
      </c>
      <c r="F1489" t="s">
        <v>41</v>
      </c>
      <c r="G1489">
        <v>-191.77680000000001</v>
      </c>
      <c r="H1489" s="1">
        <v>-4.2209469999999999E-6</v>
      </c>
      <c r="I1489">
        <v>317.52080000000001</v>
      </c>
      <c r="J1489">
        <v>-191.20230000000001</v>
      </c>
      <c r="K1489">
        <v>1.121594</v>
      </c>
      <c r="L1489">
        <v>331.7919</v>
      </c>
      <c r="M1489">
        <v>-8.8206559999999996E-3</v>
      </c>
      <c r="N1489">
        <v>-1.168112E-2</v>
      </c>
      <c r="O1489">
        <v>-0.99989320000000004</v>
      </c>
      <c r="P1489">
        <v>-4.267079E-2</v>
      </c>
      <c r="Q1489">
        <v>0.1567519</v>
      </c>
      <c r="R1489">
        <v>-0.98671609999999998</v>
      </c>
      <c r="S1489">
        <v>-0.1216125</v>
      </c>
      <c r="T1489">
        <v>-0.2368413</v>
      </c>
      <c r="U1489">
        <v>-3.0735169999999998</v>
      </c>
      <c r="V1489">
        <v>3.360527E-2</v>
      </c>
      <c r="W1489">
        <v>0.1683433</v>
      </c>
      <c r="X1489">
        <v>0.98515540000000001</v>
      </c>
      <c r="Y1489">
        <v>3.0621229999999999E-2</v>
      </c>
      <c r="Z1489">
        <v>6.5128820000000004E-2</v>
      </c>
      <c r="AA1489">
        <v>0.99740689999999999</v>
      </c>
      <c r="AB1489">
        <v>28</v>
      </c>
      <c r="AC1489">
        <v>-0.57450000000000001</v>
      </c>
      <c r="AD1489">
        <v>-1.1215982209469999</v>
      </c>
      <c r="AE1489">
        <v>-14.271099999999899</v>
      </c>
      <c r="AF1489">
        <v>0.44583925611849401</v>
      </c>
      <c r="AG1489">
        <v>-1.1215982209469999</v>
      </c>
      <c r="AH1489">
        <v>14.1881179437302</v>
      </c>
      <c r="AI1489">
        <v>94.517722014598505</v>
      </c>
      <c r="AJ1489">
        <v>88.200162635249896</v>
      </c>
      <c r="AK1489">
        <v>14.2393625558424</v>
      </c>
      <c r="AL1489">
        <v>80.308490749834903</v>
      </c>
      <c r="AM1489">
        <v>88.046304324580603</v>
      </c>
      <c r="AN1489">
        <v>0.99999997148791098</v>
      </c>
    </row>
    <row r="1490" spans="1:40" x14ac:dyDescent="0.25">
      <c r="A1490" t="str">
        <f>"20190303162241218"</f>
        <v>20190303162241218</v>
      </c>
      <c r="B1490" t="str">
        <f>"1551601361205832"</f>
        <v>1551601361205832</v>
      </c>
      <c r="C1490" t="s">
        <v>40</v>
      </c>
      <c r="D1490">
        <v>6.0817750000000004</v>
      </c>
      <c r="E1490">
        <v>0.49730340000000001</v>
      </c>
      <c r="F1490" t="s">
        <v>41</v>
      </c>
      <c r="G1490">
        <v>-191.77250000000001</v>
      </c>
      <c r="H1490" s="1">
        <v>-4.1029430000000003E-6</v>
      </c>
      <c r="I1490">
        <v>317.27359999999999</v>
      </c>
      <c r="J1490">
        <v>-191.20349999999999</v>
      </c>
      <c r="K1490">
        <v>1.1215459999999999</v>
      </c>
      <c r="L1490">
        <v>331.51409999999998</v>
      </c>
      <c r="M1490">
        <v>-7.6466659999999999E-3</v>
      </c>
      <c r="N1490">
        <v>-1.169097E-2</v>
      </c>
      <c r="O1490">
        <v>-0.99990250000000003</v>
      </c>
      <c r="P1490">
        <v>-4.2775050000000002E-2</v>
      </c>
      <c r="Q1490">
        <v>0.1567954</v>
      </c>
      <c r="R1490">
        <v>-0.98670460000000004</v>
      </c>
      <c r="S1490">
        <v>-0.12068180000000001</v>
      </c>
      <c r="T1490">
        <v>-0.23739270000000001</v>
      </c>
      <c r="U1490">
        <v>-3.0728759999999999</v>
      </c>
      <c r="V1490">
        <v>3.488496E-2</v>
      </c>
      <c r="W1490">
        <v>0.16839499999999999</v>
      </c>
      <c r="X1490">
        <v>0.98510209999999998</v>
      </c>
      <c r="Y1490">
        <v>3.1500359999999998E-2</v>
      </c>
      <c r="Z1490">
        <v>6.5312999999999996E-2</v>
      </c>
      <c r="AA1490">
        <v>0.99736749999999996</v>
      </c>
      <c r="AB1490">
        <v>28</v>
      </c>
      <c r="AC1490">
        <v>-0.56900000000001605</v>
      </c>
      <c r="AD1490">
        <v>-1.1215501029429999</v>
      </c>
      <c r="AE1490">
        <v>-14.2404999999999</v>
      </c>
      <c r="AF1490">
        <v>0.45725186633002302</v>
      </c>
      <c r="AG1490">
        <v>-1.1215501029429999</v>
      </c>
      <c r="AH1490">
        <v>14.1567634332333</v>
      </c>
      <c r="AI1490">
        <v>94.527367232040604</v>
      </c>
      <c r="AJ1490">
        <v>88.150036377606199</v>
      </c>
      <c r="AK1490">
        <v>14.2084800315588</v>
      </c>
      <c r="AL1490">
        <v>80.305485857488705</v>
      </c>
      <c r="AM1490">
        <v>87.971858865305904</v>
      </c>
      <c r="AN1490">
        <v>0.999999991941805</v>
      </c>
    </row>
    <row r="1491" spans="1:40" x14ac:dyDescent="0.25">
      <c r="A1491" t="str">
        <f>"20190303162241264"</f>
        <v>20190303162241264</v>
      </c>
      <c r="B1491" t="str">
        <f>"1551601361255608"</f>
        <v>1551601361255608</v>
      </c>
      <c r="C1491" t="s">
        <v>40</v>
      </c>
      <c r="D1491">
        <v>6.0078909999999999</v>
      </c>
      <c r="E1491">
        <v>0.49709880000000001</v>
      </c>
      <c r="F1491" t="s">
        <v>41</v>
      </c>
      <c r="G1491">
        <v>-191.76820000000001</v>
      </c>
      <c r="H1491" s="1">
        <v>-3.8853699999999997E-6</v>
      </c>
      <c r="I1491">
        <v>316.81580000000002</v>
      </c>
      <c r="J1491">
        <v>-191.20519999999999</v>
      </c>
      <c r="K1491">
        <v>1.121405</v>
      </c>
      <c r="L1491">
        <v>330.94670000000002</v>
      </c>
      <c r="M1491">
        <v>-5.5410090000000004E-3</v>
      </c>
      <c r="N1491">
        <v>-1.170761E-2</v>
      </c>
      <c r="O1491">
        <v>-0.99991640000000004</v>
      </c>
      <c r="P1491">
        <v>-4.4745050000000001E-2</v>
      </c>
      <c r="Q1491">
        <v>0.15698770000000001</v>
      </c>
      <c r="R1491">
        <v>-0.98658670000000004</v>
      </c>
      <c r="S1491">
        <v>-0.11804199999999999</v>
      </c>
      <c r="T1491">
        <v>-0.23445070000000001</v>
      </c>
      <c r="U1491">
        <v>-3.0725709999999999</v>
      </c>
      <c r="V1491">
        <v>3.8984060000000001E-2</v>
      </c>
      <c r="W1491">
        <v>0.16859849999999901</v>
      </c>
      <c r="X1491">
        <v>0.98491359999999994</v>
      </c>
      <c r="Y1491">
        <v>3.2755319999999997E-2</v>
      </c>
      <c r="Z1491">
        <v>6.4355540000000003E-2</v>
      </c>
      <c r="AA1491">
        <v>0.99738930000000003</v>
      </c>
      <c r="AB1491">
        <v>28</v>
      </c>
      <c r="AC1491">
        <v>-0.56300000000001604</v>
      </c>
      <c r="AD1491">
        <v>-1.1214088853699999</v>
      </c>
      <c r="AE1491">
        <v>-14.130899999999899</v>
      </c>
      <c r="AF1491">
        <v>0.48165799315548802</v>
      </c>
      <c r="AG1491">
        <v>-1.1214088853699999</v>
      </c>
      <c r="AH1491">
        <v>14.0454874655449</v>
      </c>
      <c r="AI1491">
        <v>94.562211259400001</v>
      </c>
      <c r="AJ1491">
        <v>88.035941440726404</v>
      </c>
      <c r="AK1491">
        <v>14.0984137567081</v>
      </c>
      <c r="AL1491">
        <v>80.293657171205197</v>
      </c>
      <c r="AM1491">
        <v>87.733347624565795</v>
      </c>
      <c r="AN1491">
        <v>1.0000000053006399</v>
      </c>
    </row>
    <row r="1492" spans="1:40" x14ac:dyDescent="0.25">
      <c r="A1492" t="str">
        <f>"20190303162241287"</f>
        <v>20190303162241287</v>
      </c>
      <c r="B1492" t="str">
        <f>"1551601361276105"</f>
        <v>1551601361276105</v>
      </c>
      <c r="C1492" t="s">
        <v>40</v>
      </c>
      <c r="D1492">
        <v>5.8101010000000004</v>
      </c>
      <c r="E1492">
        <v>0.4970292</v>
      </c>
      <c r="F1492" t="s">
        <v>42</v>
      </c>
      <c r="G1492">
        <v>-191.24189999999999</v>
      </c>
      <c r="H1492">
        <v>1.049539</v>
      </c>
      <c r="I1492">
        <v>329.98090000000002</v>
      </c>
      <c r="J1492">
        <v>-191.20570000000001</v>
      </c>
      <c r="K1492">
        <v>1.121318</v>
      </c>
      <c r="L1492">
        <v>330.66410000000002</v>
      </c>
      <c r="M1492">
        <v>-4.6727959999999999E-3</v>
      </c>
      <c r="N1492">
        <v>-1.1713970000000001E-2</v>
      </c>
      <c r="O1492">
        <v>-0.9999207</v>
      </c>
      <c r="P1492">
        <v>-4.6017759999999998E-2</v>
      </c>
      <c r="Q1492">
        <v>0.15487860000000001</v>
      </c>
      <c r="R1492">
        <v>-0.98686130000000005</v>
      </c>
      <c r="S1492">
        <v>-0.1167603</v>
      </c>
      <c r="T1492">
        <v>-0.22869310000000001</v>
      </c>
      <c r="U1492">
        <v>-3.0718380000000001</v>
      </c>
      <c r="V1492">
        <v>4.114669E-2</v>
      </c>
      <c r="W1492">
        <v>0.166494899999999</v>
      </c>
      <c r="X1492">
        <v>0.98518340000000004</v>
      </c>
      <c r="Y1492">
        <v>3.3221269999999997E-2</v>
      </c>
      <c r="Z1492">
        <v>6.250878E-2</v>
      </c>
      <c r="AA1492">
        <v>0.99749140000000003</v>
      </c>
      <c r="AB1492">
        <v>28</v>
      </c>
      <c r="AC1492">
        <v>-3.6199999999979499E-2</v>
      </c>
      <c r="AD1492">
        <v>-7.1778999999999996E-2</v>
      </c>
      <c r="AE1492">
        <v>-0.68319999999999903</v>
      </c>
      <c r="AF1492">
        <v>3.2647569997095199E-2</v>
      </c>
      <c r="AG1492">
        <v>-7.1778999999999996E-2</v>
      </c>
      <c r="AH1492">
        <v>0.67592162262776301</v>
      </c>
      <c r="AI1492">
        <v>96.054758557664101</v>
      </c>
      <c r="AJ1492">
        <v>87.234715855873503</v>
      </c>
      <c r="AK1492">
        <v>0.68050578880966495</v>
      </c>
      <c r="AL1492">
        <v>80.415912412221701</v>
      </c>
      <c r="AM1492">
        <v>87.608402336350395</v>
      </c>
      <c r="AN1492">
        <v>0.99999996672976199</v>
      </c>
    </row>
    <row r="1493" spans="1:40" x14ac:dyDescent="0.25">
      <c r="A1493" t="str">
        <f>"20190303162241308"</f>
        <v>20190303162241308</v>
      </c>
      <c r="B1493" t="str">
        <f>"1551601361295623"</f>
        <v>1551601361295623</v>
      </c>
      <c r="C1493" t="s">
        <v>40</v>
      </c>
      <c r="D1493">
        <v>6.0803159999999998</v>
      </c>
      <c r="E1493">
        <v>0.49685109999999899</v>
      </c>
      <c r="F1493" t="s">
        <v>42</v>
      </c>
      <c r="G1493">
        <v>-191.2422</v>
      </c>
      <c r="H1493">
        <v>1.0502549999999999</v>
      </c>
      <c r="I1493">
        <v>329.73239999999998</v>
      </c>
      <c r="J1493">
        <v>-191.2062</v>
      </c>
      <c r="K1493">
        <v>1.121259</v>
      </c>
      <c r="L1493">
        <v>330.40440000000001</v>
      </c>
      <c r="M1493">
        <v>-3.9603149999999998E-3</v>
      </c>
      <c r="N1493">
        <v>-1.1719250000000001E-2</v>
      </c>
      <c r="O1493">
        <v>-0.99992380000000003</v>
      </c>
      <c r="P1493">
        <v>-4.6427080000000003E-2</v>
      </c>
      <c r="Q1493">
        <v>0.15396029999999999</v>
      </c>
      <c r="R1493">
        <v>-0.98698569999999997</v>
      </c>
      <c r="S1493">
        <v>-0.1198273</v>
      </c>
      <c r="T1493">
        <v>-0.2344244</v>
      </c>
      <c r="U1493">
        <v>-3.0711360000000001</v>
      </c>
      <c r="V1493">
        <v>4.2287129999999999E-2</v>
      </c>
      <c r="W1493">
        <v>0.16557749999999999</v>
      </c>
      <c r="X1493">
        <v>0.98528979999999999</v>
      </c>
      <c r="Y1493">
        <v>3.4930830000000003E-2</v>
      </c>
      <c r="Z1493">
        <v>6.4367599999999997E-2</v>
      </c>
      <c r="AA1493">
        <v>0.9973147</v>
      </c>
      <c r="AB1493">
        <v>28</v>
      </c>
      <c r="AC1493">
        <v>-3.6000000000001302E-2</v>
      </c>
      <c r="AD1493">
        <v>-7.1003999999999998E-2</v>
      </c>
      <c r="AE1493">
        <v>-0.67200000000002502</v>
      </c>
      <c r="AF1493">
        <v>3.2971161213569897E-2</v>
      </c>
      <c r="AG1493">
        <v>-7.1003999999999998E-2</v>
      </c>
      <c r="AH1493">
        <v>0.66473729659268499</v>
      </c>
      <c r="AI1493">
        <v>96.089508868016097</v>
      </c>
      <c r="AJ1493">
        <v>87.160439939176101</v>
      </c>
      <c r="AK1493">
        <v>0.66933126250693098</v>
      </c>
      <c r="AL1493">
        <v>80.469216228613902</v>
      </c>
      <c r="AM1493">
        <v>87.542461032227706</v>
      </c>
      <c r="AN1493">
        <v>1.0000000499269599</v>
      </c>
    </row>
    <row r="1494" spans="1:40" x14ac:dyDescent="0.25">
      <c r="A1494" t="str">
        <f>"20190303162241328"</f>
        <v>20190303162241328</v>
      </c>
      <c r="B1494" t="str">
        <f>"1551601361316120"</f>
        <v>1551601361316120</v>
      </c>
      <c r="C1494" t="s">
        <v>40</v>
      </c>
      <c r="D1494">
        <v>6.0187790000000003</v>
      </c>
      <c r="E1494">
        <v>0.49673279999999997</v>
      </c>
      <c r="F1494" t="s">
        <v>42</v>
      </c>
      <c r="G1494">
        <v>-191.24199999999999</v>
      </c>
      <c r="H1494">
        <v>1.0506819999999999</v>
      </c>
      <c r="I1494">
        <v>329.48410000000001</v>
      </c>
      <c r="J1494">
        <v>-191.20650000000001</v>
      </c>
      <c r="K1494">
        <v>1.1212040000000001</v>
      </c>
      <c r="L1494">
        <v>330.1422</v>
      </c>
      <c r="M1494">
        <v>-3.3321039999999998E-3</v>
      </c>
      <c r="N1494">
        <v>-1.1724139999999999E-2</v>
      </c>
      <c r="O1494">
        <v>-0.99992590000000003</v>
      </c>
      <c r="P1494">
        <v>-4.7263270000000003E-2</v>
      </c>
      <c r="Q1494">
        <v>0.155639</v>
      </c>
      <c r="R1494">
        <v>-0.98668310000000004</v>
      </c>
      <c r="S1494">
        <v>-0.1194153</v>
      </c>
      <c r="T1494">
        <v>-0.23562849999999999</v>
      </c>
      <c r="U1494">
        <v>-3.07077</v>
      </c>
      <c r="V1494">
        <v>4.3769200000000001E-2</v>
      </c>
      <c r="W1494">
        <v>0.16725219999999999</v>
      </c>
      <c r="X1494">
        <v>0.98494210000000004</v>
      </c>
      <c r="Y1494">
        <v>3.5428389999999997E-2</v>
      </c>
      <c r="Z1494">
        <v>6.4760139999999994E-2</v>
      </c>
      <c r="AA1494">
        <v>0.99727180000000004</v>
      </c>
      <c r="AB1494">
        <v>28</v>
      </c>
      <c r="AC1494">
        <v>-3.5500000000013097E-2</v>
      </c>
      <c r="AD1494">
        <v>-7.0522000000000196E-2</v>
      </c>
      <c r="AE1494">
        <v>-0.65809999999999003</v>
      </c>
      <c r="AF1494">
        <v>3.2929750954656001E-2</v>
      </c>
      <c r="AG1494">
        <v>-7.0522000000000196E-2</v>
      </c>
      <c r="AH1494">
        <v>0.65076343566705297</v>
      </c>
      <c r="AI1494">
        <v>96.177057275363396</v>
      </c>
      <c r="AJ1494">
        <v>87.103205610927205</v>
      </c>
      <c r="AK1494">
        <v>0.65540122839610404</v>
      </c>
      <c r="AL1494">
        <v>80.371905494990898</v>
      </c>
      <c r="AM1494">
        <v>87.455544220570005</v>
      </c>
      <c r="AN1494">
        <v>0.99999999081294499</v>
      </c>
    </row>
    <row r="1495" spans="1:40" x14ac:dyDescent="0.25">
      <c r="A1495" t="str">
        <f>"20190303162241352"</f>
        <v>20190303162241352</v>
      </c>
      <c r="B1495" t="str">
        <f>"1551601361345400"</f>
        <v>1551601361345400</v>
      </c>
      <c r="C1495" t="s">
        <v>40</v>
      </c>
      <c r="D1495">
        <v>6.0153509999999999</v>
      </c>
      <c r="E1495">
        <v>0.49660949999999998</v>
      </c>
      <c r="F1495" t="s">
        <v>41</v>
      </c>
      <c r="G1495">
        <v>-191.7961</v>
      </c>
      <c r="H1495" s="1">
        <v>-3.0673369999999998E-6</v>
      </c>
      <c r="I1495">
        <v>315.06950000000001</v>
      </c>
      <c r="J1495">
        <v>-191.20679999999999</v>
      </c>
      <c r="K1495">
        <v>1.121143</v>
      </c>
      <c r="L1495">
        <v>329.85939999999999</v>
      </c>
      <c r="M1495">
        <v>-2.7706480000000001E-3</v>
      </c>
      <c r="N1495">
        <v>-1.172889E-2</v>
      </c>
      <c r="O1495">
        <v>-0.99992760000000003</v>
      </c>
      <c r="P1495">
        <v>-4.9015339999999998E-2</v>
      </c>
      <c r="Q1495">
        <v>0.1585086</v>
      </c>
      <c r="R1495">
        <v>-0.98614060000000003</v>
      </c>
      <c r="S1495">
        <v>-0.1201324</v>
      </c>
      <c r="T1495">
        <v>-0.22842689999999999</v>
      </c>
      <c r="U1495">
        <v>-3.0708009999999999</v>
      </c>
      <c r="V1495">
        <v>4.6105140000000003E-2</v>
      </c>
      <c r="W1495">
        <v>0.17011370000000001</v>
      </c>
      <c r="X1495">
        <v>0.98434529999999998</v>
      </c>
      <c r="Y1495">
        <v>3.6227570000000001E-2</v>
      </c>
      <c r="Z1495">
        <v>6.2427799999999999E-2</v>
      </c>
      <c r="AA1495">
        <v>0.99739180000000005</v>
      </c>
      <c r="AB1495">
        <v>28</v>
      </c>
      <c r="AC1495">
        <v>-0.58930000000000804</v>
      </c>
      <c r="AD1495">
        <v>-1.121146067337</v>
      </c>
      <c r="AE1495">
        <v>-14.7898999999999</v>
      </c>
      <c r="AF1495">
        <v>0.54518942457153097</v>
      </c>
      <c r="AG1495">
        <v>-1.121146067337</v>
      </c>
      <c r="AH1495">
        <v>14.7070975501814</v>
      </c>
      <c r="AI1495">
        <v>94.356338896807799</v>
      </c>
      <c r="AJ1495">
        <v>87.877027986827201</v>
      </c>
      <c r="AK1495">
        <v>14.7598414071264</v>
      </c>
      <c r="AL1495">
        <v>80.205570242733501</v>
      </c>
      <c r="AM1495">
        <v>87.318318369698403</v>
      </c>
      <c r="AN1495">
        <v>1.00000001224709</v>
      </c>
    </row>
    <row r="1496" spans="1:40" x14ac:dyDescent="0.25">
      <c r="A1496" t="str">
        <f>"20190303162241375"</f>
        <v>20190303162241375</v>
      </c>
      <c r="B1496" t="str">
        <f>"1551601361365896"</f>
        <v>1551601361365896</v>
      </c>
      <c r="C1496" t="s">
        <v>40</v>
      </c>
      <c r="D1496">
        <v>5.8581529999999997</v>
      </c>
      <c r="E1496">
        <v>0.4967259</v>
      </c>
      <c r="F1496" t="s">
        <v>41</v>
      </c>
      <c r="G1496">
        <v>-191.8466</v>
      </c>
      <c r="H1496" s="1">
        <v>-2.585197E-6</v>
      </c>
      <c r="I1496">
        <v>314.02109999999999</v>
      </c>
      <c r="J1496">
        <v>-191.20699999999999</v>
      </c>
      <c r="K1496">
        <v>1.121075</v>
      </c>
      <c r="L1496">
        <v>329.5797</v>
      </c>
      <c r="M1496">
        <v>-2.3328749999999999E-3</v>
      </c>
      <c r="N1496">
        <v>-1.173307E-2</v>
      </c>
      <c r="O1496">
        <v>-0.99992840000000005</v>
      </c>
      <c r="P1496">
        <v>-5.019763E-2</v>
      </c>
      <c r="Q1496">
        <v>0.16134119999999999</v>
      </c>
      <c r="R1496">
        <v>-0.98562130000000003</v>
      </c>
      <c r="S1496">
        <v>-0.1240692</v>
      </c>
      <c r="T1496">
        <v>-0.21738389999999999</v>
      </c>
      <c r="U1496">
        <v>-3.0709529999999998</v>
      </c>
      <c r="V1496">
        <v>4.7752129999999997E-2</v>
      </c>
      <c r="W1496">
        <v>0.17293649999999999</v>
      </c>
      <c r="X1496">
        <v>0.9837747</v>
      </c>
      <c r="Y1496">
        <v>3.7948379999999997E-2</v>
      </c>
      <c r="Z1496">
        <v>5.8847969999999999E-2</v>
      </c>
      <c r="AA1496">
        <v>0.99754540000000003</v>
      </c>
      <c r="AB1496">
        <v>28</v>
      </c>
      <c r="AC1496">
        <v>-0.63960000000000095</v>
      </c>
      <c r="AD1496">
        <v>-1.1210775851970001</v>
      </c>
      <c r="AE1496">
        <v>-15.5586</v>
      </c>
      <c r="AF1496">
        <v>0.60018859958777204</v>
      </c>
      <c r="AG1496">
        <v>-1.1210775851970001</v>
      </c>
      <c r="AH1496">
        <v>15.479815069847</v>
      </c>
      <c r="AI1496">
        <v>94.139138092457898</v>
      </c>
      <c r="AJ1496">
        <v>87.779620935834004</v>
      </c>
      <c r="AK1496">
        <v>15.531957890226501</v>
      </c>
      <c r="AL1496">
        <v>80.041402325442604</v>
      </c>
      <c r="AM1496">
        <v>87.221061100434</v>
      </c>
      <c r="AN1496">
        <v>0.99999997965593801</v>
      </c>
    </row>
    <row r="1497" spans="1:40" x14ac:dyDescent="0.25">
      <c r="A1497" t="str">
        <f>"20190303162241397"</f>
        <v>20190303162241397</v>
      </c>
      <c r="B1497" t="str">
        <f>"1551601361386392"</f>
        <v>1551601361386392</v>
      </c>
      <c r="C1497" t="s">
        <v>40</v>
      </c>
      <c r="D1497">
        <v>5.8052830000000002</v>
      </c>
      <c r="E1497">
        <v>0.49697039999999998</v>
      </c>
      <c r="F1497" t="s">
        <v>41</v>
      </c>
      <c r="G1497">
        <v>-191.89869999999999</v>
      </c>
      <c r="H1497" s="1">
        <v>-2.158034E-6</v>
      </c>
      <c r="I1497">
        <v>313.08819999999997</v>
      </c>
      <c r="J1497">
        <v>-191.2072</v>
      </c>
      <c r="K1497">
        <v>1.121005</v>
      </c>
      <c r="L1497">
        <v>329.30250000000001</v>
      </c>
      <c r="M1497">
        <v>-2.0075370000000002E-3</v>
      </c>
      <c r="N1497">
        <v>-1.1736689999999999E-2</v>
      </c>
      <c r="O1497">
        <v>-0.99992919999999996</v>
      </c>
      <c r="P1497">
        <v>-5.1725640000000003E-2</v>
      </c>
      <c r="Q1497">
        <v>0.163547</v>
      </c>
      <c r="R1497">
        <v>-0.98517860000000002</v>
      </c>
      <c r="S1497">
        <v>-0.12883</v>
      </c>
      <c r="T1497">
        <v>-0.208789</v>
      </c>
      <c r="U1497">
        <v>-3.0713810000000001</v>
      </c>
      <c r="V1497">
        <v>4.9635909999999998E-2</v>
      </c>
      <c r="W1497">
        <v>0.17513119999999999</v>
      </c>
      <c r="X1497">
        <v>0.98329310000000003</v>
      </c>
      <c r="Y1497">
        <v>3.9817940000000003E-2</v>
      </c>
      <c r="Z1497">
        <v>5.6051740000000003E-2</v>
      </c>
      <c r="AA1497">
        <v>0.99763360000000001</v>
      </c>
      <c r="AB1497">
        <v>28</v>
      </c>
      <c r="AC1497">
        <v>-0.69149999999999001</v>
      </c>
      <c r="AD1497">
        <v>-1.121007158034</v>
      </c>
      <c r="AE1497">
        <v>-16.214300000000001</v>
      </c>
      <c r="AF1497">
        <v>0.65581650269435199</v>
      </c>
      <c r="AG1497">
        <v>-1.121007158034</v>
      </c>
      <c r="AH1497">
        <v>16.138654251224398</v>
      </c>
      <c r="AI1497">
        <v>93.970174125111498</v>
      </c>
      <c r="AJ1497">
        <v>87.672987188890204</v>
      </c>
      <c r="AK1497">
        <v>16.1908280632626</v>
      </c>
      <c r="AL1497">
        <v>79.913706679691103</v>
      </c>
      <c r="AM1497">
        <v>87.110204219877602</v>
      </c>
      <c r="AN1497">
        <v>0.99999999064128897</v>
      </c>
    </row>
    <row r="1498" spans="1:40" x14ac:dyDescent="0.25">
      <c r="A1498" t="str">
        <f>"20190303162241418"</f>
        <v>20190303162241418</v>
      </c>
      <c r="B1498" t="str">
        <f>"1551601361405912"</f>
        <v>1551601361405912</v>
      </c>
      <c r="C1498" t="s">
        <v>40</v>
      </c>
      <c r="D1498">
        <v>5.845129</v>
      </c>
      <c r="E1498">
        <v>0.49711929999999999</v>
      </c>
      <c r="F1498" t="s">
        <v>41</v>
      </c>
      <c r="G1498">
        <v>-191.9572</v>
      </c>
      <c r="H1498" s="1">
        <v>-1.781751E-6</v>
      </c>
      <c r="I1498">
        <v>312.25920000000002</v>
      </c>
      <c r="J1498">
        <v>-191.20750000000001</v>
      </c>
      <c r="K1498">
        <v>1.1209420000000001</v>
      </c>
      <c r="L1498">
        <v>329.03449999999998</v>
      </c>
      <c r="M1498">
        <v>-1.7887510000000001E-3</v>
      </c>
      <c r="N1498">
        <v>-1.1739930000000001E-2</v>
      </c>
      <c r="O1498">
        <v>-0.99992950000000003</v>
      </c>
      <c r="P1498">
        <v>-5.3995359999999999E-2</v>
      </c>
      <c r="Q1498">
        <v>0.16523650000000001</v>
      </c>
      <c r="R1498">
        <v>-0.98477490000000001</v>
      </c>
      <c r="S1498">
        <v>-0.13516239999999999</v>
      </c>
      <c r="T1498">
        <v>-0.2020313</v>
      </c>
      <c r="U1498">
        <v>-3.0715940000000002</v>
      </c>
      <c r="V1498">
        <v>5.2155010000000002E-2</v>
      </c>
      <c r="W1498">
        <v>0.17681069999999999</v>
      </c>
      <c r="X1498">
        <v>0.98286209999999996</v>
      </c>
      <c r="Y1498">
        <v>4.2091280000000002E-2</v>
      </c>
      <c r="Z1498">
        <v>5.3852740000000003E-2</v>
      </c>
      <c r="AA1498">
        <v>0.99766140000000003</v>
      </c>
      <c r="AB1498">
        <v>28</v>
      </c>
      <c r="AC1498">
        <v>-0.74969999999999004</v>
      </c>
      <c r="AD1498">
        <v>-1.120943781751</v>
      </c>
      <c r="AE1498">
        <v>-16.775299999999898</v>
      </c>
      <c r="AF1498">
        <v>0.71649707432194198</v>
      </c>
      <c r="AG1498">
        <v>-1.120943781751</v>
      </c>
      <c r="AH1498">
        <v>16.702186702153</v>
      </c>
      <c r="AI1498">
        <v>93.836050317512502</v>
      </c>
      <c r="AJ1498">
        <v>87.543608843370194</v>
      </c>
      <c r="AK1498">
        <v>16.7550865009087</v>
      </c>
      <c r="AL1498">
        <v>79.815953482280605</v>
      </c>
      <c r="AM1498">
        <v>86.962481443548398</v>
      </c>
      <c r="AN1498">
        <v>1.00000003815949</v>
      </c>
    </row>
    <row r="1499" spans="1:40" x14ac:dyDescent="0.25">
      <c r="A1499" t="str">
        <f>"20190303162241443"</f>
        <v>20190303162241443</v>
      </c>
      <c r="B1499" t="str">
        <f>"1551601361436167"</f>
        <v>1551601361436167</v>
      </c>
      <c r="C1499" t="s">
        <v>40</v>
      </c>
      <c r="D1499">
        <v>5.8439430000000003</v>
      </c>
      <c r="E1499">
        <v>0.49724269999999998</v>
      </c>
      <c r="F1499" t="s">
        <v>41</v>
      </c>
      <c r="G1499">
        <v>-192.0205</v>
      </c>
      <c r="H1499" s="1">
        <v>-1.4466639999999999E-6</v>
      </c>
      <c r="I1499">
        <v>311.5147</v>
      </c>
      <c r="J1499">
        <v>-191.2079</v>
      </c>
      <c r="K1499">
        <v>1.1208720000000001</v>
      </c>
      <c r="L1499">
        <v>328.7364</v>
      </c>
      <c r="M1499">
        <v>-1.642749E-3</v>
      </c>
      <c r="N1499">
        <v>-1.174325E-2</v>
      </c>
      <c r="O1499">
        <v>-0.99992999999999999</v>
      </c>
      <c r="P1499">
        <v>-5.7036730000000001E-2</v>
      </c>
      <c r="Q1499">
        <v>0.166601</v>
      </c>
      <c r="R1499">
        <v>-0.98437359999999896</v>
      </c>
      <c r="S1499">
        <v>-0.142532299999999</v>
      </c>
      <c r="T1499">
        <v>-0.19652310000000001</v>
      </c>
      <c r="U1499">
        <v>-3.071564</v>
      </c>
      <c r="V1499">
        <v>5.5374769999999997E-2</v>
      </c>
      <c r="W1499">
        <v>0.17816409999999999</v>
      </c>
      <c r="X1499">
        <v>0.98244140000000002</v>
      </c>
      <c r="Y1499">
        <v>4.4630110000000001E-2</v>
      </c>
      <c r="Z1499">
        <v>5.2061509999999998E-2</v>
      </c>
      <c r="AA1499">
        <v>0.99764609999999998</v>
      </c>
      <c r="AB1499">
        <v>28</v>
      </c>
      <c r="AC1499">
        <v>-0.81260000000000299</v>
      </c>
      <c r="AD1499">
        <v>-1.12087344666399</v>
      </c>
      <c r="AE1499">
        <v>-17.221699999999998</v>
      </c>
      <c r="AF1499">
        <v>0.78100500341442802</v>
      </c>
      <c r="AG1499">
        <v>-1.12087344666399</v>
      </c>
      <c r="AH1499">
        <v>17.150522658912699</v>
      </c>
      <c r="AI1499">
        <v>93.735391267488197</v>
      </c>
      <c r="AJ1499">
        <v>87.392651070407496</v>
      </c>
      <c r="AK1499">
        <v>17.204846804684799</v>
      </c>
      <c r="AL1499">
        <v>79.737157515031896</v>
      </c>
      <c r="AM1499">
        <v>86.773968277709102</v>
      </c>
      <c r="AN1499">
        <v>0.99999995805765995</v>
      </c>
    </row>
    <row r="1500" spans="1:40" x14ac:dyDescent="0.25">
      <c r="A1500" t="str">
        <f>"20190303162241465"</f>
        <v>20190303162241465</v>
      </c>
      <c r="B1500" t="str">
        <f>"1551601361455687"</f>
        <v>1551601361455687</v>
      </c>
      <c r="C1500" t="s">
        <v>40</v>
      </c>
      <c r="D1500">
        <v>6.0062030000000002</v>
      </c>
      <c r="E1500">
        <v>0.4973361</v>
      </c>
      <c r="F1500" t="s">
        <v>41</v>
      </c>
      <c r="G1500">
        <v>-192.0797</v>
      </c>
      <c r="H1500" s="1">
        <v>-1.2081050000000001E-6</v>
      </c>
      <c r="I1500">
        <v>310.97669999999999</v>
      </c>
      <c r="J1500">
        <v>-191.20830000000001</v>
      </c>
      <c r="K1500">
        <v>1.1208209999999901</v>
      </c>
      <c r="L1500">
        <v>328.4581</v>
      </c>
      <c r="M1500">
        <v>-1.5885929999999999E-3</v>
      </c>
      <c r="N1500">
        <v>-1.1745999999999999E-2</v>
      </c>
      <c r="O1500">
        <v>-0.99992970000000003</v>
      </c>
      <c r="P1500">
        <v>-6.0215669999999999E-2</v>
      </c>
      <c r="Q1500">
        <v>0.16686119999999999</v>
      </c>
      <c r="R1500">
        <v>-0.98413989999999996</v>
      </c>
      <c r="S1500">
        <v>-0.15078739999999999</v>
      </c>
      <c r="T1500">
        <v>-0.1938647</v>
      </c>
      <c r="U1500">
        <v>-3.0716860000000001</v>
      </c>
      <c r="V1500">
        <v>5.8632549999999999E-2</v>
      </c>
      <c r="W1500">
        <v>0.17841699999999999</v>
      </c>
      <c r="X1500">
        <v>0.98220649999999998</v>
      </c>
      <c r="Y1500">
        <v>4.7358490000000003E-2</v>
      </c>
      <c r="Z1500">
        <v>5.1188379999999999E-2</v>
      </c>
      <c r="AA1500">
        <v>0.99756549999999999</v>
      </c>
      <c r="AB1500">
        <v>28</v>
      </c>
      <c r="AC1500">
        <v>-0.87139999999999396</v>
      </c>
      <c r="AD1500">
        <v>-1.1208222081050001</v>
      </c>
      <c r="AE1500">
        <v>-17.481400000000001</v>
      </c>
      <c r="AF1500">
        <v>0.84018094019341605</v>
      </c>
      <c r="AG1500">
        <v>-1.1208222081050001</v>
      </c>
      <c r="AH1500">
        <v>17.4113659687265</v>
      </c>
      <c r="AI1500">
        <v>93.678951361855695</v>
      </c>
      <c r="AJ1500">
        <v>87.237350014182994</v>
      </c>
      <c r="AK1500">
        <v>17.4676217995288</v>
      </c>
      <c r="AL1500">
        <v>79.722431959372599</v>
      </c>
      <c r="AM1500">
        <v>86.583798002998904</v>
      </c>
      <c r="AN1500">
        <v>1.0000000052253699</v>
      </c>
    </row>
    <row r="1501" spans="1:40" x14ac:dyDescent="0.25">
      <c r="A1501" t="str">
        <f>"20190303162241484"</f>
        <v>20190303162241484</v>
      </c>
      <c r="B1501" t="str">
        <f>"1551601361476184"</f>
        <v>1551601361476184</v>
      </c>
      <c r="C1501" t="s">
        <v>40</v>
      </c>
      <c r="D1501">
        <v>5.8560429999999997</v>
      </c>
      <c r="E1501">
        <v>0.49743150000000003</v>
      </c>
      <c r="F1501" t="s">
        <v>41</v>
      </c>
      <c r="G1501">
        <v>-192.13329999999999</v>
      </c>
      <c r="H1501" s="1">
        <v>-1.0804780000000001E-6</v>
      </c>
      <c r="I1501">
        <v>310.67660000000001</v>
      </c>
      <c r="J1501">
        <v>-191.20859999999999</v>
      </c>
      <c r="K1501">
        <v>1.120781</v>
      </c>
      <c r="L1501">
        <v>328.2072</v>
      </c>
      <c r="M1501">
        <v>-1.5801739999999999E-3</v>
      </c>
      <c r="N1501">
        <v>-1.17482E-2</v>
      </c>
      <c r="O1501">
        <v>-0.99992990000000004</v>
      </c>
      <c r="P1501">
        <v>-6.2723290000000001E-2</v>
      </c>
      <c r="Q1501">
        <v>0.1660867</v>
      </c>
      <c r="R1501">
        <v>-0.9841145</v>
      </c>
      <c r="S1501">
        <v>-0.15977479999999999</v>
      </c>
      <c r="T1501">
        <v>-0.1935982</v>
      </c>
      <c r="U1501">
        <v>-3.0713810000000001</v>
      </c>
      <c r="V1501">
        <v>6.1164450000000002E-2</v>
      </c>
      <c r="W1501">
        <v>0.17763899999999999</v>
      </c>
      <c r="X1501">
        <v>0.98219310000000004</v>
      </c>
      <c r="Y1501">
        <v>5.0282130000000001E-2</v>
      </c>
      <c r="Z1501">
        <v>5.1097080000000003E-2</v>
      </c>
      <c r="AA1501">
        <v>0.99742710000000001</v>
      </c>
      <c r="AB1501">
        <v>28</v>
      </c>
      <c r="AC1501">
        <v>-0.92470000000000097</v>
      </c>
      <c r="AD1501">
        <v>-1.120782080478</v>
      </c>
      <c r="AE1501">
        <v>-17.5305999999999</v>
      </c>
      <c r="AF1501">
        <v>0.89335416142198498</v>
      </c>
      <c r="AG1501">
        <v>-1.120782080478</v>
      </c>
      <c r="AH1501">
        <v>17.460867598847901</v>
      </c>
      <c r="AI1501">
        <v>93.667891480078097</v>
      </c>
      <c r="AJ1501">
        <v>87.071117427449096</v>
      </c>
      <c r="AK1501">
        <v>17.519592787338102</v>
      </c>
      <c r="AL1501">
        <v>79.767731615447602</v>
      </c>
      <c r="AM1501">
        <v>86.436601638389106</v>
      </c>
      <c r="AN1501">
        <v>0.99999999497620595</v>
      </c>
    </row>
    <row r="1502" spans="1:40" x14ac:dyDescent="0.25">
      <c r="A1502" t="str">
        <f>"20190303162241508"</f>
        <v>20190303162241508</v>
      </c>
      <c r="B1502" t="str">
        <f>"1551601361495703"</f>
        <v>1551601361495703</v>
      </c>
      <c r="C1502" t="s">
        <v>40</v>
      </c>
      <c r="D1502">
        <v>5.8445499999999999</v>
      </c>
      <c r="E1502">
        <v>0.49756319999999998</v>
      </c>
      <c r="F1502" t="s">
        <v>41</v>
      </c>
      <c r="G1502">
        <v>-192.1601</v>
      </c>
      <c r="H1502" s="1">
        <v>-1.109887E-6</v>
      </c>
      <c r="I1502">
        <v>310.72370000000001</v>
      </c>
      <c r="J1502">
        <v>-191.20910000000001</v>
      </c>
      <c r="K1502">
        <v>1.1207400000000001</v>
      </c>
      <c r="L1502">
        <v>327.91669999999999</v>
      </c>
      <c r="M1502">
        <v>-1.5977739999999999E-3</v>
      </c>
      <c r="N1502">
        <v>-1.175033E-2</v>
      </c>
      <c r="O1502">
        <v>-0.99992970000000003</v>
      </c>
      <c r="P1502">
        <v>-6.6234989999999994E-2</v>
      </c>
      <c r="Q1502">
        <v>0.16480449999999999</v>
      </c>
      <c r="R1502">
        <v>-0.98409970000000002</v>
      </c>
      <c r="S1502">
        <v>-0.16712949999999999</v>
      </c>
      <c r="T1502">
        <v>-0.1968676</v>
      </c>
      <c r="U1502">
        <v>-3.0710139999999999</v>
      </c>
      <c r="V1502">
        <v>6.4669180000000007E-2</v>
      </c>
      <c r="W1502">
        <v>0.1763555</v>
      </c>
      <c r="X1502">
        <v>0.98219990000000001</v>
      </c>
      <c r="Y1502">
        <v>5.2648210000000001E-2</v>
      </c>
      <c r="Z1502">
        <v>5.2151999999999997E-2</v>
      </c>
      <c r="AA1502">
        <v>0.99725039999999998</v>
      </c>
      <c r="AB1502">
        <v>28</v>
      </c>
      <c r="AC1502">
        <v>-0.95099999999999296</v>
      </c>
      <c r="AD1502">
        <v>-1.1207411098869999</v>
      </c>
      <c r="AE1502">
        <v>-17.192999999999898</v>
      </c>
      <c r="AF1502">
        <v>0.91963058540049603</v>
      </c>
      <c r="AG1502">
        <v>-1.1207411098869999</v>
      </c>
      <c r="AH1502">
        <v>17.121964885784202</v>
      </c>
      <c r="AI1502">
        <v>93.739654491458495</v>
      </c>
      <c r="AJ1502">
        <v>86.925564848845198</v>
      </c>
      <c r="AK1502">
        <v>17.183232018424899</v>
      </c>
      <c r="AL1502">
        <v>79.842450561257806</v>
      </c>
      <c r="AM1502">
        <v>86.233016544415605</v>
      </c>
      <c r="AN1502">
        <v>1.00000000439106</v>
      </c>
    </row>
    <row r="1503" spans="1:40" x14ac:dyDescent="0.25">
      <c r="A1503" t="str">
        <f>"20190303162241530"</f>
        <v>20190303162241530</v>
      </c>
      <c r="B1503" t="str">
        <f>"1551601361516199"</f>
        <v>1551601361516199</v>
      </c>
      <c r="C1503" t="s">
        <v>40</v>
      </c>
      <c r="D1503">
        <v>5.838984</v>
      </c>
      <c r="E1503">
        <v>0.49769350000000001</v>
      </c>
      <c r="F1503" t="s">
        <v>41</v>
      </c>
      <c r="G1503">
        <v>-192.1874</v>
      </c>
      <c r="H1503" s="1">
        <v>-1.2216460000000001E-6</v>
      </c>
      <c r="I1503">
        <v>310.94479999999999</v>
      </c>
      <c r="J1503">
        <v>-191.20959999999999</v>
      </c>
      <c r="K1503">
        <v>1.1207240000000001</v>
      </c>
      <c r="L1503">
        <v>327.64769999999999</v>
      </c>
      <c r="M1503">
        <v>-1.623921E-3</v>
      </c>
      <c r="N1503">
        <v>-1.175209E-2</v>
      </c>
      <c r="O1503">
        <v>-0.99992990000000004</v>
      </c>
      <c r="P1503">
        <v>-7.1313429999999997E-2</v>
      </c>
      <c r="Q1503">
        <v>0.16429630000000001</v>
      </c>
      <c r="R1503">
        <v>-0.98382999999999998</v>
      </c>
      <c r="S1503">
        <v>-0.1769867</v>
      </c>
      <c r="T1503">
        <v>-0.20276179999999999</v>
      </c>
      <c r="U1503">
        <v>-3.0705260000000001</v>
      </c>
      <c r="V1503">
        <v>6.9726360000000001E-2</v>
      </c>
      <c r="W1503">
        <v>0.17584379999999999</v>
      </c>
      <c r="X1503">
        <v>0.98194559999999997</v>
      </c>
      <c r="Y1503">
        <v>5.5813969999999997E-2</v>
      </c>
      <c r="Z1503">
        <v>5.4054949999999997E-2</v>
      </c>
      <c r="AA1503">
        <v>0.99697690000000005</v>
      </c>
      <c r="AB1503">
        <v>28</v>
      </c>
      <c r="AC1503">
        <v>-0.977800000000002</v>
      </c>
      <c r="AD1503">
        <v>-1.120725221646</v>
      </c>
      <c r="AE1503">
        <v>-16.7029</v>
      </c>
      <c r="AF1503">
        <v>0.94642630708951203</v>
      </c>
      <c r="AG1503">
        <v>-1.120725221646</v>
      </c>
      <c r="AH1503">
        <v>16.6298524998003</v>
      </c>
      <c r="AI1503">
        <v>93.849258895848394</v>
      </c>
      <c r="AJ1503">
        <v>86.742737064255294</v>
      </c>
      <c r="AK1503">
        <v>16.694422480046999</v>
      </c>
      <c r="AL1503">
        <v>79.872234055820698</v>
      </c>
      <c r="AM1503">
        <v>85.938337286245101</v>
      </c>
      <c r="AN1503">
        <v>0.99999998431832404</v>
      </c>
    </row>
    <row r="1504" spans="1:40" x14ac:dyDescent="0.25">
      <c r="A1504" t="str">
        <f>"20190303162241554"</f>
        <v>20190303162241554</v>
      </c>
      <c r="B1504" t="str">
        <f>"1551601361546455"</f>
        <v>1551601361546455</v>
      </c>
      <c r="C1504" t="s">
        <v>40</v>
      </c>
      <c r="D1504">
        <v>5.8736790000000001</v>
      </c>
      <c r="E1504">
        <v>0.497809</v>
      </c>
      <c r="F1504" t="s">
        <v>41</v>
      </c>
      <c r="G1504">
        <v>-192.2484</v>
      </c>
      <c r="H1504" s="1">
        <v>-1.2385019999999999E-6</v>
      </c>
      <c r="I1504">
        <v>310.9461</v>
      </c>
      <c r="J1504">
        <v>-191.21019999999999</v>
      </c>
      <c r="K1504">
        <v>1.120725</v>
      </c>
      <c r="L1504">
        <v>327.35419999999999</v>
      </c>
      <c r="M1504">
        <v>-1.652695E-3</v>
      </c>
      <c r="N1504">
        <v>-1.175387E-2</v>
      </c>
      <c r="O1504">
        <v>-0.99992990000000004</v>
      </c>
      <c r="P1504">
        <v>-7.6678360000000001E-2</v>
      </c>
      <c r="Q1504">
        <v>0.16323460000000001</v>
      </c>
      <c r="R1504">
        <v>-0.98360340000000002</v>
      </c>
      <c r="S1504">
        <v>-0.1909332</v>
      </c>
      <c r="T1504">
        <v>-0.20599590000000001</v>
      </c>
      <c r="U1504">
        <v>-3.069855</v>
      </c>
      <c r="V1504">
        <v>7.5064119999999998E-2</v>
      </c>
      <c r="W1504">
        <v>0.17478099999999999</v>
      </c>
      <c r="X1504">
        <v>0.9817418</v>
      </c>
      <c r="Y1504">
        <v>6.0304339999999998E-2</v>
      </c>
      <c r="Z1504">
        <v>5.5095379999999999E-2</v>
      </c>
      <c r="AA1504">
        <v>0.99665840000000006</v>
      </c>
      <c r="AB1504">
        <v>28</v>
      </c>
      <c r="AC1504">
        <v>-1.03820000000001</v>
      </c>
      <c r="AD1504">
        <v>-1.120726238502</v>
      </c>
      <c r="AE1504">
        <v>-16.408099999999902</v>
      </c>
      <c r="AF1504">
        <v>1.00640265378247</v>
      </c>
      <c r="AG1504">
        <v>-1.120726238502</v>
      </c>
      <c r="AH1504">
        <v>16.3338943715843</v>
      </c>
      <c r="AI1504">
        <v>93.917707919818497</v>
      </c>
      <c r="AJ1504">
        <v>86.474213668834594</v>
      </c>
      <c r="AK1504">
        <v>16.403200265353099</v>
      </c>
      <c r="AL1504">
        <v>79.934085990978303</v>
      </c>
      <c r="AM1504">
        <v>85.627663620300297</v>
      </c>
      <c r="AN1504">
        <v>0.99999999096980696</v>
      </c>
    </row>
    <row r="1505" spans="1:40" x14ac:dyDescent="0.25">
      <c r="A1505" t="str">
        <f>"20190303162241574"</f>
        <v>20190303162241574</v>
      </c>
      <c r="B1505" t="str">
        <f>"1551601361565976"</f>
        <v>1551601361565976</v>
      </c>
      <c r="C1505" t="s">
        <v>40</v>
      </c>
      <c r="D1505">
        <v>6.0709619999999997</v>
      </c>
      <c r="E1505">
        <v>0.49784450000000002</v>
      </c>
      <c r="F1505" t="s">
        <v>41</v>
      </c>
      <c r="G1505">
        <v>-192.3058</v>
      </c>
      <c r="H1505" s="1">
        <v>-1.290769E-6</v>
      </c>
      <c r="I1505">
        <v>311.02429999999998</v>
      </c>
      <c r="J1505">
        <v>-191.2106</v>
      </c>
      <c r="K1505">
        <v>1.120727</v>
      </c>
      <c r="L1505">
        <v>327.09199999999998</v>
      </c>
      <c r="M1505">
        <v>-1.672876E-3</v>
      </c>
      <c r="N1505">
        <v>-1.17553E-2</v>
      </c>
      <c r="O1505">
        <v>-0.99992970000000003</v>
      </c>
      <c r="P1505">
        <v>-8.1573729999999997E-2</v>
      </c>
      <c r="Q1505">
        <v>0.16246340000000001</v>
      </c>
      <c r="R1505">
        <v>-0.98333689999999996</v>
      </c>
      <c r="S1505">
        <v>-0.2059174</v>
      </c>
      <c r="T1505">
        <v>-0.2106228</v>
      </c>
      <c r="U1505">
        <v>-3.0689389999999999</v>
      </c>
      <c r="V1505">
        <v>7.9939449999999995E-2</v>
      </c>
      <c r="W1505">
        <v>0.1740081</v>
      </c>
      <c r="X1505">
        <v>0.98149419999999998</v>
      </c>
      <c r="Y1505">
        <v>6.51394E-2</v>
      </c>
      <c r="Z1505">
        <v>5.6588319999999998E-2</v>
      </c>
      <c r="AA1505">
        <v>0.9962704</v>
      </c>
      <c r="AB1505">
        <v>28</v>
      </c>
      <c r="AC1505">
        <v>-1.0952</v>
      </c>
      <c r="AD1505">
        <v>-1.1207282907689999</v>
      </c>
      <c r="AE1505">
        <v>-16.067699999999999</v>
      </c>
      <c r="AF1505">
        <v>1.0631688253690701</v>
      </c>
      <c r="AG1505">
        <v>-1.1207282907689999</v>
      </c>
      <c r="AH1505">
        <v>15.9920663114749</v>
      </c>
      <c r="AI1505">
        <v>93.999948662693001</v>
      </c>
      <c r="AJ1505">
        <v>86.196515197116994</v>
      </c>
      <c r="AK1505">
        <v>16.066503812702301</v>
      </c>
      <c r="AL1505">
        <v>79.979059161841903</v>
      </c>
      <c r="AM1505">
        <v>85.343726376492896</v>
      </c>
      <c r="AN1505">
        <v>0.99999999958277597</v>
      </c>
    </row>
    <row r="1506" spans="1:40" x14ac:dyDescent="0.25">
      <c r="A1506" t="str">
        <f>"20190303162241597"</f>
        <v>20190303162241597</v>
      </c>
      <c r="B1506" t="str">
        <f>"1551601361585496"</f>
        <v>1551601361585496</v>
      </c>
      <c r="C1506" t="s">
        <v>40</v>
      </c>
      <c r="D1506">
        <v>5.8576969999999999</v>
      </c>
      <c r="E1506">
        <v>0.49786459999999999</v>
      </c>
      <c r="F1506" t="s">
        <v>41</v>
      </c>
      <c r="G1506">
        <v>-192.3631</v>
      </c>
      <c r="H1506" s="1">
        <v>-1.2868319999999999E-6</v>
      </c>
      <c r="I1506">
        <v>310.98379999999997</v>
      </c>
      <c r="J1506">
        <v>-191.21119999999999</v>
      </c>
      <c r="K1506">
        <v>1.1207210000000001</v>
      </c>
      <c r="L1506">
        <v>326.81319999999999</v>
      </c>
      <c r="M1506">
        <v>-1.686395E-3</v>
      </c>
      <c r="N1506">
        <v>-1.175667E-2</v>
      </c>
      <c r="O1506">
        <v>-0.99992939999999997</v>
      </c>
      <c r="P1506">
        <v>-8.682985E-2</v>
      </c>
      <c r="Q1506">
        <v>0.16191929999999999</v>
      </c>
      <c r="R1506">
        <v>-0.98297639999999997</v>
      </c>
      <c r="S1506">
        <v>-0.21949769999999999</v>
      </c>
      <c r="T1506">
        <v>-0.213449</v>
      </c>
      <c r="U1506">
        <v>-3.0679020000000001</v>
      </c>
      <c r="V1506">
        <v>8.5181969999999996E-2</v>
      </c>
      <c r="W1506">
        <v>0.17346159999999999</v>
      </c>
      <c r="X1506">
        <v>0.98114990000000002</v>
      </c>
      <c r="Y1506">
        <v>6.9530560000000005E-2</v>
      </c>
      <c r="Z1506">
        <v>5.7502499999999998E-2</v>
      </c>
      <c r="AA1506">
        <v>0.9959211</v>
      </c>
      <c r="AB1506">
        <v>28</v>
      </c>
      <c r="AC1506">
        <v>-1.1519000000000099</v>
      </c>
      <c r="AD1506">
        <v>-1.1207222868319999</v>
      </c>
      <c r="AE1506">
        <v>-15.8294</v>
      </c>
      <c r="AF1506">
        <v>1.1196192010403101</v>
      </c>
      <c r="AG1506">
        <v>-1.1207222868319999</v>
      </c>
      <c r="AH1506">
        <v>15.752773032916</v>
      </c>
      <c r="AI1506">
        <v>94.059214380782194</v>
      </c>
      <c r="AJ1506">
        <v>85.934572128035796</v>
      </c>
      <c r="AK1506">
        <v>15.832227380444801</v>
      </c>
      <c r="AL1506">
        <v>80.010854949595199</v>
      </c>
      <c r="AM1506">
        <v>85.0381076516029</v>
      </c>
      <c r="AN1506">
        <v>1.00000001047882</v>
      </c>
    </row>
    <row r="1507" spans="1:40" x14ac:dyDescent="0.25">
      <c r="A1507" t="str">
        <f>"20190303162241619"</f>
        <v>20190303162241619</v>
      </c>
      <c r="B1507" t="str">
        <f>"1551601361605992"</f>
        <v>1551601361605992</v>
      </c>
      <c r="C1507" t="s">
        <v>40</v>
      </c>
      <c r="D1507">
        <v>5.9137849999999998</v>
      </c>
      <c r="E1507">
        <v>0.49786599999999998</v>
      </c>
      <c r="F1507" t="s">
        <v>41</v>
      </c>
      <c r="G1507">
        <v>-192.4254</v>
      </c>
      <c r="H1507" s="1">
        <v>-1.257406E-6</v>
      </c>
      <c r="I1507">
        <v>310.88650000000001</v>
      </c>
      <c r="J1507">
        <v>-191.21170000000001</v>
      </c>
      <c r="K1507">
        <v>1.120706</v>
      </c>
      <c r="L1507">
        <v>326.5333</v>
      </c>
      <c r="M1507">
        <v>-1.692806E-3</v>
      </c>
      <c r="N1507">
        <v>-1.1758080000000001E-2</v>
      </c>
      <c r="O1507">
        <v>-0.99992970000000003</v>
      </c>
      <c r="P1507">
        <v>-9.2956369999999997E-2</v>
      </c>
      <c r="Q1507">
        <v>0.16090099999999999</v>
      </c>
      <c r="R1507">
        <v>-0.98258350000000005</v>
      </c>
      <c r="S1507">
        <v>-0.2338104</v>
      </c>
      <c r="T1507">
        <v>-0.21580759999999999</v>
      </c>
      <c r="U1507">
        <v>-3.0668639999999998</v>
      </c>
      <c r="V1507">
        <v>9.1301939999999998E-2</v>
      </c>
      <c r="W1507">
        <v>0.17244010000000001</v>
      </c>
      <c r="X1507">
        <v>0.98077950000000003</v>
      </c>
      <c r="Y1507">
        <v>7.4164060000000004E-2</v>
      </c>
      <c r="Z1507">
        <v>5.826286E-2</v>
      </c>
      <c r="AA1507">
        <v>0.99554260000000006</v>
      </c>
      <c r="AB1507">
        <v>28</v>
      </c>
      <c r="AC1507">
        <v>-1.21369999999998</v>
      </c>
      <c r="AD1507">
        <v>-1.120707257406</v>
      </c>
      <c r="AE1507">
        <v>-15.646799999999899</v>
      </c>
      <c r="AF1507">
        <v>1.1811859756571299</v>
      </c>
      <c r="AG1507">
        <v>-1.120707257406</v>
      </c>
      <c r="AH1507">
        <v>15.5694358597225</v>
      </c>
      <c r="AI1507">
        <v>94.105363265682499</v>
      </c>
      <c r="AJ1507">
        <v>85.661526994414203</v>
      </c>
      <c r="AK1507">
        <v>15.6543450216196</v>
      </c>
      <c r="AL1507">
        <v>80.0702782655014</v>
      </c>
      <c r="AM1507">
        <v>84.681594870999504</v>
      </c>
      <c r="AN1507">
        <v>1.0000000299780101</v>
      </c>
    </row>
    <row r="1508" spans="1:40" x14ac:dyDescent="0.25">
      <c r="A1508" t="str">
        <f>"20190303162241643"</f>
        <v>20190303162241643</v>
      </c>
      <c r="B1508" t="str">
        <f>"1551601361636248"</f>
        <v>1551601361636248</v>
      </c>
      <c r="C1508" t="s">
        <v>40</v>
      </c>
      <c r="D1508">
        <v>5.8456859999999997</v>
      </c>
      <c r="E1508">
        <v>0.49776730000000002</v>
      </c>
      <c r="F1508" t="s">
        <v>41</v>
      </c>
      <c r="G1508">
        <v>-192.4881</v>
      </c>
      <c r="H1508" s="1">
        <v>-1.292234E-6</v>
      </c>
      <c r="I1508">
        <v>310.9248</v>
      </c>
      <c r="J1508">
        <v>-191.2122</v>
      </c>
      <c r="K1508">
        <v>1.1207049999999901</v>
      </c>
      <c r="L1508">
        <v>326.24509999999998</v>
      </c>
      <c r="M1508">
        <v>-1.6941829999999999E-3</v>
      </c>
      <c r="N1508">
        <v>-1.175934E-2</v>
      </c>
      <c r="O1508">
        <v>-0.99992970000000003</v>
      </c>
      <c r="P1508">
        <v>-9.8919229999999997E-2</v>
      </c>
      <c r="Q1508">
        <v>0.15941340000000001</v>
      </c>
      <c r="R1508">
        <v>-0.98224370000000005</v>
      </c>
      <c r="S1508">
        <v>-0.25070189999999998</v>
      </c>
      <c r="T1508">
        <v>-0.22011049999999999</v>
      </c>
      <c r="U1508">
        <v>-3.0655519999999998</v>
      </c>
      <c r="V1508">
        <v>9.7263230000000006E-2</v>
      </c>
      <c r="W1508">
        <v>0.17095050000000001</v>
      </c>
      <c r="X1508">
        <v>0.98046710000000004</v>
      </c>
      <c r="Y1508">
        <v>7.9635339999999999E-2</v>
      </c>
      <c r="Z1508">
        <v>5.9651160000000002E-2</v>
      </c>
      <c r="AA1508">
        <v>0.99503770000000002</v>
      </c>
      <c r="AB1508">
        <v>28</v>
      </c>
      <c r="AC1508">
        <v>-1.2759</v>
      </c>
      <c r="AD1508">
        <v>-1.1207062922340001</v>
      </c>
      <c r="AE1508">
        <v>-15.3202999999999</v>
      </c>
      <c r="AF1508">
        <v>1.24333352345454</v>
      </c>
      <c r="AG1508">
        <v>-1.1207062922340001</v>
      </c>
      <c r="AH1508">
        <v>15.2414419453855</v>
      </c>
      <c r="AI1508">
        <v>94.191528471134504</v>
      </c>
      <c r="AJ1508">
        <v>85.336374892890404</v>
      </c>
      <c r="AK1508">
        <v>15.333082319564999</v>
      </c>
      <c r="AL1508">
        <v>80.156911996908093</v>
      </c>
      <c r="AM1508">
        <v>84.334741528356702</v>
      </c>
      <c r="AN1508">
        <v>0.99999997177134603</v>
      </c>
    </row>
    <row r="1509" spans="1:40" x14ac:dyDescent="0.25">
      <c r="A1509" t="str">
        <f>"20190303162241667"</f>
        <v>20190303162241667</v>
      </c>
      <c r="B1509" t="str">
        <f>"1551601361655768"</f>
        <v>1551601361655768</v>
      </c>
      <c r="C1509" t="s">
        <v>40</v>
      </c>
      <c r="D1509">
        <v>5.8978289999999998</v>
      </c>
      <c r="E1509">
        <v>0.49774350000000001</v>
      </c>
      <c r="F1509" t="s">
        <v>41</v>
      </c>
      <c r="G1509">
        <v>-192.53530000000001</v>
      </c>
      <c r="H1509" s="1">
        <v>-1.3841499999999999E-6</v>
      </c>
      <c r="I1509">
        <v>311.09269999999998</v>
      </c>
      <c r="J1509">
        <v>-191.21279999999999</v>
      </c>
      <c r="K1509">
        <v>1.1206929999999999</v>
      </c>
      <c r="L1509">
        <v>325.94330000000002</v>
      </c>
      <c r="M1509">
        <v>-1.6930339999999999E-3</v>
      </c>
      <c r="N1509">
        <v>-1.176056E-2</v>
      </c>
      <c r="O1509">
        <v>-0.99992939999999997</v>
      </c>
      <c r="P1509">
        <v>-0.1030436</v>
      </c>
      <c r="Q1509">
        <v>0.1567964</v>
      </c>
      <c r="R1509">
        <v>-0.98224089999999997</v>
      </c>
      <c r="S1509">
        <v>-0.267547599999999</v>
      </c>
      <c r="T1509">
        <v>-0.2266233</v>
      </c>
      <c r="U1509">
        <v>-3.0640260000000001</v>
      </c>
      <c r="V1509">
        <v>0.10138800000000001</v>
      </c>
      <c r="W1509">
        <v>0.16833480000000001</v>
      </c>
      <c r="X1509">
        <v>0.98050179999999998</v>
      </c>
      <c r="Y1509">
        <v>8.5092390000000004E-2</v>
      </c>
      <c r="Z1509">
        <v>6.1755320000000002E-2</v>
      </c>
      <c r="AA1509">
        <v>0.99445740000000005</v>
      </c>
      <c r="AB1509">
        <v>28</v>
      </c>
      <c r="AC1509">
        <v>-1.32250000000001</v>
      </c>
      <c r="AD1509">
        <v>-1.1206943841499999</v>
      </c>
      <c r="AE1509">
        <v>-14.8506</v>
      </c>
      <c r="AF1509">
        <v>1.2900648052561701</v>
      </c>
      <c r="AG1509">
        <v>-1.1206943841499999</v>
      </c>
      <c r="AH1509">
        <v>14.769369558703801</v>
      </c>
      <c r="AI1509">
        <v>94.322870834533106</v>
      </c>
      <c r="AJ1509">
        <v>85.008037138299002</v>
      </c>
      <c r="AK1509">
        <v>14.867901676631799</v>
      </c>
      <c r="AL1509">
        <v>80.308984659430905</v>
      </c>
      <c r="AM1509">
        <v>84.096357763684395</v>
      </c>
      <c r="AN1509">
        <v>0.99999995561913901</v>
      </c>
    </row>
    <row r="1510" spans="1:40" x14ac:dyDescent="0.25">
      <c r="A1510" t="str">
        <f>"20190303162241687"</f>
        <v>20190303162241687</v>
      </c>
      <c r="B1510" t="str">
        <f>"1551601361676264"</f>
        <v>1551601361676264</v>
      </c>
      <c r="C1510" t="s">
        <v>40</v>
      </c>
      <c r="D1510">
        <v>6.1401329999999996</v>
      </c>
      <c r="E1510">
        <v>0.49768950000000001</v>
      </c>
      <c r="F1510" t="s">
        <v>42</v>
      </c>
      <c r="G1510">
        <v>-191.2979</v>
      </c>
      <c r="H1510">
        <v>1.049361</v>
      </c>
      <c r="I1510">
        <v>325.01330000000002</v>
      </c>
      <c r="J1510">
        <v>-191.2132</v>
      </c>
      <c r="K1510">
        <v>1.120676</v>
      </c>
      <c r="L1510">
        <v>325.6977</v>
      </c>
      <c r="M1510">
        <v>-1.6918149999999999E-3</v>
      </c>
      <c r="N1510">
        <v>-1.1761489999999999E-2</v>
      </c>
      <c r="O1510">
        <v>-0.99992939999999997</v>
      </c>
      <c r="P1510">
        <v>-0.1071303</v>
      </c>
      <c r="Q1510">
        <v>0.15424379999999999</v>
      </c>
      <c r="R1510">
        <v>-0.98220770000000002</v>
      </c>
      <c r="S1510">
        <v>-0.27978520000000001</v>
      </c>
      <c r="T1510">
        <v>-0.2350903</v>
      </c>
      <c r="U1510">
        <v>-3.0623779999999998</v>
      </c>
      <c r="V1510">
        <v>0.1054755</v>
      </c>
      <c r="W1510">
        <v>0.16578300000000001</v>
      </c>
      <c r="X1510">
        <v>0.98050550000000003</v>
      </c>
      <c r="Y1510">
        <v>8.9062479999999999E-2</v>
      </c>
      <c r="Z1510">
        <v>6.4500509999999997E-2</v>
      </c>
      <c r="AA1510">
        <v>0.99393540000000002</v>
      </c>
      <c r="AB1510">
        <v>28</v>
      </c>
      <c r="AC1510">
        <v>-8.4699999999997999E-2</v>
      </c>
      <c r="AD1510">
        <v>-7.1315000000000003E-2</v>
      </c>
      <c r="AE1510">
        <v>-0.68439999999998202</v>
      </c>
      <c r="AF1510">
        <v>8.2657975406972103E-2</v>
      </c>
      <c r="AG1510">
        <v>-7.1315000000000003E-2</v>
      </c>
      <c r="AH1510">
        <v>0.67729928285728302</v>
      </c>
      <c r="AI1510">
        <v>95.966760620756901</v>
      </c>
      <c r="AJ1510">
        <v>83.041999462176406</v>
      </c>
      <c r="AK1510">
        <v>0.68604117127353903</v>
      </c>
      <c r="AL1510">
        <v>80.457277035531007</v>
      </c>
      <c r="AM1510">
        <v>83.8601560380162</v>
      </c>
      <c r="AN1510">
        <v>1.0000000598597401</v>
      </c>
    </row>
    <row r="1511" spans="1:40" x14ac:dyDescent="0.25">
      <c r="A1511" t="str">
        <f>"20190303162241709"</f>
        <v>20190303162241709</v>
      </c>
      <c r="B1511" t="str">
        <f>"1551601361695784"</f>
        <v>1551601361695784</v>
      </c>
      <c r="C1511" t="s">
        <v>40</v>
      </c>
      <c r="D1511">
        <v>6.1531979999999997</v>
      </c>
      <c r="E1511">
        <v>0.49764190000000003</v>
      </c>
      <c r="F1511" t="s">
        <v>42</v>
      </c>
      <c r="G1511">
        <v>-191.3022</v>
      </c>
      <c r="H1511">
        <v>1.0467109999999999</v>
      </c>
      <c r="I1511">
        <v>324.76659999999998</v>
      </c>
      <c r="J1511">
        <v>-191.21369999999999</v>
      </c>
      <c r="K1511">
        <v>1.1206780000000001</v>
      </c>
      <c r="L1511">
        <v>325.42219999999998</v>
      </c>
      <c r="M1511">
        <v>-1.690656E-3</v>
      </c>
      <c r="N1511">
        <v>-1.176254E-2</v>
      </c>
      <c r="O1511">
        <v>-0.99992970000000003</v>
      </c>
      <c r="P1511">
        <v>-0.1109192</v>
      </c>
      <c r="Q1511">
        <v>0.153617899999999</v>
      </c>
      <c r="R1511">
        <v>-0.98188540000000002</v>
      </c>
      <c r="S1511">
        <v>-0.29148859999999999</v>
      </c>
      <c r="T1511">
        <v>-0.24341199999999999</v>
      </c>
      <c r="U1511">
        <v>-3.0607600000000001</v>
      </c>
      <c r="V1511">
        <v>0.1092655</v>
      </c>
      <c r="W1511">
        <v>0.16515469999999999</v>
      </c>
      <c r="X1511">
        <v>0.98019639999999997</v>
      </c>
      <c r="Y1511">
        <v>9.285794E-2</v>
      </c>
      <c r="Z1511">
        <v>6.7197350000000003E-2</v>
      </c>
      <c r="AA1511">
        <v>0.99340919999999999</v>
      </c>
      <c r="AB1511">
        <v>28</v>
      </c>
      <c r="AC1511">
        <v>-8.8500000000010404E-2</v>
      </c>
      <c r="AD1511">
        <v>-7.3966999999999894E-2</v>
      </c>
      <c r="AE1511">
        <v>-0.65559999999999197</v>
      </c>
      <c r="AF1511">
        <v>8.6312385465688493E-2</v>
      </c>
      <c r="AG1511">
        <v>-7.3966999999999894E-2</v>
      </c>
      <c r="AH1511">
        <v>0.64765219737996305</v>
      </c>
      <c r="AI1511">
        <v>96.458785713544003</v>
      </c>
      <c r="AJ1511">
        <v>82.408941383049495</v>
      </c>
      <c r="AK1511">
        <v>0.65755175746466699</v>
      </c>
      <c r="AL1511">
        <v>80.493778612556596</v>
      </c>
      <c r="AM1511">
        <v>83.639323373593101</v>
      </c>
      <c r="AN1511">
        <v>1.0000000034976499</v>
      </c>
    </row>
    <row r="1512" spans="1:40" x14ac:dyDescent="0.25">
      <c r="A1512" t="str">
        <f>"20190303162241731"</f>
        <v>20190303162241731</v>
      </c>
      <c r="B1512" t="str">
        <f>"1551601361726039"</f>
        <v>1551601361726039</v>
      </c>
      <c r="C1512" t="s">
        <v>40</v>
      </c>
      <c r="D1512">
        <v>6.0996249999999996</v>
      </c>
      <c r="E1512">
        <v>0.4973146</v>
      </c>
      <c r="F1512" t="s">
        <v>42</v>
      </c>
      <c r="G1512">
        <v>-191.30340000000001</v>
      </c>
      <c r="H1512">
        <v>1.0479499999999999</v>
      </c>
      <c r="I1512">
        <v>324.51650000000001</v>
      </c>
      <c r="J1512">
        <v>-191.21420000000001</v>
      </c>
      <c r="K1512">
        <v>1.120682</v>
      </c>
      <c r="L1512">
        <v>325.13569999999999</v>
      </c>
      <c r="M1512">
        <v>-1.6897100000000001E-3</v>
      </c>
      <c r="N1512">
        <v>-1.1763630000000001E-2</v>
      </c>
      <c r="O1512">
        <v>-0.99992970000000003</v>
      </c>
      <c r="P1512">
        <v>-0.11433889999999999</v>
      </c>
      <c r="Q1512">
        <v>0.15396789999999999</v>
      </c>
      <c r="R1512">
        <v>-0.9814387</v>
      </c>
      <c r="S1512">
        <v>-0.30264279999999999</v>
      </c>
      <c r="T1512">
        <v>-0.24581910000000001</v>
      </c>
      <c r="U1512">
        <v>-3.059631</v>
      </c>
      <c r="V1512">
        <v>0.1126866</v>
      </c>
      <c r="W1512">
        <v>0.16550039999999999</v>
      </c>
      <c r="X1512">
        <v>0.97975069999999997</v>
      </c>
      <c r="Y1512">
        <v>9.6473050000000005E-2</v>
      </c>
      <c r="Z1512">
        <v>6.7974000000000007E-2</v>
      </c>
      <c r="AA1512">
        <v>0.9930118</v>
      </c>
      <c r="AB1512">
        <v>28</v>
      </c>
      <c r="AC1512">
        <v>-8.9200000000005206E-2</v>
      </c>
      <c r="AD1512">
        <v>-7.2732000000000005E-2</v>
      </c>
      <c r="AE1512">
        <v>-0.61919999999997799</v>
      </c>
      <c r="AF1512">
        <v>8.6977883360590105E-2</v>
      </c>
      <c r="AG1512">
        <v>-7.2732000000000005E-2</v>
      </c>
      <c r="AH1512">
        <v>0.61108996502837898</v>
      </c>
      <c r="AI1512">
        <v>96.720319201439693</v>
      </c>
      <c r="AJ1512">
        <v>81.899365700118906</v>
      </c>
      <c r="AK1512">
        <v>0.621519139991903</v>
      </c>
      <c r="AL1512">
        <v>80.473695467992599</v>
      </c>
      <c r="AM1512">
        <v>83.438922296524794</v>
      </c>
      <c r="AN1512">
        <v>1.0000000431850999</v>
      </c>
    </row>
    <row r="1513" spans="1:40" x14ac:dyDescent="0.25">
      <c r="A1513" t="str">
        <f>"20190303162241754"</f>
        <v>20190303162241754</v>
      </c>
      <c r="B1513" t="str">
        <f>"1551601361745561"</f>
        <v>1551601361745561</v>
      </c>
      <c r="C1513" t="s">
        <v>40</v>
      </c>
      <c r="D1513">
        <v>5.9216379999999997</v>
      </c>
      <c r="E1513">
        <v>0.46456799999999998</v>
      </c>
      <c r="F1513" t="s">
        <v>42</v>
      </c>
      <c r="G1513">
        <v>-191.30279999999999</v>
      </c>
      <c r="H1513">
        <v>1.050816</v>
      </c>
      <c r="I1513">
        <v>324.26499999999999</v>
      </c>
      <c r="J1513">
        <v>-191.21469999999999</v>
      </c>
      <c r="K1513">
        <v>1.120687</v>
      </c>
      <c r="L1513">
        <v>324.86090000000002</v>
      </c>
      <c r="M1513">
        <v>-1.68895E-3</v>
      </c>
      <c r="N1513">
        <v>-1.176464E-2</v>
      </c>
      <c r="O1513">
        <v>-0.99992970000000003</v>
      </c>
      <c r="P1513">
        <v>-0.11638510000000001</v>
      </c>
      <c r="Q1513">
        <v>0.1546051</v>
      </c>
      <c r="R1513">
        <v>-0.98109769999999996</v>
      </c>
      <c r="S1513">
        <v>-0.31056209999999901</v>
      </c>
      <c r="T1513">
        <v>-0.24564530000000001</v>
      </c>
      <c r="U1513">
        <v>-3.0591430000000002</v>
      </c>
      <c r="V1513">
        <v>0.11473410000000001</v>
      </c>
      <c r="W1513">
        <v>0.1661347</v>
      </c>
      <c r="X1513">
        <v>0.97940559999999999</v>
      </c>
      <c r="Y1513">
        <v>9.903315E-2</v>
      </c>
      <c r="Z1513">
        <v>6.7909319999999995E-2</v>
      </c>
      <c r="AA1513">
        <v>0.99276419999999999</v>
      </c>
      <c r="AB1513">
        <v>28</v>
      </c>
      <c r="AC1513">
        <v>-8.8099999999997097E-2</v>
      </c>
      <c r="AD1513">
        <v>-6.9871000000000003E-2</v>
      </c>
      <c r="AE1513">
        <v>-0.59590000000002796</v>
      </c>
      <c r="AF1513">
        <v>8.5937147239662601E-2</v>
      </c>
      <c r="AG1513">
        <v>-6.9871000000000003E-2</v>
      </c>
      <c r="AH1513">
        <v>0.58813509082398596</v>
      </c>
      <c r="AI1513">
        <v>96.704502038563504</v>
      </c>
      <c r="AJ1513">
        <v>81.686882839692302</v>
      </c>
      <c r="AK1513">
        <v>0.59847308625804496</v>
      </c>
      <c r="AL1513">
        <v>80.436842075256493</v>
      </c>
      <c r="AM1513">
        <v>83.318443864738398</v>
      </c>
      <c r="AN1513">
        <v>0.99999999077913004</v>
      </c>
    </row>
    <row r="1514" spans="1:40" x14ac:dyDescent="0.25">
      <c r="A1514" t="str">
        <f>"20190303162241775"</f>
        <v>20190303162241775</v>
      </c>
      <c r="B1514" t="str">
        <f>"1551601361766055"</f>
        <v>1551601361766055</v>
      </c>
      <c r="C1514" t="s">
        <v>40</v>
      </c>
      <c r="D1514">
        <v>5.8341159999999999</v>
      </c>
      <c r="E1514">
        <v>0.45841549999999998</v>
      </c>
      <c r="F1514" t="s">
        <v>42</v>
      </c>
      <c r="G1514">
        <v>-191.23009999999999</v>
      </c>
      <c r="H1514">
        <v>1.038707</v>
      </c>
      <c r="I1514">
        <v>324.02339999999998</v>
      </c>
      <c r="J1514">
        <v>-191.21520000000001</v>
      </c>
      <c r="K1514">
        <v>1.12069</v>
      </c>
      <c r="L1514">
        <v>324.59010000000001</v>
      </c>
      <c r="M1514">
        <v>-1.6883E-3</v>
      </c>
      <c r="N1514">
        <v>-1.1765619999999999E-2</v>
      </c>
      <c r="O1514">
        <v>-0.99992970000000003</v>
      </c>
      <c r="P1514">
        <v>-0.1177904</v>
      </c>
      <c r="Q1514">
        <v>0.15523819999999999</v>
      </c>
      <c r="R1514">
        <v>-0.98082990000000003</v>
      </c>
      <c r="S1514">
        <v>-5.6823730000000003E-2</v>
      </c>
      <c r="T1514">
        <v>-0.30348340000000001</v>
      </c>
      <c r="U1514">
        <v>-3.0988769999999999</v>
      </c>
      <c r="V1514">
        <v>0.1161404</v>
      </c>
      <c r="W1514">
        <v>0.16676569999999999</v>
      </c>
      <c r="X1514">
        <v>0.97913260000000002</v>
      </c>
      <c r="Y1514">
        <v>1.6567419999999999E-2</v>
      </c>
      <c r="Z1514">
        <v>8.5735870000000006E-2</v>
      </c>
      <c r="AA1514">
        <v>0.99618010000000001</v>
      </c>
      <c r="AB1514">
        <v>28</v>
      </c>
      <c r="AC1514">
        <v>-1.4899999999983E-2</v>
      </c>
      <c r="AD1514">
        <v>-8.1982999999999903E-2</v>
      </c>
      <c r="AE1514">
        <v>-0.56670000000002496</v>
      </c>
      <c r="AF1514">
        <v>1.36575173288469E-2</v>
      </c>
      <c r="AG1514">
        <v>-8.1982999999999903E-2</v>
      </c>
      <c r="AH1514">
        <v>0.55511457750628002</v>
      </c>
      <c r="AI1514">
        <v>98.398586804572503</v>
      </c>
      <c r="AJ1514">
        <v>88.590632813900996</v>
      </c>
      <c r="AK1514">
        <v>0.56130199913109402</v>
      </c>
      <c r="AL1514">
        <v>80.400177235068995</v>
      </c>
      <c r="AM1514">
        <v>83.235433674095901</v>
      </c>
      <c r="AN1514">
        <v>1.0000000197957</v>
      </c>
    </row>
    <row r="1515" spans="1:40" x14ac:dyDescent="0.25">
      <c r="A1515" t="str">
        <f>"20190303162241798"</f>
        <v>20190303162241798</v>
      </c>
      <c r="B1515" t="str">
        <f>"1551601361785576"</f>
        <v>1551601361785576</v>
      </c>
      <c r="C1515" t="s">
        <v>40</v>
      </c>
      <c r="D1515">
        <v>5.8782360000000002</v>
      </c>
      <c r="E1515">
        <v>0.45172800000000002</v>
      </c>
      <c r="F1515" t="s">
        <v>42</v>
      </c>
      <c r="G1515">
        <v>-191.21850000000001</v>
      </c>
      <c r="H1515">
        <v>1.037312</v>
      </c>
      <c r="I1515">
        <v>323.774</v>
      </c>
      <c r="J1515">
        <v>-191.2157</v>
      </c>
      <c r="K1515">
        <v>1.1206830000000001</v>
      </c>
      <c r="L1515">
        <v>324.30930000000001</v>
      </c>
      <c r="M1515">
        <v>-1.6945110000000001E-3</v>
      </c>
      <c r="N1515">
        <v>-1.176661E-2</v>
      </c>
      <c r="O1515">
        <v>-0.99992939999999997</v>
      </c>
      <c r="P1515">
        <v>-0.1193356</v>
      </c>
      <c r="Q1515">
        <v>0.15548389999999901</v>
      </c>
      <c r="R1515">
        <v>-0.98060409999999998</v>
      </c>
      <c r="S1515">
        <v>-1.231384E-2</v>
      </c>
      <c r="T1515">
        <v>-0.3175907</v>
      </c>
      <c r="U1515">
        <v>-3.1073909999999998</v>
      </c>
      <c r="V1515">
        <v>0.1176811</v>
      </c>
      <c r="W1515">
        <v>0.16700870000000001</v>
      </c>
      <c r="X1515">
        <v>0.97890719999999998</v>
      </c>
      <c r="Y1515">
        <v>2.2505229999999999E-3</v>
      </c>
      <c r="Z1515">
        <v>8.9961890000000003E-2</v>
      </c>
      <c r="AA1515">
        <v>0.99594269999999996</v>
      </c>
      <c r="AB1515">
        <v>28</v>
      </c>
      <c r="AC1515">
        <v>-2.80000000000768E-3</v>
      </c>
      <c r="AD1515">
        <v>-8.3371000000000001E-2</v>
      </c>
      <c r="AE1515">
        <v>-0.53530000000000599</v>
      </c>
      <c r="AF1515">
        <v>1.8480350994060301E-3</v>
      </c>
      <c r="AG1515">
        <v>-8.3371000000000001E-2</v>
      </c>
      <c r="AH1515">
        <v>0.52262700525962602</v>
      </c>
      <c r="AI1515">
        <v>99.063568348127902</v>
      </c>
      <c r="AJ1515">
        <v>89.797400116696807</v>
      </c>
      <c r="AK1515">
        <v>0.52923825022514503</v>
      </c>
      <c r="AL1515">
        <v>80.386056396170304</v>
      </c>
      <c r="AM1515">
        <v>83.144980995640793</v>
      </c>
      <c r="AN1515">
        <v>1.0000000266923601</v>
      </c>
    </row>
    <row r="1516" spans="1:40" x14ac:dyDescent="0.25">
      <c r="A1516" t="str">
        <f>"20190303162241823"</f>
        <v>20190303162241823</v>
      </c>
      <c r="B1516" t="str">
        <f>"1551601361816808"</f>
        <v>1551601361816808</v>
      </c>
      <c r="C1516" t="s">
        <v>40</v>
      </c>
      <c r="D1516">
        <v>5.8741329999999996</v>
      </c>
      <c r="E1516">
        <v>0.44788499999999998</v>
      </c>
      <c r="F1516" t="s">
        <v>42</v>
      </c>
      <c r="G1516">
        <v>-191.20679999999999</v>
      </c>
      <c r="H1516">
        <v>1.035792</v>
      </c>
      <c r="I1516">
        <v>323.524</v>
      </c>
      <c r="J1516">
        <v>-191.21619999999999</v>
      </c>
      <c r="K1516">
        <v>1.1206700000000001</v>
      </c>
      <c r="L1516">
        <v>324.00130000000001</v>
      </c>
      <c r="M1516">
        <v>-1.7265550000000001E-3</v>
      </c>
      <c r="N1516">
        <v>-1.1767680000000001E-2</v>
      </c>
      <c r="O1516">
        <v>-0.99992919999999996</v>
      </c>
      <c r="P1516">
        <v>-0.1210745</v>
      </c>
      <c r="Q1516">
        <v>0.15524389999999999</v>
      </c>
      <c r="R1516">
        <v>-0.98042890000000005</v>
      </c>
      <c r="S1516">
        <v>3.5705569999999999E-2</v>
      </c>
      <c r="T1516">
        <v>-0.33706770000000003</v>
      </c>
      <c r="U1516">
        <v>-3.1171570000000002</v>
      </c>
      <c r="V1516">
        <v>0.1193944</v>
      </c>
      <c r="W1516">
        <v>0.16676379999999999</v>
      </c>
      <c r="X1516">
        <v>0.97874150000000004</v>
      </c>
      <c r="Y1516">
        <v>-1.3118380000000001E-2</v>
      </c>
      <c r="Z1516">
        <v>9.5790970000000003E-2</v>
      </c>
      <c r="AA1516">
        <v>0.99531499999999995</v>
      </c>
      <c r="AB1516">
        <v>28</v>
      </c>
      <c r="AC1516">
        <v>9.3999999999994002E-3</v>
      </c>
      <c r="AD1516">
        <v>-8.4877999999999995E-2</v>
      </c>
      <c r="AE1516">
        <v>-0.47730000000001299</v>
      </c>
      <c r="AF1516">
        <v>-9.910835830129E-3</v>
      </c>
      <c r="AG1516">
        <v>-8.4877999999999995E-2</v>
      </c>
      <c r="AH1516">
        <v>0.46265795164899398</v>
      </c>
      <c r="AI1516">
        <v>100.393399607592</v>
      </c>
      <c r="AJ1516">
        <v>91.227174909517998</v>
      </c>
      <c r="AK1516">
        <v>0.47048366578967898</v>
      </c>
      <c r="AL1516">
        <v>80.400287991851101</v>
      </c>
      <c r="AM1516">
        <v>83.044984404702603</v>
      </c>
      <c r="AN1516">
        <v>1.0000000557820199</v>
      </c>
    </row>
    <row r="1517" spans="1:40" x14ac:dyDescent="0.25">
      <c r="A1517" t="str">
        <f>"20190303162241846"</f>
        <v>20190303162241846</v>
      </c>
      <c r="B1517" t="str">
        <f>"1551601361836328"</f>
        <v>1551601361836328</v>
      </c>
      <c r="C1517" t="s">
        <v>40</v>
      </c>
      <c r="D1517">
        <v>5.913888</v>
      </c>
      <c r="E1517">
        <v>0.44653989999999999</v>
      </c>
      <c r="F1517" t="s">
        <v>42</v>
      </c>
      <c r="G1517">
        <v>-191.1977</v>
      </c>
      <c r="H1517">
        <v>1.0125200000000001</v>
      </c>
      <c r="I1517">
        <v>323.03960000000001</v>
      </c>
      <c r="J1517">
        <v>-191.21680000000001</v>
      </c>
      <c r="K1517">
        <v>1.1206389999999999</v>
      </c>
      <c r="L1517">
        <v>323.72719999999998</v>
      </c>
      <c r="M1517">
        <v>-1.7968870000000001E-3</v>
      </c>
      <c r="N1517">
        <v>-1.176863E-2</v>
      </c>
      <c r="O1517">
        <v>-0.99992939999999997</v>
      </c>
      <c r="P1517">
        <v>-0.1222023</v>
      </c>
      <c r="Q1517">
        <v>0.1542936</v>
      </c>
      <c r="R1517">
        <v>-0.98043939999999996</v>
      </c>
      <c r="S1517">
        <v>6.0546879999999997E-2</v>
      </c>
      <c r="T1517">
        <v>-0.35125919999999999</v>
      </c>
      <c r="U1517">
        <v>-3.122986</v>
      </c>
      <c r="V1517">
        <v>0.1204636</v>
      </c>
      <c r="W1517">
        <v>0.16580690000000001</v>
      </c>
      <c r="X1517">
        <v>0.978773</v>
      </c>
      <c r="Y1517">
        <v>-2.1067809999999999E-2</v>
      </c>
      <c r="Z1517">
        <v>0.1000448</v>
      </c>
      <c r="AA1517">
        <v>0.99475990000000003</v>
      </c>
      <c r="AB1517">
        <v>28</v>
      </c>
      <c r="AC1517">
        <v>1.91000000000087E-2</v>
      </c>
      <c r="AD1517">
        <v>-0.10811899999999899</v>
      </c>
      <c r="AE1517">
        <v>-0.68759999999997401</v>
      </c>
      <c r="AF1517">
        <v>-1.9845301645351501E-2</v>
      </c>
      <c r="AG1517">
        <v>-0.10811899999999899</v>
      </c>
      <c r="AH1517">
        <v>0.67098734839038299</v>
      </c>
      <c r="AI1517">
        <v>99.149694392991606</v>
      </c>
      <c r="AJ1517">
        <v>91.694101470796397</v>
      </c>
      <c r="AK1517">
        <v>0.67993203767608401</v>
      </c>
      <c r="AL1517">
        <v>80.455887836212099</v>
      </c>
      <c r="AM1517">
        <v>82.983542612873705</v>
      </c>
      <c r="AN1517">
        <v>0.99999999627078495</v>
      </c>
    </row>
    <row r="1518" spans="1:40" x14ac:dyDescent="0.25">
      <c r="A1518" t="str">
        <f>"20190303162241890"</f>
        <v>20190303162241890</v>
      </c>
      <c r="B1518" t="str">
        <f>"1551601361876343"</f>
        <v>1551601361876343</v>
      </c>
      <c r="C1518" t="s">
        <v>40</v>
      </c>
      <c r="D1518">
        <v>6.116663</v>
      </c>
      <c r="E1518">
        <v>0.44515909999999898</v>
      </c>
      <c r="F1518" t="s">
        <v>42</v>
      </c>
      <c r="G1518">
        <v>-191.19659999999999</v>
      </c>
      <c r="H1518">
        <v>1.012689</v>
      </c>
      <c r="I1518">
        <v>322.7903</v>
      </c>
      <c r="J1518">
        <v>-191.21809999999999</v>
      </c>
      <c r="K1518">
        <v>1.120549</v>
      </c>
      <c r="L1518">
        <v>323.1635</v>
      </c>
      <c r="M1518">
        <v>-2.0639539999999998E-3</v>
      </c>
      <c r="N1518">
        <v>-1.177066E-2</v>
      </c>
      <c r="O1518">
        <v>-0.99992879999999995</v>
      </c>
      <c r="P1518">
        <v>-0.12384240000000001</v>
      </c>
      <c r="Q1518">
        <v>0.15225239999999901</v>
      </c>
      <c r="R1518">
        <v>-0.9805526</v>
      </c>
      <c r="S1518">
        <v>6.7733760000000004E-2</v>
      </c>
      <c r="T1518">
        <v>-0.36024220000000001</v>
      </c>
      <c r="U1518">
        <v>-3.1250610000000001</v>
      </c>
      <c r="V1518">
        <v>0.1218693</v>
      </c>
      <c r="W1518">
        <v>0.16374839999999999</v>
      </c>
      <c r="X1518">
        <v>0.97894559999999997</v>
      </c>
      <c r="Y1518">
        <v>-2.3600409999999999E-2</v>
      </c>
      <c r="Z1518">
        <v>0.1027859</v>
      </c>
      <c r="AA1518">
        <v>0.99442350000000002</v>
      </c>
      <c r="AB1518">
        <v>28</v>
      </c>
      <c r="AC1518">
        <v>2.15000000000031E-2</v>
      </c>
      <c r="AD1518">
        <v>-0.10786</v>
      </c>
      <c r="AE1518">
        <v>-0.37319999999999698</v>
      </c>
      <c r="AF1518">
        <v>-2.0558706275028302E-2</v>
      </c>
      <c r="AG1518">
        <v>-0.10786</v>
      </c>
      <c r="AH1518">
        <v>0.34447623428149599</v>
      </c>
      <c r="AI1518">
        <v>107.356994411645</v>
      </c>
      <c r="AJ1518">
        <v>93.415421561940903</v>
      </c>
      <c r="AK1518">
        <v>0.36155264621969302</v>
      </c>
      <c r="AL1518">
        <v>80.575466524782101</v>
      </c>
      <c r="AM1518">
        <v>82.903735872229504</v>
      </c>
      <c r="AN1518">
        <v>1.0000000762721999</v>
      </c>
    </row>
    <row r="1519" spans="1:40" x14ac:dyDescent="0.25">
      <c r="A1519" t="str">
        <f>"20190303162241911"</f>
        <v>20190303162241911</v>
      </c>
      <c r="B1519" t="str">
        <f>"1551601361905624"</f>
        <v>1551601361905624</v>
      </c>
      <c r="C1519" t="s">
        <v>40</v>
      </c>
      <c r="D1519">
        <v>5.928229</v>
      </c>
      <c r="E1519">
        <v>0.44404529999999998</v>
      </c>
      <c r="F1519" t="s">
        <v>42</v>
      </c>
      <c r="G1519">
        <v>-191.19829999999999</v>
      </c>
      <c r="H1519">
        <v>1.016724</v>
      </c>
      <c r="I1519">
        <v>322.28960000000001</v>
      </c>
      <c r="J1519">
        <v>-191.21889999999999</v>
      </c>
      <c r="K1519">
        <v>1.1205020000000001</v>
      </c>
      <c r="L1519">
        <v>322.91000000000003</v>
      </c>
      <c r="M1519">
        <v>-2.2598980000000002E-3</v>
      </c>
      <c r="N1519">
        <v>-1.177159E-2</v>
      </c>
      <c r="O1519">
        <v>-0.99992829999999999</v>
      </c>
      <c r="P1519">
        <v>-0.1241063</v>
      </c>
      <c r="Q1519">
        <v>0.1513167</v>
      </c>
      <c r="R1519">
        <v>-0.98066370000000003</v>
      </c>
      <c r="S1519">
        <v>7.1487430000000005E-2</v>
      </c>
      <c r="T1519">
        <v>-0.3716023</v>
      </c>
      <c r="U1519">
        <v>-3.12616</v>
      </c>
      <c r="V1519">
        <v>0.1219557</v>
      </c>
      <c r="W1519">
        <v>0.16280420000000001</v>
      </c>
      <c r="X1519">
        <v>0.97909219999999997</v>
      </c>
      <c r="Y1519">
        <v>-2.4972129999999999E-2</v>
      </c>
      <c r="Z1519">
        <v>0.10630580000000001</v>
      </c>
      <c r="AA1519">
        <v>0.99401989999999996</v>
      </c>
      <c r="AB1519">
        <v>28</v>
      </c>
      <c r="AC1519">
        <v>2.06000000000017E-2</v>
      </c>
      <c r="AD1519">
        <v>-0.103778</v>
      </c>
      <c r="AE1519">
        <v>-0.62040000000001705</v>
      </c>
      <c r="AF1519">
        <v>-2.1403838619908001E-2</v>
      </c>
      <c r="AG1519">
        <v>-0.103778</v>
      </c>
      <c r="AH1519">
        <v>0.60348421654450102</v>
      </c>
      <c r="AI1519">
        <v>99.751404996517195</v>
      </c>
      <c r="AJ1519">
        <v>92.031264045812605</v>
      </c>
      <c r="AK1519">
        <v>0.61271624526365998</v>
      </c>
      <c r="AL1519">
        <v>80.630300034543495</v>
      </c>
      <c r="AM1519">
        <v>82.899808696372105</v>
      </c>
      <c r="AN1519">
        <v>0.99999996820048398</v>
      </c>
    </row>
    <row r="1520" spans="1:40" x14ac:dyDescent="0.25">
      <c r="A1520" t="str">
        <f>"20190303162241932"</f>
        <v>20190303162241932</v>
      </c>
      <c r="B1520" t="str">
        <f>"1551601361926120"</f>
        <v>1551601361926120</v>
      </c>
      <c r="C1520" t="s">
        <v>40</v>
      </c>
      <c r="D1520">
        <v>6.0681469999999997</v>
      </c>
      <c r="E1520">
        <v>0.44450089999999998</v>
      </c>
      <c r="F1520" t="s">
        <v>42</v>
      </c>
      <c r="G1520">
        <v>-191.1969</v>
      </c>
      <c r="H1520">
        <v>1.015841</v>
      </c>
      <c r="I1520">
        <v>322.04050000000001</v>
      </c>
      <c r="J1520">
        <v>-191.21979999999999</v>
      </c>
      <c r="K1520">
        <v>1.1204499999999999</v>
      </c>
      <c r="L1520">
        <v>322.6318</v>
      </c>
      <c r="M1520">
        <v>-2.5399609999999999E-3</v>
      </c>
      <c r="N1520">
        <v>-1.1772639999999999E-2</v>
      </c>
      <c r="O1520">
        <v>-0.99992740000000002</v>
      </c>
      <c r="P1520">
        <v>-0.1250375</v>
      </c>
      <c r="Q1520">
        <v>0.150807</v>
      </c>
      <c r="R1520">
        <v>-0.98062400000000005</v>
      </c>
      <c r="S1520">
        <v>7.9360959999999994E-2</v>
      </c>
      <c r="T1520">
        <v>-0.37652950000000002</v>
      </c>
      <c r="U1520">
        <v>-3.127319</v>
      </c>
      <c r="V1520">
        <v>0.12263060000000001</v>
      </c>
      <c r="W1520">
        <v>0.16228099999999901</v>
      </c>
      <c r="X1520">
        <v>0.97909480000000004</v>
      </c>
      <c r="Y1520">
        <v>-2.7738289999999999E-2</v>
      </c>
      <c r="Z1520">
        <v>0.1077973</v>
      </c>
      <c r="AA1520">
        <v>0.9937859</v>
      </c>
      <c r="AB1520">
        <v>28</v>
      </c>
      <c r="AC1520">
        <v>2.2899999999992801E-2</v>
      </c>
      <c r="AD1520">
        <v>-0.10460899999999899</v>
      </c>
      <c r="AE1520">
        <v>-0.59129999999998895</v>
      </c>
      <c r="AF1520">
        <v>-2.3662422094059499E-2</v>
      </c>
      <c r="AG1520">
        <v>-0.10460899999999899</v>
      </c>
      <c r="AH1520">
        <v>0.57332270495210302</v>
      </c>
      <c r="AI1520">
        <v>100.331885008296</v>
      </c>
      <c r="AJ1520">
        <v>92.363394800584899</v>
      </c>
      <c r="AK1520">
        <v>0.58326827199321696</v>
      </c>
      <c r="AL1520">
        <v>80.6606815785116</v>
      </c>
      <c r="AM1520">
        <v>82.860939489610502</v>
      </c>
      <c r="AN1520">
        <v>1.0000000072021999</v>
      </c>
    </row>
    <row r="1521" spans="1:40" x14ac:dyDescent="0.25">
      <c r="A1521" t="str">
        <f>"20190303162241957"</f>
        <v>20190303162241957</v>
      </c>
      <c r="B1521" t="str">
        <f>"1551601361945489"</f>
        <v>1551601361945489</v>
      </c>
      <c r="C1521" t="s">
        <v>40</v>
      </c>
      <c r="D1521">
        <v>5.8526800000000003</v>
      </c>
      <c r="E1521">
        <v>0.49518709999999999</v>
      </c>
      <c r="F1521" t="s">
        <v>42</v>
      </c>
      <c r="G1521">
        <v>-191.2003</v>
      </c>
      <c r="H1521">
        <v>1.0180009999999999</v>
      </c>
      <c r="I1521">
        <v>321.7901</v>
      </c>
      <c r="J1521">
        <v>-191.2209</v>
      </c>
      <c r="K1521">
        <v>1.120403</v>
      </c>
      <c r="L1521">
        <v>322.33449999999999</v>
      </c>
      <c r="M1521">
        <v>-2.9100749999999998E-3</v>
      </c>
      <c r="N1521">
        <v>-1.1773840000000001E-2</v>
      </c>
      <c r="O1521">
        <v>-0.99992650000000005</v>
      </c>
      <c r="P1521">
        <v>-0.12680810000000001</v>
      </c>
      <c r="Q1521">
        <v>0.1500457</v>
      </c>
      <c r="R1521">
        <v>-0.98051319999999997</v>
      </c>
      <c r="S1521">
        <v>7.2982790000000006E-2</v>
      </c>
      <c r="T1521">
        <v>-0.38081720000000002</v>
      </c>
      <c r="U1521">
        <v>-3.1271360000000001</v>
      </c>
      <c r="V1521">
        <v>0.1240588</v>
      </c>
      <c r="W1521">
        <v>0.1615037</v>
      </c>
      <c r="X1521">
        <v>0.97904340000000001</v>
      </c>
      <c r="Y1521">
        <v>-2.6081610000000002E-2</v>
      </c>
      <c r="Z1521">
        <v>0.10915130000000001</v>
      </c>
      <c r="AA1521">
        <v>0.99368290000000004</v>
      </c>
      <c r="AB1521">
        <v>28</v>
      </c>
      <c r="AC1521">
        <v>2.06000000000017E-2</v>
      </c>
      <c r="AD1521">
        <v>-0.10240200000000001</v>
      </c>
      <c r="AE1521">
        <v>-0.544399999999996</v>
      </c>
      <c r="AF1521">
        <v>-2.1427216567165099E-2</v>
      </c>
      <c r="AG1521">
        <v>-0.10240200000000001</v>
      </c>
      <c r="AH1521">
        <v>0.52576190714762105</v>
      </c>
      <c r="AI1521">
        <v>101.012527264361</v>
      </c>
      <c r="AJ1521">
        <v>92.333775100411401</v>
      </c>
      <c r="AK1521">
        <v>0.53606984453643702</v>
      </c>
      <c r="AL1521">
        <v>80.705812922238707</v>
      </c>
      <c r="AM1521">
        <v>82.778293047172497</v>
      </c>
      <c r="AN1521">
        <v>1.0000000050273401</v>
      </c>
    </row>
    <row r="1522" spans="1:40" x14ac:dyDescent="0.25">
      <c r="A1522" t="str">
        <f>"20190303162241977"</f>
        <v>20190303162241977</v>
      </c>
      <c r="B1522" t="str">
        <f>"1551601361965987"</f>
        <v>1551601361965987</v>
      </c>
      <c r="C1522" t="s">
        <v>40</v>
      </c>
      <c r="D1522">
        <v>6.0096999999999996</v>
      </c>
      <c r="E1522">
        <v>0.50465009999999999</v>
      </c>
      <c r="F1522" t="s">
        <v>42</v>
      </c>
      <c r="G1522">
        <v>-191.30709999999999</v>
      </c>
      <c r="H1522">
        <v>1.022305</v>
      </c>
      <c r="I1522">
        <v>321.54000000000002</v>
      </c>
      <c r="J1522">
        <v>-191.22210000000001</v>
      </c>
      <c r="K1522">
        <v>1.120357</v>
      </c>
      <c r="L1522">
        <v>322.07190000000003</v>
      </c>
      <c r="M1522">
        <v>-3.2949590000000001E-3</v>
      </c>
      <c r="N1522">
        <v>-1.1774939999999999E-2</v>
      </c>
      <c r="O1522">
        <v>-0.99992519999999996</v>
      </c>
      <c r="P1522">
        <v>-0.12810260000000001</v>
      </c>
      <c r="Q1522">
        <v>0.148938299999999</v>
      </c>
      <c r="R1522">
        <v>-0.98051390000000005</v>
      </c>
      <c r="S1522">
        <v>-0.3327637</v>
      </c>
      <c r="T1522">
        <v>-0.379716</v>
      </c>
      <c r="U1522">
        <v>-3.0747070000000001</v>
      </c>
      <c r="V1522">
        <v>0.1249928</v>
      </c>
      <c r="W1522">
        <v>0.16038359999999999</v>
      </c>
      <c r="X1522">
        <v>0.9791088</v>
      </c>
      <c r="Y1522">
        <v>0.10358390000000001</v>
      </c>
      <c r="Z1522">
        <v>0.1101916</v>
      </c>
      <c r="AA1522">
        <v>0.98849799999999999</v>
      </c>
      <c r="AB1522">
        <v>28</v>
      </c>
      <c r="AC1522">
        <v>-8.4999999999979495E-2</v>
      </c>
      <c r="AD1522">
        <v>-9.8052E-2</v>
      </c>
      <c r="AE1522">
        <v>-0.53190000000000703</v>
      </c>
      <c r="AF1522">
        <v>8.0576826419182804E-2</v>
      </c>
      <c r="AG1522">
        <v>-9.8052E-2</v>
      </c>
      <c r="AH1522">
        <v>0.51510851560631399</v>
      </c>
      <c r="AI1522">
        <v>100.65093095814601</v>
      </c>
      <c r="AJ1522">
        <v>81.109447247407402</v>
      </c>
      <c r="AK1522">
        <v>0.53051258468572404</v>
      </c>
      <c r="AL1522">
        <v>80.770838227964603</v>
      </c>
      <c r="AM1522">
        <v>82.724984261190002</v>
      </c>
      <c r="AN1522">
        <v>1.0000000707191099</v>
      </c>
    </row>
    <row r="1523" spans="1:40" x14ac:dyDescent="0.25">
      <c r="A1523" t="str">
        <f>"20190303162242000"</f>
        <v>20190303162242000</v>
      </c>
      <c r="B1523" t="str">
        <f>"1551601361985506"</f>
        <v>1551601361985506</v>
      </c>
      <c r="C1523" t="s">
        <v>40</v>
      </c>
      <c r="D1523">
        <v>5.9432729999999996</v>
      </c>
      <c r="E1523">
        <v>0.50841400000000003</v>
      </c>
      <c r="F1523" t="s">
        <v>42</v>
      </c>
      <c r="G1523">
        <v>-191.32769999999999</v>
      </c>
      <c r="H1523">
        <v>1.0296879999999999</v>
      </c>
      <c r="I1523">
        <v>321.2867</v>
      </c>
      <c r="J1523">
        <v>-191.2236</v>
      </c>
      <c r="K1523">
        <v>1.1203110000000001</v>
      </c>
      <c r="L1523">
        <v>321.79399999999998</v>
      </c>
      <c r="M1523">
        <v>-3.7536829999999998E-3</v>
      </c>
      <c r="N1523">
        <v>-1.1776099999999999E-2</v>
      </c>
      <c r="O1523">
        <v>-0.99992380000000003</v>
      </c>
      <c r="P1523">
        <v>-0.1292384</v>
      </c>
      <c r="Q1523">
        <v>0.14739679999999999</v>
      </c>
      <c r="R1523">
        <v>-0.98059819999999998</v>
      </c>
      <c r="S1523">
        <v>-0.41075129999999999</v>
      </c>
      <c r="T1523">
        <v>-0.35345320000000002</v>
      </c>
      <c r="U1523">
        <v>-3.0596920000000001</v>
      </c>
      <c r="V1523">
        <v>0.12569369999999999</v>
      </c>
      <c r="W1523">
        <v>0.15883159999999999</v>
      </c>
      <c r="X1523">
        <v>0.97927200000000003</v>
      </c>
      <c r="Y1523">
        <v>0.12854069999999901</v>
      </c>
      <c r="Z1523">
        <v>0.1020716</v>
      </c>
      <c r="AA1523">
        <v>0.98643740000000002</v>
      </c>
      <c r="AB1523">
        <v>28</v>
      </c>
      <c r="AC1523">
        <v>-0.10409999999998799</v>
      </c>
      <c r="AD1523">
        <v>-9.0623000000000106E-2</v>
      </c>
      <c r="AE1523">
        <v>-0.50730000000004305</v>
      </c>
      <c r="AF1523">
        <v>9.9158457123295504E-2</v>
      </c>
      <c r="AG1523">
        <v>-9.0623000000000106E-2</v>
      </c>
      <c r="AH1523">
        <v>0.49260271074982098</v>
      </c>
      <c r="AI1523">
        <v>100.22340462390601</v>
      </c>
      <c r="AJ1523">
        <v>78.618741680906695</v>
      </c>
      <c r="AK1523">
        <v>0.51059020592461901</v>
      </c>
      <c r="AL1523">
        <v>80.860915532091994</v>
      </c>
      <c r="AM1523">
        <v>82.685836069161994</v>
      </c>
      <c r="AN1523">
        <v>1.00000001668112</v>
      </c>
    </row>
    <row r="1524" spans="1:40" x14ac:dyDescent="0.25">
      <c r="A1524" t="str">
        <f>"20190303162242021"</f>
        <v>20190303162242021</v>
      </c>
      <c r="B1524" t="str">
        <f>"1551601362015761"</f>
        <v>1551601362015761</v>
      </c>
      <c r="C1524" t="s">
        <v>40</v>
      </c>
      <c r="D1524">
        <v>5.7672569999999999</v>
      </c>
      <c r="E1524">
        <v>0.51035229999999998</v>
      </c>
      <c r="F1524" t="s">
        <v>42</v>
      </c>
      <c r="G1524">
        <v>-191.33410000000001</v>
      </c>
      <c r="H1524">
        <v>1.0361800000000001</v>
      </c>
      <c r="I1524">
        <v>321.03390000000002</v>
      </c>
      <c r="J1524">
        <v>-191.2251</v>
      </c>
      <c r="K1524">
        <v>1.1202700000000001</v>
      </c>
      <c r="L1524">
        <v>321.5204</v>
      </c>
      <c r="M1524">
        <v>-4.2467829999999996E-3</v>
      </c>
      <c r="N1524">
        <v>-1.177719E-2</v>
      </c>
      <c r="O1524">
        <v>-0.99992170000000002</v>
      </c>
      <c r="P1524">
        <v>-0.1309139</v>
      </c>
      <c r="Q1524">
        <v>0.14711659999999999</v>
      </c>
      <c r="R1524">
        <v>-0.98041769999999995</v>
      </c>
      <c r="S1524">
        <v>-0.44316100000000003</v>
      </c>
      <c r="T1524">
        <v>-0.33787909999999999</v>
      </c>
      <c r="U1524">
        <v>-3.051758</v>
      </c>
      <c r="V1524">
        <v>0.12689890000000001</v>
      </c>
      <c r="W1524">
        <v>0.15853970000000001</v>
      </c>
      <c r="X1524">
        <v>0.97916380000000003</v>
      </c>
      <c r="Y1524">
        <v>0.13872370000000001</v>
      </c>
      <c r="Z1524">
        <v>9.7235849999999999E-2</v>
      </c>
      <c r="AA1524">
        <v>0.98554600000000003</v>
      </c>
      <c r="AB1524">
        <v>28</v>
      </c>
      <c r="AC1524">
        <v>-0.10900000000000799</v>
      </c>
      <c r="AD1524">
        <v>-8.4090000000000206E-2</v>
      </c>
      <c r="AE1524">
        <v>-0.48649999999997801</v>
      </c>
      <c r="AF1524">
        <v>0.10397493460396</v>
      </c>
      <c r="AG1524">
        <v>-8.4090000000000206E-2</v>
      </c>
      <c r="AH1524">
        <v>0.47348873475615999</v>
      </c>
      <c r="AI1524">
        <v>99.840807100524799</v>
      </c>
      <c r="AJ1524">
        <v>77.614812016103699</v>
      </c>
      <c r="AK1524">
        <v>0.492009651396075</v>
      </c>
      <c r="AL1524">
        <v>80.877854258134604</v>
      </c>
      <c r="AM1524">
        <v>82.615668374996801</v>
      </c>
      <c r="AN1524">
        <v>0.99999995726386903</v>
      </c>
    </row>
    <row r="1525" spans="1:40" x14ac:dyDescent="0.25">
      <c r="A1525" t="str">
        <f>"20190303162242047"</f>
        <v>20190303162242047</v>
      </c>
      <c r="B1525" t="str">
        <f>"1551601362036257"</f>
        <v>1551601362036257</v>
      </c>
      <c r="C1525" t="s">
        <v>40</v>
      </c>
      <c r="D1525">
        <v>5.7472640000000004</v>
      </c>
      <c r="E1525">
        <v>0.51075769999999998</v>
      </c>
      <c r="F1525" t="s">
        <v>42</v>
      </c>
      <c r="G1525">
        <v>-191.33779999999999</v>
      </c>
      <c r="H1525">
        <v>1.04253</v>
      </c>
      <c r="I1525">
        <v>320.78050000000002</v>
      </c>
      <c r="J1525">
        <v>-191.22710000000001</v>
      </c>
      <c r="K1525">
        <v>1.1202379999999901</v>
      </c>
      <c r="L1525">
        <v>321.21820000000002</v>
      </c>
      <c r="M1525">
        <v>-4.825958E-3</v>
      </c>
      <c r="N1525">
        <v>-1.177832E-2</v>
      </c>
      <c r="O1525">
        <v>-0.99991920000000001</v>
      </c>
      <c r="P1525">
        <v>-0.13314819999999999</v>
      </c>
      <c r="Q1525">
        <v>0.14619270000000001</v>
      </c>
      <c r="R1525">
        <v>-0.98025479999999998</v>
      </c>
      <c r="S1525">
        <v>-0.46249390000000001</v>
      </c>
      <c r="T1525">
        <v>-0.32034590000000002</v>
      </c>
      <c r="U1525">
        <v>-3.0462950000000002</v>
      </c>
      <c r="V1525">
        <v>0.12857379999999999</v>
      </c>
      <c r="W1525">
        <v>0.157607</v>
      </c>
      <c r="X1525">
        <v>0.97909590000000002</v>
      </c>
      <c r="Y1525">
        <v>0.14459739999999999</v>
      </c>
      <c r="Z1525">
        <v>9.1727879999999998E-2</v>
      </c>
      <c r="AA1525">
        <v>0.98522969999999999</v>
      </c>
      <c r="AB1525">
        <v>28</v>
      </c>
      <c r="AC1525">
        <v>-0.11069999999997999</v>
      </c>
      <c r="AD1525">
        <v>-7.7707999999999805E-2</v>
      </c>
      <c r="AE1525">
        <v>-0.43770000000000597</v>
      </c>
      <c r="AF1525">
        <v>0.105461984164178</v>
      </c>
      <c r="AG1525">
        <v>-7.7707999999999805E-2</v>
      </c>
      <c r="AH1525">
        <v>0.42562038137050301</v>
      </c>
      <c r="AI1525">
        <v>100.049426697972</v>
      </c>
      <c r="AJ1525">
        <v>76.083309408424</v>
      </c>
      <c r="AK1525">
        <v>0.445324008342036</v>
      </c>
      <c r="AL1525">
        <v>80.931974722563993</v>
      </c>
      <c r="AM1525">
        <v>82.518788705329001</v>
      </c>
      <c r="AN1525">
        <v>0.99999998494612496</v>
      </c>
    </row>
    <row r="1526" spans="1:40" x14ac:dyDescent="0.25">
      <c r="A1526" t="str">
        <f>"20190303162242068"</f>
        <v>20190303162242068</v>
      </c>
      <c r="B1526" t="str">
        <f>"1551601362056284"</f>
        <v>1551601362056284</v>
      </c>
      <c r="C1526" t="s">
        <v>40</v>
      </c>
      <c r="D1526">
        <v>5.7058749999999998</v>
      </c>
      <c r="E1526">
        <v>0.51130159999999902</v>
      </c>
      <c r="F1526" t="s">
        <v>42</v>
      </c>
      <c r="G1526">
        <v>-191.37110000000001</v>
      </c>
      <c r="H1526">
        <v>1.023083</v>
      </c>
      <c r="I1526">
        <v>320.29090000000002</v>
      </c>
      <c r="J1526">
        <v>-191.22909999999999</v>
      </c>
      <c r="K1526">
        <v>1.1202190000000001</v>
      </c>
      <c r="L1526">
        <v>320.9323</v>
      </c>
      <c r="M1526">
        <v>-5.3909619999999896E-3</v>
      </c>
      <c r="N1526">
        <v>-1.177927E-2</v>
      </c>
      <c r="O1526">
        <v>-0.99991609999999997</v>
      </c>
      <c r="P1526">
        <v>-0.13643849999999999</v>
      </c>
      <c r="Q1526">
        <v>0.14530839999999901</v>
      </c>
      <c r="R1526">
        <v>-0.97993399999999997</v>
      </c>
      <c r="S1526">
        <v>-0.47198489999999999</v>
      </c>
      <c r="T1526">
        <v>-0.31915579999999999</v>
      </c>
      <c r="U1526">
        <v>-3.0439449999999999</v>
      </c>
      <c r="V1526">
        <v>0.13131489999999901</v>
      </c>
      <c r="W1526">
        <v>0.15671460000000001</v>
      </c>
      <c r="X1526">
        <v>0.9788753</v>
      </c>
      <c r="Y1526">
        <v>0.14715539999999999</v>
      </c>
      <c r="Z1526">
        <v>9.1380840000000005E-2</v>
      </c>
      <c r="AA1526">
        <v>0.98488310000000001</v>
      </c>
      <c r="AB1526">
        <v>28</v>
      </c>
      <c r="AC1526">
        <v>-0.142000000000024</v>
      </c>
      <c r="AD1526">
        <v>-9.7136000000000097E-2</v>
      </c>
      <c r="AE1526">
        <v>-0.64139999999997599</v>
      </c>
      <c r="AF1526">
        <v>0.135575761690026</v>
      </c>
      <c r="AG1526">
        <v>-9.7136000000000097E-2</v>
      </c>
      <c r="AH1526">
        <v>0.62841680615274098</v>
      </c>
      <c r="AI1526">
        <v>98.592181832843707</v>
      </c>
      <c r="AJ1526">
        <v>77.8255028478833</v>
      </c>
      <c r="AK1526">
        <v>0.65017218635453999</v>
      </c>
      <c r="AL1526">
        <v>80.983748656102705</v>
      </c>
      <c r="AM1526">
        <v>82.359457558767403</v>
      </c>
      <c r="AN1526">
        <v>0.99999996088262899</v>
      </c>
    </row>
    <row r="1527" spans="1:40" x14ac:dyDescent="0.25">
      <c r="A1527" t="str">
        <f>"20190303162242111"</f>
        <v>20190303162242111</v>
      </c>
      <c r="B1527" t="str">
        <f>"1551601362106060"</f>
        <v>1551601362106060</v>
      </c>
      <c r="C1527" t="s">
        <v>40</v>
      </c>
      <c r="D1527">
        <v>5.7327949999999896</v>
      </c>
      <c r="E1527">
        <v>0.51167119999999999</v>
      </c>
      <c r="F1527" t="s">
        <v>42</v>
      </c>
      <c r="G1527">
        <v>-191.37200000000001</v>
      </c>
      <c r="H1527">
        <v>1.027644</v>
      </c>
      <c r="I1527">
        <v>320.03890000000001</v>
      </c>
      <c r="J1527">
        <v>-191.23330000000001</v>
      </c>
      <c r="K1527">
        <v>1.12022</v>
      </c>
      <c r="L1527">
        <v>320.40089999999998</v>
      </c>
      <c r="M1527">
        <v>-6.4523230000000003E-3</v>
      </c>
      <c r="N1527">
        <v>-1.1780850000000001E-2</v>
      </c>
      <c r="O1527">
        <v>-0.99990990000000002</v>
      </c>
      <c r="P1527">
        <v>-0.1431887</v>
      </c>
      <c r="Q1527">
        <v>0.1446402</v>
      </c>
      <c r="R1527">
        <v>-0.97906919999999997</v>
      </c>
      <c r="S1527">
        <v>-0.48585509999999899</v>
      </c>
      <c r="T1527">
        <v>-0.31523659999999998</v>
      </c>
      <c r="U1527">
        <v>-3.0404969999999998</v>
      </c>
      <c r="V1527">
        <v>0.13703080000000001</v>
      </c>
      <c r="W1527">
        <v>0.15603259999999999</v>
      </c>
      <c r="X1527">
        <v>0.97820059999999998</v>
      </c>
      <c r="Y1527">
        <v>0.150674</v>
      </c>
      <c r="Z1527">
        <v>9.0175619999999998E-2</v>
      </c>
      <c r="AA1527">
        <v>0.98446210000000001</v>
      </c>
      <c r="AB1527">
        <v>28</v>
      </c>
      <c r="AC1527">
        <v>-0.13869999999999999</v>
      </c>
      <c r="AD1527">
        <v>-9.2576000000000006E-2</v>
      </c>
      <c r="AE1527">
        <v>-0.36199999999996602</v>
      </c>
      <c r="AF1527">
        <v>0.12900430767851301</v>
      </c>
      <c r="AG1527">
        <v>-9.2576000000000006E-2</v>
      </c>
      <c r="AH1527">
        <v>0.343309112743235</v>
      </c>
      <c r="AI1527">
        <v>104.16692672934001</v>
      </c>
      <c r="AJ1527">
        <v>69.405426044456604</v>
      </c>
      <c r="AK1527">
        <v>0.378250676229613</v>
      </c>
      <c r="AL1527">
        <v>81.023311550732302</v>
      </c>
      <c r="AM1527">
        <v>82.025637901867697</v>
      </c>
      <c r="AN1527">
        <v>1.0000000131258799</v>
      </c>
    </row>
    <row r="1528" spans="1:40" x14ac:dyDescent="0.25">
      <c r="A1528" t="str">
        <f>"20190303162242135"</f>
        <v>20190303162242135</v>
      </c>
      <c r="B1528" t="str">
        <f>"1551601362125581"</f>
        <v>1551601362125581</v>
      </c>
      <c r="C1528" t="s">
        <v>40</v>
      </c>
      <c r="D1528">
        <v>5.5947940000000003</v>
      </c>
      <c r="E1528">
        <v>0.51185909999999901</v>
      </c>
      <c r="F1528" t="s">
        <v>42</v>
      </c>
      <c r="G1528">
        <v>-191.37909999999999</v>
      </c>
      <c r="H1528">
        <v>1.0339719999999999</v>
      </c>
      <c r="I1528">
        <v>319.53500000000003</v>
      </c>
      <c r="J1528">
        <v>-191.23580000000001</v>
      </c>
      <c r="K1528">
        <v>1.1202270000000001</v>
      </c>
      <c r="L1528">
        <v>320.10969999999998</v>
      </c>
      <c r="M1528">
        <v>-7.0299759999999899E-3</v>
      </c>
      <c r="N1528">
        <v>-1.1782010000000001E-2</v>
      </c>
      <c r="O1528">
        <v>-0.99990579999999996</v>
      </c>
      <c r="P1528">
        <v>-0.1461401</v>
      </c>
      <c r="Q1528">
        <v>0.14574519999999999</v>
      </c>
      <c r="R1528">
        <v>-0.97846900000000003</v>
      </c>
      <c r="S1528">
        <v>-0.51034550000000001</v>
      </c>
      <c r="T1528">
        <v>-0.30234070000000002</v>
      </c>
      <c r="U1528">
        <v>-3.0341490000000002</v>
      </c>
      <c r="V1528">
        <v>0.1394213</v>
      </c>
      <c r="W1528">
        <v>0.15712989999999999</v>
      </c>
      <c r="X1528">
        <v>0.97768699999999997</v>
      </c>
      <c r="Y1528">
        <v>0.1582152</v>
      </c>
      <c r="Z1528">
        <v>8.6122039999999997E-2</v>
      </c>
      <c r="AA1528">
        <v>0.98364169999999995</v>
      </c>
      <c r="AB1528">
        <v>28</v>
      </c>
      <c r="AC1528">
        <v>-0.143299999999982</v>
      </c>
      <c r="AD1528">
        <v>-8.6255000000000095E-2</v>
      </c>
      <c r="AE1528">
        <v>-0.57469999999995003</v>
      </c>
      <c r="AF1528">
        <v>0.13636410246178701</v>
      </c>
      <c r="AG1528">
        <v>-8.6255000000000095E-2</v>
      </c>
      <c r="AH1528">
        <v>0.56373776746378901</v>
      </c>
      <c r="AI1528">
        <v>98.458832616605306</v>
      </c>
      <c r="AJ1528">
        <v>76.401768318336494</v>
      </c>
      <c r="AK1528">
        <v>0.58637476406327804</v>
      </c>
      <c r="AL1528">
        <v>80.959655462837603</v>
      </c>
      <c r="AM1528">
        <v>81.884156710615201</v>
      </c>
      <c r="AN1528">
        <v>0.99999998716834904</v>
      </c>
    </row>
    <row r="1529" spans="1:40" x14ac:dyDescent="0.25">
      <c r="A1529" t="str">
        <f>"20190303162242155"</f>
        <v>20190303162242155</v>
      </c>
      <c r="B1529" t="str">
        <f>"1551601362146077"</f>
        <v>1551601362146077</v>
      </c>
      <c r="C1529" t="s">
        <v>40</v>
      </c>
      <c r="D1529">
        <v>5.6940980000000003</v>
      </c>
      <c r="E1529">
        <v>0.51194549999999905</v>
      </c>
      <c r="F1529" t="s">
        <v>42</v>
      </c>
      <c r="G1529">
        <v>-191.3785</v>
      </c>
      <c r="H1529">
        <v>1.0402359999999999</v>
      </c>
      <c r="I1529">
        <v>319.28019999999998</v>
      </c>
      <c r="J1529">
        <v>-191.23830000000001</v>
      </c>
      <c r="K1529">
        <v>1.1202319999999999</v>
      </c>
      <c r="L1529">
        <v>319.8467</v>
      </c>
      <c r="M1529">
        <v>-7.548084E-3</v>
      </c>
      <c r="N1529">
        <v>-1.178306E-2</v>
      </c>
      <c r="O1529">
        <v>-0.99990199999999996</v>
      </c>
      <c r="P1529">
        <v>-0.14882719999999999</v>
      </c>
      <c r="Q1529">
        <v>0.1464338</v>
      </c>
      <c r="R1529">
        <v>-0.97796110000000003</v>
      </c>
      <c r="S1529">
        <v>-0.52105709999999905</v>
      </c>
      <c r="T1529">
        <v>-0.29246070000000002</v>
      </c>
      <c r="U1529">
        <v>-3.0317690000000002</v>
      </c>
      <c r="V1529">
        <v>0.14160519999999999</v>
      </c>
      <c r="W1529">
        <v>0.1578127</v>
      </c>
      <c r="X1529">
        <v>0.97726310000000005</v>
      </c>
      <c r="Y1529">
        <v>0.16125320000000001</v>
      </c>
      <c r="Z1529">
        <v>8.2971359999999994E-2</v>
      </c>
      <c r="AA1529">
        <v>0.98341909999999999</v>
      </c>
      <c r="AB1529">
        <v>28</v>
      </c>
      <c r="AC1529">
        <v>-0.140199999999993</v>
      </c>
      <c r="AD1529">
        <v>-7.9995999999999706E-2</v>
      </c>
      <c r="AE1529">
        <v>-0.56650000000001899</v>
      </c>
      <c r="AF1529">
        <v>0.133412931271194</v>
      </c>
      <c r="AG1529">
        <v>-7.9995999999999706E-2</v>
      </c>
      <c r="AH1529">
        <v>0.55707491060127401</v>
      </c>
      <c r="AI1529">
        <v>97.950002720621498</v>
      </c>
      <c r="AJ1529">
        <v>76.531990654680101</v>
      </c>
      <c r="AK1529">
        <v>0.578386398757604</v>
      </c>
      <c r="AL1529">
        <v>80.920039974234598</v>
      </c>
      <c r="AM1529">
        <v>81.755237261229297</v>
      </c>
      <c r="AN1529">
        <v>1.00000002378496</v>
      </c>
    </row>
    <row r="1530" spans="1:40" x14ac:dyDescent="0.25">
      <c r="A1530" t="str">
        <f>"20190303162242179"</f>
        <v>20190303162242179</v>
      </c>
      <c r="B1530" t="str">
        <f>"1551601362165596"</f>
        <v>1551601362165596</v>
      </c>
      <c r="C1530" t="s">
        <v>40</v>
      </c>
      <c r="D1530">
        <v>5.466907</v>
      </c>
      <c r="E1530">
        <v>0.51194659999999903</v>
      </c>
      <c r="F1530" t="s">
        <v>41</v>
      </c>
      <c r="G1530">
        <v>-193.3203</v>
      </c>
      <c r="H1530" s="1">
        <v>-4.3139740000000002E-6</v>
      </c>
      <c r="I1530">
        <v>307.93290000000002</v>
      </c>
      <c r="J1530">
        <v>-191.24119999999999</v>
      </c>
      <c r="K1530">
        <v>1.1202299999999901</v>
      </c>
      <c r="L1530">
        <v>319.54989999999998</v>
      </c>
      <c r="M1530">
        <v>-8.130623E-3</v>
      </c>
      <c r="N1530">
        <v>-1.178424E-2</v>
      </c>
      <c r="O1530">
        <v>-0.99989749999999999</v>
      </c>
      <c r="P1530">
        <v>-0.15145649999999999</v>
      </c>
      <c r="Q1530">
        <v>0.14657770000000001</v>
      </c>
      <c r="R1530">
        <v>-0.97753570000000001</v>
      </c>
      <c r="S1530">
        <v>-0.52944950000000002</v>
      </c>
      <c r="T1530">
        <v>-0.28487869999999998</v>
      </c>
      <c r="U1530">
        <v>-3.0296940000000001</v>
      </c>
      <c r="V1530">
        <v>0.14366799999999999</v>
      </c>
      <c r="W1530">
        <v>0.15795120000000001</v>
      </c>
      <c r="X1530">
        <v>0.97693960000000002</v>
      </c>
      <c r="Y1530">
        <v>0.16347</v>
      </c>
      <c r="Z1530">
        <v>8.0557470000000006E-2</v>
      </c>
      <c r="AA1530">
        <v>0.98325379999999996</v>
      </c>
      <c r="AB1530">
        <v>28</v>
      </c>
      <c r="AC1530">
        <v>-2.0791000000000102</v>
      </c>
      <c r="AD1530">
        <v>-1.1202343139740001</v>
      </c>
      <c r="AE1530">
        <v>-11.6169999999999</v>
      </c>
      <c r="AF1530">
        <v>1.9668494384328401</v>
      </c>
      <c r="AG1530">
        <v>-1.1202343139740001</v>
      </c>
      <c r="AH1530">
        <v>11.529636502174601</v>
      </c>
      <c r="AI1530">
        <v>95.470967239881006</v>
      </c>
      <c r="AJ1530">
        <v>80.319060648576695</v>
      </c>
      <c r="AK1530">
        <v>11.749720826638599</v>
      </c>
      <c r="AL1530">
        <v>80.912003765311596</v>
      </c>
      <c r="AM1530">
        <v>81.634090237901006</v>
      </c>
      <c r="AN1530">
        <v>1.0000000289267901</v>
      </c>
    </row>
    <row r="1531" spans="1:40" x14ac:dyDescent="0.25">
      <c r="A1531" t="str">
        <f>"20190303162242201"</f>
        <v>20190303162242201</v>
      </c>
      <c r="B1531" t="str">
        <f>"1551601362195852"</f>
        <v>1551601362195852</v>
      </c>
      <c r="C1531" t="s">
        <v>40</v>
      </c>
      <c r="D1531">
        <v>5.4495979999999999</v>
      </c>
      <c r="E1531">
        <v>0.51187360000000004</v>
      </c>
      <c r="F1531" t="s">
        <v>41</v>
      </c>
      <c r="G1531">
        <v>-193.37360000000001</v>
      </c>
      <c r="H1531" s="1">
        <v>-4.1821220000000003E-6</v>
      </c>
      <c r="I1531">
        <v>307.51769999999999</v>
      </c>
      <c r="J1531">
        <v>-191.244</v>
      </c>
      <c r="K1531">
        <v>1.120225</v>
      </c>
      <c r="L1531">
        <v>319.2801</v>
      </c>
      <c r="M1531">
        <v>-8.6645330000000003E-3</v>
      </c>
      <c r="N1531">
        <v>-1.178531E-2</v>
      </c>
      <c r="O1531">
        <v>-0.99989320000000004</v>
      </c>
      <c r="P1531">
        <v>-0.1528793</v>
      </c>
      <c r="Q1531">
        <v>0.14687610000000001</v>
      </c>
      <c r="R1531">
        <v>-0.97726959999999996</v>
      </c>
      <c r="S1531">
        <v>-0.53666689999999995</v>
      </c>
      <c r="T1531">
        <v>-0.28192499999999998</v>
      </c>
      <c r="U1531">
        <v>-3.0281069999999999</v>
      </c>
      <c r="V1531">
        <v>0.14457200000000001</v>
      </c>
      <c r="W1531">
        <v>0.15824639999999901</v>
      </c>
      <c r="X1531">
        <v>0.97675840000000003</v>
      </c>
      <c r="Y1531">
        <v>0.1653164</v>
      </c>
      <c r="Z1531">
        <v>7.9620759999999999E-2</v>
      </c>
      <c r="AA1531">
        <v>0.98302140000000005</v>
      </c>
      <c r="AB1531">
        <v>28</v>
      </c>
      <c r="AC1531">
        <v>-2.12959999999998</v>
      </c>
      <c r="AD1531">
        <v>-1.1202291821220001</v>
      </c>
      <c r="AE1531">
        <v>-11.7624</v>
      </c>
      <c r="AF1531">
        <v>2.0099451041161802</v>
      </c>
      <c r="AG1531">
        <v>-1.1202291821220001</v>
      </c>
      <c r="AH1531">
        <v>11.6778518711118</v>
      </c>
      <c r="AI1531">
        <v>95.400555201339401</v>
      </c>
      <c r="AJ1531">
        <v>80.234163752946003</v>
      </c>
      <c r="AK1531">
        <v>11.9023954339313</v>
      </c>
      <c r="AL1531">
        <v>80.894874166294301</v>
      </c>
      <c r="AM1531">
        <v>81.580662262100702</v>
      </c>
      <c r="AN1531">
        <v>0.99999997913375904</v>
      </c>
    </row>
    <row r="1532" spans="1:40" x14ac:dyDescent="0.25">
      <c r="A1532" t="str">
        <f>"20190303162242224"</f>
        <v>20190303162242224</v>
      </c>
      <c r="B1532" t="str">
        <f>"1551601362216348"</f>
        <v>1551601362216348</v>
      </c>
      <c r="C1532" t="s">
        <v>40</v>
      </c>
      <c r="D1532">
        <v>5.6912000000000003</v>
      </c>
      <c r="E1532">
        <v>0.48232900000000001</v>
      </c>
      <c r="F1532" t="s">
        <v>41</v>
      </c>
      <c r="G1532">
        <v>-193.4417</v>
      </c>
      <c r="H1532" s="1">
        <v>-4.007379E-6</v>
      </c>
      <c r="I1532">
        <v>306.96870000000001</v>
      </c>
      <c r="J1532">
        <v>-191.24709999999999</v>
      </c>
      <c r="K1532">
        <v>1.1202190000000001</v>
      </c>
      <c r="L1532">
        <v>318.99869999999999</v>
      </c>
      <c r="M1532">
        <v>-9.2364070000000003E-3</v>
      </c>
      <c r="N1532">
        <v>-1.178645E-2</v>
      </c>
      <c r="O1532">
        <v>-0.9998882</v>
      </c>
      <c r="P1532">
        <v>-0.154004799999999</v>
      </c>
      <c r="Q1532">
        <v>0.14755550000000001</v>
      </c>
      <c r="R1532">
        <v>-0.9769909</v>
      </c>
      <c r="S1532">
        <v>-0.54029850000000001</v>
      </c>
      <c r="T1532">
        <v>-0.2754008</v>
      </c>
      <c r="U1532">
        <v>-3.026672</v>
      </c>
      <c r="V1532">
        <v>0.14514460000000001</v>
      </c>
      <c r="W1532">
        <v>0.1589206</v>
      </c>
      <c r="X1532">
        <v>0.97656399999999999</v>
      </c>
      <c r="Y1532">
        <v>0.16600599999999999</v>
      </c>
      <c r="Z1532">
        <v>7.7547569999999996E-2</v>
      </c>
      <c r="AA1532">
        <v>0.98307089999999997</v>
      </c>
      <c r="AB1532">
        <v>28</v>
      </c>
      <c r="AC1532">
        <v>-2.1945999999999999</v>
      </c>
      <c r="AD1532">
        <v>-1.120223007379</v>
      </c>
      <c r="AE1532">
        <v>-12.0299999999999</v>
      </c>
      <c r="AF1532">
        <v>2.0660466758577498</v>
      </c>
      <c r="AG1532">
        <v>-1.120223007379</v>
      </c>
      <c r="AH1532">
        <v>11.9494796636996</v>
      </c>
      <c r="AI1532">
        <v>95.277777845922401</v>
      </c>
      <c r="AJ1532">
        <v>80.190627241135402</v>
      </c>
      <c r="AK1532">
        <v>12.178403536024501</v>
      </c>
      <c r="AL1532">
        <v>80.855750258619594</v>
      </c>
      <c r="AM1532">
        <v>81.546138681073401</v>
      </c>
      <c r="AN1532">
        <v>0.99999997905475901</v>
      </c>
    </row>
    <row r="1533" spans="1:40" x14ac:dyDescent="0.25">
      <c r="A1533" t="str">
        <f>"20190303162242271"</f>
        <v>20190303162242271</v>
      </c>
      <c r="B1533" t="str">
        <f>"1551601362256364"</f>
        <v>1551601362256364</v>
      </c>
      <c r="C1533" t="s">
        <v>40</v>
      </c>
      <c r="D1533">
        <v>5.5037390000000004</v>
      </c>
      <c r="E1533">
        <v>0.47976429999999998</v>
      </c>
      <c r="F1533" t="s">
        <v>41</v>
      </c>
      <c r="G1533">
        <v>-193.22540000000001</v>
      </c>
      <c r="H1533" s="1">
        <v>-8.9689259999999999E-7</v>
      </c>
      <c r="I1533">
        <v>299.67930000000001</v>
      </c>
      <c r="J1533">
        <v>-191.25399999999999</v>
      </c>
      <c r="K1533">
        <v>1.1201700000000001</v>
      </c>
      <c r="L1533">
        <v>318.42140000000001</v>
      </c>
      <c r="M1533">
        <v>-1.0491449999999999E-2</v>
      </c>
      <c r="N1533">
        <v>-1.1788969999999999E-2</v>
      </c>
      <c r="O1533">
        <v>-0.99987539999999997</v>
      </c>
      <c r="P1533">
        <v>-0.15481700000000001</v>
      </c>
      <c r="Q1533">
        <v>0.14664170000000001</v>
      </c>
      <c r="R1533">
        <v>-0.97699950000000002</v>
      </c>
      <c r="S1533">
        <v>-0.31213380000000002</v>
      </c>
      <c r="T1533">
        <v>-0.17674570000000001</v>
      </c>
      <c r="U1533">
        <v>-3.0481569999999998</v>
      </c>
      <c r="V1533">
        <v>0.1447425</v>
      </c>
      <c r="W1533">
        <v>0.15799869999999999</v>
      </c>
      <c r="X1533">
        <v>0.97677329999999996</v>
      </c>
      <c r="Y1533">
        <v>9.1280539999999993E-2</v>
      </c>
      <c r="Z1533">
        <v>4.5844509999999998E-2</v>
      </c>
      <c r="AA1533">
        <v>0.99476940000000003</v>
      </c>
      <c r="AB1533">
        <v>28</v>
      </c>
      <c r="AC1533">
        <v>-1.9713999999999801</v>
      </c>
      <c r="AD1533">
        <v>-1.1201708968926001</v>
      </c>
      <c r="AE1533">
        <v>-18.742099999999901</v>
      </c>
      <c r="AF1533">
        <v>1.76839811066891</v>
      </c>
      <c r="AG1533">
        <v>-1.1201708968926001</v>
      </c>
      <c r="AH1533">
        <v>18.695699242922</v>
      </c>
      <c r="AI1533">
        <v>93.413632287880006</v>
      </c>
      <c r="AJ1533">
        <v>84.596554850470696</v>
      </c>
      <c r="AK1533">
        <v>18.8125273394581</v>
      </c>
      <c r="AL1533">
        <v>80.909247617418501</v>
      </c>
      <c r="AM1533">
        <v>81.5710022730986</v>
      </c>
      <c r="AN1533">
        <v>1.0000000300504099</v>
      </c>
    </row>
    <row r="1534" spans="1:40" x14ac:dyDescent="0.25">
      <c r="A1534" t="str">
        <f>"20190303162242292"</f>
        <v>20190303162242292</v>
      </c>
      <c r="B1534" t="str">
        <f>"1551601362285645"</f>
        <v>1551601362285645</v>
      </c>
      <c r="C1534" t="s">
        <v>40</v>
      </c>
      <c r="D1534">
        <v>5.4379600000000003</v>
      </c>
      <c r="E1534">
        <v>0.47993710000000001</v>
      </c>
      <c r="F1534" t="s">
        <v>46</v>
      </c>
      <c r="G1534">
        <v>-193.16319999999999</v>
      </c>
      <c r="H1534" s="1">
        <v>1.819227E-7</v>
      </c>
      <c r="I1534">
        <v>298.58330000000001</v>
      </c>
      <c r="J1534">
        <v>-191.25749999999999</v>
      </c>
      <c r="K1534">
        <v>1.1201460000000001</v>
      </c>
      <c r="L1534">
        <v>318.14960000000002</v>
      </c>
      <c r="M1534">
        <v>-1.1121010000000001E-2</v>
      </c>
      <c r="N1534">
        <v>-1.1790109999999999E-2</v>
      </c>
      <c r="O1534">
        <v>-0.9998686</v>
      </c>
      <c r="P1534">
        <v>-0.1552164</v>
      </c>
      <c r="Q1534">
        <v>0.14616179999999901</v>
      </c>
      <c r="R1534">
        <v>-0.97700790000000004</v>
      </c>
      <c r="S1534">
        <v>-0.2935333</v>
      </c>
      <c r="T1534">
        <v>-0.1722196</v>
      </c>
      <c r="U1534">
        <v>-3.0499879999999999</v>
      </c>
      <c r="V1534">
        <v>0.144533299999999</v>
      </c>
      <c r="W1534">
        <v>0.15751370000000001</v>
      </c>
      <c r="X1534">
        <v>0.97688260000000005</v>
      </c>
      <c r="Y1534">
        <v>8.4593440000000006E-2</v>
      </c>
      <c r="Z1534">
        <v>4.4371300000000002E-2</v>
      </c>
      <c r="AA1534">
        <v>0.99542710000000001</v>
      </c>
      <c r="AB1534">
        <v>28</v>
      </c>
      <c r="AC1534">
        <v>-1.90569999999999</v>
      </c>
      <c r="AD1534">
        <v>-1.1201458180772901</v>
      </c>
      <c r="AE1534">
        <v>-19.566299999999998</v>
      </c>
      <c r="AF1534">
        <v>1.6825075195121999</v>
      </c>
      <c r="AG1534">
        <v>-1.1201458180772901</v>
      </c>
      <c r="AH1534">
        <v>19.522901205747601</v>
      </c>
      <c r="AI1534">
        <v>93.271701071818995</v>
      </c>
      <c r="AJ1534">
        <v>85.074350140742098</v>
      </c>
      <c r="AK1534">
        <v>19.6272573146722</v>
      </c>
      <c r="AL1534">
        <v>80.937388422041707</v>
      </c>
      <c r="AM1534">
        <v>81.583938533207998</v>
      </c>
      <c r="AN1534">
        <v>1.0000000273396601</v>
      </c>
    </row>
    <row r="1535" spans="1:40" x14ac:dyDescent="0.25">
      <c r="A1535" t="str">
        <f>"20190303162242311"</f>
        <v>20190303162242311</v>
      </c>
      <c r="B1535" t="str">
        <f>"1551601362307117"</f>
        <v>1551601362307117</v>
      </c>
      <c r="C1535" t="s">
        <v>40</v>
      </c>
      <c r="D1535">
        <v>5.4401190000000001</v>
      </c>
      <c r="E1535">
        <v>0.48016059999999999</v>
      </c>
      <c r="F1535" t="s">
        <v>46</v>
      </c>
      <c r="G1535">
        <v>-193.16470000000001</v>
      </c>
      <c r="H1535" s="1">
        <v>1.9223350000000001E-7</v>
      </c>
      <c r="I1535">
        <v>298.52480000000003</v>
      </c>
      <c r="J1535">
        <v>-191.261</v>
      </c>
      <c r="K1535">
        <v>1.120134</v>
      </c>
      <c r="L1535">
        <v>317.89830000000001</v>
      </c>
      <c r="M1535">
        <v>-1.1730569999999999E-2</v>
      </c>
      <c r="N1535">
        <v>-1.1791080000000001E-2</v>
      </c>
      <c r="O1535">
        <v>-0.99986200000000003</v>
      </c>
      <c r="P1535">
        <v>-0.15496869999999999</v>
      </c>
      <c r="Q1535">
        <v>0.1468845</v>
      </c>
      <c r="R1535">
        <v>-0.97693909999999995</v>
      </c>
      <c r="S1535">
        <v>-0.29637150000000001</v>
      </c>
      <c r="T1535">
        <v>-0.17406340000000001</v>
      </c>
      <c r="U1535">
        <v>-3.0495610000000002</v>
      </c>
      <c r="V1535">
        <v>0.14369870000000001</v>
      </c>
      <c r="W1535">
        <v>0.15823129999999999</v>
      </c>
      <c r="X1535">
        <v>0.97688969999999997</v>
      </c>
      <c r="Y1535">
        <v>8.4914100000000006E-2</v>
      </c>
      <c r="Z1535">
        <v>4.4974220000000002E-2</v>
      </c>
      <c r="AA1535">
        <v>0.99537279999999995</v>
      </c>
      <c r="AB1535">
        <v>28</v>
      </c>
      <c r="AC1535">
        <v>-1.9037000000000099</v>
      </c>
      <c r="AD1535">
        <v>-1.1201338077665</v>
      </c>
      <c r="AE1535">
        <v>-19.3734999999999</v>
      </c>
      <c r="AF1535">
        <v>1.6707593019101601</v>
      </c>
      <c r="AG1535">
        <v>-1.1201338077665</v>
      </c>
      <c r="AH1535">
        <v>19.3304978644979</v>
      </c>
      <c r="AI1535">
        <v>93.304087714438694</v>
      </c>
      <c r="AJ1535">
        <v>85.060130004026107</v>
      </c>
      <c r="AK1535">
        <v>19.434872885655299</v>
      </c>
      <c r="AL1535">
        <v>80.895750318672896</v>
      </c>
      <c r="AM1535">
        <v>81.6319064867251</v>
      </c>
      <c r="AN1535">
        <v>0.99999997332373403</v>
      </c>
    </row>
    <row r="1536" spans="1:40" x14ac:dyDescent="0.25">
      <c r="A1536" t="str">
        <f>"20190303162242334"</f>
        <v>20190303162242334</v>
      </c>
      <c r="B1536" t="str">
        <f>"1551601362325661"</f>
        <v>1551601362325661</v>
      </c>
      <c r="C1536" t="s">
        <v>40</v>
      </c>
      <c r="D1536">
        <v>5.3783969999999997</v>
      </c>
      <c r="E1536">
        <v>0.48027720000000002</v>
      </c>
      <c r="F1536" t="s">
        <v>46</v>
      </c>
      <c r="G1536">
        <v>-193.19409999999999</v>
      </c>
      <c r="H1536" s="1">
        <v>2.6768189999999998E-7</v>
      </c>
      <c r="I1536">
        <v>298.09640000000002</v>
      </c>
      <c r="J1536">
        <v>-191.26519999999999</v>
      </c>
      <c r="K1536">
        <v>1.1201110000000001</v>
      </c>
      <c r="L1536">
        <v>317.61099999999999</v>
      </c>
      <c r="M1536">
        <v>-1.247318E-2</v>
      </c>
      <c r="N1536">
        <v>-1.17923E-2</v>
      </c>
      <c r="O1536">
        <v>-0.99985299999999999</v>
      </c>
      <c r="P1536">
        <v>-0.154584</v>
      </c>
      <c r="Q1536">
        <v>0.1476691</v>
      </c>
      <c r="R1536">
        <v>-0.97688220000000003</v>
      </c>
      <c r="S1536">
        <v>-0.29771419999999998</v>
      </c>
      <c r="T1536">
        <v>-0.17250450000000001</v>
      </c>
      <c r="U1536">
        <v>-3.0495610000000002</v>
      </c>
      <c r="V1536">
        <v>0.14260010000000001</v>
      </c>
      <c r="W1536">
        <v>0.1590086</v>
      </c>
      <c r="X1536">
        <v>0.97692449999999997</v>
      </c>
      <c r="Y1536">
        <v>8.46108E-2</v>
      </c>
      <c r="Z1536">
        <v>4.4465350000000001E-2</v>
      </c>
      <c r="AA1536">
        <v>0.99542149999999996</v>
      </c>
      <c r="AB1536">
        <v>28</v>
      </c>
      <c r="AC1536">
        <v>-1.9288999999999901</v>
      </c>
      <c r="AD1536">
        <v>-1.1201107323181001</v>
      </c>
      <c r="AE1536">
        <v>-19.514599999999898</v>
      </c>
      <c r="AF1536">
        <v>1.67984309889104</v>
      </c>
      <c r="AG1536">
        <v>-1.1201107323181001</v>
      </c>
      <c r="AH1536">
        <v>19.473605904508901</v>
      </c>
      <c r="AI1536">
        <v>93.279839671211704</v>
      </c>
      <c r="AJ1536">
        <v>85.069724310162101</v>
      </c>
      <c r="AK1536">
        <v>19.577993968067101</v>
      </c>
      <c r="AL1536">
        <v>80.850643494104403</v>
      </c>
      <c r="AM1536">
        <v>81.695277937062997</v>
      </c>
      <c r="AN1536">
        <v>1.00000000104711</v>
      </c>
    </row>
    <row r="1537" spans="1:40" x14ac:dyDescent="0.25">
      <c r="A1537" t="str">
        <f>"20190303162242355"</f>
        <v>20190303162242355</v>
      </c>
      <c r="B1537" t="str">
        <f>"1551601362346156"</f>
        <v>1551601362346156</v>
      </c>
      <c r="C1537" t="s">
        <v>40</v>
      </c>
      <c r="D1537">
        <v>5.3186910000000003</v>
      </c>
      <c r="E1537">
        <v>0.48019390000000001</v>
      </c>
      <c r="F1537" t="s">
        <v>46</v>
      </c>
      <c r="G1537">
        <v>-193.2132</v>
      </c>
      <c r="H1537" s="1">
        <v>4.0580269999999999E-7</v>
      </c>
      <c r="I1537">
        <v>297.65159999999997</v>
      </c>
      <c r="J1537">
        <v>-191.26920000000001</v>
      </c>
      <c r="K1537">
        <v>1.120077</v>
      </c>
      <c r="L1537">
        <v>317.34750000000003</v>
      </c>
      <c r="M1537">
        <v>-1.3199789999999999E-2</v>
      </c>
      <c r="N1537">
        <v>-1.179357E-2</v>
      </c>
      <c r="O1537">
        <v>-0.9998435</v>
      </c>
      <c r="P1537">
        <v>-0.15345699999999901</v>
      </c>
      <c r="Q1537">
        <v>0.14851889999999901</v>
      </c>
      <c r="R1537">
        <v>-0.97693059999999998</v>
      </c>
      <c r="S1537">
        <v>-0.29765320000000001</v>
      </c>
      <c r="T1537">
        <v>-0.17115139999999901</v>
      </c>
      <c r="U1537">
        <v>-3.0497740000000002</v>
      </c>
      <c r="V1537">
        <v>0.14077490000000001</v>
      </c>
      <c r="W1537">
        <v>0.1598531</v>
      </c>
      <c r="X1537">
        <v>0.97705140000000001</v>
      </c>
      <c r="Y1537">
        <v>8.3862649999999997E-2</v>
      </c>
      <c r="Z1537">
        <v>4.4021669999999999E-2</v>
      </c>
      <c r="AA1537">
        <v>0.99550450000000001</v>
      </c>
      <c r="AB1537">
        <v>28</v>
      </c>
      <c r="AC1537">
        <v>-1.94399999999998</v>
      </c>
      <c r="AD1537">
        <v>-1.1200765941973001</v>
      </c>
      <c r="AE1537">
        <v>-19.695900000000002</v>
      </c>
      <c r="AF1537">
        <v>1.67845503193303</v>
      </c>
      <c r="AG1537">
        <v>-1.1200765941973001</v>
      </c>
      <c r="AH1537">
        <v>19.6568884011451</v>
      </c>
      <c r="AI1537">
        <v>93.249466878764295</v>
      </c>
      <c r="AJ1537">
        <v>85.1194877901345</v>
      </c>
      <c r="AK1537">
        <v>19.7601883717277</v>
      </c>
      <c r="AL1537">
        <v>80.801630386593004</v>
      </c>
      <c r="AM1537">
        <v>81.801169516257403</v>
      </c>
      <c r="AN1537">
        <v>1.0000000121457899</v>
      </c>
    </row>
    <row r="1538" spans="1:40" x14ac:dyDescent="0.25">
      <c r="A1538" t="str">
        <f>"20190303162242378"</f>
        <v>20190303162242378</v>
      </c>
      <c r="B1538" t="str">
        <f>"1551601362365677"</f>
        <v>1551601362365677</v>
      </c>
      <c r="C1538" t="s">
        <v>40</v>
      </c>
      <c r="D1538">
        <v>5.319566</v>
      </c>
      <c r="E1538">
        <v>0.48035929999999999</v>
      </c>
      <c r="F1538" t="s">
        <v>46</v>
      </c>
      <c r="G1538">
        <v>-193.23500000000001</v>
      </c>
      <c r="H1538" s="1">
        <v>6.4768159999999896E-7</v>
      </c>
      <c r="I1538">
        <v>296.96190000000001</v>
      </c>
      <c r="J1538">
        <v>-191.27379999999999</v>
      </c>
      <c r="K1538">
        <v>1.120044</v>
      </c>
      <c r="L1538">
        <v>317.06560000000002</v>
      </c>
      <c r="M1538">
        <v>-1.402435E-2</v>
      </c>
      <c r="N1538">
        <v>-1.1795119999999999E-2</v>
      </c>
      <c r="O1538">
        <v>-0.99983219999999995</v>
      </c>
      <c r="P1538">
        <v>-0.15242700000000001</v>
      </c>
      <c r="Q1538">
        <v>0.14945929999999999</v>
      </c>
      <c r="R1538">
        <v>-0.9769487</v>
      </c>
      <c r="S1538">
        <v>-0.29411320000000002</v>
      </c>
      <c r="T1538">
        <v>-0.16758480000000001</v>
      </c>
      <c r="U1538">
        <v>-3.0500790000000002</v>
      </c>
      <c r="V1538">
        <v>0.13895379999999999</v>
      </c>
      <c r="W1538">
        <v>0.1607855</v>
      </c>
      <c r="X1538">
        <v>0.97715909999999995</v>
      </c>
      <c r="Y1538">
        <v>8.1892590000000001E-2</v>
      </c>
      <c r="Z1538">
        <v>4.286185E-2</v>
      </c>
      <c r="AA1538">
        <v>0.99571909999999997</v>
      </c>
      <c r="AB1538">
        <v>28</v>
      </c>
      <c r="AC1538">
        <v>-1.96120000000002</v>
      </c>
      <c r="AD1538">
        <v>-1.1200433523183999</v>
      </c>
      <c r="AE1538">
        <v>-20.1037</v>
      </c>
      <c r="AF1538">
        <v>1.6738994356711601</v>
      </c>
      <c r="AG1538">
        <v>-1.1200433523183999</v>
      </c>
      <c r="AH1538">
        <v>20.067527251079099</v>
      </c>
      <c r="AI1538">
        <v>93.183542997424397</v>
      </c>
      <c r="AJ1538">
        <v>85.231806016604295</v>
      </c>
      <c r="AK1538">
        <v>20.1683436703319</v>
      </c>
      <c r="AL1538">
        <v>80.747507818824602</v>
      </c>
      <c r="AM1538">
        <v>81.906697447013897</v>
      </c>
      <c r="AN1538">
        <v>1.0000000211287401</v>
      </c>
    </row>
    <row r="1539" spans="1:40" x14ac:dyDescent="0.25">
      <c r="A1539" t="str">
        <f>"20190303162242400"</f>
        <v>20190303162242400</v>
      </c>
      <c r="B1539" t="str">
        <f>"1551601362386173"</f>
        <v>1551601362386173</v>
      </c>
      <c r="C1539" t="s">
        <v>40</v>
      </c>
      <c r="D1539">
        <v>5.3257279999999998</v>
      </c>
      <c r="E1539">
        <v>0.480489</v>
      </c>
      <c r="F1539" t="s">
        <v>46</v>
      </c>
      <c r="G1539">
        <v>-193.26179999999999</v>
      </c>
      <c r="H1539" s="1">
        <v>8.7158890000000002E-7</v>
      </c>
      <c r="I1539">
        <v>296.32170000000002</v>
      </c>
      <c r="J1539">
        <v>-191.27869999999999</v>
      </c>
      <c r="K1539">
        <v>1.1200049999999999</v>
      </c>
      <c r="L1539">
        <v>316.78429999999997</v>
      </c>
      <c r="M1539">
        <v>-1.4896950000000001E-2</v>
      </c>
      <c r="N1539">
        <v>-1.1796569999999999E-2</v>
      </c>
      <c r="O1539">
        <v>-0.99981949999999997</v>
      </c>
      <c r="P1539">
        <v>-0.15194059999999901</v>
      </c>
      <c r="Q1539">
        <v>0.15009129999999901</v>
      </c>
      <c r="R1539">
        <v>-0.9769272</v>
      </c>
      <c r="S1539">
        <v>-0.29232789999999997</v>
      </c>
      <c r="T1539">
        <v>-0.16470090000000001</v>
      </c>
      <c r="U1539">
        <v>-3.050354</v>
      </c>
      <c r="V1539">
        <v>0.13763010000000001</v>
      </c>
      <c r="W1539">
        <v>0.16140860000000001</v>
      </c>
      <c r="X1539">
        <v>0.97724370000000005</v>
      </c>
      <c r="Y1539">
        <v>8.0441490000000004E-2</v>
      </c>
      <c r="Z1539">
        <v>4.1921710000000001E-2</v>
      </c>
      <c r="AA1539">
        <v>0.99587740000000002</v>
      </c>
      <c r="AB1539">
        <v>28</v>
      </c>
      <c r="AC1539">
        <v>-1.9831000000000001</v>
      </c>
      <c r="AD1539">
        <v>-1.1200041284111</v>
      </c>
      <c r="AE1539">
        <v>-20.462599999999899</v>
      </c>
      <c r="AF1539">
        <v>1.67306280970224</v>
      </c>
      <c r="AG1539">
        <v>-1.1200041284111</v>
      </c>
      <c r="AH1539">
        <v>20.4292401173775</v>
      </c>
      <c r="AI1539">
        <v>93.127568816201105</v>
      </c>
      <c r="AJ1539">
        <v>85.318181689273402</v>
      </c>
      <c r="AK1539">
        <v>20.5282098631696</v>
      </c>
      <c r="AL1539">
        <v>80.711334282880998</v>
      </c>
      <c r="AM1539">
        <v>81.983473644461498</v>
      </c>
      <c r="AN1539">
        <v>1.00000001488483</v>
      </c>
    </row>
    <row r="1540" spans="1:40" x14ac:dyDescent="0.25">
      <c r="A1540" t="str">
        <f>"20190303162242424"</f>
        <v>20190303162242424</v>
      </c>
      <c r="B1540" t="str">
        <f>"1551601362416428"</f>
        <v>1551601362416428</v>
      </c>
      <c r="C1540" t="s">
        <v>40</v>
      </c>
      <c r="D1540">
        <v>5.3299709999999996</v>
      </c>
      <c r="E1540">
        <v>0.480908</v>
      </c>
      <c r="F1540" t="s">
        <v>46</v>
      </c>
      <c r="G1540">
        <v>-193.2835</v>
      </c>
      <c r="H1540" s="1">
        <v>1.04155E-6</v>
      </c>
      <c r="I1540">
        <v>295.83550000000002</v>
      </c>
      <c r="J1540">
        <v>-191.2842</v>
      </c>
      <c r="K1540">
        <v>1.1199589999999999</v>
      </c>
      <c r="L1540">
        <v>316.48970000000003</v>
      </c>
      <c r="M1540">
        <v>-1.5871159999999999E-2</v>
      </c>
      <c r="N1540">
        <v>-1.1798029999999999E-2</v>
      </c>
      <c r="O1540">
        <v>-0.99980460000000004</v>
      </c>
      <c r="P1540">
        <v>-0.15188409999999999</v>
      </c>
      <c r="Q1540">
        <v>0.15035299999999999</v>
      </c>
      <c r="R1540">
        <v>-0.97689590000000004</v>
      </c>
      <c r="S1540">
        <v>-0.2919312</v>
      </c>
      <c r="T1540">
        <v>-0.16309189999999901</v>
      </c>
      <c r="U1540">
        <v>-3.0505070000000001</v>
      </c>
      <c r="V1540">
        <v>0.13663729999999999</v>
      </c>
      <c r="W1540">
        <v>0.16166040000000001</v>
      </c>
      <c r="X1540">
        <v>0.97734140000000003</v>
      </c>
      <c r="Y1540">
        <v>7.933991E-2</v>
      </c>
      <c r="Z1540">
        <v>4.1396259999999997E-2</v>
      </c>
      <c r="AA1540">
        <v>0.99598770000000003</v>
      </c>
      <c r="AB1540">
        <v>28</v>
      </c>
      <c r="AC1540">
        <v>-1.9993000000000001</v>
      </c>
      <c r="AD1540">
        <v>-1.1199579584499999</v>
      </c>
      <c r="AE1540">
        <v>-20.654199999999999</v>
      </c>
      <c r="AF1540">
        <v>1.66636519247561</v>
      </c>
      <c r="AG1540">
        <v>-1.1199579584499999</v>
      </c>
      <c r="AH1540">
        <v>20.6232565898822</v>
      </c>
      <c r="AI1540">
        <v>93.098349532678199</v>
      </c>
      <c r="AJ1540">
        <v>85.380519784312398</v>
      </c>
      <c r="AK1540">
        <v>20.7207574947324</v>
      </c>
      <c r="AL1540">
        <v>80.696715303978394</v>
      </c>
      <c r="AM1540">
        <v>82.041342880607303</v>
      </c>
      <c r="AN1540">
        <v>1.0000000244167</v>
      </c>
    </row>
    <row r="1541" spans="1:40" x14ac:dyDescent="0.25">
      <c r="A1541" t="str">
        <f>"20190303162242446"</f>
        <v>20190303162242446</v>
      </c>
      <c r="B1541" t="str">
        <f>"1551601362435949"</f>
        <v>1551601362435949</v>
      </c>
      <c r="C1541" t="s">
        <v>40</v>
      </c>
      <c r="D1541">
        <v>5.3249630000000003</v>
      </c>
      <c r="E1541">
        <v>0.4811339</v>
      </c>
      <c r="F1541" t="s">
        <v>46</v>
      </c>
      <c r="G1541">
        <v>-193.31989999999999</v>
      </c>
      <c r="H1541" s="1">
        <v>1.1709760000000001E-6</v>
      </c>
      <c r="I1541">
        <v>295.46019999999999</v>
      </c>
      <c r="J1541">
        <v>-191.2895</v>
      </c>
      <c r="K1541">
        <v>1.1199269999999999</v>
      </c>
      <c r="L1541">
        <v>316.2192</v>
      </c>
      <c r="M1541">
        <v>-1.68243E-2</v>
      </c>
      <c r="N1541">
        <v>-1.179942E-2</v>
      </c>
      <c r="O1541">
        <v>-0.99978880000000003</v>
      </c>
      <c r="P1541">
        <v>-0.1521827</v>
      </c>
      <c r="Q1541">
        <v>0.15134879999999901</v>
      </c>
      <c r="R1541">
        <v>-0.97669550000000005</v>
      </c>
      <c r="S1541">
        <v>-0.29525759999999901</v>
      </c>
      <c r="T1541">
        <v>-0.1624352</v>
      </c>
      <c r="U1541">
        <v>-3.050049</v>
      </c>
      <c r="V1541">
        <v>0.13602330000000001</v>
      </c>
      <c r="W1541">
        <v>0.1626447</v>
      </c>
      <c r="X1541">
        <v>0.97726369999999896</v>
      </c>
      <c r="Y1541">
        <v>7.9480899999999993E-2</v>
      </c>
      <c r="Z1541">
        <v>4.1185489999999998E-2</v>
      </c>
      <c r="AA1541">
        <v>0.99598520000000001</v>
      </c>
      <c r="AB1541">
        <v>28</v>
      </c>
      <c r="AC1541">
        <v>-2.0303999999999802</v>
      </c>
      <c r="AD1541">
        <v>-1.119925829024</v>
      </c>
      <c r="AE1541">
        <v>-20.759</v>
      </c>
      <c r="AF1541">
        <v>1.67600085248682</v>
      </c>
      <c r="AG1541">
        <v>-1.119925829024</v>
      </c>
      <c r="AH1541">
        <v>20.730459824917698</v>
      </c>
      <c r="AI1541">
        <v>93.082258184874902</v>
      </c>
      <c r="AJ1541">
        <v>85.377846349229301</v>
      </c>
      <c r="AK1541">
        <v>20.828230296224898</v>
      </c>
      <c r="AL1541">
        <v>80.639562348067997</v>
      </c>
      <c r="AM1541">
        <v>82.076029106417494</v>
      </c>
      <c r="AN1541">
        <v>0.99999998795933398</v>
      </c>
    </row>
    <row r="1542" spans="1:40" x14ac:dyDescent="0.25">
      <c r="A1542" t="str">
        <f>"20190303162242470"</f>
        <v>20190303162242470</v>
      </c>
      <c r="B1542" t="str">
        <f>"1551601362456445"</f>
        <v>1551601362456445</v>
      </c>
      <c r="C1542" t="s">
        <v>40</v>
      </c>
      <c r="D1542">
        <v>5.2722829999999998</v>
      </c>
      <c r="E1542">
        <v>0.48132750000000002</v>
      </c>
      <c r="F1542" t="s">
        <v>46</v>
      </c>
      <c r="G1542">
        <v>-193.38499999999999</v>
      </c>
      <c r="H1542" s="1">
        <v>1.399081E-6</v>
      </c>
      <c r="I1542">
        <v>294.79860000000002</v>
      </c>
      <c r="J1542">
        <v>-191.29589999999999</v>
      </c>
      <c r="K1542">
        <v>1.1198889999999999</v>
      </c>
      <c r="L1542">
        <v>315.91609999999997</v>
      </c>
      <c r="M1542">
        <v>-1.794722E-2</v>
      </c>
      <c r="N1542">
        <v>-1.180106E-2</v>
      </c>
      <c r="O1542">
        <v>-0.99976940000000003</v>
      </c>
      <c r="P1542">
        <v>-0.1519365</v>
      </c>
      <c r="Q1542">
        <v>0.1526942</v>
      </c>
      <c r="R1542">
        <v>-0.97652479999999997</v>
      </c>
      <c r="S1542">
        <v>-0.29835509999999998</v>
      </c>
      <c r="T1542">
        <v>-0.15945329999999999</v>
      </c>
      <c r="U1542">
        <v>-3.0498349999999999</v>
      </c>
      <c r="V1542">
        <v>0.13469909999999999</v>
      </c>
      <c r="W1542">
        <v>0.1639803</v>
      </c>
      <c r="X1542">
        <v>0.97722390000000003</v>
      </c>
      <c r="Y1542">
        <v>7.9374410000000006E-2</v>
      </c>
      <c r="Z1542">
        <v>4.0214239999999998E-2</v>
      </c>
      <c r="AA1542">
        <v>0.99603339999999996</v>
      </c>
      <c r="AB1542">
        <v>28</v>
      </c>
      <c r="AC1542">
        <v>-2.0891000000000002</v>
      </c>
      <c r="AD1542">
        <v>-1.119887600919</v>
      </c>
      <c r="AE1542">
        <v>-21.1174999999999</v>
      </c>
      <c r="AF1542">
        <v>1.7049882126328699</v>
      </c>
      <c r="AG1542">
        <v>-1.119887600919</v>
      </c>
      <c r="AH1542">
        <v>21.092849585293401</v>
      </c>
      <c r="AI1542">
        <v>93.029302717102297</v>
      </c>
      <c r="AJ1542">
        <v>85.378685270854206</v>
      </c>
      <c r="AK1542">
        <v>21.191258496647201</v>
      </c>
      <c r="AL1542">
        <v>80.561996546931695</v>
      </c>
      <c r="AM1542">
        <v>82.1518882645736</v>
      </c>
      <c r="AN1542">
        <v>0.99999996853005402</v>
      </c>
    </row>
    <row r="1543" spans="1:40" x14ac:dyDescent="0.25">
      <c r="A1543" t="str">
        <f>"20190303162242492"</f>
        <v>20190303162242492</v>
      </c>
      <c r="B1543" t="str">
        <f>"1551601362485725"</f>
        <v>1551601362485725</v>
      </c>
      <c r="C1543" t="s">
        <v>40</v>
      </c>
      <c r="D1543">
        <v>5.2118869999999999</v>
      </c>
      <c r="E1543">
        <v>0.48115200000000002</v>
      </c>
      <c r="F1543" t="s">
        <v>46</v>
      </c>
      <c r="G1543">
        <v>-193.46209999999999</v>
      </c>
      <c r="H1543" s="1">
        <v>1.5849859999999999E-6</v>
      </c>
      <c r="I1543">
        <v>293.88780000000003</v>
      </c>
      <c r="J1543">
        <v>-191.3022</v>
      </c>
      <c r="K1543">
        <v>1.1198570000000001</v>
      </c>
      <c r="L1543">
        <v>315.63200000000001</v>
      </c>
      <c r="M1543">
        <v>-1.9054669999999999E-2</v>
      </c>
      <c r="N1543">
        <v>-1.180265E-2</v>
      </c>
      <c r="O1543">
        <v>-0.99974879999999999</v>
      </c>
      <c r="P1543">
        <v>-0.15249989999999999</v>
      </c>
      <c r="Q1543">
        <v>0.15316629999999901</v>
      </c>
      <c r="R1543">
        <v>-0.97636270000000003</v>
      </c>
      <c r="S1543">
        <v>-0.2998962</v>
      </c>
      <c r="T1543">
        <v>-0.15504179999999901</v>
      </c>
      <c r="U1543">
        <v>-3.0496829999999999</v>
      </c>
      <c r="V1543">
        <v>0.13419710000000001</v>
      </c>
      <c r="W1543">
        <v>0.16444259999999999</v>
      </c>
      <c r="X1543">
        <v>0.97721530000000001</v>
      </c>
      <c r="Y1543">
        <v>7.8779989999999994E-2</v>
      </c>
      <c r="Z1543">
        <v>3.877879E-2</v>
      </c>
      <c r="AA1543">
        <v>0.99613750000000001</v>
      </c>
      <c r="AB1543">
        <v>28</v>
      </c>
      <c r="AC1543">
        <v>-2.1598999999999902</v>
      </c>
      <c r="AD1543">
        <v>-1.1198554150140001</v>
      </c>
      <c r="AE1543">
        <v>-21.7441999999999</v>
      </c>
      <c r="AF1543">
        <v>1.7405788107745499</v>
      </c>
      <c r="AG1543">
        <v>-1.1198554150140001</v>
      </c>
      <c r="AH1543">
        <v>21.724352272324399</v>
      </c>
      <c r="AI1543">
        <v>92.941483851702401</v>
      </c>
      <c r="AJ1543">
        <v>85.419184909824494</v>
      </c>
      <c r="AK1543">
        <v>21.822721470960001</v>
      </c>
      <c r="AL1543">
        <v>80.535144361704894</v>
      </c>
      <c r="AM1543">
        <v>82.180706372526998</v>
      </c>
      <c r="AN1543">
        <v>0.99999998644862997</v>
      </c>
    </row>
    <row r="1544" spans="1:40" x14ac:dyDescent="0.25">
      <c r="A1544" t="str">
        <f>"20190303162242514"</f>
        <v>20190303162242514</v>
      </c>
      <c r="B1544" t="str">
        <f>"1551601362506221"</f>
        <v>1551601362506221</v>
      </c>
      <c r="C1544" t="s">
        <v>40</v>
      </c>
      <c r="D1544">
        <v>5.2673579999999998</v>
      </c>
      <c r="E1544">
        <v>0.48088259999999999</v>
      </c>
      <c r="F1544" t="s">
        <v>46</v>
      </c>
      <c r="G1544">
        <v>-193.49340000000001</v>
      </c>
      <c r="H1544" s="1">
        <v>1.6640089999999999E-6</v>
      </c>
      <c r="I1544">
        <v>293.42340000000002</v>
      </c>
      <c r="J1544">
        <v>-191.30850000000001</v>
      </c>
      <c r="K1544">
        <v>1.1198239999999999</v>
      </c>
      <c r="L1544">
        <v>315.36329999999998</v>
      </c>
      <c r="M1544">
        <v>-2.0157209999999998E-2</v>
      </c>
      <c r="N1544">
        <v>-1.1804129999999999E-2</v>
      </c>
      <c r="O1544">
        <v>-0.99972729999999999</v>
      </c>
      <c r="P1544">
        <v>-0.1529365</v>
      </c>
      <c r="Q1544">
        <v>0.15335560000000001</v>
      </c>
      <c r="R1544">
        <v>-0.97626500000000005</v>
      </c>
      <c r="S1544">
        <v>-0.30090329999999998</v>
      </c>
      <c r="T1544">
        <v>-0.15378310000000001</v>
      </c>
      <c r="U1544">
        <v>-3.0497740000000002</v>
      </c>
      <c r="V1544">
        <v>0.13357179999999999</v>
      </c>
      <c r="W1544">
        <v>0.1646223</v>
      </c>
      <c r="X1544">
        <v>0.97727070000000005</v>
      </c>
      <c r="Y1544">
        <v>7.8005480000000002E-2</v>
      </c>
      <c r="Z1544">
        <v>3.8365950000000003E-2</v>
      </c>
      <c r="AA1544">
        <v>0.99621440000000006</v>
      </c>
      <c r="AB1544">
        <v>28</v>
      </c>
      <c r="AC1544">
        <v>-2.1848999999999901</v>
      </c>
      <c r="AD1544">
        <v>-1.119822335991</v>
      </c>
      <c r="AE1544">
        <v>-21.939899999999898</v>
      </c>
      <c r="AF1544">
        <v>1.7376956380790101</v>
      </c>
      <c r="AG1544">
        <v>-1.119822335991</v>
      </c>
      <c r="AH1544">
        <v>21.922935039740501</v>
      </c>
      <c r="AI1544">
        <v>92.914996992194901</v>
      </c>
      <c r="AJ1544">
        <v>85.467992798067797</v>
      </c>
      <c r="AK1544">
        <v>22.020187759223699</v>
      </c>
      <c r="AL1544">
        <v>80.524705936569603</v>
      </c>
      <c r="AM1544">
        <v>82.217129082073896</v>
      </c>
      <c r="AN1544">
        <v>0.99999997424550902</v>
      </c>
    </row>
    <row r="1545" spans="1:40" x14ac:dyDescent="0.25">
      <c r="A1545" t="str">
        <f>"20190303162242535"</f>
        <v>20190303162242535</v>
      </c>
      <c r="B1545" t="str">
        <f>"1551601362525741"</f>
        <v>1551601362525741</v>
      </c>
      <c r="C1545" t="s">
        <v>40</v>
      </c>
      <c r="D1545">
        <v>5.2099099999999998</v>
      </c>
      <c r="E1545">
        <v>0.48070800000000002</v>
      </c>
      <c r="F1545" t="s">
        <v>46</v>
      </c>
      <c r="G1545">
        <v>-193.50200000000001</v>
      </c>
      <c r="H1545" s="1">
        <v>1.7184980000000001E-6</v>
      </c>
      <c r="I1545">
        <v>293.1096</v>
      </c>
      <c r="J1545">
        <v>-191.3151</v>
      </c>
      <c r="K1545">
        <v>1.119785</v>
      </c>
      <c r="L1545">
        <v>315.09690000000001</v>
      </c>
      <c r="M1545">
        <v>-2.1303840000000001E-2</v>
      </c>
      <c r="N1545">
        <v>-1.180573E-2</v>
      </c>
      <c r="O1545">
        <v>-0.99970340000000002</v>
      </c>
      <c r="P1545">
        <v>-0.15373149999999999</v>
      </c>
      <c r="Q1545">
        <v>0.1532876</v>
      </c>
      <c r="R1545">
        <v>-0.97615050000000003</v>
      </c>
      <c r="S1545">
        <v>-0.30062870000000003</v>
      </c>
      <c r="T1545">
        <v>-0.15347669999999999</v>
      </c>
      <c r="U1545">
        <v>-3.049957</v>
      </c>
      <c r="V1545">
        <v>0.13326260000000001</v>
      </c>
      <c r="W1545">
        <v>0.16454369999999999</v>
      </c>
      <c r="X1545">
        <v>0.97732620000000003</v>
      </c>
      <c r="Y1545">
        <v>7.6768139999999999E-2</v>
      </c>
      <c r="Z1545">
        <v>3.8263159999999997E-2</v>
      </c>
      <c r="AA1545">
        <v>0.99631449999999999</v>
      </c>
      <c r="AB1545">
        <v>28</v>
      </c>
      <c r="AC1545">
        <v>-2.1869000000000001</v>
      </c>
      <c r="AD1545">
        <v>-1.1197832815019999</v>
      </c>
      <c r="AE1545">
        <v>-21.987300000000001</v>
      </c>
      <c r="AF1545">
        <v>1.71355611004065</v>
      </c>
      <c r="AG1545">
        <v>-1.1197832815019999</v>
      </c>
      <c r="AH1545">
        <v>21.972469536700601</v>
      </c>
      <c r="AI1545">
        <v>92.908625294453302</v>
      </c>
      <c r="AJ1545">
        <v>85.540728051627596</v>
      </c>
      <c r="AK1545">
        <v>22.067614431130199</v>
      </c>
      <c r="AL1545">
        <v>80.529272136228897</v>
      </c>
      <c r="AM1545">
        <v>82.235360870248897</v>
      </c>
      <c r="AN1545">
        <v>1.0000000254874399</v>
      </c>
    </row>
    <row r="1546" spans="1:40" x14ac:dyDescent="0.25">
      <c r="A1546" t="str">
        <f>"20190303162242557"</f>
        <v>20190303162242557</v>
      </c>
      <c r="B1546" t="str">
        <f>"1551601362546237"</f>
        <v>1551601362546237</v>
      </c>
      <c r="C1546" t="s">
        <v>40</v>
      </c>
      <c r="D1546">
        <v>5.1522540000000001</v>
      </c>
      <c r="E1546">
        <v>0.48063669999999997</v>
      </c>
      <c r="F1546" t="s">
        <v>46</v>
      </c>
      <c r="G1546">
        <v>-193.52350000000001</v>
      </c>
      <c r="H1546" s="1">
        <v>1.767784E-6</v>
      </c>
      <c r="I1546">
        <v>292.82619999999997</v>
      </c>
      <c r="J1546">
        <v>-191.32259999999999</v>
      </c>
      <c r="K1546">
        <v>1.11974</v>
      </c>
      <c r="L1546">
        <v>314.80939999999998</v>
      </c>
      <c r="M1546">
        <v>-2.2595810000000001E-2</v>
      </c>
      <c r="N1546">
        <v>-1.180756E-2</v>
      </c>
      <c r="O1546">
        <v>-0.99967499999999998</v>
      </c>
      <c r="P1546">
        <v>-0.15538189999999999</v>
      </c>
      <c r="Q1546">
        <v>0.15322740000000001</v>
      </c>
      <c r="R1546">
        <v>-0.97589859999999995</v>
      </c>
      <c r="S1546">
        <v>-0.30241390000000001</v>
      </c>
      <c r="T1546">
        <v>-0.15334329999999999</v>
      </c>
      <c r="U1546">
        <v>-3.049744</v>
      </c>
      <c r="V1546">
        <v>0.13367119999999999</v>
      </c>
      <c r="W1546">
        <v>0.16446849999999999</v>
      </c>
      <c r="X1546">
        <v>0.97728309999999996</v>
      </c>
      <c r="Y1546">
        <v>7.6064409999999999E-2</v>
      </c>
      <c r="Z1546">
        <v>3.8220009999999999E-2</v>
      </c>
      <c r="AA1546">
        <v>0.99637010000000004</v>
      </c>
      <c r="AB1546">
        <v>28</v>
      </c>
      <c r="AC1546">
        <v>-2.2009000000000101</v>
      </c>
      <c r="AD1546">
        <v>-1.1197382322160001</v>
      </c>
      <c r="AE1546">
        <v>-21.9832</v>
      </c>
      <c r="AF1546">
        <v>1.6992103501992499</v>
      </c>
      <c r="AG1546">
        <v>-1.1197382322160001</v>
      </c>
      <c r="AH1546">
        <v>21.970883664212099</v>
      </c>
      <c r="AI1546">
        <v>92.908863163151196</v>
      </c>
      <c r="AJ1546">
        <v>85.577594111228706</v>
      </c>
      <c r="AK1546">
        <v>22.064923714104498</v>
      </c>
      <c r="AL1546">
        <v>80.533640690336298</v>
      </c>
      <c r="AM1546">
        <v>82.211505981640599</v>
      </c>
      <c r="AN1546">
        <v>1.00000006737364</v>
      </c>
    </row>
    <row r="1547" spans="1:40" x14ac:dyDescent="0.25">
      <c r="A1547" t="str">
        <f>"20190303162242580"</f>
        <v>20190303162242580</v>
      </c>
      <c r="B1547" t="str">
        <f>"1551601362565757"</f>
        <v>1551601362565757</v>
      </c>
      <c r="C1547" t="s">
        <v>40</v>
      </c>
      <c r="D1547">
        <v>5.2075310000000004</v>
      </c>
      <c r="E1547">
        <v>0.48065530000000001</v>
      </c>
      <c r="F1547" t="s">
        <v>46</v>
      </c>
      <c r="G1547">
        <v>-193.5676</v>
      </c>
      <c r="H1547" s="1">
        <v>1.8780489999999999E-6</v>
      </c>
      <c r="I1547">
        <v>292.49220000000003</v>
      </c>
      <c r="J1547">
        <v>-191.33019999999999</v>
      </c>
      <c r="K1547">
        <v>1.1197010000000001</v>
      </c>
      <c r="L1547">
        <v>314.53769999999997</v>
      </c>
      <c r="M1547">
        <v>-2.3863760000000001E-2</v>
      </c>
      <c r="N1547">
        <v>-1.1809139999999999E-2</v>
      </c>
      <c r="O1547">
        <v>-0.99964569999999997</v>
      </c>
      <c r="P1547">
        <v>-0.15786749999999999</v>
      </c>
      <c r="Q1547">
        <v>0.15359700000000001</v>
      </c>
      <c r="R1547">
        <v>-0.97544180000000003</v>
      </c>
      <c r="S1547">
        <v>-0.3067474</v>
      </c>
      <c r="T1547">
        <v>-0.15299550000000001</v>
      </c>
      <c r="U1547">
        <v>-3.0493160000000001</v>
      </c>
      <c r="V1547">
        <v>0.1349417</v>
      </c>
      <c r="W1547">
        <v>0.1648213</v>
      </c>
      <c r="X1547">
        <v>0.97704899999999995</v>
      </c>
      <c r="Y1547">
        <v>7.6215829999999998E-2</v>
      </c>
      <c r="Z1547">
        <v>3.810711E-2</v>
      </c>
      <c r="AA1547">
        <v>0.99636290000000005</v>
      </c>
      <c r="AB1547">
        <v>28</v>
      </c>
      <c r="AC1547">
        <v>-2.2374000000000001</v>
      </c>
      <c r="AD1547">
        <v>-1.119699121951</v>
      </c>
      <c r="AE1547">
        <v>-22.045499999999901</v>
      </c>
      <c r="AF1547">
        <v>1.70628090559963</v>
      </c>
      <c r="AG1547">
        <v>-1.119699121951</v>
      </c>
      <c r="AH1547">
        <v>22.036350725348601</v>
      </c>
      <c r="AI1547">
        <v>92.900114680321096</v>
      </c>
      <c r="AJ1547">
        <v>85.572405861697604</v>
      </c>
      <c r="AK1547">
        <v>22.130654620753599</v>
      </c>
      <c r="AL1547">
        <v>80.513146760492205</v>
      </c>
      <c r="AM1547">
        <v>82.136540247899902</v>
      </c>
      <c r="AN1547">
        <v>1.00000003586678</v>
      </c>
    </row>
    <row r="1548" spans="1:40" x14ac:dyDescent="0.25">
      <c r="A1548" t="str">
        <f>"20190303162242602"</f>
        <v>20190303162242602</v>
      </c>
      <c r="B1548" t="str">
        <f>"1551601362596013"</f>
        <v>1551601362596013</v>
      </c>
      <c r="C1548" t="s">
        <v>40</v>
      </c>
      <c r="D1548">
        <v>5.2082790000000001</v>
      </c>
      <c r="E1548">
        <v>0.48061320000000002</v>
      </c>
      <c r="F1548" t="s">
        <v>46</v>
      </c>
      <c r="G1548">
        <v>-193.65</v>
      </c>
      <c r="H1548" s="1">
        <v>2.032298E-6</v>
      </c>
      <c r="I1548">
        <v>292.0145</v>
      </c>
      <c r="J1548">
        <v>-191.33850000000001</v>
      </c>
      <c r="K1548">
        <v>1.119664</v>
      </c>
      <c r="L1548">
        <v>314.25139999999999</v>
      </c>
      <c r="M1548">
        <v>-2.52386E-2</v>
      </c>
      <c r="N1548">
        <v>-1.1810920000000001E-2</v>
      </c>
      <c r="O1548">
        <v>-0.99961169999999999</v>
      </c>
      <c r="P1548">
        <v>-0.16036989999999901</v>
      </c>
      <c r="Q1548">
        <v>0.15364269999999999</v>
      </c>
      <c r="R1548">
        <v>-0.97502610000000001</v>
      </c>
      <c r="S1548">
        <v>-0.31399539999999998</v>
      </c>
      <c r="T1548">
        <v>-0.15155479999999999</v>
      </c>
      <c r="U1548">
        <v>-3.048584</v>
      </c>
      <c r="V1548">
        <v>0.13612099999999999</v>
      </c>
      <c r="W1548">
        <v>0.16485269999999999</v>
      </c>
      <c r="X1548">
        <v>0.97688010000000003</v>
      </c>
      <c r="Y1548">
        <v>7.7214469999999993E-2</v>
      </c>
      <c r="Z1548">
        <v>3.763909E-2</v>
      </c>
      <c r="AA1548">
        <v>0.99630379999999996</v>
      </c>
      <c r="AB1548">
        <v>28</v>
      </c>
      <c r="AC1548">
        <v>-2.3114999999999899</v>
      </c>
      <c r="AD1548">
        <v>-1.1196619677020001</v>
      </c>
      <c r="AE1548">
        <v>-22.236899999999899</v>
      </c>
      <c r="AF1548">
        <v>1.7451191546532301</v>
      </c>
      <c r="AG1548">
        <v>-1.1196619677020001</v>
      </c>
      <c r="AH1548">
        <v>22.232395929630599</v>
      </c>
      <c r="AI1548">
        <v>92.874252706323404</v>
      </c>
      <c r="AJ1548">
        <v>85.511803405313799</v>
      </c>
      <c r="AK1548">
        <v>22.328871726034698</v>
      </c>
      <c r="AL1548">
        <v>80.511322709188804</v>
      </c>
      <c r="AM1548">
        <v>82.067335863490399</v>
      </c>
      <c r="AN1548">
        <v>1.00000003455714</v>
      </c>
    </row>
    <row r="1549" spans="1:40" x14ac:dyDescent="0.25">
      <c r="A1549" t="str">
        <f>"20190303162242626"</f>
        <v>20190303162242626</v>
      </c>
      <c r="B1549" t="str">
        <f>"1551601362615533"</f>
        <v>1551601362615533</v>
      </c>
      <c r="C1549" t="s">
        <v>40</v>
      </c>
      <c r="D1549">
        <v>5.2059850000000001</v>
      </c>
      <c r="E1549">
        <v>0.48057270000000002</v>
      </c>
      <c r="F1549" t="s">
        <v>46</v>
      </c>
      <c r="G1549">
        <v>-193.71299999999999</v>
      </c>
      <c r="H1549" s="1">
        <v>2.1407230000000001E-6</v>
      </c>
      <c r="I1549">
        <v>291.67610000000002</v>
      </c>
      <c r="J1549">
        <v>-191.3475</v>
      </c>
      <c r="K1549">
        <v>1.11964</v>
      </c>
      <c r="L1549">
        <v>313.9599</v>
      </c>
      <c r="M1549">
        <v>-2.6671429999999999E-2</v>
      </c>
      <c r="N1549">
        <v>-1.1812400000000001E-2</v>
      </c>
      <c r="O1549">
        <v>-0.99957470000000004</v>
      </c>
      <c r="P1549">
        <v>-0.1643222</v>
      </c>
      <c r="Q1549">
        <v>0.15280750000000001</v>
      </c>
      <c r="R1549">
        <v>-0.97449920000000001</v>
      </c>
      <c r="S1549">
        <v>-0.32058720000000002</v>
      </c>
      <c r="T1549">
        <v>-0.1511699</v>
      </c>
      <c r="U1549">
        <v>-3.047974</v>
      </c>
      <c r="V1549">
        <v>0.13868939999999999</v>
      </c>
      <c r="W1549">
        <v>0.16400239999999999</v>
      </c>
      <c r="X1549">
        <v>0.97666189999999997</v>
      </c>
      <c r="Y1549">
        <v>7.793754E-2</v>
      </c>
      <c r="Z1549">
        <v>3.7513699999999997E-2</v>
      </c>
      <c r="AA1549">
        <v>0.99625220000000003</v>
      </c>
      <c r="AB1549">
        <v>28</v>
      </c>
      <c r="AC1549">
        <v>-2.3654999999999902</v>
      </c>
      <c r="AD1549">
        <v>-1.119637859277</v>
      </c>
      <c r="AE1549">
        <v>-22.2837999999999</v>
      </c>
      <c r="AF1549">
        <v>1.7658679552941501</v>
      </c>
      <c r="AG1549">
        <v>-1.119637859277</v>
      </c>
      <c r="AH1549">
        <v>22.283339568435601</v>
      </c>
      <c r="AI1549">
        <v>92.867462324882695</v>
      </c>
      <c r="AJ1549">
        <v>85.469001390935006</v>
      </c>
      <c r="AK1549">
        <v>22.381222059880201</v>
      </c>
      <c r="AL1549">
        <v>80.560713250122802</v>
      </c>
      <c r="AM1549">
        <v>81.917835760705699</v>
      </c>
      <c r="AN1549">
        <v>1.00000000189486</v>
      </c>
    </row>
    <row r="1550" spans="1:40" x14ac:dyDescent="0.25">
      <c r="A1550" t="str">
        <f>"20190303162242647"</f>
        <v>20190303162242647</v>
      </c>
      <c r="B1550" t="str">
        <f>"1551601362636029"</f>
        <v>1551601362636029</v>
      </c>
      <c r="C1550" t="s">
        <v>40</v>
      </c>
      <c r="D1550">
        <v>5.2036009999999999</v>
      </c>
      <c r="E1550">
        <v>0.48055229999999999</v>
      </c>
      <c r="F1550" t="s">
        <v>46</v>
      </c>
      <c r="G1550">
        <v>-193.7637</v>
      </c>
      <c r="H1550" s="1">
        <v>2.1040110000000002E-6</v>
      </c>
      <c r="I1550">
        <v>291.75450000000001</v>
      </c>
      <c r="J1550">
        <v>-191.3561</v>
      </c>
      <c r="K1550">
        <v>1.119623</v>
      </c>
      <c r="L1550">
        <v>313.69439999999997</v>
      </c>
      <c r="M1550">
        <v>-2.7992380000000001E-2</v>
      </c>
      <c r="N1550">
        <v>-1.1813560000000001E-2</v>
      </c>
      <c r="O1550">
        <v>-0.99953820000000004</v>
      </c>
      <c r="P1550">
        <v>-0.16906470000000001</v>
      </c>
      <c r="Q1550">
        <v>0.15131620000000001</v>
      </c>
      <c r="R1550">
        <v>-0.97392029999999996</v>
      </c>
      <c r="S1550">
        <v>-0.33151249999999999</v>
      </c>
      <c r="T1550">
        <v>-0.1536187</v>
      </c>
      <c r="U1550">
        <v>-3.0466609999999998</v>
      </c>
      <c r="V1550">
        <v>0.14215359999999999</v>
      </c>
      <c r="W1550">
        <v>0.16249649999999999</v>
      </c>
      <c r="X1550">
        <v>0.97641549999999999</v>
      </c>
      <c r="Y1550">
        <v>8.0192059999999996E-2</v>
      </c>
      <c r="Z1550">
        <v>3.831565E-2</v>
      </c>
      <c r="AA1550">
        <v>0.99604269999999995</v>
      </c>
      <c r="AB1550">
        <v>28</v>
      </c>
      <c r="AC1550">
        <v>-2.4076</v>
      </c>
      <c r="AD1550">
        <v>-1.1196208959889999</v>
      </c>
      <c r="AE1550">
        <v>-21.939899999999898</v>
      </c>
      <c r="AF1550">
        <v>1.78786292654764</v>
      </c>
      <c r="AG1550">
        <v>-1.1196208959889999</v>
      </c>
      <c r="AH1550">
        <v>21.942238670098298</v>
      </c>
      <c r="AI1550">
        <v>92.911399440307093</v>
      </c>
      <c r="AJ1550">
        <v>85.341806037922893</v>
      </c>
      <c r="AK1550">
        <v>22.043408145076299</v>
      </c>
      <c r="AL1550">
        <v>80.648168118269098</v>
      </c>
      <c r="AM1550">
        <v>81.716664165524307</v>
      </c>
      <c r="AN1550">
        <v>0.99999999357272895</v>
      </c>
    </row>
    <row r="1551" spans="1:40" x14ac:dyDescent="0.25">
      <c r="A1551" t="str">
        <f>"20190303162242671"</f>
        <v>20190303162242671</v>
      </c>
      <c r="B1551" t="str">
        <f>"1551601362655549"</f>
        <v>1551601362655549</v>
      </c>
      <c r="C1551" t="s">
        <v>40</v>
      </c>
      <c r="D1551">
        <v>5.2480659999999997</v>
      </c>
      <c r="E1551">
        <v>0.48053040000000002</v>
      </c>
      <c r="F1551" t="s">
        <v>46</v>
      </c>
      <c r="G1551">
        <v>-193.79519999999999</v>
      </c>
      <c r="H1551" s="1">
        <v>1.9404559999999999E-6</v>
      </c>
      <c r="I1551">
        <v>292.20139999999998</v>
      </c>
      <c r="J1551">
        <v>-191.36600000000001</v>
      </c>
      <c r="K1551">
        <v>1.1196090000000001</v>
      </c>
      <c r="L1551">
        <v>313.40010000000001</v>
      </c>
      <c r="M1551">
        <v>-2.9466639999999999E-2</v>
      </c>
      <c r="N1551">
        <v>-1.181464E-2</v>
      </c>
      <c r="O1551">
        <v>-0.99949600000000005</v>
      </c>
      <c r="P1551">
        <v>-0.17407149999999999</v>
      </c>
      <c r="Q1551">
        <v>0.14997959999999999</v>
      </c>
      <c r="R1551">
        <v>-0.97324509999999997</v>
      </c>
      <c r="S1551">
        <v>-0.34555049999999998</v>
      </c>
      <c r="T1551">
        <v>-0.15861739999999999</v>
      </c>
      <c r="U1551">
        <v>-3.0449220000000001</v>
      </c>
      <c r="V1551">
        <v>0.1457338</v>
      </c>
      <c r="W1551">
        <v>0.16114600000000001</v>
      </c>
      <c r="X1551">
        <v>0.97611150000000002</v>
      </c>
      <c r="Y1551">
        <v>8.3309499999999995E-2</v>
      </c>
      <c r="Z1551">
        <v>3.9949400000000003E-2</v>
      </c>
      <c r="AA1551">
        <v>0.99572269999999896</v>
      </c>
      <c r="AB1551">
        <v>28</v>
      </c>
      <c r="AC1551">
        <v>-2.4291999999999998</v>
      </c>
      <c r="AD1551">
        <v>-1.119607059544</v>
      </c>
      <c r="AE1551">
        <v>-21.198699999999999</v>
      </c>
      <c r="AF1551">
        <v>1.79849526019138</v>
      </c>
      <c r="AG1551">
        <v>-1.119607059544</v>
      </c>
      <c r="AH1551">
        <v>21.2027023067869</v>
      </c>
      <c r="AI1551">
        <v>93.011895865076298</v>
      </c>
      <c r="AJ1551">
        <v>85.151556357847397</v>
      </c>
      <c r="AK1551">
        <v>21.3082775061463</v>
      </c>
      <c r="AL1551">
        <v>80.726579751333603</v>
      </c>
      <c r="AM1551">
        <v>81.508442635348999</v>
      </c>
      <c r="AN1551">
        <v>1.00000001710534</v>
      </c>
    </row>
    <row r="1552" spans="1:40" x14ac:dyDescent="0.25">
      <c r="A1552" t="str">
        <f>"20190303162242692"</f>
        <v>20190303162242692</v>
      </c>
      <c r="B1552" t="str">
        <f>"1551601362685805"</f>
        <v>1551601362685805</v>
      </c>
      <c r="C1552" t="s">
        <v>40</v>
      </c>
      <c r="D1552">
        <v>5.0646940000000003</v>
      </c>
      <c r="E1552">
        <v>0.52208129999999997</v>
      </c>
      <c r="F1552" t="s">
        <v>46</v>
      </c>
      <c r="G1552">
        <v>-193.84370000000001</v>
      </c>
      <c r="H1552" s="1">
        <v>1.8313069999999999E-6</v>
      </c>
      <c r="I1552">
        <v>292.48579999999998</v>
      </c>
      <c r="J1552">
        <v>-191.37559999999999</v>
      </c>
      <c r="K1552">
        <v>1.119597</v>
      </c>
      <c r="L1552">
        <v>313.12439999999998</v>
      </c>
      <c r="M1552">
        <v>-3.0853869999999999E-2</v>
      </c>
      <c r="N1552">
        <v>-1.181573E-2</v>
      </c>
      <c r="O1552">
        <v>-0.99945410000000001</v>
      </c>
      <c r="P1552">
        <v>-0.179227</v>
      </c>
      <c r="Q1552">
        <v>0.14876139999999999</v>
      </c>
      <c r="R1552">
        <v>-0.97249560000000002</v>
      </c>
      <c r="S1552">
        <v>-0.36051939999999999</v>
      </c>
      <c r="T1552">
        <v>-0.16290639999999901</v>
      </c>
      <c r="U1552">
        <v>-3.043091</v>
      </c>
      <c r="V1552">
        <v>0.14955109999999999</v>
      </c>
      <c r="W1552">
        <v>0.1599129</v>
      </c>
      <c r="X1552">
        <v>0.97573679999999996</v>
      </c>
      <c r="Y1552">
        <v>8.6817110000000003E-2</v>
      </c>
      <c r="Z1552">
        <v>4.1351230000000003E-2</v>
      </c>
      <c r="AA1552">
        <v>0.99536570000000002</v>
      </c>
      <c r="AB1552">
        <v>28</v>
      </c>
      <c r="AC1552">
        <v>-2.4681000000000202</v>
      </c>
      <c r="AD1552">
        <v>-1.1195951686929999</v>
      </c>
      <c r="AE1552">
        <v>-20.6386</v>
      </c>
      <c r="AF1552">
        <v>1.8248053407498099</v>
      </c>
      <c r="AG1552">
        <v>-1.1195951686929999</v>
      </c>
      <c r="AH1552">
        <v>20.645030749187001</v>
      </c>
      <c r="AI1552">
        <v>93.092119585691705</v>
      </c>
      <c r="AJ1552">
        <v>84.948778116467196</v>
      </c>
      <c r="AK1552">
        <v>20.755739025827602</v>
      </c>
      <c r="AL1552">
        <v>80.798159196685504</v>
      </c>
      <c r="AM1552">
        <v>81.2860929977099</v>
      </c>
      <c r="AN1552">
        <v>0.99999998498592901</v>
      </c>
    </row>
    <row r="1553" spans="1:40" x14ac:dyDescent="0.25">
      <c r="A1553" t="str">
        <f>"20190303162242714"</f>
        <v>20190303162242714</v>
      </c>
      <c r="B1553" t="str">
        <f>"1551601362706302"</f>
        <v>1551601362706302</v>
      </c>
      <c r="C1553" t="s">
        <v>40</v>
      </c>
      <c r="D1553">
        <v>5.0551919999999999</v>
      </c>
      <c r="E1553">
        <v>0.52824059999999995</v>
      </c>
      <c r="F1553" t="s">
        <v>46</v>
      </c>
      <c r="G1553">
        <v>-195.44200000000001</v>
      </c>
      <c r="H1553" s="1">
        <v>8.4605490000000002E-7</v>
      </c>
      <c r="I1553">
        <v>295.84699999999998</v>
      </c>
      <c r="J1553">
        <v>-191.38550000000001</v>
      </c>
      <c r="K1553">
        <v>1.119586</v>
      </c>
      <c r="L1553">
        <v>312.85410000000002</v>
      </c>
      <c r="M1553">
        <v>-3.2222380000000002E-2</v>
      </c>
      <c r="N1553">
        <v>-1.181684E-2</v>
      </c>
      <c r="O1553">
        <v>-0.99941100000000005</v>
      </c>
      <c r="P1553">
        <v>-0.18504689999999999</v>
      </c>
      <c r="Q1553">
        <v>0.1481266</v>
      </c>
      <c r="R1553">
        <v>-0.97150230000000004</v>
      </c>
      <c r="S1553">
        <v>-0.70252990000000004</v>
      </c>
      <c r="T1553">
        <v>-0.1934284</v>
      </c>
      <c r="U1553">
        <v>-2.9849549999999998</v>
      </c>
      <c r="V1553">
        <v>0.15406239999999999</v>
      </c>
      <c r="W1553">
        <v>0.1592576</v>
      </c>
      <c r="X1553">
        <v>0.97514190000000001</v>
      </c>
      <c r="Y1553">
        <v>0.1972225</v>
      </c>
      <c r="Z1553">
        <v>5.13686E-2</v>
      </c>
      <c r="AA1553">
        <v>0.97901199999999999</v>
      </c>
      <c r="AB1553">
        <v>28</v>
      </c>
      <c r="AC1553">
        <v>-4.0564999999999998</v>
      </c>
      <c r="AD1553">
        <v>-1.1195851539451001</v>
      </c>
      <c r="AE1553">
        <v>-17.007100000000001</v>
      </c>
      <c r="AF1553">
        <v>3.49202721151496</v>
      </c>
      <c r="AG1553">
        <v>-1.1195851539451001</v>
      </c>
      <c r="AH1553">
        <v>17.059038132741001</v>
      </c>
      <c r="AI1553">
        <v>93.678867612336006</v>
      </c>
      <c r="AJ1553">
        <v>78.431234526332702</v>
      </c>
      <c r="AK1553">
        <v>17.4487394094017</v>
      </c>
      <c r="AL1553">
        <v>80.836192373747295</v>
      </c>
      <c r="AM1553">
        <v>81.022063460841096</v>
      </c>
      <c r="AN1553">
        <v>0.99999996569356397</v>
      </c>
    </row>
    <row r="1554" spans="1:40" x14ac:dyDescent="0.25">
      <c r="A1554" t="str">
        <f>"20190303162242737"</f>
        <v>20190303162242737</v>
      </c>
      <c r="B1554" t="str">
        <f>"1551601362725824"</f>
        <v>1551601362725824</v>
      </c>
      <c r="C1554" t="s">
        <v>40</v>
      </c>
      <c r="D1554">
        <v>5.0238940000000003</v>
      </c>
      <c r="E1554">
        <v>0.53076599999999996</v>
      </c>
      <c r="F1554" t="s">
        <v>46</v>
      </c>
      <c r="G1554">
        <v>-195.37520000000001</v>
      </c>
      <c r="H1554" s="1">
        <v>3.8839619999999999E-7</v>
      </c>
      <c r="I1554">
        <v>297.411</v>
      </c>
      <c r="J1554">
        <v>-191.3963</v>
      </c>
      <c r="K1554">
        <v>1.119575</v>
      </c>
      <c r="L1554">
        <v>312.56959999999998</v>
      </c>
      <c r="M1554">
        <v>-3.3681509999999998E-2</v>
      </c>
      <c r="N1554">
        <v>-1.1818E-2</v>
      </c>
      <c r="O1554">
        <v>-0.99936290000000005</v>
      </c>
      <c r="P1554">
        <v>-0.19078629999999999</v>
      </c>
      <c r="Q1554">
        <v>0.14737990000000001</v>
      </c>
      <c r="R1554">
        <v>-0.97050519999999996</v>
      </c>
      <c r="S1554">
        <v>-0.76847840000000001</v>
      </c>
      <c r="T1554">
        <v>-0.21564639999999999</v>
      </c>
      <c r="U1554">
        <v>-2.974548</v>
      </c>
      <c r="V1554">
        <v>0.15840960000000001</v>
      </c>
      <c r="W1554">
        <v>0.15848789999999999</v>
      </c>
      <c r="X1554">
        <v>0.97457070000000001</v>
      </c>
      <c r="Y1554">
        <v>0.21685219999999999</v>
      </c>
      <c r="Z1554">
        <v>5.8496550000000001E-2</v>
      </c>
      <c r="AA1554">
        <v>0.97445020000000004</v>
      </c>
      <c r="AB1554">
        <v>28</v>
      </c>
      <c r="AC1554">
        <v>-3.9788999999999999</v>
      </c>
      <c r="AD1554">
        <v>-1.1195746116037999</v>
      </c>
      <c r="AE1554">
        <v>-15.1585999999999</v>
      </c>
      <c r="AF1554">
        <v>3.4484435498842401</v>
      </c>
      <c r="AG1554">
        <v>-1.1195746116037999</v>
      </c>
      <c r="AH1554">
        <v>15.2064197645107</v>
      </c>
      <c r="AI1554">
        <v>94.106902880958401</v>
      </c>
      <c r="AJ1554">
        <v>77.222826228934295</v>
      </c>
      <c r="AK1554">
        <v>15.6326713098622</v>
      </c>
      <c r="AL1554">
        <v>80.880860876763606</v>
      </c>
      <c r="AM1554">
        <v>80.767716032036901</v>
      </c>
      <c r="AN1554">
        <v>1.0000000325585201</v>
      </c>
    </row>
    <row r="1555" spans="1:40" x14ac:dyDescent="0.25">
      <c r="A1555" t="str">
        <f>"20190303162242759"</f>
        <v>20190303162242759</v>
      </c>
      <c r="B1555" t="str">
        <f>"1551601362746317"</f>
        <v>1551601362746317</v>
      </c>
      <c r="C1555" t="s">
        <v>40</v>
      </c>
      <c r="D1555">
        <v>5.0472739999999998</v>
      </c>
      <c r="E1555">
        <v>0.53172710000000001</v>
      </c>
      <c r="F1555" t="s">
        <v>46</v>
      </c>
      <c r="G1555">
        <v>-195.4083</v>
      </c>
      <c r="H1555" s="1">
        <v>3.1878990000000002E-7</v>
      </c>
      <c r="I1555">
        <v>297.80619999999999</v>
      </c>
      <c r="J1555">
        <v>-191.40729999999999</v>
      </c>
      <c r="K1555">
        <v>1.119545</v>
      </c>
      <c r="L1555">
        <v>312.2894</v>
      </c>
      <c r="M1555">
        <v>-3.5155939999999997E-2</v>
      </c>
      <c r="N1555">
        <v>-1.181952E-2</v>
      </c>
      <c r="O1555">
        <v>-0.99931190000000003</v>
      </c>
      <c r="P1555">
        <v>-0.19584029999999999</v>
      </c>
      <c r="Q1555">
        <v>0.14705779999999999</v>
      </c>
      <c r="R1555">
        <v>-0.96954640000000003</v>
      </c>
      <c r="S1555">
        <v>-0.80625919999999995</v>
      </c>
      <c r="T1555">
        <v>-0.2249871</v>
      </c>
      <c r="U1555">
        <v>-2.9668269999999999</v>
      </c>
      <c r="V1555">
        <v>0.16206309999999999</v>
      </c>
      <c r="W1555">
        <v>0.15814039999999999</v>
      </c>
      <c r="X1555">
        <v>0.97402630000000001</v>
      </c>
      <c r="Y1555">
        <v>0.2275488</v>
      </c>
      <c r="Z1555">
        <v>6.1498669999999998E-2</v>
      </c>
      <c r="AA1555">
        <v>0.97182270000000004</v>
      </c>
      <c r="AB1555">
        <v>28</v>
      </c>
      <c r="AC1555">
        <v>-4.0010000000000003</v>
      </c>
      <c r="AD1555">
        <v>-1.1195446812101</v>
      </c>
      <c r="AE1555">
        <v>-14.4832</v>
      </c>
      <c r="AF1555">
        <v>3.4700560872568298</v>
      </c>
      <c r="AG1555">
        <v>-1.1195446812101</v>
      </c>
      <c r="AH1555">
        <v>14.5342270031315</v>
      </c>
      <c r="AI1555">
        <v>94.284731364912602</v>
      </c>
      <c r="AJ1555">
        <v>76.571969985046906</v>
      </c>
      <c r="AK1555">
        <v>14.984606238419801</v>
      </c>
      <c r="AL1555">
        <v>80.901025470625996</v>
      </c>
      <c r="AM1555">
        <v>80.553395870797502</v>
      </c>
      <c r="AN1555">
        <v>1.00000003379272</v>
      </c>
    </row>
    <row r="1556" spans="1:40" x14ac:dyDescent="0.25">
      <c r="A1556" t="str">
        <f>"20190303162242781"</f>
        <v>20190303162242781</v>
      </c>
      <c r="B1556" t="str">
        <f>"1551601362775597"</f>
        <v>1551601362775597</v>
      </c>
      <c r="C1556" t="s">
        <v>40</v>
      </c>
      <c r="D1556">
        <v>5.0888169999999997</v>
      </c>
      <c r="E1556">
        <v>0.53226260000000003</v>
      </c>
      <c r="F1556" t="s">
        <v>46</v>
      </c>
      <c r="G1556">
        <v>-195.4598</v>
      </c>
      <c r="H1556" s="1">
        <v>3.13669E-7</v>
      </c>
      <c r="I1556">
        <v>297.83530000000002</v>
      </c>
      <c r="J1556">
        <v>-191.4186</v>
      </c>
      <c r="K1556">
        <v>1.1194919999999999</v>
      </c>
      <c r="L1556">
        <v>312.01440000000002</v>
      </c>
      <c r="M1556">
        <v>-3.666556E-2</v>
      </c>
      <c r="N1556">
        <v>-1.182136E-2</v>
      </c>
      <c r="O1556">
        <v>-0.99925799999999998</v>
      </c>
      <c r="P1556">
        <v>-0.19980999999999999</v>
      </c>
      <c r="Q1556">
        <v>0.1478874</v>
      </c>
      <c r="R1556">
        <v>-0.96861039999999998</v>
      </c>
      <c r="S1556">
        <v>-0.83026119999999903</v>
      </c>
      <c r="T1556">
        <v>-0.22936799999999999</v>
      </c>
      <c r="U1556">
        <v>-2.9613040000000002</v>
      </c>
      <c r="V1556">
        <v>0.1646099</v>
      </c>
      <c r="W1556">
        <v>0.15894029999999901</v>
      </c>
      <c r="X1556">
        <v>0.97346880000000002</v>
      </c>
      <c r="Y1556">
        <v>0.233821</v>
      </c>
      <c r="Z1556">
        <v>6.291252E-2</v>
      </c>
      <c r="AA1556">
        <v>0.9702421</v>
      </c>
      <c r="AB1556">
        <v>28</v>
      </c>
      <c r="AC1556">
        <v>-4.0411999999999999</v>
      </c>
      <c r="AD1556">
        <v>-1.1194916863309901</v>
      </c>
      <c r="AE1556">
        <v>-14.1791</v>
      </c>
      <c r="AF1556">
        <v>3.4983920273193099</v>
      </c>
      <c r="AG1556">
        <v>-1.1194916863309901</v>
      </c>
      <c r="AH1556">
        <v>14.2356740355581</v>
      </c>
      <c r="AI1556">
        <v>94.367069075754003</v>
      </c>
      <c r="AJ1556">
        <v>76.193262221009604</v>
      </c>
      <c r="AK1556">
        <v>14.7019190468197</v>
      </c>
      <c r="AL1556">
        <v>80.854606929684394</v>
      </c>
      <c r="AM1556">
        <v>80.402290157146695</v>
      </c>
      <c r="AN1556">
        <v>0.99999997135776897</v>
      </c>
    </row>
    <row r="1557" spans="1:40" x14ac:dyDescent="0.25">
      <c r="A1557" t="str">
        <f>"20190303162242804"</f>
        <v>20190303162242804</v>
      </c>
      <c r="B1557" t="str">
        <f>"1551601362796093"</f>
        <v>1551601362796093</v>
      </c>
      <c r="C1557" t="s">
        <v>40</v>
      </c>
      <c r="D1557">
        <v>5.0907629999999999</v>
      </c>
      <c r="E1557">
        <v>0.53218089999999996</v>
      </c>
      <c r="F1557" t="s">
        <v>46</v>
      </c>
      <c r="G1557">
        <v>-195.5581</v>
      </c>
      <c r="H1557" s="1">
        <v>3.6220889999999999E-7</v>
      </c>
      <c r="I1557">
        <v>297.55970000000002</v>
      </c>
      <c r="J1557">
        <v>-191.4314</v>
      </c>
      <c r="K1557">
        <v>1.1194219999999999</v>
      </c>
      <c r="L1557">
        <v>311.71769999999998</v>
      </c>
      <c r="M1557">
        <v>-3.8407570000000002E-2</v>
      </c>
      <c r="N1557">
        <v>-1.182424E-2</v>
      </c>
      <c r="O1557">
        <v>-0.99919250000000004</v>
      </c>
      <c r="P1557">
        <v>-0.20348540000000001</v>
      </c>
      <c r="Q1557">
        <v>0.14932400000000001</v>
      </c>
      <c r="R1557">
        <v>-0.96762409999999999</v>
      </c>
      <c r="S1557">
        <v>-0.84693909999999994</v>
      </c>
      <c r="T1557">
        <v>-0.22905139999999999</v>
      </c>
      <c r="U1557">
        <v>-2.9574889999999998</v>
      </c>
      <c r="V1557">
        <v>0.1666541</v>
      </c>
      <c r="W1557">
        <v>0.16033559999999999</v>
      </c>
      <c r="X1557">
        <v>0.97289199999999998</v>
      </c>
      <c r="Y1557">
        <v>0.23751420000000001</v>
      </c>
      <c r="Z1557">
        <v>6.280608E-2</v>
      </c>
      <c r="AA1557">
        <v>0.96935150000000003</v>
      </c>
      <c r="AB1557">
        <v>28</v>
      </c>
      <c r="AC1557">
        <v>-4.1266999999999996</v>
      </c>
      <c r="AD1557">
        <v>-1.1194216377910999</v>
      </c>
      <c r="AE1557">
        <v>-14.1579999999999</v>
      </c>
      <c r="AF1557">
        <v>3.55933372448987</v>
      </c>
      <c r="AG1557">
        <v>-1.1194216377910999</v>
      </c>
      <c r="AH1557">
        <v>14.224100904693699</v>
      </c>
      <c r="AI1557">
        <v>94.3657776249824</v>
      </c>
      <c r="AJ1557">
        <v>75.951214265922303</v>
      </c>
      <c r="AK1557">
        <v>14.705339435468799</v>
      </c>
      <c r="AL1557">
        <v>80.773623533280102</v>
      </c>
      <c r="AM1557">
        <v>80.279709462570395</v>
      </c>
      <c r="AN1557">
        <v>0.99999996866908403</v>
      </c>
    </row>
    <row r="1558" spans="1:40" x14ac:dyDescent="0.25">
      <c r="A1558" t="str">
        <f>"20190303162242827"</f>
        <v>20190303162242827</v>
      </c>
      <c r="B1558" t="str">
        <f>"1551601362816589"</f>
        <v>1551601362816589</v>
      </c>
      <c r="C1558" t="s">
        <v>40</v>
      </c>
      <c r="D1558">
        <v>5.1089960000000003</v>
      </c>
      <c r="E1558">
        <v>0.53206089999999995</v>
      </c>
      <c r="F1558" t="s">
        <v>46</v>
      </c>
      <c r="G1558">
        <v>-195.69030000000001</v>
      </c>
      <c r="H1558" s="1">
        <v>4.5004820000000002E-7</v>
      </c>
      <c r="I1558">
        <v>297.0609</v>
      </c>
      <c r="J1558">
        <v>-191.4443</v>
      </c>
      <c r="K1558">
        <v>1.1193280000000001</v>
      </c>
      <c r="L1558">
        <v>311.4341</v>
      </c>
      <c r="M1558">
        <v>-4.0217900000000001E-2</v>
      </c>
      <c r="N1558">
        <v>-1.1827870000000001E-2</v>
      </c>
      <c r="O1558">
        <v>-0.99912089999999998</v>
      </c>
      <c r="P1558">
        <v>-0.2071112</v>
      </c>
      <c r="Q1558">
        <v>0.14998439999999999</v>
      </c>
      <c r="R1558">
        <v>-0.9667521</v>
      </c>
      <c r="S1558">
        <v>-0.85853579999999996</v>
      </c>
      <c r="T1558">
        <v>-0.22566069999999999</v>
      </c>
      <c r="U1558">
        <v>-2.9546199999999998</v>
      </c>
      <c r="V1558">
        <v>0.16858679999999901</v>
      </c>
      <c r="W1558">
        <v>0.16094829999999999</v>
      </c>
      <c r="X1558">
        <v>0.97245780000000004</v>
      </c>
      <c r="Y1558">
        <v>0.23953459999999999</v>
      </c>
      <c r="Z1558">
        <v>6.1711040000000002E-2</v>
      </c>
      <c r="AA1558">
        <v>0.96892460000000002</v>
      </c>
      <c r="AB1558">
        <v>28</v>
      </c>
      <c r="AC1558">
        <v>-4.2460000000000004</v>
      </c>
      <c r="AD1558">
        <v>-1.1193275499518001</v>
      </c>
      <c r="AE1558">
        <v>-14.373199999999899</v>
      </c>
      <c r="AF1558">
        <v>3.6441372008566701</v>
      </c>
      <c r="AG1558">
        <v>-1.1193275499518001</v>
      </c>
      <c r="AH1558">
        <v>14.451736251964901</v>
      </c>
      <c r="AI1558">
        <v>94.294962004134206</v>
      </c>
      <c r="AJ1558">
        <v>75.847383925793693</v>
      </c>
      <c r="AK1558">
        <v>14.946080114836301</v>
      </c>
      <c r="AL1558">
        <v>80.738056955728496</v>
      </c>
      <c r="AM1558">
        <v>80.164866018100696</v>
      </c>
      <c r="AN1558">
        <v>1.0000000185939799</v>
      </c>
    </row>
    <row r="1559" spans="1:40" x14ac:dyDescent="0.25">
      <c r="A1559" t="str">
        <f>"20190303162242847"</f>
        <v>20190303162242847</v>
      </c>
      <c r="B1559" t="str">
        <f>"1551601362836110"</f>
        <v>1551601362836110</v>
      </c>
      <c r="C1559" t="s">
        <v>40</v>
      </c>
      <c r="D1559">
        <v>5.1061880000000004</v>
      </c>
      <c r="E1559">
        <v>0.53173689999999996</v>
      </c>
      <c r="F1559" t="s">
        <v>46</v>
      </c>
      <c r="G1559">
        <v>-195.80629999999999</v>
      </c>
      <c r="H1559" s="1">
        <v>5.3715949999999996E-7</v>
      </c>
      <c r="I1559">
        <v>296.62939999999998</v>
      </c>
      <c r="J1559">
        <v>-191.4564</v>
      </c>
      <c r="K1559">
        <v>1.1192390000000001</v>
      </c>
      <c r="L1559">
        <v>311.17919999999998</v>
      </c>
      <c r="M1559">
        <v>-4.195277E-2</v>
      </c>
      <c r="N1559">
        <v>-1.1831700000000001E-2</v>
      </c>
      <c r="O1559">
        <v>-0.99904979999999999</v>
      </c>
      <c r="P1559">
        <v>-0.21013699999999999</v>
      </c>
      <c r="Q1559">
        <v>0.14983109999999999</v>
      </c>
      <c r="R1559">
        <v>-0.96612319999999996</v>
      </c>
      <c r="S1559">
        <v>-0.86959839999999999</v>
      </c>
      <c r="T1559">
        <v>-0.2231477</v>
      </c>
      <c r="U1559">
        <v>-2.9514469999999999</v>
      </c>
      <c r="V1559">
        <v>0.169981299999999</v>
      </c>
      <c r="W1559">
        <v>0.16075159999999999</v>
      </c>
      <c r="X1559">
        <v>0.97224750000000004</v>
      </c>
      <c r="Y1559">
        <v>0.2414868</v>
      </c>
      <c r="Z1559">
        <v>6.0908660000000003E-2</v>
      </c>
      <c r="AA1559">
        <v>0.96849070000000004</v>
      </c>
      <c r="AB1559">
        <v>28</v>
      </c>
      <c r="AC1559">
        <v>-4.3498999999999901</v>
      </c>
      <c r="AD1559">
        <v>-1.1192384628405001</v>
      </c>
      <c r="AE1559">
        <v>-14.549799999999999</v>
      </c>
      <c r="AF1559">
        <v>3.7154409206071599</v>
      </c>
      <c r="AG1559">
        <v>-1.1192384628405001</v>
      </c>
      <c r="AH1559">
        <v>14.6399687847167</v>
      </c>
      <c r="AI1559">
        <v>94.237971154798998</v>
      </c>
      <c r="AJ1559">
        <v>75.759697225272106</v>
      </c>
      <c r="AK1559">
        <v>15.1454904835962</v>
      </c>
      <c r="AL1559">
        <v>80.749475176151606</v>
      </c>
      <c r="AM1559">
        <v>80.083018650908002</v>
      </c>
      <c r="AN1559">
        <v>0.99999996025424898</v>
      </c>
    </row>
    <row r="1560" spans="1:40" x14ac:dyDescent="0.25">
      <c r="A1560" t="str">
        <f>"20190303162242872"</f>
        <v>20190303162242872</v>
      </c>
      <c r="B1560" t="str">
        <f>"1551601362866366"</f>
        <v>1551601362866366</v>
      </c>
      <c r="C1560" t="s">
        <v>40</v>
      </c>
      <c r="D1560">
        <v>5.0892169999999997</v>
      </c>
      <c r="E1560">
        <v>0.53109949999999995</v>
      </c>
      <c r="F1560" t="s">
        <v>46</v>
      </c>
      <c r="G1560">
        <v>-195.8168</v>
      </c>
      <c r="H1560" s="1">
        <v>5.7917039999999999E-7</v>
      </c>
      <c r="I1560">
        <v>296.50790000000001</v>
      </c>
      <c r="J1560">
        <v>-191.47149999999999</v>
      </c>
      <c r="K1560">
        <v>1.1191150000000001</v>
      </c>
      <c r="L1560">
        <v>310.87860000000001</v>
      </c>
      <c r="M1560">
        <v>-4.4171719999999998E-2</v>
      </c>
      <c r="N1560">
        <v>-1.183684E-2</v>
      </c>
      <c r="O1560">
        <v>-0.99895400000000001</v>
      </c>
      <c r="P1560">
        <v>-0.2131111</v>
      </c>
      <c r="Q1560">
        <v>0.14941679999999999</v>
      </c>
      <c r="R1560">
        <v>-0.96553520000000004</v>
      </c>
      <c r="S1560">
        <v>-0.87658689999999995</v>
      </c>
      <c r="T1560">
        <v>-0.22500239999999999</v>
      </c>
      <c r="U1560">
        <v>-2.9494020000000001</v>
      </c>
      <c r="V1560">
        <v>0.17086119999999999</v>
      </c>
      <c r="W1560">
        <v>0.1602876</v>
      </c>
      <c r="X1560">
        <v>0.97216990000000003</v>
      </c>
      <c r="Y1560">
        <v>0.24161189999999999</v>
      </c>
      <c r="Z1560">
        <v>6.1521569999999998E-2</v>
      </c>
      <c r="AA1560">
        <v>0.96842070000000002</v>
      </c>
      <c r="AB1560">
        <v>28</v>
      </c>
      <c r="AC1560">
        <v>-4.3452999999999999</v>
      </c>
      <c r="AD1560">
        <v>-1.11911442082959</v>
      </c>
      <c r="AE1560">
        <v>-14.370699999999999</v>
      </c>
      <c r="AF1560">
        <v>3.6857555608709101</v>
      </c>
      <c r="AG1560">
        <v>-1.11911442082959</v>
      </c>
      <c r="AH1560">
        <v>14.468232294956399</v>
      </c>
      <c r="AI1560">
        <v>94.286635504368704</v>
      </c>
      <c r="AJ1560">
        <v>75.707997335845903</v>
      </c>
      <c r="AK1560">
        <v>14.972206146130199</v>
      </c>
      <c r="AL1560">
        <v>80.776409959746999</v>
      </c>
      <c r="AM1560">
        <v>80.031931100127196</v>
      </c>
      <c r="AN1560">
        <v>0.99999998942260404</v>
      </c>
    </row>
    <row r="1561" spans="1:40" x14ac:dyDescent="0.25">
      <c r="A1561" t="str">
        <f>"20190303162242895"</f>
        <v>20190303162242895</v>
      </c>
      <c r="B1561" t="str">
        <f>"1551601362885885"</f>
        <v>1551601362885885</v>
      </c>
      <c r="C1561" t="s">
        <v>40</v>
      </c>
      <c r="D1561">
        <v>5.0948849999999997</v>
      </c>
      <c r="E1561">
        <v>0.53060739999999995</v>
      </c>
      <c r="F1561" t="s">
        <v>46</v>
      </c>
      <c r="G1561">
        <v>-195.90620000000001</v>
      </c>
      <c r="H1561" s="1">
        <v>7.3119759999999996E-7</v>
      </c>
      <c r="I1561">
        <v>296.05540000000002</v>
      </c>
      <c r="J1561">
        <v>-191.4873</v>
      </c>
      <c r="K1561">
        <v>1.118984</v>
      </c>
      <c r="L1561">
        <v>310.57979999999998</v>
      </c>
      <c r="M1561">
        <v>-4.65881E-2</v>
      </c>
      <c r="N1561">
        <v>-1.1842709999999999E-2</v>
      </c>
      <c r="O1561">
        <v>-0.99884410000000001</v>
      </c>
      <c r="P1561">
        <v>-0.21648010000000001</v>
      </c>
      <c r="Q1561">
        <v>0.14980489999999999</v>
      </c>
      <c r="R1561">
        <v>-0.96472559999999996</v>
      </c>
      <c r="S1561">
        <v>-0.88165280000000001</v>
      </c>
      <c r="T1561">
        <v>-0.2224855</v>
      </c>
      <c r="U1561">
        <v>-2.94693</v>
      </c>
      <c r="V1561">
        <v>0.17196259999999999</v>
      </c>
      <c r="W1561">
        <v>0.16061700000000001</v>
      </c>
      <c r="X1561">
        <v>0.97192129999999999</v>
      </c>
      <c r="Y1561">
        <v>0.24103050000000001</v>
      </c>
      <c r="Z1561">
        <v>6.0738630000000002E-2</v>
      </c>
      <c r="AA1561">
        <v>0.96861509999999995</v>
      </c>
      <c r="AB1561">
        <v>28</v>
      </c>
      <c r="AC1561">
        <v>-4.4188999999999998</v>
      </c>
      <c r="AD1561">
        <v>-1.1189832688024</v>
      </c>
      <c r="AE1561">
        <v>-14.524399999999901</v>
      </c>
      <c r="AF1561">
        <v>3.7171957447625599</v>
      </c>
      <c r="AG1561">
        <v>-1.1189832688024</v>
      </c>
      <c r="AH1561">
        <v>14.635003968431599</v>
      </c>
      <c r="AI1561">
        <v>94.238233034066397</v>
      </c>
      <c r="AJ1561">
        <v>75.748608963730902</v>
      </c>
      <c r="AK1561">
        <v>15.141103292585701</v>
      </c>
      <c r="AL1561">
        <v>80.757288948878298</v>
      </c>
      <c r="AM1561">
        <v>79.966462560924697</v>
      </c>
      <c r="AN1561">
        <v>0.99999998494072495</v>
      </c>
    </row>
    <row r="1562" spans="1:40" x14ac:dyDescent="0.25">
      <c r="A1562" t="str">
        <f>"20190303162242916"</f>
        <v>20190303162242916</v>
      </c>
      <c r="B1562" t="str">
        <f>"1551601362906382"</f>
        <v>1551601362906382</v>
      </c>
      <c r="C1562" t="s">
        <v>40</v>
      </c>
      <c r="D1562">
        <v>5.1117499999999998</v>
      </c>
      <c r="E1562">
        <v>0.53038479999999999</v>
      </c>
      <c r="F1562" t="s">
        <v>46</v>
      </c>
      <c r="G1562">
        <v>-196.03819999999999</v>
      </c>
      <c r="H1562" s="1">
        <v>9.1589630000000001E-7</v>
      </c>
      <c r="I1562">
        <v>295.49979999999999</v>
      </c>
      <c r="J1562">
        <v>-191.50200000000001</v>
      </c>
      <c r="K1562">
        <v>1.1188480000000001</v>
      </c>
      <c r="L1562">
        <v>310.31880000000001</v>
      </c>
      <c r="M1562">
        <v>-4.888642E-2</v>
      </c>
      <c r="N1562">
        <v>-1.1848829999999999E-2</v>
      </c>
      <c r="O1562">
        <v>-0.99873409999999996</v>
      </c>
      <c r="P1562">
        <v>-0.2200589</v>
      </c>
      <c r="Q1562">
        <v>0.14976600000000001</v>
      </c>
      <c r="R1562">
        <v>-0.96392100000000003</v>
      </c>
      <c r="S1562">
        <v>-0.88851930000000001</v>
      </c>
      <c r="T1562">
        <v>-0.21847220000000001</v>
      </c>
      <c r="U1562">
        <v>-2.9442439999999999</v>
      </c>
      <c r="V1562">
        <v>0.17338689999999901</v>
      </c>
      <c r="W1562">
        <v>0.16051960000000001</v>
      </c>
      <c r="X1562">
        <v>0.97168429999999995</v>
      </c>
      <c r="Y1562">
        <v>0.24113589999999999</v>
      </c>
      <c r="Z1562">
        <v>5.9461559999999997E-2</v>
      </c>
      <c r="AA1562">
        <v>0.96866799999999997</v>
      </c>
      <c r="AB1562">
        <v>28</v>
      </c>
      <c r="AC1562">
        <v>-4.5361999999999796</v>
      </c>
      <c r="AD1562">
        <v>-1.1188470841036999</v>
      </c>
      <c r="AE1562">
        <v>-14.819000000000001</v>
      </c>
      <c r="AF1562">
        <v>3.7865413414176698</v>
      </c>
      <c r="AG1562">
        <v>-1.1188470841036999</v>
      </c>
      <c r="AH1562">
        <v>14.945158976462199</v>
      </c>
      <c r="AI1562">
        <v>94.150706864331099</v>
      </c>
      <c r="AJ1562">
        <v>75.782581594465</v>
      </c>
      <c r="AK1562">
        <v>15.4579264767175</v>
      </c>
      <c r="AL1562">
        <v>80.762942770876094</v>
      </c>
      <c r="AM1562">
        <v>79.882651624132293</v>
      </c>
      <c r="AN1562">
        <v>0.99999996897112897</v>
      </c>
    </row>
    <row r="1563" spans="1:40" x14ac:dyDescent="0.25">
      <c r="A1563" t="str">
        <f>"20190303162242938"</f>
        <v>20190303162242938</v>
      </c>
      <c r="B1563" t="str">
        <f>"1551601362925901"</f>
        <v>1551601362925901</v>
      </c>
      <c r="C1563" t="s">
        <v>40</v>
      </c>
      <c r="D1563">
        <v>5.1277189999999999</v>
      </c>
      <c r="E1563">
        <v>0.53015380000000001</v>
      </c>
      <c r="F1563" t="s">
        <v>46</v>
      </c>
      <c r="G1563">
        <v>-196.0849</v>
      </c>
      <c r="H1563" s="1">
        <v>9.8094390000000001E-7</v>
      </c>
      <c r="I1563">
        <v>295.30410000000001</v>
      </c>
      <c r="J1563">
        <v>-191.51830000000001</v>
      </c>
      <c r="K1563">
        <v>1.1186849999999999</v>
      </c>
      <c r="L1563">
        <v>310.0421</v>
      </c>
      <c r="M1563">
        <v>-5.1510380000000001E-2</v>
      </c>
      <c r="N1563">
        <v>-1.185659E-2</v>
      </c>
      <c r="O1563">
        <v>-0.99860210000000005</v>
      </c>
      <c r="P1563">
        <v>-0.22445190000000001</v>
      </c>
      <c r="Q1563">
        <v>0.14862520000000001</v>
      </c>
      <c r="R1563">
        <v>-0.96308479999999996</v>
      </c>
      <c r="S1563">
        <v>-0.89778139999999995</v>
      </c>
      <c r="T1563">
        <v>-0.21918009999999999</v>
      </c>
      <c r="U1563">
        <v>-2.9413450000000001</v>
      </c>
      <c r="V1563">
        <v>0.17531089999999999</v>
      </c>
      <c r="W1563">
        <v>0.15931319999999999</v>
      </c>
      <c r="X1563">
        <v>0.9715376</v>
      </c>
      <c r="Y1563">
        <v>0.2416382</v>
      </c>
      <c r="Z1563">
        <v>5.9705500000000002E-2</v>
      </c>
      <c r="AA1563">
        <v>0.9685279</v>
      </c>
      <c r="AB1563">
        <v>28</v>
      </c>
      <c r="AC1563">
        <v>-4.5665999999999896</v>
      </c>
      <c r="AD1563">
        <v>-1.1186840190560901</v>
      </c>
      <c r="AE1563">
        <v>-14.738</v>
      </c>
      <c r="AF1563">
        <v>3.7814450593503701</v>
      </c>
      <c r="AG1563">
        <v>-1.1186840190560901</v>
      </c>
      <c r="AH1563">
        <v>14.8754779273265</v>
      </c>
      <c r="AI1563">
        <v>94.1686397075092</v>
      </c>
      <c r="AJ1563">
        <v>75.737137845625199</v>
      </c>
      <c r="AK1563">
        <v>15.3893022661118</v>
      </c>
      <c r="AL1563">
        <v>80.832965456674799</v>
      </c>
      <c r="AM1563">
        <v>79.771229060201307</v>
      </c>
      <c r="AN1563">
        <v>0.999999957783404</v>
      </c>
    </row>
    <row r="1564" spans="1:40" x14ac:dyDescent="0.25">
      <c r="A1564" t="str">
        <f>"20190303162242961"</f>
        <v>20190303162242961</v>
      </c>
      <c r="B1564" t="str">
        <f>"1551601362956157"</f>
        <v>1551601362956157</v>
      </c>
      <c r="C1564" t="s">
        <v>40</v>
      </c>
      <c r="D1564">
        <v>5.1453419999999896</v>
      </c>
      <c r="E1564">
        <v>0.52982399999999996</v>
      </c>
      <c r="F1564" t="s">
        <v>46</v>
      </c>
      <c r="G1564">
        <v>-196.05439999999999</v>
      </c>
      <c r="H1564" s="1">
        <v>9.556175999999999E-7</v>
      </c>
      <c r="I1564">
        <v>295.38339999999999</v>
      </c>
      <c r="J1564">
        <v>-191.53569999999999</v>
      </c>
      <c r="K1564">
        <v>1.1185320000000001</v>
      </c>
      <c r="L1564">
        <v>309.76339999999999</v>
      </c>
      <c r="M1564">
        <v>-5.433673E-2</v>
      </c>
      <c r="N1564">
        <v>-1.186505E-2</v>
      </c>
      <c r="O1564">
        <v>-0.99845209999999995</v>
      </c>
      <c r="P1564">
        <v>-0.22886219999999999</v>
      </c>
      <c r="Q1564">
        <v>0.14746689999999901</v>
      </c>
      <c r="R1564">
        <v>-0.96222470000000004</v>
      </c>
      <c r="S1564">
        <v>-0.90905760000000002</v>
      </c>
      <c r="T1564">
        <v>-0.22418830000000001</v>
      </c>
      <c r="U1564">
        <v>-2.9376530000000001</v>
      </c>
      <c r="V1564">
        <v>0.17705660000000001</v>
      </c>
      <c r="W1564">
        <v>0.15809010000000001</v>
      </c>
      <c r="X1564">
        <v>0.97142090000000003</v>
      </c>
      <c r="Y1564">
        <v>0.2425959</v>
      </c>
      <c r="Z1564">
        <v>6.1350130000000003E-2</v>
      </c>
      <c r="AA1564">
        <v>0.96818559999999998</v>
      </c>
      <c r="AB1564">
        <v>28</v>
      </c>
      <c r="AC1564">
        <v>-4.5186999999999902</v>
      </c>
      <c r="AD1564">
        <v>-1.1185310443823999</v>
      </c>
      <c r="AE1564">
        <v>-14.3799999999999</v>
      </c>
      <c r="AF1564">
        <v>3.7101758228874799</v>
      </c>
      <c r="AG1564">
        <v>-1.1185310443823999</v>
      </c>
      <c r="AH1564">
        <v>14.524322324578099</v>
      </c>
      <c r="AI1564">
        <v>94.267214642414004</v>
      </c>
      <c r="AJ1564">
        <v>75.670472609697597</v>
      </c>
      <c r="AK1564">
        <v>15.032380228101699</v>
      </c>
      <c r="AL1564">
        <v>80.903944240017793</v>
      </c>
      <c r="AM1564">
        <v>79.670341391758299</v>
      </c>
      <c r="AN1564">
        <v>1.0000000421391799</v>
      </c>
    </row>
    <row r="1565" spans="1:40" x14ac:dyDescent="0.25">
      <c r="A1565" t="str">
        <f>"20190303162242982"</f>
        <v>20190303162242982</v>
      </c>
      <c r="B1565" t="str">
        <f>"1551601362976654"</f>
        <v>1551601362976654</v>
      </c>
      <c r="C1565" t="s">
        <v>40</v>
      </c>
      <c r="D1565">
        <v>5.150773</v>
      </c>
      <c r="E1565">
        <v>0.52965399999999996</v>
      </c>
      <c r="F1565" t="s">
        <v>46</v>
      </c>
      <c r="G1565">
        <v>-195.9967</v>
      </c>
      <c r="H1565" s="1">
        <v>9.1442850000000003E-7</v>
      </c>
      <c r="I1565">
        <v>295.51440000000002</v>
      </c>
      <c r="J1565">
        <v>-191.55459999999999</v>
      </c>
      <c r="K1565">
        <v>1.1183940000000001</v>
      </c>
      <c r="L1565">
        <v>309.4776</v>
      </c>
      <c r="M1565">
        <v>-5.7404919999999998E-2</v>
      </c>
      <c r="N1565">
        <v>-1.187333E-2</v>
      </c>
      <c r="O1565">
        <v>-0.99828059999999996</v>
      </c>
      <c r="P1565">
        <v>-0.23335040000000001</v>
      </c>
      <c r="Q1565">
        <v>0.1473835</v>
      </c>
      <c r="R1565">
        <v>-0.96115879999999998</v>
      </c>
      <c r="S1565">
        <v>-0.91874690000000003</v>
      </c>
      <c r="T1565">
        <v>-0.23036000000000001</v>
      </c>
      <c r="U1565">
        <v>-2.9345699999999999</v>
      </c>
      <c r="V1565">
        <v>0.17865899999999901</v>
      </c>
      <c r="W1565">
        <v>0.1579441</v>
      </c>
      <c r="X1565">
        <v>0.97115119999999999</v>
      </c>
      <c r="Y1565">
        <v>0.24277570000000001</v>
      </c>
      <c r="Z1565">
        <v>6.3368649999999999E-2</v>
      </c>
      <c r="AA1565">
        <v>0.9680105</v>
      </c>
      <c r="AB1565">
        <v>28</v>
      </c>
      <c r="AC1565">
        <v>-4.4421000000000097</v>
      </c>
      <c r="AD1565">
        <v>-1.1183930855715001</v>
      </c>
      <c r="AE1565">
        <v>-13.963199999999899</v>
      </c>
      <c r="AF1565">
        <v>3.6121179202590801</v>
      </c>
      <c r="AG1565">
        <v>-1.1183930855715001</v>
      </c>
      <c r="AH1565">
        <v>14.112969090243499</v>
      </c>
      <c r="AI1565">
        <v>94.390050713551503</v>
      </c>
      <c r="AJ1565">
        <v>75.643719831552602</v>
      </c>
      <c r="AK1565">
        <v>14.610752735772399</v>
      </c>
      <c r="AL1565">
        <v>80.912415610200696</v>
      </c>
      <c r="AM1565">
        <v>79.576064429807005</v>
      </c>
      <c r="AN1565">
        <v>1.0000000151336199</v>
      </c>
    </row>
    <row r="1566" spans="1:40" x14ac:dyDescent="0.25">
      <c r="A1566" t="str">
        <f>"20190303162243005"</f>
        <v>20190303162243005</v>
      </c>
      <c r="B1566" t="str">
        <f>"1551601362996173"</f>
        <v>1551601362996173</v>
      </c>
      <c r="C1566" t="s">
        <v>40</v>
      </c>
      <c r="D1566">
        <v>5.1853889999999998</v>
      </c>
      <c r="E1566">
        <v>0.52949990000000002</v>
      </c>
      <c r="F1566" t="s">
        <v>46</v>
      </c>
      <c r="G1566">
        <v>-196.06</v>
      </c>
      <c r="H1566" s="1">
        <v>9.9083579999999996E-7</v>
      </c>
      <c r="I1566">
        <v>295.28230000000002</v>
      </c>
      <c r="J1566">
        <v>-191.57429999999999</v>
      </c>
      <c r="K1566">
        <v>1.1182879999999999</v>
      </c>
      <c r="L1566">
        <v>309.19529999999997</v>
      </c>
      <c r="M1566">
        <v>-6.0587160000000001E-2</v>
      </c>
      <c r="N1566">
        <v>-1.18806E-2</v>
      </c>
      <c r="O1566">
        <v>-0.99809250000000005</v>
      </c>
      <c r="P1566">
        <v>-0.2383556</v>
      </c>
      <c r="Q1566">
        <v>0.1477282</v>
      </c>
      <c r="R1566">
        <v>-0.95987670000000003</v>
      </c>
      <c r="S1566">
        <v>-0.93022159999999998</v>
      </c>
      <c r="T1566">
        <v>-0.2309089</v>
      </c>
      <c r="U1566">
        <v>-2.9308169999999998</v>
      </c>
      <c r="V1566">
        <v>0.18067349999999999</v>
      </c>
      <c r="W1566">
        <v>0.15823219999999999</v>
      </c>
      <c r="X1566">
        <v>0.97073149999999997</v>
      </c>
      <c r="Y1566">
        <v>0.24347940000000001</v>
      </c>
      <c r="Z1566">
        <v>6.3566919999999999E-2</v>
      </c>
      <c r="AA1566">
        <v>0.96782080000000004</v>
      </c>
      <c r="AB1566">
        <v>28</v>
      </c>
      <c r="AC1566">
        <v>-4.4856999999999996</v>
      </c>
      <c r="AD1566">
        <v>-1.1182870091642001</v>
      </c>
      <c r="AE1566">
        <v>-13.912999999999901</v>
      </c>
      <c r="AF1566">
        <v>3.6133041733157798</v>
      </c>
      <c r="AG1566">
        <v>-1.1182870091642001</v>
      </c>
      <c r="AH1566">
        <v>14.076851928953101</v>
      </c>
      <c r="AI1566">
        <v>94.400073201083401</v>
      </c>
      <c r="AJ1566">
        <v>75.603883821952095</v>
      </c>
      <c r="AK1566">
        <v>14.576154949555001</v>
      </c>
      <c r="AL1566">
        <v>80.895698283527807</v>
      </c>
      <c r="AM1566">
        <v>79.456692239143393</v>
      </c>
      <c r="AN1566">
        <v>0.99999999390566996</v>
      </c>
    </row>
    <row r="1567" spans="1:40" x14ac:dyDescent="0.25">
      <c r="A1567" t="str">
        <f>"20190303162243026"</f>
        <v>20190303162243026</v>
      </c>
      <c r="B1567" t="str">
        <f>"1551601363015693"</f>
        <v>1551601363015693</v>
      </c>
      <c r="C1567" t="s">
        <v>40</v>
      </c>
      <c r="D1567">
        <v>5.1863449999999904</v>
      </c>
      <c r="E1567">
        <v>0.52966559999999996</v>
      </c>
      <c r="F1567" t="s">
        <v>46</v>
      </c>
      <c r="G1567">
        <v>-196.1448</v>
      </c>
      <c r="H1567" s="1">
        <v>1.0813619999999999E-6</v>
      </c>
      <c r="I1567">
        <v>295.005</v>
      </c>
      <c r="J1567">
        <v>-191.59370000000001</v>
      </c>
      <c r="K1567">
        <v>1.1182190000000001</v>
      </c>
      <c r="L1567">
        <v>308.93009999999998</v>
      </c>
      <c r="M1567">
        <v>-6.3667260000000003E-2</v>
      </c>
      <c r="N1567">
        <v>-1.188645E-2</v>
      </c>
      <c r="O1567">
        <v>-0.99790040000000002</v>
      </c>
      <c r="P1567">
        <v>-0.2427967</v>
      </c>
      <c r="Q1567">
        <v>0.1479142</v>
      </c>
      <c r="R1567">
        <v>-0.95873419999999998</v>
      </c>
      <c r="S1567">
        <v>-0.94267270000000003</v>
      </c>
      <c r="T1567">
        <v>-0.2306494</v>
      </c>
      <c r="U1567">
        <v>-2.9267880000000002</v>
      </c>
      <c r="V1567">
        <v>0.1822058</v>
      </c>
      <c r="W1567">
        <v>0.15837870000000001</v>
      </c>
      <c r="X1567">
        <v>0.97042110000000004</v>
      </c>
      <c r="Y1567">
        <v>0.24460609999999999</v>
      </c>
      <c r="Z1567">
        <v>6.3502240000000001E-2</v>
      </c>
      <c r="AA1567">
        <v>0.96754090000000004</v>
      </c>
      <c r="AB1567">
        <v>28</v>
      </c>
      <c r="AC1567">
        <v>-4.5510999999999902</v>
      </c>
      <c r="AD1567">
        <v>-1.1182179186379999</v>
      </c>
      <c r="AE1567">
        <v>-13.925099999999899</v>
      </c>
      <c r="AF1567">
        <v>3.6340572251343302</v>
      </c>
      <c r="AG1567">
        <v>-1.1182179186379999</v>
      </c>
      <c r="AH1567">
        <v>14.104446580426</v>
      </c>
      <c r="AI1567">
        <v>94.390205658454505</v>
      </c>
      <c r="AJ1567">
        <v>75.551797850450896</v>
      </c>
      <c r="AK1567">
        <v>14.6079497729559</v>
      </c>
      <c r="AL1567">
        <v>80.887196748468298</v>
      </c>
      <c r="AM1567">
        <v>79.365980993390806</v>
      </c>
      <c r="AN1567">
        <v>0.99999993874626802</v>
      </c>
    </row>
    <row r="1568" spans="1:40" x14ac:dyDescent="0.25">
      <c r="A1568" t="str">
        <f>"20190303162243048"</f>
        <v>20190303162243048</v>
      </c>
      <c r="B1568" t="str">
        <f>"1551601363036189"</f>
        <v>1551601363036189</v>
      </c>
      <c r="C1568" t="s">
        <v>40</v>
      </c>
      <c r="D1568">
        <v>5.1741679999999999</v>
      </c>
      <c r="E1568">
        <v>0.55303789999999997</v>
      </c>
      <c r="F1568" t="s">
        <v>46</v>
      </c>
      <c r="G1568">
        <v>-196.2388</v>
      </c>
      <c r="H1568" s="1">
        <v>1.169953E-6</v>
      </c>
      <c r="I1568">
        <v>294.73079999999999</v>
      </c>
      <c r="J1568">
        <v>-191.61529999999999</v>
      </c>
      <c r="K1568">
        <v>1.1181620000000001</v>
      </c>
      <c r="L1568">
        <v>308.649</v>
      </c>
      <c r="M1568">
        <v>-6.6998210000000002E-2</v>
      </c>
      <c r="N1568">
        <v>-1.189136E-2</v>
      </c>
      <c r="O1568">
        <v>-0.99768219999999996</v>
      </c>
      <c r="P1568">
        <v>-0.24856249999999999</v>
      </c>
      <c r="Q1568">
        <v>0.14836369999999999</v>
      </c>
      <c r="R1568">
        <v>-0.95718630000000005</v>
      </c>
      <c r="S1568">
        <v>-0.95605469999999904</v>
      </c>
      <c r="T1568">
        <v>-0.23015450000000001</v>
      </c>
      <c r="U1568">
        <v>-2.9225460000000001</v>
      </c>
      <c r="V1568">
        <v>0.18483820000000001</v>
      </c>
      <c r="W1568">
        <v>0.15878729999999999</v>
      </c>
      <c r="X1568">
        <v>0.96985639999999995</v>
      </c>
      <c r="Y1568">
        <v>0.24578910000000001</v>
      </c>
      <c r="Z1568">
        <v>6.3360150000000004E-2</v>
      </c>
      <c r="AA1568">
        <v>0.96725030000000001</v>
      </c>
      <c r="AB1568">
        <v>28</v>
      </c>
      <c r="AC1568">
        <v>-4.6234999999999999</v>
      </c>
      <c r="AD1568">
        <v>-1.1181608300470001</v>
      </c>
      <c r="AE1568">
        <v>-13.918200000000001</v>
      </c>
      <c r="AF1568">
        <v>3.6592790133391402</v>
      </c>
      <c r="AG1568">
        <v>-1.1181608300470001</v>
      </c>
      <c r="AH1568">
        <v>14.114665718140699</v>
      </c>
      <c r="AI1568">
        <v>94.385122518703497</v>
      </c>
      <c r="AJ1568">
        <v>75.465844515623701</v>
      </c>
      <c r="AK1568">
        <v>14.624103216066599</v>
      </c>
      <c r="AL1568">
        <v>80.863486222965307</v>
      </c>
      <c r="AM1568">
        <v>79.209793480828907</v>
      </c>
      <c r="AN1568">
        <v>1.00000000172074</v>
      </c>
    </row>
    <row r="1569" spans="1:40" x14ac:dyDescent="0.25">
      <c r="A1569" t="str">
        <f>"20190303162243073"</f>
        <v>20190303162243073</v>
      </c>
      <c r="B1569" t="str">
        <f>"1551601363065975"</f>
        <v>1551601363065975</v>
      </c>
      <c r="C1569" t="s">
        <v>40</v>
      </c>
      <c r="D1569">
        <v>5.1522360000000003</v>
      </c>
      <c r="E1569">
        <v>0.55408659999999998</v>
      </c>
      <c r="F1569" t="s">
        <v>46</v>
      </c>
      <c r="G1569">
        <v>-198.1054</v>
      </c>
      <c r="H1569" s="1">
        <v>1.412484E-6</v>
      </c>
      <c r="I1569">
        <v>292.529</v>
      </c>
      <c r="J1569">
        <v>-191.6403</v>
      </c>
      <c r="K1569">
        <v>1.1181319999999999</v>
      </c>
      <c r="L1569">
        <v>308.3383</v>
      </c>
      <c r="M1569">
        <v>-7.0724060000000005E-2</v>
      </c>
      <c r="N1569">
        <v>-1.1895319999999999E-2</v>
      </c>
      <c r="O1569">
        <v>-0.99742489999999995</v>
      </c>
      <c r="P1569">
        <v>-0.25413039999999998</v>
      </c>
      <c r="Q1569">
        <v>0.14804899999999999</v>
      </c>
      <c r="R1569">
        <v>-0.95577160000000005</v>
      </c>
      <c r="S1569">
        <v>-1.1536249999999999</v>
      </c>
      <c r="T1569">
        <v>-0.19875570000000001</v>
      </c>
      <c r="U1569">
        <v>-2.8653870000000001</v>
      </c>
      <c r="V1569">
        <v>0.1868716</v>
      </c>
      <c r="W1569">
        <v>0.15844649999999999</v>
      </c>
      <c r="X1569">
        <v>0.96952240000000001</v>
      </c>
      <c r="Y1569">
        <v>0.3062703</v>
      </c>
      <c r="Z1569">
        <v>5.3052200000000001E-2</v>
      </c>
      <c r="AA1569">
        <v>0.95046509999999995</v>
      </c>
      <c r="AB1569">
        <v>28</v>
      </c>
      <c r="AC1569">
        <v>-6.4650999999999996</v>
      </c>
      <c r="AD1569">
        <v>-1.1181305875159999</v>
      </c>
      <c r="AE1569">
        <v>-15.8093</v>
      </c>
      <c r="AF1569">
        <v>5.3079840923082102</v>
      </c>
      <c r="AG1569">
        <v>-1.1181305875159999</v>
      </c>
      <c r="AH1569">
        <v>16.157733114885001</v>
      </c>
      <c r="AI1569">
        <v>93.761457447531797</v>
      </c>
      <c r="AJ1569">
        <v>71.814108005602904</v>
      </c>
      <c r="AK1569">
        <v>17.0439798916446</v>
      </c>
      <c r="AL1569">
        <v>80.883262851649306</v>
      </c>
      <c r="AM1569">
        <v>79.090255331884904</v>
      </c>
      <c r="AN1569">
        <v>0.99999998617528396</v>
      </c>
    </row>
    <row r="1570" spans="1:40" x14ac:dyDescent="0.25">
      <c r="A1570" t="str">
        <f>"20190303162243097"</f>
        <v>20190303162243097</v>
      </c>
      <c r="B1570" t="str">
        <f>"1551601363086472"</f>
        <v>1551601363086472</v>
      </c>
      <c r="C1570" t="s">
        <v>40</v>
      </c>
      <c r="D1570">
        <v>5.175217</v>
      </c>
      <c r="E1570">
        <v>0.55428759999999999</v>
      </c>
      <c r="F1570" t="s">
        <v>46</v>
      </c>
      <c r="G1570">
        <v>-198.1431</v>
      </c>
      <c r="H1570" s="1">
        <v>1.401982E-6</v>
      </c>
      <c r="I1570">
        <v>292.56959999999998</v>
      </c>
      <c r="J1570">
        <v>-191.66480000000001</v>
      </c>
      <c r="K1570">
        <v>1.11812</v>
      </c>
      <c r="L1570">
        <v>308.0471</v>
      </c>
      <c r="M1570">
        <v>-7.4232549999999994E-2</v>
      </c>
      <c r="N1570">
        <v>-1.1897909999999999E-2</v>
      </c>
      <c r="O1570">
        <v>-0.99717020000000001</v>
      </c>
      <c r="P1570">
        <v>-0.25994339999999999</v>
      </c>
      <c r="Q1570">
        <v>0.1481711</v>
      </c>
      <c r="R1570">
        <v>-0.95418829999999999</v>
      </c>
      <c r="S1570">
        <v>-1.1781619999999999</v>
      </c>
      <c r="T1570">
        <v>-0.20257910000000001</v>
      </c>
      <c r="U1570">
        <v>-2.8569339999999999</v>
      </c>
      <c r="V1570">
        <v>0.18937390000000001</v>
      </c>
      <c r="W1570">
        <v>0.15854299999999999</v>
      </c>
      <c r="X1570">
        <v>0.96902100000000002</v>
      </c>
      <c r="Y1570">
        <v>0.31086009999999997</v>
      </c>
      <c r="Z1570">
        <v>5.430389E-2</v>
      </c>
      <c r="AA1570">
        <v>0.9489031</v>
      </c>
      <c r="AB1570">
        <v>28</v>
      </c>
      <c r="AC1570">
        <v>-6.4782999999999902</v>
      </c>
      <c r="AD1570">
        <v>-1.118118598018</v>
      </c>
      <c r="AE1570">
        <v>-15.477499999999999</v>
      </c>
      <c r="AF1570">
        <v>5.28792541272544</v>
      </c>
      <c r="AG1570">
        <v>-1.118118598018</v>
      </c>
      <c r="AH1570">
        <v>15.8453589778533</v>
      </c>
      <c r="AI1570">
        <v>93.829409679898404</v>
      </c>
      <c r="AJ1570">
        <v>71.545074817902702</v>
      </c>
      <c r="AK1570">
        <v>16.741796364393501</v>
      </c>
      <c r="AL1570">
        <v>80.8776634075777</v>
      </c>
      <c r="AM1570">
        <v>78.942164971386205</v>
      </c>
      <c r="AN1570">
        <v>1.0000000276456</v>
      </c>
    </row>
    <row r="1571" spans="1:40" x14ac:dyDescent="0.25">
      <c r="A1571" t="str">
        <f>"20190303162243119"</f>
        <v>20190303162243119</v>
      </c>
      <c r="B1571" t="str">
        <f>"1551601363105991"</f>
        <v>1551601363105991</v>
      </c>
      <c r="C1571" t="s">
        <v>40</v>
      </c>
      <c r="D1571">
        <v>5.1787470000000004</v>
      </c>
      <c r="E1571">
        <v>0.5541353</v>
      </c>
      <c r="F1571" t="s">
        <v>46</v>
      </c>
      <c r="G1571">
        <v>-198.33510000000001</v>
      </c>
      <c r="H1571" s="1">
        <v>1.454891E-6</v>
      </c>
      <c r="I1571">
        <v>292.17250000000001</v>
      </c>
      <c r="J1571">
        <v>-191.68950000000001</v>
      </c>
      <c r="K1571">
        <v>1.1181160000000001</v>
      </c>
      <c r="L1571">
        <v>307.7647</v>
      </c>
      <c r="M1571">
        <v>-7.7637949999999997E-2</v>
      </c>
      <c r="N1571">
        <v>-1.190014E-2</v>
      </c>
      <c r="O1571">
        <v>-0.99691079999999999</v>
      </c>
      <c r="P1571">
        <v>-0.26579370000000002</v>
      </c>
      <c r="Q1571">
        <v>0.1484926</v>
      </c>
      <c r="R1571">
        <v>-0.95252550000000002</v>
      </c>
      <c r="S1571">
        <v>-1.197144</v>
      </c>
      <c r="T1571">
        <v>-0.20067160000000001</v>
      </c>
      <c r="U1571">
        <v>-2.8490600000000001</v>
      </c>
      <c r="V1571">
        <v>0.19202369999999999</v>
      </c>
      <c r="W1571">
        <v>0.1588396</v>
      </c>
      <c r="X1571">
        <v>0.96845079999999995</v>
      </c>
      <c r="Y1571">
        <v>0.31393480000000001</v>
      </c>
      <c r="Z1571">
        <v>5.3719610000000001E-2</v>
      </c>
      <c r="AA1571">
        <v>0.94792359999999998</v>
      </c>
      <c r="AB1571">
        <v>28</v>
      </c>
      <c r="AC1571">
        <v>-6.6456</v>
      </c>
      <c r="AD1571">
        <v>-1.118114545109</v>
      </c>
      <c r="AE1571">
        <v>-15.592199999999901</v>
      </c>
      <c r="AF1571">
        <v>5.3914439540552603</v>
      </c>
      <c r="AG1571">
        <v>-1.118114545109</v>
      </c>
      <c r="AH1571">
        <v>15.991525859799999</v>
      </c>
      <c r="AI1571">
        <v>93.790594091865799</v>
      </c>
      <c r="AJ1571">
        <v>71.368784505201404</v>
      </c>
      <c r="AK1571">
        <v>16.9129165837934</v>
      </c>
      <c r="AL1571">
        <v>80.860451449770395</v>
      </c>
      <c r="AM1571">
        <v>78.7848984463524</v>
      </c>
      <c r="AN1571">
        <v>1.0000000359552399</v>
      </c>
    </row>
    <row r="1572" spans="1:40" x14ac:dyDescent="0.25">
      <c r="A1572" t="str">
        <f>"20190303162243141"</f>
        <v>20190303162243141</v>
      </c>
      <c r="B1572" t="str">
        <f>"1551601363126488"</f>
        <v>1551601363126488</v>
      </c>
      <c r="C1572" t="s">
        <v>40</v>
      </c>
      <c r="D1572">
        <v>5.2005970000000001</v>
      </c>
      <c r="E1572">
        <v>0.55371669999999995</v>
      </c>
      <c r="F1572" t="s">
        <v>46</v>
      </c>
      <c r="G1572">
        <v>-198.411</v>
      </c>
      <c r="H1572" s="1">
        <v>1.4761689999999999E-6</v>
      </c>
      <c r="I1572">
        <v>292.01339999999999</v>
      </c>
      <c r="J1572">
        <v>-191.71369999999999</v>
      </c>
      <c r="K1572">
        <v>1.118107</v>
      </c>
      <c r="L1572">
        <v>307.49770000000001</v>
      </c>
      <c r="M1572">
        <v>-8.0865779999999998E-2</v>
      </c>
      <c r="N1572">
        <v>-1.1902309999999999E-2</v>
      </c>
      <c r="O1572">
        <v>-0.99665409999999999</v>
      </c>
      <c r="P1572">
        <v>-0.27131929999999999</v>
      </c>
      <c r="Q1572">
        <v>0.1490234</v>
      </c>
      <c r="R1572">
        <v>-0.95088300000000003</v>
      </c>
      <c r="S1572">
        <v>-1.212982</v>
      </c>
      <c r="T1572">
        <v>-0.20177880000000001</v>
      </c>
      <c r="U1572">
        <v>-2.8425289999999999</v>
      </c>
      <c r="V1572">
        <v>0.1945287</v>
      </c>
      <c r="W1572">
        <v>0.15934470000000001</v>
      </c>
      <c r="X1572">
        <v>0.9678677</v>
      </c>
      <c r="Y1572">
        <v>0.31610500000000002</v>
      </c>
      <c r="Z1572">
        <v>5.4107469999999998E-2</v>
      </c>
      <c r="AA1572">
        <v>0.94718000000000002</v>
      </c>
      <c r="AB1572">
        <v>28</v>
      </c>
      <c r="AC1572">
        <v>-6.6972999999999798</v>
      </c>
      <c r="AD1572">
        <v>-1.118105523831</v>
      </c>
      <c r="AE1572">
        <v>-15.484299999999999</v>
      </c>
      <c r="AF1572">
        <v>5.39940826065774</v>
      </c>
      <c r="AG1572">
        <v>-1.118105523831</v>
      </c>
      <c r="AH1572">
        <v>15.9053394189669</v>
      </c>
      <c r="AI1572">
        <v>93.808359267981402</v>
      </c>
      <c r="AJ1572">
        <v>71.249118006531901</v>
      </c>
      <c r="AK1572">
        <v>16.8340010562024</v>
      </c>
      <c r="AL1572">
        <v>80.8311378298026</v>
      </c>
      <c r="AM1572">
        <v>78.635709099182193</v>
      </c>
      <c r="AN1572">
        <v>1.00000001662253</v>
      </c>
    </row>
    <row r="1573" spans="1:40" x14ac:dyDescent="0.25">
      <c r="A1573" t="str">
        <f>"20190303162243160"</f>
        <v>20190303162243160</v>
      </c>
      <c r="B1573" t="str">
        <f>"1551601363146008"</f>
        <v>1551601363146008</v>
      </c>
      <c r="C1573" t="s">
        <v>40</v>
      </c>
      <c r="D1573">
        <v>5.230639</v>
      </c>
      <c r="E1573">
        <v>0.55337939999999997</v>
      </c>
      <c r="F1573" t="s">
        <v>46</v>
      </c>
      <c r="G1573">
        <v>-198.52600000000001</v>
      </c>
      <c r="H1573" s="1">
        <v>1.5142179999999999E-6</v>
      </c>
      <c r="I1573">
        <v>291.73950000000002</v>
      </c>
      <c r="J1573">
        <v>-191.73779999999999</v>
      </c>
      <c r="K1573">
        <v>1.1180890000000001</v>
      </c>
      <c r="L1573">
        <v>307.24250000000001</v>
      </c>
      <c r="M1573">
        <v>-8.3972820000000004E-2</v>
      </c>
      <c r="N1573">
        <v>-1.190475E-2</v>
      </c>
      <c r="O1573">
        <v>-0.99639710000000004</v>
      </c>
      <c r="P1573">
        <v>-0.276451</v>
      </c>
      <c r="Q1573">
        <v>0.14940490000000001</v>
      </c>
      <c r="R1573">
        <v>-0.94934359999999995</v>
      </c>
      <c r="S1573">
        <v>-1.2262569999999999</v>
      </c>
      <c r="T1573">
        <v>-0.2012688</v>
      </c>
      <c r="U1573">
        <v>-2.8366090000000002</v>
      </c>
      <c r="V1573">
        <v>0.19675809999999999</v>
      </c>
      <c r="W1573">
        <v>0.159697799999999</v>
      </c>
      <c r="X1573">
        <v>0.96735870000000002</v>
      </c>
      <c r="Y1573">
        <v>0.31760429999999901</v>
      </c>
      <c r="Z1573">
        <v>5.3974029999999999E-2</v>
      </c>
      <c r="AA1573">
        <v>0.94668600000000003</v>
      </c>
      <c r="AB1573">
        <v>28</v>
      </c>
      <c r="AC1573">
        <v>-6.7881999999999802</v>
      </c>
      <c r="AD1573">
        <v>-1.11808748578199</v>
      </c>
      <c r="AE1573">
        <v>-15.502999999999901</v>
      </c>
      <c r="AF1573">
        <v>5.4385611919755403</v>
      </c>
      <c r="AG1573">
        <v>-1.11808748578199</v>
      </c>
      <c r="AH1573">
        <v>15.9486913323711</v>
      </c>
      <c r="AI1573">
        <v>93.796207710899694</v>
      </c>
      <c r="AJ1573">
        <v>71.170438844222701</v>
      </c>
      <c r="AK1573">
        <v>16.887534535271101</v>
      </c>
      <c r="AL1573">
        <v>80.810644067258707</v>
      </c>
      <c r="AM1573">
        <v>78.503028727071793</v>
      </c>
      <c r="AN1573">
        <v>0.99999999585306898</v>
      </c>
    </row>
    <row r="1574" spans="1:40" x14ac:dyDescent="0.25">
      <c r="A1574" t="str">
        <f>"20190303162243186"</f>
        <v>20190303162243186</v>
      </c>
      <c r="B1574" t="str">
        <f>"1551601363176264"</f>
        <v>1551601363176264</v>
      </c>
      <c r="C1574" t="s">
        <v>40</v>
      </c>
      <c r="D1574">
        <v>5.2357690000000003</v>
      </c>
      <c r="E1574">
        <v>0.55335889999999999</v>
      </c>
      <c r="F1574" t="s">
        <v>46</v>
      </c>
      <c r="G1574">
        <v>-198.5823</v>
      </c>
      <c r="H1574" s="1">
        <v>1.534352E-6</v>
      </c>
      <c r="I1574">
        <v>291.59679999999997</v>
      </c>
      <c r="J1574">
        <v>-191.76820000000001</v>
      </c>
      <c r="K1574">
        <v>1.1180319999999999</v>
      </c>
      <c r="L1574">
        <v>306.93130000000002</v>
      </c>
      <c r="M1574">
        <v>-8.7820839999999997E-2</v>
      </c>
      <c r="N1574">
        <v>-1.1908449999999999E-2</v>
      </c>
      <c r="O1574">
        <v>-0.99606530000000004</v>
      </c>
      <c r="P1574">
        <v>-0.2821998</v>
      </c>
      <c r="Q1574">
        <v>0.1490321</v>
      </c>
      <c r="R1574">
        <v>-0.94770960000000004</v>
      </c>
      <c r="S1574">
        <v>-1.238602</v>
      </c>
      <c r="T1574">
        <v>-0.2023307</v>
      </c>
      <c r="U1574">
        <v>-2.8312680000000001</v>
      </c>
      <c r="V1574">
        <v>0.19889970000000001</v>
      </c>
      <c r="W1574">
        <v>0.15928729999999999</v>
      </c>
      <c r="X1574">
        <v>0.96698839999999997</v>
      </c>
      <c r="Y1574">
        <v>0.3180538</v>
      </c>
      <c r="Z1574">
        <v>5.4347479999999997E-2</v>
      </c>
      <c r="AA1574">
        <v>0.94651370000000001</v>
      </c>
      <c r="AB1574">
        <v>28</v>
      </c>
      <c r="AC1574">
        <v>-6.8140999999999901</v>
      </c>
      <c r="AD1574">
        <v>-1.118030465648</v>
      </c>
      <c r="AE1574">
        <v>-15.3345</v>
      </c>
      <c r="AF1574">
        <v>5.41693762064072</v>
      </c>
      <c r="AG1574">
        <v>-1.118030465648</v>
      </c>
      <c r="AH1574">
        <v>15.803550254071</v>
      </c>
      <c r="AI1574">
        <v>93.828713001885006</v>
      </c>
      <c r="AJ1574">
        <v>71.079970402619395</v>
      </c>
      <c r="AK1574">
        <v>16.7435183262353</v>
      </c>
      <c r="AL1574">
        <v>80.834469466506803</v>
      </c>
      <c r="AM1574">
        <v>78.376947442714794</v>
      </c>
      <c r="AN1574">
        <v>1.00000005016796</v>
      </c>
    </row>
    <row r="1575" spans="1:40" x14ac:dyDescent="0.25">
      <c r="A1575" t="str">
        <f>"20190303162243207"</f>
        <v>20190303162243207</v>
      </c>
      <c r="B1575" t="str">
        <f>"1551601363195783"</f>
        <v>1551601363195783</v>
      </c>
      <c r="C1575" t="s">
        <v>40</v>
      </c>
      <c r="D1575">
        <v>5.2638119999999997</v>
      </c>
      <c r="E1575">
        <v>0.55347480000000004</v>
      </c>
      <c r="F1575" t="s">
        <v>46</v>
      </c>
      <c r="G1575">
        <v>-198.75899999999999</v>
      </c>
      <c r="H1575" s="1">
        <v>1.5864979999999999E-6</v>
      </c>
      <c r="I1575">
        <v>291.21170000000001</v>
      </c>
      <c r="J1575">
        <v>-191.79640000000001</v>
      </c>
      <c r="K1575">
        <v>1.117964</v>
      </c>
      <c r="L1575">
        <v>306.65519999999998</v>
      </c>
      <c r="M1575">
        <v>-9.1317309999999999E-2</v>
      </c>
      <c r="N1575">
        <v>-1.1912860000000001E-2</v>
      </c>
      <c r="O1575">
        <v>-0.99575069999999999</v>
      </c>
      <c r="P1575">
        <v>-0.287572099999999</v>
      </c>
      <c r="Q1575">
        <v>0.1479837</v>
      </c>
      <c r="R1575">
        <v>-0.94625769999999998</v>
      </c>
      <c r="S1575">
        <v>-1.255539</v>
      </c>
      <c r="T1575">
        <v>-0.20079820000000001</v>
      </c>
      <c r="U1575">
        <v>-2.823242</v>
      </c>
      <c r="V1575">
        <v>0.2009975</v>
      </c>
      <c r="W1575">
        <v>0.15819549999999999</v>
      </c>
      <c r="X1575">
        <v>0.96673379999999998</v>
      </c>
      <c r="Y1575">
        <v>0.32047379999999998</v>
      </c>
      <c r="Z1575">
        <v>5.3892009999999997E-2</v>
      </c>
      <c r="AA1575">
        <v>0.94572310000000004</v>
      </c>
      <c r="AB1575">
        <v>28</v>
      </c>
      <c r="AC1575">
        <v>-6.9626000000000001</v>
      </c>
      <c r="AD1575">
        <v>-1.1179624135020001</v>
      </c>
      <c r="AE1575">
        <v>-15.443499999999901</v>
      </c>
      <c r="AF1575">
        <v>5.4991964057134597</v>
      </c>
      <c r="AG1575">
        <v>-1.1179624135020001</v>
      </c>
      <c r="AH1575">
        <v>15.9453719119917</v>
      </c>
      <c r="AI1575">
        <v>93.792075258824198</v>
      </c>
      <c r="AJ1575">
        <v>70.971849615481403</v>
      </c>
      <c r="AK1575">
        <v>16.904019831932001</v>
      </c>
      <c r="AL1575">
        <v>80.897828152300505</v>
      </c>
      <c r="AM1575">
        <v>78.254739111521303</v>
      </c>
      <c r="AN1575">
        <v>1.0000000256444599</v>
      </c>
    </row>
    <row r="1576" spans="1:40" x14ac:dyDescent="0.25">
      <c r="A1576" t="str">
        <f>"20190303162243229"</f>
        <v>20190303162243229</v>
      </c>
      <c r="B1576" t="str">
        <f>"1551601363226039"</f>
        <v>1551601363226039</v>
      </c>
      <c r="C1576" t="s">
        <v>40</v>
      </c>
      <c r="D1576">
        <v>5.3016480000000001</v>
      </c>
      <c r="E1576">
        <v>0.55340149999999999</v>
      </c>
      <c r="F1576" t="s">
        <v>46</v>
      </c>
      <c r="G1576">
        <v>-198.85069999999999</v>
      </c>
      <c r="H1576" s="1">
        <v>1.606615E-6</v>
      </c>
      <c r="I1576">
        <v>291.05130000000003</v>
      </c>
      <c r="J1576">
        <v>-191.82589999999999</v>
      </c>
      <c r="K1576">
        <v>1.1178939999999999</v>
      </c>
      <c r="L1576">
        <v>306.37720000000002</v>
      </c>
      <c r="M1576">
        <v>-9.4916379999999995E-2</v>
      </c>
      <c r="N1576">
        <v>-1.1918089999999999E-2</v>
      </c>
      <c r="O1576">
        <v>-0.99541400000000002</v>
      </c>
      <c r="P1576">
        <v>-0.29307230000000001</v>
      </c>
      <c r="Q1576">
        <v>0.14767139999999901</v>
      </c>
      <c r="R1576">
        <v>-0.94461740000000005</v>
      </c>
      <c r="S1576">
        <v>-1.2726900000000001</v>
      </c>
      <c r="T1576">
        <v>-0.2016946</v>
      </c>
      <c r="U1576">
        <v>-2.8151549999999999</v>
      </c>
      <c r="V1576">
        <v>0.20315140000000001</v>
      </c>
      <c r="W1576">
        <v>0.15783440000000001</v>
      </c>
      <c r="X1576">
        <v>0.96634249999999999</v>
      </c>
      <c r="Y1576">
        <v>0.3228433</v>
      </c>
      <c r="Z1576">
        <v>5.4223460000000001E-2</v>
      </c>
      <c r="AA1576">
        <v>0.94489789999999996</v>
      </c>
      <c r="AB1576">
        <v>28</v>
      </c>
      <c r="AC1576">
        <v>-7.0247999999999902</v>
      </c>
      <c r="AD1576">
        <v>-1.117892393385</v>
      </c>
      <c r="AE1576">
        <v>-15.325899999999899</v>
      </c>
      <c r="AF1576">
        <v>5.5140543979582004</v>
      </c>
      <c r="AG1576">
        <v>-1.117892393385</v>
      </c>
      <c r="AH1576">
        <v>15.8538087080107</v>
      </c>
      <c r="AI1576">
        <v>93.810231018947206</v>
      </c>
      <c r="AJ1576">
        <v>70.822003815611694</v>
      </c>
      <c r="AK1576">
        <v>16.8225363681291</v>
      </c>
      <c r="AL1576">
        <v>80.9187807334946</v>
      </c>
      <c r="AM1576">
        <v>78.127758106509702</v>
      </c>
      <c r="AN1576">
        <v>1.0000000082257801</v>
      </c>
    </row>
    <row r="1577" spans="1:40" x14ac:dyDescent="0.25">
      <c r="A1577" t="str">
        <f>"20190303162243251"</f>
        <v>20190303162243251</v>
      </c>
      <c r="B1577" t="str">
        <f>"1551601363246536"</f>
        <v>1551601363246536</v>
      </c>
      <c r="C1577" t="s">
        <v>40</v>
      </c>
      <c r="D1577">
        <v>5.3080290000000003</v>
      </c>
      <c r="E1577">
        <v>0.553369</v>
      </c>
      <c r="F1577" t="s">
        <v>46</v>
      </c>
      <c r="G1577">
        <v>-198.9889</v>
      </c>
      <c r="H1577" s="1">
        <v>1.645319E-6</v>
      </c>
      <c r="I1577">
        <v>290.76190000000003</v>
      </c>
      <c r="J1577">
        <v>-191.85579999999999</v>
      </c>
      <c r="K1577">
        <v>1.117812</v>
      </c>
      <c r="L1577">
        <v>306.10489999999999</v>
      </c>
      <c r="M1577">
        <v>-9.8549380000000006E-2</v>
      </c>
      <c r="N1577">
        <v>-1.192378E-2</v>
      </c>
      <c r="O1577">
        <v>-0.99506070000000002</v>
      </c>
      <c r="P1577">
        <v>-0.29906090000000002</v>
      </c>
      <c r="Q1577">
        <v>0.147642</v>
      </c>
      <c r="R1577">
        <v>-0.9427432</v>
      </c>
      <c r="S1577">
        <v>-1.287949</v>
      </c>
      <c r="T1577">
        <v>-0.20100270000000001</v>
      </c>
      <c r="U1577">
        <v>-2.807709</v>
      </c>
      <c r="V1577">
        <v>0.205791</v>
      </c>
      <c r="W1577">
        <v>0.15774540000000001</v>
      </c>
      <c r="X1577">
        <v>0.96579839999999995</v>
      </c>
      <c r="Y1577">
        <v>0.32458379999999998</v>
      </c>
      <c r="Z1577">
        <v>5.4037099999999998E-2</v>
      </c>
      <c r="AA1577">
        <v>0.94431209999999999</v>
      </c>
      <c r="AB1577">
        <v>28</v>
      </c>
      <c r="AC1577">
        <v>-7.1331000000000104</v>
      </c>
      <c r="AD1577">
        <v>-1.1178103546809901</v>
      </c>
      <c r="AE1577">
        <v>-15.3429999999999</v>
      </c>
      <c r="AF1577">
        <v>5.5619466268386404</v>
      </c>
      <c r="AG1577">
        <v>-1.1178103546809901</v>
      </c>
      <c r="AH1577">
        <v>15.901911202618001</v>
      </c>
      <c r="AI1577">
        <v>93.796153930886007</v>
      </c>
      <c r="AJ1577">
        <v>70.721902719496498</v>
      </c>
      <c r="AK1577">
        <v>16.883587597568901</v>
      </c>
      <c r="AL1577">
        <v>80.923945114584498</v>
      </c>
      <c r="AM1577">
        <v>77.971383752246993</v>
      </c>
      <c r="AN1577">
        <v>1.0000000481723501</v>
      </c>
    </row>
    <row r="1578" spans="1:40" x14ac:dyDescent="0.25">
      <c r="A1578" t="str">
        <f>"20190303162243275"</f>
        <v>20190303162243275</v>
      </c>
      <c r="B1578" t="str">
        <f>"1551601363266055"</f>
        <v>1551601363266055</v>
      </c>
      <c r="C1578" t="s">
        <v>40</v>
      </c>
      <c r="D1578">
        <v>5.3029769999999896</v>
      </c>
      <c r="E1578">
        <v>0.55333489999999996</v>
      </c>
      <c r="F1578" t="s">
        <v>46</v>
      </c>
      <c r="G1578">
        <v>-199.09270000000001</v>
      </c>
      <c r="H1578" s="1">
        <v>1.666804E-6</v>
      </c>
      <c r="I1578">
        <v>290.58760000000001</v>
      </c>
      <c r="J1578">
        <v>-191.89099999999999</v>
      </c>
      <c r="K1578">
        <v>1.117702</v>
      </c>
      <c r="L1578">
        <v>305.79739999999998</v>
      </c>
      <c r="M1578">
        <v>-0.1028144</v>
      </c>
      <c r="N1578">
        <v>-1.1931539999999999E-2</v>
      </c>
      <c r="O1578">
        <v>-0.99462899999999999</v>
      </c>
      <c r="P1578">
        <v>-0.30571949999999998</v>
      </c>
      <c r="Q1578">
        <v>0.14729500000000001</v>
      </c>
      <c r="R1578">
        <v>-0.94065920000000003</v>
      </c>
      <c r="S1578">
        <v>-1.3056639999999999</v>
      </c>
      <c r="T1578">
        <v>-0.20167289999999999</v>
      </c>
      <c r="U1578">
        <v>-2.7995909999999999</v>
      </c>
      <c r="V1578">
        <v>0.20851749999999999</v>
      </c>
      <c r="W1578">
        <v>0.1573263</v>
      </c>
      <c r="X1578">
        <v>0.96528179999999997</v>
      </c>
      <c r="Y1578">
        <v>0.32647910000000002</v>
      </c>
      <c r="Z1578">
        <v>5.428641E-2</v>
      </c>
      <c r="AA1578">
        <v>0.94364420000000004</v>
      </c>
      <c r="AB1578">
        <v>28</v>
      </c>
      <c r="AC1578">
        <v>-7.2017000000000104</v>
      </c>
      <c r="AD1578">
        <v>-1.117700333196</v>
      </c>
      <c r="AE1578">
        <v>-15.2097999999999</v>
      </c>
      <c r="AF1578">
        <v>5.57503934064398</v>
      </c>
      <c r="AG1578">
        <v>-1.117700333196</v>
      </c>
      <c r="AH1578">
        <v>15.799979826610899</v>
      </c>
      <c r="AI1578">
        <v>93.816524161983295</v>
      </c>
      <c r="AJ1578">
        <v>70.564557593531404</v>
      </c>
      <c r="AK1578">
        <v>16.791952840746799</v>
      </c>
      <c r="AL1578">
        <v>80.948261266783206</v>
      </c>
      <c r="AM1578">
        <v>77.810423635428606</v>
      </c>
      <c r="AN1578">
        <v>1.00000003294458</v>
      </c>
    </row>
    <row r="1579" spans="1:40" x14ac:dyDescent="0.25">
      <c r="A1579" t="str">
        <f>"20190303162243298"</f>
        <v>20190303162243298</v>
      </c>
      <c r="B1579" t="str">
        <f>"1551601363286552"</f>
        <v>1551601363286552</v>
      </c>
      <c r="C1579" t="s">
        <v>40</v>
      </c>
      <c r="D1579">
        <v>5.347893</v>
      </c>
      <c r="E1579">
        <v>0.55331470000000005</v>
      </c>
      <c r="F1579" t="s">
        <v>46</v>
      </c>
      <c r="G1579">
        <v>-199.17769999999999</v>
      </c>
      <c r="H1579" s="1">
        <v>1.6829020000000001E-6</v>
      </c>
      <c r="I1579">
        <v>290.45339999999999</v>
      </c>
      <c r="J1579">
        <v>-191.92449999999999</v>
      </c>
      <c r="K1579">
        <v>1.1175850000000001</v>
      </c>
      <c r="L1579">
        <v>305.51589999999999</v>
      </c>
      <c r="M1579">
        <v>-0.10688449999999999</v>
      </c>
      <c r="N1579">
        <v>-1.1940310000000001E-2</v>
      </c>
      <c r="O1579">
        <v>-0.99419979999999997</v>
      </c>
      <c r="P1579">
        <v>-0.31247770000000002</v>
      </c>
      <c r="Q1579">
        <v>0.14670239999999901</v>
      </c>
      <c r="R1579">
        <v>-0.93852869999999999</v>
      </c>
      <c r="S1579">
        <v>-1.3251500000000001</v>
      </c>
      <c r="T1579">
        <v>-0.20326150000000001</v>
      </c>
      <c r="U1579">
        <v>-2.7904049999999998</v>
      </c>
      <c r="V1579">
        <v>0.21154400000000001</v>
      </c>
      <c r="W1579">
        <v>0.1566543</v>
      </c>
      <c r="X1579">
        <v>0.96473229999999999</v>
      </c>
      <c r="Y1579">
        <v>0.32917550000000001</v>
      </c>
      <c r="Z1579">
        <v>5.4837860000000002E-2</v>
      </c>
      <c r="AA1579">
        <v>0.94267509999999999</v>
      </c>
      <c r="AB1579">
        <v>28</v>
      </c>
      <c r="AC1579">
        <v>-7.2531999999999899</v>
      </c>
      <c r="AD1579">
        <v>-1.1175833170980001</v>
      </c>
      <c r="AE1579">
        <v>-15.0625</v>
      </c>
      <c r="AF1579">
        <v>5.5766599034132396</v>
      </c>
      <c r="AG1579">
        <v>-1.1175833170980001</v>
      </c>
      <c r="AH1579">
        <v>15.681433014121399</v>
      </c>
      <c r="AI1579">
        <v>93.841546755180602</v>
      </c>
      <c r="AJ1579">
        <v>70.423503171463693</v>
      </c>
      <c r="AK1579">
        <v>16.6809912632724</v>
      </c>
      <c r="AL1579">
        <v>80.987246446339299</v>
      </c>
      <c r="AM1579">
        <v>77.632077499520406</v>
      </c>
      <c r="AN1579">
        <v>0.999999922153887</v>
      </c>
    </row>
    <row r="1580" spans="1:40" x14ac:dyDescent="0.25">
      <c r="A1580" t="str">
        <f>"20190303162243319"</f>
        <v>20190303162243319</v>
      </c>
      <c r="B1580" t="str">
        <f>"1551601363306071"</f>
        <v>1551601363306071</v>
      </c>
      <c r="C1580" t="s">
        <v>40</v>
      </c>
      <c r="D1580">
        <v>5.3373339999999896</v>
      </c>
      <c r="E1580">
        <v>0.55324700000000004</v>
      </c>
      <c r="F1580" t="s">
        <v>46</v>
      </c>
      <c r="G1580">
        <v>-199.25299999999999</v>
      </c>
      <c r="H1580" s="1">
        <v>1.6934519999999999E-6</v>
      </c>
      <c r="I1580">
        <v>290.35559999999998</v>
      </c>
      <c r="J1580">
        <v>-191.9579</v>
      </c>
      <c r="K1580">
        <v>1.1174649999999999</v>
      </c>
      <c r="L1580">
        <v>305.24650000000003</v>
      </c>
      <c r="M1580">
        <v>-0.1109407</v>
      </c>
      <c r="N1580">
        <v>-1.1949980000000001E-2</v>
      </c>
      <c r="O1580">
        <v>-0.99375539999999996</v>
      </c>
      <c r="P1580">
        <v>-0.32035409999999997</v>
      </c>
      <c r="Q1580">
        <v>0.1461219</v>
      </c>
      <c r="R1580">
        <v>-0.93596069999999998</v>
      </c>
      <c r="S1580">
        <v>-1.3443149999999999</v>
      </c>
      <c r="T1580">
        <v>-0.2050053</v>
      </c>
      <c r="U1580">
        <v>-2.780945</v>
      </c>
      <c r="V1580">
        <v>0.21575220000000001</v>
      </c>
      <c r="W1580">
        <v>0.1559789</v>
      </c>
      <c r="X1580">
        <v>0.96390949999999997</v>
      </c>
      <c r="Y1580">
        <v>0.33182699999999998</v>
      </c>
      <c r="Z1580">
        <v>5.5444300000000002E-2</v>
      </c>
      <c r="AA1580">
        <v>0.94170949999999998</v>
      </c>
      <c r="AB1580">
        <v>28</v>
      </c>
      <c r="AC1580">
        <v>-7.2950999999999899</v>
      </c>
      <c r="AD1580">
        <v>-1.117463306548</v>
      </c>
      <c r="AE1580">
        <v>-14.8909</v>
      </c>
      <c r="AF1580">
        <v>5.5726284423058203</v>
      </c>
      <c r="AG1580">
        <v>-1.117463306548</v>
      </c>
      <c r="AH1580">
        <v>15.5377817418126</v>
      </c>
      <c r="AI1580">
        <v>93.872834833413194</v>
      </c>
      <c r="AJ1580">
        <v>70.269618166122896</v>
      </c>
      <c r="AK1580">
        <v>16.5446539236601</v>
      </c>
      <c r="AL1580">
        <v>81.026426142405896</v>
      </c>
      <c r="AM1580">
        <v>77.383419308093494</v>
      </c>
      <c r="AN1580">
        <v>0.99999997662014894</v>
      </c>
    </row>
    <row r="1581" spans="1:40" x14ac:dyDescent="0.25">
      <c r="A1581" t="str">
        <f>"20190303162243340"</f>
        <v>20190303162243340</v>
      </c>
      <c r="B1581" t="str">
        <f>"1551601363325591"</f>
        <v>1551601363325591</v>
      </c>
      <c r="C1581" t="s">
        <v>40</v>
      </c>
      <c r="D1581">
        <v>5.3554890000000004</v>
      </c>
      <c r="E1581">
        <v>0.5531374</v>
      </c>
      <c r="F1581" t="s">
        <v>46</v>
      </c>
      <c r="G1581">
        <v>-199.3099</v>
      </c>
      <c r="H1581" s="1">
        <v>1.691459E-6</v>
      </c>
      <c r="I1581">
        <v>290.3383</v>
      </c>
      <c r="J1581">
        <v>-191.9906</v>
      </c>
      <c r="K1581">
        <v>1.117343</v>
      </c>
      <c r="L1581">
        <v>304.99169999999998</v>
      </c>
      <c r="M1581">
        <v>-0.1149261</v>
      </c>
      <c r="N1581">
        <v>-1.196E-2</v>
      </c>
      <c r="O1581">
        <v>-0.99330229999999997</v>
      </c>
      <c r="P1581">
        <v>-0.3288953</v>
      </c>
      <c r="Q1581">
        <v>0.14601739999999999</v>
      </c>
      <c r="R1581">
        <v>-0.93300989999999995</v>
      </c>
      <c r="S1581">
        <v>-1.3660890000000001</v>
      </c>
      <c r="T1581">
        <v>-0.2076366</v>
      </c>
      <c r="U1581">
        <v>-2.770111</v>
      </c>
      <c r="V1581">
        <v>0.22074460000000001</v>
      </c>
      <c r="W1581">
        <v>0.1557684</v>
      </c>
      <c r="X1581">
        <v>0.96281260000000002</v>
      </c>
      <c r="Y1581">
        <v>0.33543070000000003</v>
      </c>
      <c r="Z1581">
        <v>5.6343049999999999E-2</v>
      </c>
      <c r="AA1581">
        <v>0.94037850000000001</v>
      </c>
      <c r="AB1581">
        <v>28</v>
      </c>
      <c r="AC1581">
        <v>-7.3192999999999904</v>
      </c>
      <c r="AD1581">
        <v>-1.117341308541</v>
      </c>
      <c r="AE1581">
        <v>-14.6533999999999</v>
      </c>
      <c r="AF1581">
        <v>5.5607418072966501</v>
      </c>
      <c r="AG1581">
        <v>-1.117341308541</v>
      </c>
      <c r="AH1581">
        <v>15.326214539992399</v>
      </c>
      <c r="AI1581">
        <v>93.920490916859194</v>
      </c>
      <c r="AJ1581">
        <v>70.057936179371396</v>
      </c>
      <c r="AK1581">
        <v>16.342066979824299</v>
      </c>
      <c r="AL1581">
        <v>81.038636699882005</v>
      </c>
      <c r="AM1581">
        <v>77.086934920078804</v>
      </c>
      <c r="AN1581">
        <v>1.0000000377932301</v>
      </c>
    </row>
    <row r="1582" spans="1:40" x14ac:dyDescent="0.25">
      <c r="A1582" t="str">
        <f>"20190303162243362"</f>
        <v>20190303162243362</v>
      </c>
      <c r="B1582" t="str">
        <f>"1551601363355848"</f>
        <v>1551601363355848</v>
      </c>
      <c r="C1582" t="s">
        <v>40</v>
      </c>
      <c r="D1582">
        <v>5.4141240000000002</v>
      </c>
      <c r="E1582">
        <v>0.55314379999999996</v>
      </c>
      <c r="F1582" t="s">
        <v>46</v>
      </c>
      <c r="G1582">
        <v>-199.4342</v>
      </c>
      <c r="H1582" s="1">
        <v>1.701595E-6</v>
      </c>
      <c r="I1582">
        <v>290.21809999999999</v>
      </c>
      <c r="J1582">
        <v>-192.02850000000001</v>
      </c>
      <c r="K1582">
        <v>1.117213</v>
      </c>
      <c r="L1582">
        <v>304.7079</v>
      </c>
      <c r="M1582">
        <v>-0.11952550000000001</v>
      </c>
      <c r="N1582">
        <v>-1.197145E-2</v>
      </c>
      <c r="O1582">
        <v>-0.99275899999999995</v>
      </c>
      <c r="P1582">
        <v>-0.3381633</v>
      </c>
      <c r="Q1582">
        <v>0.14720949999999999</v>
      </c>
      <c r="R1582">
        <v>-0.92950270000000002</v>
      </c>
      <c r="S1582">
        <v>-1.389694</v>
      </c>
      <c r="T1582">
        <v>-0.2086035</v>
      </c>
      <c r="U1582">
        <v>-2.7581790000000002</v>
      </c>
      <c r="V1582">
        <v>0.22595480000000001</v>
      </c>
      <c r="W1582">
        <v>0.15684119999999999</v>
      </c>
      <c r="X1582">
        <v>0.96142879999999997</v>
      </c>
      <c r="Y1582">
        <v>0.33910750000000001</v>
      </c>
      <c r="Z1582">
        <v>5.6702669999999997E-2</v>
      </c>
      <c r="AA1582">
        <v>0.93903720000000002</v>
      </c>
      <c r="AB1582">
        <v>28</v>
      </c>
      <c r="AC1582">
        <v>-7.4056999999999897</v>
      </c>
      <c r="AD1582">
        <v>-1.117211298405</v>
      </c>
      <c r="AE1582">
        <v>-14.489800000000001</v>
      </c>
      <c r="AF1582">
        <v>5.5942082623779701</v>
      </c>
      <c r="AG1582">
        <v>-1.117211298405</v>
      </c>
      <c r="AH1582">
        <v>15.199498283796601</v>
      </c>
      <c r="AI1582">
        <v>93.945980385056203</v>
      </c>
      <c r="AJ1582">
        <v>69.793752485112293</v>
      </c>
      <c r="AK1582">
        <v>16.234779802857702</v>
      </c>
      <c r="AL1582">
        <v>80.9764048671056</v>
      </c>
      <c r="AM1582">
        <v>76.774373969946296</v>
      </c>
      <c r="AN1582">
        <v>1.0000000355649501</v>
      </c>
    </row>
    <row r="1583" spans="1:40" x14ac:dyDescent="0.25">
      <c r="A1583" t="str">
        <f>"20190303162243385"</f>
        <v>20190303162243385</v>
      </c>
      <c r="B1583" t="str">
        <f>"1551601363376344"</f>
        <v>1551601363376344</v>
      </c>
      <c r="C1583" t="s">
        <v>40</v>
      </c>
      <c r="D1583">
        <v>5.3654830000000002</v>
      </c>
      <c r="E1583">
        <v>0.58359359999999905</v>
      </c>
      <c r="F1583" t="s">
        <v>46</v>
      </c>
      <c r="G1583">
        <v>-199.7191</v>
      </c>
      <c r="H1583" s="1">
        <v>1.7488300000000001E-6</v>
      </c>
      <c r="I1583">
        <v>289.80650000000003</v>
      </c>
      <c r="J1583">
        <v>-192.0675</v>
      </c>
      <c r="K1583">
        <v>1.117089</v>
      </c>
      <c r="L1583">
        <v>304.4271</v>
      </c>
      <c r="M1583">
        <v>-0.1242463</v>
      </c>
      <c r="N1583">
        <v>-1.198276E-2</v>
      </c>
      <c r="O1583">
        <v>-0.99217920000000004</v>
      </c>
      <c r="P1583">
        <v>-0.34849140000000001</v>
      </c>
      <c r="Q1583">
        <v>0.14848420000000001</v>
      </c>
      <c r="R1583">
        <v>-0.92547630000000003</v>
      </c>
      <c r="S1583">
        <v>-1.4165650000000001</v>
      </c>
      <c r="T1583">
        <v>-0.20578379999999999</v>
      </c>
      <c r="U1583">
        <v>-2.7447509999999999</v>
      </c>
      <c r="V1583">
        <v>0.23217579999999999</v>
      </c>
      <c r="W1583">
        <v>0.1579865</v>
      </c>
      <c r="X1583">
        <v>0.95975759999999999</v>
      </c>
      <c r="Y1583">
        <v>0.3437847</v>
      </c>
      <c r="Z1583">
        <v>5.5824619999999998E-2</v>
      </c>
      <c r="AA1583">
        <v>0.93738770000000005</v>
      </c>
      <c r="AB1583">
        <v>28</v>
      </c>
      <c r="AC1583">
        <v>-7.6516000000000002</v>
      </c>
      <c r="AD1583">
        <v>-1.1170872511700001</v>
      </c>
      <c r="AE1583">
        <v>-14.6205999999999</v>
      </c>
      <c r="AF1583">
        <v>5.7492701005860498</v>
      </c>
      <c r="AG1583">
        <v>-1.1170872511700001</v>
      </c>
      <c r="AH1583">
        <v>15.3875307903383</v>
      </c>
      <c r="AI1583">
        <v>93.890418176704998</v>
      </c>
      <c r="AJ1583">
        <v>69.512715356703893</v>
      </c>
      <c r="AK1583">
        <v>16.464449411985399</v>
      </c>
      <c r="AL1583">
        <v>80.909955182063598</v>
      </c>
      <c r="AM1583">
        <v>76.400789553916695</v>
      </c>
      <c r="AN1583">
        <v>0.99999999352282498</v>
      </c>
    </row>
    <row r="1584" spans="1:40" x14ac:dyDescent="0.25">
      <c r="A1584" t="str">
        <f>"20190303162243407"</f>
        <v>20190303162243407</v>
      </c>
      <c r="B1584" t="str">
        <f>"1551601363395864"</f>
        <v>1551601363395864</v>
      </c>
      <c r="C1584" t="s">
        <v>40</v>
      </c>
      <c r="D1584">
        <v>5.376474</v>
      </c>
      <c r="E1584">
        <v>0.58750649999999904</v>
      </c>
      <c r="F1584" t="s">
        <v>46</v>
      </c>
      <c r="G1584">
        <v>-201.43450000000001</v>
      </c>
      <c r="H1584" s="1">
        <v>2.4130820000000002E-6</v>
      </c>
      <c r="I1584">
        <v>289.63850000000002</v>
      </c>
      <c r="J1584">
        <v>-192.1088</v>
      </c>
      <c r="K1584">
        <v>1.116973</v>
      </c>
      <c r="L1584">
        <v>304.1413</v>
      </c>
      <c r="M1584">
        <v>-0.12919890000000001</v>
      </c>
      <c r="N1584">
        <v>-1.1993729999999999E-2</v>
      </c>
      <c r="O1584">
        <v>-0.99154629999999999</v>
      </c>
      <c r="P1584">
        <v>-0.35974970000000001</v>
      </c>
      <c r="Q1584">
        <v>0.14819489999999999</v>
      </c>
      <c r="R1584">
        <v>-0.92120519999999995</v>
      </c>
      <c r="S1584">
        <v>-1.6741790000000001</v>
      </c>
      <c r="T1584">
        <v>-0.1996588</v>
      </c>
      <c r="U1584">
        <v>-2.6431879999999999</v>
      </c>
      <c r="V1584">
        <v>0.23912639999999999</v>
      </c>
      <c r="W1584">
        <v>0.1575646</v>
      </c>
      <c r="X1584">
        <v>0.95811900000000005</v>
      </c>
      <c r="Y1584">
        <v>0.4205121</v>
      </c>
      <c r="Z1584">
        <v>5.3436190000000001E-2</v>
      </c>
      <c r="AA1584">
        <v>0.90571190000000001</v>
      </c>
      <c r="AB1584">
        <v>28</v>
      </c>
      <c r="AC1584">
        <v>-9.3257000000000101</v>
      </c>
      <c r="AD1584">
        <v>-1.116970586918</v>
      </c>
      <c r="AE1584">
        <v>-14.502799999999899</v>
      </c>
      <c r="AF1584">
        <v>7.3428325897060596</v>
      </c>
      <c r="AG1584">
        <v>-1.116970586918</v>
      </c>
      <c r="AH1584">
        <v>15.521052505730299</v>
      </c>
      <c r="AI1584">
        <v>93.721981492791301</v>
      </c>
      <c r="AJ1584">
        <v>64.681703834134098</v>
      </c>
      <c r="AK1584">
        <v>17.2066232776255</v>
      </c>
      <c r="AL1584">
        <v>80.934435197539003</v>
      </c>
      <c r="AM1584">
        <v>75.986460371188002</v>
      </c>
      <c r="AN1584">
        <v>1.0000000282555499</v>
      </c>
    </row>
    <row r="1585" spans="1:40" x14ac:dyDescent="0.25">
      <c r="A1585" t="str">
        <f>"20190303162243429"</f>
        <v>20190303162243429</v>
      </c>
      <c r="B1585" t="str">
        <f>"1551601363416360"</f>
        <v>1551601363416360</v>
      </c>
      <c r="C1585" t="s">
        <v>40</v>
      </c>
      <c r="D1585">
        <v>5.3708229999999997</v>
      </c>
      <c r="E1585">
        <v>0.58754450000000003</v>
      </c>
      <c r="F1585" t="s">
        <v>46</v>
      </c>
      <c r="G1585">
        <v>-201.3212</v>
      </c>
      <c r="H1585">
        <v>8.000003E-2</v>
      </c>
      <c r="I1585">
        <v>290.27420000000001</v>
      </c>
      <c r="J1585">
        <v>-192.14930000000001</v>
      </c>
      <c r="K1585">
        <v>1.1168819999999999</v>
      </c>
      <c r="L1585">
        <v>303.87090000000001</v>
      </c>
      <c r="M1585">
        <v>-0.13399159999999999</v>
      </c>
      <c r="N1585">
        <v>-1.200303E-2</v>
      </c>
      <c r="O1585">
        <v>-0.99090990000000001</v>
      </c>
      <c r="P1585">
        <v>-0.37193009999999999</v>
      </c>
      <c r="Q1585">
        <v>0.14671879999999901</v>
      </c>
      <c r="R1585">
        <v>-0.91659270000000004</v>
      </c>
      <c r="S1585">
        <v>-1.734375</v>
      </c>
      <c r="T1585">
        <v>-0.19522539999999999</v>
      </c>
      <c r="U1585">
        <v>-2.610687</v>
      </c>
      <c r="V1585">
        <v>0.2471894</v>
      </c>
      <c r="W1585">
        <v>0.15595249999999999</v>
      </c>
      <c r="X1585">
        <v>0.95633480000000004</v>
      </c>
      <c r="Y1585">
        <v>0.43582710000000002</v>
      </c>
      <c r="Z1585">
        <v>5.201339E-2</v>
      </c>
      <c r="AA1585">
        <v>0.89852619999999905</v>
      </c>
      <c r="AB1585">
        <v>28</v>
      </c>
      <c r="AC1585">
        <v>-9.1718999999999902</v>
      </c>
      <c r="AD1585">
        <v>-1.03688197</v>
      </c>
      <c r="AE1585">
        <v>-13.596699999999901</v>
      </c>
      <c r="AF1585">
        <v>7.2382753509719304</v>
      </c>
      <c r="AG1585">
        <v>-1.03688197</v>
      </c>
      <c r="AH1585">
        <v>14.6445875641468</v>
      </c>
      <c r="AI1585">
        <v>93.631874071348093</v>
      </c>
      <c r="AJ1585">
        <v>63.698524160503098</v>
      </c>
      <c r="AK1585">
        <v>16.368619343126099</v>
      </c>
      <c r="AL1585">
        <v>81.027957844551594</v>
      </c>
      <c r="AM1585">
        <v>75.507614774629104</v>
      </c>
      <c r="AN1585">
        <v>1.0000000157098199</v>
      </c>
    </row>
    <row r="1586" spans="1:40" x14ac:dyDescent="0.25">
      <c r="A1586" t="str">
        <f>"20190303162243450"</f>
        <v>20190303162243450</v>
      </c>
      <c r="B1586" t="str">
        <f>"1551601363445640"</f>
        <v>1551601363445640</v>
      </c>
      <c r="C1586" t="s">
        <v>40</v>
      </c>
      <c r="D1586">
        <v>5.3736030000000001</v>
      </c>
      <c r="E1586">
        <v>0.58670840000000002</v>
      </c>
      <c r="F1586" t="s">
        <v>46</v>
      </c>
      <c r="G1586">
        <v>-200.9314</v>
      </c>
      <c r="H1586">
        <v>8.000003E-2</v>
      </c>
      <c r="I1586">
        <v>291.0145</v>
      </c>
      <c r="J1586">
        <v>-192.19139999999999</v>
      </c>
      <c r="K1586">
        <v>1.116798</v>
      </c>
      <c r="L1586">
        <v>303.59989999999999</v>
      </c>
      <c r="M1586">
        <v>-0.13889389999999999</v>
      </c>
      <c r="N1586">
        <v>-1.2011580000000001E-2</v>
      </c>
      <c r="O1586">
        <v>-0.99023470000000002</v>
      </c>
      <c r="P1586">
        <v>-0.38415670000000002</v>
      </c>
      <c r="Q1586">
        <v>0.14662059999999999</v>
      </c>
      <c r="R1586">
        <v>-0.91155189999999997</v>
      </c>
      <c r="S1586">
        <v>-1.768402</v>
      </c>
      <c r="T1586">
        <v>-0.20879220000000001</v>
      </c>
      <c r="U1586">
        <v>-2.5888369999999998</v>
      </c>
      <c r="V1586">
        <v>0.25527929999999999</v>
      </c>
      <c r="W1586">
        <v>0.15571750000000001</v>
      </c>
      <c r="X1586">
        <v>0.95424549999999997</v>
      </c>
      <c r="Y1586">
        <v>0.44279990000000002</v>
      </c>
      <c r="Z1586">
        <v>5.6481179999999999E-2</v>
      </c>
      <c r="AA1586">
        <v>0.89483979999999996</v>
      </c>
      <c r="AB1586">
        <v>28</v>
      </c>
      <c r="AC1586">
        <v>-8.74</v>
      </c>
      <c r="AD1586">
        <v>-1.0367979699999901</v>
      </c>
      <c r="AE1586">
        <v>-12.5853999999999</v>
      </c>
      <c r="AF1586">
        <v>6.8756319814478299</v>
      </c>
      <c r="AG1586">
        <v>-1.0367979699999901</v>
      </c>
      <c r="AH1586">
        <v>13.6150781653301</v>
      </c>
      <c r="AI1586">
        <v>93.888684047161107</v>
      </c>
      <c r="AJ1586">
        <v>63.206165664811401</v>
      </c>
      <c r="AK1586">
        <v>15.2878912418604</v>
      </c>
      <c r="AL1586">
        <v>81.041588446516101</v>
      </c>
      <c r="AM1586">
        <v>75.022971656777798</v>
      </c>
      <c r="AN1586">
        <v>0.99999996754249398</v>
      </c>
    </row>
    <row r="1587" spans="1:40" x14ac:dyDescent="0.25">
      <c r="A1587" t="str">
        <f>"20190303162243475"</f>
        <v>20190303162243475</v>
      </c>
      <c r="B1587" t="str">
        <f>"1551601363466135"</f>
        <v>1551601363466135</v>
      </c>
      <c r="C1587" t="s">
        <v>40</v>
      </c>
      <c r="D1587">
        <v>5.4012129999999896</v>
      </c>
      <c r="E1587">
        <v>0.58573790000000003</v>
      </c>
      <c r="F1587" t="s">
        <v>46</v>
      </c>
      <c r="G1587">
        <v>-200.80770000000001</v>
      </c>
      <c r="H1587">
        <v>8.0000039999999994E-2</v>
      </c>
      <c r="I1587">
        <v>291.27510000000001</v>
      </c>
      <c r="J1587">
        <v>-192.2405</v>
      </c>
      <c r="K1587">
        <v>1.1167149999999999</v>
      </c>
      <c r="L1587">
        <v>303.2944</v>
      </c>
      <c r="M1587">
        <v>-0.14454</v>
      </c>
      <c r="N1587">
        <v>-1.202103E-2</v>
      </c>
      <c r="O1587">
        <v>-0.98942600000000003</v>
      </c>
      <c r="P1587">
        <v>-0.39779880000000001</v>
      </c>
      <c r="Q1587">
        <v>0.1469085</v>
      </c>
      <c r="R1587">
        <v>-0.90563459999999996</v>
      </c>
      <c r="S1587">
        <v>-1.7960050000000001</v>
      </c>
      <c r="T1587">
        <v>-0.2161119</v>
      </c>
      <c r="U1587">
        <v>-2.569</v>
      </c>
      <c r="V1587">
        <v>0.26420939999999998</v>
      </c>
      <c r="W1587">
        <v>0.15584890000000001</v>
      </c>
      <c r="X1587">
        <v>0.95179020000000003</v>
      </c>
      <c r="Y1587">
        <v>0.44729429999999998</v>
      </c>
      <c r="Z1587">
        <v>5.8951599999999903E-2</v>
      </c>
      <c r="AA1587">
        <v>0.89244190000000001</v>
      </c>
      <c r="AB1587">
        <v>28</v>
      </c>
      <c r="AC1587">
        <v>-8.5672000000000104</v>
      </c>
      <c r="AD1587">
        <v>-1.0367149600000001</v>
      </c>
      <c r="AE1587">
        <v>-12.0192999999999</v>
      </c>
      <c r="AF1587">
        <v>6.7067407947708402</v>
      </c>
      <c r="AG1587">
        <v>-1.0367149600000001</v>
      </c>
      <c r="AH1587">
        <v>13.066995184108301</v>
      </c>
      <c r="AI1587">
        <v>94.037479480110505</v>
      </c>
      <c r="AJ1587">
        <v>62.830471655948898</v>
      </c>
      <c r="AK1587">
        <v>14.724181238290999</v>
      </c>
      <c r="AL1587">
        <v>81.033967345922605</v>
      </c>
      <c r="AM1587">
        <v>74.485768211836998</v>
      </c>
      <c r="AN1587">
        <v>1.0000000357478001</v>
      </c>
    </row>
    <row r="1588" spans="1:40" x14ac:dyDescent="0.25">
      <c r="A1588" t="str">
        <f>"20190303162243499"</f>
        <v>20190303162243499</v>
      </c>
      <c r="B1588" t="str">
        <f>"1551601363485656"</f>
        <v>1551601363485656</v>
      </c>
      <c r="C1588" t="s">
        <v>40</v>
      </c>
      <c r="D1588">
        <v>5.4492580000000004</v>
      </c>
      <c r="E1588">
        <v>0.58481430000000001</v>
      </c>
      <c r="F1588" t="s">
        <v>46</v>
      </c>
      <c r="G1588">
        <v>-200.87809999999999</v>
      </c>
      <c r="H1588">
        <v>8.0000039999999994E-2</v>
      </c>
      <c r="I1588">
        <v>291.2491</v>
      </c>
      <c r="J1588">
        <v>-192.29130000000001</v>
      </c>
      <c r="K1588">
        <v>1.116625</v>
      </c>
      <c r="L1588">
        <v>302.9896</v>
      </c>
      <c r="M1588">
        <v>-0.15030879999999999</v>
      </c>
      <c r="N1588">
        <v>-1.2031409999999999E-2</v>
      </c>
      <c r="O1588">
        <v>-0.98856599999999994</v>
      </c>
      <c r="P1588">
        <v>-0.41110409999999997</v>
      </c>
      <c r="Q1588">
        <v>0.14663609999999999</v>
      </c>
      <c r="R1588">
        <v>-0.89971749999999995</v>
      </c>
      <c r="S1588">
        <v>-1.8258209999999999</v>
      </c>
      <c r="T1588">
        <v>-0.219141</v>
      </c>
      <c r="U1588">
        <v>-2.5461429999999998</v>
      </c>
      <c r="V1588">
        <v>0.27271830000000002</v>
      </c>
      <c r="W1588">
        <v>0.15541559999999999</v>
      </c>
      <c r="X1588">
        <v>0.94945809999999997</v>
      </c>
      <c r="Y1588">
        <v>0.45272000000000001</v>
      </c>
      <c r="Z1588">
        <v>6.0058649999999998E-2</v>
      </c>
      <c r="AA1588">
        <v>0.88962779999999997</v>
      </c>
      <c r="AB1588">
        <v>28</v>
      </c>
      <c r="AC1588">
        <v>-8.5867999999999807</v>
      </c>
      <c r="AD1588">
        <v>-1.0366249599999999</v>
      </c>
      <c r="AE1588">
        <v>-11.7404999999999</v>
      </c>
      <c r="AF1588">
        <v>6.6904228902371301</v>
      </c>
      <c r="AG1588">
        <v>-1.0366249599999999</v>
      </c>
      <c r="AH1588">
        <v>12.8326847156514</v>
      </c>
      <c r="AI1588">
        <v>94.097074187636395</v>
      </c>
      <c r="AJ1588">
        <v>62.464355648458799</v>
      </c>
      <c r="AK1588">
        <v>14.509105650219</v>
      </c>
      <c r="AL1588">
        <v>81.059099357754405</v>
      </c>
      <c r="AM1588">
        <v>73.974042704847193</v>
      </c>
      <c r="AN1588">
        <v>0.99999998176692895</v>
      </c>
    </row>
    <row r="1589" spans="1:40" x14ac:dyDescent="0.25">
      <c r="A1589" t="str">
        <f>"20190303162243520"</f>
        <v>20190303162243520</v>
      </c>
      <c r="B1589" t="str">
        <f>"1551601363506151"</f>
        <v>1551601363506151</v>
      </c>
      <c r="C1589" t="s">
        <v>40</v>
      </c>
      <c r="D1589">
        <v>5.4056670000000002</v>
      </c>
      <c r="E1589">
        <v>0.58384789999999998</v>
      </c>
      <c r="F1589" t="s">
        <v>46</v>
      </c>
      <c r="G1589">
        <v>-201.0059</v>
      </c>
      <c r="H1589">
        <v>8.0000100000000005E-2</v>
      </c>
      <c r="I1589">
        <v>291.14569999999998</v>
      </c>
      <c r="J1589">
        <v>-192.33699999999999</v>
      </c>
      <c r="K1589">
        <v>1.116541</v>
      </c>
      <c r="L1589">
        <v>302.72570000000002</v>
      </c>
      <c r="M1589">
        <v>-0.15543699999999999</v>
      </c>
      <c r="N1589">
        <v>-1.2041929999999999E-2</v>
      </c>
      <c r="O1589">
        <v>-0.98777250000000005</v>
      </c>
      <c r="P1589">
        <v>-0.42274610000000001</v>
      </c>
      <c r="Q1589">
        <v>0.14712919999999999</v>
      </c>
      <c r="R1589">
        <v>-0.89422579999999996</v>
      </c>
      <c r="S1589">
        <v>-1.8559270000000001</v>
      </c>
      <c r="T1589">
        <v>-0.22076770000000001</v>
      </c>
      <c r="U1589">
        <v>-2.5223689999999999</v>
      </c>
      <c r="V1589">
        <v>0.28017409999999998</v>
      </c>
      <c r="W1589">
        <v>0.155751</v>
      </c>
      <c r="X1589">
        <v>0.94722969999999895</v>
      </c>
      <c r="Y1589">
        <v>0.45894279999999998</v>
      </c>
      <c r="Z1589">
        <v>6.0715089999999999E-2</v>
      </c>
      <c r="AA1589">
        <v>0.88638879999999998</v>
      </c>
      <c r="AB1589">
        <v>28</v>
      </c>
      <c r="AC1589">
        <v>-8.6688999999999794</v>
      </c>
      <c r="AD1589">
        <v>-1.0365408999999901</v>
      </c>
      <c r="AE1589">
        <v>-11.58</v>
      </c>
      <c r="AF1589">
        <v>6.72887955574868</v>
      </c>
      <c r="AG1589">
        <v>-1.0365408999999901</v>
      </c>
      <c r="AH1589">
        <v>12.721478330278</v>
      </c>
      <c r="AI1589">
        <v>94.119601713867496</v>
      </c>
      <c r="AJ1589">
        <v>62.123913350579002</v>
      </c>
      <c r="AK1589">
        <v>14.428729951762101</v>
      </c>
      <c r="AL1589">
        <v>81.039645645092193</v>
      </c>
      <c r="AM1589">
        <v>73.522697605085099</v>
      </c>
      <c r="AN1589">
        <v>1.00000000243694</v>
      </c>
    </row>
    <row r="1590" spans="1:40" x14ac:dyDescent="0.25">
      <c r="A1590" t="str">
        <f>"20190303162243541"</f>
        <v>20190303162243541</v>
      </c>
      <c r="B1590" t="str">
        <f>"1551601363536408"</f>
        <v>1551601363536408</v>
      </c>
      <c r="C1590" t="s">
        <v>40</v>
      </c>
      <c r="D1590">
        <v>5.4213789999999999</v>
      </c>
      <c r="E1590">
        <v>0.58256049999999904</v>
      </c>
      <c r="F1590" t="s">
        <v>46</v>
      </c>
      <c r="G1590">
        <v>-201.286</v>
      </c>
      <c r="H1590">
        <v>8.0000189999999999E-2</v>
      </c>
      <c r="I1590">
        <v>290.83800000000002</v>
      </c>
      <c r="J1590">
        <v>-192.3826</v>
      </c>
      <c r="K1590">
        <v>1.116439</v>
      </c>
      <c r="L1590">
        <v>302.47089999999997</v>
      </c>
      <c r="M1590">
        <v>-0.16053629999999999</v>
      </c>
      <c r="N1590">
        <v>-1.2053940000000001E-2</v>
      </c>
      <c r="O1590">
        <v>-0.98695639999999996</v>
      </c>
      <c r="P1590">
        <v>-0.43357279999999998</v>
      </c>
      <c r="Q1590">
        <v>0.1487755</v>
      </c>
      <c r="R1590">
        <v>-0.88875280000000001</v>
      </c>
      <c r="S1590">
        <v>-1.882568</v>
      </c>
      <c r="T1590">
        <v>-0.21805260000000001</v>
      </c>
      <c r="U1590">
        <v>-2.5007630000000001</v>
      </c>
      <c r="V1590">
        <v>0.28689559999999997</v>
      </c>
      <c r="W1590">
        <v>0.1572317</v>
      </c>
      <c r="X1590">
        <v>0.94497039999999999</v>
      </c>
      <c r="Y1590">
        <v>0.4640802</v>
      </c>
      <c r="Z1590">
        <v>5.9947130000000001E-2</v>
      </c>
      <c r="AA1590">
        <v>0.88376239999999995</v>
      </c>
      <c r="AB1590">
        <v>28</v>
      </c>
      <c r="AC1590">
        <v>-8.9033999999999693</v>
      </c>
      <c r="AD1590">
        <v>-1.0364388099999999</v>
      </c>
      <c r="AE1590">
        <v>-11.632899999999999</v>
      </c>
      <c r="AF1590">
        <v>6.8857986907012396</v>
      </c>
      <c r="AG1590">
        <v>-1.0364388099999999</v>
      </c>
      <c r="AH1590">
        <v>12.847111897864201</v>
      </c>
      <c r="AI1590">
        <v>94.067193351192799</v>
      </c>
      <c r="AJ1590">
        <v>61.809569140918697</v>
      </c>
      <c r="AK1590">
        <v>14.612895439712901</v>
      </c>
      <c r="AL1590">
        <v>80.953749225802198</v>
      </c>
      <c r="AM1590">
        <v>73.111566403260596</v>
      </c>
      <c r="AN1590">
        <v>0.99999997483020397</v>
      </c>
    </row>
    <row r="1591" spans="1:40" x14ac:dyDescent="0.25">
      <c r="A1591" t="str">
        <f>"20190303162243564"</f>
        <v>20190303162243564</v>
      </c>
      <c r="B1591" t="str">
        <f>"1551601363555832"</f>
        <v>1551601363555832</v>
      </c>
      <c r="C1591" t="s">
        <v>40</v>
      </c>
      <c r="D1591">
        <v>5.4242419999999996</v>
      </c>
      <c r="E1591">
        <v>0.57043710000000003</v>
      </c>
      <c r="F1591" t="s">
        <v>46</v>
      </c>
      <c r="G1591">
        <v>-201.7842</v>
      </c>
      <c r="H1591">
        <v>8.0000150000000006E-2</v>
      </c>
      <c r="I1591">
        <v>290.22219999999999</v>
      </c>
      <c r="J1591">
        <v>-192.4366</v>
      </c>
      <c r="K1591">
        <v>1.116298</v>
      </c>
      <c r="L1591">
        <v>302.17970000000003</v>
      </c>
      <c r="M1591">
        <v>-0.16656770000000001</v>
      </c>
      <c r="N1591">
        <v>-1.2070610000000001E-2</v>
      </c>
      <c r="O1591">
        <v>-0.98595630000000001</v>
      </c>
      <c r="P1591">
        <v>-0.44864340000000003</v>
      </c>
      <c r="Q1591">
        <v>0.1505225</v>
      </c>
      <c r="R1591">
        <v>-0.88094430000000001</v>
      </c>
      <c r="S1591">
        <v>-1.904663</v>
      </c>
      <c r="T1591">
        <v>-0.2099723</v>
      </c>
      <c r="U1591">
        <v>-2.4814759999999998</v>
      </c>
      <c r="V1591">
        <v>0.29734159999999998</v>
      </c>
      <c r="W1591">
        <v>0.15872849999999999</v>
      </c>
      <c r="X1591">
        <v>0.9414846</v>
      </c>
      <c r="Y1591">
        <v>0.46702470000000001</v>
      </c>
      <c r="Z1591">
        <v>5.7426619999999998E-2</v>
      </c>
      <c r="AA1591">
        <v>0.88237759999999998</v>
      </c>
      <c r="AB1591">
        <v>28</v>
      </c>
      <c r="AC1591">
        <v>-9.3475999999999999</v>
      </c>
      <c r="AD1591">
        <v>-1.03629785</v>
      </c>
      <c r="AE1591">
        <v>-11.9575</v>
      </c>
      <c r="AF1591">
        <v>7.1915905402252802</v>
      </c>
      <c r="AG1591">
        <v>-1.03629785</v>
      </c>
      <c r="AH1591">
        <v>13.2856146889307</v>
      </c>
      <c r="AI1591">
        <v>93.924138816984495</v>
      </c>
      <c r="AJ1591">
        <v>61.573025441420597</v>
      </c>
      <c r="AK1591">
        <v>15.142669691798201</v>
      </c>
      <c r="AL1591">
        <v>80.866898547839895</v>
      </c>
      <c r="AM1591">
        <v>72.472734211471504</v>
      </c>
      <c r="AN1591">
        <v>1.00000000791998</v>
      </c>
    </row>
    <row r="1592" spans="1:40" x14ac:dyDescent="0.25">
      <c r="A1592" t="str">
        <f>"20190303162243596"</f>
        <v>20190303162243596</v>
      </c>
      <c r="B1592" t="str">
        <f>"1551601363586087"</f>
        <v>1551601363586087</v>
      </c>
      <c r="C1592" t="s">
        <v>40</v>
      </c>
      <c r="D1592">
        <v>5.4781760000000004</v>
      </c>
      <c r="E1592">
        <v>0.56854179999999999</v>
      </c>
      <c r="F1592" t="s">
        <v>46</v>
      </c>
      <c r="G1592">
        <v>-201.01310000000001</v>
      </c>
      <c r="H1592">
        <v>7.9999990000000007E-2</v>
      </c>
      <c r="I1592">
        <v>290.67970000000003</v>
      </c>
      <c r="J1592">
        <v>-192.51480000000001</v>
      </c>
      <c r="K1592">
        <v>1.11607099999999</v>
      </c>
      <c r="L1592">
        <v>301.77749999999997</v>
      </c>
      <c r="M1592">
        <v>-0.1752744</v>
      </c>
      <c r="N1592">
        <v>-1.209787E-2</v>
      </c>
      <c r="O1592">
        <v>-0.98444529999999997</v>
      </c>
      <c r="P1592">
        <v>-0.46516020000000002</v>
      </c>
      <c r="Q1592">
        <v>0.151942299999999</v>
      </c>
      <c r="R1592">
        <v>-0.872088999999999</v>
      </c>
      <c r="S1592">
        <v>-1.8614040000000001</v>
      </c>
      <c r="T1592">
        <v>-0.22491510000000001</v>
      </c>
      <c r="U1592">
        <v>-2.495911</v>
      </c>
      <c r="V1592">
        <v>0.30691420000000003</v>
      </c>
      <c r="W1592">
        <v>0.1598541</v>
      </c>
      <c r="X1592">
        <v>0.93821659999999996</v>
      </c>
      <c r="Y1592">
        <v>0.44669140000000002</v>
      </c>
      <c r="Z1592">
        <v>6.2534190000000003E-2</v>
      </c>
      <c r="AA1592">
        <v>0.89249999999999996</v>
      </c>
      <c r="AB1592">
        <v>28</v>
      </c>
      <c r="AC1592">
        <v>-8.4983000000000004</v>
      </c>
      <c r="AD1592">
        <v>-1.0360710099999999</v>
      </c>
      <c r="AE1592">
        <v>-11.0977999999999</v>
      </c>
      <c r="AF1592">
        <v>6.3863341729168299</v>
      </c>
      <c r="AG1592">
        <v>-1.0360710099999999</v>
      </c>
      <c r="AH1592">
        <v>12.3477804186596</v>
      </c>
      <c r="AI1592">
        <v>94.262328435883902</v>
      </c>
      <c r="AJ1592">
        <v>62.651767206428197</v>
      </c>
      <c r="AK1592">
        <v>13.940100020206501</v>
      </c>
      <c r="AL1592">
        <v>80.801572454254199</v>
      </c>
      <c r="AM1592">
        <v>71.885780142994903</v>
      </c>
      <c r="AN1592">
        <v>1.0000000239819999</v>
      </c>
    </row>
    <row r="1593" spans="1:40" x14ac:dyDescent="0.25">
      <c r="A1593" t="str">
        <f>"20190303162243619"</f>
        <v>20190303162243619</v>
      </c>
      <c r="B1593" t="str">
        <f>"1551601363605607"</f>
        <v>1551601363605607</v>
      </c>
      <c r="C1593" t="s">
        <v>40</v>
      </c>
      <c r="D1593">
        <v>5.467714</v>
      </c>
      <c r="E1593">
        <v>0.56792549999999997</v>
      </c>
      <c r="F1593" t="s">
        <v>46</v>
      </c>
      <c r="G1593">
        <v>-201.29599999999999</v>
      </c>
      <c r="H1593">
        <v>8.0000050000000003E-2</v>
      </c>
      <c r="I1593">
        <v>290.34949999999998</v>
      </c>
      <c r="J1593">
        <v>-192.57169999999999</v>
      </c>
      <c r="K1593">
        <v>1.1159190000000001</v>
      </c>
      <c r="L1593">
        <v>301.49720000000002</v>
      </c>
      <c r="M1593">
        <v>-0.1815609</v>
      </c>
      <c r="N1593">
        <v>-1.2116490000000001E-2</v>
      </c>
      <c r="O1593">
        <v>-0.98330510000000004</v>
      </c>
      <c r="P1593">
        <v>-0.4754391</v>
      </c>
      <c r="Q1593">
        <v>0.1523552</v>
      </c>
      <c r="R1593">
        <v>-0.86645620000000001</v>
      </c>
      <c r="S1593">
        <v>-1.8961330000000001</v>
      </c>
      <c r="T1593">
        <v>-0.22372030000000001</v>
      </c>
      <c r="U1593">
        <v>-2.467651</v>
      </c>
      <c r="V1593">
        <v>0.31209599999999998</v>
      </c>
      <c r="W1593">
        <v>0.16008889999999901</v>
      </c>
      <c r="X1593">
        <v>0.93646549999999995</v>
      </c>
      <c r="Y1593">
        <v>0.45380110000000001</v>
      </c>
      <c r="Z1593">
        <v>6.2283329999999998E-2</v>
      </c>
      <c r="AA1593">
        <v>0.88892380000000004</v>
      </c>
      <c r="AB1593">
        <v>28</v>
      </c>
      <c r="AC1593">
        <v>-8.7242999999999995</v>
      </c>
      <c r="AD1593">
        <v>-1.0359189499999999</v>
      </c>
      <c r="AE1593">
        <v>-11.1477</v>
      </c>
      <c r="AF1593">
        <v>6.5202251105292302</v>
      </c>
      <c r="AG1593">
        <v>-1.0359189499999999</v>
      </c>
      <c r="AH1593">
        <v>12.479669577293301</v>
      </c>
      <c r="AI1593">
        <v>94.207789850610496</v>
      </c>
      <c r="AJ1593">
        <v>62.414383045160797</v>
      </c>
      <c r="AK1593">
        <v>14.1183786718364</v>
      </c>
      <c r="AL1593">
        <v>80.787943677459495</v>
      </c>
      <c r="AM1593">
        <v>71.568309234194103</v>
      </c>
      <c r="AN1593">
        <v>1.0000000009047201</v>
      </c>
    </row>
    <row r="1594" spans="1:40" x14ac:dyDescent="0.25">
      <c r="A1594" t="str">
        <f>"20190303162243641"</f>
        <v>20190303162243641</v>
      </c>
      <c r="B1594" t="str">
        <f>"1551601363626102"</f>
        <v>1551601363626102</v>
      </c>
      <c r="C1594" t="s">
        <v>40</v>
      </c>
      <c r="D1594">
        <v>5.507498</v>
      </c>
      <c r="E1594">
        <v>0.56748209999999999</v>
      </c>
      <c r="F1594" t="s">
        <v>46</v>
      </c>
      <c r="G1594">
        <v>-201.32820000000001</v>
      </c>
      <c r="H1594">
        <v>8.0000050000000003E-2</v>
      </c>
      <c r="I1594">
        <v>290.3424</v>
      </c>
      <c r="J1594">
        <v>-192.6294</v>
      </c>
      <c r="K1594">
        <v>1.115767</v>
      </c>
      <c r="L1594">
        <v>301.22239999999999</v>
      </c>
      <c r="M1594">
        <v>-0.18794150000000001</v>
      </c>
      <c r="N1594">
        <v>-1.2134610000000001E-2</v>
      </c>
      <c r="O1594">
        <v>-0.98210529999999996</v>
      </c>
      <c r="P1594">
        <v>-0.48644379999999998</v>
      </c>
      <c r="Q1594">
        <v>0.15212579999999901</v>
      </c>
      <c r="R1594">
        <v>-0.86036659999999898</v>
      </c>
      <c r="S1594">
        <v>-1.9216310000000001</v>
      </c>
      <c r="T1594">
        <v>-0.22733410000000001</v>
      </c>
      <c r="U1594">
        <v>-2.447937</v>
      </c>
      <c r="V1594">
        <v>0.31800489999999998</v>
      </c>
      <c r="W1594">
        <v>0.15966949999999999</v>
      </c>
      <c r="X1594">
        <v>0.93454720000000002</v>
      </c>
      <c r="Y1594">
        <v>0.45716839999999997</v>
      </c>
      <c r="Z1594">
        <v>6.3538849999999994E-2</v>
      </c>
      <c r="AA1594">
        <v>0.887107599999999</v>
      </c>
      <c r="AB1594">
        <v>28</v>
      </c>
      <c r="AC1594">
        <v>-8.6988000000000003</v>
      </c>
      <c r="AD1594">
        <v>-1.03576695</v>
      </c>
      <c r="AE1594">
        <v>-10.8799999999999</v>
      </c>
      <c r="AF1594">
        <v>6.4630797164840796</v>
      </c>
      <c r="AG1594">
        <v>-1.03576695</v>
      </c>
      <c r="AH1594">
        <v>12.2533325779211</v>
      </c>
      <c r="AI1594">
        <v>94.275848444857203</v>
      </c>
      <c r="AJ1594">
        <v>62.190376872472498</v>
      </c>
      <c r="AK1594">
        <v>13.8920254772831</v>
      </c>
      <c r="AL1594">
        <v>80.812286350371906</v>
      </c>
      <c r="AM1594">
        <v>71.2077425810742</v>
      </c>
      <c r="AN1594">
        <v>0.99999996734104901</v>
      </c>
    </row>
    <row r="1595" spans="1:40" x14ac:dyDescent="0.25">
      <c r="A1595" t="str">
        <f>"20190303162243664"</f>
        <v>20190303162243664</v>
      </c>
      <c r="B1595" t="str">
        <f>"1551601363656233"</f>
        <v>1551601363656233</v>
      </c>
      <c r="C1595" t="s">
        <v>40</v>
      </c>
      <c r="D1595">
        <v>5.8396509999999999</v>
      </c>
      <c r="E1595">
        <v>0.58945570000000003</v>
      </c>
      <c r="F1595" t="s">
        <v>46</v>
      </c>
      <c r="G1595">
        <v>-202.26130000000001</v>
      </c>
      <c r="H1595" s="1">
        <v>2.8154059999999999E-6</v>
      </c>
      <c r="I1595">
        <v>289.24180000000001</v>
      </c>
      <c r="J1595">
        <v>-192.6909</v>
      </c>
      <c r="K1595">
        <v>1.115602</v>
      </c>
      <c r="L1595">
        <v>300.94040000000001</v>
      </c>
      <c r="M1595">
        <v>-0.19471840000000001</v>
      </c>
      <c r="N1595">
        <v>-1.215478E-2</v>
      </c>
      <c r="O1595">
        <v>-0.98078379999999998</v>
      </c>
      <c r="P1595">
        <v>-0.49785590000000002</v>
      </c>
      <c r="Q1595">
        <v>0.1495744</v>
      </c>
      <c r="R1595">
        <v>-0.85426409999999997</v>
      </c>
      <c r="S1595">
        <v>-1.9493259999999999</v>
      </c>
      <c r="T1595">
        <v>-0.22581119999999999</v>
      </c>
      <c r="U1595">
        <v>-2.424652</v>
      </c>
      <c r="V1595">
        <v>0.3239416</v>
      </c>
      <c r="W1595">
        <v>0.1569237</v>
      </c>
      <c r="X1595">
        <v>0.93297200000000002</v>
      </c>
      <c r="Y1595">
        <v>0.46135280000000001</v>
      </c>
      <c r="Z1595">
        <v>6.3145010000000001E-2</v>
      </c>
      <c r="AA1595">
        <v>0.8849669</v>
      </c>
      <c r="AB1595">
        <v>28</v>
      </c>
      <c r="AC1595">
        <v>-9.5703999999999994</v>
      </c>
      <c r="AD1595">
        <v>-1.1155991845940001</v>
      </c>
      <c r="AE1595">
        <v>-11.698600000000001</v>
      </c>
      <c r="AF1595">
        <v>7.0705668508392696</v>
      </c>
      <c r="AG1595">
        <v>-1.1155991845940001</v>
      </c>
      <c r="AH1595">
        <v>13.266045125477801</v>
      </c>
      <c r="AI1595">
        <v>94.244236789437494</v>
      </c>
      <c r="AJ1595">
        <v>61.9431753637367</v>
      </c>
      <c r="AK1595">
        <v>15.0739984875967</v>
      </c>
      <c r="AL1595">
        <v>80.971618196658099</v>
      </c>
      <c r="AM1595">
        <v>70.852246784649296</v>
      </c>
      <c r="AN1595">
        <v>0.99999998030812398</v>
      </c>
    </row>
    <row r="1596" spans="1:40" x14ac:dyDescent="0.25">
      <c r="A1596" t="str">
        <f>"20190303162243688"</f>
        <v>20190303162243688</v>
      </c>
      <c r="B1596" t="str">
        <f>"1551601363675752"</f>
        <v>1551601363675752</v>
      </c>
      <c r="C1596" t="s">
        <v>40</v>
      </c>
      <c r="D1596">
        <v>5.8634069999999996</v>
      </c>
      <c r="E1596">
        <v>0.5881343</v>
      </c>
      <c r="F1596" t="s">
        <v>46</v>
      </c>
      <c r="G1596">
        <v>-199.98820000000001</v>
      </c>
      <c r="H1596">
        <v>4.5682159999999999E-2</v>
      </c>
      <c r="I1596">
        <v>293.0016</v>
      </c>
      <c r="J1596">
        <v>-192.7578</v>
      </c>
      <c r="K1596">
        <v>1.1154280000000001</v>
      </c>
      <c r="L1596">
        <v>300.64490000000001</v>
      </c>
      <c r="M1596">
        <v>-0.2020448</v>
      </c>
      <c r="N1596">
        <v>-1.217771E-2</v>
      </c>
      <c r="O1596">
        <v>-0.97930070000000002</v>
      </c>
      <c r="P1596">
        <v>-0.50984830000000003</v>
      </c>
      <c r="Q1596">
        <v>0.146651</v>
      </c>
      <c r="R1596">
        <v>-0.84767209999999904</v>
      </c>
      <c r="S1596">
        <v>-2.134827</v>
      </c>
      <c r="T1596">
        <v>-0.3130057</v>
      </c>
      <c r="U1596">
        <v>-2.322479</v>
      </c>
      <c r="V1596">
        <v>0.33004359999999999</v>
      </c>
      <c r="W1596">
        <v>0.1537992</v>
      </c>
      <c r="X1596">
        <v>0.93135230000000002</v>
      </c>
      <c r="Y1596">
        <v>0.51091229999999999</v>
      </c>
      <c r="Z1596">
        <v>9.1011980000000006E-2</v>
      </c>
      <c r="AA1596">
        <v>0.85480140000000004</v>
      </c>
      <c r="AB1596">
        <v>28</v>
      </c>
      <c r="AC1596">
        <v>-7.2304000000000004</v>
      </c>
      <c r="AD1596">
        <v>-1.0697458399999999</v>
      </c>
      <c r="AE1596">
        <v>-7.6433000000000098</v>
      </c>
      <c r="AF1596">
        <v>5.4802045899501604</v>
      </c>
      <c r="AG1596">
        <v>-1.0697458399999999</v>
      </c>
      <c r="AH1596">
        <v>8.8550760048315702</v>
      </c>
      <c r="AI1596">
        <v>95.865131694522006</v>
      </c>
      <c r="AJ1596">
        <v>58.247579807888201</v>
      </c>
      <c r="AK1596">
        <v>10.468494140097301</v>
      </c>
      <c r="AL1596">
        <v>81.152839912825101</v>
      </c>
      <c r="AM1596">
        <v>70.487184866539195</v>
      </c>
      <c r="AN1596">
        <v>1.0000000392684401</v>
      </c>
    </row>
    <row r="1597" spans="1:40" x14ac:dyDescent="0.25">
      <c r="A1597" t="str">
        <f>"20190303162243712"</f>
        <v>20190303162243712</v>
      </c>
      <c r="B1597" t="str">
        <f>"1551601363696249"</f>
        <v>1551601363696249</v>
      </c>
      <c r="C1597" t="s">
        <v>40</v>
      </c>
      <c r="D1597">
        <v>5.8186660000000003</v>
      </c>
      <c r="E1597">
        <v>0.58544090000000004</v>
      </c>
      <c r="F1597" t="s">
        <v>46</v>
      </c>
      <c r="G1597">
        <v>-199.2406</v>
      </c>
      <c r="H1597" s="1">
        <v>1.100725E-6</v>
      </c>
      <c r="I1597">
        <v>293.72739999999999</v>
      </c>
      <c r="J1597">
        <v>-192.82939999999999</v>
      </c>
      <c r="K1597">
        <v>1.115267</v>
      </c>
      <c r="L1597">
        <v>300.34070000000003</v>
      </c>
      <c r="M1597">
        <v>-0.209758</v>
      </c>
      <c r="N1597">
        <v>-1.2199450000000001E-2</v>
      </c>
      <c r="O1597">
        <v>-0.97767740000000003</v>
      </c>
      <c r="P1597">
        <v>-0.5210555</v>
      </c>
      <c r="Q1597">
        <v>0.14466379999999901</v>
      </c>
      <c r="R1597">
        <v>-0.84117410000000004</v>
      </c>
      <c r="S1597">
        <v>-2.159592</v>
      </c>
      <c r="T1597">
        <v>-0.37158160000000001</v>
      </c>
      <c r="U1597">
        <v>-2.3044129999999998</v>
      </c>
      <c r="V1597">
        <v>0.33502359999999998</v>
      </c>
      <c r="W1597">
        <v>0.151639</v>
      </c>
      <c r="X1597">
        <v>0.92992730000000001</v>
      </c>
      <c r="Y1597">
        <v>0.51103549999999998</v>
      </c>
      <c r="Z1597">
        <v>0.109885999999999</v>
      </c>
      <c r="AA1597">
        <v>0.85250680000000001</v>
      </c>
      <c r="AB1597">
        <v>28</v>
      </c>
      <c r="AC1597">
        <v>-6.4112</v>
      </c>
      <c r="AD1597">
        <v>-1.115265899275</v>
      </c>
      <c r="AE1597">
        <v>-6.6133000000000299</v>
      </c>
      <c r="AF1597">
        <v>4.8107256777998897</v>
      </c>
      <c r="AG1597">
        <v>-1.115265899275</v>
      </c>
      <c r="AH1597">
        <v>7.6981920613652903</v>
      </c>
      <c r="AI1597">
        <v>97.004106275891104</v>
      </c>
      <c r="AJ1597">
        <v>57.998065600900297</v>
      </c>
      <c r="AK1597">
        <v>9.1459860368795898</v>
      </c>
      <c r="AL1597">
        <v>81.278078957961199</v>
      </c>
      <c r="AM1597">
        <v>70.187501186130604</v>
      </c>
      <c r="AN1597">
        <v>0.99999999108162496</v>
      </c>
    </row>
    <row r="1598" spans="1:40" x14ac:dyDescent="0.25">
      <c r="A1598" t="str">
        <f>"20190303162243733"</f>
        <v>20190303162243733</v>
      </c>
      <c r="B1598" t="str">
        <f>"1551601363725529"</f>
        <v>1551601363725529</v>
      </c>
      <c r="C1598" t="s">
        <v>40</v>
      </c>
      <c r="D1598">
        <v>5.4456110000000004</v>
      </c>
      <c r="E1598">
        <v>0.58553109999999997</v>
      </c>
      <c r="F1598" t="s">
        <v>46</v>
      </c>
      <c r="G1598">
        <v>-198.67189999999999</v>
      </c>
      <c r="H1598" s="1">
        <v>1.072405E-6</v>
      </c>
      <c r="I1598">
        <v>294.1746</v>
      </c>
      <c r="J1598">
        <v>-192.89160000000001</v>
      </c>
      <c r="K1598">
        <v>1.115157</v>
      </c>
      <c r="L1598">
        <v>300.08510000000001</v>
      </c>
      <c r="M1598">
        <v>-0.21634619999999999</v>
      </c>
      <c r="N1598">
        <v>-1.2214650000000001E-2</v>
      </c>
      <c r="O1598">
        <v>-0.97624049999999996</v>
      </c>
      <c r="P1598">
        <v>-0.5308948</v>
      </c>
      <c r="Q1598">
        <v>0.1426703</v>
      </c>
      <c r="R1598">
        <v>-0.83534189999999997</v>
      </c>
      <c r="S1598">
        <v>-2.1719970000000002</v>
      </c>
      <c r="T1598">
        <v>-0.41460590000000003</v>
      </c>
      <c r="U1598">
        <v>-2.2922669999999998</v>
      </c>
      <c r="V1598">
        <v>0.33960820000000003</v>
      </c>
      <c r="W1598">
        <v>0.14950639999999901</v>
      </c>
      <c r="X1598">
        <v>0.92860869999999995</v>
      </c>
      <c r="Y1598">
        <v>0.50877700000000003</v>
      </c>
      <c r="Z1598">
        <v>0.12375510000000001</v>
      </c>
      <c r="AA1598">
        <v>0.85195699999999996</v>
      </c>
      <c r="AB1598">
        <v>28</v>
      </c>
      <c r="AC1598">
        <v>-5.78029999999998</v>
      </c>
      <c r="AD1598">
        <v>-1.115155927595</v>
      </c>
      <c r="AE1598">
        <v>-5.9105000000000096</v>
      </c>
      <c r="AF1598">
        <v>4.2865779919201499</v>
      </c>
      <c r="AG1598">
        <v>-1.115155927595</v>
      </c>
      <c r="AH1598">
        <v>6.8956691683736597</v>
      </c>
      <c r="AI1598">
        <v>97.820318665298899</v>
      </c>
      <c r="AJ1598">
        <v>58.1335372174306</v>
      </c>
      <c r="AK1598">
        <v>8.1956437760143892</v>
      </c>
      <c r="AL1598">
        <v>81.401677238256696</v>
      </c>
      <c r="AM1598">
        <v>69.911663216245003</v>
      </c>
      <c r="AN1598">
        <v>1.00000000543194</v>
      </c>
    </row>
    <row r="1599" spans="1:40" x14ac:dyDescent="0.25">
      <c r="A1599" t="str">
        <f>"20190303162243754"</f>
        <v>20190303162243754</v>
      </c>
      <c r="B1599" t="str">
        <f>"1551601363746025"</f>
        <v>1551601363746025</v>
      </c>
      <c r="C1599" t="s">
        <v>40</v>
      </c>
      <c r="D1599">
        <v>5.4786020000000004</v>
      </c>
      <c r="E1599">
        <v>0.58772769999999996</v>
      </c>
      <c r="F1599" t="s">
        <v>46</v>
      </c>
      <c r="G1599">
        <v>-198.79050000000001</v>
      </c>
      <c r="H1599" s="1">
        <v>1.09083E-6</v>
      </c>
      <c r="I1599">
        <v>294.01029999999997</v>
      </c>
      <c r="J1599">
        <v>-192.95760000000001</v>
      </c>
      <c r="K1599">
        <v>1.1150690000000001</v>
      </c>
      <c r="L1599">
        <v>299.82170000000002</v>
      </c>
      <c r="M1599">
        <v>-0.2232237</v>
      </c>
      <c r="N1599">
        <v>-1.2227740000000001E-2</v>
      </c>
      <c r="O1599">
        <v>-0.97469070000000002</v>
      </c>
      <c r="P1599">
        <v>-0.53870549999999995</v>
      </c>
      <c r="Q1599">
        <v>0.13935629999999999</v>
      </c>
      <c r="R1599">
        <v>-0.83088909999999905</v>
      </c>
      <c r="S1599">
        <v>-2.1991580000000002</v>
      </c>
      <c r="T1599">
        <v>-0.41573739999999998</v>
      </c>
      <c r="U1599">
        <v>-2.2647400000000002</v>
      </c>
      <c r="V1599">
        <v>0.34162920000000002</v>
      </c>
      <c r="W1599">
        <v>0.1461142</v>
      </c>
      <c r="X1599">
        <v>0.92840730000000005</v>
      </c>
      <c r="Y1599">
        <v>0.51309749999999998</v>
      </c>
      <c r="Z1599">
        <v>0.1243259</v>
      </c>
      <c r="AA1599">
        <v>0.84927859999999999</v>
      </c>
      <c r="AB1599">
        <v>28</v>
      </c>
      <c r="AC1599">
        <v>-5.8328999999999898</v>
      </c>
      <c r="AD1599">
        <v>-1.11506790917</v>
      </c>
      <c r="AE1599">
        <v>-5.8114000000000399</v>
      </c>
      <c r="AF1599">
        <v>4.3093246667474299</v>
      </c>
      <c r="AG1599">
        <v>-1.11506790917</v>
      </c>
      <c r="AH1599">
        <v>6.8414060242951003</v>
      </c>
      <c r="AI1599">
        <v>97.852118548852602</v>
      </c>
      <c r="AJ1599">
        <v>57.793635710152003</v>
      </c>
      <c r="AK1599">
        <v>8.1620151871189197</v>
      </c>
      <c r="AL1599">
        <v>81.598194570801795</v>
      </c>
      <c r="AM1599">
        <v>69.797726630849198</v>
      </c>
      <c r="AN1599">
        <v>0.99999999221378499</v>
      </c>
    </row>
    <row r="1600" spans="1:40" x14ac:dyDescent="0.25">
      <c r="A1600" t="str">
        <f>"20190303162243776"</f>
        <v>20190303162243776</v>
      </c>
      <c r="B1600" t="str">
        <f>"1551601363765545"</f>
        <v>1551601363765545</v>
      </c>
      <c r="C1600" t="s">
        <v>40</v>
      </c>
      <c r="D1600">
        <v>5.4806140000000001</v>
      </c>
      <c r="E1600">
        <v>0.58910180000000001</v>
      </c>
      <c r="F1600" t="s">
        <v>46</v>
      </c>
      <c r="G1600">
        <v>-199.25579999999999</v>
      </c>
      <c r="H1600" s="1">
        <v>1.132518E-6</v>
      </c>
      <c r="I1600">
        <v>293.53930000000003</v>
      </c>
      <c r="J1600">
        <v>-193.02619999999999</v>
      </c>
      <c r="K1600">
        <v>1.114994</v>
      </c>
      <c r="L1600">
        <v>299.55650000000003</v>
      </c>
      <c r="M1600">
        <v>-0.23022129999999999</v>
      </c>
      <c r="N1600">
        <v>-1.2238779999999999E-2</v>
      </c>
      <c r="O1600">
        <v>-0.97306139999999997</v>
      </c>
      <c r="P1600">
        <v>-0.54638949999999997</v>
      </c>
      <c r="Q1600">
        <v>0.13565839999999901</v>
      </c>
      <c r="R1600">
        <v>-0.82647199999999998</v>
      </c>
      <c r="S1600">
        <v>-2.2340550000000001</v>
      </c>
      <c r="T1600">
        <v>-0.3955303</v>
      </c>
      <c r="U1600">
        <v>-2.228485</v>
      </c>
      <c r="V1600">
        <v>0.34340019999999999</v>
      </c>
      <c r="W1600">
        <v>0.14235590000000001</v>
      </c>
      <c r="X1600">
        <v>0.92833779999999999</v>
      </c>
      <c r="Y1600">
        <v>0.52102099999999996</v>
      </c>
      <c r="Z1600">
        <v>0.1181176</v>
      </c>
      <c r="AA1600">
        <v>0.84533150000000001</v>
      </c>
      <c r="AB1600">
        <v>28</v>
      </c>
      <c r="AC1600">
        <v>-6.2295999999999996</v>
      </c>
      <c r="AD1600">
        <v>-1.114992867482</v>
      </c>
      <c r="AE1600">
        <v>-6.0171999999999999</v>
      </c>
      <c r="AF1600">
        <v>4.6006004279391703</v>
      </c>
      <c r="AG1600">
        <v>-1.114992867482</v>
      </c>
      <c r="AH1600">
        <v>7.1709931059093197</v>
      </c>
      <c r="AI1600">
        <v>97.455884460474394</v>
      </c>
      <c r="AJ1600">
        <v>57.317516781044503</v>
      </c>
      <c r="AK1600">
        <v>8.5925476732508699</v>
      </c>
      <c r="AL1600">
        <v>81.8158048330734</v>
      </c>
      <c r="AM1600">
        <v>69.700129188412603</v>
      </c>
      <c r="AN1600">
        <v>0.99999998526684397</v>
      </c>
    </row>
    <row r="1601" spans="1:40" x14ac:dyDescent="0.25">
      <c r="A1601" t="str">
        <f>"20190303162243797"</f>
        <v>20190303162243797</v>
      </c>
      <c r="B1601" t="str">
        <f>"1551601363786040"</f>
        <v>1551601363786040</v>
      </c>
      <c r="C1601" t="s">
        <v>40</v>
      </c>
      <c r="D1601">
        <v>5.5009119999999996</v>
      </c>
      <c r="E1601">
        <v>0.58994049999999998</v>
      </c>
      <c r="F1601" t="s">
        <v>46</v>
      </c>
      <c r="G1601">
        <v>-199.57900000000001</v>
      </c>
      <c r="H1601" s="1">
        <v>1.1644720000000001E-6</v>
      </c>
      <c r="I1601">
        <v>293.19510000000002</v>
      </c>
      <c r="J1601">
        <v>-193.0986</v>
      </c>
      <c r="K1601">
        <v>1.1149469999999999</v>
      </c>
      <c r="L1601">
        <v>299.28480000000002</v>
      </c>
      <c r="M1601">
        <v>-0.23744119999999999</v>
      </c>
      <c r="N1601">
        <v>-1.224859E-2</v>
      </c>
      <c r="O1601">
        <v>-0.97132499999999999</v>
      </c>
      <c r="P1601">
        <v>-0.55420769999999997</v>
      </c>
      <c r="Q1601">
        <v>0.1331474</v>
      </c>
      <c r="R1601">
        <v>-0.82166059999999996</v>
      </c>
      <c r="S1601">
        <v>-2.263077</v>
      </c>
      <c r="T1601">
        <v>-0.38507649999999999</v>
      </c>
      <c r="U1601">
        <v>-2.1969910000000001</v>
      </c>
      <c r="V1601">
        <v>0.34520070000000003</v>
      </c>
      <c r="W1601">
        <v>0.1397912</v>
      </c>
      <c r="X1601">
        <v>0.92805979999999999</v>
      </c>
      <c r="Y1601">
        <v>0.5264337</v>
      </c>
      <c r="Z1601">
        <v>0.11498709999999999</v>
      </c>
      <c r="AA1601">
        <v>0.84240459999999995</v>
      </c>
      <c r="AB1601">
        <v>28</v>
      </c>
      <c r="AC1601">
        <v>-6.4804000000000004</v>
      </c>
      <c r="AD1601">
        <v>-1.114945835528</v>
      </c>
      <c r="AE1601">
        <v>-6.0896999999999899</v>
      </c>
      <c r="AF1601">
        <v>4.7739467395416497</v>
      </c>
      <c r="AG1601">
        <v>-1.114945835528</v>
      </c>
      <c r="AH1601">
        <v>7.3389830720098397</v>
      </c>
      <c r="AI1601">
        <v>97.257472502702001</v>
      </c>
      <c r="AJ1601">
        <v>56.9563366708921</v>
      </c>
      <c r="AK1601">
        <v>8.8257772586548207</v>
      </c>
      <c r="AL1601">
        <v>81.964236309666404</v>
      </c>
      <c r="AM1601">
        <v>69.596835169449903</v>
      </c>
      <c r="AN1601">
        <v>1.0000000476269799</v>
      </c>
    </row>
    <row r="1602" spans="1:40" x14ac:dyDescent="0.25">
      <c r="A1602" t="str">
        <f>"20190303162243823"</f>
        <v>20190303162243823</v>
      </c>
      <c r="B1602" t="str">
        <f>"1551601363816297"</f>
        <v>1551601363816297</v>
      </c>
      <c r="C1602" t="s">
        <v>40</v>
      </c>
      <c r="D1602">
        <v>5.5131709999999998</v>
      </c>
      <c r="E1602">
        <v>0.59065100000000004</v>
      </c>
      <c r="F1602" t="s">
        <v>46</v>
      </c>
      <c r="G1602">
        <v>-199.90110000000001</v>
      </c>
      <c r="H1602" s="1">
        <v>1.1978730000000001E-6</v>
      </c>
      <c r="I1602">
        <v>292.84320000000002</v>
      </c>
      <c r="J1602">
        <v>-193.1815</v>
      </c>
      <c r="K1602">
        <v>1.1149100000000001</v>
      </c>
      <c r="L1602">
        <v>298.98329999999999</v>
      </c>
      <c r="M1602">
        <v>-0.24549460000000001</v>
      </c>
      <c r="N1602">
        <v>-1.225829E-2</v>
      </c>
      <c r="O1602">
        <v>-0.96932070000000004</v>
      </c>
      <c r="P1602">
        <v>-0.5634323</v>
      </c>
      <c r="Q1602">
        <v>0.13335729999999901</v>
      </c>
      <c r="R1602">
        <v>-0.81532859999999996</v>
      </c>
      <c r="S1602">
        <v>-2.289307</v>
      </c>
      <c r="T1602">
        <v>-0.37522420000000001</v>
      </c>
      <c r="U1602">
        <v>-2.1678470000000001</v>
      </c>
      <c r="V1602">
        <v>0.34798430000000002</v>
      </c>
      <c r="W1602">
        <v>0.1399271</v>
      </c>
      <c r="X1602">
        <v>0.92699909999999996</v>
      </c>
      <c r="Y1602">
        <v>0.5301188</v>
      </c>
      <c r="Z1602">
        <v>0.11200590000000001</v>
      </c>
      <c r="AA1602">
        <v>0.84049309999999999</v>
      </c>
      <c r="AB1602">
        <v>28</v>
      </c>
      <c r="AC1602">
        <v>-6.7196000000000096</v>
      </c>
      <c r="AD1602">
        <v>-1.1149088021269999</v>
      </c>
      <c r="AE1602">
        <v>-6.1400999999999604</v>
      </c>
      <c r="AF1602">
        <v>4.9324612845032201</v>
      </c>
      <c r="AG1602">
        <v>-1.1149088021269999</v>
      </c>
      <c r="AH1602">
        <v>7.4895581767228299</v>
      </c>
      <c r="AI1602">
        <v>97.086798992521693</v>
      </c>
      <c r="AJ1602">
        <v>56.631962700698999</v>
      </c>
      <c r="AK1602">
        <v>9.0369064199370399</v>
      </c>
      <c r="AL1602">
        <v>81.956372128969704</v>
      </c>
      <c r="AM1602">
        <v>69.424469350281697</v>
      </c>
      <c r="AN1602">
        <v>0.999999998880854</v>
      </c>
    </row>
    <row r="1603" spans="1:40" x14ac:dyDescent="0.25">
      <c r="A1603" t="str">
        <f>"20190303162243843"</f>
        <v>20190303162243843</v>
      </c>
      <c r="B1603" t="str">
        <f>"1551601363835817"</f>
        <v>1551601363835817</v>
      </c>
      <c r="C1603" t="s">
        <v>40</v>
      </c>
      <c r="D1603">
        <v>5.5378569999999998</v>
      </c>
      <c r="E1603">
        <v>0.5908639</v>
      </c>
      <c r="F1603" t="s">
        <v>46</v>
      </c>
      <c r="G1603">
        <v>-200.0283</v>
      </c>
      <c r="H1603">
        <v>6.541044E-2</v>
      </c>
      <c r="I1603">
        <v>292.67500000000001</v>
      </c>
      <c r="J1603">
        <v>-193.25299999999999</v>
      </c>
      <c r="K1603">
        <v>1.114892</v>
      </c>
      <c r="L1603">
        <v>298.73129999999998</v>
      </c>
      <c r="M1603">
        <v>-0.25225239999999999</v>
      </c>
      <c r="N1603">
        <v>-1.226522E-2</v>
      </c>
      <c r="O1603">
        <v>-0.96758379999999999</v>
      </c>
      <c r="P1603">
        <v>-0.57189889999999999</v>
      </c>
      <c r="Q1603">
        <v>0.13512729999999901</v>
      </c>
      <c r="R1603">
        <v>-0.80911829999999996</v>
      </c>
      <c r="S1603">
        <v>-2.318085</v>
      </c>
      <c r="T1603">
        <v>-0.35532249999999999</v>
      </c>
      <c r="U1603">
        <v>-2.135742</v>
      </c>
      <c r="V1603">
        <v>0.35128749999999997</v>
      </c>
      <c r="W1603">
        <v>0.14161860000000001</v>
      </c>
      <c r="X1603">
        <v>0.92549510000000001</v>
      </c>
      <c r="Y1603">
        <v>0.53622159999999996</v>
      </c>
      <c r="Z1603">
        <v>0.1057733</v>
      </c>
      <c r="AA1603">
        <v>0.83742369999999899</v>
      </c>
      <c r="AB1603">
        <v>28</v>
      </c>
      <c r="AC1603">
        <v>-6.7753000000000103</v>
      </c>
      <c r="AD1603">
        <v>-1.04948156</v>
      </c>
      <c r="AE1603">
        <v>-6.0562999999999603</v>
      </c>
      <c r="AF1603">
        <v>4.9621522644060301</v>
      </c>
      <c r="AG1603">
        <v>-1.04948156</v>
      </c>
      <c r="AH1603">
        <v>7.4700053023875101</v>
      </c>
      <c r="AI1603">
        <v>96.674732882448794</v>
      </c>
      <c r="AJ1603">
        <v>56.404828687454</v>
      </c>
      <c r="AK1603">
        <v>9.0291387107313508</v>
      </c>
      <c r="AL1603">
        <v>81.858481166148493</v>
      </c>
      <c r="AM1603">
        <v>69.214885290075799</v>
      </c>
      <c r="AN1603">
        <v>0.99999995782310902</v>
      </c>
    </row>
    <row r="1604" spans="1:40" x14ac:dyDescent="0.25">
      <c r="A1604" t="str">
        <f>"20190303162243865"</f>
        <v>20190303162243865</v>
      </c>
      <c r="B1604" t="str">
        <f>"1551601363855844"</f>
        <v>1551601363855844</v>
      </c>
      <c r="C1604" t="s">
        <v>40</v>
      </c>
      <c r="D1604">
        <v>5.5453729999999997</v>
      </c>
      <c r="E1604">
        <v>0.59092389999999995</v>
      </c>
      <c r="F1604" t="s">
        <v>46</v>
      </c>
      <c r="G1604">
        <v>-200.37209999999999</v>
      </c>
      <c r="H1604">
        <v>7.9999959999999995E-2</v>
      </c>
      <c r="I1604">
        <v>292.31740000000002</v>
      </c>
      <c r="J1604">
        <v>-193.33170000000001</v>
      </c>
      <c r="K1604">
        <v>1.1148800000000001</v>
      </c>
      <c r="L1604">
        <v>298.46129999999999</v>
      </c>
      <c r="M1604">
        <v>-0.2595095</v>
      </c>
      <c r="N1604">
        <v>-1.2271779999999999E-2</v>
      </c>
      <c r="O1604">
        <v>-0.96566289999999999</v>
      </c>
      <c r="P1604">
        <v>-0.58107989999999998</v>
      </c>
      <c r="Q1604">
        <v>0.1363462</v>
      </c>
      <c r="R1604">
        <v>-0.80234450000000002</v>
      </c>
      <c r="S1604">
        <v>-2.3415370000000002</v>
      </c>
      <c r="T1604">
        <v>-0.34038380000000001</v>
      </c>
      <c r="U1604">
        <v>-2.1095890000000002</v>
      </c>
      <c r="V1604">
        <v>0.35496609999999901</v>
      </c>
      <c r="W1604">
        <v>0.1427514</v>
      </c>
      <c r="X1604">
        <v>0.92391619999999997</v>
      </c>
      <c r="Y1604">
        <v>0.53961049999999999</v>
      </c>
      <c r="Z1604">
        <v>0.101059</v>
      </c>
      <c r="AA1604">
        <v>0.83582749999999995</v>
      </c>
      <c r="AB1604">
        <v>28</v>
      </c>
      <c r="AC1604">
        <v>-7.0403999999999698</v>
      </c>
      <c r="AD1604">
        <v>-1.03488003999999</v>
      </c>
      <c r="AE1604">
        <v>-6.1438999999999702</v>
      </c>
      <c r="AF1604">
        <v>5.1415779128773602</v>
      </c>
      <c r="AG1604">
        <v>-1.03488003999999</v>
      </c>
      <c r="AH1604">
        <v>7.66653354680364</v>
      </c>
      <c r="AI1604">
        <v>96.396667108553501</v>
      </c>
      <c r="AJ1604">
        <v>56.152130081436397</v>
      </c>
      <c r="AK1604">
        <v>9.2888393653698405</v>
      </c>
      <c r="AL1604">
        <v>81.792910816834194</v>
      </c>
      <c r="AM1604">
        <v>68.983359974633004</v>
      </c>
      <c r="AN1604">
        <v>1.0000000194868</v>
      </c>
    </row>
    <row r="1605" spans="1:40" x14ac:dyDescent="0.25">
      <c r="A1605" t="str">
        <f>"20190303162243889"</f>
        <v>20190303162243889</v>
      </c>
      <c r="B1605" t="str">
        <f>"1551601363876340"</f>
        <v>1551601363876340</v>
      </c>
      <c r="C1605" t="s">
        <v>40</v>
      </c>
      <c r="D1605">
        <v>5.5445440000000001</v>
      </c>
      <c r="E1605">
        <v>0.59084799999999904</v>
      </c>
      <c r="F1605" t="s">
        <v>46</v>
      </c>
      <c r="G1605">
        <v>-200.77950000000001</v>
      </c>
      <c r="H1605">
        <v>8.0000080000000001E-2</v>
      </c>
      <c r="I1605">
        <v>291.90570000000002</v>
      </c>
      <c r="J1605">
        <v>-193.41630000000001</v>
      </c>
      <c r="K1605">
        <v>1.114868</v>
      </c>
      <c r="L1605">
        <v>298.17939999999999</v>
      </c>
      <c r="M1605">
        <v>-0.26711079999999998</v>
      </c>
      <c r="N1605">
        <v>-1.227804E-2</v>
      </c>
      <c r="O1605">
        <v>-0.96358779999999999</v>
      </c>
      <c r="P1605">
        <v>-0.59246949999999998</v>
      </c>
      <c r="Q1605">
        <v>0.14055780000000001</v>
      </c>
      <c r="R1605">
        <v>-0.79323619999999995</v>
      </c>
      <c r="S1605">
        <v>-2.3652500000000001</v>
      </c>
      <c r="T1605">
        <v>-0.32865290000000003</v>
      </c>
      <c r="U1605">
        <v>-2.081909</v>
      </c>
      <c r="V1605">
        <v>0.36113640000000002</v>
      </c>
      <c r="W1605">
        <v>0.14682509999999999</v>
      </c>
      <c r="X1605">
        <v>0.92088159999999997</v>
      </c>
      <c r="Y1605">
        <v>0.54294039999999999</v>
      </c>
      <c r="Z1605">
        <v>9.7391909999999998E-2</v>
      </c>
      <c r="AA1605">
        <v>0.83410469999999903</v>
      </c>
      <c r="AB1605">
        <v>28</v>
      </c>
      <c r="AC1605">
        <v>-7.3632</v>
      </c>
      <c r="AD1605">
        <v>-1.0348679199999999</v>
      </c>
      <c r="AE1605">
        <v>-6.2736999999999599</v>
      </c>
      <c r="AF1605">
        <v>5.3583987813373497</v>
      </c>
      <c r="AG1605">
        <v>-1.0348679199999999</v>
      </c>
      <c r="AH1605">
        <v>7.9219885291110002</v>
      </c>
      <c r="AI1605">
        <v>96.175626406057802</v>
      </c>
      <c r="AJ1605">
        <v>55.925749494954999</v>
      </c>
      <c r="AK1605">
        <v>9.6198384272839501</v>
      </c>
      <c r="AL1605">
        <v>81.557019123742606</v>
      </c>
      <c r="AM1605">
        <v>68.586687518238406</v>
      </c>
      <c r="AN1605">
        <v>1.0000000153067601</v>
      </c>
    </row>
    <row r="1606" spans="1:40" x14ac:dyDescent="0.25">
      <c r="A1606" t="str">
        <f>"20190303162243912"</f>
        <v>20190303162243912</v>
      </c>
      <c r="B1606" t="str">
        <f>"1551601363905622"</f>
        <v>1551601363905622</v>
      </c>
      <c r="C1606" t="s">
        <v>40</v>
      </c>
      <c r="D1606">
        <v>5.5425519999999997</v>
      </c>
      <c r="E1606">
        <v>0.59069989999999895</v>
      </c>
      <c r="F1606" t="s">
        <v>46</v>
      </c>
      <c r="G1606">
        <v>-201.3347</v>
      </c>
      <c r="H1606">
        <v>8.0000100000000005E-2</v>
      </c>
      <c r="I1606">
        <v>291.39510000000001</v>
      </c>
      <c r="J1606">
        <v>-193.5069</v>
      </c>
      <c r="K1606">
        <v>1.114814</v>
      </c>
      <c r="L1606">
        <v>297.88619999999997</v>
      </c>
      <c r="M1606">
        <v>-0.275065</v>
      </c>
      <c r="N1606">
        <v>-1.228509E-2</v>
      </c>
      <c r="O1606">
        <v>-0.96134710000000001</v>
      </c>
      <c r="P1606">
        <v>-0.60560159999999996</v>
      </c>
      <c r="Q1606">
        <v>0.1416975</v>
      </c>
      <c r="R1606">
        <v>-0.78305100000000005</v>
      </c>
      <c r="S1606">
        <v>-2.392868</v>
      </c>
      <c r="T1606">
        <v>-0.31272729999999999</v>
      </c>
      <c r="U1606">
        <v>-2.0501399999999999</v>
      </c>
      <c r="V1606">
        <v>0.36895450000000002</v>
      </c>
      <c r="W1606">
        <v>0.14778769999999999</v>
      </c>
      <c r="X1606">
        <v>0.91762270000000001</v>
      </c>
      <c r="Y1606">
        <v>0.54753459999999998</v>
      </c>
      <c r="Z1606">
        <v>9.2344220000000005E-2</v>
      </c>
      <c r="AA1606">
        <v>0.83167209999999903</v>
      </c>
      <c r="AB1606">
        <v>28</v>
      </c>
      <c r="AC1606">
        <v>-7.8277999999999901</v>
      </c>
      <c r="AD1606">
        <v>-1.0348139000000001</v>
      </c>
      <c r="AE1606">
        <v>-6.4910999999999497</v>
      </c>
      <c r="AF1606">
        <v>5.6813590611549696</v>
      </c>
      <c r="AG1606">
        <v>-1.0348139000000001</v>
      </c>
      <c r="AH1606">
        <v>8.3079555322452894</v>
      </c>
      <c r="AI1606">
        <v>95.870254030955394</v>
      </c>
      <c r="AJ1606">
        <v>55.633898250944299</v>
      </c>
      <c r="AK1606">
        <v>10.1178459029165</v>
      </c>
      <c r="AL1606">
        <v>81.501257970324005</v>
      </c>
      <c r="AM1606">
        <v>68.096100890520702</v>
      </c>
      <c r="AN1606">
        <v>1.0000000234484101</v>
      </c>
    </row>
    <row r="1607" spans="1:40" x14ac:dyDescent="0.25">
      <c r="A1607" t="str">
        <f>"20190303162243933"</f>
        <v>20190303162243933</v>
      </c>
      <c r="B1607" t="str">
        <f>"1551601363926116"</f>
        <v>1551601363926116</v>
      </c>
      <c r="C1607" t="s">
        <v>40</v>
      </c>
      <c r="D1607">
        <v>5.5762879999999999</v>
      </c>
      <c r="E1607">
        <v>0.59048199999999995</v>
      </c>
      <c r="F1607" t="s">
        <v>46</v>
      </c>
      <c r="G1607">
        <v>-201.6771</v>
      </c>
      <c r="H1607">
        <v>8.0000189999999999E-2</v>
      </c>
      <c r="I1607">
        <v>291.09480000000002</v>
      </c>
      <c r="J1607">
        <v>-193.58860000000001</v>
      </c>
      <c r="K1607">
        <v>1.114722</v>
      </c>
      <c r="L1607">
        <v>297.62920000000003</v>
      </c>
      <c r="M1607">
        <v>-0.2821224</v>
      </c>
      <c r="N1607">
        <v>-1.2296700000000001E-2</v>
      </c>
      <c r="O1607">
        <v>-0.95929980000000004</v>
      </c>
      <c r="P1607">
        <v>-0.61750269999999996</v>
      </c>
      <c r="Q1607">
        <v>0.136592299999999</v>
      </c>
      <c r="R1607">
        <v>-0.77461829999999998</v>
      </c>
      <c r="S1607">
        <v>-2.4221650000000001</v>
      </c>
      <c r="T1607">
        <v>-0.30678569999999999</v>
      </c>
      <c r="U1607">
        <v>-2.0133969999999999</v>
      </c>
      <c r="V1607">
        <v>0.37593189999999999</v>
      </c>
      <c r="W1607">
        <v>0.1425159</v>
      </c>
      <c r="X1607">
        <v>0.91562239999999995</v>
      </c>
      <c r="Y1607">
        <v>0.55391060000000003</v>
      </c>
      <c r="Z1607">
        <v>9.0618829999999997E-2</v>
      </c>
      <c r="AA1607">
        <v>0.82762990000000003</v>
      </c>
      <c r="AB1607">
        <v>28</v>
      </c>
      <c r="AC1607">
        <v>-8.0884999999999803</v>
      </c>
      <c r="AD1607">
        <v>-1.03472181</v>
      </c>
      <c r="AE1607">
        <v>-6.5343999999999998</v>
      </c>
      <c r="AF1607">
        <v>5.8582325890264997</v>
      </c>
      <c r="AG1607">
        <v>-1.03472181</v>
      </c>
      <c r="AH1607">
        <v>8.4671966256135498</v>
      </c>
      <c r="AI1607">
        <v>95.738685547552905</v>
      </c>
      <c r="AJ1607">
        <v>55.321650413312398</v>
      </c>
      <c r="AK1607">
        <v>10.3480895332434</v>
      </c>
      <c r="AL1607">
        <v>81.806543009745994</v>
      </c>
      <c r="AM1607">
        <v>67.678160066753904</v>
      </c>
      <c r="AN1607">
        <v>0.99999997728608903</v>
      </c>
    </row>
    <row r="1608" spans="1:40" x14ac:dyDescent="0.25">
      <c r="A1608" t="str">
        <f>"20190303162243954"</f>
        <v>20190303162243954</v>
      </c>
      <c r="B1608" t="str">
        <f>"1551601363945637"</f>
        <v>1551601363945637</v>
      </c>
      <c r="C1608" t="s">
        <v>40</v>
      </c>
      <c r="D1608">
        <v>5.5617809999999999</v>
      </c>
      <c r="E1608">
        <v>0.59021179999999995</v>
      </c>
      <c r="F1608" t="s">
        <v>46</v>
      </c>
      <c r="G1608">
        <v>-201.51259999999999</v>
      </c>
      <c r="H1608">
        <v>8.0000150000000006E-2</v>
      </c>
      <c r="I1608">
        <v>291.22840000000002</v>
      </c>
      <c r="J1608">
        <v>-193.67259999999999</v>
      </c>
      <c r="K1608">
        <v>1.1145860000000001</v>
      </c>
      <c r="L1608">
        <v>297.37119999999999</v>
      </c>
      <c r="M1608">
        <v>-0.28933639999999999</v>
      </c>
      <c r="N1608">
        <v>-1.2329140000000001E-2</v>
      </c>
      <c r="O1608">
        <v>-0.95714829999999995</v>
      </c>
      <c r="P1608">
        <v>-0.62658469999999999</v>
      </c>
      <c r="Q1608">
        <v>0.12948270000000001</v>
      </c>
      <c r="R1608">
        <v>-0.76852189999999998</v>
      </c>
      <c r="S1608">
        <v>-2.448242</v>
      </c>
      <c r="T1608">
        <v>-0.31969029999999998</v>
      </c>
      <c r="U1608">
        <v>-1.9776</v>
      </c>
      <c r="V1608">
        <v>0.3794034</v>
      </c>
      <c r="W1608">
        <v>0.13529059999999901</v>
      </c>
      <c r="X1608">
        <v>0.9152865</v>
      </c>
      <c r="Y1608">
        <v>0.55892589999999998</v>
      </c>
      <c r="Z1608">
        <v>9.5069479999999998E-2</v>
      </c>
      <c r="AA1608">
        <v>0.82374969999999903</v>
      </c>
      <c r="AB1608">
        <v>28</v>
      </c>
      <c r="AC1608">
        <v>-7.84</v>
      </c>
      <c r="AD1608">
        <v>-1.03458585</v>
      </c>
      <c r="AE1608">
        <v>-6.1427999999999603</v>
      </c>
      <c r="AF1608">
        <v>5.6660046737759204</v>
      </c>
      <c r="AG1608">
        <v>-1.03458585</v>
      </c>
      <c r="AH1608">
        <v>8.0616005376378794</v>
      </c>
      <c r="AI1608">
        <v>95.993863424922793</v>
      </c>
      <c r="AJ1608">
        <v>54.898968040151097</v>
      </c>
      <c r="AK1608">
        <v>9.9077434399924904</v>
      </c>
      <c r="AL1608">
        <v>82.224575257376003</v>
      </c>
      <c r="AM1608">
        <v>67.485077255477293</v>
      </c>
      <c r="AN1608">
        <v>0.99999993173108204</v>
      </c>
    </row>
    <row r="1609" spans="1:40" x14ac:dyDescent="0.25">
      <c r="A1609" t="str">
        <f>"20190303162243977"</f>
        <v>20190303162243977</v>
      </c>
      <c r="B1609" t="str">
        <f>"1551601363965664"</f>
        <v>1551601363965664</v>
      </c>
      <c r="C1609" t="s">
        <v>40</v>
      </c>
      <c r="D1609">
        <v>5.5709920000000004</v>
      </c>
      <c r="E1609">
        <v>0.5897599</v>
      </c>
      <c r="F1609" t="s">
        <v>46</v>
      </c>
      <c r="G1609">
        <v>-201.24690000000001</v>
      </c>
      <c r="H1609">
        <v>8.0000130000000003E-2</v>
      </c>
      <c r="I1609">
        <v>291.38799999999998</v>
      </c>
      <c r="J1609">
        <v>-193.76179999999999</v>
      </c>
      <c r="K1609">
        <v>1.11442</v>
      </c>
      <c r="L1609">
        <v>297.10520000000002</v>
      </c>
      <c r="M1609">
        <v>-0.29697129999999999</v>
      </c>
      <c r="N1609">
        <v>-1.240699E-2</v>
      </c>
      <c r="O1609">
        <v>-0.95480569999999998</v>
      </c>
      <c r="P1609">
        <v>-0.63391379999999997</v>
      </c>
      <c r="Q1609">
        <v>0.12184489999999901</v>
      </c>
      <c r="R1609">
        <v>-0.76374540000000002</v>
      </c>
      <c r="S1609">
        <v>-2.4671630000000002</v>
      </c>
      <c r="T1609">
        <v>-0.3369973</v>
      </c>
      <c r="U1609">
        <v>-1.948914</v>
      </c>
      <c r="V1609">
        <v>0.38042229999999999</v>
      </c>
      <c r="W1609">
        <v>0.1275771</v>
      </c>
      <c r="X1609">
        <v>0.91597099999999998</v>
      </c>
      <c r="Y1609">
        <v>0.56080280000000005</v>
      </c>
      <c r="Z1609">
        <v>0.1008887</v>
      </c>
      <c r="AA1609">
        <v>0.82177960000000005</v>
      </c>
      <c r="AB1609">
        <v>28</v>
      </c>
      <c r="AC1609">
        <v>-7.4851000000000099</v>
      </c>
      <c r="AD1609">
        <v>-1.03441987</v>
      </c>
      <c r="AE1609">
        <v>-5.71720000000004</v>
      </c>
      <c r="AF1609">
        <v>5.3844465843900204</v>
      </c>
      <c r="AG1609">
        <v>-1.03441987</v>
      </c>
      <c r="AH1609">
        <v>7.5907107165491103</v>
      </c>
      <c r="AI1609">
        <v>96.342399600631396</v>
      </c>
      <c r="AJ1609">
        <v>54.650137075081801</v>
      </c>
      <c r="AK1609">
        <v>9.3638228662194205</v>
      </c>
      <c r="AL1609">
        <v>82.670395160558996</v>
      </c>
      <c r="AM1609">
        <v>67.445845520319494</v>
      </c>
      <c r="AN1609">
        <v>0.99999995781134898</v>
      </c>
    </row>
    <row r="1610" spans="1:40" x14ac:dyDescent="0.25">
      <c r="A1610" t="str">
        <f>"20190303162243999"</f>
        <v>20190303162243999</v>
      </c>
      <c r="B1610" t="str">
        <f>"1551601363986160"</f>
        <v>1551601363986160</v>
      </c>
      <c r="C1610" t="s">
        <v>40</v>
      </c>
      <c r="D1610">
        <v>5.565296</v>
      </c>
      <c r="E1610">
        <v>0.58930729999999998</v>
      </c>
      <c r="F1610" t="s">
        <v>46</v>
      </c>
      <c r="G1610">
        <v>-200.9632</v>
      </c>
      <c r="H1610">
        <v>8.0000119999999994E-2</v>
      </c>
      <c r="I1610">
        <v>291.51429999999999</v>
      </c>
      <c r="J1610">
        <v>-193.8552</v>
      </c>
      <c r="K1610">
        <v>1.1142240000000001</v>
      </c>
      <c r="L1610">
        <v>296.83479999999997</v>
      </c>
      <c r="M1610">
        <v>-0.30498150000000002</v>
      </c>
      <c r="N1610">
        <v>-1.255736E-2</v>
      </c>
      <c r="O1610">
        <v>-0.9522756</v>
      </c>
      <c r="P1610">
        <v>-0.64023099999999999</v>
      </c>
      <c r="Q1610">
        <v>0.1155346</v>
      </c>
      <c r="R1610">
        <v>-0.75944480000000003</v>
      </c>
      <c r="S1610">
        <v>-2.4806819999999998</v>
      </c>
      <c r="T1610">
        <v>-0.35633219999999999</v>
      </c>
      <c r="U1610">
        <v>-1.9259029999999999</v>
      </c>
      <c r="V1610">
        <v>0.37999620000000001</v>
      </c>
      <c r="W1610">
        <v>0.1212385</v>
      </c>
      <c r="X1610">
        <v>0.9170083</v>
      </c>
      <c r="Y1610">
        <v>0.56022349999999999</v>
      </c>
      <c r="Z1610">
        <v>0.10727100000000001</v>
      </c>
      <c r="AA1610">
        <v>0.82136629999999999</v>
      </c>
      <c r="AB1610">
        <v>28</v>
      </c>
      <c r="AC1610">
        <v>-7.1079999999999997</v>
      </c>
      <c r="AD1610">
        <v>-1.0342238800000001</v>
      </c>
      <c r="AE1610">
        <v>-5.3204999999999796</v>
      </c>
      <c r="AF1610">
        <v>5.0776305782208198</v>
      </c>
      <c r="AG1610">
        <v>-1.0342238800000001</v>
      </c>
      <c r="AH1610">
        <v>7.1381074907936197</v>
      </c>
      <c r="AI1610">
        <v>96.733407292328906</v>
      </c>
      <c r="AJ1610">
        <v>54.574186717817398</v>
      </c>
      <c r="AK1610">
        <v>8.8206876077190994</v>
      </c>
      <c r="AL1610">
        <v>83.036415064861302</v>
      </c>
      <c r="AM1610">
        <v>67.491524866070705</v>
      </c>
      <c r="AN1610">
        <v>1.00000005408278</v>
      </c>
    </row>
    <row r="1611" spans="1:40" x14ac:dyDescent="0.25">
      <c r="A1611" t="str">
        <f>"20190303162244022"</f>
        <v>20190303162244022</v>
      </c>
      <c r="B1611" t="str">
        <f>"1551601364016416"</f>
        <v>1551601364016416</v>
      </c>
      <c r="C1611" t="s">
        <v>40</v>
      </c>
      <c r="D1611">
        <v>5.569445</v>
      </c>
      <c r="E1611">
        <v>0.58858739999999998</v>
      </c>
      <c r="F1611" t="s">
        <v>46</v>
      </c>
      <c r="G1611">
        <v>-200.8587</v>
      </c>
      <c r="H1611">
        <v>8.0000119999999994E-2</v>
      </c>
      <c r="I1611">
        <v>291.48649999999998</v>
      </c>
      <c r="J1611">
        <v>-193.95070000000001</v>
      </c>
      <c r="K1611">
        <v>1.114007</v>
      </c>
      <c r="L1611">
        <v>296.56630000000001</v>
      </c>
      <c r="M1611">
        <v>-0.3132317</v>
      </c>
      <c r="N1611">
        <v>-1.2789200000000001E-2</v>
      </c>
      <c r="O1611">
        <v>-0.94959070000000001</v>
      </c>
      <c r="P1611">
        <v>-0.64628750000000001</v>
      </c>
      <c r="Q1611">
        <v>0.110707</v>
      </c>
      <c r="R1611">
        <v>-0.75502100000000005</v>
      </c>
      <c r="S1611">
        <v>-2.4935299999999998</v>
      </c>
      <c r="T1611">
        <v>-0.36822389999999999</v>
      </c>
      <c r="U1611">
        <v>-1.904175</v>
      </c>
      <c r="V1611">
        <v>0.37914540000000002</v>
      </c>
      <c r="W1611">
        <v>0.11643390000000001</v>
      </c>
      <c r="X1611">
        <v>0.91798250000000003</v>
      </c>
      <c r="Y1611">
        <v>0.55925190000000002</v>
      </c>
      <c r="Z1611">
        <v>0.111113</v>
      </c>
      <c r="AA1611">
        <v>0.82151759999999996</v>
      </c>
      <c r="AB1611">
        <v>28</v>
      </c>
      <c r="AC1611">
        <v>-6.9079999999999799</v>
      </c>
      <c r="AD1611">
        <v>-1.03400688</v>
      </c>
      <c r="AE1611">
        <v>-5.0798000000000298</v>
      </c>
      <c r="AF1611">
        <v>4.89780218106511</v>
      </c>
      <c r="AG1611">
        <v>-1.03400688</v>
      </c>
      <c r="AH1611">
        <v>6.8879445118363503</v>
      </c>
      <c r="AI1611">
        <v>96.975029533273997</v>
      </c>
      <c r="AJ1611">
        <v>54.584556247635298</v>
      </c>
      <c r="AK1611">
        <v>8.5147763347530194</v>
      </c>
      <c r="AL1611">
        <v>83.313662742914701</v>
      </c>
      <c r="AM1611">
        <v>67.558381516577995</v>
      </c>
      <c r="AN1611">
        <v>0.99999997885830905</v>
      </c>
    </row>
    <row r="1612" spans="1:40" x14ac:dyDescent="0.25">
      <c r="A1612" t="str">
        <f>"20190303162244043"</f>
        <v>20190303162244043</v>
      </c>
      <c r="B1612" t="str">
        <f>"1551601364035937"</f>
        <v>1551601364035937</v>
      </c>
      <c r="C1612" t="s">
        <v>40</v>
      </c>
      <c r="D1612">
        <v>5.568479</v>
      </c>
      <c r="E1612">
        <v>0.58832659999999903</v>
      </c>
      <c r="F1612" t="s">
        <v>46</v>
      </c>
      <c r="G1612">
        <v>-200.87569999999999</v>
      </c>
      <c r="H1612">
        <v>8.0000100000000005E-2</v>
      </c>
      <c r="I1612">
        <v>291.35410000000002</v>
      </c>
      <c r="J1612">
        <v>-194.0454</v>
      </c>
      <c r="K1612">
        <v>1.1137950000000001</v>
      </c>
      <c r="L1612">
        <v>296.30860000000001</v>
      </c>
      <c r="M1612">
        <v>-0.32150709999999999</v>
      </c>
      <c r="N1612">
        <v>-1.3071370000000001E-2</v>
      </c>
      <c r="O1612">
        <v>-0.94681689999999996</v>
      </c>
      <c r="P1612">
        <v>-0.65243909999999905</v>
      </c>
      <c r="Q1612">
        <v>0.10797039999999999</v>
      </c>
      <c r="R1612">
        <v>-0.75011039999999995</v>
      </c>
      <c r="S1612">
        <v>-2.504089</v>
      </c>
      <c r="T1612">
        <v>-0.37389810000000001</v>
      </c>
      <c r="U1612">
        <v>-1.8847659999999999</v>
      </c>
      <c r="V1612">
        <v>0.37853989999999998</v>
      </c>
      <c r="W1612">
        <v>0.113742</v>
      </c>
      <c r="X1612">
        <v>0.91856970000000004</v>
      </c>
      <c r="Y1612">
        <v>0.55758490000000005</v>
      </c>
      <c r="Z1612">
        <v>0.11285920000000001</v>
      </c>
      <c r="AA1612">
        <v>0.82241219999999904</v>
      </c>
      <c r="AB1612">
        <v>28</v>
      </c>
      <c r="AC1612">
        <v>-6.8302999999999896</v>
      </c>
      <c r="AD1612">
        <v>-1.0337949</v>
      </c>
      <c r="AE1612">
        <v>-4.9544999999999897</v>
      </c>
      <c r="AF1612">
        <v>4.8024668962744501</v>
      </c>
      <c r="AG1612">
        <v>-1.0337949</v>
      </c>
      <c r="AH1612">
        <v>6.7857274247477504</v>
      </c>
      <c r="AI1612">
        <v>97.088648252694</v>
      </c>
      <c r="AJ1612">
        <v>54.711789456108498</v>
      </c>
      <c r="AK1612">
        <v>8.3772618956346196</v>
      </c>
      <c r="AL1612">
        <v>83.468929114115795</v>
      </c>
      <c r="AM1612">
        <v>67.603583510967496</v>
      </c>
      <c r="AN1612">
        <v>0.99999999610705004</v>
      </c>
    </row>
    <row r="1613" spans="1:40" x14ac:dyDescent="0.25">
      <c r="A1613" t="str">
        <f>"20190303162244067"</f>
        <v>20190303162244067</v>
      </c>
      <c r="B1613" t="str">
        <f>"1551601364055964"</f>
        <v>1551601364055964</v>
      </c>
      <c r="C1613" t="s">
        <v>40</v>
      </c>
      <c r="D1613">
        <v>5.7954549999999996</v>
      </c>
      <c r="E1613">
        <v>0.57336379999999998</v>
      </c>
      <c r="F1613" t="s">
        <v>46</v>
      </c>
      <c r="G1613">
        <v>-200.92439999999999</v>
      </c>
      <c r="H1613">
        <v>8.0000059999999998E-2</v>
      </c>
      <c r="I1613">
        <v>291.21660000000003</v>
      </c>
      <c r="J1613">
        <v>-194.1514</v>
      </c>
      <c r="K1613">
        <v>1.113564</v>
      </c>
      <c r="L1613">
        <v>296.02999999999997</v>
      </c>
      <c r="M1613">
        <v>-0.33088319999999999</v>
      </c>
      <c r="N1613">
        <v>-1.3405449999999999E-2</v>
      </c>
      <c r="O1613">
        <v>-0.94357659999999999</v>
      </c>
      <c r="P1613">
        <v>-0.65873549999999903</v>
      </c>
      <c r="Q1613">
        <v>0.1082622</v>
      </c>
      <c r="R1613">
        <v>-0.74454509999999996</v>
      </c>
      <c r="S1613">
        <v>-2.5178989999999999</v>
      </c>
      <c r="T1613">
        <v>-0.37839640000000002</v>
      </c>
      <c r="U1613">
        <v>-1.863831</v>
      </c>
      <c r="V1613">
        <v>0.37726769999999998</v>
      </c>
      <c r="W1613">
        <v>0.114103</v>
      </c>
      <c r="X1613">
        <v>0.91904819999999998</v>
      </c>
      <c r="Y1613">
        <v>0.55581329999999995</v>
      </c>
      <c r="Z1613">
        <v>0.114097</v>
      </c>
      <c r="AA1613">
        <v>0.82343999999999995</v>
      </c>
      <c r="AB1613">
        <v>28</v>
      </c>
      <c r="AC1613">
        <v>-6.7729999999999899</v>
      </c>
      <c r="AD1613">
        <v>-1.0335639400000001</v>
      </c>
      <c r="AE1613">
        <v>-4.8133999999999402</v>
      </c>
      <c r="AF1613">
        <v>4.7254869599410396</v>
      </c>
      <c r="AG1613">
        <v>-1.0335639400000001</v>
      </c>
      <c r="AH1613">
        <v>6.6801343352928404</v>
      </c>
      <c r="AI1613">
        <v>97.199070861897397</v>
      </c>
      <c r="AJ1613">
        <v>54.7246407836911</v>
      </c>
      <c r="AK1613">
        <v>8.24758608104211</v>
      </c>
      <c r="AL1613">
        <v>83.448109841594203</v>
      </c>
      <c r="AM1613">
        <v>67.681934563950506</v>
      </c>
      <c r="AN1613">
        <v>1.00000000299776</v>
      </c>
    </row>
    <row r="1614" spans="1:40" x14ac:dyDescent="0.25">
      <c r="A1614" t="str">
        <f>"20190303162244090"</f>
        <v>20190303162244090</v>
      </c>
      <c r="B1614" t="str">
        <f>"1551601364076459"</f>
        <v>1551601364076459</v>
      </c>
      <c r="C1614" t="s">
        <v>40</v>
      </c>
      <c r="D1614">
        <v>5.601604</v>
      </c>
      <c r="E1614">
        <v>0.57514140000000002</v>
      </c>
      <c r="F1614" t="s">
        <v>46</v>
      </c>
      <c r="G1614">
        <v>-201.46600000000001</v>
      </c>
      <c r="H1614">
        <v>8.0000080000000001E-2</v>
      </c>
      <c r="I1614">
        <v>290.28910000000002</v>
      </c>
      <c r="J1614">
        <v>-194.2569</v>
      </c>
      <c r="K1614">
        <v>1.1133630000000001</v>
      </c>
      <c r="L1614">
        <v>295.76170000000002</v>
      </c>
      <c r="M1614">
        <v>-0.34025229999999901</v>
      </c>
      <c r="N1614">
        <v>-1.372815E-2</v>
      </c>
      <c r="O1614">
        <v>-0.94023420000000002</v>
      </c>
      <c r="P1614">
        <v>-0.66616709999999901</v>
      </c>
      <c r="Q1614">
        <v>0.1108273</v>
      </c>
      <c r="R1614">
        <v>-0.73752269999999998</v>
      </c>
      <c r="S1614">
        <v>-2.44339</v>
      </c>
      <c r="T1614">
        <v>-0.34525420000000001</v>
      </c>
      <c r="U1614">
        <v>-1.9177249999999999</v>
      </c>
      <c r="V1614">
        <v>0.3775926</v>
      </c>
      <c r="W1614">
        <v>0.1167142</v>
      </c>
      <c r="X1614">
        <v>0.91858669999999998</v>
      </c>
      <c r="Y1614">
        <v>0.5249241</v>
      </c>
      <c r="Z1614">
        <v>0.10310999999999999</v>
      </c>
      <c r="AA1614">
        <v>0.84488050000000003</v>
      </c>
      <c r="AB1614">
        <v>28</v>
      </c>
      <c r="AC1614">
        <v>-7.2090999999999701</v>
      </c>
      <c r="AD1614">
        <v>-1.0333629200000001</v>
      </c>
      <c r="AE1614">
        <v>-5.4725999999999999</v>
      </c>
      <c r="AF1614">
        <v>4.8533757906323904</v>
      </c>
      <c r="AG1614">
        <v>-1.0333629200000001</v>
      </c>
      <c r="AH1614">
        <v>7.5013720810688103</v>
      </c>
      <c r="AI1614">
        <v>96.597484188457003</v>
      </c>
      <c r="AJ1614">
        <v>57.097197137847203</v>
      </c>
      <c r="AK1614">
        <v>8.9940913153117403</v>
      </c>
      <c r="AL1614">
        <v>83.297492297407601</v>
      </c>
      <c r="AM1614">
        <v>67.654484743353805</v>
      </c>
      <c r="AN1614">
        <v>0.99999995073664305</v>
      </c>
    </row>
    <row r="1615" spans="1:40" x14ac:dyDescent="0.25">
      <c r="A1615" t="str">
        <f>"20190303162244112"</f>
        <v>20190303162244112</v>
      </c>
      <c r="B1615" t="str">
        <f>"1551601364095980"</f>
        <v>1551601364095980</v>
      </c>
      <c r="C1615" t="s">
        <v>40</v>
      </c>
      <c r="D1615">
        <v>5.5903939999999999</v>
      </c>
      <c r="E1615">
        <v>0.5760345</v>
      </c>
      <c r="F1615" t="s">
        <v>46</v>
      </c>
      <c r="G1615">
        <v>-203.34639999999999</v>
      </c>
      <c r="H1615" s="1">
        <v>3.330903E-6</v>
      </c>
      <c r="I1615">
        <v>288.84949999999998</v>
      </c>
      <c r="J1615">
        <v>-194.35990000000001</v>
      </c>
      <c r="K1615">
        <v>1.113186</v>
      </c>
      <c r="L1615">
        <v>295.50810000000001</v>
      </c>
      <c r="M1615">
        <v>-0.3494177</v>
      </c>
      <c r="N1615">
        <v>-1.402018E-2</v>
      </c>
      <c r="O1615">
        <v>-0.93686219999999998</v>
      </c>
      <c r="P1615">
        <v>-0.67447959999999996</v>
      </c>
      <c r="Q1615">
        <v>0.113596</v>
      </c>
      <c r="R1615">
        <v>-0.72950219999999999</v>
      </c>
      <c r="S1615">
        <v>-2.4722900000000001</v>
      </c>
      <c r="T1615">
        <v>-0.30282809999999999</v>
      </c>
      <c r="U1615">
        <v>-1.880096</v>
      </c>
      <c r="V1615">
        <v>0.37929800000000002</v>
      </c>
      <c r="W1615">
        <v>0.1195003</v>
      </c>
      <c r="X1615">
        <v>0.91752529999999999</v>
      </c>
      <c r="Y1615">
        <v>0.53067540000000002</v>
      </c>
      <c r="Z1615">
        <v>8.904455E-2</v>
      </c>
      <c r="AA1615">
        <v>0.84288469999999904</v>
      </c>
      <c r="AB1615">
        <v>28</v>
      </c>
      <c r="AC1615">
        <v>-8.9864999999999693</v>
      </c>
      <c r="AD1615">
        <v>-1.1131826690969999</v>
      </c>
      <c r="AE1615">
        <v>-6.6586000000000301</v>
      </c>
      <c r="AF1615">
        <v>6.0333124420564301</v>
      </c>
      <c r="AG1615">
        <v>-1.1131826690969999</v>
      </c>
      <c r="AH1615">
        <v>9.28715624166529</v>
      </c>
      <c r="AI1615">
        <v>95.7397807189828</v>
      </c>
      <c r="AJ1615">
        <v>56.990616504761597</v>
      </c>
      <c r="AK1615">
        <v>11.1306471391089</v>
      </c>
      <c r="AL1615">
        <v>83.136735538865096</v>
      </c>
      <c r="AM1615">
        <v>67.540169851603693</v>
      </c>
      <c r="AN1615">
        <v>0.999999985322089</v>
      </c>
    </row>
    <row r="1616" spans="1:40" x14ac:dyDescent="0.25">
      <c r="A1616" t="str">
        <f>"20190303162244135"</f>
        <v>20190303162244135</v>
      </c>
      <c r="B1616" t="str">
        <f>"1551601364126235"</f>
        <v>1551601364126235</v>
      </c>
      <c r="C1616" t="s">
        <v>40</v>
      </c>
      <c r="D1616">
        <v>5.613575</v>
      </c>
      <c r="E1616">
        <v>0.57621650000000002</v>
      </c>
      <c r="F1616" t="s">
        <v>46</v>
      </c>
      <c r="G1616">
        <v>-204.45339999999999</v>
      </c>
      <c r="H1616" s="1">
        <v>3.8910809999999996E-6</v>
      </c>
      <c r="I1616">
        <v>288.05700000000002</v>
      </c>
      <c r="J1616">
        <v>-194.47659999999999</v>
      </c>
      <c r="K1616">
        <v>1.1129990000000001</v>
      </c>
      <c r="L1616">
        <v>295.22989999999999</v>
      </c>
      <c r="M1616">
        <v>-0.35981540000000001</v>
      </c>
      <c r="N1616">
        <v>-1.431812E-2</v>
      </c>
      <c r="O1616">
        <v>-0.93291369999999896</v>
      </c>
      <c r="P1616">
        <v>-0.68333189999999999</v>
      </c>
      <c r="Q1616">
        <v>0.1148329</v>
      </c>
      <c r="R1616">
        <v>-0.72102089999999996</v>
      </c>
      <c r="S1616">
        <v>-2.4990079999999999</v>
      </c>
      <c r="T1616">
        <v>-0.27560970000000001</v>
      </c>
      <c r="U1616">
        <v>-1.8447880000000001</v>
      </c>
      <c r="V1616">
        <v>0.38045570000000001</v>
      </c>
      <c r="W1616">
        <v>0.1207723</v>
      </c>
      <c r="X1616">
        <v>0.91687920000000001</v>
      </c>
      <c r="Y1616">
        <v>0.53394200000000003</v>
      </c>
      <c r="Z1616">
        <v>7.9885719999999993E-2</v>
      </c>
      <c r="AA1616">
        <v>0.84173880000000001</v>
      </c>
      <c r="AB1616">
        <v>28</v>
      </c>
      <c r="AC1616">
        <v>-9.9767999999999901</v>
      </c>
      <c r="AD1616">
        <v>-1.112995108919</v>
      </c>
      <c r="AE1616">
        <v>-7.1728999999999701</v>
      </c>
      <c r="AF1616">
        <v>6.6725187665229297</v>
      </c>
      <c r="AG1616">
        <v>-1.112995108919</v>
      </c>
      <c r="AH1616">
        <v>10.198880791157301</v>
      </c>
      <c r="AI1616">
        <v>95.2178515034458</v>
      </c>
      <c r="AJ1616">
        <v>56.805671701373598</v>
      </c>
      <c r="AK1616">
        <v>12.2383999850599</v>
      </c>
      <c r="AL1616">
        <v>83.063323555535604</v>
      </c>
      <c r="AM1616">
        <v>67.464171099788402</v>
      </c>
      <c r="AN1616">
        <v>0.99999997775120897</v>
      </c>
    </row>
    <row r="1617" spans="1:40" x14ac:dyDescent="0.25">
      <c r="A1617" t="str">
        <f>"20190303162244157"</f>
        <v>20190303162244157</v>
      </c>
      <c r="B1617" t="str">
        <f>"1551601364145756"</f>
        <v>1551601364145756</v>
      </c>
      <c r="C1617" t="s">
        <v>40</v>
      </c>
      <c r="D1617">
        <v>5.9488510000000003</v>
      </c>
      <c r="E1617">
        <v>0.57626129999999998</v>
      </c>
      <c r="F1617" t="s">
        <v>46</v>
      </c>
      <c r="G1617">
        <v>-205.32900000000001</v>
      </c>
      <c r="H1617" s="1">
        <v>4.33351099999999E-6</v>
      </c>
      <c r="I1617">
        <v>287.43810000000002</v>
      </c>
      <c r="J1617">
        <v>-194.58170000000001</v>
      </c>
      <c r="K1617">
        <v>1.112838</v>
      </c>
      <c r="L1617">
        <v>294.9873</v>
      </c>
      <c r="M1617">
        <v>-0.3691972</v>
      </c>
      <c r="N1617">
        <v>-1.455819E-2</v>
      </c>
      <c r="O1617">
        <v>-0.92923710000000004</v>
      </c>
      <c r="P1617">
        <v>-0.69038239999999995</v>
      </c>
      <c r="Q1617">
        <v>0.11476889999999899</v>
      </c>
      <c r="R1617">
        <v>-0.71428319999999901</v>
      </c>
      <c r="S1617">
        <v>-2.5226289999999998</v>
      </c>
      <c r="T1617">
        <v>-0.25871379999999999</v>
      </c>
      <c r="U1617">
        <v>-1.811188</v>
      </c>
      <c r="V1617">
        <v>0.38027820000000001</v>
      </c>
      <c r="W1617">
        <v>0.12075859999999999</v>
      </c>
      <c r="X1617">
        <v>0.91695459999999995</v>
      </c>
      <c r="Y1617">
        <v>0.53694109999999995</v>
      </c>
      <c r="Z1617">
        <v>7.4197040000000006E-2</v>
      </c>
      <c r="AA1617">
        <v>0.84035059999999995</v>
      </c>
      <c r="AB1617">
        <v>28</v>
      </c>
      <c r="AC1617">
        <v>-10.7472999999999</v>
      </c>
      <c r="AD1617">
        <v>-1.112833666489</v>
      </c>
      <c r="AE1617">
        <v>-7.5491999999999804</v>
      </c>
      <c r="AF1617">
        <v>7.1490834131726997</v>
      </c>
      <c r="AG1617">
        <v>-1.112833666489</v>
      </c>
      <c r="AH1617">
        <v>10.9057373128341</v>
      </c>
      <c r="AI1617">
        <v>94.877762087772396</v>
      </c>
      <c r="AJ1617">
        <v>56.753789424921102</v>
      </c>
      <c r="AK1617">
        <v>13.087509264726901</v>
      </c>
      <c r="AL1617">
        <v>83.064114057521905</v>
      </c>
      <c r="AM1617">
        <v>67.475301702312095</v>
      </c>
      <c r="AN1617">
        <v>0.99999994366517797</v>
      </c>
    </row>
    <row r="1618" spans="1:40" x14ac:dyDescent="0.25">
      <c r="A1618" t="str">
        <f>"20190303162244177"</f>
        <v>20190303162244177</v>
      </c>
      <c r="B1618" t="str">
        <f>"1551601364166251"</f>
        <v>1551601364166251</v>
      </c>
      <c r="C1618" t="s">
        <v>40</v>
      </c>
      <c r="D1618">
        <v>5.7182389999999996</v>
      </c>
      <c r="E1618">
        <v>0.53603230000000002</v>
      </c>
      <c r="F1618" t="s">
        <v>46</v>
      </c>
      <c r="G1618">
        <v>-205.721</v>
      </c>
      <c r="H1618" s="1">
        <v>4.5318660000000001E-6</v>
      </c>
      <c r="I1618">
        <v>287.1576</v>
      </c>
      <c r="J1618">
        <v>-194.6909</v>
      </c>
      <c r="K1618">
        <v>1.112638</v>
      </c>
      <c r="L1618">
        <v>294.74299999999999</v>
      </c>
      <c r="M1618">
        <v>-0.3789595</v>
      </c>
      <c r="N1618">
        <v>-1.478312E-2</v>
      </c>
      <c r="O1618">
        <v>-0.92529510000000004</v>
      </c>
      <c r="P1618">
        <v>-0.69632479999999997</v>
      </c>
      <c r="Q1618">
        <v>0.11645999999999999</v>
      </c>
      <c r="R1618">
        <v>-0.70821540000000005</v>
      </c>
      <c r="S1618">
        <v>-2.5402680000000002</v>
      </c>
      <c r="T1618">
        <v>-0.25377680000000002</v>
      </c>
      <c r="U1618">
        <v>-1.7855220000000001</v>
      </c>
      <c r="V1618">
        <v>0.37847940000000002</v>
      </c>
      <c r="W1618">
        <v>0.1225173</v>
      </c>
      <c r="X1618">
        <v>0.91746539999999999</v>
      </c>
      <c r="Y1618">
        <v>0.53660799999999997</v>
      </c>
      <c r="Z1618">
        <v>7.2394509999999995E-2</v>
      </c>
      <c r="AA1618">
        <v>0.84072039999999904</v>
      </c>
      <c r="AB1618">
        <v>28</v>
      </c>
      <c r="AC1618">
        <v>-11.0300999999999</v>
      </c>
      <c r="AD1618">
        <v>-1.112633468134</v>
      </c>
      <c r="AE1618">
        <v>-7.5853999999999902</v>
      </c>
      <c r="AF1618">
        <v>7.2820343248254904</v>
      </c>
      <c r="AG1618">
        <v>-1.112633468134</v>
      </c>
      <c r="AH1618">
        <v>11.1230791809979</v>
      </c>
      <c r="AI1618">
        <v>94.783910619413803</v>
      </c>
      <c r="AJ1618">
        <v>56.788116745132598</v>
      </c>
      <c r="AK1618">
        <v>13.3412468536152</v>
      </c>
      <c r="AL1618">
        <v>82.962594181147495</v>
      </c>
      <c r="AM1618">
        <v>67.582522444442901</v>
      </c>
      <c r="AN1618">
        <v>0.99999995261040298</v>
      </c>
    </row>
    <row r="1619" spans="1:40" x14ac:dyDescent="0.25">
      <c r="A1619" t="str">
        <f>"20190303162244202"</f>
        <v>20190303162244202</v>
      </c>
      <c r="B1619" t="str">
        <f>"1551601364196507"</f>
        <v>1551601364196507</v>
      </c>
      <c r="C1619" t="s">
        <v>40</v>
      </c>
      <c r="D1619">
        <v>5.8837739999999998</v>
      </c>
      <c r="E1619">
        <v>0.47794209999999898</v>
      </c>
      <c r="F1619" t="s">
        <v>46</v>
      </c>
      <c r="G1619">
        <v>-201.60849999999999</v>
      </c>
      <c r="H1619" s="1">
        <v>2.5643670000000001E-6</v>
      </c>
      <c r="I1619">
        <v>288.8021</v>
      </c>
      <c r="J1619">
        <v>-194.81899999999999</v>
      </c>
      <c r="K1619">
        <v>1.112403</v>
      </c>
      <c r="L1619">
        <v>294.46539999999999</v>
      </c>
      <c r="M1619">
        <v>-0.39043080000000002</v>
      </c>
      <c r="N1619">
        <v>-1.5020779999999999E-2</v>
      </c>
      <c r="O1619">
        <v>-0.92050980000000004</v>
      </c>
      <c r="P1619">
        <v>-0.70332050000000002</v>
      </c>
      <c r="Q1619">
        <v>0.1182107</v>
      </c>
      <c r="R1619">
        <v>-0.70097569999999998</v>
      </c>
      <c r="S1619">
        <v>-2.3331300000000001</v>
      </c>
      <c r="T1619">
        <v>-0.3752627</v>
      </c>
      <c r="U1619">
        <v>-2.0037229999999999</v>
      </c>
      <c r="V1619">
        <v>0.37640410000000002</v>
      </c>
      <c r="W1619">
        <v>0.1243155</v>
      </c>
      <c r="X1619">
        <v>0.91807709999999998</v>
      </c>
      <c r="Y1619">
        <v>0.43874760000000002</v>
      </c>
      <c r="Z1619">
        <v>0.11016189999999999</v>
      </c>
      <c r="AA1619">
        <v>0.89183239999999997</v>
      </c>
      <c r="AB1619">
        <v>28</v>
      </c>
      <c r="AC1619">
        <v>-6.7894999999999701</v>
      </c>
      <c r="AD1619">
        <v>-1.112400435633</v>
      </c>
      <c r="AE1619">
        <v>-5.6632999999999898</v>
      </c>
      <c r="AF1619">
        <v>3.9761869708464501</v>
      </c>
      <c r="AG1619">
        <v>-1.112400435633</v>
      </c>
      <c r="AH1619">
        <v>7.7422796598461101</v>
      </c>
      <c r="AI1619">
        <v>97.283427601681694</v>
      </c>
      <c r="AJ1619">
        <v>62.816419201900601</v>
      </c>
      <c r="AK1619">
        <v>8.7744168972982095</v>
      </c>
      <c r="AL1619">
        <v>82.858771327312894</v>
      </c>
      <c r="AM1619">
        <v>67.706772134117799</v>
      </c>
      <c r="AN1619">
        <v>0.99999997579073396</v>
      </c>
    </row>
    <row r="1620" spans="1:40" x14ac:dyDescent="0.25">
      <c r="A1620" t="str">
        <f>"20190303162244226"</f>
        <v>20190303162244226</v>
      </c>
      <c r="B1620" t="str">
        <f>"1551601364216027"</f>
        <v>1551601364216027</v>
      </c>
      <c r="C1620" t="s">
        <v>40</v>
      </c>
      <c r="D1620">
        <v>5.7752169999999996</v>
      </c>
      <c r="E1620">
        <v>0.47652149999999999</v>
      </c>
      <c r="F1620" t="s">
        <v>42</v>
      </c>
      <c r="G1620">
        <v>-195.2963</v>
      </c>
      <c r="H1620">
        <v>0.93400530000000004</v>
      </c>
      <c r="I1620">
        <v>293.91950000000003</v>
      </c>
      <c r="J1620">
        <v>-194.9443</v>
      </c>
      <c r="K1620">
        <v>1.1121589999999999</v>
      </c>
      <c r="L1620">
        <v>294.20429999999999</v>
      </c>
      <c r="M1620">
        <v>-0.40168569999999998</v>
      </c>
      <c r="N1620">
        <v>-1.522838E-2</v>
      </c>
      <c r="O1620">
        <v>-0.91565099999999999</v>
      </c>
      <c r="P1620">
        <v>-0.70863109999999996</v>
      </c>
      <c r="Q1620">
        <v>0.117964</v>
      </c>
      <c r="R1620">
        <v>-0.6956485</v>
      </c>
      <c r="S1620">
        <v>-2.053391</v>
      </c>
      <c r="T1620">
        <v>-0.76739619999999997</v>
      </c>
      <c r="U1620">
        <v>-2.3489070000000001</v>
      </c>
      <c r="V1620">
        <v>0.37217830000000002</v>
      </c>
      <c r="W1620">
        <v>0.1241437</v>
      </c>
      <c r="X1620">
        <v>0.91982160000000002</v>
      </c>
      <c r="Y1620">
        <v>0.28226099999999998</v>
      </c>
      <c r="Z1620">
        <v>0.22059290000000001</v>
      </c>
      <c r="AA1620">
        <v>0.9336314</v>
      </c>
      <c r="AB1620">
        <v>28</v>
      </c>
      <c r="AC1620">
        <v>-0.35200000000000298</v>
      </c>
      <c r="AD1620">
        <v>-0.1781537</v>
      </c>
      <c r="AE1620">
        <v>-0.28479999999996097</v>
      </c>
      <c r="AF1620">
        <v>0.18005806303595401</v>
      </c>
      <c r="AG1620">
        <v>-0.1781537</v>
      </c>
      <c r="AH1620">
        <v>0.348296935476681</v>
      </c>
      <c r="AI1620">
        <v>114.43579854068101</v>
      </c>
      <c r="AJ1620">
        <v>62.662522862552301</v>
      </c>
      <c r="AK1620">
        <v>0.43066274757679801</v>
      </c>
      <c r="AL1620">
        <v>82.868692197277795</v>
      </c>
      <c r="AM1620">
        <v>67.9707549077105</v>
      </c>
      <c r="AN1620">
        <v>1.0000000605335599</v>
      </c>
    </row>
    <row r="1621" spans="1:40" x14ac:dyDescent="0.25">
      <c r="A1621" t="str">
        <f>"20190303162244248"</f>
        <v>20190303162244248</v>
      </c>
      <c r="B1621" t="str">
        <f>"1551601364235549"</f>
        <v>1551601364235549</v>
      </c>
      <c r="C1621" t="s">
        <v>40</v>
      </c>
      <c r="D1621">
        <v>5.7033839999999998</v>
      </c>
      <c r="E1621">
        <v>0.47614780000000001</v>
      </c>
      <c r="F1621" t="s">
        <v>46</v>
      </c>
      <c r="G1621">
        <v>-197.80359999999999</v>
      </c>
      <c r="H1621" s="1">
        <v>1.711398E-6</v>
      </c>
      <c r="I1621">
        <v>290.9837</v>
      </c>
      <c r="J1621">
        <v>-195.06819999999999</v>
      </c>
      <c r="K1621">
        <v>1.1118969999999999</v>
      </c>
      <c r="L1621">
        <v>293.95460000000003</v>
      </c>
      <c r="M1621">
        <v>-0.41284219999999999</v>
      </c>
      <c r="N1621">
        <v>-1.541557E-2</v>
      </c>
      <c r="O1621">
        <v>-0.91067209999999998</v>
      </c>
      <c r="P1621">
        <v>-0.71505529999999995</v>
      </c>
      <c r="Q1621">
        <v>0.1157036</v>
      </c>
      <c r="R1621">
        <v>-0.68942639999999999</v>
      </c>
      <c r="S1621">
        <v>-2.074265</v>
      </c>
      <c r="T1621">
        <v>-0.80680940000000001</v>
      </c>
      <c r="U1621">
        <v>-2.3363649999999998</v>
      </c>
      <c r="V1621">
        <v>0.36934450000000002</v>
      </c>
      <c r="W1621">
        <v>0.1219007</v>
      </c>
      <c r="X1621">
        <v>0.92126260000000004</v>
      </c>
      <c r="Y1621">
        <v>0.27600799999999998</v>
      </c>
      <c r="Z1621">
        <v>0.2304001</v>
      </c>
      <c r="AA1621">
        <v>0.93313210000000002</v>
      </c>
      <c r="AB1621">
        <v>27</v>
      </c>
      <c r="AC1621">
        <v>-2.7353999999999901</v>
      </c>
      <c r="AD1621">
        <v>-1.1118952886019999</v>
      </c>
      <c r="AE1621">
        <v>-2.9709000000000199</v>
      </c>
      <c r="AF1621">
        <v>1.1755731399682601</v>
      </c>
      <c r="AG1621">
        <v>-1.1118952886019999</v>
      </c>
      <c r="AH1621">
        <v>3.5650074009615902</v>
      </c>
      <c r="AI1621">
        <v>106.49943560219199</v>
      </c>
      <c r="AJ1621">
        <v>71.749855060100401</v>
      </c>
      <c r="AK1621">
        <v>3.9150429255809001</v>
      </c>
      <c r="AL1621">
        <v>82.998189617033105</v>
      </c>
      <c r="AM1621">
        <v>68.153597541537493</v>
      </c>
      <c r="AN1621">
        <v>0.99999995924974905</v>
      </c>
    </row>
    <row r="1622" spans="1:40" x14ac:dyDescent="0.25">
      <c r="A1622" t="str">
        <f>"20190303162244269"</f>
        <v>20190303162244269</v>
      </c>
      <c r="B1622" t="str">
        <f>"1551601364256043"</f>
        <v>1551601364256043</v>
      </c>
      <c r="C1622" t="s">
        <v>40</v>
      </c>
      <c r="D1622">
        <v>5.7142549999999996</v>
      </c>
      <c r="E1622">
        <v>0.47691670000000003</v>
      </c>
      <c r="F1622" t="s">
        <v>46</v>
      </c>
      <c r="G1622">
        <v>-197.89359999999999</v>
      </c>
      <c r="H1622" s="1">
        <v>1.7303449999999999E-6</v>
      </c>
      <c r="I1622">
        <v>290.83069999999998</v>
      </c>
      <c r="J1622">
        <v>-195.1925</v>
      </c>
      <c r="K1622">
        <v>1.1116569999999999</v>
      </c>
      <c r="L1622">
        <v>293.7124</v>
      </c>
      <c r="M1622">
        <v>-0.4240141</v>
      </c>
      <c r="N1622">
        <v>-1.558698E-2</v>
      </c>
      <c r="O1622">
        <v>-0.90552149999999998</v>
      </c>
      <c r="P1622">
        <v>-0.72379680000000002</v>
      </c>
      <c r="Q1622">
        <v>0.1134169</v>
      </c>
      <c r="R1622">
        <v>-0.68062819999999902</v>
      </c>
      <c r="S1622">
        <v>-2.0953219999999999</v>
      </c>
      <c r="T1622">
        <v>-0.8245749</v>
      </c>
      <c r="U1622">
        <v>-2.3166199999999999</v>
      </c>
      <c r="V1622">
        <v>0.36963420000000002</v>
      </c>
      <c r="W1622">
        <v>0.11954099999999999</v>
      </c>
      <c r="X1622">
        <v>0.92145569999999999</v>
      </c>
      <c r="Y1622">
        <v>0.27205940000000001</v>
      </c>
      <c r="Z1622">
        <v>0.2343566</v>
      </c>
      <c r="AA1622">
        <v>0.93330630000000003</v>
      </c>
      <c r="AB1622">
        <v>27</v>
      </c>
      <c r="AC1622">
        <v>-2.7010999999999901</v>
      </c>
      <c r="AD1622">
        <v>-1.1116552696549999</v>
      </c>
      <c r="AE1622">
        <v>-2.8817000000000199</v>
      </c>
      <c r="AF1622">
        <v>1.13431561743084</v>
      </c>
      <c r="AG1622">
        <v>-1.1116552696549999</v>
      </c>
      <c r="AH1622">
        <v>3.4795652240489199</v>
      </c>
      <c r="AI1622">
        <v>106.896083526914</v>
      </c>
      <c r="AJ1622">
        <v>71.944368632996401</v>
      </c>
      <c r="AK1622">
        <v>3.8248952282265098</v>
      </c>
      <c r="AL1622">
        <v>83.1343872085654</v>
      </c>
      <c r="AM1622">
        <v>68.142226510796803</v>
      </c>
      <c r="AN1622">
        <v>1.00000004977656</v>
      </c>
    </row>
    <row r="1623" spans="1:40" x14ac:dyDescent="0.25">
      <c r="A1623" t="str">
        <f>"20190303162244292"</f>
        <v>20190303162244292</v>
      </c>
      <c r="B1623" t="str">
        <f>"1551601364286299"</f>
        <v>1551601364286299</v>
      </c>
      <c r="C1623" t="s">
        <v>40</v>
      </c>
      <c r="D1623">
        <v>5.7306509999999999</v>
      </c>
      <c r="E1623">
        <v>0.47769230000000001</v>
      </c>
      <c r="F1623" t="s">
        <v>46</v>
      </c>
      <c r="G1623">
        <v>-197.97569999999999</v>
      </c>
      <c r="H1623" s="1">
        <v>1.7430859999999999E-6</v>
      </c>
      <c r="I1623">
        <v>290.71710000000002</v>
      </c>
      <c r="J1623">
        <v>-195.3193</v>
      </c>
      <c r="K1623">
        <v>1.1114170000000001</v>
      </c>
      <c r="L1623">
        <v>293.47340000000003</v>
      </c>
      <c r="M1623">
        <v>-0.4354094</v>
      </c>
      <c r="N1623">
        <v>-1.5745499999999999E-2</v>
      </c>
      <c r="O1623">
        <v>-0.90009479999999997</v>
      </c>
      <c r="P1623">
        <v>-0.73297419999999902</v>
      </c>
      <c r="Q1623">
        <v>0.1149627</v>
      </c>
      <c r="R1623">
        <v>-0.67047190000000001</v>
      </c>
      <c r="S1623">
        <v>-2.1261290000000002</v>
      </c>
      <c r="T1623">
        <v>-0.84921789999999997</v>
      </c>
      <c r="U1623">
        <v>-2.288208</v>
      </c>
      <c r="V1623">
        <v>0.37074669999999998</v>
      </c>
      <c r="W1623">
        <v>0.1209706</v>
      </c>
      <c r="X1623">
        <v>0.92082189999999997</v>
      </c>
      <c r="Y1623">
        <v>0.27128809999999998</v>
      </c>
      <c r="Z1623">
        <v>0.24029900000000001</v>
      </c>
      <c r="AA1623">
        <v>0.93201889999999998</v>
      </c>
      <c r="AB1623">
        <v>27</v>
      </c>
      <c r="AC1623">
        <v>-2.6563999999999899</v>
      </c>
      <c r="AD1623">
        <v>-1.1114152569139999</v>
      </c>
      <c r="AE1623">
        <v>-2.7563</v>
      </c>
      <c r="AF1623">
        <v>1.09844601339723</v>
      </c>
      <c r="AG1623">
        <v>-1.1114152569139999</v>
      </c>
      <c r="AH1623">
        <v>3.3551761121150001</v>
      </c>
      <c r="AI1623">
        <v>107.47462780670701</v>
      </c>
      <c r="AJ1623">
        <v>71.872149351673301</v>
      </c>
      <c r="AK1623">
        <v>3.7012206447274401</v>
      </c>
      <c r="AL1623">
        <v>83.051877946042197</v>
      </c>
      <c r="AM1623">
        <v>68.069009694135701</v>
      </c>
      <c r="AN1623">
        <v>0.99999998657242894</v>
      </c>
    </row>
    <row r="1624" spans="1:40" x14ac:dyDescent="0.25">
      <c r="A1624" t="str">
        <f>"20190303162244315"</f>
        <v>20190303162244315</v>
      </c>
      <c r="B1624" t="str">
        <f>"1551601364306795"</f>
        <v>1551601364306795</v>
      </c>
      <c r="C1624" t="s">
        <v>40</v>
      </c>
      <c r="D1624">
        <v>5.7296500000000004</v>
      </c>
      <c r="E1624">
        <v>0.47862329999999997</v>
      </c>
      <c r="F1624" t="s">
        <v>46</v>
      </c>
      <c r="G1624">
        <v>-198.15989999999999</v>
      </c>
      <c r="H1624" s="1">
        <v>1.765857E-6</v>
      </c>
      <c r="I1624">
        <v>290.5052</v>
      </c>
      <c r="J1624">
        <v>-195.45689999999999</v>
      </c>
      <c r="K1624">
        <v>1.1111759999999999</v>
      </c>
      <c r="L1624">
        <v>293.22320000000002</v>
      </c>
      <c r="M1624">
        <v>-0.44778859999999898</v>
      </c>
      <c r="N1624">
        <v>-1.5903420000000001E-2</v>
      </c>
      <c r="O1624">
        <v>-0.89399810000000002</v>
      </c>
      <c r="P1624">
        <v>-0.74331429999999998</v>
      </c>
      <c r="Q1624">
        <v>0.1188203</v>
      </c>
      <c r="R1624">
        <v>-0.65830519999999904</v>
      </c>
      <c r="S1624">
        <v>-2.160431</v>
      </c>
      <c r="T1624">
        <v>-0.84530499999999997</v>
      </c>
      <c r="U1624">
        <v>-2.257568</v>
      </c>
      <c r="V1624">
        <v>0.37284840000000002</v>
      </c>
      <c r="W1624">
        <v>0.1246509</v>
      </c>
      <c r="X1624">
        <v>0.91948149999999995</v>
      </c>
      <c r="Y1624">
        <v>0.27209299999999997</v>
      </c>
      <c r="Z1624">
        <v>0.2380544</v>
      </c>
      <c r="AA1624">
        <v>0.93236019999999997</v>
      </c>
      <c r="AB1624">
        <v>27</v>
      </c>
      <c r="AC1624">
        <v>-2.7029999999999998</v>
      </c>
      <c r="AD1624">
        <v>-1.111174234143</v>
      </c>
      <c r="AE1624">
        <v>-2.7180000000000102</v>
      </c>
      <c r="AF1624">
        <v>1.1065556564705199</v>
      </c>
      <c r="AG1624">
        <v>-1.111174234143</v>
      </c>
      <c r="AH1624">
        <v>3.3585057569769399</v>
      </c>
      <c r="AI1624">
        <v>107.44464449915201</v>
      </c>
      <c r="AJ1624">
        <v>71.764056287743998</v>
      </c>
      <c r="AK1624">
        <v>3.7065798951509801</v>
      </c>
      <c r="AL1624">
        <v>82.839403867789997</v>
      </c>
      <c r="AM1624">
        <v>67.927517908207903</v>
      </c>
      <c r="AN1624">
        <v>1.00000000254781</v>
      </c>
    </row>
    <row r="1625" spans="1:40" x14ac:dyDescent="0.25">
      <c r="A1625" t="str">
        <f>"20190303162244338"</f>
        <v>20190303162244338</v>
      </c>
      <c r="B1625" t="str">
        <f>"1551601364326315"</f>
        <v>1551601364326315</v>
      </c>
      <c r="C1625" t="s">
        <v>40</v>
      </c>
      <c r="D1625">
        <v>5.6881519999999997</v>
      </c>
      <c r="E1625">
        <v>0.49892259999999999</v>
      </c>
      <c r="F1625" t="s">
        <v>42</v>
      </c>
      <c r="G1625">
        <v>-196.0325</v>
      </c>
      <c r="H1625">
        <v>0.89291239999999905</v>
      </c>
      <c r="I1625">
        <v>292.64400000000001</v>
      </c>
      <c r="J1625">
        <v>-195.59520000000001</v>
      </c>
      <c r="K1625">
        <v>1.1109180000000001</v>
      </c>
      <c r="L1625">
        <v>292.9803</v>
      </c>
      <c r="M1625">
        <v>-0.4602675</v>
      </c>
      <c r="N1625">
        <v>-1.6053979999999999E-2</v>
      </c>
      <c r="O1625">
        <v>-0.88763510000000001</v>
      </c>
      <c r="P1625">
        <v>-0.75465070000000001</v>
      </c>
      <c r="Q1625">
        <v>0.1242143</v>
      </c>
      <c r="R1625">
        <v>-0.64426169999999905</v>
      </c>
      <c r="S1625">
        <v>-2.2048030000000001</v>
      </c>
      <c r="T1625">
        <v>-0.83588090000000004</v>
      </c>
      <c r="U1625">
        <v>-2.2184750000000002</v>
      </c>
      <c r="V1625">
        <v>0.37665490000000001</v>
      </c>
      <c r="W1625">
        <v>0.12978919999999999</v>
      </c>
      <c r="X1625">
        <v>0.91721640000000004</v>
      </c>
      <c r="Y1625">
        <v>0.27687729999999999</v>
      </c>
      <c r="Z1625">
        <v>0.2343721</v>
      </c>
      <c r="AA1625">
        <v>0.9318845</v>
      </c>
      <c r="AB1625">
        <v>27</v>
      </c>
      <c r="AC1625">
        <v>-0.43729999999999303</v>
      </c>
      <c r="AD1625">
        <v>-0.21800559999999999</v>
      </c>
      <c r="AE1625">
        <v>-0.33629999999999399</v>
      </c>
      <c r="AF1625">
        <v>0.20187806287903801</v>
      </c>
      <c r="AG1625">
        <v>-0.21800559999999999</v>
      </c>
      <c r="AH1625">
        <v>0.432334310862588</v>
      </c>
      <c r="AI1625">
        <v>114.555450039131</v>
      </c>
      <c r="AJ1625">
        <v>64.969825553384297</v>
      </c>
      <c r="AK1625">
        <v>0.52458950642591196</v>
      </c>
      <c r="AL1625">
        <v>82.542589114580295</v>
      </c>
      <c r="AM1625">
        <v>67.674496135507496</v>
      </c>
      <c r="AN1625">
        <v>1.0000000372797999</v>
      </c>
    </row>
    <row r="1626" spans="1:40" x14ac:dyDescent="0.25">
      <c r="A1626" t="str">
        <f>"20190303162244358"</f>
        <v>20190303162244358</v>
      </c>
      <c r="B1626" t="str">
        <f>"1551601364346812"</f>
        <v>1551601364346812</v>
      </c>
      <c r="C1626" t="s">
        <v>40</v>
      </c>
      <c r="D1626">
        <v>5.8148780000000002</v>
      </c>
      <c r="E1626">
        <v>0.50560709999999998</v>
      </c>
      <c r="F1626" t="s">
        <v>46</v>
      </c>
      <c r="G1626">
        <v>-200.54069999999999</v>
      </c>
      <c r="H1626" s="1">
        <v>2.1014319999999999E-6</v>
      </c>
      <c r="I1626">
        <v>288.68079999999998</v>
      </c>
      <c r="J1626">
        <v>-195.7278</v>
      </c>
      <c r="K1626">
        <v>1.1106609999999999</v>
      </c>
      <c r="L1626">
        <v>292.75569999999999</v>
      </c>
      <c r="M1626">
        <v>-0.4722538</v>
      </c>
      <c r="N1626">
        <v>-1.6194179999999999E-2</v>
      </c>
      <c r="O1626">
        <v>-0.88131389999999998</v>
      </c>
      <c r="P1626">
        <v>-0.76648879999999997</v>
      </c>
      <c r="Q1626">
        <v>0.13080700000000001</v>
      </c>
      <c r="R1626">
        <v>-0.62879619999999903</v>
      </c>
      <c r="S1626">
        <v>-2.3312680000000001</v>
      </c>
      <c r="T1626">
        <v>-0.52367889999999995</v>
      </c>
      <c r="U1626">
        <v>-2.026764</v>
      </c>
      <c r="V1626">
        <v>0.38216060000000002</v>
      </c>
      <c r="W1626">
        <v>0.13605309999999901</v>
      </c>
      <c r="X1626">
        <v>0.91402559999999999</v>
      </c>
      <c r="Y1626">
        <v>0.34550540000000002</v>
      </c>
      <c r="Z1626">
        <v>0.14900169999999999</v>
      </c>
      <c r="AA1626">
        <v>0.926512</v>
      </c>
      <c r="AB1626">
        <v>27</v>
      </c>
      <c r="AC1626">
        <v>-4.8128999999999804</v>
      </c>
      <c r="AD1626">
        <v>-1.1106588985679999</v>
      </c>
      <c r="AE1626">
        <v>-4.0749000000000102</v>
      </c>
      <c r="AF1626">
        <v>2.24786732502006</v>
      </c>
      <c r="AG1626">
        <v>-1.1106588985679999</v>
      </c>
      <c r="AH1626">
        <v>5.6884973282437299</v>
      </c>
      <c r="AI1626">
        <v>100.291815577416</v>
      </c>
      <c r="AJ1626">
        <v>68.438044193459604</v>
      </c>
      <c r="AK1626">
        <v>6.2165482828734797</v>
      </c>
      <c r="AL1626">
        <v>82.180479914401104</v>
      </c>
      <c r="AM1626">
        <v>67.309848594933896</v>
      </c>
      <c r="AN1626">
        <v>0.99999998383366395</v>
      </c>
    </row>
    <row r="1627" spans="1:40" x14ac:dyDescent="0.25">
      <c r="A1627" t="str">
        <f>"20190303162244405"</f>
        <v>20190303162244405</v>
      </c>
      <c r="B1627" t="str">
        <f>"1551601364396587"</f>
        <v>1551601364396587</v>
      </c>
      <c r="C1627" t="s">
        <v>40</v>
      </c>
      <c r="D1627">
        <v>5.7179419999999999</v>
      </c>
      <c r="E1627">
        <v>0.5143934</v>
      </c>
      <c r="F1627" t="s">
        <v>46</v>
      </c>
      <c r="G1627">
        <v>-202.0187</v>
      </c>
      <c r="H1627" s="1">
        <v>2.8437189999999999E-6</v>
      </c>
      <c r="I1627">
        <v>287.68759999999997</v>
      </c>
      <c r="J1627">
        <v>-196.0266</v>
      </c>
      <c r="K1627">
        <v>1.1099950000000001</v>
      </c>
      <c r="L1627">
        <v>292.27670000000001</v>
      </c>
      <c r="M1627">
        <v>-0.49934600000000001</v>
      </c>
      <c r="N1627">
        <v>-1.650157E-2</v>
      </c>
      <c r="O1627">
        <v>-0.86624559999999995</v>
      </c>
      <c r="P1627">
        <v>-0.78922559999999997</v>
      </c>
      <c r="Q1627">
        <v>0.1400631</v>
      </c>
      <c r="R1627">
        <v>-0.5979179</v>
      </c>
      <c r="S1627">
        <v>-2.4000699999999999</v>
      </c>
      <c r="T1627">
        <v>-0.4237282</v>
      </c>
      <c r="U1627">
        <v>-1.9335329999999999</v>
      </c>
      <c r="V1627">
        <v>0.3891753</v>
      </c>
      <c r="W1627">
        <v>0.14469319999999999</v>
      </c>
      <c r="X1627">
        <v>0.9097288</v>
      </c>
      <c r="Y1627">
        <v>0.35484460000000001</v>
      </c>
      <c r="Z1627">
        <v>0.11800339999999999</v>
      </c>
      <c r="AA1627">
        <v>0.92744839999999995</v>
      </c>
      <c r="AB1627">
        <v>27</v>
      </c>
      <c r="AC1627">
        <v>-5.99209999999999</v>
      </c>
      <c r="AD1627">
        <v>-1.109992156281</v>
      </c>
      <c r="AE1627">
        <v>-4.5891000000000304</v>
      </c>
      <c r="AF1627">
        <v>2.8380917689376699</v>
      </c>
      <c r="AG1627">
        <v>-1.109992156281</v>
      </c>
      <c r="AH1627">
        <v>6.8208409715767697</v>
      </c>
      <c r="AI1627">
        <v>98.544659252546793</v>
      </c>
      <c r="AJ1627">
        <v>67.408236088494505</v>
      </c>
      <c r="AK1627">
        <v>7.4706572023790097</v>
      </c>
      <c r="AL1627">
        <v>81.680486619310102</v>
      </c>
      <c r="AM1627">
        <v>66.839116620670296</v>
      </c>
      <c r="AN1627">
        <v>1.0000000129028801</v>
      </c>
    </row>
    <row r="1628" spans="1:40" x14ac:dyDescent="0.25">
      <c r="A1628" t="str">
        <f>"20190303162244424"</f>
        <v>20190303162244424</v>
      </c>
      <c r="B1628" t="str">
        <f>"1551601364416107"</f>
        <v>1551601364416107</v>
      </c>
      <c r="C1628" t="s">
        <v>40</v>
      </c>
      <c r="D1628">
        <v>5.734299</v>
      </c>
      <c r="E1628">
        <v>0.51476379999999999</v>
      </c>
      <c r="F1628" t="s">
        <v>46</v>
      </c>
      <c r="G1628">
        <v>-205.0222</v>
      </c>
      <c r="H1628" s="1">
        <v>4.3319110000000001E-6</v>
      </c>
      <c r="I1628">
        <v>285.90010000000001</v>
      </c>
      <c r="J1628">
        <v>-196.1671</v>
      </c>
      <c r="K1628">
        <v>1.1096680000000001</v>
      </c>
      <c r="L1628">
        <v>292.06420000000003</v>
      </c>
      <c r="M1628">
        <v>-0.51208390000000004</v>
      </c>
      <c r="N1628">
        <v>-1.6643950000000001E-2</v>
      </c>
      <c r="O1628">
        <v>-0.85877440000000005</v>
      </c>
      <c r="P1628">
        <v>-0.79753989999999997</v>
      </c>
      <c r="Q1628">
        <v>0.1399193</v>
      </c>
      <c r="R1628">
        <v>-0.58681629999999996</v>
      </c>
      <c r="S1628">
        <v>-2.508804</v>
      </c>
      <c r="T1628">
        <v>-0.30956640000000002</v>
      </c>
      <c r="U1628">
        <v>-1.778381</v>
      </c>
      <c r="V1628">
        <v>0.38860139999999999</v>
      </c>
      <c r="W1628">
        <v>0.14439929999999901</v>
      </c>
      <c r="X1628">
        <v>0.91002079999999996</v>
      </c>
      <c r="Y1628">
        <v>0.40092450000000002</v>
      </c>
      <c r="Z1628">
        <v>8.4391969999999997E-2</v>
      </c>
      <c r="AA1628">
        <v>0.91221569999999996</v>
      </c>
      <c r="AB1628">
        <v>27</v>
      </c>
      <c r="AC1628">
        <v>-8.8550999999999895</v>
      </c>
      <c r="AD1628">
        <v>-1.109663668089</v>
      </c>
      <c r="AE1628">
        <v>-6.1641000000000101</v>
      </c>
      <c r="AF1628">
        <v>4.4020480256515402</v>
      </c>
      <c r="AG1628">
        <v>-1.109663668089</v>
      </c>
      <c r="AH1628">
        <v>9.7265987018757194</v>
      </c>
      <c r="AI1628">
        <v>95.933815434318603</v>
      </c>
      <c r="AJ1628">
        <v>65.649521920385396</v>
      </c>
      <c r="AK1628">
        <v>10.7338764006182</v>
      </c>
      <c r="AL1628">
        <v>81.697504723302004</v>
      </c>
      <c r="AM1628">
        <v>66.876318700262004</v>
      </c>
      <c r="AN1628">
        <v>1.0000000311775401</v>
      </c>
    </row>
    <row r="1629" spans="1:40" x14ac:dyDescent="0.25">
      <c r="A1629" t="str">
        <f>"20190303162244447"</f>
        <v>20190303162244447</v>
      </c>
      <c r="B1629" t="str">
        <f>"1551601364435628"</f>
        <v>1551601364435628</v>
      </c>
      <c r="C1629" t="s">
        <v>40</v>
      </c>
      <c r="D1629">
        <v>5.8720889999999999</v>
      </c>
      <c r="E1629">
        <v>0.51483480000000004</v>
      </c>
      <c r="F1629" t="s">
        <v>46</v>
      </c>
      <c r="G1629">
        <v>-205.1224</v>
      </c>
      <c r="H1629" s="1">
        <v>4.3746740000000004E-6</v>
      </c>
      <c r="I1629">
        <v>285.91890000000001</v>
      </c>
      <c r="J1629">
        <v>-196.31780000000001</v>
      </c>
      <c r="K1629">
        <v>1.1093649999999999</v>
      </c>
      <c r="L1629">
        <v>291.84449999999998</v>
      </c>
      <c r="M1629">
        <v>-0.52568049999999999</v>
      </c>
      <c r="N1629">
        <v>-1.6792910000000001E-2</v>
      </c>
      <c r="O1629">
        <v>-0.8505163</v>
      </c>
      <c r="P1629">
        <v>-0.80630299999999999</v>
      </c>
      <c r="Q1629">
        <v>0.14274100000000001</v>
      </c>
      <c r="R1629">
        <v>-0.57402159999999902</v>
      </c>
      <c r="S1629">
        <v>-2.5361940000000001</v>
      </c>
      <c r="T1629">
        <v>-0.31426349999999997</v>
      </c>
      <c r="U1629">
        <v>-1.7403869999999999</v>
      </c>
      <c r="V1629">
        <v>0.38840999999999998</v>
      </c>
      <c r="W1629">
        <v>0.14706649999999999</v>
      </c>
      <c r="X1629">
        <v>0.90967520000000002</v>
      </c>
      <c r="Y1629">
        <v>0.40015499999999998</v>
      </c>
      <c r="Z1629">
        <v>8.5328230000000005E-2</v>
      </c>
      <c r="AA1629">
        <v>0.91246649999999996</v>
      </c>
      <c r="AB1629">
        <v>27</v>
      </c>
      <c r="AC1629">
        <v>-8.80459999999999</v>
      </c>
      <c r="AD1629">
        <v>-1.109360625326</v>
      </c>
      <c r="AE1629">
        <v>-5.92559999999997</v>
      </c>
      <c r="AF1629">
        <v>4.3268237082353904</v>
      </c>
      <c r="AG1629">
        <v>-1.109360625326</v>
      </c>
      <c r="AH1629">
        <v>9.5650777351014202</v>
      </c>
      <c r="AI1629">
        <v>96.032147691639196</v>
      </c>
      <c r="AJ1629">
        <v>65.660079937364998</v>
      </c>
      <c r="AK1629">
        <v>10.5566470281858</v>
      </c>
      <c r="AL1629">
        <v>81.5430353745422</v>
      </c>
      <c r="AM1629">
        <v>66.878653085677598</v>
      </c>
      <c r="AN1629">
        <v>0.999999926508642</v>
      </c>
    </row>
    <row r="1630" spans="1:40" x14ac:dyDescent="0.25">
      <c r="A1630" t="str">
        <f>"20190303162244469"</f>
        <v>20190303162244469</v>
      </c>
      <c r="B1630" t="str">
        <f>"1551601364456123"</f>
        <v>1551601364456123</v>
      </c>
      <c r="C1630" t="s">
        <v>40</v>
      </c>
      <c r="D1630">
        <v>5.7450239999999999</v>
      </c>
      <c r="E1630">
        <v>0.51487079999999996</v>
      </c>
      <c r="F1630" t="s">
        <v>46</v>
      </c>
      <c r="G1630">
        <v>-205.63759999999999</v>
      </c>
      <c r="H1630" s="1">
        <v>4.6246149999999999E-6</v>
      </c>
      <c r="I1630">
        <v>285.67349999999999</v>
      </c>
      <c r="J1630">
        <v>-196.4768</v>
      </c>
      <c r="K1630">
        <v>1.109083</v>
      </c>
      <c r="L1630">
        <v>291.62139999999999</v>
      </c>
      <c r="M1630">
        <v>-0.53992580000000001</v>
      </c>
      <c r="N1630">
        <v>-1.694273E-2</v>
      </c>
      <c r="O1630">
        <v>-0.84154209999999996</v>
      </c>
      <c r="P1630">
        <v>-0.81512450000000003</v>
      </c>
      <c r="Q1630">
        <v>0.14718110000000001</v>
      </c>
      <c r="R1630">
        <v>-0.56027649999999996</v>
      </c>
      <c r="S1630">
        <v>-2.565445</v>
      </c>
      <c r="T1630">
        <v>-0.30537189999999997</v>
      </c>
      <c r="U1630">
        <v>-1.69866899999999</v>
      </c>
      <c r="V1630">
        <v>0.38808350000000003</v>
      </c>
      <c r="W1630">
        <v>0.15136520000000001</v>
      </c>
      <c r="X1630">
        <v>0.90910939999999996</v>
      </c>
      <c r="Y1630">
        <v>0.40009790000000001</v>
      </c>
      <c r="Z1630">
        <v>8.205337E-2</v>
      </c>
      <c r="AA1630">
        <v>0.91279180000000004</v>
      </c>
      <c r="AB1630">
        <v>27</v>
      </c>
      <c r="AC1630">
        <v>-9.1607999999999894</v>
      </c>
      <c r="AD1630">
        <v>-1.109078375385</v>
      </c>
      <c r="AE1630">
        <v>-5.9478999999999997</v>
      </c>
      <c r="AF1630">
        <v>4.4525109019121203</v>
      </c>
      <c r="AG1630">
        <v>-1.109078375385</v>
      </c>
      <c r="AH1630">
        <v>9.8514131037521899</v>
      </c>
      <c r="AI1630">
        <v>95.857428861961694</v>
      </c>
      <c r="AJ1630">
        <v>65.678614782292797</v>
      </c>
      <c r="AK1630">
        <v>10.867623857825199</v>
      </c>
      <c r="AL1630">
        <v>81.293950379421901</v>
      </c>
      <c r="AM1630">
        <v>66.883179799259693</v>
      </c>
      <c r="AN1630">
        <v>1.00000006395582</v>
      </c>
    </row>
    <row r="1631" spans="1:40" x14ac:dyDescent="0.25">
      <c r="A1631" t="str">
        <f>"20190303162244514"</f>
        <v>20190303162244514</v>
      </c>
      <c r="B1631" t="str">
        <f>"1551601364505900"</f>
        <v>1551601364505900</v>
      </c>
      <c r="C1631" t="s">
        <v>40</v>
      </c>
      <c r="D1631">
        <v>5.8589840000000004</v>
      </c>
      <c r="E1631">
        <v>0.51551530000000001</v>
      </c>
      <c r="F1631" t="s">
        <v>46</v>
      </c>
      <c r="G1631">
        <v>-206.21780000000001</v>
      </c>
      <c r="H1631" s="1">
        <v>4.9059489999999998E-6</v>
      </c>
      <c r="I1631">
        <v>285.39830000000001</v>
      </c>
      <c r="J1631">
        <v>-196.80799999999999</v>
      </c>
      <c r="K1631">
        <v>1.108506</v>
      </c>
      <c r="L1631">
        <v>291.18329999999997</v>
      </c>
      <c r="M1631">
        <v>-0.56922069999999902</v>
      </c>
      <c r="N1631">
        <v>-1.7232379999999999E-2</v>
      </c>
      <c r="O1631">
        <v>-0.82200430000000002</v>
      </c>
      <c r="P1631">
        <v>-0.83549059999999897</v>
      </c>
      <c r="Q1631">
        <v>0.14617749999999999</v>
      </c>
      <c r="R1631">
        <v>-0.52970539999999999</v>
      </c>
      <c r="S1631">
        <v>-2.5944669999999999</v>
      </c>
      <c r="T1631">
        <v>-0.29539910000000003</v>
      </c>
      <c r="U1631">
        <v>-1.6575009999999999</v>
      </c>
      <c r="V1631">
        <v>0.39007150000000002</v>
      </c>
      <c r="W1631">
        <v>0.1500312</v>
      </c>
      <c r="X1631">
        <v>0.9084795</v>
      </c>
      <c r="Y1631">
        <v>0.38305050000000002</v>
      </c>
      <c r="Z1631">
        <v>7.7268160000000002E-2</v>
      </c>
      <c r="AA1631">
        <v>0.92049009999999998</v>
      </c>
      <c r="AB1631">
        <v>27</v>
      </c>
      <c r="AC1631">
        <v>-9.4098000000000095</v>
      </c>
      <c r="AD1631">
        <v>-1.1085010940510001</v>
      </c>
      <c r="AE1631">
        <v>-5.7849999999999602</v>
      </c>
      <c r="AF1631">
        <v>4.3983177936772302</v>
      </c>
      <c r="AG1631">
        <v>-1.1085010940510001</v>
      </c>
      <c r="AH1631">
        <v>10.0122147957614</v>
      </c>
      <c r="AI1631">
        <v>95.788034413430296</v>
      </c>
      <c r="AJ1631">
        <v>66.284346970365107</v>
      </c>
      <c r="AK1631">
        <v>10.9917432287219</v>
      </c>
      <c r="AL1631">
        <v>81.371265951943002</v>
      </c>
      <c r="AM1631">
        <v>66.762890533253298</v>
      </c>
      <c r="AN1631">
        <v>1.00000006900296</v>
      </c>
    </row>
    <row r="1632" spans="1:40" x14ac:dyDescent="0.25">
      <c r="A1632" t="str">
        <f>"20190303162244540"</f>
        <v>20190303162244540</v>
      </c>
      <c r="B1632" t="str">
        <f>"1551601364526395"</f>
        <v>1551601364526395</v>
      </c>
      <c r="C1632" t="s">
        <v>40</v>
      </c>
      <c r="D1632">
        <v>5.6515649999999997</v>
      </c>
      <c r="E1632">
        <v>0.56666510000000003</v>
      </c>
      <c r="F1632" t="s">
        <v>46</v>
      </c>
      <c r="G1632">
        <v>-206.8416</v>
      </c>
      <c r="H1632" s="1">
        <v>5.1891129999999997E-6</v>
      </c>
      <c r="I1632">
        <v>285.32350000000002</v>
      </c>
      <c r="J1632">
        <v>-196.99860000000001</v>
      </c>
      <c r="K1632">
        <v>1.108214</v>
      </c>
      <c r="L1632">
        <v>290.94600000000003</v>
      </c>
      <c r="M1632">
        <v>-0.585812</v>
      </c>
      <c r="N1632">
        <v>-1.7390590000000001E-2</v>
      </c>
      <c r="O1632">
        <v>-0.81026039999999999</v>
      </c>
      <c r="P1632">
        <v>-0.8472596</v>
      </c>
      <c r="Q1632">
        <v>0.1467571</v>
      </c>
      <c r="R1632">
        <v>-0.51050289999999998</v>
      </c>
      <c r="S1632">
        <v>-2.6579440000000001</v>
      </c>
      <c r="T1632">
        <v>-0.29364790000000002</v>
      </c>
      <c r="U1632">
        <v>-1.5522769999999999</v>
      </c>
      <c r="V1632">
        <v>0.39238650000000003</v>
      </c>
      <c r="W1632">
        <v>0.1503871</v>
      </c>
      <c r="X1632">
        <v>0.90742299999999998</v>
      </c>
      <c r="Y1632">
        <v>0.40096910000000002</v>
      </c>
      <c r="Z1632">
        <v>7.678314E-2</v>
      </c>
      <c r="AA1632">
        <v>0.91286809999999996</v>
      </c>
      <c r="AB1632">
        <v>26</v>
      </c>
      <c r="AC1632">
        <v>-9.8429999999999893</v>
      </c>
      <c r="AD1632">
        <v>-1.1082088108870001</v>
      </c>
      <c r="AE1632">
        <v>-5.6224999999999401</v>
      </c>
      <c r="AF1632">
        <v>4.6380444810451298</v>
      </c>
      <c r="AG1632">
        <v>-1.1082088108870001</v>
      </c>
      <c r="AH1632">
        <v>10.225664553365499</v>
      </c>
      <c r="AI1632">
        <v>95.636692210838604</v>
      </c>
      <c r="AJ1632">
        <v>65.602428913433499</v>
      </c>
      <c r="AK1632">
        <v>11.282898516544201</v>
      </c>
      <c r="AL1632">
        <v>81.350639536471206</v>
      </c>
      <c r="AM1632">
        <v>66.615451060012504</v>
      </c>
      <c r="AN1632">
        <v>0.99999997307882904</v>
      </c>
    </row>
    <row r="1633" spans="1:40" x14ac:dyDescent="0.25">
      <c r="A1633" t="str">
        <f>"20190303162244558"</f>
        <v>20190303162244558</v>
      </c>
      <c r="B1633" t="str">
        <f>"1551601364545915"</f>
        <v>1551601364545915</v>
      </c>
      <c r="C1633" t="s">
        <v>40</v>
      </c>
      <c r="D1633">
        <v>5.6431709999999997</v>
      </c>
      <c r="E1633">
        <v>0.57293530000000004</v>
      </c>
      <c r="F1633" t="s">
        <v>47</v>
      </c>
      <c r="G1633">
        <v>-217.279</v>
      </c>
      <c r="H1633" s="1">
        <v>2.336746E-6</v>
      </c>
      <c r="I1633">
        <v>283.01859999999999</v>
      </c>
      <c r="J1633">
        <v>-197.1456</v>
      </c>
      <c r="K1633">
        <v>1.1080080000000001</v>
      </c>
      <c r="L1633">
        <v>290.7706</v>
      </c>
      <c r="M1633">
        <v>-0.59845349999999997</v>
      </c>
      <c r="N1633">
        <v>-1.7509960000000001E-2</v>
      </c>
      <c r="O1633">
        <v>-0.80096639999999997</v>
      </c>
      <c r="P1633">
        <v>-0.85729349999999904</v>
      </c>
      <c r="Q1633">
        <v>0.14817330000000001</v>
      </c>
      <c r="R1633">
        <v>-0.4930446</v>
      </c>
      <c r="S1633">
        <v>-2.8879700000000001</v>
      </c>
      <c r="T1633">
        <v>-0.1578116</v>
      </c>
      <c r="U1633">
        <v>-1.128876</v>
      </c>
      <c r="V1633">
        <v>0.39666879999999999</v>
      </c>
      <c r="W1633">
        <v>0.1515377</v>
      </c>
      <c r="X1633">
        <v>0.90536740000000004</v>
      </c>
      <c r="Y1633">
        <v>0.52717879999999995</v>
      </c>
      <c r="Z1633">
        <v>3.8377099999999997E-2</v>
      </c>
      <c r="AA1633">
        <v>0.84888739999999996</v>
      </c>
      <c r="AB1633">
        <v>26</v>
      </c>
      <c r="AC1633">
        <v>-20.133400000000002</v>
      </c>
      <c r="AD1633">
        <v>-1.1080056632540001</v>
      </c>
      <c r="AE1633">
        <v>-7.7519999999999998</v>
      </c>
      <c r="AF1633">
        <v>11.4585013846596</v>
      </c>
      <c r="AG1633">
        <v>-1.1080056632540001</v>
      </c>
      <c r="AH1633">
        <v>18.2127530287482</v>
      </c>
      <c r="AI1633">
        <v>92.9477452063946</v>
      </c>
      <c r="AJ1633">
        <v>57.824067174983902</v>
      </c>
      <c r="AK1633">
        <v>21.545981143086198</v>
      </c>
      <c r="AL1633">
        <v>81.283950694647203</v>
      </c>
      <c r="AM1633">
        <v>66.340322411013005</v>
      </c>
      <c r="AN1633">
        <v>0.99999997019874398</v>
      </c>
    </row>
    <row r="1634" spans="1:40" x14ac:dyDescent="0.25">
      <c r="A1634" t="str">
        <f>"20190303162244581"</f>
        <v>20190303162244581</v>
      </c>
      <c r="B1634" t="str">
        <f>"1551601364566411"</f>
        <v>1551601364566411</v>
      </c>
      <c r="C1634" t="s">
        <v>40</v>
      </c>
      <c r="D1634">
        <v>5.5495390000000002</v>
      </c>
      <c r="E1634">
        <v>0.57456739999999995</v>
      </c>
      <c r="F1634" t="s">
        <v>47</v>
      </c>
      <c r="G1634">
        <v>-217.75450000000001</v>
      </c>
      <c r="H1634" s="1">
        <v>2.589746E-6</v>
      </c>
      <c r="I1634">
        <v>283.5532</v>
      </c>
      <c r="J1634">
        <v>-197.3212</v>
      </c>
      <c r="K1634">
        <v>1.1077779999999999</v>
      </c>
      <c r="L1634">
        <v>290.5684</v>
      </c>
      <c r="M1634">
        <v>-0.61335819999999996</v>
      </c>
      <c r="N1634">
        <v>-1.7648339999999998E-2</v>
      </c>
      <c r="O1634">
        <v>-0.78960779999999997</v>
      </c>
      <c r="P1634">
        <v>-0.86865569999999903</v>
      </c>
      <c r="Q1634">
        <v>0.1491229</v>
      </c>
      <c r="R1634">
        <v>-0.47244049999999999</v>
      </c>
      <c r="S1634">
        <v>-2.935425</v>
      </c>
      <c r="T1634">
        <v>-0.15781919999999999</v>
      </c>
      <c r="U1634">
        <v>-1.0280149999999999</v>
      </c>
      <c r="V1634">
        <v>0.40131470000000002</v>
      </c>
      <c r="W1634">
        <v>0.15219189999999999</v>
      </c>
      <c r="X1634">
        <v>0.90320769999999995</v>
      </c>
      <c r="Y1634">
        <v>0.54153200000000001</v>
      </c>
      <c r="Z1634">
        <v>3.8444010000000001E-2</v>
      </c>
      <c r="AA1634">
        <v>0.83980069999999996</v>
      </c>
      <c r="AB1634">
        <v>26</v>
      </c>
      <c r="AC1634">
        <v>-20.433299999999999</v>
      </c>
      <c r="AD1634">
        <v>-1.1077754102540001</v>
      </c>
      <c r="AE1634">
        <v>-7.0151999999999903</v>
      </c>
      <c r="AF1634">
        <v>11.8022729025773</v>
      </c>
      <c r="AG1634">
        <v>-1.1077754102540001</v>
      </c>
      <c r="AH1634">
        <v>18.0276023745601</v>
      </c>
      <c r="AI1634">
        <v>92.9430550635754</v>
      </c>
      <c r="AJ1634">
        <v>56.788117400107403</v>
      </c>
      <c r="AK1634">
        <v>21.5758026363266</v>
      </c>
      <c r="AL1634">
        <v>81.246028254982505</v>
      </c>
      <c r="AM1634">
        <v>66.0433882683608</v>
      </c>
      <c r="AN1634">
        <v>1.0000000061004899</v>
      </c>
    </row>
    <row r="1635" spans="1:40" x14ac:dyDescent="0.25">
      <c r="A1635" t="str">
        <f>"20190303162244601"</f>
        <v>20190303162244601</v>
      </c>
      <c r="B1635" t="str">
        <f>"1551601364596667"</f>
        <v>1551601364596667</v>
      </c>
      <c r="C1635" t="s">
        <v>40</v>
      </c>
      <c r="D1635">
        <v>5.554494</v>
      </c>
      <c r="E1635">
        <v>0.57472650000000003</v>
      </c>
      <c r="F1635" t="s">
        <v>47</v>
      </c>
      <c r="G1635">
        <v>-217.66229999999999</v>
      </c>
      <c r="H1635" s="1">
        <v>2.5407129999999998E-6</v>
      </c>
      <c r="I1635">
        <v>284.05380000000002</v>
      </c>
      <c r="J1635">
        <v>-197.48859999999999</v>
      </c>
      <c r="K1635">
        <v>1.107578</v>
      </c>
      <c r="L1635">
        <v>290.38319999999999</v>
      </c>
      <c r="M1635">
        <v>-0.62736239999999999</v>
      </c>
      <c r="N1635">
        <v>-1.7776360000000001E-2</v>
      </c>
      <c r="O1635">
        <v>-0.77852480000000002</v>
      </c>
      <c r="P1635">
        <v>-0.87824089999999999</v>
      </c>
      <c r="Q1635">
        <v>0.15297160000000001</v>
      </c>
      <c r="R1635">
        <v>-0.45309310000000003</v>
      </c>
      <c r="S1635">
        <v>-2.96489</v>
      </c>
      <c r="T1635">
        <v>-0.16146729999999901</v>
      </c>
      <c r="U1635">
        <v>-0.94955440000000002</v>
      </c>
      <c r="V1635">
        <v>0.40487980000000001</v>
      </c>
      <c r="W1635">
        <v>0.15579479999999901</v>
      </c>
      <c r="X1635">
        <v>0.90099969999999996</v>
      </c>
      <c r="Y1635">
        <v>0.54904410000000003</v>
      </c>
      <c r="Z1635">
        <v>3.9576409999999999E-2</v>
      </c>
      <c r="AA1635">
        <v>0.83485580000000004</v>
      </c>
      <c r="AB1635">
        <v>26</v>
      </c>
      <c r="AC1635">
        <v>-20.1737</v>
      </c>
      <c r="AD1635">
        <v>-1.107575459287</v>
      </c>
      <c r="AE1635">
        <v>-6.3293999999999597</v>
      </c>
      <c r="AF1635">
        <v>11.704631382452099</v>
      </c>
      <c r="AG1635">
        <v>-1.107575459287</v>
      </c>
      <c r="AH1635">
        <v>17.538463313708402</v>
      </c>
      <c r="AI1635">
        <v>93.006866734635594</v>
      </c>
      <c r="AJ1635">
        <v>56.282072002064403</v>
      </c>
      <c r="AK1635">
        <v>21.114516679369999</v>
      </c>
      <c r="AL1635">
        <v>81.037105649366097</v>
      </c>
      <c r="AM1635">
        <v>65.802408345180197</v>
      </c>
      <c r="AN1635">
        <v>1.00000006577758</v>
      </c>
    </row>
    <row r="1636" spans="1:40" x14ac:dyDescent="0.25">
      <c r="A1636" t="str">
        <f>"20190303162244624"</f>
        <v>20190303162244624</v>
      </c>
      <c r="B1636" t="str">
        <f>"1551601364616188"</f>
        <v>1551601364616188</v>
      </c>
      <c r="C1636" t="s">
        <v>40</v>
      </c>
      <c r="D1636">
        <v>5.5615569999999996</v>
      </c>
      <c r="E1636">
        <v>0.57405439999999996</v>
      </c>
      <c r="F1636" t="s">
        <v>47</v>
      </c>
      <c r="G1636">
        <v>-219.1557</v>
      </c>
      <c r="H1636" s="1">
        <v>3.3354049999999998E-6</v>
      </c>
      <c r="I1636">
        <v>283.95499999999998</v>
      </c>
      <c r="J1636">
        <v>-197.67949999999999</v>
      </c>
      <c r="K1636">
        <v>1.10737</v>
      </c>
      <c r="L1636">
        <v>290.18060000000003</v>
      </c>
      <c r="M1636">
        <v>-0.64304779999999995</v>
      </c>
      <c r="N1636">
        <v>-1.791659E-2</v>
      </c>
      <c r="O1636">
        <v>-0.76561669999999904</v>
      </c>
      <c r="P1636">
        <v>-0.88877609999999996</v>
      </c>
      <c r="Q1636">
        <v>0.15717390000000001</v>
      </c>
      <c r="R1636">
        <v>-0.43055070000000001</v>
      </c>
      <c r="S1636">
        <v>-2.985535</v>
      </c>
      <c r="T1636">
        <v>-0.152614</v>
      </c>
      <c r="U1636">
        <v>-0.88574219999999904</v>
      </c>
      <c r="V1636">
        <v>0.40922449999999999</v>
      </c>
      <c r="W1636">
        <v>0.15971850000000001</v>
      </c>
      <c r="X1636">
        <v>0.89834590000000003</v>
      </c>
      <c r="Y1636">
        <v>0.55018330000000004</v>
      </c>
      <c r="Z1636">
        <v>3.6682930000000002E-2</v>
      </c>
      <c r="AA1636">
        <v>0.83423780000000003</v>
      </c>
      <c r="AB1636">
        <v>26</v>
      </c>
      <c r="AC1636">
        <v>-21.476199999999999</v>
      </c>
      <c r="AD1636">
        <v>-1.107366664595</v>
      </c>
      <c r="AE1636">
        <v>-6.22560000000004</v>
      </c>
      <c r="AF1636">
        <v>12.4107349454687</v>
      </c>
      <c r="AG1636">
        <v>-1.107366664595</v>
      </c>
      <c r="AH1636">
        <v>18.534168209014702</v>
      </c>
      <c r="AI1636">
        <v>92.842123255158199</v>
      </c>
      <c r="AJ1636">
        <v>56.193189228842698</v>
      </c>
      <c r="AK1636">
        <v>22.333114292829499</v>
      </c>
      <c r="AL1636">
        <v>80.809442878065397</v>
      </c>
      <c r="AM1636">
        <v>65.509259156111796</v>
      </c>
      <c r="AN1636">
        <v>1.00000002334465</v>
      </c>
    </row>
    <row r="1637" spans="1:40" x14ac:dyDescent="0.25">
      <c r="A1637" t="str">
        <f>"20190303162244647"</f>
        <v>20190303162244647</v>
      </c>
      <c r="B1637" t="str">
        <f>"1551601364635712"</f>
        <v>1551601364635712</v>
      </c>
      <c r="C1637" t="s">
        <v>40</v>
      </c>
      <c r="D1637">
        <v>5.5994409999999997</v>
      </c>
      <c r="E1637">
        <v>0.57329079999999999</v>
      </c>
      <c r="F1637" t="s">
        <v>47</v>
      </c>
      <c r="G1637">
        <v>-220.60669999999999</v>
      </c>
      <c r="H1637" s="1">
        <v>-1.2139229999999999E-6</v>
      </c>
      <c r="I1637">
        <v>283.92250000000001</v>
      </c>
      <c r="J1637">
        <v>-197.86359999999999</v>
      </c>
      <c r="K1637">
        <v>1.1071850000000001</v>
      </c>
      <c r="L1637">
        <v>289.99349999999998</v>
      </c>
      <c r="M1637">
        <v>-0.6578619</v>
      </c>
      <c r="N1637">
        <v>-1.8044850000000001E-2</v>
      </c>
      <c r="O1637">
        <v>-0.75292250000000005</v>
      </c>
      <c r="P1637">
        <v>-0.8992116</v>
      </c>
      <c r="Q1637">
        <v>0.15569340000000001</v>
      </c>
      <c r="R1637">
        <v>-0.40887420000000002</v>
      </c>
      <c r="S1637">
        <v>-3.0038909999999999</v>
      </c>
      <c r="T1637">
        <v>-0.1450861</v>
      </c>
      <c r="U1637">
        <v>-0.81991579999999997</v>
      </c>
      <c r="V1637">
        <v>0.4137052</v>
      </c>
      <c r="W1637">
        <v>0.15798699999999999</v>
      </c>
      <c r="X1637">
        <v>0.89659809999999995</v>
      </c>
      <c r="Y1637">
        <v>0.5523055</v>
      </c>
      <c r="Z1637">
        <v>3.4286339999999998E-2</v>
      </c>
      <c r="AA1637">
        <v>0.83293649999999997</v>
      </c>
      <c r="AB1637">
        <v>26</v>
      </c>
      <c r="AC1637">
        <v>-22.743099999999998</v>
      </c>
      <c r="AD1637">
        <v>-1.107186213923</v>
      </c>
      <c r="AE1637">
        <v>-6.0709999999999598</v>
      </c>
      <c r="AF1637">
        <v>13.103060848370299</v>
      </c>
      <c r="AG1637">
        <v>-1.107186213923</v>
      </c>
      <c r="AH1637">
        <v>19.492865988974199</v>
      </c>
      <c r="AI1637">
        <v>92.698891217586706</v>
      </c>
      <c r="AJ1637">
        <v>56.091094148343501</v>
      </c>
      <c r="AK1637">
        <v>23.513568197372798</v>
      </c>
      <c r="AL1637">
        <v>80.909926401532701</v>
      </c>
      <c r="AM1637">
        <v>65.230618185233794</v>
      </c>
      <c r="AN1637">
        <v>1.0000000187998199</v>
      </c>
    </row>
    <row r="1638" spans="1:40" x14ac:dyDescent="0.25">
      <c r="A1638" t="str">
        <f>"20190303162244668"</f>
        <v>20190303162244668</v>
      </c>
      <c r="B1638" t="str">
        <f>"1551601364656203"</f>
        <v>1551601364656203</v>
      </c>
      <c r="C1638" t="s">
        <v>40</v>
      </c>
      <c r="D1638">
        <v>5.6094970000000002</v>
      </c>
      <c r="E1638">
        <v>0.572542</v>
      </c>
      <c r="F1638" t="s">
        <v>47</v>
      </c>
      <c r="G1638">
        <v>-219.3997</v>
      </c>
      <c r="H1638" s="1">
        <v>3.4652549999999999E-6</v>
      </c>
      <c r="I1638">
        <v>284.6071</v>
      </c>
      <c r="J1638">
        <v>-198.05449999999999</v>
      </c>
      <c r="K1638">
        <v>1.107022</v>
      </c>
      <c r="L1638">
        <v>289.80720000000002</v>
      </c>
      <c r="M1638">
        <v>-0.67288510000000001</v>
      </c>
      <c r="N1638">
        <v>-1.816833E-2</v>
      </c>
      <c r="O1638">
        <v>-0.73952379999999995</v>
      </c>
      <c r="P1638">
        <v>-0.90900159999999997</v>
      </c>
      <c r="Q1638">
        <v>0.1529353</v>
      </c>
      <c r="R1638">
        <v>-0.38772060000000003</v>
      </c>
      <c r="S1638">
        <v>-3.019714</v>
      </c>
      <c r="T1638">
        <v>-0.15524479999999999</v>
      </c>
      <c r="U1638">
        <v>-0.75524899999999995</v>
      </c>
      <c r="V1638">
        <v>0.41695870000000002</v>
      </c>
      <c r="W1638">
        <v>0.15504860000000001</v>
      </c>
      <c r="X1638">
        <v>0.89560339999999905</v>
      </c>
      <c r="Y1638">
        <v>0.55319209999999996</v>
      </c>
      <c r="Z1638">
        <v>3.7242379999999999E-2</v>
      </c>
      <c r="AA1638">
        <v>0.83222090000000004</v>
      </c>
      <c r="AB1638">
        <v>26</v>
      </c>
      <c r="AC1638">
        <v>-21.345199999999998</v>
      </c>
      <c r="AD1638">
        <v>-1.1070185347449999</v>
      </c>
      <c r="AE1638">
        <v>-5.2001000000000097</v>
      </c>
      <c r="AF1638">
        <v>12.2571211763552</v>
      </c>
      <c r="AG1638">
        <v>-1.1070185347449999</v>
      </c>
      <c r="AH1638">
        <v>18.1653490649846</v>
      </c>
      <c r="AI1638">
        <v>92.891943261757007</v>
      </c>
      <c r="AJ1638">
        <v>55.990379085463303</v>
      </c>
      <c r="AK1638">
        <v>21.941796102891502</v>
      </c>
      <c r="AL1638">
        <v>81.080385438018595</v>
      </c>
      <c r="AM1638">
        <v>65.035113529381704</v>
      </c>
      <c r="AN1638">
        <v>1.0000000379795999</v>
      </c>
    </row>
    <row r="1639" spans="1:40" x14ac:dyDescent="0.25">
      <c r="A1639" t="str">
        <f>"20190303162244692"</f>
        <v>20190303162244692</v>
      </c>
      <c r="B1639" t="str">
        <f>"1551601364686459"</f>
        <v>1551601364686459</v>
      </c>
      <c r="C1639" t="s">
        <v>40</v>
      </c>
      <c r="D1639">
        <v>5.6501239999999999</v>
      </c>
      <c r="E1639">
        <v>0.5709244</v>
      </c>
      <c r="F1639" t="s">
        <v>47</v>
      </c>
      <c r="G1639">
        <v>-218.32570000000001</v>
      </c>
      <c r="H1639" s="1">
        <v>2.8937069999999999E-6</v>
      </c>
      <c r="I1639">
        <v>285.19650000000001</v>
      </c>
      <c r="J1639">
        <v>-198.2569</v>
      </c>
      <c r="K1639">
        <v>1.1068789999999999</v>
      </c>
      <c r="L1639">
        <v>289.6182</v>
      </c>
      <c r="M1639">
        <v>-0.68839319999999904</v>
      </c>
      <c r="N1639">
        <v>-1.8286759999999999E-2</v>
      </c>
      <c r="O1639">
        <v>-0.72510739999999996</v>
      </c>
      <c r="P1639">
        <v>-0.91841550000000005</v>
      </c>
      <c r="Q1639">
        <v>0.15237699999999901</v>
      </c>
      <c r="R1639">
        <v>-0.36509520000000001</v>
      </c>
      <c r="S1639">
        <v>-3.0338750000000001</v>
      </c>
      <c r="T1639">
        <v>-0.165682</v>
      </c>
      <c r="U1639">
        <v>-0.69006350000000005</v>
      </c>
      <c r="V1639">
        <v>0.42027700000000001</v>
      </c>
      <c r="W1639">
        <v>0.15431839999999999</v>
      </c>
      <c r="X1639">
        <v>0.89417729999999995</v>
      </c>
      <c r="Y1639">
        <v>0.55323259999999996</v>
      </c>
      <c r="Z1639">
        <v>4.0188870000000002E-2</v>
      </c>
      <c r="AA1639">
        <v>0.83205680000000004</v>
      </c>
      <c r="AB1639">
        <v>26</v>
      </c>
      <c r="AC1639">
        <v>-20.0688</v>
      </c>
      <c r="AD1639">
        <v>-1.1068761062929999</v>
      </c>
      <c r="AE1639">
        <v>-4.42169999999998</v>
      </c>
      <c r="AF1639">
        <v>11.476794095634</v>
      </c>
      <c r="AG1639">
        <v>-1.1068761062929999</v>
      </c>
      <c r="AH1639">
        <v>16.9750297288561</v>
      </c>
      <c r="AI1639">
        <v>93.092026025438201</v>
      </c>
      <c r="AJ1639">
        <v>55.937428740289299</v>
      </c>
      <c r="AK1639">
        <v>20.520565580017799</v>
      </c>
      <c r="AL1639">
        <v>81.122732023717504</v>
      </c>
      <c r="AM1639">
        <v>64.825758089157702</v>
      </c>
      <c r="AN1639">
        <v>0.99999998457142503</v>
      </c>
    </row>
    <row r="1640" spans="1:40" x14ac:dyDescent="0.25">
      <c r="A1640" t="str">
        <f>"20190303162244715"</f>
        <v>20190303162244715</v>
      </c>
      <c r="B1640" t="str">
        <f>"1551601364705981"</f>
        <v>1551601364705981</v>
      </c>
      <c r="C1640" t="s">
        <v>40</v>
      </c>
      <c r="D1640">
        <v>5.6839190000000004</v>
      </c>
      <c r="E1640">
        <v>0.56947899999999996</v>
      </c>
      <c r="F1640" t="s">
        <v>47</v>
      </c>
      <c r="G1640">
        <v>-217.8717</v>
      </c>
      <c r="H1640" s="1">
        <v>2.6521570000000001E-6</v>
      </c>
      <c r="I1640">
        <v>285.57769999999999</v>
      </c>
      <c r="J1640">
        <v>-198.4657</v>
      </c>
      <c r="K1640">
        <v>1.106757</v>
      </c>
      <c r="L1640">
        <v>289.4316</v>
      </c>
      <c r="M1640">
        <v>-0.70394569999999901</v>
      </c>
      <c r="N1640">
        <v>-1.8394569999999999E-2</v>
      </c>
      <c r="O1640">
        <v>-0.71001569999999903</v>
      </c>
      <c r="P1640">
        <v>-0.92853470000000005</v>
      </c>
      <c r="Q1640">
        <v>0.15134900000000001</v>
      </c>
      <c r="R1640">
        <v>-0.33899430000000003</v>
      </c>
      <c r="S1640">
        <v>-3.0456240000000001</v>
      </c>
      <c r="T1640">
        <v>-0.1718662</v>
      </c>
      <c r="U1640">
        <v>-0.62738039999999995</v>
      </c>
      <c r="V1640">
        <v>0.42630129999999999</v>
      </c>
      <c r="W1640">
        <v>0.15301890000000001</v>
      </c>
      <c r="X1640">
        <v>0.89154489999999997</v>
      </c>
      <c r="Y1640">
        <v>0.55214079999999999</v>
      </c>
      <c r="Z1640">
        <v>4.176684E-2</v>
      </c>
      <c r="AA1640">
        <v>0.83270409999999995</v>
      </c>
      <c r="AB1640">
        <v>26</v>
      </c>
      <c r="AC1640">
        <v>-19.405999999999999</v>
      </c>
      <c r="AD1640">
        <v>-1.106754347843</v>
      </c>
      <c r="AE1640">
        <v>-3.8538999999999999</v>
      </c>
      <c r="AF1640">
        <v>11.032975550164499</v>
      </c>
      <c r="AG1640">
        <v>-1.106754347843</v>
      </c>
      <c r="AH1640">
        <v>16.3487147025015</v>
      </c>
      <c r="AI1640">
        <v>93.211736698222296</v>
      </c>
      <c r="AJ1640">
        <v>55.9864452647642</v>
      </c>
      <c r="AK1640">
        <v>19.754288828018801</v>
      </c>
      <c r="AL1640">
        <v>81.198082533572105</v>
      </c>
      <c r="AM1640">
        <v>64.444728585143594</v>
      </c>
      <c r="AN1640">
        <v>0.99999994542745296</v>
      </c>
    </row>
    <row r="1641" spans="1:40" x14ac:dyDescent="0.25">
      <c r="A1641" t="str">
        <f>"20190303162244739"</f>
        <v>20190303162244739</v>
      </c>
      <c r="B1641" t="str">
        <f>"1551601364726475"</f>
        <v>1551601364726475</v>
      </c>
      <c r="C1641" t="s">
        <v>40</v>
      </c>
      <c r="D1641">
        <v>5.6574450000000001</v>
      </c>
      <c r="E1641">
        <v>0.56958889999999995</v>
      </c>
      <c r="F1641" t="s">
        <v>47</v>
      </c>
      <c r="G1641">
        <v>-217.7766</v>
      </c>
      <c r="H1641" s="1">
        <v>2.6015380000000002E-6</v>
      </c>
      <c r="I1641">
        <v>285.94630000000001</v>
      </c>
      <c r="J1641">
        <v>-198.6756</v>
      </c>
      <c r="K1641">
        <v>1.1066530000000001</v>
      </c>
      <c r="L1641">
        <v>289.25209999999998</v>
      </c>
      <c r="M1641">
        <v>-0.71910299999999905</v>
      </c>
      <c r="N1641">
        <v>-1.8488170000000002E-2</v>
      </c>
      <c r="O1641">
        <v>-0.69465759999999999</v>
      </c>
      <c r="P1641">
        <v>-0.93798440000000005</v>
      </c>
      <c r="Q1641">
        <v>0.1479637</v>
      </c>
      <c r="R1641">
        <v>-0.31351630000000003</v>
      </c>
      <c r="S1641">
        <v>-3.0579679999999998</v>
      </c>
      <c r="T1641">
        <v>-0.17525950000000001</v>
      </c>
      <c r="U1641">
        <v>-0.55191040000000002</v>
      </c>
      <c r="V1641">
        <v>0.4316989</v>
      </c>
      <c r="W1641">
        <v>0.1494074</v>
      </c>
      <c r="X1641">
        <v>0.88955799999999996</v>
      </c>
      <c r="Y1641">
        <v>0.5545715</v>
      </c>
      <c r="Z1641">
        <v>4.2607800000000001E-2</v>
      </c>
      <c r="AA1641">
        <v>0.83104460000000002</v>
      </c>
      <c r="AB1641">
        <v>26</v>
      </c>
      <c r="AC1641">
        <v>-19.100999999999999</v>
      </c>
      <c r="AD1641">
        <v>-1.106650398462</v>
      </c>
      <c r="AE1641">
        <v>-3.3057999999999699</v>
      </c>
      <c r="AF1641">
        <v>10.8579188492513</v>
      </c>
      <c r="AG1641">
        <v>-1.106650398462</v>
      </c>
      <c r="AH1641">
        <v>15.982636976194801</v>
      </c>
      <c r="AI1641">
        <v>93.277986376625094</v>
      </c>
      <c r="AJ1641">
        <v>55.809491444932597</v>
      </c>
      <c r="AK1641">
        <v>19.3536498251407</v>
      </c>
      <c r="AL1641">
        <v>81.407413676484595</v>
      </c>
      <c r="AM1641">
        <v>64.112888483057404</v>
      </c>
      <c r="AN1641">
        <v>0.99999997339998403</v>
      </c>
    </row>
    <row r="1642" spans="1:40" x14ac:dyDescent="0.25">
      <c r="A1642" t="str">
        <f>"20190303162244759"</f>
        <v>20190303162244759</v>
      </c>
      <c r="B1642" t="str">
        <f>"1551601364745996"</f>
        <v>1551601364745996</v>
      </c>
      <c r="C1642" t="s">
        <v>40</v>
      </c>
      <c r="D1642">
        <v>5.6767130000000003</v>
      </c>
      <c r="E1642">
        <v>0.57037260000000001</v>
      </c>
      <c r="F1642" t="s">
        <v>47</v>
      </c>
      <c r="G1642">
        <v>-217.18450000000001</v>
      </c>
      <c r="H1642" s="1">
        <v>2.2864269999999999E-6</v>
      </c>
      <c r="I1642">
        <v>286.43979999999999</v>
      </c>
      <c r="J1642">
        <v>-198.86089999999999</v>
      </c>
      <c r="K1642">
        <v>1.106579</v>
      </c>
      <c r="L1642">
        <v>289.10039999999998</v>
      </c>
      <c r="M1642">
        <v>-0.73208419999999996</v>
      </c>
      <c r="N1642">
        <v>-1.8558600000000001E-2</v>
      </c>
      <c r="O1642">
        <v>-0.68096129999999999</v>
      </c>
      <c r="P1642">
        <v>-0.94491009999999998</v>
      </c>
      <c r="Q1642">
        <v>0.14545829999999901</v>
      </c>
      <c r="R1642">
        <v>-0.29323519999999997</v>
      </c>
      <c r="S1642">
        <v>-3.0713499999999998</v>
      </c>
      <c r="T1642">
        <v>-0.18363670000000001</v>
      </c>
      <c r="U1642">
        <v>-0.4666748</v>
      </c>
      <c r="V1642">
        <v>0.4342763</v>
      </c>
      <c r="W1642">
        <v>0.14680760000000001</v>
      </c>
      <c r="X1642">
        <v>0.88873599999999997</v>
      </c>
      <c r="Y1642">
        <v>0.56176899999999996</v>
      </c>
      <c r="Z1642">
        <v>4.5063100000000002E-2</v>
      </c>
      <c r="AA1642">
        <v>0.82606599999999997</v>
      </c>
      <c r="AB1642">
        <v>26</v>
      </c>
      <c r="AC1642">
        <v>-18.323599999999999</v>
      </c>
      <c r="AD1642">
        <v>-1.106576713573</v>
      </c>
      <c r="AE1642">
        <v>-2.6605999999999801</v>
      </c>
      <c r="AF1642">
        <v>10.494210505480901</v>
      </c>
      <c r="AG1642">
        <v>-1.106576713573</v>
      </c>
      <c r="AH1642">
        <v>15.1746067448828</v>
      </c>
      <c r="AI1642">
        <v>93.432347514228198</v>
      </c>
      <c r="AJ1642">
        <v>55.333664296677497</v>
      </c>
      <c r="AK1642">
        <v>18.483009928531999</v>
      </c>
      <c r="AL1642">
        <v>81.5580328829477</v>
      </c>
      <c r="AM1642">
        <v>63.957789300404201</v>
      </c>
      <c r="AN1642">
        <v>1.0000000269277201</v>
      </c>
    </row>
    <row r="1643" spans="1:40" x14ac:dyDescent="0.25">
      <c r="A1643" t="str">
        <f>"20190303162244781"</f>
        <v>20190303162244781</v>
      </c>
      <c r="B1643" t="str">
        <f>"1551601364776252"</f>
        <v>1551601364776252</v>
      </c>
      <c r="C1643" t="s">
        <v>40</v>
      </c>
      <c r="D1643">
        <v>5.5787469999999999</v>
      </c>
      <c r="E1643">
        <v>0.57128889999999999</v>
      </c>
      <c r="F1643" t="s">
        <v>47</v>
      </c>
      <c r="G1643">
        <v>-216.28559999999999</v>
      </c>
      <c r="H1643" s="1">
        <v>1.808087E-6</v>
      </c>
      <c r="I1643">
        <v>286.88139999999999</v>
      </c>
      <c r="J1643">
        <v>-199.05860000000001</v>
      </c>
      <c r="K1643">
        <v>1.106538</v>
      </c>
      <c r="L1643">
        <v>288.94490000000002</v>
      </c>
      <c r="M1643">
        <v>-0.7455254</v>
      </c>
      <c r="N1643">
        <v>-1.8622240000000002E-2</v>
      </c>
      <c r="O1643">
        <v>-0.66621709999999901</v>
      </c>
      <c r="P1643">
        <v>-0.95095770000000002</v>
      </c>
      <c r="Q1643">
        <v>0.14632029999999999</v>
      </c>
      <c r="R1643">
        <v>-0.27252500000000002</v>
      </c>
      <c r="S1643">
        <v>-3.0831759999999999</v>
      </c>
      <c r="T1643">
        <v>-0.19580069999999999</v>
      </c>
      <c r="U1643">
        <v>-0.39263920000000002</v>
      </c>
      <c r="V1643">
        <v>0.43591560000000001</v>
      </c>
      <c r="W1643">
        <v>0.147616</v>
      </c>
      <c r="X1643">
        <v>0.887799</v>
      </c>
      <c r="Y1643">
        <v>0.56496049999999998</v>
      </c>
      <c r="Z1643">
        <v>4.8360149999999998E-2</v>
      </c>
      <c r="AA1643">
        <v>0.82369950000000003</v>
      </c>
      <c r="AB1643">
        <v>26</v>
      </c>
      <c r="AC1643">
        <v>-17.226999999999901</v>
      </c>
      <c r="AD1643">
        <v>-1.1065361919129999</v>
      </c>
      <c r="AE1643">
        <v>-2.0635000000000301</v>
      </c>
      <c r="AF1643">
        <v>9.89998542863637</v>
      </c>
      <c r="AG1643">
        <v>-1.1065361919129999</v>
      </c>
      <c r="AH1643">
        <v>14.1627633384396</v>
      </c>
      <c r="AI1643">
        <v>93.663999872182202</v>
      </c>
      <c r="AJ1643">
        <v>55.045870230016803</v>
      </c>
      <c r="AK1643">
        <v>17.315253368399599</v>
      </c>
      <c r="AL1643">
        <v>81.511204373093605</v>
      </c>
      <c r="AM1643">
        <v>63.848634567409597</v>
      </c>
      <c r="AN1643">
        <v>0.99999997909017901</v>
      </c>
    </row>
    <row r="1644" spans="1:40" x14ac:dyDescent="0.25">
      <c r="A1644" t="str">
        <f>"20190303162244802"</f>
        <v>20190303162244802</v>
      </c>
      <c r="B1644" t="str">
        <f>"1551601364795772"</f>
        <v>1551601364795772</v>
      </c>
      <c r="C1644" t="s">
        <v>40</v>
      </c>
      <c r="D1644">
        <v>5.6460800000000004</v>
      </c>
      <c r="E1644">
        <v>0.57139209999999996</v>
      </c>
      <c r="F1644" t="s">
        <v>47</v>
      </c>
      <c r="G1644">
        <v>-216.95959999999999</v>
      </c>
      <c r="H1644" s="1">
        <v>2.1667590000000001E-6</v>
      </c>
      <c r="I1644">
        <v>287.12979999999999</v>
      </c>
      <c r="J1644">
        <v>-199.26429999999999</v>
      </c>
      <c r="K1644">
        <v>1.1065020000000001</v>
      </c>
      <c r="L1644">
        <v>288.78989999999999</v>
      </c>
      <c r="M1644">
        <v>-0.75906180000000001</v>
      </c>
      <c r="N1644">
        <v>-1.8677079999999999E-2</v>
      </c>
      <c r="O1644">
        <v>-0.65075079999999996</v>
      </c>
      <c r="P1644">
        <v>-0.95696210000000004</v>
      </c>
      <c r="Q1644">
        <v>0.14601120000000001</v>
      </c>
      <c r="R1644">
        <v>-0.25080819999999998</v>
      </c>
      <c r="S1644">
        <v>-3.0942379999999998</v>
      </c>
      <c r="T1644">
        <v>-0.1912681</v>
      </c>
      <c r="U1644">
        <v>-0.31375120000000001</v>
      </c>
      <c r="V1644">
        <v>0.4379074</v>
      </c>
      <c r="W1644">
        <v>0.14724719999999999</v>
      </c>
      <c r="X1644">
        <v>0.88687959999999999</v>
      </c>
      <c r="Y1644">
        <v>0.5691929</v>
      </c>
      <c r="Z1644">
        <v>4.6842750000000002E-2</v>
      </c>
      <c r="AA1644">
        <v>0.82086859999999995</v>
      </c>
      <c r="AB1644">
        <v>26</v>
      </c>
      <c r="AC1644">
        <v>-17.6953</v>
      </c>
      <c r="AD1644">
        <v>-1.1064998332410001</v>
      </c>
      <c r="AE1644">
        <v>-1.6600999999999999</v>
      </c>
      <c r="AF1644">
        <v>10.2172979591739</v>
      </c>
      <c r="AG1644">
        <v>-1.1064998332410001</v>
      </c>
      <c r="AH1644">
        <v>14.4586263557153</v>
      </c>
      <c r="AI1644">
        <v>93.576257375171593</v>
      </c>
      <c r="AJ1644">
        <v>54.752772044040903</v>
      </c>
      <c r="AK1644">
        <v>17.738923179316298</v>
      </c>
      <c r="AL1644">
        <v>81.532568926833903</v>
      </c>
      <c r="AM1644">
        <v>63.721592864117902</v>
      </c>
      <c r="AN1644">
        <v>1.0000000268893701</v>
      </c>
    </row>
    <row r="1645" spans="1:40" x14ac:dyDescent="0.25">
      <c r="A1645" t="str">
        <f>"20190303162244826"</f>
        <v>20190303162244826</v>
      </c>
      <c r="B1645" t="str">
        <f>"1551601364816267"</f>
        <v>1551601364816267</v>
      </c>
      <c r="C1645" t="s">
        <v>40</v>
      </c>
      <c r="D1645">
        <v>5.6422150000000002</v>
      </c>
      <c r="E1645">
        <v>0.57120499999999996</v>
      </c>
      <c r="F1645" t="s">
        <v>47</v>
      </c>
      <c r="G1645">
        <v>-217.04859999999999</v>
      </c>
      <c r="H1645" s="1">
        <v>2.214151E-6</v>
      </c>
      <c r="I1645">
        <v>287.41269999999997</v>
      </c>
      <c r="J1645">
        <v>-199.4855</v>
      </c>
      <c r="K1645">
        <v>1.1064609999999999</v>
      </c>
      <c r="L1645">
        <v>288.63099999999997</v>
      </c>
      <c r="M1645">
        <v>-0.77310990000000002</v>
      </c>
      <c r="N1645">
        <v>-1.8723980000000001E-2</v>
      </c>
      <c r="O1645">
        <v>-0.633996</v>
      </c>
      <c r="P1645">
        <v>-0.96266419999999997</v>
      </c>
      <c r="Q1645">
        <v>0.14254890000000001</v>
      </c>
      <c r="R1645">
        <v>-0.23012579999999999</v>
      </c>
      <c r="S1645">
        <v>-3.1014249999999999</v>
      </c>
      <c r="T1645">
        <v>-0.19296360000000001</v>
      </c>
      <c r="U1645">
        <v>-0.24017330000000001</v>
      </c>
      <c r="V1645">
        <v>0.43783830000000001</v>
      </c>
      <c r="W1645">
        <v>0.1438284</v>
      </c>
      <c r="X1645">
        <v>0.88747450000000005</v>
      </c>
      <c r="Y1645">
        <v>0.57070699999999996</v>
      </c>
      <c r="Z1645">
        <v>4.6989629999999998E-2</v>
      </c>
      <c r="AA1645">
        <v>0.81980819999999999</v>
      </c>
      <c r="AB1645">
        <v>25</v>
      </c>
      <c r="AC1645">
        <v>-17.563099999999899</v>
      </c>
      <c r="AD1645">
        <v>-1.106458785849</v>
      </c>
      <c r="AE1645">
        <v>-1.2182999999999899</v>
      </c>
      <c r="AF1645">
        <v>10.1547304754555</v>
      </c>
      <c r="AG1645">
        <v>-1.106458785849</v>
      </c>
      <c r="AH1645">
        <v>14.2966469591278</v>
      </c>
      <c r="AI1645">
        <v>93.610364357867297</v>
      </c>
      <c r="AJ1645">
        <v>54.614295625946902</v>
      </c>
      <c r="AK1645">
        <v>17.5709110847407</v>
      </c>
      <c r="AL1645">
        <v>81.730559573989595</v>
      </c>
      <c r="AM1645">
        <v>63.740429368646097</v>
      </c>
      <c r="AN1645">
        <v>0.99999998687184999</v>
      </c>
    </row>
    <row r="1646" spans="1:40" x14ac:dyDescent="0.25">
      <c r="A1646" t="str">
        <f>"20190303162244847"</f>
        <v>20190303162244847</v>
      </c>
      <c r="B1646" t="str">
        <f>"1551601364835788"</f>
        <v>1551601364835788</v>
      </c>
      <c r="C1646" t="s">
        <v>40</v>
      </c>
      <c r="D1646">
        <v>5.6737380000000002</v>
      </c>
      <c r="E1646">
        <v>0.57105399999999995</v>
      </c>
      <c r="F1646" t="s">
        <v>47</v>
      </c>
      <c r="G1646">
        <v>-216.214</v>
      </c>
      <c r="H1646" s="1">
        <v>1.770008E-6</v>
      </c>
      <c r="I1646">
        <v>287.69560000000001</v>
      </c>
      <c r="J1646">
        <v>-199.69540000000001</v>
      </c>
      <c r="K1646">
        <v>1.106447</v>
      </c>
      <c r="L1646">
        <v>288.48689999999999</v>
      </c>
      <c r="M1646">
        <v>-0.78597130000000004</v>
      </c>
      <c r="N1646">
        <v>-1.8759620000000001E-2</v>
      </c>
      <c r="O1646">
        <v>-0.61797849999999999</v>
      </c>
      <c r="P1646">
        <v>-0.96666640000000004</v>
      </c>
      <c r="Q1646">
        <v>0.139177</v>
      </c>
      <c r="R1646">
        <v>-0.2149103</v>
      </c>
      <c r="S1646">
        <v>-3.1052399999999998</v>
      </c>
      <c r="T1646">
        <v>-0.20538699999999999</v>
      </c>
      <c r="U1646">
        <v>-0.1736145</v>
      </c>
      <c r="V1646">
        <v>0.43377749999999998</v>
      </c>
      <c r="W1646">
        <v>0.14067499999999999</v>
      </c>
      <c r="X1646">
        <v>0.88997059999999995</v>
      </c>
      <c r="Y1646">
        <v>0.571171599999999</v>
      </c>
      <c r="Z1646">
        <v>5.0086070000000003E-2</v>
      </c>
      <c r="AA1646">
        <v>0.8193011</v>
      </c>
      <c r="AB1646">
        <v>25</v>
      </c>
      <c r="AC1646">
        <v>-16.518599999999999</v>
      </c>
      <c r="AD1646">
        <v>-1.106445229992</v>
      </c>
      <c r="AE1646">
        <v>-0.79129999999997802</v>
      </c>
      <c r="AF1646">
        <v>9.5451598127944806</v>
      </c>
      <c r="AG1646">
        <v>-1.106445229992</v>
      </c>
      <c r="AH1646">
        <v>13.414474496773201</v>
      </c>
      <c r="AI1646">
        <v>93.844755524110298</v>
      </c>
      <c r="AJ1646">
        <v>54.5659905225383</v>
      </c>
      <c r="AK1646">
        <v>16.500982483577701</v>
      </c>
      <c r="AL1646">
        <v>81.913092719304302</v>
      </c>
      <c r="AM1646">
        <v>64.015092715506597</v>
      </c>
      <c r="AN1646">
        <v>1.0000000219978</v>
      </c>
    </row>
    <row r="1647" spans="1:40" x14ac:dyDescent="0.25">
      <c r="A1647" t="str">
        <f>"20190303162244868"</f>
        <v>20190303162244868</v>
      </c>
      <c r="B1647" t="str">
        <f>"1551601364856284"</f>
        <v>1551601364856284</v>
      </c>
      <c r="C1647" t="s">
        <v>40</v>
      </c>
      <c r="D1647">
        <v>5.7331779999999997</v>
      </c>
      <c r="E1647">
        <v>0.57044890000000004</v>
      </c>
      <c r="F1647" t="s">
        <v>47</v>
      </c>
      <c r="G1647">
        <v>-215.56649999999999</v>
      </c>
      <c r="H1647" s="1">
        <v>1.425411E-6</v>
      </c>
      <c r="I1647">
        <v>287.8528</v>
      </c>
      <c r="J1647">
        <v>-199.9051</v>
      </c>
      <c r="K1647">
        <v>1.1064499999999999</v>
      </c>
      <c r="L1647">
        <v>288.3494</v>
      </c>
      <c r="M1647">
        <v>-0.79836580000000001</v>
      </c>
      <c r="N1647">
        <v>-1.878786E-2</v>
      </c>
      <c r="O1647">
        <v>-0.60187969999999902</v>
      </c>
      <c r="P1647">
        <v>-0.96944920000000001</v>
      </c>
      <c r="Q1647">
        <v>0.13870729999999901</v>
      </c>
      <c r="R1647">
        <v>-0.20230809999999999</v>
      </c>
      <c r="S1647">
        <v>-3.10704</v>
      </c>
      <c r="T1647">
        <v>-0.21660670000000001</v>
      </c>
      <c r="U1647">
        <v>-0.12414550000000001</v>
      </c>
      <c r="V1647">
        <v>0.42727520000000002</v>
      </c>
      <c r="W1647">
        <v>0.14052529999999999</v>
      </c>
      <c r="X1647">
        <v>0.89313410000000004</v>
      </c>
      <c r="Y1647">
        <v>0.56731980000000004</v>
      </c>
      <c r="Z1647">
        <v>5.2542779999999997E-2</v>
      </c>
      <c r="AA1647">
        <v>0.82181959999999998</v>
      </c>
      <c r="AB1647">
        <v>25</v>
      </c>
      <c r="AC1647">
        <v>-15.661399999999899</v>
      </c>
      <c r="AD1647">
        <v>-1.106448574589</v>
      </c>
      <c r="AE1647">
        <v>-0.49659999999999999</v>
      </c>
      <c r="AF1647">
        <v>8.9865954368780301</v>
      </c>
      <c r="AG1647">
        <v>-1.106448574589</v>
      </c>
      <c r="AH1647">
        <v>12.7411498157224</v>
      </c>
      <c r="AI1647">
        <v>94.059174234867299</v>
      </c>
      <c r="AJ1647">
        <v>54.8038948646129</v>
      </c>
      <c r="AK1647">
        <v>15.630739733646999</v>
      </c>
      <c r="AL1647">
        <v>81.921755681714203</v>
      </c>
      <c r="AM1647">
        <v>64.433555544463204</v>
      </c>
      <c r="AN1647">
        <v>0.99999998852896999</v>
      </c>
    </row>
    <row r="1648" spans="1:40" x14ac:dyDescent="0.25">
      <c r="A1648" t="str">
        <f>"20190303162244892"</f>
        <v>20190303162244892</v>
      </c>
      <c r="B1648" t="str">
        <f>"1551601364886539"</f>
        <v>1551601364886539</v>
      </c>
      <c r="C1648" t="s">
        <v>40</v>
      </c>
      <c r="D1648">
        <v>5.7317019999999896</v>
      </c>
      <c r="E1648">
        <v>0.56981780000000004</v>
      </c>
      <c r="F1648" t="s">
        <v>47</v>
      </c>
      <c r="G1648">
        <v>-215.61240000000001</v>
      </c>
      <c r="H1648" s="1">
        <v>1.4498399999999999E-6</v>
      </c>
      <c r="I1648">
        <v>287.91019999999997</v>
      </c>
      <c r="J1648">
        <v>-200.13210000000001</v>
      </c>
      <c r="K1648">
        <v>1.106473</v>
      </c>
      <c r="L1648">
        <v>288.2072</v>
      </c>
      <c r="M1648">
        <v>-0.81129790000000002</v>
      </c>
      <c r="N1648">
        <v>-1.8811709999999999E-2</v>
      </c>
      <c r="O1648">
        <v>-0.58433040000000003</v>
      </c>
      <c r="P1648">
        <v>-0.9724064</v>
      </c>
      <c r="Q1648">
        <v>0.14058209999999999</v>
      </c>
      <c r="R1648">
        <v>-0.1861796</v>
      </c>
      <c r="S1648">
        <v>-3.1077119999999998</v>
      </c>
      <c r="T1648">
        <v>-0.2189121</v>
      </c>
      <c r="U1648">
        <v>-8.6883539999999995E-2</v>
      </c>
      <c r="V1648">
        <v>0.42252600000000001</v>
      </c>
      <c r="W1648">
        <v>0.14263670000000001</v>
      </c>
      <c r="X1648">
        <v>0.89505669999999904</v>
      </c>
      <c r="Y1648">
        <v>0.55919459999999999</v>
      </c>
      <c r="Z1648">
        <v>5.2239889999999997E-2</v>
      </c>
      <c r="AA1648">
        <v>0.82738889999999998</v>
      </c>
      <c r="AB1648">
        <v>25</v>
      </c>
      <c r="AC1648">
        <v>-15.4803</v>
      </c>
      <c r="AD1648">
        <v>-1.10647155016</v>
      </c>
      <c r="AE1648">
        <v>-0.29700000000002502</v>
      </c>
      <c r="AF1648">
        <v>8.7614675262015194</v>
      </c>
      <c r="AG1648">
        <v>-1.10647155016</v>
      </c>
      <c r="AH1648">
        <v>12.670227124907299</v>
      </c>
      <c r="AI1648">
        <v>94.108380513519805</v>
      </c>
      <c r="AJ1648">
        <v>55.336125058930897</v>
      </c>
      <c r="AK1648">
        <v>15.444165497065001</v>
      </c>
      <c r="AL1648">
        <v>81.799550200782804</v>
      </c>
      <c r="AM1648">
        <v>64.729588450173907</v>
      </c>
      <c r="AN1648">
        <v>0.99999997253888895</v>
      </c>
    </row>
    <row r="1649" spans="1:40" x14ac:dyDescent="0.25">
      <c r="A1649" t="str">
        <f>"20190303162244915"</f>
        <v>20190303162244915</v>
      </c>
      <c r="B1649" t="str">
        <f>"1551601364906060"</f>
        <v>1551601364906060</v>
      </c>
      <c r="C1649" t="s">
        <v>40</v>
      </c>
      <c r="D1649">
        <v>5.7466559999999998</v>
      </c>
      <c r="E1649">
        <v>0.5692855</v>
      </c>
      <c r="F1649" t="s">
        <v>47</v>
      </c>
      <c r="G1649">
        <v>-216.34989999999999</v>
      </c>
      <c r="H1649" s="1">
        <v>1.8423239999999999E-6</v>
      </c>
      <c r="I1649">
        <v>288.00409999999999</v>
      </c>
      <c r="J1649">
        <v>-200.37</v>
      </c>
      <c r="K1649">
        <v>1.106498</v>
      </c>
      <c r="L1649">
        <v>288.06569999999999</v>
      </c>
      <c r="M1649">
        <v>-0.82431160000000003</v>
      </c>
      <c r="N1649">
        <v>-1.883087E-2</v>
      </c>
      <c r="O1649">
        <v>-0.56582319999999997</v>
      </c>
      <c r="P1649">
        <v>-0.97549589999999997</v>
      </c>
      <c r="Q1649">
        <v>0.14179549999999999</v>
      </c>
      <c r="R1649">
        <v>-0.16823189999999999</v>
      </c>
      <c r="S1649">
        <v>-3.1083370000000001</v>
      </c>
      <c r="T1649">
        <v>-0.21206829999999999</v>
      </c>
      <c r="U1649">
        <v>-3.8940429999999998E-2</v>
      </c>
      <c r="V1649">
        <v>0.41869139999999999</v>
      </c>
      <c r="W1649">
        <v>0.144044899999999</v>
      </c>
      <c r="X1649">
        <v>0.89663179999999998</v>
      </c>
      <c r="Y1649">
        <v>0.5533846</v>
      </c>
      <c r="Z1649">
        <v>4.9572430000000001E-2</v>
      </c>
      <c r="AA1649">
        <v>0.83144940000000001</v>
      </c>
      <c r="AB1649">
        <v>25</v>
      </c>
      <c r="AC1649">
        <v>-15.979899999999899</v>
      </c>
      <c r="AD1649">
        <v>-1.106496157676</v>
      </c>
      <c r="AE1649">
        <v>-6.1599999999998503E-2</v>
      </c>
      <c r="AF1649">
        <v>8.9497050558582796</v>
      </c>
      <c r="AG1649">
        <v>-1.106496157676</v>
      </c>
      <c r="AH1649">
        <v>13.146581641840999</v>
      </c>
      <c r="AI1649">
        <v>93.979909832785495</v>
      </c>
      <c r="AJ1649">
        <v>55.754418560160701</v>
      </c>
      <c r="AK1649">
        <v>15.9422132465789</v>
      </c>
      <c r="AL1649">
        <v>81.718024644963094</v>
      </c>
      <c r="AM1649">
        <v>64.969295638129495</v>
      </c>
      <c r="AN1649">
        <v>1.0000000032106</v>
      </c>
    </row>
    <row r="1650" spans="1:40" x14ac:dyDescent="0.25">
      <c r="A1650" t="str">
        <f>"20190303162244938"</f>
        <v>20190303162244938</v>
      </c>
      <c r="B1650" t="str">
        <f>"1551601364926555"</f>
        <v>1551601364926555</v>
      </c>
      <c r="C1650" t="s">
        <v>40</v>
      </c>
      <c r="D1650">
        <v>5.7763369999999998</v>
      </c>
      <c r="E1650">
        <v>0.56863680000000005</v>
      </c>
      <c r="F1650" t="s">
        <v>47</v>
      </c>
      <c r="G1650">
        <v>-216.76259999999999</v>
      </c>
      <c r="H1650" s="1">
        <v>2.0619379999999999E-6</v>
      </c>
      <c r="I1650">
        <v>288.13619999999997</v>
      </c>
      <c r="J1650">
        <v>-200.6018</v>
      </c>
      <c r="K1650">
        <v>1.1065149999999999</v>
      </c>
      <c r="L1650">
        <v>287.93459999999999</v>
      </c>
      <c r="M1650">
        <v>-0.83648089999999997</v>
      </c>
      <c r="N1650">
        <v>-1.8845509999999999E-2</v>
      </c>
      <c r="O1650">
        <v>-0.5476721</v>
      </c>
      <c r="P1650">
        <v>-0.97836990000000001</v>
      </c>
      <c r="Q1650">
        <v>0.142073799999999</v>
      </c>
      <c r="R1650">
        <v>-0.15035879999999999</v>
      </c>
      <c r="S1650">
        <v>-3.1081850000000002</v>
      </c>
      <c r="T1650">
        <v>-0.2098013</v>
      </c>
      <c r="U1650">
        <v>1.33667E-2</v>
      </c>
      <c r="V1650">
        <v>0.41547109999999898</v>
      </c>
      <c r="W1650">
        <v>0.1444889</v>
      </c>
      <c r="X1650">
        <v>0.8980572</v>
      </c>
      <c r="Y1650">
        <v>0.54925619999999997</v>
      </c>
      <c r="Z1650">
        <v>4.8222809999999998E-2</v>
      </c>
      <c r="AA1650">
        <v>0.83426149999999999</v>
      </c>
      <c r="AB1650">
        <v>25</v>
      </c>
      <c r="AC1650">
        <v>-16.160799999999899</v>
      </c>
      <c r="AD1650">
        <v>-1.106512938062</v>
      </c>
      <c r="AE1650">
        <v>0.20159999999998399</v>
      </c>
      <c r="AF1650">
        <v>8.9789682662603898</v>
      </c>
      <c r="AG1650">
        <v>-1.106512938062</v>
      </c>
      <c r="AH1650">
        <v>13.3476063845276</v>
      </c>
      <c r="AI1650">
        <v>93.9348651652939</v>
      </c>
      <c r="AJ1650">
        <v>56.071179496941902</v>
      </c>
      <c r="AK1650">
        <v>16.124665522263999</v>
      </c>
      <c r="AL1650">
        <v>81.692316401524906</v>
      </c>
      <c r="AM1650">
        <v>65.173170759184401</v>
      </c>
      <c r="AN1650">
        <v>1.0000000058151299</v>
      </c>
    </row>
    <row r="1651" spans="1:40" x14ac:dyDescent="0.25">
      <c r="A1651" t="str">
        <f>"20190303162244958"</f>
        <v>20190303162244958</v>
      </c>
      <c r="B1651" t="str">
        <f>"1551601364946075"</f>
        <v>1551601364946075</v>
      </c>
      <c r="C1651" t="s">
        <v>40</v>
      </c>
      <c r="D1651">
        <v>5.8578489999999999</v>
      </c>
      <c r="E1651">
        <v>0.56804840000000001</v>
      </c>
      <c r="F1651" t="s">
        <v>47</v>
      </c>
      <c r="G1651">
        <v>-217.0266</v>
      </c>
      <c r="H1651" s="1">
        <v>2.2024409999999999E-6</v>
      </c>
      <c r="I1651">
        <v>288.28320000000002</v>
      </c>
      <c r="J1651">
        <v>-200.80719999999999</v>
      </c>
      <c r="K1651">
        <v>1.106536</v>
      </c>
      <c r="L1651">
        <v>287.82420000000002</v>
      </c>
      <c r="M1651">
        <v>-0.84685100000000002</v>
      </c>
      <c r="N1651">
        <v>-1.8856089999999999E-2</v>
      </c>
      <c r="O1651">
        <v>-0.53149599999999997</v>
      </c>
      <c r="P1651">
        <v>-0.98065930000000001</v>
      </c>
      <c r="Q1651">
        <v>0.142586299999999</v>
      </c>
      <c r="R1651">
        <v>-0.13407740000000001</v>
      </c>
      <c r="S1651">
        <v>-3.1068419999999999</v>
      </c>
      <c r="T1651">
        <v>-0.20930209999999999</v>
      </c>
      <c r="U1651">
        <v>6.5948489999999999E-2</v>
      </c>
      <c r="V1651">
        <v>0.41310639999999998</v>
      </c>
      <c r="W1651">
        <v>0.145124</v>
      </c>
      <c r="X1651">
        <v>0.89904509999999904</v>
      </c>
      <c r="Y1651">
        <v>0.54735639999999997</v>
      </c>
      <c r="Z1651">
        <v>4.7497869999999998E-2</v>
      </c>
      <c r="AA1651">
        <v>0.83555069999999998</v>
      </c>
      <c r="AB1651">
        <v>25</v>
      </c>
      <c r="AC1651">
        <v>-16.2194</v>
      </c>
      <c r="AD1651">
        <v>-1.1065337975589999</v>
      </c>
      <c r="AE1651">
        <v>0.45900000000000302</v>
      </c>
      <c r="AF1651">
        <v>8.9691399540648398</v>
      </c>
      <c r="AG1651">
        <v>-1.1065337975589999</v>
      </c>
      <c r="AH1651">
        <v>13.4313919376622</v>
      </c>
      <c r="AI1651">
        <v>93.919364121299907</v>
      </c>
      <c r="AJ1651">
        <v>56.266014471086699</v>
      </c>
      <c r="AK1651">
        <v>16.188643486834799</v>
      </c>
      <c r="AL1651">
        <v>81.655540034445394</v>
      </c>
      <c r="AM1651">
        <v>65.321472744548899</v>
      </c>
      <c r="AN1651">
        <v>0.99999998246548405</v>
      </c>
    </row>
    <row r="1652" spans="1:40" x14ac:dyDescent="0.25">
      <c r="A1652" t="str">
        <f>"20190303162244980"</f>
        <v>20190303162244980</v>
      </c>
      <c r="B1652" t="str">
        <f>"1551601364976331"</f>
        <v>1551601364976331</v>
      </c>
      <c r="C1652" t="s">
        <v>40</v>
      </c>
      <c r="D1652">
        <v>5.8194429999999997</v>
      </c>
      <c r="E1652">
        <v>0.56704589999999999</v>
      </c>
      <c r="F1652" t="s">
        <v>47</v>
      </c>
      <c r="G1652">
        <v>-217.3989</v>
      </c>
      <c r="H1652" s="1">
        <v>2.4005339999999998E-6</v>
      </c>
      <c r="I1652">
        <v>288.43540000000002</v>
      </c>
      <c r="J1652">
        <v>-201.0309</v>
      </c>
      <c r="K1652">
        <v>1.106538</v>
      </c>
      <c r="L1652">
        <v>287.70960000000002</v>
      </c>
      <c r="M1652">
        <v>-0.857711</v>
      </c>
      <c r="N1652">
        <v>-1.88655E-2</v>
      </c>
      <c r="O1652">
        <v>-0.51378579999999996</v>
      </c>
      <c r="P1652">
        <v>-0.98334149999999998</v>
      </c>
      <c r="Q1652">
        <v>0.14141899999999999</v>
      </c>
      <c r="R1652">
        <v>-0.1141942</v>
      </c>
      <c r="S1652">
        <v>-3.104889</v>
      </c>
      <c r="T1652">
        <v>-0.20707149999999999</v>
      </c>
      <c r="U1652">
        <v>0.11437990000000001</v>
      </c>
      <c r="V1652">
        <v>0.41266969999999997</v>
      </c>
      <c r="W1652">
        <v>0.1440015</v>
      </c>
      <c r="X1652">
        <v>0.89942610000000001</v>
      </c>
      <c r="Y1652">
        <v>0.54308149999999999</v>
      </c>
      <c r="Z1652">
        <v>4.6171730000000001E-2</v>
      </c>
      <c r="AA1652">
        <v>0.83840959999999998</v>
      </c>
      <c r="AB1652">
        <v>25</v>
      </c>
      <c r="AC1652">
        <v>-16.367999999999899</v>
      </c>
      <c r="AD1652">
        <v>-1.106535599466</v>
      </c>
      <c r="AE1652">
        <v>0.72579999999999201</v>
      </c>
      <c r="AF1652">
        <v>8.9927622593554908</v>
      </c>
      <c r="AG1652">
        <v>-1.106535599466</v>
      </c>
      <c r="AH1652">
        <v>13.606478161953801</v>
      </c>
      <c r="AI1652">
        <v>93.881300471044298</v>
      </c>
      <c r="AJ1652">
        <v>56.538578210887302</v>
      </c>
      <c r="AK1652">
        <v>16.347184530000899</v>
      </c>
      <c r="AL1652">
        <v>81.720537547522198</v>
      </c>
      <c r="AM1652">
        <v>65.353658439212893</v>
      </c>
      <c r="AN1652">
        <v>1.0000000113307701</v>
      </c>
    </row>
    <row r="1653" spans="1:40" x14ac:dyDescent="0.25">
      <c r="A1653" t="str">
        <f>"20190303162245004"</f>
        <v>20190303162245004</v>
      </c>
      <c r="B1653" t="str">
        <f>"1551601364995852"</f>
        <v>1551601364995852</v>
      </c>
      <c r="C1653" t="s">
        <v>40</v>
      </c>
      <c r="D1653">
        <v>5.8285980000000004</v>
      </c>
      <c r="E1653">
        <v>0.56668289999999999</v>
      </c>
      <c r="F1653" t="s">
        <v>47</v>
      </c>
      <c r="G1653">
        <v>-217.21449999999999</v>
      </c>
      <c r="H1653" s="1">
        <v>2.3024030000000001E-6</v>
      </c>
      <c r="I1653">
        <v>288.5942</v>
      </c>
      <c r="J1653">
        <v>-201.27719999999999</v>
      </c>
      <c r="K1653">
        <v>1.1065469999999999</v>
      </c>
      <c r="L1653">
        <v>287.59039999999999</v>
      </c>
      <c r="M1653">
        <v>-0.86914579999999997</v>
      </c>
      <c r="N1653">
        <v>-1.8873029999999999E-2</v>
      </c>
      <c r="O1653">
        <v>-0.49419580000000002</v>
      </c>
      <c r="P1653">
        <v>-0.98635819999999996</v>
      </c>
      <c r="Q1653">
        <v>0.13589470000000001</v>
      </c>
      <c r="R1653">
        <v>-9.2899830000000003E-2</v>
      </c>
      <c r="S1653">
        <v>-3.101013</v>
      </c>
      <c r="T1653">
        <v>-0.2120291</v>
      </c>
      <c r="U1653">
        <v>0.1694946</v>
      </c>
      <c r="V1653">
        <v>0.4118985</v>
      </c>
      <c r="W1653">
        <v>0.1385517</v>
      </c>
      <c r="X1653">
        <v>0.90063479999999996</v>
      </c>
      <c r="Y1653">
        <v>0.53887629999999997</v>
      </c>
      <c r="Z1653">
        <v>4.65362E-2</v>
      </c>
      <c r="AA1653">
        <v>0.84109849999999997</v>
      </c>
      <c r="AB1653">
        <v>25</v>
      </c>
      <c r="AC1653">
        <v>-15.937299999999899</v>
      </c>
      <c r="AD1653">
        <v>-1.1065446975969999</v>
      </c>
      <c r="AE1653">
        <v>1.00380000000001</v>
      </c>
      <c r="AF1653">
        <v>8.7083390855548597</v>
      </c>
      <c r="AG1653">
        <v>-1.1065446975969999</v>
      </c>
      <c r="AH1653">
        <v>13.294307784537301</v>
      </c>
      <c r="AI1653">
        <v>93.982879113256303</v>
      </c>
      <c r="AJ1653">
        <v>56.7734897486378</v>
      </c>
      <c r="AK1653">
        <v>15.9310461133848</v>
      </c>
      <c r="AL1653">
        <v>82.035951930304194</v>
      </c>
      <c r="AM1653">
        <v>65.423371685815098</v>
      </c>
      <c r="AN1653">
        <v>0.99999999542308904</v>
      </c>
    </row>
    <row r="1654" spans="1:40" x14ac:dyDescent="0.25">
      <c r="A1654" t="str">
        <f>"20190303162245025"</f>
        <v>20190303162245025</v>
      </c>
      <c r="B1654" t="str">
        <f>"1551601365016348"</f>
        <v>1551601365016348</v>
      </c>
      <c r="C1654" t="s">
        <v>40</v>
      </c>
      <c r="D1654">
        <v>5.8611040000000001</v>
      </c>
      <c r="E1654">
        <v>0.54532179999999997</v>
      </c>
      <c r="F1654" t="s">
        <v>47</v>
      </c>
      <c r="G1654">
        <v>-216.2226</v>
      </c>
      <c r="H1654" s="1">
        <v>1.7745549999999999E-6</v>
      </c>
      <c r="I1654">
        <v>288.72239999999999</v>
      </c>
      <c r="J1654">
        <v>-201.49039999999999</v>
      </c>
      <c r="K1654">
        <v>1.106563</v>
      </c>
      <c r="L1654">
        <v>287.49290000000002</v>
      </c>
      <c r="M1654">
        <v>-0.87861440000000002</v>
      </c>
      <c r="N1654">
        <v>-1.8876790000000001E-2</v>
      </c>
      <c r="O1654">
        <v>-0.47715879999999999</v>
      </c>
      <c r="P1654">
        <v>-0.98802780000000001</v>
      </c>
      <c r="Q1654">
        <v>0.13211870000000001</v>
      </c>
      <c r="R1654">
        <v>-7.9661579999999996E-2</v>
      </c>
      <c r="S1654">
        <v>-3.0951390000000001</v>
      </c>
      <c r="T1654">
        <v>-0.2291619</v>
      </c>
      <c r="U1654">
        <v>0.23443600000000001</v>
      </c>
      <c r="V1654">
        <v>0.40650560000000002</v>
      </c>
      <c r="W1654">
        <v>0.13504679999999999</v>
      </c>
      <c r="X1654">
        <v>0.90361250000000004</v>
      </c>
      <c r="Y1654">
        <v>0.53977089999999905</v>
      </c>
      <c r="Z1654">
        <v>5.0052949999999999E-2</v>
      </c>
      <c r="AA1654">
        <v>0.84032260000000003</v>
      </c>
      <c r="AB1654">
        <v>25</v>
      </c>
      <c r="AC1654">
        <v>-14.732200000000001</v>
      </c>
      <c r="AD1654">
        <v>-1.1065612254449999</v>
      </c>
      <c r="AE1654">
        <v>1.2294999999999701</v>
      </c>
      <c r="AF1654">
        <v>8.0661077019429097</v>
      </c>
      <c r="AG1654">
        <v>-1.1065612254449999</v>
      </c>
      <c r="AH1654">
        <v>12.2905966816252</v>
      </c>
      <c r="AI1654">
        <v>94.304587580150994</v>
      </c>
      <c r="AJ1654">
        <v>56.723796825187897</v>
      </c>
      <c r="AK1654">
        <v>14.742636738228899</v>
      </c>
      <c r="AL1654">
        <v>82.238673851986107</v>
      </c>
      <c r="AM1654">
        <v>65.7785838791131</v>
      </c>
      <c r="AN1654">
        <v>0.99999999558892505</v>
      </c>
    </row>
    <row r="1655" spans="1:40" x14ac:dyDescent="0.25">
      <c r="A1655" t="str">
        <f>"20190303162245047"</f>
        <v>20190303162245047</v>
      </c>
      <c r="B1655" t="str">
        <f>"1551601365035868"</f>
        <v>1551601365035868</v>
      </c>
      <c r="C1655" t="s">
        <v>40</v>
      </c>
      <c r="D1655">
        <v>5.9284400000000002</v>
      </c>
      <c r="E1655">
        <v>0.5421494</v>
      </c>
      <c r="F1655" t="s">
        <v>47</v>
      </c>
      <c r="G1655">
        <v>-214.21879999999999</v>
      </c>
      <c r="H1655" s="1">
        <v>7.0826319999999998E-7</v>
      </c>
      <c r="I1655">
        <v>287.93860000000001</v>
      </c>
      <c r="J1655">
        <v>-201.7312</v>
      </c>
      <c r="K1655">
        <v>1.1066129999999901</v>
      </c>
      <c r="L1655">
        <v>287.38900000000001</v>
      </c>
      <c r="M1655">
        <v>-0.88883429999999997</v>
      </c>
      <c r="N1655">
        <v>-1.8877640000000001E-2</v>
      </c>
      <c r="O1655">
        <v>-0.45784010000000003</v>
      </c>
      <c r="P1655">
        <v>-0.98870749999999996</v>
      </c>
      <c r="Q1655">
        <v>0.13297529999999999</v>
      </c>
      <c r="R1655">
        <v>-6.9105280000000005E-2</v>
      </c>
      <c r="S1655">
        <v>-3.0808559999999998</v>
      </c>
      <c r="T1655">
        <v>-0.26783849999999998</v>
      </c>
      <c r="U1655">
        <v>0.10787960000000001</v>
      </c>
      <c r="V1655">
        <v>0.3963236</v>
      </c>
      <c r="W1655">
        <v>0.1363771</v>
      </c>
      <c r="X1655">
        <v>0.9079256</v>
      </c>
      <c r="Y1655">
        <v>0.48557790000000001</v>
      </c>
      <c r="Z1655">
        <v>5.5418219999999997E-2</v>
      </c>
      <c r="AA1655">
        <v>0.87243499999999996</v>
      </c>
      <c r="AB1655">
        <v>25</v>
      </c>
      <c r="AC1655">
        <v>-12.487599999999899</v>
      </c>
      <c r="AD1655">
        <v>-1.10661229173679</v>
      </c>
      <c r="AE1655">
        <v>0.54959999999999798</v>
      </c>
      <c r="AF1655">
        <v>6.1586622025892499</v>
      </c>
      <c r="AG1655">
        <v>-1.10661229173679</v>
      </c>
      <c r="AH1655">
        <v>10.765333643899501</v>
      </c>
      <c r="AI1655">
        <v>95.098718416085305</v>
      </c>
      <c r="AJ1655">
        <v>60.226869138919199</v>
      </c>
      <c r="AK1655">
        <v>12.451751658072</v>
      </c>
      <c r="AL1655">
        <v>82.161741570425804</v>
      </c>
      <c r="AM1655">
        <v>66.417984710296395</v>
      </c>
      <c r="AN1655">
        <v>1.0000000022283599</v>
      </c>
    </row>
    <row r="1656" spans="1:40" x14ac:dyDescent="0.25">
      <c r="A1656" t="str">
        <f>"20190303162245116"</f>
        <v>20190303162245116</v>
      </c>
      <c r="B1656" t="str">
        <f>"1551601365106140"</f>
        <v>1551601365106140</v>
      </c>
      <c r="C1656" t="s">
        <v>40</v>
      </c>
      <c r="D1656">
        <v>6.0775360000000003</v>
      </c>
      <c r="E1656">
        <v>0.51064160000000003</v>
      </c>
      <c r="F1656" t="s">
        <v>47</v>
      </c>
      <c r="G1656">
        <v>-214.31630000000001</v>
      </c>
      <c r="H1656" s="1">
        <v>7.6013260000000003E-7</v>
      </c>
      <c r="I1656">
        <v>287.86649999999997</v>
      </c>
      <c r="J1656">
        <v>-202.46170000000001</v>
      </c>
      <c r="K1656">
        <v>1.1068039999999999</v>
      </c>
      <c r="L1656">
        <v>287.11099999999999</v>
      </c>
      <c r="M1656">
        <v>-0.91684219999999905</v>
      </c>
      <c r="N1656">
        <v>-1.88621E-2</v>
      </c>
      <c r="O1656">
        <v>-0.39880409999999999</v>
      </c>
      <c r="P1656">
        <v>-0.98939310000000003</v>
      </c>
      <c r="Q1656">
        <v>0.13701389999999999</v>
      </c>
      <c r="R1656">
        <v>-4.825637E-2</v>
      </c>
      <c r="S1656">
        <v>-3.0788419999999999</v>
      </c>
      <c r="T1656">
        <v>-0.27072469999999998</v>
      </c>
      <c r="U1656">
        <v>0.1168213</v>
      </c>
      <c r="V1656">
        <v>0.35552339999999999</v>
      </c>
      <c r="W1656">
        <v>0.1422601</v>
      </c>
      <c r="X1656">
        <v>0.92377770000000003</v>
      </c>
      <c r="Y1656">
        <v>0.43046440000000002</v>
      </c>
      <c r="Z1656">
        <v>4.9590450000000001E-2</v>
      </c>
      <c r="AA1656">
        <v>0.9012443</v>
      </c>
      <c r="AB1656">
        <v>24</v>
      </c>
      <c r="AC1656">
        <v>-11.8546</v>
      </c>
      <c r="AD1656">
        <v>-1.1068032398673999</v>
      </c>
      <c r="AE1656">
        <v>0.75549999999998296</v>
      </c>
      <c r="AF1656">
        <v>5.3746403290178302</v>
      </c>
      <c r="AG1656">
        <v>-1.1068032398673999</v>
      </c>
      <c r="AH1656">
        <v>10.478410007930201</v>
      </c>
      <c r="AI1656">
        <v>95.3691591030003</v>
      </c>
      <c r="AJ1656">
        <v>62.845570283506497</v>
      </c>
      <c r="AK1656">
        <v>11.828307079729401</v>
      </c>
      <c r="AL1656">
        <v>81.821350588080804</v>
      </c>
      <c r="AM1656">
        <v>68.950371718566302</v>
      </c>
      <c r="AN1656">
        <v>1.0000000315084201</v>
      </c>
    </row>
    <row r="1657" spans="1:40" x14ac:dyDescent="0.25">
      <c r="A1657" t="str">
        <f>"20190303162245138"</f>
        <v>20190303162245138</v>
      </c>
      <c r="B1657" t="str">
        <f>"1551601365125660"</f>
        <v>1551601365125660</v>
      </c>
      <c r="C1657" t="s">
        <v>40</v>
      </c>
      <c r="D1657">
        <v>6.0764550000000002</v>
      </c>
      <c r="E1657">
        <v>0.50962600000000002</v>
      </c>
      <c r="F1657" t="s">
        <v>47</v>
      </c>
      <c r="G1657">
        <v>-222.45320000000001</v>
      </c>
      <c r="H1657" s="1">
        <v>-2.313164E-7</v>
      </c>
      <c r="I1657">
        <v>286.71210000000002</v>
      </c>
      <c r="J1657">
        <v>-202.70070000000001</v>
      </c>
      <c r="K1657">
        <v>1.1068880000000001</v>
      </c>
      <c r="L1657">
        <v>287.0317</v>
      </c>
      <c r="M1657">
        <v>-0.92504039999999998</v>
      </c>
      <c r="N1657">
        <v>-1.8849609999999999E-2</v>
      </c>
      <c r="O1657">
        <v>-0.37940069999999998</v>
      </c>
      <c r="P1657">
        <v>-0.98911700000000002</v>
      </c>
      <c r="Q1657">
        <v>0.13917399999999999</v>
      </c>
      <c r="R1657">
        <v>-4.7731290000000003E-2</v>
      </c>
      <c r="S1657">
        <v>-3.0526119999999999</v>
      </c>
      <c r="T1657">
        <v>-0.1690043</v>
      </c>
      <c r="U1657">
        <v>-6.0913090000000003E-2</v>
      </c>
      <c r="V1657">
        <v>0.33637280000000003</v>
      </c>
      <c r="W1657">
        <v>0.1452561</v>
      </c>
      <c r="X1657">
        <v>0.93045900000000004</v>
      </c>
      <c r="Y1657">
        <v>0.35997430000000002</v>
      </c>
      <c r="Z1657">
        <v>2.661869E-2</v>
      </c>
      <c r="AA1657">
        <v>0.93258240000000003</v>
      </c>
      <c r="AB1657">
        <v>24</v>
      </c>
      <c r="AC1657">
        <v>-19.752500000000001</v>
      </c>
      <c r="AD1657">
        <v>-1.1068882313163999</v>
      </c>
      <c r="AE1657">
        <v>-0.31959999999997901</v>
      </c>
      <c r="AF1657">
        <v>7.17721649358948</v>
      </c>
      <c r="AG1657">
        <v>-1.1068882313163999</v>
      </c>
      <c r="AH1657">
        <v>18.338812716808501</v>
      </c>
      <c r="AI1657">
        <v>93.217007527349807</v>
      </c>
      <c r="AJ1657">
        <v>68.626236642819705</v>
      </c>
      <c r="AK1657">
        <v>19.724342574967</v>
      </c>
      <c r="AL1657">
        <v>81.647890122304702</v>
      </c>
      <c r="AM1657">
        <v>70.124430237445793</v>
      </c>
      <c r="AN1657">
        <v>0.99999997292402398</v>
      </c>
    </row>
    <row r="1658" spans="1:40" x14ac:dyDescent="0.25">
      <c r="A1658" t="str">
        <f>"20190303162245182"</f>
        <v>20190303162245182</v>
      </c>
      <c r="B1658" t="str">
        <f>"1551601365165676"</f>
        <v>1551601365165676</v>
      </c>
      <c r="C1658" t="s">
        <v>40</v>
      </c>
      <c r="D1658">
        <v>5.8687940000000003</v>
      </c>
      <c r="E1658">
        <v>0.50904890000000003</v>
      </c>
      <c r="F1658" t="s">
        <v>47</v>
      </c>
      <c r="G1658">
        <v>-222.76740000000001</v>
      </c>
      <c r="H1658" s="1">
        <v>-6.41127499999999E-8</v>
      </c>
      <c r="I1658">
        <v>286.62020000000001</v>
      </c>
      <c r="J1658">
        <v>-203.16499999999999</v>
      </c>
      <c r="K1658">
        <v>1.107116</v>
      </c>
      <c r="L1658">
        <v>286.89350000000002</v>
      </c>
      <c r="M1658">
        <v>-0.93959499999999996</v>
      </c>
      <c r="N1658">
        <v>-1.8803710000000001E-2</v>
      </c>
      <c r="O1658">
        <v>-0.3417713</v>
      </c>
      <c r="P1658">
        <v>-0.98879910000000004</v>
      </c>
      <c r="Q1658">
        <v>0.1418808</v>
      </c>
      <c r="R1658">
        <v>-4.6330469999999999E-2</v>
      </c>
      <c r="S1658">
        <v>-3.0536799999999999</v>
      </c>
      <c r="T1658">
        <v>-0.16844219999999999</v>
      </c>
      <c r="U1658">
        <v>-6.2622070000000002E-2</v>
      </c>
      <c r="V1658">
        <v>0.29970419999999998</v>
      </c>
      <c r="W1658">
        <v>0.14955539999999901</v>
      </c>
      <c r="X1658">
        <v>0.94223699999999999</v>
      </c>
      <c r="Y1658">
        <v>0.32163370000000002</v>
      </c>
      <c r="Z1658">
        <v>2.3888900000000001E-2</v>
      </c>
      <c r="AA1658">
        <v>0.94656280000000004</v>
      </c>
      <c r="AB1658">
        <v>24</v>
      </c>
      <c r="AC1658">
        <v>-19.602399999999999</v>
      </c>
      <c r="AD1658">
        <v>-1.10711606411275</v>
      </c>
      <c r="AE1658">
        <v>-0.27330000000000598</v>
      </c>
      <c r="AF1658">
        <v>6.4234002583718901</v>
      </c>
      <c r="AG1658">
        <v>-1.10711606411275</v>
      </c>
      <c r="AH1658">
        <v>18.456136466007099</v>
      </c>
      <c r="AI1658">
        <v>93.242523967120306</v>
      </c>
      <c r="AJ1658">
        <v>70.810262617780296</v>
      </c>
      <c r="AK1658">
        <v>19.573317299593</v>
      </c>
      <c r="AL1658">
        <v>81.398837728380599</v>
      </c>
      <c r="AM1658">
        <v>72.355313912793903</v>
      </c>
      <c r="AN1658">
        <v>0.99999999466790002</v>
      </c>
    </row>
    <row r="1659" spans="1:40" x14ac:dyDescent="0.25">
      <c r="A1659" t="str">
        <f>"20190303162245204"</f>
        <v>20190303162245204</v>
      </c>
      <c r="B1659" t="str">
        <f>"1551601365196908"</f>
        <v>1551601365196908</v>
      </c>
      <c r="C1659" t="s">
        <v>40</v>
      </c>
      <c r="D1659">
        <v>6.0675999999999997</v>
      </c>
      <c r="E1659">
        <v>0.50887709999999997</v>
      </c>
      <c r="F1659" t="s">
        <v>47</v>
      </c>
      <c r="G1659">
        <v>-223.51570000000001</v>
      </c>
      <c r="H1659" s="1">
        <v>3.3411109999999999E-7</v>
      </c>
      <c r="I1659">
        <v>286.483</v>
      </c>
      <c r="J1659">
        <v>-203.41239999999999</v>
      </c>
      <c r="K1659">
        <v>1.1073219999999999</v>
      </c>
      <c r="L1659">
        <v>286.82810000000001</v>
      </c>
      <c r="M1659">
        <v>-0.94658450000000005</v>
      </c>
      <c r="N1659">
        <v>-1.8757880000000001E-2</v>
      </c>
      <c r="O1659">
        <v>-0.32191029999999998</v>
      </c>
      <c r="P1659">
        <v>-0.98912940000000005</v>
      </c>
      <c r="Q1659">
        <v>0.13940859999999999</v>
      </c>
      <c r="R1659">
        <v>-4.6784390000000002E-2</v>
      </c>
      <c r="S1659">
        <v>-3.054932</v>
      </c>
      <c r="T1659">
        <v>-0.1661936</v>
      </c>
      <c r="U1659">
        <v>-6.1614990000000001E-2</v>
      </c>
      <c r="V1659">
        <v>0.27927960000000002</v>
      </c>
      <c r="W1659">
        <v>0.14797399999999999</v>
      </c>
      <c r="X1659">
        <v>0.94873949999999996</v>
      </c>
      <c r="Y1659">
        <v>0.30202380000000001</v>
      </c>
      <c r="Z1659">
        <v>2.216578E-2</v>
      </c>
      <c r="AA1659">
        <v>0.95304270000000002</v>
      </c>
      <c r="AB1659">
        <v>24</v>
      </c>
      <c r="AC1659">
        <v>-20.103300000000001</v>
      </c>
      <c r="AD1659">
        <v>-1.10732166588889</v>
      </c>
      <c r="AE1659">
        <v>-0.34510000000000202</v>
      </c>
      <c r="AF1659">
        <v>6.1272887852239597</v>
      </c>
      <c r="AG1659">
        <v>-1.10732166588889</v>
      </c>
      <c r="AH1659">
        <v>19.0860390524468</v>
      </c>
      <c r="AI1659">
        <v>93.161834883250293</v>
      </c>
      <c r="AJ1659">
        <v>72.201545702574606</v>
      </c>
      <c r="AK1659">
        <v>20.076023407059498</v>
      </c>
      <c r="AL1659">
        <v>81.490465065292796</v>
      </c>
      <c r="AM1659">
        <v>73.597200042955706</v>
      </c>
      <c r="AN1659">
        <v>1.0000000192562</v>
      </c>
    </row>
    <row r="1660" spans="1:40" x14ac:dyDescent="0.25">
      <c r="A1660" t="str">
        <f>"20190303162245229"</f>
        <v>20190303162245229</v>
      </c>
      <c r="B1660" t="str">
        <f>"1551601365216428"</f>
        <v>1551601365216428</v>
      </c>
      <c r="C1660" t="s">
        <v>40</v>
      </c>
      <c r="D1660">
        <v>5.8618129999999997</v>
      </c>
      <c r="E1660">
        <v>0.50887890000000002</v>
      </c>
      <c r="F1660" t="s">
        <v>47</v>
      </c>
      <c r="G1660">
        <v>-222.4571</v>
      </c>
      <c r="H1660" s="1">
        <v>-2.292191E-7</v>
      </c>
      <c r="I1660">
        <v>286.45769999999999</v>
      </c>
      <c r="J1660">
        <v>-203.6703</v>
      </c>
      <c r="K1660">
        <v>1.1075950000000001</v>
      </c>
      <c r="L1660">
        <v>286.76580000000001</v>
      </c>
      <c r="M1660">
        <v>-0.95328469999999998</v>
      </c>
      <c r="N1660">
        <v>-1.8683709999999999E-2</v>
      </c>
      <c r="O1660">
        <v>-0.3014947</v>
      </c>
      <c r="P1660">
        <v>-0.9896355</v>
      </c>
      <c r="Q1660">
        <v>0.1356387</v>
      </c>
      <c r="R1660">
        <v>-4.715863E-2</v>
      </c>
      <c r="S1660">
        <v>-3.0551910000000002</v>
      </c>
      <c r="T1660">
        <v>-0.177638299999999</v>
      </c>
      <c r="U1660">
        <v>-5.941772E-2</v>
      </c>
      <c r="V1660">
        <v>0.25835710000000001</v>
      </c>
      <c r="W1660">
        <v>0.14511499999999999</v>
      </c>
      <c r="X1660">
        <v>0.9550881</v>
      </c>
      <c r="Y1660">
        <v>0.28210400000000002</v>
      </c>
      <c r="Z1660">
        <v>2.2423100000000001E-2</v>
      </c>
      <c r="AA1660">
        <v>0.95912180000000002</v>
      </c>
      <c r="AB1660">
        <v>24</v>
      </c>
      <c r="AC1660">
        <v>-18.786799999999999</v>
      </c>
      <c r="AD1660">
        <v>-1.1075952292191</v>
      </c>
      <c r="AE1660">
        <v>-0.30810000000002402</v>
      </c>
      <c r="AF1660">
        <v>5.3527514394312803</v>
      </c>
      <c r="AG1660">
        <v>-1.1075952292191</v>
      </c>
      <c r="AH1660">
        <v>17.942854485917</v>
      </c>
      <c r="AI1660">
        <v>93.385269365214995</v>
      </c>
      <c r="AJ1660">
        <v>73.388991018710101</v>
      </c>
      <c r="AK1660">
        <v>18.756991823501799</v>
      </c>
      <c r="AL1660">
        <v>81.656061500058598</v>
      </c>
      <c r="AM1660">
        <v>74.863404395458005</v>
      </c>
      <c r="AN1660">
        <v>1.0000000165534999</v>
      </c>
    </row>
    <row r="1661" spans="1:40" x14ac:dyDescent="0.25">
      <c r="A1661" t="str">
        <f>"20190303162245251"</f>
        <v>20190303162245251</v>
      </c>
      <c r="B1661" t="str">
        <f>"1551601365235948"</f>
        <v>1551601365235948</v>
      </c>
      <c r="C1661" t="s">
        <v>40</v>
      </c>
      <c r="D1661">
        <v>5.8858319999999997</v>
      </c>
      <c r="E1661">
        <v>0.50912519999999994</v>
      </c>
      <c r="F1661" t="s">
        <v>47</v>
      </c>
      <c r="G1661">
        <v>-221.42920000000001</v>
      </c>
      <c r="H1661" s="1">
        <v>-7.7623930000000002E-7</v>
      </c>
      <c r="I1661">
        <v>286.43</v>
      </c>
      <c r="J1661">
        <v>-203.92169999999999</v>
      </c>
      <c r="K1661">
        <v>1.10792</v>
      </c>
      <c r="L1661">
        <v>286.71019999999999</v>
      </c>
      <c r="M1661">
        <v>-0.95926959999999994</v>
      </c>
      <c r="N1661">
        <v>-1.858783E-2</v>
      </c>
      <c r="O1661">
        <v>-0.28188039999999998</v>
      </c>
      <c r="P1661">
        <v>-0.99003580000000002</v>
      </c>
      <c r="Q1661">
        <v>0.132803</v>
      </c>
      <c r="R1661">
        <v>-4.6825430000000001E-2</v>
      </c>
      <c r="S1661">
        <v>-3.054764</v>
      </c>
      <c r="T1661">
        <v>-0.19052079999999999</v>
      </c>
      <c r="U1661">
        <v>-5.776978E-2</v>
      </c>
      <c r="V1661">
        <v>0.2389009</v>
      </c>
      <c r="W1661">
        <v>0.1431016</v>
      </c>
      <c r="X1661">
        <v>0.96044169999999995</v>
      </c>
      <c r="Y1661">
        <v>0.26282070000000002</v>
      </c>
      <c r="Z1661">
        <v>2.270784E-2</v>
      </c>
      <c r="AA1661">
        <v>0.96457740000000003</v>
      </c>
      <c r="AB1661">
        <v>24</v>
      </c>
      <c r="AC1661">
        <v>-17.5075</v>
      </c>
      <c r="AD1661">
        <v>-1.1079207762393</v>
      </c>
      <c r="AE1661">
        <v>-0.28019999999997902</v>
      </c>
      <c r="AF1661">
        <v>4.6484287763357699</v>
      </c>
      <c r="AG1661">
        <v>-1.1079207762393</v>
      </c>
      <c r="AH1661">
        <v>16.809011462930599</v>
      </c>
      <c r="AI1661">
        <v>93.6349937404283</v>
      </c>
      <c r="AJ1661">
        <v>74.541544232116493</v>
      </c>
      <c r="AK1661">
        <v>17.475074961098699</v>
      </c>
      <c r="AL1661">
        <v>81.772637399253298</v>
      </c>
      <c r="AM1661">
        <v>76.031687224145301</v>
      </c>
      <c r="AN1661">
        <v>0.99999998352112895</v>
      </c>
    </row>
    <row r="1662" spans="1:40" x14ac:dyDescent="0.25">
      <c r="A1662" t="str">
        <f>"20190303162245317"</f>
        <v>20190303162245317</v>
      </c>
      <c r="B1662" t="str">
        <f>"1551601365306222"</f>
        <v>1551601365306222</v>
      </c>
      <c r="C1662" t="s">
        <v>40</v>
      </c>
      <c r="D1662">
        <v>5.8335569999999999</v>
      </c>
      <c r="E1662">
        <v>0.51405339999999999</v>
      </c>
      <c r="F1662" t="s">
        <v>47</v>
      </c>
      <c r="G1662">
        <v>-220.535</v>
      </c>
      <c r="H1662" s="1">
        <v>-1.2521020000000001E-6</v>
      </c>
      <c r="I1662">
        <v>286.41520000000003</v>
      </c>
      <c r="J1662">
        <v>-204.6412</v>
      </c>
      <c r="K1662">
        <v>1.109415</v>
      </c>
      <c r="L1662">
        <v>286.57679999999999</v>
      </c>
      <c r="M1662">
        <v>-0.97327810000000003</v>
      </c>
      <c r="N1662">
        <v>-1.814729E-2</v>
      </c>
      <c r="O1662">
        <v>-0.22891139999999999</v>
      </c>
      <c r="P1662">
        <v>-0.98937310000000001</v>
      </c>
      <c r="Q1662">
        <v>0.13586889999999999</v>
      </c>
      <c r="R1662">
        <v>-5.177739E-2</v>
      </c>
      <c r="S1662">
        <v>-3.0549469999999999</v>
      </c>
      <c r="T1662">
        <v>-0.20373150000000001</v>
      </c>
      <c r="U1662">
        <v>-5.4260250000000003E-2</v>
      </c>
      <c r="V1662">
        <v>0.1804095</v>
      </c>
      <c r="W1662">
        <v>0.14846860000000001</v>
      </c>
      <c r="X1662">
        <v>0.97232169999999896</v>
      </c>
      <c r="Y1662">
        <v>0.2107705</v>
      </c>
      <c r="Z1662">
        <v>1.989163E-2</v>
      </c>
      <c r="AA1662">
        <v>0.97733320000000001</v>
      </c>
      <c r="AB1662">
        <v>24</v>
      </c>
      <c r="AC1662">
        <v>-15.893800000000001</v>
      </c>
      <c r="AD1662">
        <v>-1.1094162521019999</v>
      </c>
      <c r="AE1662">
        <v>-0.16159999999996399</v>
      </c>
      <c r="AF1662">
        <v>3.4646843554520199</v>
      </c>
      <c r="AG1662">
        <v>-1.1094162521019999</v>
      </c>
      <c r="AH1662">
        <v>15.4334448196345</v>
      </c>
      <c r="AI1662">
        <v>94.012055952934503</v>
      </c>
      <c r="AJ1662">
        <v>77.347325178770504</v>
      </c>
      <c r="AK1662">
        <v>15.856420185654899</v>
      </c>
      <c r="AL1662">
        <v>81.461809895394694</v>
      </c>
      <c r="AM1662">
        <v>79.488587954794994</v>
      </c>
      <c r="AN1662">
        <v>1.0000000005835401</v>
      </c>
    </row>
    <row r="1663" spans="1:40" x14ac:dyDescent="0.25">
      <c r="A1663" t="str">
        <f>"20190303162245362"</f>
        <v>20190303162245362</v>
      </c>
      <c r="B1663" t="str">
        <f>"1551601365355997"</f>
        <v>1551601365355997</v>
      </c>
      <c r="C1663" t="s">
        <v>40</v>
      </c>
      <c r="D1663">
        <v>5.8379570000000003</v>
      </c>
      <c r="E1663">
        <v>0.51550370000000001</v>
      </c>
      <c r="F1663" t="s">
        <v>47</v>
      </c>
      <c r="G1663">
        <v>-216.38829999999999</v>
      </c>
      <c r="H1663" s="1">
        <v>1.8627289999999999E-6</v>
      </c>
      <c r="I1663">
        <v>286.50240000000002</v>
      </c>
      <c r="J1663">
        <v>-205.12960000000001</v>
      </c>
      <c r="K1663">
        <v>1.1111690000000001</v>
      </c>
      <c r="L1663">
        <v>286.50330000000002</v>
      </c>
      <c r="M1663">
        <v>-0.98011800000000004</v>
      </c>
      <c r="N1663">
        <v>-1.7647860000000001E-2</v>
      </c>
      <c r="O1663">
        <v>-0.1976292</v>
      </c>
      <c r="P1663">
        <v>-0.9883229</v>
      </c>
      <c r="Q1663">
        <v>0.14244490000000001</v>
      </c>
      <c r="R1663">
        <v>-5.4104020000000003E-2</v>
      </c>
      <c r="S1663">
        <v>-3.0710299999999999</v>
      </c>
      <c r="T1663">
        <v>-0.29003230000000002</v>
      </c>
      <c r="U1663">
        <v>-1.9470210000000002E-2</v>
      </c>
      <c r="V1663">
        <v>0.1461208</v>
      </c>
      <c r="W1663">
        <v>0.15623509999999999</v>
      </c>
      <c r="X1663">
        <v>0.97685169999999999</v>
      </c>
      <c r="Y1663">
        <v>0.18986729999999999</v>
      </c>
      <c r="Z1663">
        <v>2.5652910000000001E-2</v>
      </c>
      <c r="AA1663">
        <v>0.98147459999999997</v>
      </c>
      <c r="AB1663">
        <v>24</v>
      </c>
      <c r="AC1663">
        <v>-11.2586999999999</v>
      </c>
      <c r="AD1663">
        <v>-1.1111671372709999</v>
      </c>
      <c r="AE1663">
        <v>-9.0000000000145497E-4</v>
      </c>
      <c r="AF1663">
        <v>2.2030532661180402</v>
      </c>
      <c r="AG1663">
        <v>-1.1111671372709999</v>
      </c>
      <c r="AH1663">
        <v>10.930284291922201</v>
      </c>
      <c r="AI1663">
        <v>95.6910449953848</v>
      </c>
      <c r="AJ1663">
        <v>78.604425919978297</v>
      </c>
      <c r="AK1663">
        <v>11.205322431886801</v>
      </c>
      <c r="AL1663">
        <v>81.011564698058706</v>
      </c>
      <c r="AM1663">
        <v>81.492579911907299</v>
      </c>
      <c r="AN1663">
        <v>0.99999996922876899</v>
      </c>
    </row>
    <row r="1664" spans="1:40" x14ac:dyDescent="0.25">
      <c r="A1664" t="str">
        <f>"20190303162245383"</f>
        <v>20190303162245383</v>
      </c>
      <c r="B1664" t="str">
        <f>"1551601365376492"</f>
        <v>1551601365376492</v>
      </c>
      <c r="C1664" t="s">
        <v>40</v>
      </c>
      <c r="D1664">
        <v>5.8914260000000001</v>
      </c>
      <c r="E1664">
        <v>0.51632639999999996</v>
      </c>
      <c r="F1664" t="s">
        <v>47</v>
      </c>
      <c r="G1664">
        <v>-219.71109999999999</v>
      </c>
      <c r="H1664" s="1">
        <v>3.6309689999999998E-6</v>
      </c>
      <c r="I1664">
        <v>286.39530000000002</v>
      </c>
      <c r="J1664">
        <v>-205.35820000000001</v>
      </c>
      <c r="K1664">
        <v>1.112212</v>
      </c>
      <c r="L1664">
        <v>286.47210000000001</v>
      </c>
      <c r="M1664">
        <v>-0.98260499999999995</v>
      </c>
      <c r="N1664">
        <v>-1.737232E-2</v>
      </c>
      <c r="O1664">
        <v>-0.18489349999999999</v>
      </c>
      <c r="P1664">
        <v>-0.9880871</v>
      </c>
      <c r="Q1664">
        <v>0.14521149999999999</v>
      </c>
      <c r="R1664">
        <v>-5.0966610000000002E-2</v>
      </c>
      <c r="S1664">
        <v>-3.067917</v>
      </c>
      <c r="T1664">
        <v>-0.2337872</v>
      </c>
      <c r="U1664">
        <v>-2.2735600000000002E-2</v>
      </c>
      <c r="V1664">
        <v>0.1360884</v>
      </c>
      <c r="W1664">
        <v>0.1593329</v>
      </c>
      <c r="X1664">
        <v>0.97780009999999995</v>
      </c>
      <c r="Y1664">
        <v>0.17669070000000001</v>
      </c>
      <c r="Z1664">
        <v>1.9042239999999998E-2</v>
      </c>
      <c r="AA1664">
        <v>0.98408220000000002</v>
      </c>
      <c r="AB1664">
        <v>24</v>
      </c>
      <c r="AC1664">
        <v>-14.352899999999901</v>
      </c>
      <c r="AD1664">
        <v>-1.1122083690310001</v>
      </c>
      <c r="AE1664">
        <v>-7.67999999999915E-2</v>
      </c>
      <c r="AF1664">
        <v>2.5632915985305398</v>
      </c>
      <c r="AG1664">
        <v>-1.1122083690310001</v>
      </c>
      <c r="AH1664">
        <v>14.0352863837219</v>
      </c>
      <c r="AI1664">
        <v>94.457439429210993</v>
      </c>
      <c r="AJ1664">
        <v>79.650027020995694</v>
      </c>
      <c r="AK1664">
        <v>14.310720986321099</v>
      </c>
      <c r="AL1664">
        <v>80.831822798768201</v>
      </c>
      <c r="AM1664">
        <v>82.076578667442405</v>
      </c>
      <c r="AN1664">
        <v>1.00000003059848</v>
      </c>
    </row>
    <row r="1665" spans="1:40" x14ac:dyDescent="0.25">
      <c r="A1665" t="str">
        <f>"20190303162245404"</f>
        <v>20190303162245404</v>
      </c>
      <c r="B1665" t="str">
        <f>"1551601365396012"</f>
        <v>1551601365396012</v>
      </c>
      <c r="C1665" t="s">
        <v>40</v>
      </c>
      <c r="D1665">
        <v>5.8457660000000002</v>
      </c>
      <c r="E1665">
        <v>0.51713109999999995</v>
      </c>
      <c r="F1665" t="s">
        <v>47</v>
      </c>
      <c r="G1665">
        <v>-220.7741</v>
      </c>
      <c r="H1665" s="1">
        <v>-1.124855E-6</v>
      </c>
      <c r="I1665">
        <v>286.39699999999999</v>
      </c>
      <c r="J1665">
        <v>-205.59270000000001</v>
      </c>
      <c r="K1665">
        <v>1.113367</v>
      </c>
      <c r="L1665">
        <v>286.44150000000002</v>
      </c>
      <c r="M1665">
        <v>-0.984711</v>
      </c>
      <c r="N1665">
        <v>-1.7084269999999999E-2</v>
      </c>
      <c r="O1665">
        <v>-0.17335590000000001</v>
      </c>
      <c r="P1665">
        <v>-0.98840709999999998</v>
      </c>
      <c r="Q1665">
        <v>0.1449898</v>
      </c>
      <c r="R1665">
        <v>-4.5048619999999998E-2</v>
      </c>
      <c r="S1665">
        <v>-3.067917</v>
      </c>
      <c r="T1665">
        <v>-0.22134219999999999</v>
      </c>
      <c r="U1665">
        <v>-1.4953610000000001E-2</v>
      </c>
      <c r="V1665">
        <v>0.1299961</v>
      </c>
      <c r="W1665">
        <v>0.15933810000000001</v>
      </c>
      <c r="X1665">
        <v>0.97862780000000005</v>
      </c>
      <c r="Y1665">
        <v>0.16778109999999999</v>
      </c>
      <c r="Z1665">
        <v>1.6951529999999999E-2</v>
      </c>
      <c r="AA1665">
        <v>0.98567850000000001</v>
      </c>
      <c r="AB1665">
        <v>24</v>
      </c>
      <c r="AC1665">
        <v>-15.181399999999901</v>
      </c>
      <c r="AD1665">
        <v>-1.113368124855</v>
      </c>
      <c r="AE1665">
        <v>-4.4500000000027698E-2</v>
      </c>
      <c r="AF1665">
        <v>2.5744969369894699</v>
      </c>
      <c r="AG1665">
        <v>-1.113368124855</v>
      </c>
      <c r="AH1665">
        <v>14.879164390953299</v>
      </c>
      <c r="AI1665">
        <v>94.216888462886004</v>
      </c>
      <c r="AJ1665">
        <v>80.183477471346606</v>
      </c>
      <c r="AK1665">
        <v>15.141240240912399</v>
      </c>
      <c r="AL1665">
        <v>80.831520662363403</v>
      </c>
      <c r="AM1665">
        <v>82.433407742523002</v>
      </c>
      <c r="AN1665">
        <v>0.99999999352982905</v>
      </c>
    </row>
    <row r="1666" spans="1:40" x14ac:dyDescent="0.25">
      <c r="A1666" t="str">
        <f>"20190303162245429"</f>
        <v>20190303162245429</v>
      </c>
      <c r="B1666" t="str">
        <f>"1551601365416508"</f>
        <v>1551601365416508</v>
      </c>
      <c r="C1666" t="s">
        <v>40</v>
      </c>
      <c r="D1666">
        <v>6.0189899999999996</v>
      </c>
      <c r="E1666">
        <v>0.51754699999999998</v>
      </c>
      <c r="F1666" t="s">
        <v>47</v>
      </c>
      <c r="G1666">
        <v>-220.99449999999999</v>
      </c>
      <c r="H1666" s="1">
        <v>-1.0075469999999999E-6</v>
      </c>
      <c r="I1666">
        <v>286.47050000000002</v>
      </c>
      <c r="J1666">
        <v>-205.84479999999999</v>
      </c>
      <c r="K1666">
        <v>1.114501</v>
      </c>
      <c r="L1666">
        <v>286.40980000000002</v>
      </c>
      <c r="M1666">
        <v>-0.98657760000000005</v>
      </c>
      <c r="N1666">
        <v>-1.6795560000000001E-2</v>
      </c>
      <c r="O1666">
        <v>-0.16242709999999999</v>
      </c>
      <c r="P1666">
        <v>-0.98884499999999997</v>
      </c>
      <c r="Q1666">
        <v>0.14449999999999999</v>
      </c>
      <c r="R1666">
        <v>-3.6129920000000003E-2</v>
      </c>
      <c r="S1666">
        <v>-3.0680079999999998</v>
      </c>
      <c r="T1666">
        <v>-0.2217799</v>
      </c>
      <c r="U1666">
        <v>5.7678219999999997E-3</v>
      </c>
      <c r="V1666">
        <v>0.12751879999999999</v>
      </c>
      <c r="W1666">
        <v>0.1589681</v>
      </c>
      <c r="X1666">
        <v>0.97901389999999999</v>
      </c>
      <c r="Y1666">
        <v>0.16353229999999999</v>
      </c>
      <c r="Z1666">
        <v>1.6231490000000001E-2</v>
      </c>
      <c r="AA1666">
        <v>0.98640439999999996</v>
      </c>
      <c r="AB1666">
        <v>24</v>
      </c>
      <c r="AC1666">
        <v>-15.1496999999999</v>
      </c>
      <c r="AD1666">
        <v>-1.114502007547</v>
      </c>
      <c r="AE1666">
        <v>6.0699999999996999E-2</v>
      </c>
      <c r="AF1666">
        <v>2.5073930105915299</v>
      </c>
      <c r="AG1666">
        <v>-1.114502007547</v>
      </c>
      <c r="AH1666">
        <v>14.858191927011701</v>
      </c>
      <c r="AI1666">
        <v>94.230092794117198</v>
      </c>
      <c r="AJ1666">
        <v>80.421302913416199</v>
      </c>
      <c r="AK1666">
        <v>15.109434197689399</v>
      </c>
      <c r="AL1666">
        <v>80.852994401495906</v>
      </c>
      <c r="AM1666">
        <v>82.578873549268806</v>
      </c>
      <c r="AN1666">
        <v>1.0000000587821201</v>
      </c>
    </row>
    <row r="1667" spans="1:40" x14ac:dyDescent="0.25">
      <c r="A1667" t="str">
        <f>"20190303162245448"</f>
        <v>20190303162245448</v>
      </c>
      <c r="B1667" t="str">
        <f>"1551601365436028"</f>
        <v>1551601365436028</v>
      </c>
      <c r="C1667" t="s">
        <v>40</v>
      </c>
      <c r="D1667">
        <v>5.8633860000000002</v>
      </c>
      <c r="E1667">
        <v>0.51769259999999995</v>
      </c>
      <c r="F1667" t="s">
        <v>47</v>
      </c>
      <c r="G1667">
        <v>-221.05199999999999</v>
      </c>
      <c r="H1667" s="1">
        <v>-9.7697160000000003E-7</v>
      </c>
      <c r="I1667">
        <v>286.59129999999999</v>
      </c>
      <c r="J1667">
        <v>-206.0668</v>
      </c>
      <c r="K1667">
        <v>1.1153789999999999</v>
      </c>
      <c r="L1667">
        <v>286.3827</v>
      </c>
      <c r="M1667">
        <v>-0.987931</v>
      </c>
      <c r="N1667">
        <v>-1.6560539999999999E-2</v>
      </c>
      <c r="O1667">
        <v>-0.1540077</v>
      </c>
      <c r="P1667">
        <v>-0.98873420000000001</v>
      </c>
      <c r="Q1667">
        <v>0.14627399999999999</v>
      </c>
      <c r="R1667">
        <v>-3.1763340000000001E-2</v>
      </c>
      <c r="S1667">
        <v>-3.0680540000000001</v>
      </c>
      <c r="T1667">
        <v>-0.22485140000000001</v>
      </c>
      <c r="U1667">
        <v>3.6621090000000002E-2</v>
      </c>
      <c r="V1667">
        <v>0.1231242</v>
      </c>
      <c r="W1667">
        <v>0.16084200000000001</v>
      </c>
      <c r="X1667">
        <v>0.97927030000000004</v>
      </c>
      <c r="Y1667">
        <v>0.16502339999999999</v>
      </c>
      <c r="Z1667">
        <v>1.6092769999999999E-2</v>
      </c>
      <c r="AA1667">
        <v>0.98615839999999999</v>
      </c>
      <c r="AB1667">
        <v>24</v>
      </c>
      <c r="AC1667">
        <v>-14.985200000000001</v>
      </c>
      <c r="AD1667">
        <v>-1.1153799769716</v>
      </c>
      <c r="AE1667">
        <v>0.20859999999998899</v>
      </c>
      <c r="AF1667">
        <v>2.5004130792394901</v>
      </c>
      <c r="AG1667">
        <v>-1.1153799769716</v>
      </c>
      <c r="AH1667">
        <v>14.692856897597</v>
      </c>
      <c r="AI1667">
        <v>94.279874136562398</v>
      </c>
      <c r="AJ1667">
        <v>80.341997015150397</v>
      </c>
      <c r="AK1667">
        <v>14.945774716391499</v>
      </c>
      <c r="AL1667">
        <v>80.744227899065095</v>
      </c>
      <c r="AM1667">
        <v>82.8337735131675</v>
      </c>
      <c r="AN1667">
        <v>1.00000001902586</v>
      </c>
    </row>
    <row r="1668" spans="1:40" x14ac:dyDescent="0.25">
      <c r="A1668" t="str">
        <f>"20190303162245472"</f>
        <v>20190303162245472</v>
      </c>
      <c r="B1668" t="str">
        <f>"1551601365465845"</f>
        <v>1551601365465845</v>
      </c>
      <c r="C1668" t="s">
        <v>40</v>
      </c>
      <c r="D1668">
        <v>6.0785580000000001</v>
      </c>
      <c r="E1668">
        <v>0.48496610000000001</v>
      </c>
      <c r="F1668" t="s">
        <v>47</v>
      </c>
      <c r="G1668">
        <v>-221.6037</v>
      </c>
      <c r="H1668" s="1">
        <v>-6.8337339999999996E-7</v>
      </c>
      <c r="I1668">
        <v>286.6352</v>
      </c>
      <c r="J1668">
        <v>-206.31960000000001</v>
      </c>
      <c r="K1668">
        <v>1.1162510000000001</v>
      </c>
      <c r="L1668">
        <v>286.3526</v>
      </c>
      <c r="M1668">
        <v>-0.98916550000000003</v>
      </c>
      <c r="N1668">
        <v>-1.6306569999999999E-2</v>
      </c>
      <c r="O1668">
        <v>-0.14589759999999999</v>
      </c>
      <c r="P1668">
        <v>-0.98872260000000001</v>
      </c>
      <c r="Q1668">
        <v>0.14658209999999999</v>
      </c>
      <c r="R1668">
        <v>-3.0693379999999999E-2</v>
      </c>
      <c r="S1668">
        <v>-3.0683750000000001</v>
      </c>
      <c r="T1668">
        <v>-0.22027530000000001</v>
      </c>
      <c r="U1668">
        <v>4.9865720000000002E-2</v>
      </c>
      <c r="V1668">
        <v>0.1157941</v>
      </c>
      <c r="W1668">
        <v>0.16124720000000001</v>
      </c>
      <c r="X1668">
        <v>0.98009749999999995</v>
      </c>
      <c r="Y1668">
        <v>0.16124179999999999</v>
      </c>
      <c r="Z1668">
        <v>1.514895E-2</v>
      </c>
      <c r="AA1668">
        <v>0.98679859999999997</v>
      </c>
      <c r="AB1668">
        <v>24</v>
      </c>
      <c r="AC1668">
        <v>-15.284099999999899</v>
      </c>
      <c r="AD1668">
        <v>-1.1162516833734</v>
      </c>
      <c r="AE1668">
        <v>0.28260000000000202</v>
      </c>
      <c r="AF1668">
        <v>2.4964735011693802</v>
      </c>
      <c r="AG1668">
        <v>-1.1162516833734</v>
      </c>
      <c r="AH1668">
        <v>14.9992983434539</v>
      </c>
      <c r="AI1668">
        <v>94.198574544011194</v>
      </c>
      <c r="AJ1668">
        <v>80.550350408836593</v>
      </c>
      <c r="AK1668">
        <v>15.246552021969199</v>
      </c>
      <c r="AL1668">
        <v>80.720704624280899</v>
      </c>
      <c r="AM1668">
        <v>83.261996655732403</v>
      </c>
      <c r="AN1668">
        <v>1.00000002130444</v>
      </c>
    </row>
    <row r="1669" spans="1:40" x14ac:dyDescent="0.25">
      <c r="A1669" t="str">
        <f>"20190303162245494"</f>
        <v>20190303162245494</v>
      </c>
      <c r="B1669" t="str">
        <f>"1551601365486341"</f>
        <v>1551601365486341</v>
      </c>
      <c r="C1669" t="s">
        <v>40</v>
      </c>
      <c r="D1669">
        <v>6.0228619999999999</v>
      </c>
      <c r="E1669">
        <v>0.48219879999999998</v>
      </c>
      <c r="F1669" t="s">
        <v>42</v>
      </c>
      <c r="G1669">
        <v>-207.1609</v>
      </c>
      <c r="H1669">
        <v>1.0428759999999999</v>
      </c>
      <c r="I1669">
        <v>286.29570000000001</v>
      </c>
      <c r="J1669">
        <v>-206.548</v>
      </c>
      <c r="K1669">
        <v>1.1169389999999999</v>
      </c>
      <c r="L1669">
        <v>286.3261</v>
      </c>
      <c r="M1669">
        <v>-0.99004460000000005</v>
      </c>
      <c r="N1669">
        <v>-1.6089840000000001E-2</v>
      </c>
      <c r="O1669">
        <v>-0.13983229999999999</v>
      </c>
      <c r="P1669">
        <v>-0.9887534</v>
      </c>
      <c r="Q1669">
        <v>0.14574419999999999</v>
      </c>
      <c r="R1669">
        <v>-3.3544980000000002E-2</v>
      </c>
      <c r="S1669">
        <v>-3.0674290000000002</v>
      </c>
      <c r="T1669">
        <v>-0.26752130000000002</v>
      </c>
      <c r="U1669">
        <v>-0.2078247</v>
      </c>
      <c r="V1669">
        <v>0.1066792</v>
      </c>
      <c r="W1669">
        <v>0.16049040000000001</v>
      </c>
      <c r="X1669">
        <v>0.98125549999999995</v>
      </c>
      <c r="Y1669">
        <v>7.1928619999999999E-2</v>
      </c>
      <c r="Z1669">
        <v>1.356943E-2</v>
      </c>
      <c r="AA1669">
        <v>0.99731749999999997</v>
      </c>
      <c r="AB1669">
        <v>24</v>
      </c>
      <c r="AC1669">
        <v>-0.612899999999996</v>
      </c>
      <c r="AD1669">
        <v>-7.4062999999999907E-2</v>
      </c>
      <c r="AE1669">
        <v>-3.03999999999859E-2</v>
      </c>
      <c r="AF1669">
        <v>5.4814593920230199E-2</v>
      </c>
      <c r="AG1669">
        <v>-7.4062999999999907E-2</v>
      </c>
      <c r="AH1669">
        <v>0.60235405595221603</v>
      </c>
      <c r="AI1669">
        <v>96.981112701116899</v>
      </c>
      <c r="AJ1669">
        <v>84.800369760932597</v>
      </c>
      <c r="AK1669">
        <v>0.60936062918252698</v>
      </c>
      <c r="AL1669">
        <v>80.764637963019396</v>
      </c>
      <c r="AM1669">
        <v>83.795340599682007</v>
      </c>
      <c r="AN1669">
        <v>0.99999998824252401</v>
      </c>
    </row>
    <row r="1670" spans="1:40" x14ac:dyDescent="0.25">
      <c r="A1670" t="str">
        <f>"20190303162245517"</f>
        <v>20190303162245517</v>
      </c>
      <c r="B1670" t="str">
        <f>"1551601365505860"</f>
        <v>1551601365505860</v>
      </c>
      <c r="C1670" t="s">
        <v>40</v>
      </c>
      <c r="D1670">
        <v>6.0153990000000004</v>
      </c>
      <c r="E1670">
        <v>0.48200159999999997</v>
      </c>
      <c r="F1670" t="s">
        <v>42</v>
      </c>
      <c r="G1670">
        <v>-207.37180000000001</v>
      </c>
      <c r="H1670">
        <v>1.042605</v>
      </c>
      <c r="I1670">
        <v>286.2627</v>
      </c>
      <c r="J1670">
        <v>-206.79040000000001</v>
      </c>
      <c r="K1670">
        <v>1.117615</v>
      </c>
      <c r="L1670">
        <v>286.29860000000002</v>
      </c>
      <c r="M1670">
        <v>-0.99078599999999994</v>
      </c>
      <c r="N1670">
        <v>-1.588026E-2</v>
      </c>
      <c r="O1670">
        <v>-0.13450299999999901</v>
      </c>
      <c r="P1670">
        <v>-0.98841920000000005</v>
      </c>
      <c r="Q1670">
        <v>0.147338</v>
      </c>
      <c r="R1670">
        <v>-3.6318360000000001E-2</v>
      </c>
      <c r="S1670">
        <v>-3.0668950000000001</v>
      </c>
      <c r="T1670">
        <v>-0.27665699999999999</v>
      </c>
      <c r="U1670">
        <v>-0.23599239999999999</v>
      </c>
      <c r="V1670">
        <v>9.8353369999999996E-2</v>
      </c>
      <c r="W1670">
        <v>0.16212190000000001</v>
      </c>
      <c r="X1670">
        <v>0.98185690000000003</v>
      </c>
      <c r="Y1670">
        <v>5.7462100000000002E-2</v>
      </c>
      <c r="Z1670">
        <v>1.295138E-2</v>
      </c>
      <c r="AA1670">
        <v>0.99826369999999998</v>
      </c>
      <c r="AB1670">
        <v>24</v>
      </c>
      <c r="AC1670">
        <v>-0.58140000000000203</v>
      </c>
      <c r="AD1670">
        <v>-7.5009999999999993E-2</v>
      </c>
      <c r="AE1670">
        <v>-3.5900000000026397E-2</v>
      </c>
      <c r="AF1670">
        <v>4.19407410479406E-2</v>
      </c>
      <c r="AG1670">
        <v>-7.5009999999999993E-2</v>
      </c>
      <c r="AH1670">
        <v>0.57146878877001395</v>
      </c>
      <c r="AI1670">
        <v>97.457964081182894</v>
      </c>
      <c r="AJ1670">
        <v>85.802523345914494</v>
      </c>
      <c r="AK1670">
        <v>0.57789454262686801</v>
      </c>
      <c r="AL1670">
        <v>80.669918981463596</v>
      </c>
      <c r="AM1670">
        <v>84.279719022000293</v>
      </c>
      <c r="AN1670">
        <v>0.99999993396378595</v>
      </c>
    </row>
    <row r="1671" spans="1:40" x14ac:dyDescent="0.25">
      <c r="A1671" t="str">
        <f>"20190303162245564"</f>
        <v>20190303162245564</v>
      </c>
      <c r="B1671" t="str">
        <f>"1551601365556613"</f>
        <v>1551601365556613</v>
      </c>
      <c r="C1671" t="s">
        <v>40</v>
      </c>
      <c r="D1671">
        <v>6.0039689999999997</v>
      </c>
      <c r="E1671">
        <v>0.48119010000000001</v>
      </c>
      <c r="F1671" t="s">
        <v>42</v>
      </c>
      <c r="G1671">
        <v>-207.58619999999999</v>
      </c>
      <c r="H1671">
        <v>1.0460370000000001</v>
      </c>
      <c r="I1671">
        <v>286.23540000000003</v>
      </c>
      <c r="J1671">
        <v>-207.27789999999999</v>
      </c>
      <c r="K1671">
        <v>1.1188579999999999</v>
      </c>
      <c r="L1671">
        <v>286.2441</v>
      </c>
      <c r="M1671">
        <v>-0.99185579999999995</v>
      </c>
      <c r="N1671">
        <v>-1.5541289999999999E-2</v>
      </c>
      <c r="O1671">
        <v>-0.1264139</v>
      </c>
      <c r="P1671">
        <v>-0.98667530000000003</v>
      </c>
      <c r="Q1671">
        <v>0.15495880000000001</v>
      </c>
      <c r="R1671">
        <v>-4.9595060000000003E-2</v>
      </c>
      <c r="S1671">
        <v>-3.0673520000000001</v>
      </c>
      <c r="T1671">
        <v>-0.27589950000000002</v>
      </c>
      <c r="U1671">
        <v>-0.24334720000000001</v>
      </c>
      <c r="V1671">
        <v>7.6515130000000001E-2</v>
      </c>
      <c r="W1671">
        <v>0.1698162</v>
      </c>
      <c r="X1671">
        <v>0.98250090000000001</v>
      </c>
      <c r="Y1671">
        <v>4.7017030000000001E-2</v>
      </c>
      <c r="Z1671">
        <v>1.180194E-2</v>
      </c>
      <c r="AA1671">
        <v>0.99882439999999995</v>
      </c>
      <c r="AB1671">
        <v>24</v>
      </c>
      <c r="AC1671">
        <v>-0.30830000000000202</v>
      </c>
      <c r="AD1671">
        <v>-7.2820999999999803E-2</v>
      </c>
      <c r="AE1671">
        <v>-8.6999999999761695E-3</v>
      </c>
      <c r="AF1671">
        <v>2.87454567534982E-2</v>
      </c>
      <c r="AG1671">
        <v>-7.2820999999999803E-2</v>
      </c>
      <c r="AH1671">
        <v>0.29071932866541</v>
      </c>
      <c r="AI1671">
        <v>103.996872786029</v>
      </c>
      <c r="AJ1671">
        <v>84.353119689346798</v>
      </c>
      <c r="AK1671">
        <v>0.30107628167066602</v>
      </c>
      <c r="AL1671">
        <v>80.222867907029794</v>
      </c>
      <c r="AM1671">
        <v>85.546911764944198</v>
      </c>
      <c r="AN1671">
        <v>1.0000000627010801</v>
      </c>
    </row>
    <row r="1672" spans="1:40" x14ac:dyDescent="0.25">
      <c r="A1672" t="str">
        <f>"20190303162245582"</f>
        <v>20190303162245582</v>
      </c>
      <c r="B1672" t="str">
        <f>"1551601365576133"</f>
        <v>1551601365576133</v>
      </c>
      <c r="C1672" t="s">
        <v>40</v>
      </c>
      <c r="D1672">
        <v>5.7794910000000002</v>
      </c>
      <c r="E1672">
        <v>0.481074</v>
      </c>
      <c r="F1672" t="s">
        <v>42</v>
      </c>
      <c r="G1672">
        <v>-208.2122</v>
      </c>
      <c r="H1672">
        <v>1.0404119999999999</v>
      </c>
      <c r="I1672">
        <v>286.15480000000002</v>
      </c>
      <c r="J1672">
        <v>-207.49180000000001</v>
      </c>
      <c r="K1672">
        <v>1.1193219999999999</v>
      </c>
      <c r="L1672">
        <v>286.22039999999998</v>
      </c>
      <c r="M1672">
        <v>-0.99218680000000004</v>
      </c>
      <c r="N1672">
        <v>-1.5424749999999999E-2</v>
      </c>
      <c r="O1672">
        <v>-0.12380529999999999</v>
      </c>
      <c r="P1672">
        <v>-0.98567210000000005</v>
      </c>
      <c r="Q1672">
        <v>0.15590119999999999</v>
      </c>
      <c r="R1672">
        <v>-6.4390859999999994E-2</v>
      </c>
      <c r="S1672">
        <v>-3.0662229999999999</v>
      </c>
      <c r="T1672">
        <v>-0.25749719999999998</v>
      </c>
      <c r="U1672">
        <v>-0.29345700000000002</v>
      </c>
      <c r="V1672">
        <v>5.8936099999999998E-2</v>
      </c>
      <c r="W1672">
        <v>0.17082359999999999</v>
      </c>
      <c r="X1672">
        <v>0.98353740000000001</v>
      </c>
      <c r="Y1672">
        <v>2.831724E-2</v>
      </c>
      <c r="Z1672">
        <v>9.8143060000000001E-3</v>
      </c>
      <c r="AA1672">
        <v>0.99955079999999996</v>
      </c>
      <c r="AB1672">
        <v>24</v>
      </c>
      <c r="AC1672">
        <v>-0.72039999999998305</v>
      </c>
      <c r="AD1672">
        <v>-7.89099999999998E-2</v>
      </c>
      <c r="AE1672">
        <v>-6.5599999999960801E-2</v>
      </c>
      <c r="AF1672">
        <v>2.3821285420011499E-2</v>
      </c>
      <c r="AG1672">
        <v>-7.89099999999998E-2</v>
      </c>
      <c r="AH1672">
        <v>0.714476943562106</v>
      </c>
      <c r="AI1672">
        <v>96.298985012333702</v>
      </c>
      <c r="AJ1672">
        <v>88.090416024788297</v>
      </c>
      <c r="AK1672">
        <v>0.71921592350344299</v>
      </c>
      <c r="AL1672">
        <v>80.164291575577295</v>
      </c>
      <c r="AM1672">
        <v>86.570789500442004</v>
      </c>
      <c r="AN1672">
        <v>0.99999999169946496</v>
      </c>
    </row>
    <row r="1673" spans="1:40" x14ac:dyDescent="0.25">
      <c r="A1673" t="str">
        <f>"20190303162245618"</f>
        <v>20190303162245618</v>
      </c>
      <c r="B1673" t="str">
        <f>"1551601365606389"</f>
        <v>1551601365606389</v>
      </c>
      <c r="C1673" t="s">
        <v>40</v>
      </c>
      <c r="D1673">
        <v>6.0401350000000003</v>
      </c>
      <c r="E1673">
        <v>0.48107739999999999</v>
      </c>
      <c r="F1673" t="s">
        <v>42</v>
      </c>
      <c r="G1673">
        <v>-208.4222</v>
      </c>
      <c r="H1673">
        <v>1.040778</v>
      </c>
      <c r="I1673">
        <v>286.11610000000002</v>
      </c>
      <c r="J1673">
        <v>-207.84989999999999</v>
      </c>
      <c r="K1673">
        <v>1.1198939999999999</v>
      </c>
      <c r="L1673">
        <v>286.1807</v>
      </c>
      <c r="M1673">
        <v>-0.99261379999999999</v>
      </c>
      <c r="N1673">
        <v>-1.5261459999999999E-2</v>
      </c>
      <c r="O1673">
        <v>-0.1203538</v>
      </c>
      <c r="P1673">
        <v>-0.98571030000000004</v>
      </c>
      <c r="Q1673">
        <v>0.15305650000000001</v>
      </c>
      <c r="R1673">
        <v>-7.035102E-2</v>
      </c>
      <c r="S1673">
        <v>-3.0620729999999998</v>
      </c>
      <c r="T1673">
        <v>-0.2585462</v>
      </c>
      <c r="U1673">
        <v>-0.34356690000000001</v>
      </c>
      <c r="V1673">
        <v>4.9338640000000003E-2</v>
      </c>
      <c r="W1673">
        <v>0.16794709999999999</v>
      </c>
      <c r="X1673">
        <v>0.98456049999999995</v>
      </c>
      <c r="Y1673">
        <v>8.61012699999999E-3</v>
      </c>
      <c r="Z1673">
        <v>8.6698890000000001E-3</v>
      </c>
      <c r="AA1673">
        <v>0.99992539999999996</v>
      </c>
      <c r="AB1673">
        <v>24</v>
      </c>
      <c r="AC1673">
        <v>-0.57230000000001202</v>
      </c>
      <c r="AD1673">
        <v>-7.9115999999999895E-2</v>
      </c>
      <c r="AE1673">
        <v>-6.4599999999984406E-2</v>
      </c>
      <c r="AF1673">
        <v>4.66809284932658E-3</v>
      </c>
      <c r="AG1673">
        <v>-7.9115999999999895E-2</v>
      </c>
      <c r="AH1673">
        <v>0.56524827820239498</v>
      </c>
      <c r="AI1673">
        <v>97.967477250757995</v>
      </c>
      <c r="AJ1673">
        <v>89.526834581058097</v>
      </c>
      <c r="AK1673">
        <v>0.57077731958936695</v>
      </c>
      <c r="AL1673">
        <v>80.331519041334701</v>
      </c>
      <c r="AM1673">
        <v>87.131173703491598</v>
      </c>
      <c r="AN1673">
        <v>0.99999995397785302</v>
      </c>
    </row>
    <row r="1674" spans="1:40" x14ac:dyDescent="0.25">
      <c r="A1674" t="str">
        <f>"20190303162245662"</f>
        <v>20190303162245662</v>
      </c>
      <c r="B1674" t="str">
        <f>"1551601365656165"</f>
        <v>1551601365656165</v>
      </c>
      <c r="C1674" t="s">
        <v>40</v>
      </c>
      <c r="D1674">
        <v>6.0386769999999999</v>
      </c>
      <c r="E1674">
        <v>0.48147430000000002</v>
      </c>
      <c r="F1674" t="s">
        <v>47</v>
      </c>
      <c r="G1674">
        <v>-220.24760000000001</v>
      </c>
      <c r="H1674" s="1">
        <v>-1.405012E-6</v>
      </c>
      <c r="I1674">
        <v>284.71010000000001</v>
      </c>
      <c r="J1674">
        <v>-208.32079999999999</v>
      </c>
      <c r="K1674">
        <v>1.120433</v>
      </c>
      <c r="L1674">
        <v>286.1284</v>
      </c>
      <c r="M1674">
        <v>-0.99298399999999998</v>
      </c>
      <c r="N1674">
        <v>-1.5091719999999999E-2</v>
      </c>
      <c r="O1674">
        <v>-0.1172817</v>
      </c>
      <c r="P1674">
        <v>-0.98722860000000001</v>
      </c>
      <c r="Q1674">
        <v>0.14083689999999999</v>
      </c>
      <c r="R1674">
        <v>-7.4464169999999996E-2</v>
      </c>
      <c r="S1674">
        <v>-3.0605009999999999</v>
      </c>
      <c r="T1674">
        <v>-0.2764567</v>
      </c>
      <c r="U1674">
        <v>-0.3630371</v>
      </c>
      <c r="V1674">
        <v>4.2118179999999998E-2</v>
      </c>
      <c r="W1674">
        <v>0.15567609999999901</v>
      </c>
      <c r="X1674">
        <v>0.98690990000000001</v>
      </c>
      <c r="Y1674">
        <v>-8.2238369999999904E-4</v>
      </c>
      <c r="Z1674">
        <v>8.6891859999999998E-3</v>
      </c>
      <c r="AA1674">
        <v>0.99996189999999996</v>
      </c>
      <c r="AB1674">
        <v>23</v>
      </c>
      <c r="AC1674">
        <v>-11.9268</v>
      </c>
      <c r="AD1674">
        <v>-1.1204344050120001</v>
      </c>
      <c r="AE1674">
        <v>-1.4182999999999799</v>
      </c>
      <c r="AF1674">
        <v>-9.4724849239553599E-3</v>
      </c>
      <c r="AG1674">
        <v>-1.1204344050120001</v>
      </c>
      <c r="AH1674">
        <v>11.9072118506677</v>
      </c>
      <c r="AI1674">
        <v>95.375538246402499</v>
      </c>
      <c r="AJ1674">
        <v>90.045580216423403</v>
      </c>
      <c r="AK1674">
        <v>11.9598142561073</v>
      </c>
      <c r="AL1674">
        <v>81.043990701118503</v>
      </c>
      <c r="AM1674">
        <v>87.556280979092307</v>
      </c>
      <c r="AN1674">
        <v>1.0000000699578599</v>
      </c>
    </row>
    <row r="1675" spans="1:40" x14ac:dyDescent="0.25">
      <c r="A1675" t="str">
        <f>"20190303162245684"</f>
        <v>20190303162245684</v>
      </c>
      <c r="B1675" t="str">
        <f>"1551601365676086"</f>
        <v>1551601365676086</v>
      </c>
      <c r="C1675" t="s">
        <v>40</v>
      </c>
      <c r="D1675">
        <v>6.104203</v>
      </c>
      <c r="E1675">
        <v>0.4815894</v>
      </c>
      <c r="F1675" t="s">
        <v>47</v>
      </c>
      <c r="G1675">
        <v>-218.9083</v>
      </c>
      <c r="H1675" s="1">
        <v>3.2037700000000002E-6</v>
      </c>
      <c r="I1675">
        <v>284.8424</v>
      </c>
      <c r="J1675">
        <v>-208.54580000000001</v>
      </c>
      <c r="K1675">
        <v>1.120684</v>
      </c>
      <c r="L1675">
        <v>286.10309999999998</v>
      </c>
      <c r="M1675">
        <v>-0.99308479999999999</v>
      </c>
      <c r="N1675">
        <v>-1.5027789999999999E-2</v>
      </c>
      <c r="O1675">
        <v>-0.1164351</v>
      </c>
      <c r="P1675">
        <v>-0.98790469999999997</v>
      </c>
      <c r="Q1675">
        <v>0.13518559999999999</v>
      </c>
      <c r="R1675">
        <v>-7.5956990000000002E-2</v>
      </c>
      <c r="S1675">
        <v>-3.0569310000000001</v>
      </c>
      <c r="T1675">
        <v>-0.32350020000000002</v>
      </c>
      <c r="U1675">
        <v>-0.37130740000000001</v>
      </c>
      <c r="V1675">
        <v>3.9765679999999998E-2</v>
      </c>
      <c r="W1675">
        <v>0.15000429999999901</v>
      </c>
      <c r="X1675">
        <v>0.98788529999999997</v>
      </c>
      <c r="Y1675">
        <v>-4.5974500000000003E-3</v>
      </c>
      <c r="Z1675">
        <v>1.017856E-2</v>
      </c>
      <c r="AA1675">
        <v>0.99993770000000004</v>
      </c>
      <c r="AB1675">
        <v>23</v>
      </c>
      <c r="AC1675">
        <v>-10.362499999999899</v>
      </c>
      <c r="AD1675">
        <v>-1.1206807962300001</v>
      </c>
      <c r="AE1675">
        <v>-1.2606999999999799</v>
      </c>
      <c r="AF1675">
        <v>-4.49107924966341E-2</v>
      </c>
      <c r="AG1675">
        <v>-1.1206807962300001</v>
      </c>
      <c r="AH1675">
        <v>10.319867729083301</v>
      </c>
      <c r="AI1675">
        <v>96.197661251187</v>
      </c>
      <c r="AJ1675">
        <v>90.249342597009999</v>
      </c>
      <c r="AK1675">
        <v>10.3806364145989</v>
      </c>
      <c r="AL1675">
        <v>81.372824099129005</v>
      </c>
      <c r="AM1675">
        <v>87.6948981446278</v>
      </c>
      <c r="AN1675">
        <v>0.99999998264022105</v>
      </c>
    </row>
    <row r="1676" spans="1:40" x14ac:dyDescent="0.25">
      <c r="A1676" t="str">
        <f>"20190303162245706"</f>
        <v>20190303162245706</v>
      </c>
      <c r="B1676" t="str">
        <f>"1551601365696582"</f>
        <v>1551601365696582</v>
      </c>
      <c r="C1676" t="s">
        <v>40</v>
      </c>
      <c r="D1676">
        <v>5.8516440000000003</v>
      </c>
      <c r="E1676">
        <v>0.48206759999999899</v>
      </c>
      <c r="F1676" t="s">
        <v>42</v>
      </c>
      <c r="G1676">
        <v>-209.44730000000001</v>
      </c>
      <c r="H1676">
        <v>1.0196190000000001</v>
      </c>
      <c r="I1676">
        <v>285.99250000000001</v>
      </c>
      <c r="J1676">
        <v>-208.77019999999999</v>
      </c>
      <c r="K1676">
        <v>1.1209530000000001</v>
      </c>
      <c r="L1676">
        <v>286.07769999999999</v>
      </c>
      <c r="M1676">
        <v>-0.99314480000000005</v>
      </c>
      <c r="N1676">
        <v>-1.497327E-2</v>
      </c>
      <c r="O1676">
        <v>-0.11592810000000001</v>
      </c>
      <c r="P1676">
        <v>-0.98811819999999895</v>
      </c>
      <c r="Q1676">
        <v>0.13416610000000001</v>
      </c>
      <c r="R1676">
        <v>-7.4981500000000006E-2</v>
      </c>
      <c r="S1676">
        <v>-3.054764</v>
      </c>
      <c r="T1676">
        <v>-0.3425069</v>
      </c>
      <c r="U1676">
        <v>-0.37509160000000002</v>
      </c>
      <c r="V1676">
        <v>4.0159019999999997E-2</v>
      </c>
      <c r="W1676">
        <v>0.1489576</v>
      </c>
      <c r="X1676">
        <v>0.98802780000000001</v>
      </c>
      <c r="Y1676">
        <v>-6.4622009999999999E-3</v>
      </c>
      <c r="Z1676">
        <v>1.0725500000000001E-2</v>
      </c>
      <c r="AA1676">
        <v>0.99992159999999997</v>
      </c>
      <c r="AB1676">
        <v>23</v>
      </c>
      <c r="AC1676">
        <v>-0.67710000000002402</v>
      </c>
      <c r="AD1676">
        <v>-0.10133399999999999</v>
      </c>
      <c r="AE1676">
        <v>-8.5199999999986106E-2</v>
      </c>
      <c r="AF1676">
        <v>-5.9896427535302199E-3</v>
      </c>
      <c r="AG1676">
        <v>-0.10133399999999999</v>
      </c>
      <c r="AH1676">
        <v>0.66769020402632695</v>
      </c>
      <c r="AI1676">
        <v>98.629467124970205</v>
      </c>
      <c r="AJ1676">
        <v>90.513968968393499</v>
      </c>
      <c r="AK1676">
        <v>0.67536261662090302</v>
      </c>
      <c r="AL1676">
        <v>81.433477408387503</v>
      </c>
      <c r="AM1676">
        <v>87.672457692385805</v>
      </c>
      <c r="AN1676">
        <v>1.0000000235289701</v>
      </c>
    </row>
    <row r="1677" spans="1:40" x14ac:dyDescent="0.25">
      <c r="A1677" t="str">
        <f>"20190303162245730"</f>
        <v>20190303162245730</v>
      </c>
      <c r="B1677" t="str">
        <f>"1551601365716102"</f>
        <v>1551601365716102</v>
      </c>
      <c r="C1677" t="s">
        <v>40</v>
      </c>
      <c r="D1677">
        <v>6.0579989999999997</v>
      </c>
      <c r="E1677">
        <v>0.48247050000000002</v>
      </c>
      <c r="F1677" t="s">
        <v>42</v>
      </c>
      <c r="G1677">
        <v>-209.65440000000001</v>
      </c>
      <c r="H1677">
        <v>1.0207649999999999</v>
      </c>
      <c r="I1677">
        <v>285.971</v>
      </c>
      <c r="J1677">
        <v>-209.0138</v>
      </c>
      <c r="K1677">
        <v>1.1212279999999999</v>
      </c>
      <c r="L1677">
        <v>286.04969999999997</v>
      </c>
      <c r="M1677">
        <v>-0.99317449999999996</v>
      </c>
      <c r="N1677">
        <v>-1.4923270000000001E-2</v>
      </c>
      <c r="O1677">
        <v>-0.1156803</v>
      </c>
      <c r="P1677">
        <v>-0.98806910000000003</v>
      </c>
      <c r="Q1677">
        <v>0.13672419999999999</v>
      </c>
      <c r="R1677">
        <v>-7.089782E-2</v>
      </c>
      <c r="S1677">
        <v>-3.0551149999999998</v>
      </c>
      <c r="T1677">
        <v>-0.34627469999999999</v>
      </c>
      <c r="U1677">
        <v>-0.368927</v>
      </c>
      <c r="V1677">
        <v>4.3874829999999997E-2</v>
      </c>
      <c r="W1677">
        <v>0.15148210000000001</v>
      </c>
      <c r="X1677">
        <v>0.98748579999999997</v>
      </c>
      <c r="Y1677">
        <v>-4.7341650000000002E-3</v>
      </c>
      <c r="Z1677">
        <v>1.095488E-2</v>
      </c>
      <c r="AA1677">
        <v>0.99992879999999995</v>
      </c>
      <c r="AB1677">
        <v>23</v>
      </c>
      <c r="AC1677">
        <v>-0.64060000000000605</v>
      </c>
      <c r="AD1677">
        <v>-0.100463</v>
      </c>
      <c r="AE1677">
        <v>-7.8699999999969295E-2</v>
      </c>
      <c r="AF1677">
        <v>-3.9624782200722401E-3</v>
      </c>
      <c r="AG1677">
        <v>-0.100463</v>
      </c>
      <c r="AH1677">
        <v>0.63013596118512405</v>
      </c>
      <c r="AI1677">
        <v>99.058292137148499</v>
      </c>
      <c r="AJ1677">
        <v>90.360287779118494</v>
      </c>
      <c r="AK1677">
        <v>0.63810645285982304</v>
      </c>
      <c r="AL1677">
        <v>81.287173950001801</v>
      </c>
      <c r="AM1677">
        <v>87.455973189586203</v>
      </c>
      <c r="AN1677">
        <v>1.00000001626478</v>
      </c>
    </row>
    <row r="1678" spans="1:40" x14ac:dyDescent="0.25">
      <c r="A1678" t="str">
        <f>"20190303162245753"</f>
        <v>20190303162245753</v>
      </c>
      <c r="B1678" t="str">
        <f>"1551601365735622"</f>
        <v>1551601365735622</v>
      </c>
      <c r="C1678" t="s">
        <v>40</v>
      </c>
      <c r="D1678">
        <v>6.0557699999999999</v>
      </c>
      <c r="E1678">
        <v>0.48286990000000002</v>
      </c>
      <c r="F1678" t="s">
        <v>42</v>
      </c>
      <c r="G1678">
        <v>-209.86420000000001</v>
      </c>
      <c r="H1678">
        <v>1.0277590000000001</v>
      </c>
      <c r="I1678">
        <v>285.95150000000001</v>
      </c>
      <c r="J1678">
        <v>-209.24510000000001</v>
      </c>
      <c r="K1678">
        <v>1.1214489999999999</v>
      </c>
      <c r="L1678">
        <v>286.02289999999999</v>
      </c>
      <c r="M1678">
        <v>-0.99317029999999995</v>
      </c>
      <c r="N1678">
        <v>-1.4882309999999999E-2</v>
      </c>
      <c r="O1678">
        <v>-0.115721</v>
      </c>
      <c r="P1678">
        <v>-0.98800149999999998</v>
      </c>
      <c r="Q1678">
        <v>0.13975399999999999</v>
      </c>
      <c r="R1678">
        <v>-6.5742899999999896E-2</v>
      </c>
      <c r="S1678">
        <v>-3.057388</v>
      </c>
      <c r="T1678">
        <v>-0.33614060000000001</v>
      </c>
      <c r="U1678">
        <v>-0.35345460000000001</v>
      </c>
      <c r="V1678">
        <v>4.8957960000000002E-2</v>
      </c>
      <c r="W1678">
        <v>0.15448429999999999</v>
      </c>
      <c r="X1678">
        <v>0.98678149999999998</v>
      </c>
      <c r="Y1678">
        <v>3.855013E-4</v>
      </c>
      <c r="Z1678">
        <v>1.0906549999999999E-2</v>
      </c>
      <c r="AA1678">
        <v>0.99994050000000001</v>
      </c>
      <c r="AB1678">
        <v>23</v>
      </c>
      <c r="AC1678">
        <v>-0.61910000000000298</v>
      </c>
      <c r="AD1678">
        <v>-9.3689999999999801E-2</v>
      </c>
      <c r="AE1678">
        <v>-7.1399999999982797E-2</v>
      </c>
      <c r="AF1678">
        <v>7.1444542411525005E-4</v>
      </c>
      <c r="AG1678">
        <v>-9.3689999999999801E-2</v>
      </c>
      <c r="AH1678">
        <v>0.60942952541884599</v>
      </c>
      <c r="AI1678">
        <v>98.739875327631694</v>
      </c>
      <c r="AJ1678">
        <v>89.932831136276903</v>
      </c>
      <c r="AK1678">
        <v>0.61658954985022496</v>
      </c>
      <c r="AL1678">
        <v>81.1131114647808</v>
      </c>
      <c r="AM1678">
        <v>87.159668804414295</v>
      </c>
      <c r="AN1678">
        <v>1.00000000476805</v>
      </c>
    </row>
    <row r="1679" spans="1:40" x14ac:dyDescent="0.25">
      <c r="A1679" t="str">
        <f>"20190303162245774"</f>
        <v>20190303162245774</v>
      </c>
      <c r="B1679" t="str">
        <f>"1551601365765879"</f>
        <v>1551601365765879</v>
      </c>
      <c r="C1679" t="s">
        <v>40</v>
      </c>
      <c r="D1679">
        <v>5.9956550000000002</v>
      </c>
      <c r="E1679">
        <v>0.48339149999999997</v>
      </c>
      <c r="F1679" t="s">
        <v>42</v>
      </c>
      <c r="G1679">
        <v>-210.07339999999999</v>
      </c>
      <c r="H1679">
        <v>1.0337190000000001</v>
      </c>
      <c r="I1679">
        <v>285.9325</v>
      </c>
      <c r="J1679">
        <v>-209.47059999999999</v>
      </c>
      <c r="K1679">
        <v>1.1216200000000001</v>
      </c>
      <c r="L1679">
        <v>285.99639999999999</v>
      </c>
      <c r="M1679">
        <v>-0.99313430000000003</v>
      </c>
      <c r="N1679">
        <v>-1.4847569999999999E-2</v>
      </c>
      <c r="O1679">
        <v>-0.11603430000000001</v>
      </c>
      <c r="P1679">
        <v>-0.98798810000000004</v>
      </c>
      <c r="Q1679">
        <v>0.1424801</v>
      </c>
      <c r="R1679">
        <v>-5.9827350000000001E-2</v>
      </c>
      <c r="S1679">
        <v>-3.0600429999999998</v>
      </c>
      <c r="T1679">
        <v>-0.32414749999999998</v>
      </c>
      <c r="U1679">
        <v>-0.33395390000000003</v>
      </c>
      <c r="V1679">
        <v>5.5086639999999999E-2</v>
      </c>
      <c r="W1679">
        <v>0.15718789999999999</v>
      </c>
      <c r="X1679">
        <v>0.9860312</v>
      </c>
      <c r="Y1679">
        <v>7.0907330000000001E-3</v>
      </c>
      <c r="Z1679">
        <v>1.0888190000000001E-2</v>
      </c>
      <c r="AA1679">
        <v>0.99991560000000002</v>
      </c>
      <c r="AB1679">
        <v>23</v>
      </c>
      <c r="AC1679">
        <v>-0.602800000000002</v>
      </c>
      <c r="AD1679">
        <v>-8.7900999999999896E-2</v>
      </c>
      <c r="AE1679">
        <v>-6.3899999999989604E-2</v>
      </c>
      <c r="AF1679">
        <v>6.3513553553683402E-3</v>
      </c>
      <c r="AG1679">
        <v>-8.7900999999999896E-2</v>
      </c>
      <c r="AH1679">
        <v>0.593659529093155</v>
      </c>
      <c r="AI1679">
        <v>98.421907904876804</v>
      </c>
      <c r="AJ1679">
        <v>89.387035910626807</v>
      </c>
      <c r="AK1679">
        <v>0.60016544552228002</v>
      </c>
      <c r="AL1679">
        <v>80.956291070605602</v>
      </c>
      <c r="AM1679">
        <v>86.802378616831305</v>
      </c>
      <c r="AN1679">
        <v>1.0000000505931601</v>
      </c>
    </row>
    <row r="1680" spans="1:40" x14ac:dyDescent="0.25">
      <c r="A1680" t="str">
        <f>"20190303162245797"</f>
        <v>20190303162245797</v>
      </c>
      <c r="B1680" t="str">
        <f>"1551601365786374"</f>
        <v>1551601365786374</v>
      </c>
      <c r="C1680" t="s">
        <v>40</v>
      </c>
      <c r="D1680">
        <v>5.9392420000000001</v>
      </c>
      <c r="E1680">
        <v>0.483626</v>
      </c>
      <c r="F1680" t="s">
        <v>42</v>
      </c>
      <c r="G1680">
        <v>-210.2826</v>
      </c>
      <c r="H1680">
        <v>1.039207</v>
      </c>
      <c r="I1680">
        <v>285.9135</v>
      </c>
      <c r="J1680">
        <v>-209.69669999999999</v>
      </c>
      <c r="K1680">
        <v>1.1217520000000001</v>
      </c>
      <c r="L1680">
        <v>285.96949999999998</v>
      </c>
      <c r="M1680">
        <v>-0.99306989999999995</v>
      </c>
      <c r="N1680">
        <v>-1.4817550000000001E-2</v>
      </c>
      <c r="O1680">
        <v>-0.1165872</v>
      </c>
      <c r="P1680">
        <v>-0.98796110000000004</v>
      </c>
      <c r="Q1680">
        <v>0.14504879999999901</v>
      </c>
      <c r="R1680">
        <v>-5.3797659999999997E-2</v>
      </c>
      <c r="S1680">
        <v>-3.0623629999999999</v>
      </c>
      <c r="T1680">
        <v>-0.31095149999999999</v>
      </c>
      <c r="U1680">
        <v>-0.31323240000000002</v>
      </c>
      <c r="V1680">
        <v>6.1573429999999998E-2</v>
      </c>
      <c r="W1680">
        <v>0.15973970000000001</v>
      </c>
      <c r="X1680">
        <v>0.98523700000000003</v>
      </c>
      <c r="Y1680">
        <v>1.4422219999999999E-2</v>
      </c>
      <c r="Z1680">
        <v>1.0850749999999999E-2</v>
      </c>
      <c r="AA1680">
        <v>0.99983710000000003</v>
      </c>
      <c r="AB1680">
        <v>23</v>
      </c>
      <c r="AC1680">
        <v>-0.58590000000000897</v>
      </c>
      <c r="AD1680">
        <v>-8.2544999999999993E-2</v>
      </c>
      <c r="AE1680">
        <v>-5.5999999999983098E-2</v>
      </c>
      <c r="AF1680">
        <v>1.24529811070827E-2</v>
      </c>
      <c r="AG1680">
        <v>-8.2544999999999993E-2</v>
      </c>
      <c r="AH1680">
        <v>0.57708244260535602</v>
      </c>
      <c r="AI1680">
        <v>98.138415331575899</v>
      </c>
      <c r="AJ1680">
        <v>88.763794412081097</v>
      </c>
      <c r="AK1680">
        <v>0.58308910067571795</v>
      </c>
      <c r="AL1680">
        <v>80.808212217141104</v>
      </c>
      <c r="AM1680">
        <v>86.423890530635205</v>
      </c>
      <c r="AN1680">
        <v>1.0000000026035201</v>
      </c>
    </row>
    <row r="1681" spans="1:40" x14ac:dyDescent="0.25">
      <c r="A1681" t="str">
        <f>"20190303162245820"</f>
        <v>20190303162245820</v>
      </c>
      <c r="B1681" t="str">
        <f>"1551601365805894"</f>
        <v>1551601365805894</v>
      </c>
      <c r="C1681" t="s">
        <v>40</v>
      </c>
      <c r="D1681">
        <v>5.9386020000000004</v>
      </c>
      <c r="E1681">
        <v>0.48372929999999997</v>
      </c>
      <c r="F1681" t="s">
        <v>42</v>
      </c>
      <c r="G1681">
        <v>-210.49109999999999</v>
      </c>
      <c r="H1681">
        <v>1.0442819999999999</v>
      </c>
      <c r="I1681">
        <v>285.89299999999997</v>
      </c>
      <c r="J1681">
        <v>-209.93809999999999</v>
      </c>
      <c r="K1681">
        <v>1.1218520000000001</v>
      </c>
      <c r="L1681">
        <v>285.94029999999998</v>
      </c>
      <c r="M1681">
        <v>-0.99297999999999997</v>
      </c>
      <c r="N1681">
        <v>-1.4790060000000001E-2</v>
      </c>
      <c r="O1681">
        <v>-0.1173536</v>
      </c>
      <c r="P1681">
        <v>-0.9876646</v>
      </c>
      <c r="Q1681">
        <v>0.14887729999999999</v>
      </c>
      <c r="R1681">
        <v>-4.8520569999999999E-2</v>
      </c>
      <c r="S1681">
        <v>-3.0644230000000001</v>
      </c>
      <c r="T1681">
        <v>-0.29921150000000002</v>
      </c>
      <c r="U1681">
        <v>-0.29565429999999998</v>
      </c>
      <c r="V1681">
        <v>6.7498649999999993E-2</v>
      </c>
      <c r="W1681">
        <v>0.16354939999999901</v>
      </c>
      <c r="X1681">
        <v>0.98422330000000002</v>
      </c>
      <c r="Y1681">
        <v>2.094584E-2</v>
      </c>
      <c r="Z1681">
        <v>1.080889E-2</v>
      </c>
      <c r="AA1681">
        <v>0.99972220000000001</v>
      </c>
      <c r="AB1681">
        <v>23</v>
      </c>
      <c r="AC1681">
        <v>-0.55299999999999705</v>
      </c>
      <c r="AD1681">
        <v>-7.7570000000000097E-2</v>
      </c>
      <c r="AE1681">
        <v>-4.7300000000007003E-2</v>
      </c>
      <c r="AF1681">
        <v>1.7587019626465E-2</v>
      </c>
      <c r="AG1681">
        <v>-7.7570000000000097E-2</v>
      </c>
      <c r="AH1681">
        <v>0.54410147157668998</v>
      </c>
      <c r="AI1681">
        <v>98.109536976057797</v>
      </c>
      <c r="AJ1681">
        <v>88.148670159868701</v>
      </c>
      <c r="AK1681">
        <v>0.54988436923707995</v>
      </c>
      <c r="AL1681">
        <v>80.587023369361603</v>
      </c>
      <c r="AM1681">
        <v>86.076762604424701</v>
      </c>
      <c r="AN1681">
        <v>0.99999998912753596</v>
      </c>
    </row>
    <row r="1682" spans="1:40" x14ac:dyDescent="0.25">
      <c r="A1682" t="str">
        <f>"20190303162245851"</f>
        <v>20190303162245851</v>
      </c>
      <c r="B1682" t="str">
        <f>"1551601365845911"</f>
        <v>1551601365845911</v>
      </c>
      <c r="C1682" t="s">
        <v>40</v>
      </c>
      <c r="D1682">
        <v>5.642048</v>
      </c>
      <c r="E1682">
        <v>0.48350769999999998</v>
      </c>
      <c r="F1682" t="s">
        <v>47</v>
      </c>
      <c r="G1682">
        <v>-222.0369</v>
      </c>
      <c r="H1682" s="1">
        <v>-4.5283369999999999E-7</v>
      </c>
      <c r="I1682">
        <v>284.83609999999999</v>
      </c>
      <c r="J1682">
        <v>-210.2559</v>
      </c>
      <c r="K1682">
        <v>1.1218629999999901</v>
      </c>
      <c r="L1682">
        <v>285.9015</v>
      </c>
      <c r="M1682">
        <v>-0.99284939999999999</v>
      </c>
      <c r="N1682">
        <v>-1.475885E-2</v>
      </c>
      <c r="O1682">
        <v>-0.11845899999999999</v>
      </c>
      <c r="P1682">
        <v>-0.98787860000000005</v>
      </c>
      <c r="Q1682">
        <v>0.1502252</v>
      </c>
      <c r="R1682">
        <v>-3.9096119999999998E-2</v>
      </c>
      <c r="S1682">
        <v>-3.0665740000000001</v>
      </c>
      <c r="T1682">
        <v>-0.28434599999999999</v>
      </c>
      <c r="U1682">
        <v>-0.27987669999999998</v>
      </c>
      <c r="V1682">
        <v>7.7962370000000003E-2</v>
      </c>
      <c r="W1682">
        <v>0.1648744</v>
      </c>
      <c r="X1682">
        <v>0.98322849999999995</v>
      </c>
      <c r="Y1682">
        <v>2.7245129999999999E-2</v>
      </c>
      <c r="Z1682">
        <v>1.06166E-2</v>
      </c>
      <c r="AA1682">
        <v>0.99957240000000003</v>
      </c>
      <c r="AB1682">
        <v>23</v>
      </c>
      <c r="AC1682">
        <v>-11.781000000000001</v>
      </c>
      <c r="AD1682">
        <v>-1.1218634528336999</v>
      </c>
      <c r="AE1682">
        <v>-1.0654000000000099</v>
      </c>
      <c r="AF1682">
        <v>0.334809024982127</v>
      </c>
      <c r="AG1682">
        <v>-1.1218634528336999</v>
      </c>
      <c r="AH1682">
        <v>11.7188456787812</v>
      </c>
      <c r="AI1682">
        <v>95.466133489127998</v>
      </c>
      <c r="AJ1682">
        <v>88.363496907153007</v>
      </c>
      <c r="AK1682">
        <v>11.777182121929799</v>
      </c>
      <c r="AL1682">
        <v>80.510061725111797</v>
      </c>
      <c r="AM1682">
        <v>85.466375950831093</v>
      </c>
      <c r="AN1682">
        <v>0.99999999106181303</v>
      </c>
    </row>
    <row r="1683" spans="1:40" x14ac:dyDescent="0.25">
      <c r="A1683" t="str">
        <f>"20190303162245875"</f>
        <v>20190303162245875</v>
      </c>
      <c r="B1683" t="str">
        <f>"1551601365866407"</f>
        <v>1551601365866407</v>
      </c>
      <c r="C1683" t="s">
        <v>40</v>
      </c>
      <c r="D1683">
        <v>5.6083629999999998</v>
      </c>
      <c r="E1683">
        <v>0.48332170000000002</v>
      </c>
      <c r="F1683" t="s">
        <v>42</v>
      </c>
      <c r="G1683">
        <v>-211.1028</v>
      </c>
      <c r="H1683">
        <v>1.045482</v>
      </c>
      <c r="I1683">
        <v>285.83150000000001</v>
      </c>
      <c r="J1683">
        <v>-210.49340000000001</v>
      </c>
      <c r="K1683">
        <v>1.1217999999999999</v>
      </c>
      <c r="L1683">
        <v>285.87220000000002</v>
      </c>
      <c r="M1683">
        <v>-0.99275500000000005</v>
      </c>
      <c r="N1683">
        <v>-1.473764E-2</v>
      </c>
      <c r="O1683">
        <v>-0.11924990000000001</v>
      </c>
      <c r="P1683">
        <v>-0.98907699999999998</v>
      </c>
      <c r="Q1683">
        <v>0.1440495</v>
      </c>
      <c r="R1683">
        <v>-3.1254049999999998E-2</v>
      </c>
      <c r="S1683">
        <v>-3.0688930000000001</v>
      </c>
      <c r="T1683">
        <v>-0.2769452</v>
      </c>
      <c r="U1683">
        <v>-0.25393680000000002</v>
      </c>
      <c r="V1683">
        <v>8.6702249999999995E-2</v>
      </c>
      <c r="W1683">
        <v>0.15868570000000001</v>
      </c>
      <c r="X1683">
        <v>0.98351489999999997</v>
      </c>
      <c r="Y1683">
        <v>3.6476550000000003E-2</v>
      </c>
      <c r="Z1683">
        <v>1.0841760000000001E-2</v>
      </c>
      <c r="AA1683">
        <v>0.99927569999999999</v>
      </c>
      <c r="AB1683">
        <v>23</v>
      </c>
      <c r="AC1683">
        <v>-0.60939999999999295</v>
      </c>
      <c r="AD1683">
        <v>-7.6317999999999803E-2</v>
      </c>
      <c r="AE1683">
        <v>-4.0700000000015203E-2</v>
      </c>
      <c r="AF1683">
        <v>3.1773153178706097E-2</v>
      </c>
      <c r="AG1683">
        <v>-7.6317999999999803E-2</v>
      </c>
      <c r="AH1683">
        <v>0.60052785188403601</v>
      </c>
      <c r="AI1683">
        <v>97.232593337395997</v>
      </c>
      <c r="AJ1683">
        <v>86.971378224493293</v>
      </c>
      <c r="AK1683">
        <v>0.60619111778000601</v>
      </c>
      <c r="AL1683">
        <v>80.869382168120097</v>
      </c>
      <c r="AM1683">
        <v>84.962085380461005</v>
      </c>
      <c r="AN1683">
        <v>0.99999999503078096</v>
      </c>
    </row>
    <row r="1684" spans="1:40" x14ac:dyDescent="0.25">
      <c r="A1684" t="str">
        <f>"20190303162245896"</f>
        <v>20190303162245896</v>
      </c>
      <c r="B1684" t="str">
        <f>"1551601365885927"</f>
        <v>1551601365885927</v>
      </c>
      <c r="C1684" t="s">
        <v>40</v>
      </c>
      <c r="D1684">
        <v>5.5997149999999998</v>
      </c>
      <c r="E1684">
        <v>0.48329689999999997</v>
      </c>
      <c r="F1684" t="s">
        <v>42</v>
      </c>
      <c r="G1684">
        <v>-211.30430000000001</v>
      </c>
      <c r="H1684">
        <v>1.0439909999999999</v>
      </c>
      <c r="I1684">
        <v>285.81020000000001</v>
      </c>
      <c r="J1684">
        <v>-210.7131</v>
      </c>
      <c r="K1684">
        <v>1.121683</v>
      </c>
      <c r="L1684">
        <v>285.84500000000003</v>
      </c>
      <c r="M1684">
        <v>-0.99267660000000002</v>
      </c>
      <c r="N1684">
        <v>-1.4719650000000001E-2</v>
      </c>
      <c r="O1684">
        <v>-0.1199038</v>
      </c>
      <c r="P1684">
        <v>-0.99050450000000001</v>
      </c>
      <c r="Q1684">
        <v>0.13540429999999901</v>
      </c>
      <c r="R1684">
        <v>-2.381219E-2</v>
      </c>
      <c r="S1684">
        <v>-3.0686040000000001</v>
      </c>
      <c r="T1684">
        <v>-0.29448380000000002</v>
      </c>
      <c r="U1684">
        <v>-0.23489380000000001</v>
      </c>
      <c r="V1684">
        <v>9.4955239999999996E-2</v>
      </c>
      <c r="W1684">
        <v>0.15002219999999999</v>
      </c>
      <c r="X1684">
        <v>0.98411219999999999</v>
      </c>
      <c r="Y1684">
        <v>4.317704E-2</v>
      </c>
      <c r="Z1684">
        <v>1.2048730000000001E-2</v>
      </c>
      <c r="AA1684">
        <v>0.99899479999999996</v>
      </c>
      <c r="AB1684">
        <v>23</v>
      </c>
      <c r="AC1684">
        <v>-0.59120000000001405</v>
      </c>
      <c r="AD1684">
        <v>-7.7692000000000094E-2</v>
      </c>
      <c r="AE1684">
        <v>-3.4800000000018302E-2</v>
      </c>
      <c r="AF1684">
        <v>3.5730979778966901E-2</v>
      </c>
      <c r="AG1684">
        <v>-7.7692000000000094E-2</v>
      </c>
      <c r="AH1684">
        <v>0.581106121577594</v>
      </c>
      <c r="AI1684">
        <v>97.600914185540006</v>
      </c>
      <c r="AJ1684">
        <v>86.481434169661398</v>
      </c>
      <c r="AK1684">
        <v>0.58736451570972403</v>
      </c>
      <c r="AL1684">
        <v>81.371786831409395</v>
      </c>
      <c r="AM1684">
        <v>84.488693024217696</v>
      </c>
      <c r="AN1684">
        <v>0.99999999014256802</v>
      </c>
    </row>
    <row r="1685" spans="1:40" x14ac:dyDescent="0.25">
      <c r="A1685" t="str">
        <f>"20190303162245918"</f>
        <v>20190303162245918</v>
      </c>
      <c r="B1685" t="str">
        <f>"1551601365906422"</f>
        <v>1551601365906422</v>
      </c>
      <c r="C1685" t="s">
        <v>40</v>
      </c>
      <c r="D1685">
        <v>5.8729069999999997</v>
      </c>
      <c r="E1685">
        <v>0.49195889999999998</v>
      </c>
      <c r="F1685" t="s">
        <v>42</v>
      </c>
      <c r="G1685">
        <v>-211.50380000000001</v>
      </c>
      <c r="H1685">
        <v>1.039129</v>
      </c>
      <c r="I1685">
        <v>285.79020000000003</v>
      </c>
      <c r="J1685">
        <v>-210.929</v>
      </c>
      <c r="K1685">
        <v>1.121534</v>
      </c>
      <c r="L1685">
        <v>285.81830000000002</v>
      </c>
      <c r="M1685">
        <v>-0.99261560000000004</v>
      </c>
      <c r="N1685">
        <v>-1.4703600000000001E-2</v>
      </c>
      <c r="O1685">
        <v>-0.1204079</v>
      </c>
      <c r="P1685">
        <v>-0.99157620000000002</v>
      </c>
      <c r="Q1685">
        <v>0.128161</v>
      </c>
      <c r="R1685">
        <v>-1.875222E-2</v>
      </c>
      <c r="S1685">
        <v>-3.0674440000000001</v>
      </c>
      <c r="T1685">
        <v>-0.3203684</v>
      </c>
      <c r="U1685">
        <v>-0.21322630000000001</v>
      </c>
      <c r="V1685">
        <v>0.1006609</v>
      </c>
      <c r="W1685">
        <v>0.1427457</v>
      </c>
      <c r="X1685">
        <v>0.98462740000000004</v>
      </c>
      <c r="Y1685">
        <v>5.0501310000000001E-2</v>
      </c>
      <c r="Z1685">
        <v>1.3720970000000001E-2</v>
      </c>
      <c r="AA1685">
        <v>0.99862969999999895</v>
      </c>
      <c r="AB1685">
        <v>23</v>
      </c>
      <c r="AC1685">
        <v>-0.57480000000000997</v>
      </c>
      <c r="AD1685">
        <v>-8.2404999999999798E-2</v>
      </c>
      <c r="AE1685">
        <v>-2.80999999999949E-2</v>
      </c>
      <c r="AF1685">
        <v>4.0492181422422703E-2</v>
      </c>
      <c r="AG1685">
        <v>-8.2404999999999798E-2</v>
      </c>
      <c r="AH1685">
        <v>0.56246816114420295</v>
      </c>
      <c r="AI1685">
        <v>98.313670212962194</v>
      </c>
      <c r="AJ1685">
        <v>85.882370317188901</v>
      </c>
      <c r="AK1685">
        <v>0.56991282937155097</v>
      </c>
      <c r="AL1685">
        <v>81.793240903892197</v>
      </c>
      <c r="AM1685">
        <v>84.162789882557107</v>
      </c>
      <c r="AN1685">
        <v>1.0000000342440201</v>
      </c>
    </row>
    <row r="1686" spans="1:40" x14ac:dyDescent="0.25">
      <c r="A1686" t="str">
        <f>"20190303162245942"</f>
        <v>20190303162245942</v>
      </c>
      <c r="B1686" t="str">
        <f>"1551601365936678"</f>
        <v>1551601365936678</v>
      </c>
      <c r="C1686" t="s">
        <v>40</v>
      </c>
      <c r="D1686">
        <v>5.822991</v>
      </c>
      <c r="E1686">
        <v>0.49085709999999999</v>
      </c>
      <c r="F1686" t="s">
        <v>47</v>
      </c>
      <c r="G1686">
        <v>-224.50569999999999</v>
      </c>
      <c r="H1686" s="1">
        <v>8.6091689999999999E-7</v>
      </c>
      <c r="I1686">
        <v>285.25900000000001</v>
      </c>
      <c r="J1686">
        <v>-211.17420000000001</v>
      </c>
      <c r="K1686">
        <v>1.121351</v>
      </c>
      <c r="L1686">
        <v>285.78809999999999</v>
      </c>
      <c r="M1686">
        <v>-0.99257189999999995</v>
      </c>
      <c r="N1686">
        <v>-1.468733E-2</v>
      </c>
      <c r="O1686">
        <v>-0.12077110000000001</v>
      </c>
      <c r="P1686">
        <v>-0.99222549999999998</v>
      </c>
      <c r="Q1686">
        <v>0.1236978</v>
      </c>
      <c r="R1686">
        <v>-1.3696979999999999E-2</v>
      </c>
      <c r="S1686">
        <v>-3.0557099999999999</v>
      </c>
      <c r="T1686">
        <v>-0.25242399999999998</v>
      </c>
      <c r="U1686">
        <v>-0.125885</v>
      </c>
      <c r="V1686">
        <v>0.1061798</v>
      </c>
      <c r="W1686">
        <v>0.13822770000000001</v>
      </c>
      <c r="X1686">
        <v>0.98469229999999996</v>
      </c>
      <c r="Y1686">
        <v>7.9228750000000001E-2</v>
      </c>
      <c r="Z1686">
        <v>1.200466E-2</v>
      </c>
      <c r="AA1686">
        <v>0.99678420000000001</v>
      </c>
      <c r="AB1686">
        <v>23</v>
      </c>
      <c r="AC1686">
        <v>-13.331499999999901</v>
      </c>
      <c r="AD1686">
        <v>-1.1213501390831</v>
      </c>
      <c r="AE1686">
        <v>-0.52909999999997104</v>
      </c>
      <c r="AF1686">
        <v>1.0773964128243101</v>
      </c>
      <c r="AG1686">
        <v>-1.1213501390831</v>
      </c>
      <c r="AH1686">
        <v>13.204529592589299</v>
      </c>
      <c r="AI1686">
        <v>94.838003790928198</v>
      </c>
      <c r="AJ1686">
        <v>85.335401869024395</v>
      </c>
      <c r="AK1686">
        <v>13.2957816967019</v>
      </c>
      <c r="AL1686">
        <v>82.054696049684495</v>
      </c>
      <c r="AM1686">
        <v>83.845551021721803</v>
      </c>
      <c r="AN1686">
        <v>0.99999998632730902</v>
      </c>
    </row>
    <row r="1687" spans="1:40" x14ac:dyDescent="0.25">
      <c r="A1687" t="str">
        <f>"20190303162245964"</f>
        <v>20190303162245964</v>
      </c>
      <c r="B1687" t="str">
        <f>"1551601365956198"</f>
        <v>1551601365956198</v>
      </c>
      <c r="C1687" t="s">
        <v>40</v>
      </c>
      <c r="D1687">
        <v>5.771852</v>
      </c>
      <c r="E1687">
        <v>0.49021199999999998</v>
      </c>
      <c r="F1687" t="s">
        <v>47</v>
      </c>
      <c r="G1687">
        <v>-225.2458</v>
      </c>
      <c r="H1687" s="1">
        <v>1.254784E-6</v>
      </c>
      <c r="I1687">
        <v>285.24180000000001</v>
      </c>
      <c r="J1687">
        <v>-211.39439999999999</v>
      </c>
      <c r="K1687">
        <v>1.121189</v>
      </c>
      <c r="L1687">
        <v>285.76119999999997</v>
      </c>
      <c r="M1687">
        <v>-0.99256279999999997</v>
      </c>
      <c r="N1687">
        <v>-1.4674400000000001E-2</v>
      </c>
      <c r="O1687">
        <v>-0.120846</v>
      </c>
      <c r="P1687">
        <v>-0.99207129999999999</v>
      </c>
      <c r="Q1687">
        <v>0.12543180000000001</v>
      </c>
      <c r="R1687">
        <v>-7.8227699999999997E-3</v>
      </c>
      <c r="S1687">
        <v>-3.0522</v>
      </c>
      <c r="T1687">
        <v>-0.243225</v>
      </c>
      <c r="U1687">
        <v>-0.1184998</v>
      </c>
      <c r="V1687">
        <v>0.1121226</v>
      </c>
      <c r="W1687">
        <v>0.13989360000000001</v>
      </c>
      <c r="X1687">
        <v>0.9837979</v>
      </c>
      <c r="Y1687">
        <v>8.1698530000000005E-2</v>
      </c>
      <c r="Z1687">
        <v>1.166274E-2</v>
      </c>
      <c r="AA1687">
        <v>0.99658880000000005</v>
      </c>
      <c r="AB1687">
        <v>23</v>
      </c>
      <c r="AC1687">
        <v>-13.8514</v>
      </c>
      <c r="AD1687">
        <v>-1.121187745216</v>
      </c>
      <c r="AE1687">
        <v>-0.519399999999961</v>
      </c>
      <c r="AF1687">
        <v>1.15094358619183</v>
      </c>
      <c r="AG1687">
        <v>-1.121187745216</v>
      </c>
      <c r="AH1687">
        <v>13.7228540624536</v>
      </c>
      <c r="AI1687">
        <v>94.654548472960997</v>
      </c>
      <c r="AJ1687">
        <v>85.205790588214896</v>
      </c>
      <c r="AK1687">
        <v>13.816600765673799</v>
      </c>
      <c r="AL1687">
        <v>81.958310632558707</v>
      </c>
      <c r="AM1687">
        <v>83.498103437103495</v>
      </c>
      <c r="AN1687">
        <v>1.00000000239806</v>
      </c>
    </row>
    <row r="1688" spans="1:40" x14ac:dyDescent="0.25">
      <c r="A1688" t="str">
        <f>"20190303162245985"</f>
        <v>20190303162245985</v>
      </c>
      <c r="B1688" t="str">
        <f>"1551601365975719"</f>
        <v>1551601365975719</v>
      </c>
      <c r="C1688" t="s">
        <v>40</v>
      </c>
      <c r="D1688">
        <v>5.7721609999999997</v>
      </c>
      <c r="E1688">
        <v>0.48289789999999999</v>
      </c>
      <c r="F1688" t="s">
        <v>42</v>
      </c>
      <c r="G1688">
        <v>-212.3235</v>
      </c>
      <c r="H1688">
        <v>1.0506789999999999</v>
      </c>
      <c r="I1688">
        <v>285.72879999999998</v>
      </c>
      <c r="J1688">
        <v>-211.60900000000001</v>
      </c>
      <c r="K1688">
        <v>1.121048</v>
      </c>
      <c r="L1688">
        <v>285.73509999999999</v>
      </c>
      <c r="M1688">
        <v>-0.99258389999999996</v>
      </c>
      <c r="N1688">
        <v>-1.466318E-2</v>
      </c>
      <c r="O1688">
        <v>-0.1206745</v>
      </c>
      <c r="P1688">
        <v>-0.99142770000000002</v>
      </c>
      <c r="Q1688">
        <v>0.13063830000000001</v>
      </c>
      <c r="R1688">
        <v>-2.179739E-3</v>
      </c>
      <c r="S1688">
        <v>-3.0524439999999999</v>
      </c>
      <c r="T1688">
        <v>-0.23181570000000001</v>
      </c>
      <c r="U1688">
        <v>-0.1072998</v>
      </c>
      <c r="V1688">
        <v>0.1175349</v>
      </c>
      <c r="W1688">
        <v>0.14502209999999999</v>
      </c>
      <c r="X1688">
        <v>0.98242260000000003</v>
      </c>
      <c r="Y1688">
        <v>8.5222859999999998E-2</v>
      </c>
      <c r="Z1688">
        <v>1.121232E-2</v>
      </c>
      <c r="AA1688">
        <v>0.99629880000000004</v>
      </c>
      <c r="AB1688">
        <v>23</v>
      </c>
      <c r="AC1688">
        <v>-0.71449999999998604</v>
      </c>
      <c r="AD1688">
        <v>-7.0368999999999904E-2</v>
      </c>
      <c r="AE1688">
        <v>-6.3000000000101803E-3</v>
      </c>
      <c r="AF1688">
        <v>7.9209000559462506E-2</v>
      </c>
      <c r="AG1688">
        <v>-7.0368999999999904E-2</v>
      </c>
      <c r="AH1688">
        <v>0.70321726556709596</v>
      </c>
      <c r="AI1688">
        <v>95.678733162563205</v>
      </c>
      <c r="AJ1688">
        <v>83.573404249393803</v>
      </c>
      <c r="AK1688">
        <v>0.71115426211356703</v>
      </c>
      <c r="AL1688">
        <v>81.661441161509401</v>
      </c>
      <c r="AM1688">
        <v>83.177684165910094</v>
      </c>
      <c r="AN1688">
        <v>1.00000001359859</v>
      </c>
    </row>
    <row r="1689" spans="1:40" x14ac:dyDescent="0.25">
      <c r="A1689" t="str">
        <f>"20190303162246007"</f>
        <v>20190303162246007</v>
      </c>
      <c r="B1689" t="str">
        <f>"1551601365996214"</f>
        <v>1551601365996214</v>
      </c>
      <c r="C1689" t="s">
        <v>40</v>
      </c>
      <c r="D1689">
        <v>5.5842409999999996</v>
      </c>
      <c r="E1689">
        <v>0.48275499999999999</v>
      </c>
      <c r="F1689" t="s">
        <v>47</v>
      </c>
      <c r="G1689">
        <v>-231.2132</v>
      </c>
      <c r="H1689" s="1">
        <v>-8.9807869999999995E-7</v>
      </c>
      <c r="I1689">
        <v>284.77350000000001</v>
      </c>
      <c r="J1689">
        <v>-211.83250000000001</v>
      </c>
      <c r="K1689">
        <v>1.1209100000000001</v>
      </c>
      <c r="L1689">
        <v>285.70839999999998</v>
      </c>
      <c r="M1689">
        <v>-0.99263259999999998</v>
      </c>
      <c r="N1689">
        <v>-1.4652979999999999E-2</v>
      </c>
      <c r="O1689">
        <v>-0.1202749</v>
      </c>
      <c r="P1689">
        <v>-0.99063809999999997</v>
      </c>
      <c r="Q1689">
        <v>0.136517</v>
      </c>
      <c r="R1689" s="1">
        <v>5.241879E-5</v>
      </c>
      <c r="S1689">
        <v>-3.048584</v>
      </c>
      <c r="T1689">
        <v>-0.17433070000000001</v>
      </c>
      <c r="U1689">
        <v>-0.14953610000000001</v>
      </c>
      <c r="V1689">
        <v>0.11932</v>
      </c>
      <c r="W1689">
        <v>0.15082880000000001</v>
      </c>
      <c r="X1689">
        <v>0.98133250000000005</v>
      </c>
      <c r="Y1689">
        <v>7.1253830000000004E-2</v>
      </c>
      <c r="Z1689">
        <v>7.6429829999999999E-3</v>
      </c>
      <c r="AA1689">
        <v>0.99742900000000001</v>
      </c>
      <c r="AB1689">
        <v>23</v>
      </c>
      <c r="AC1689">
        <v>-19.380699999999901</v>
      </c>
      <c r="AD1689">
        <v>-1.1209108980786999</v>
      </c>
      <c r="AE1689">
        <v>-0.93489999999996998</v>
      </c>
      <c r="AF1689">
        <v>1.39848286961721</v>
      </c>
      <c r="AG1689">
        <v>-1.1209108980786999</v>
      </c>
      <c r="AH1689">
        <v>19.288065150816099</v>
      </c>
      <c r="AI1689">
        <v>93.317270325986897</v>
      </c>
      <c r="AJ1689">
        <v>85.853021152369195</v>
      </c>
      <c r="AK1689">
        <v>19.371155175677298</v>
      </c>
      <c r="AL1689">
        <v>81.325040509154803</v>
      </c>
      <c r="AM1689">
        <v>83.067449063476502</v>
      </c>
      <c r="AN1689">
        <v>1.00000003243284</v>
      </c>
    </row>
    <row r="1690" spans="1:40" x14ac:dyDescent="0.25">
      <c r="A1690" t="str">
        <f>"20190303162246029"</f>
        <v>20190303162246029</v>
      </c>
      <c r="B1690" t="str">
        <f>"1551601366015735"</f>
        <v>1551601366015735</v>
      </c>
      <c r="C1690" t="s">
        <v>40</v>
      </c>
      <c r="D1690">
        <v>5.7946169999999997</v>
      </c>
      <c r="E1690">
        <v>0.48142430000000003</v>
      </c>
      <c r="F1690" t="s">
        <v>47</v>
      </c>
      <c r="G1690">
        <v>-234.7697</v>
      </c>
      <c r="H1690" s="1">
        <v>1.0015719999999999E-6</v>
      </c>
      <c r="I1690">
        <v>284.6123</v>
      </c>
      <c r="J1690">
        <v>-212.05160000000001</v>
      </c>
      <c r="K1690">
        <v>1.1207689999999999</v>
      </c>
      <c r="L1690">
        <v>285.6825</v>
      </c>
      <c r="M1690">
        <v>-0.99270610000000004</v>
      </c>
      <c r="N1690">
        <v>-1.4643959999999999E-2</v>
      </c>
      <c r="O1690">
        <v>-0.1196675</v>
      </c>
      <c r="P1690">
        <v>-0.99051929999999999</v>
      </c>
      <c r="Q1690">
        <v>0.1373549</v>
      </c>
      <c r="R1690">
        <v>2.3080900000000001E-3</v>
      </c>
      <c r="S1690">
        <v>-3.0489039999999998</v>
      </c>
      <c r="T1690">
        <v>-0.14899589999999999</v>
      </c>
      <c r="U1690">
        <v>-0.14569089999999901</v>
      </c>
      <c r="V1690">
        <v>0.12099799999999999</v>
      </c>
      <c r="W1690">
        <v>0.15160889999999999</v>
      </c>
      <c r="X1690">
        <v>0.98100670000000001</v>
      </c>
      <c r="Y1690">
        <v>7.1976330000000005E-2</v>
      </c>
      <c r="Z1690">
        <v>6.3556810000000002E-3</v>
      </c>
      <c r="AA1690">
        <v>0.99738610000000005</v>
      </c>
      <c r="AB1690">
        <v>23</v>
      </c>
      <c r="AC1690">
        <v>-22.7181</v>
      </c>
      <c r="AD1690">
        <v>-1.1207679984279999</v>
      </c>
      <c r="AE1690">
        <v>-1.07019999999999</v>
      </c>
      <c r="AF1690">
        <v>1.6523889439337101</v>
      </c>
      <c r="AG1690">
        <v>-1.1207679984279999</v>
      </c>
      <c r="AH1690">
        <v>22.627944808609801</v>
      </c>
      <c r="AI1690">
        <v>92.828039597345494</v>
      </c>
      <c r="AJ1690">
        <v>85.823431434448295</v>
      </c>
      <c r="AK1690">
        <v>22.715862219819499</v>
      </c>
      <c r="AL1690">
        <v>81.279823460482802</v>
      </c>
      <c r="AM1690">
        <v>82.968614000245097</v>
      </c>
      <c r="AN1690">
        <v>0.999999960004049</v>
      </c>
    </row>
    <row r="1691" spans="1:40" x14ac:dyDescent="0.25">
      <c r="A1691" t="str">
        <f>"20190303162246052"</f>
        <v>20190303162246052</v>
      </c>
      <c r="B1691" t="str">
        <f>"1551601366046967"</f>
        <v>1551601366046967</v>
      </c>
      <c r="C1691" t="s">
        <v>40</v>
      </c>
      <c r="D1691">
        <v>5.7906190000000004</v>
      </c>
      <c r="E1691">
        <v>0.48045599999999999</v>
      </c>
      <c r="F1691" t="s">
        <v>47</v>
      </c>
      <c r="G1691">
        <v>-234.90379999999999</v>
      </c>
      <c r="H1691" s="1">
        <v>1.076019E-6</v>
      </c>
      <c r="I1691">
        <v>284.54250000000002</v>
      </c>
      <c r="J1691">
        <v>-212.28739999999999</v>
      </c>
      <c r="K1691">
        <v>1.120592</v>
      </c>
      <c r="L1691">
        <v>285.65499999999997</v>
      </c>
      <c r="M1691">
        <v>-0.99281660000000005</v>
      </c>
      <c r="N1691">
        <v>-1.4635189999999999E-2</v>
      </c>
      <c r="O1691">
        <v>-0.1187489</v>
      </c>
      <c r="P1691">
        <v>-0.9907165</v>
      </c>
      <c r="Q1691">
        <v>0.13571359999999999</v>
      </c>
      <c r="R1691">
        <v>7.958484E-3</v>
      </c>
      <c r="S1691">
        <v>-3.0498050000000001</v>
      </c>
      <c r="T1691">
        <v>-0.14957509999999999</v>
      </c>
      <c r="U1691">
        <v>-0.15213009999999999</v>
      </c>
      <c r="V1691">
        <v>0.1257799</v>
      </c>
      <c r="W1691">
        <v>0.1498987</v>
      </c>
      <c r="X1691">
        <v>0.98066799999999998</v>
      </c>
      <c r="Y1691">
        <v>6.8970100000000006E-2</v>
      </c>
      <c r="Z1691">
        <v>6.2562929999999996E-3</v>
      </c>
      <c r="AA1691">
        <v>0.99759909999999996</v>
      </c>
      <c r="AB1691">
        <v>23</v>
      </c>
      <c r="AC1691">
        <v>-22.616399999999999</v>
      </c>
      <c r="AD1691">
        <v>-1.1205909239809999</v>
      </c>
      <c r="AE1691">
        <v>-1.1124999999999501</v>
      </c>
      <c r="AF1691">
        <v>1.57746998206335</v>
      </c>
      <c r="AG1691">
        <v>-1.1205909239809999</v>
      </c>
      <c r="AH1691">
        <v>22.533276317182398</v>
      </c>
      <c r="AI1691">
        <v>92.840062406519905</v>
      </c>
      <c r="AJ1691">
        <v>85.995471195596906</v>
      </c>
      <c r="AK1691">
        <v>22.616203862490099</v>
      </c>
      <c r="AL1691">
        <v>81.378943571603301</v>
      </c>
      <c r="AM1691">
        <v>82.691180610325503</v>
      </c>
      <c r="AN1691">
        <v>0.99999996486484899</v>
      </c>
    </row>
    <row r="1692" spans="1:40" x14ac:dyDescent="0.25">
      <c r="A1692" t="str">
        <f>"20190303162246074"</f>
        <v>20190303162246074</v>
      </c>
      <c r="B1692" t="str">
        <f>"1551601366066487"</f>
        <v>1551601366066487</v>
      </c>
      <c r="C1692" t="s">
        <v>40</v>
      </c>
      <c r="D1692">
        <v>5.8402570000000003</v>
      </c>
      <c r="E1692">
        <v>0.48010360000000002</v>
      </c>
      <c r="F1692" t="s">
        <v>47</v>
      </c>
      <c r="G1692">
        <v>-234.45500000000001</v>
      </c>
      <c r="H1692" s="1">
        <v>8.3475540000000003E-7</v>
      </c>
      <c r="I1692">
        <v>284.59800000000001</v>
      </c>
      <c r="J1692">
        <v>-212.49629999999999</v>
      </c>
      <c r="K1692">
        <v>1.120412</v>
      </c>
      <c r="L1692">
        <v>285.6311</v>
      </c>
      <c r="M1692">
        <v>-0.99294260000000001</v>
      </c>
      <c r="N1692">
        <v>-1.462889E-2</v>
      </c>
      <c r="O1692">
        <v>-0.11769110000000001</v>
      </c>
      <c r="P1692">
        <v>-0.99089749999999999</v>
      </c>
      <c r="Q1692">
        <v>0.1336348</v>
      </c>
      <c r="R1692">
        <v>1.6254439999999998E-2</v>
      </c>
      <c r="S1692">
        <v>-3.0503999999999998</v>
      </c>
      <c r="T1692">
        <v>-0.15420010000000001</v>
      </c>
      <c r="U1692">
        <v>-0.14544679999999999</v>
      </c>
      <c r="V1692">
        <v>0.1330471</v>
      </c>
      <c r="W1692">
        <v>0.14774189999999901</v>
      </c>
      <c r="X1692">
        <v>0.98003609999999997</v>
      </c>
      <c r="Y1692">
        <v>7.0084049999999995E-2</v>
      </c>
      <c r="Z1692">
        <v>6.4860849999999999E-3</v>
      </c>
      <c r="AA1692">
        <v>0.99751999999999996</v>
      </c>
      <c r="AB1692">
        <v>23</v>
      </c>
      <c r="AC1692">
        <v>-21.9587</v>
      </c>
      <c r="AD1692">
        <v>-1.1204111652446</v>
      </c>
      <c r="AE1692">
        <v>-1.0330999999999899</v>
      </c>
      <c r="AF1692">
        <v>1.55466271360777</v>
      </c>
      <c r="AG1692">
        <v>-1.1204111652446</v>
      </c>
      <c r="AH1692">
        <v>21.8708466156973</v>
      </c>
      <c r="AI1692">
        <v>92.925246212826295</v>
      </c>
      <c r="AJ1692">
        <v>85.934037825792103</v>
      </c>
      <c r="AK1692">
        <v>21.9546402616769</v>
      </c>
      <c r="AL1692">
        <v>81.5039108590653</v>
      </c>
      <c r="AM1692">
        <v>82.268940460207403</v>
      </c>
      <c r="AN1692">
        <v>0.999999978568614</v>
      </c>
    </row>
    <row r="1693" spans="1:40" x14ac:dyDescent="0.25">
      <c r="A1693" t="str">
        <f>"20190303162246096"</f>
        <v>20190303162246096</v>
      </c>
      <c r="B1693" t="str">
        <f>"1551601366086007"</f>
        <v>1551601366086007</v>
      </c>
      <c r="C1693" t="s">
        <v>40</v>
      </c>
      <c r="D1693">
        <v>5.7750360000000001</v>
      </c>
      <c r="E1693">
        <v>0.47976229999999997</v>
      </c>
      <c r="F1693" t="s">
        <v>47</v>
      </c>
      <c r="G1693">
        <v>-233.5547</v>
      </c>
      <c r="H1693" s="1">
        <v>3.484362E-7</v>
      </c>
      <c r="I1693">
        <v>284.76299999999998</v>
      </c>
      <c r="J1693">
        <v>-212.72120000000001</v>
      </c>
      <c r="K1693">
        <v>1.1202160000000001</v>
      </c>
      <c r="L1693">
        <v>285.60599999999999</v>
      </c>
      <c r="M1693">
        <v>-0.99310699999999996</v>
      </c>
      <c r="N1693">
        <v>-1.4624069999999999E-2</v>
      </c>
      <c r="O1693">
        <v>-0.1162966</v>
      </c>
      <c r="P1693">
        <v>-0.9909654</v>
      </c>
      <c r="Q1693">
        <v>0.13192579999999901</v>
      </c>
      <c r="R1693">
        <v>2.4150129999999999E-2</v>
      </c>
      <c r="S1693">
        <v>-3.0515140000000001</v>
      </c>
      <c r="T1693">
        <v>-0.16235550000000001</v>
      </c>
      <c r="U1693">
        <v>-0.1257935</v>
      </c>
      <c r="V1693">
        <v>0.13958139999999999</v>
      </c>
      <c r="W1693">
        <v>0.14594299999999999</v>
      </c>
      <c r="X1693">
        <v>0.97939659999999995</v>
      </c>
      <c r="Y1693">
        <v>7.5080889999999997E-2</v>
      </c>
      <c r="Z1693">
        <v>7.0080219999999896E-3</v>
      </c>
      <c r="AA1693">
        <v>0.99715279999999995</v>
      </c>
      <c r="AB1693">
        <v>22</v>
      </c>
      <c r="AC1693">
        <v>-20.833499999999901</v>
      </c>
      <c r="AD1693">
        <v>-1.1202156515638</v>
      </c>
      <c r="AE1693">
        <v>-0.84300000000001696</v>
      </c>
      <c r="AF1693">
        <v>1.5812810488959199</v>
      </c>
      <c r="AG1693">
        <v>-1.1202156515638</v>
      </c>
      <c r="AH1693">
        <v>20.730315486987202</v>
      </c>
      <c r="AI1693">
        <v>93.084173581037604</v>
      </c>
      <c r="AJ1693">
        <v>85.638000633189804</v>
      </c>
      <c r="AK1693">
        <v>20.820694346049699</v>
      </c>
      <c r="AL1693">
        <v>81.608110075073995</v>
      </c>
      <c r="AM1693">
        <v>81.888955401355204</v>
      </c>
      <c r="AN1693">
        <v>1.0000000132832501</v>
      </c>
    </row>
    <row r="1694" spans="1:40" x14ac:dyDescent="0.25">
      <c r="A1694" t="str">
        <f>"20190303162246119"</f>
        <v>20190303162246119</v>
      </c>
      <c r="B1694" t="str">
        <f>"1551601366106503"</f>
        <v>1551601366106503</v>
      </c>
      <c r="C1694" t="s">
        <v>40</v>
      </c>
      <c r="D1694">
        <v>5.7724890000000002</v>
      </c>
      <c r="E1694">
        <v>0.47908149999999999</v>
      </c>
      <c r="F1694" t="s">
        <v>47</v>
      </c>
      <c r="G1694">
        <v>-232.99969999999999</v>
      </c>
      <c r="H1694" s="1">
        <v>4.6914240000000003E-8</v>
      </c>
      <c r="I1694">
        <v>284.90390000000002</v>
      </c>
      <c r="J1694">
        <v>-212.94909999999999</v>
      </c>
      <c r="K1694">
        <v>1.120018</v>
      </c>
      <c r="L1694">
        <v>285.58109999999999</v>
      </c>
      <c r="M1694">
        <v>-0.9933012</v>
      </c>
      <c r="N1694">
        <v>-1.462111E-2</v>
      </c>
      <c r="O1694">
        <v>-0.1146252</v>
      </c>
      <c r="P1694">
        <v>-0.99103909999999995</v>
      </c>
      <c r="Q1694">
        <v>0.12995709999999999</v>
      </c>
      <c r="R1694">
        <v>3.086626E-2</v>
      </c>
      <c r="S1694">
        <v>-3.052368</v>
      </c>
      <c r="T1694">
        <v>-0.16861809999999999</v>
      </c>
      <c r="U1694">
        <v>-0.105682399999999</v>
      </c>
      <c r="V1694">
        <v>0.14467289999999999</v>
      </c>
      <c r="W1694">
        <v>0.1438854</v>
      </c>
      <c r="X1694">
        <v>0.97896209999999995</v>
      </c>
      <c r="Y1694">
        <v>7.9947110000000002E-2</v>
      </c>
      <c r="Z1694">
        <v>7.4246759999999998E-3</v>
      </c>
      <c r="AA1694">
        <v>0.99677150000000003</v>
      </c>
      <c r="AB1694">
        <v>22</v>
      </c>
      <c r="AC1694">
        <v>-20.050599999999999</v>
      </c>
      <c r="AD1694">
        <v>-1.1200179530857599</v>
      </c>
      <c r="AE1694">
        <v>-0.67719999999997005</v>
      </c>
      <c r="AF1694">
        <v>1.6207627722692399</v>
      </c>
      <c r="AG1694">
        <v>-1.1200179530857599</v>
      </c>
      <c r="AH1694">
        <v>19.933918042648799</v>
      </c>
      <c r="AI1694">
        <v>93.205315339821595</v>
      </c>
      <c r="AJ1694">
        <v>85.351689432027797</v>
      </c>
      <c r="AK1694">
        <v>20.0310359370215</v>
      </c>
      <c r="AL1694">
        <v>81.727259703445</v>
      </c>
      <c r="AM1694">
        <v>81.593564674515207</v>
      </c>
      <c r="AN1694">
        <v>1.00000002478198</v>
      </c>
    </row>
    <row r="1695" spans="1:40" x14ac:dyDescent="0.25">
      <c r="A1695" t="str">
        <f>"20190303162246142"</f>
        <v>20190303162246142</v>
      </c>
      <c r="B1695" t="str">
        <f>"1551601366135784"</f>
        <v>1551601366135784</v>
      </c>
      <c r="C1695" t="s">
        <v>40</v>
      </c>
      <c r="D1695">
        <v>5.9015360000000001</v>
      </c>
      <c r="E1695">
        <v>0.47836719999999999</v>
      </c>
      <c r="F1695" t="s">
        <v>47</v>
      </c>
      <c r="G1695">
        <v>-232.39850000000001</v>
      </c>
      <c r="H1695" s="1">
        <v>-2.77286799999999E-7</v>
      </c>
      <c r="I1695">
        <v>285.00200000000001</v>
      </c>
      <c r="J1695">
        <v>-213.18020000000001</v>
      </c>
      <c r="K1695">
        <v>1.119831</v>
      </c>
      <c r="L1695">
        <v>285.55669999999998</v>
      </c>
      <c r="M1695">
        <v>-0.99352410000000002</v>
      </c>
      <c r="N1695">
        <v>-1.461924E-2</v>
      </c>
      <c r="O1695">
        <v>-0.112678</v>
      </c>
      <c r="P1695">
        <v>-0.99097230000000003</v>
      </c>
      <c r="Q1695">
        <v>0.1294864</v>
      </c>
      <c r="R1695">
        <v>3.474973E-2</v>
      </c>
      <c r="S1695">
        <v>-3.0530089999999999</v>
      </c>
      <c r="T1695">
        <v>-0.17581189999999999</v>
      </c>
      <c r="U1695">
        <v>-9.0911870000000006E-2</v>
      </c>
      <c r="V1695">
        <v>0.14666129999999999</v>
      </c>
      <c r="W1695">
        <v>0.14334089999999999</v>
      </c>
      <c r="X1695">
        <v>0.97874609999999995</v>
      </c>
      <c r="Y1695">
        <v>8.2790290000000002E-2</v>
      </c>
      <c r="Z1695">
        <v>7.8068059999999899E-3</v>
      </c>
      <c r="AA1695">
        <v>0.99653639999999999</v>
      </c>
      <c r="AB1695">
        <v>22</v>
      </c>
      <c r="AC1695">
        <v>-19.218299999999999</v>
      </c>
      <c r="AD1695">
        <v>-1.1198312772868</v>
      </c>
      <c r="AE1695">
        <v>-0.554699999999968</v>
      </c>
      <c r="AF1695">
        <v>1.6090854323050301</v>
      </c>
      <c r="AG1695">
        <v>-1.1198312772868</v>
      </c>
      <c r="AH1695">
        <v>19.093618096455899</v>
      </c>
      <c r="AI1695">
        <v>93.344695192321197</v>
      </c>
      <c r="AJ1695">
        <v>85.182868170350702</v>
      </c>
      <c r="AK1695">
        <v>19.1939946345558</v>
      </c>
      <c r="AL1695">
        <v>81.7587841606137</v>
      </c>
      <c r="AM1695">
        <v>81.477857567007405</v>
      </c>
      <c r="AN1695">
        <v>1.0000000393978501</v>
      </c>
    </row>
    <row r="1696" spans="1:40" x14ac:dyDescent="0.25">
      <c r="A1696" t="str">
        <f>"20190303162246166"</f>
        <v>20190303162246166</v>
      </c>
      <c r="B1696" t="str">
        <f>"1551601366156279"</f>
        <v>1551601366156279</v>
      </c>
      <c r="C1696" t="s">
        <v>40</v>
      </c>
      <c r="D1696">
        <v>5.642379</v>
      </c>
      <c r="E1696">
        <v>0.48177120000000001</v>
      </c>
      <c r="F1696" t="s">
        <v>47</v>
      </c>
      <c r="G1696">
        <v>-232.1361</v>
      </c>
      <c r="H1696" s="1">
        <v>-4.1830339999999998E-7</v>
      </c>
      <c r="I1696">
        <v>285.0333</v>
      </c>
      <c r="J1696">
        <v>-213.40870000000001</v>
      </c>
      <c r="K1696">
        <v>1.1196950000000001</v>
      </c>
      <c r="L1696">
        <v>285.5333</v>
      </c>
      <c r="M1696">
        <v>-0.99376929999999997</v>
      </c>
      <c r="N1696">
        <v>-1.4617669999999999E-2</v>
      </c>
      <c r="O1696">
        <v>-0.1104951</v>
      </c>
      <c r="P1696">
        <v>-0.99096890000000004</v>
      </c>
      <c r="Q1696">
        <v>0.12776589999999999</v>
      </c>
      <c r="R1696">
        <v>4.0700960000000001E-2</v>
      </c>
      <c r="S1696">
        <v>-3.0538639999999999</v>
      </c>
      <c r="T1696">
        <v>-0.18040880000000001</v>
      </c>
      <c r="U1696">
        <v>-8.4320069999999997E-2</v>
      </c>
      <c r="V1696">
        <v>0.1504624</v>
      </c>
      <c r="W1696">
        <v>0.14155209999999999</v>
      </c>
      <c r="X1696">
        <v>0.9784294</v>
      </c>
      <c r="Y1696">
        <v>8.2745429999999995E-2</v>
      </c>
      <c r="Z1696">
        <v>7.9382410000000004E-3</v>
      </c>
      <c r="AA1696">
        <v>0.99653910000000001</v>
      </c>
      <c r="AB1696">
        <v>22</v>
      </c>
      <c r="AC1696">
        <v>-18.7273999999999</v>
      </c>
      <c r="AD1696">
        <v>-1.11969541830339</v>
      </c>
      <c r="AE1696">
        <v>-0.5</v>
      </c>
      <c r="AF1696">
        <v>1.5669715660502599</v>
      </c>
      <c r="AG1696">
        <v>-1.11969541830339</v>
      </c>
      <c r="AH1696">
        <v>18.601506581012199</v>
      </c>
      <c r="AI1696">
        <v>93.432566145009901</v>
      </c>
      <c r="AJ1696">
        <v>85.184831459987393</v>
      </c>
      <c r="AK1696">
        <v>18.700940211711799</v>
      </c>
      <c r="AL1696">
        <v>81.862330543789895</v>
      </c>
      <c r="AM1696">
        <v>81.257567538645802</v>
      </c>
      <c r="AN1696">
        <v>1.0000000108062601</v>
      </c>
    </row>
    <row r="1697" spans="1:40" x14ac:dyDescent="0.25">
      <c r="A1697" t="str">
        <f>"20190303162246187"</f>
        <v>20190303162246187</v>
      </c>
      <c r="B1697" t="str">
        <f>"1551601366175798"</f>
        <v>1551601366175798</v>
      </c>
      <c r="C1697" t="s">
        <v>40</v>
      </c>
      <c r="D1697">
        <v>5.6234320000000002</v>
      </c>
      <c r="E1697">
        <v>0.4937762</v>
      </c>
      <c r="F1697" t="s">
        <v>42</v>
      </c>
      <c r="G1697">
        <v>-214.29499999999999</v>
      </c>
      <c r="H1697">
        <v>1.0034909999999999</v>
      </c>
      <c r="I1697">
        <v>285.52069999999998</v>
      </c>
      <c r="J1697">
        <v>-213.6268</v>
      </c>
      <c r="K1697">
        <v>1.1196120000000001</v>
      </c>
      <c r="L1697">
        <v>285.51170000000002</v>
      </c>
      <c r="M1697">
        <v>-0.99401799999999996</v>
      </c>
      <c r="N1697">
        <v>-1.461583E-2</v>
      </c>
      <c r="O1697">
        <v>-0.10823430000000001</v>
      </c>
      <c r="P1697">
        <v>-0.99082680000000001</v>
      </c>
      <c r="Q1697">
        <v>0.127114899999999</v>
      </c>
      <c r="R1697">
        <v>4.5872219999999998E-2</v>
      </c>
      <c r="S1697">
        <v>-3.0812379999999999</v>
      </c>
      <c r="T1697">
        <v>-0.40400530000000001</v>
      </c>
      <c r="U1697">
        <v>-4.4372559999999998E-2</v>
      </c>
      <c r="V1697">
        <v>0.15338650000000001</v>
      </c>
      <c r="W1697">
        <v>0.14084969999999999</v>
      </c>
      <c r="X1697">
        <v>0.97807659999999996</v>
      </c>
      <c r="Y1697">
        <v>9.2313510000000001E-2</v>
      </c>
      <c r="Z1697">
        <v>1.9231789999999999E-2</v>
      </c>
      <c r="AA1697">
        <v>0.99554430000000005</v>
      </c>
      <c r="AB1697">
        <v>22</v>
      </c>
      <c r="AC1697">
        <v>-0.66819999999998403</v>
      </c>
      <c r="AD1697">
        <v>-0.116121</v>
      </c>
      <c r="AE1697">
        <v>8.9999999999576998E-3</v>
      </c>
      <c r="AF1697">
        <v>7.8894800306115301E-2</v>
      </c>
      <c r="AG1697">
        <v>-0.116121</v>
      </c>
      <c r="AH1697">
        <v>0.64385847429430998</v>
      </c>
      <c r="AI1697">
        <v>100.149179421645</v>
      </c>
      <c r="AJ1697">
        <v>83.014121723370593</v>
      </c>
      <c r="AK1697">
        <v>0.65898574421374101</v>
      </c>
      <c r="AL1697">
        <v>81.902981863259399</v>
      </c>
      <c r="AM1697">
        <v>81.087204496578906</v>
      </c>
      <c r="AN1697">
        <v>0.99999994591994801</v>
      </c>
    </row>
    <row r="1698" spans="1:40" x14ac:dyDescent="0.25">
      <c r="A1698" t="str">
        <f>"20190303162246209"</f>
        <v>20190303162246209</v>
      </c>
      <c r="B1698" t="str">
        <f>"1551601366206055"</f>
        <v>1551601366206055</v>
      </c>
      <c r="C1698" t="s">
        <v>40</v>
      </c>
      <c r="D1698">
        <v>5.7296230000000001</v>
      </c>
      <c r="E1698">
        <v>0.49227510000000002</v>
      </c>
      <c r="F1698" t="s">
        <v>42</v>
      </c>
      <c r="G1698">
        <v>-214.4297</v>
      </c>
      <c r="H1698">
        <v>0.86228059999999995</v>
      </c>
      <c r="I1698">
        <v>285.52510000000001</v>
      </c>
      <c r="J1698">
        <v>-213.84450000000001</v>
      </c>
      <c r="K1698">
        <v>1.119575</v>
      </c>
      <c r="L1698">
        <v>285.49079999999998</v>
      </c>
      <c r="M1698">
        <v>-0.99427379999999999</v>
      </c>
      <c r="N1698">
        <v>-1.461349E-2</v>
      </c>
      <c r="O1698">
        <v>-0.1058582</v>
      </c>
      <c r="P1698">
        <v>-0.99046400000000001</v>
      </c>
      <c r="Q1698">
        <v>0.128497</v>
      </c>
      <c r="R1698">
        <v>4.9695370000000003E-2</v>
      </c>
      <c r="S1698">
        <v>-3.1550750000000001</v>
      </c>
      <c r="T1698">
        <v>-1.0112319999999999</v>
      </c>
      <c r="U1698">
        <v>5.264282E-2</v>
      </c>
      <c r="V1698">
        <v>0.15482989999999999</v>
      </c>
      <c r="W1698">
        <v>0.1421983</v>
      </c>
      <c r="X1698">
        <v>0.97765400000000002</v>
      </c>
      <c r="Y1698">
        <v>0.1117581</v>
      </c>
      <c r="Z1698">
        <v>4.9852319999999999E-2</v>
      </c>
      <c r="AA1698">
        <v>0.99248420000000004</v>
      </c>
      <c r="AB1698">
        <v>22</v>
      </c>
      <c r="AC1698">
        <v>-0.58519999999998595</v>
      </c>
      <c r="AD1698">
        <v>-0.25729439999999898</v>
      </c>
      <c r="AE1698">
        <v>3.4300000000030098E-2</v>
      </c>
      <c r="AF1698">
        <v>8.0545257505591203E-2</v>
      </c>
      <c r="AG1698">
        <v>-0.25729439999999898</v>
      </c>
      <c r="AH1698">
        <v>0.48487087420779701</v>
      </c>
      <c r="AI1698">
        <v>117.630788715725</v>
      </c>
      <c r="AJ1698">
        <v>80.568327235773396</v>
      </c>
      <c r="AK1698">
        <v>0.55478618533002</v>
      </c>
      <c r="AL1698">
        <v>81.824927567451894</v>
      </c>
      <c r="AM1698">
        <v>81.000873670717098</v>
      </c>
      <c r="AN1698">
        <v>0.99999999908644999</v>
      </c>
    </row>
    <row r="1699" spans="1:40" x14ac:dyDescent="0.25">
      <c r="A1699" t="str">
        <f>"20190303162246231"</f>
        <v>20190303162246231</v>
      </c>
      <c r="B1699" t="str">
        <f>"1551601366226550"</f>
        <v>1551601366226550</v>
      </c>
      <c r="C1699" t="s">
        <v>40</v>
      </c>
      <c r="D1699">
        <v>5.724259</v>
      </c>
      <c r="E1699">
        <v>0.49097849999999998</v>
      </c>
      <c r="F1699" t="s">
        <v>42</v>
      </c>
      <c r="G1699">
        <v>-214.62450000000001</v>
      </c>
      <c r="H1699">
        <v>0.85592829999999998</v>
      </c>
      <c r="I1699">
        <v>285.50380000000001</v>
      </c>
      <c r="J1699">
        <v>-214.05930000000001</v>
      </c>
      <c r="K1699">
        <v>1.11955</v>
      </c>
      <c r="L1699">
        <v>285.47070000000002</v>
      </c>
      <c r="M1699">
        <v>-0.9945292</v>
      </c>
      <c r="N1699">
        <v>-1.4610450000000001E-2</v>
      </c>
      <c r="O1699">
        <v>-0.10343239999999899</v>
      </c>
      <c r="P1699">
        <v>-0.99023130000000004</v>
      </c>
      <c r="Q1699">
        <v>0.12916610000000001</v>
      </c>
      <c r="R1699">
        <v>5.2520219999999999E-2</v>
      </c>
      <c r="S1699">
        <v>-3.165009</v>
      </c>
      <c r="T1699">
        <v>-1.0696490000000001</v>
      </c>
      <c r="U1699">
        <v>5.2368159999999997E-2</v>
      </c>
      <c r="V1699">
        <v>0.1552364</v>
      </c>
      <c r="W1699">
        <v>0.14285149999999999</v>
      </c>
      <c r="X1699">
        <v>0.97749430000000004</v>
      </c>
      <c r="Y1699">
        <v>0.10834290000000001</v>
      </c>
      <c r="Z1699">
        <v>5.1121119999999999E-2</v>
      </c>
      <c r="AA1699">
        <v>0.99279830000000002</v>
      </c>
      <c r="AB1699">
        <v>22</v>
      </c>
      <c r="AC1699">
        <v>-0.56520000000000403</v>
      </c>
      <c r="AD1699">
        <v>-0.26362170000000001</v>
      </c>
      <c r="AE1699">
        <v>3.3099999999990297E-2</v>
      </c>
      <c r="AF1699">
        <v>7.51053739078716E-2</v>
      </c>
      <c r="AG1699">
        <v>-0.26362170000000001</v>
      </c>
      <c r="AH1699">
        <v>0.45918903017386498</v>
      </c>
      <c r="AI1699">
        <v>119.534774308751</v>
      </c>
      <c r="AJ1699">
        <v>80.710902094135903</v>
      </c>
      <c r="AK1699">
        <v>0.53478199608134303</v>
      </c>
      <c r="AL1699">
        <v>81.787115950035599</v>
      </c>
      <c r="AM1699">
        <v>80.976185166759507</v>
      </c>
      <c r="AN1699">
        <v>0.99999999873485002</v>
      </c>
    </row>
    <row r="1700" spans="1:40" x14ac:dyDescent="0.25">
      <c r="A1700" t="str">
        <f>"20190303162246254"</f>
        <v>20190303162246254</v>
      </c>
      <c r="B1700" t="str">
        <f>"1551601366246071"</f>
        <v>1551601366246071</v>
      </c>
      <c r="C1700" t="s">
        <v>40</v>
      </c>
      <c r="D1700">
        <v>5.7402800000000003</v>
      </c>
      <c r="E1700">
        <v>0.49063440000000003</v>
      </c>
      <c r="F1700" t="s">
        <v>42</v>
      </c>
      <c r="G1700">
        <v>-214.82310000000001</v>
      </c>
      <c r="H1700">
        <v>0.85995279999999996</v>
      </c>
      <c r="I1700">
        <v>285.48320000000001</v>
      </c>
      <c r="J1700">
        <v>-214.28749999999999</v>
      </c>
      <c r="K1700">
        <v>1.119518</v>
      </c>
      <c r="L1700">
        <v>285.45</v>
      </c>
      <c r="M1700">
        <v>-0.99480040000000003</v>
      </c>
      <c r="N1700">
        <v>-1.460671E-2</v>
      </c>
      <c r="O1700">
        <v>-0.1007909</v>
      </c>
      <c r="P1700">
        <v>-0.99031840000000004</v>
      </c>
      <c r="Q1700">
        <v>0.1279689</v>
      </c>
      <c r="R1700">
        <v>5.3794139999999997E-2</v>
      </c>
      <c r="S1700">
        <v>-3.1672669999999998</v>
      </c>
      <c r="T1700">
        <v>-1.076506</v>
      </c>
      <c r="U1700">
        <v>5.1849369999999999E-2</v>
      </c>
      <c r="V1700">
        <v>0.1539104</v>
      </c>
      <c r="W1700">
        <v>0.1416569</v>
      </c>
      <c r="X1700">
        <v>0.97787780000000002</v>
      </c>
      <c r="Y1700">
        <v>0.10569249999999999</v>
      </c>
      <c r="Z1700">
        <v>5.0110729999999999E-2</v>
      </c>
      <c r="AA1700">
        <v>0.99313549999999995</v>
      </c>
      <c r="AB1700">
        <v>22</v>
      </c>
      <c r="AC1700">
        <v>-0.53560000000001595</v>
      </c>
      <c r="AD1700">
        <v>-0.259565199999999</v>
      </c>
      <c r="AE1700">
        <v>3.3200000000022101E-2</v>
      </c>
      <c r="AF1700">
        <v>7.0520993731985199E-2</v>
      </c>
      <c r="AG1700">
        <v>-0.259565199999999</v>
      </c>
      <c r="AH1700">
        <v>0.42912594228937001</v>
      </c>
      <c r="AI1700">
        <v>120.831440595318</v>
      </c>
      <c r="AJ1700">
        <v>80.667635063583305</v>
      </c>
      <c r="AK1700">
        <v>0.50645471461299096</v>
      </c>
      <c r="AL1700">
        <v>81.856265064300501</v>
      </c>
      <c r="AM1700">
        <v>81.055464892632301</v>
      </c>
      <c r="AN1700">
        <v>1.0000000401393001</v>
      </c>
    </row>
    <row r="1701" spans="1:40" x14ac:dyDescent="0.25">
      <c r="A1701" t="str">
        <f>"20190303162246276"</f>
        <v>20190303162246276</v>
      </c>
      <c r="B1701" t="str">
        <f>"1551601366266567"</f>
        <v>1551601366266567</v>
      </c>
      <c r="C1701" t="s">
        <v>40</v>
      </c>
      <c r="D1701">
        <v>5.7529309999999896</v>
      </c>
      <c r="E1701">
        <v>0.49005799999999999</v>
      </c>
      <c r="F1701" t="s">
        <v>42</v>
      </c>
      <c r="G1701">
        <v>-215.02330000000001</v>
      </c>
      <c r="H1701">
        <v>0.86854699999999996</v>
      </c>
      <c r="I1701">
        <v>285.4631</v>
      </c>
      <c r="J1701">
        <v>-214.50190000000001</v>
      </c>
      <c r="K1701">
        <v>1.1194869999999999</v>
      </c>
      <c r="L1701">
        <v>285.43119999999999</v>
      </c>
      <c r="M1701">
        <v>-0.99505370000000004</v>
      </c>
      <c r="N1701">
        <v>-1.4603049999999999E-2</v>
      </c>
      <c r="O1701">
        <v>-9.8260059999999996E-2</v>
      </c>
      <c r="P1701">
        <v>-0.99063869999999998</v>
      </c>
      <c r="Q1701">
        <v>0.1254197</v>
      </c>
      <c r="R1701">
        <v>5.3898920000000003E-2</v>
      </c>
      <c r="S1701">
        <v>-3.1658170000000001</v>
      </c>
      <c r="T1701">
        <v>-1.079577</v>
      </c>
      <c r="U1701">
        <v>5.5114749999999997E-2</v>
      </c>
      <c r="V1701">
        <v>0.15154699999999999</v>
      </c>
      <c r="W1701">
        <v>0.1391192</v>
      </c>
      <c r="X1701">
        <v>0.97861089999999995</v>
      </c>
      <c r="Y1701">
        <v>0.10433389999999999</v>
      </c>
      <c r="Z1701">
        <v>4.9234670000000001E-2</v>
      </c>
      <c r="AA1701">
        <v>0.99332290000000001</v>
      </c>
      <c r="AB1701">
        <v>22</v>
      </c>
      <c r="AC1701">
        <v>-0.52139999999999898</v>
      </c>
      <c r="AD1701">
        <v>-0.25094</v>
      </c>
      <c r="AE1701">
        <v>3.1900000000007298E-2</v>
      </c>
      <c r="AF1701">
        <v>6.7424459189681193E-2</v>
      </c>
      <c r="AG1701">
        <v>-0.25094</v>
      </c>
      <c r="AH1701">
        <v>0.41904043519400402</v>
      </c>
      <c r="AI1701">
        <v>120.593270037404</v>
      </c>
      <c r="AJ1701">
        <v>80.859337382434703</v>
      </c>
      <c r="AK1701">
        <v>0.49306371558308898</v>
      </c>
      <c r="AL1701">
        <v>82.003118389019804</v>
      </c>
      <c r="AM1701">
        <v>81.197139503577901</v>
      </c>
      <c r="AN1701">
        <v>0.99999996930822399</v>
      </c>
    </row>
    <row r="1702" spans="1:40" x14ac:dyDescent="0.25">
      <c r="A1702" t="str">
        <f>"20190303162246297"</f>
        <v>20190303162246297</v>
      </c>
      <c r="B1702" t="str">
        <f>"1551601366286087"</f>
        <v>1551601366286087</v>
      </c>
      <c r="C1702" t="s">
        <v>40</v>
      </c>
      <c r="D1702">
        <v>5.7642049999999996</v>
      </c>
      <c r="E1702">
        <v>0.48984129999999998</v>
      </c>
      <c r="F1702" t="s">
        <v>42</v>
      </c>
      <c r="G1702">
        <v>-215.22130000000001</v>
      </c>
      <c r="H1702">
        <v>0.8721776</v>
      </c>
      <c r="I1702">
        <v>285.44319999999999</v>
      </c>
      <c r="J1702">
        <v>-214.71109999999999</v>
      </c>
      <c r="K1702">
        <v>1.1194440000000001</v>
      </c>
      <c r="L1702">
        <v>285.41340000000002</v>
      </c>
      <c r="M1702">
        <v>-0.99529809999999996</v>
      </c>
      <c r="N1702">
        <v>-1.4599590000000001E-2</v>
      </c>
      <c r="O1702">
        <v>-9.575285E-2</v>
      </c>
      <c r="P1702">
        <v>-0.99124749999999995</v>
      </c>
      <c r="Q1702">
        <v>0.1214982</v>
      </c>
      <c r="R1702">
        <v>5.1641550000000001E-2</v>
      </c>
      <c r="S1702">
        <v>-3.1631469999999999</v>
      </c>
      <c r="T1702">
        <v>-1.0873759999999999</v>
      </c>
      <c r="U1702">
        <v>5.2337649999999999E-2</v>
      </c>
      <c r="V1702">
        <v>0.1468776</v>
      </c>
      <c r="W1702">
        <v>0.1352254</v>
      </c>
      <c r="X1702">
        <v>0.97986790000000001</v>
      </c>
      <c r="Y1702">
        <v>0.10111829999999999</v>
      </c>
      <c r="Z1702">
        <v>4.825575E-2</v>
      </c>
      <c r="AA1702">
        <v>0.99370340000000001</v>
      </c>
      <c r="AB1702">
        <v>22</v>
      </c>
      <c r="AC1702">
        <v>-0.51020000000002597</v>
      </c>
      <c r="AD1702">
        <v>-0.2472664</v>
      </c>
      <c r="AE1702">
        <v>2.9799999999966E-2</v>
      </c>
      <c r="AF1702">
        <v>6.3627278137240395E-2</v>
      </c>
      <c r="AG1702">
        <v>-0.2472664</v>
      </c>
      <c r="AH1702">
        <v>0.40921185114514202</v>
      </c>
      <c r="AI1702">
        <v>120.840407166177</v>
      </c>
      <c r="AJ1702">
        <v>81.161999427489903</v>
      </c>
      <c r="AK1702">
        <v>0.48233125775730901</v>
      </c>
      <c r="AL1702">
        <v>82.228346279080696</v>
      </c>
      <c r="AM1702">
        <v>81.475100933838107</v>
      </c>
      <c r="AN1702">
        <v>1.00000001981866</v>
      </c>
    </row>
    <row r="1703" spans="1:40" x14ac:dyDescent="0.25">
      <c r="A1703" t="str">
        <f>"20190303162246320"</f>
        <v>20190303162246320</v>
      </c>
      <c r="B1703" t="str">
        <f>"1551601366316342"</f>
        <v>1551601366316342</v>
      </c>
      <c r="C1703" t="s">
        <v>40</v>
      </c>
      <c r="D1703">
        <v>5.7916919999999896</v>
      </c>
      <c r="E1703">
        <v>0.48953439999999998</v>
      </c>
      <c r="F1703" t="s">
        <v>42</v>
      </c>
      <c r="G1703">
        <v>-215.41800000000001</v>
      </c>
      <c r="H1703">
        <v>0.87351179999999995</v>
      </c>
      <c r="I1703">
        <v>285.4239</v>
      </c>
      <c r="J1703">
        <v>-214.93430000000001</v>
      </c>
      <c r="K1703">
        <v>1.1193949999999999</v>
      </c>
      <c r="L1703">
        <v>285.39510000000001</v>
      </c>
      <c r="M1703">
        <v>-0.99555550000000004</v>
      </c>
      <c r="N1703">
        <v>-1.459599E-2</v>
      </c>
      <c r="O1703">
        <v>-9.3040200000000003E-2</v>
      </c>
      <c r="P1703">
        <v>-0.99172669999999996</v>
      </c>
      <c r="Q1703">
        <v>0.1183637</v>
      </c>
      <c r="R1703">
        <v>4.9684909999999999E-2</v>
      </c>
      <c r="S1703">
        <v>-3.1587679999999998</v>
      </c>
      <c r="T1703">
        <v>-1.0986100000000001</v>
      </c>
      <c r="U1703">
        <v>4.5989990000000001E-2</v>
      </c>
      <c r="V1703">
        <v>0.1422928</v>
      </c>
      <c r="W1703">
        <v>0.1321136</v>
      </c>
      <c r="X1703">
        <v>0.98096830000000002</v>
      </c>
      <c r="Y1703">
        <v>9.6600759999999994E-2</v>
      </c>
      <c r="Z1703">
        <v>4.7126550000000003E-2</v>
      </c>
      <c r="AA1703">
        <v>0.9942069</v>
      </c>
      <c r="AB1703">
        <v>22</v>
      </c>
      <c r="AC1703">
        <v>-0.48369999999999802</v>
      </c>
      <c r="AD1703">
        <v>-0.2458832</v>
      </c>
      <c r="AE1703">
        <v>2.8799999999989698E-2</v>
      </c>
      <c r="AF1703">
        <v>5.8595372748246603E-2</v>
      </c>
      <c r="AG1703">
        <v>-0.2458832</v>
      </c>
      <c r="AH1703">
        <v>0.380853704118081</v>
      </c>
      <c r="AI1703">
        <v>122.5420552068</v>
      </c>
      <c r="AJ1703">
        <v>81.253471039458205</v>
      </c>
      <c r="AK1703">
        <v>0.45710120289735501</v>
      </c>
      <c r="AL1703">
        <v>82.408253895137307</v>
      </c>
      <c r="AM1703">
        <v>81.746615470732493</v>
      </c>
      <c r="AN1703">
        <v>1.0000000249208401</v>
      </c>
    </row>
    <row r="1704" spans="1:40" x14ac:dyDescent="0.25">
      <c r="A1704" t="str">
        <f>"20190303162246344"</f>
        <v>20190303162246344</v>
      </c>
      <c r="B1704" t="str">
        <f>"1551601366335863"</f>
        <v>1551601366335863</v>
      </c>
      <c r="C1704" t="s">
        <v>40</v>
      </c>
      <c r="D1704">
        <v>5.752872</v>
      </c>
      <c r="E1704">
        <v>0.49005860000000001</v>
      </c>
      <c r="F1704" t="s">
        <v>42</v>
      </c>
      <c r="G1704">
        <v>-215.6163</v>
      </c>
      <c r="H1704">
        <v>0.88000509999999998</v>
      </c>
      <c r="I1704">
        <v>285.404</v>
      </c>
      <c r="J1704">
        <v>-215.16589999999999</v>
      </c>
      <c r="K1704">
        <v>1.1193599999999999</v>
      </c>
      <c r="L1704">
        <v>285.3768</v>
      </c>
      <c r="M1704">
        <v>-0.99581779999999998</v>
      </c>
      <c r="N1704">
        <v>-1.4591929999999999E-2</v>
      </c>
      <c r="O1704">
        <v>-9.0188699999999997E-2</v>
      </c>
      <c r="P1704">
        <v>-0.99203569999999996</v>
      </c>
      <c r="Q1704">
        <v>0.11632720000000001</v>
      </c>
      <c r="R1704">
        <v>4.8304479999999997E-2</v>
      </c>
      <c r="S1704">
        <v>-3.155106</v>
      </c>
      <c r="T1704">
        <v>-1.107413</v>
      </c>
      <c r="U1704">
        <v>4.1412350000000001E-2</v>
      </c>
      <c r="V1704">
        <v>0.138128799999999</v>
      </c>
      <c r="W1704">
        <v>0.13009599999999999</v>
      </c>
      <c r="X1704">
        <v>0.9818327</v>
      </c>
      <c r="Y1704">
        <v>9.2538380000000003E-2</v>
      </c>
      <c r="Z1704">
        <v>4.5890159999999999E-2</v>
      </c>
      <c r="AA1704">
        <v>0.99465110000000001</v>
      </c>
      <c r="AB1704">
        <v>22</v>
      </c>
      <c r="AC1704">
        <v>-0.45040000000000102</v>
      </c>
      <c r="AD1704">
        <v>-0.23935490000000001</v>
      </c>
      <c r="AE1704">
        <v>2.71999999999934E-2</v>
      </c>
      <c r="AF1704">
        <v>5.2844570893667502E-2</v>
      </c>
      <c r="AG1704">
        <v>-0.23935490000000001</v>
      </c>
      <c r="AH1704">
        <v>0.34814623219416402</v>
      </c>
      <c r="AI1704">
        <v>124.204995778141</v>
      </c>
      <c r="AJ1704">
        <v>81.369045972105297</v>
      </c>
      <c r="AK1704">
        <v>0.42578059586827</v>
      </c>
      <c r="AL1704">
        <v>82.524860122758795</v>
      </c>
      <c r="AM1704">
        <v>81.991919166544804</v>
      </c>
      <c r="AN1704">
        <v>0.99999999269736495</v>
      </c>
    </row>
    <row r="1705" spans="1:40" x14ac:dyDescent="0.25">
      <c r="A1705" t="str">
        <f>"20190303162246366"</f>
        <v>20190303162246366</v>
      </c>
      <c r="B1705" t="str">
        <f>"1551601366356360"</f>
        <v>1551601366356360</v>
      </c>
      <c r="C1705" t="s">
        <v>40</v>
      </c>
      <c r="D1705">
        <v>5.7419349999999998</v>
      </c>
      <c r="E1705">
        <v>0.49091030000000002</v>
      </c>
      <c r="F1705" t="s">
        <v>42</v>
      </c>
      <c r="G1705">
        <v>-215.98820000000001</v>
      </c>
      <c r="H1705">
        <v>0.82858149999999997</v>
      </c>
      <c r="I1705">
        <v>285.3886</v>
      </c>
      <c r="J1705">
        <v>-215.3794</v>
      </c>
      <c r="K1705">
        <v>1.1193470000000001</v>
      </c>
      <c r="L1705">
        <v>285.36070000000001</v>
      </c>
      <c r="M1705">
        <v>-0.99605520000000003</v>
      </c>
      <c r="N1705">
        <v>-1.4587879999999999E-2</v>
      </c>
      <c r="O1705">
        <v>-8.7528330000000001E-2</v>
      </c>
      <c r="P1705">
        <v>-0.99216800000000005</v>
      </c>
      <c r="Q1705">
        <v>0.1154719</v>
      </c>
      <c r="R1705">
        <v>4.7634940000000001E-2</v>
      </c>
      <c r="S1705">
        <v>-3.152603</v>
      </c>
      <c r="T1705">
        <v>-1.1148450000000001</v>
      </c>
      <c r="U1705">
        <v>4.5074459999999997E-2</v>
      </c>
      <c r="V1705">
        <v>0.1348442</v>
      </c>
      <c r="W1705">
        <v>0.12925629999999999</v>
      </c>
      <c r="X1705">
        <v>0.9824001</v>
      </c>
      <c r="Y1705">
        <v>9.1125200000000003E-2</v>
      </c>
      <c r="Z1705">
        <v>4.5094540000000002E-2</v>
      </c>
      <c r="AA1705">
        <v>0.99481790000000003</v>
      </c>
      <c r="AB1705">
        <v>22</v>
      </c>
      <c r="AC1705">
        <v>-0.60880000000000201</v>
      </c>
      <c r="AD1705">
        <v>-0.29076549999999901</v>
      </c>
      <c r="AE1705">
        <v>2.7899999999988202E-2</v>
      </c>
      <c r="AF1705">
        <v>6.6050814446095896E-2</v>
      </c>
      <c r="AG1705">
        <v>-0.29076549999999901</v>
      </c>
      <c r="AH1705">
        <v>0.49202261583814799</v>
      </c>
      <c r="AI1705">
        <v>120.357744912247</v>
      </c>
      <c r="AJ1705">
        <v>82.354127637170194</v>
      </c>
      <c r="AK1705">
        <v>0.57532038081008097</v>
      </c>
      <c r="AL1705">
        <v>82.573381532000099</v>
      </c>
      <c r="AM1705">
        <v>82.184421917899897</v>
      </c>
      <c r="AN1705">
        <v>1.0000000529216599</v>
      </c>
    </row>
    <row r="1706" spans="1:40" x14ac:dyDescent="0.25">
      <c r="A1706" t="str">
        <f>"20190303162246387"</f>
        <v>20190303162246387</v>
      </c>
      <c r="B1706" t="str">
        <f>"1551601366375879"</f>
        <v>1551601366375879</v>
      </c>
      <c r="C1706" t="s">
        <v>40</v>
      </c>
      <c r="D1706">
        <v>5.92218</v>
      </c>
      <c r="E1706">
        <v>0.49167060000000001</v>
      </c>
      <c r="F1706" t="s">
        <v>42</v>
      </c>
      <c r="G1706">
        <v>-216.18520000000001</v>
      </c>
      <c r="H1706">
        <v>0.83320759999999905</v>
      </c>
      <c r="I1706">
        <v>285.37439999999998</v>
      </c>
      <c r="J1706">
        <v>-215.58940000000001</v>
      </c>
      <c r="K1706">
        <v>1.119354</v>
      </c>
      <c r="L1706">
        <v>285.34530000000001</v>
      </c>
      <c r="M1706">
        <v>-0.99628369999999999</v>
      </c>
      <c r="N1706">
        <v>-1.4583570000000001E-2</v>
      </c>
      <c r="O1706">
        <v>-8.4890389999999996E-2</v>
      </c>
      <c r="P1706">
        <v>-0.99203280000000005</v>
      </c>
      <c r="Q1706">
        <v>0.1165711</v>
      </c>
      <c r="R1706">
        <v>4.7773959999999997E-2</v>
      </c>
      <c r="S1706">
        <v>-3.1513520000000002</v>
      </c>
      <c r="T1706">
        <v>-1.1190990000000001</v>
      </c>
      <c r="U1706">
        <v>5.3527829999999998E-2</v>
      </c>
      <c r="V1706">
        <v>0.1323675</v>
      </c>
      <c r="W1706">
        <v>0.1303655</v>
      </c>
      <c r="X1706">
        <v>0.98259030000000003</v>
      </c>
      <c r="Y1706">
        <v>9.1217999999999994E-2</v>
      </c>
      <c r="Z1706">
        <v>4.4424079999999998E-2</v>
      </c>
      <c r="AA1706">
        <v>0.99483949999999999</v>
      </c>
      <c r="AB1706">
        <v>22</v>
      </c>
      <c r="AC1706">
        <v>-0.595799999999997</v>
      </c>
      <c r="AD1706">
        <v>-0.28614640000000002</v>
      </c>
      <c r="AE1706">
        <v>2.9099999999971201E-2</v>
      </c>
      <c r="AF1706">
        <v>6.4691629726093103E-2</v>
      </c>
      <c r="AG1706">
        <v>-0.28614640000000002</v>
      </c>
      <c r="AH1706">
        <v>0.48058869514304697</v>
      </c>
      <c r="AI1706">
        <v>120.54426104594999</v>
      </c>
      <c r="AJ1706">
        <v>82.333547303317701</v>
      </c>
      <c r="AK1706">
        <v>0.56305440508788795</v>
      </c>
      <c r="AL1706">
        <v>82.509286395095998</v>
      </c>
      <c r="AM1706">
        <v>82.327713121740899</v>
      </c>
      <c r="AN1706">
        <v>1.00000000815029</v>
      </c>
    </row>
    <row r="1707" spans="1:40" x14ac:dyDescent="0.25">
      <c r="A1707" t="str">
        <f>"20190303162246411"</f>
        <v>20190303162246411</v>
      </c>
      <c r="B1707" t="str">
        <f>"1551601366406135"</f>
        <v>1551601366406135</v>
      </c>
      <c r="C1707" t="s">
        <v>40</v>
      </c>
      <c r="D1707">
        <v>5.7616630000000004</v>
      </c>
      <c r="E1707">
        <v>0.4926296</v>
      </c>
      <c r="F1707" t="s">
        <v>42</v>
      </c>
      <c r="G1707">
        <v>-216.38220000000001</v>
      </c>
      <c r="H1707">
        <v>0.83894210000000002</v>
      </c>
      <c r="I1707">
        <v>285.36090000000002</v>
      </c>
      <c r="J1707">
        <v>-215.8212</v>
      </c>
      <c r="K1707">
        <v>1.119372</v>
      </c>
      <c r="L1707">
        <v>285.32920000000001</v>
      </c>
      <c r="M1707">
        <v>-0.99652870000000005</v>
      </c>
      <c r="N1707">
        <v>-1.457837E-2</v>
      </c>
      <c r="O1707">
        <v>-8.1963040000000001E-2</v>
      </c>
      <c r="P1707">
        <v>-0.99176010000000003</v>
      </c>
      <c r="Q1707">
        <v>0.11855400000000001</v>
      </c>
      <c r="R1707">
        <v>4.8545699999999997E-2</v>
      </c>
      <c r="S1707">
        <v>-3.1521150000000002</v>
      </c>
      <c r="T1707">
        <v>-1.114887</v>
      </c>
      <c r="U1707">
        <v>6.2042239999999999E-2</v>
      </c>
      <c r="V1707">
        <v>0.13022439999999999</v>
      </c>
      <c r="W1707">
        <v>0.13235839999999999</v>
      </c>
      <c r="X1707">
        <v>0.98261019999999999</v>
      </c>
      <c r="Y1707">
        <v>9.1223040000000005E-2</v>
      </c>
      <c r="Z1707">
        <v>4.3294010000000001E-2</v>
      </c>
      <c r="AA1707">
        <v>0.99488900000000002</v>
      </c>
      <c r="AB1707">
        <v>22</v>
      </c>
      <c r="AC1707">
        <v>-0.56100000000000705</v>
      </c>
      <c r="AD1707">
        <v>-0.28042990000000001</v>
      </c>
      <c r="AE1707">
        <v>3.17000000000007E-2</v>
      </c>
      <c r="AF1707">
        <v>6.21093025943939E-2</v>
      </c>
      <c r="AG1707">
        <v>-0.28042990000000001</v>
      </c>
      <c r="AH1707">
        <v>0.44553883077994</v>
      </c>
      <c r="AI1707">
        <v>121.938974719417</v>
      </c>
      <c r="AJ1707">
        <v>82.063958938731005</v>
      </c>
      <c r="AK1707">
        <v>0.53009748538879897</v>
      </c>
      <c r="AL1707">
        <v>82.394103225681604</v>
      </c>
      <c r="AM1707">
        <v>82.450638296635802</v>
      </c>
      <c r="AN1707">
        <v>0.99999997277497898</v>
      </c>
    </row>
    <row r="1708" spans="1:40" x14ac:dyDescent="0.25">
      <c r="A1708" t="str">
        <f>"20190303162246434"</f>
        <v>20190303162246434</v>
      </c>
      <c r="B1708" t="str">
        <f>"1551601366425656"</f>
        <v>1551601366425656</v>
      </c>
      <c r="C1708" t="s">
        <v>40</v>
      </c>
      <c r="D1708">
        <v>5.7679470000000004</v>
      </c>
      <c r="E1708">
        <v>0.49315959999999998</v>
      </c>
      <c r="F1708" t="s">
        <v>42</v>
      </c>
      <c r="G1708">
        <v>-216.5821</v>
      </c>
      <c r="H1708">
        <v>0.85264470000000003</v>
      </c>
      <c r="I1708">
        <v>285.34679999999997</v>
      </c>
      <c r="J1708">
        <v>-216.04740000000001</v>
      </c>
      <c r="K1708">
        <v>1.119397</v>
      </c>
      <c r="L1708">
        <v>285.31389999999999</v>
      </c>
      <c r="M1708">
        <v>-0.99675979999999997</v>
      </c>
      <c r="N1708">
        <v>-1.4572999999999999E-2</v>
      </c>
      <c r="O1708">
        <v>-7.9104659999999993E-2</v>
      </c>
      <c r="P1708">
        <v>-0.99166829999999995</v>
      </c>
      <c r="Q1708">
        <v>0.1193142</v>
      </c>
      <c r="R1708">
        <v>4.8559900000000003E-2</v>
      </c>
      <c r="S1708">
        <v>-3.1535030000000002</v>
      </c>
      <c r="T1708">
        <v>-1.105316</v>
      </c>
      <c r="U1708">
        <v>7.2631840000000003E-2</v>
      </c>
      <c r="V1708">
        <v>0.1274034</v>
      </c>
      <c r="W1708">
        <v>0.13313539999999999</v>
      </c>
      <c r="X1708">
        <v>0.98287500000000005</v>
      </c>
      <c r="Y1708">
        <v>9.1991240000000002E-2</v>
      </c>
      <c r="Z1708">
        <v>4.2126660000000003E-2</v>
      </c>
      <c r="AA1708">
        <v>0.99486830000000004</v>
      </c>
      <c r="AB1708">
        <v>22</v>
      </c>
      <c r="AC1708">
        <v>-0.53469999999998596</v>
      </c>
      <c r="AD1708">
        <v>-0.266752299999999</v>
      </c>
      <c r="AE1708">
        <v>3.2899999999983699E-2</v>
      </c>
      <c r="AF1708">
        <v>6.0177852135339702E-2</v>
      </c>
      <c r="AG1708">
        <v>-0.266752299999999</v>
      </c>
      <c r="AH1708">
        <v>0.42503584615969398</v>
      </c>
      <c r="AI1708">
        <v>121.856909016906</v>
      </c>
      <c r="AJ1708">
        <v>81.941453065937907</v>
      </c>
      <c r="AK1708">
        <v>0.50540442614167902</v>
      </c>
      <c r="AL1708">
        <v>82.349186819024396</v>
      </c>
      <c r="AM1708">
        <v>82.614319306389703</v>
      </c>
      <c r="AN1708">
        <v>0.99999996334485897</v>
      </c>
    </row>
    <row r="1709" spans="1:40" x14ac:dyDescent="0.25">
      <c r="A1709" t="str">
        <f>"20190303162246453"</f>
        <v>20190303162246453</v>
      </c>
      <c r="B1709" t="str">
        <f>"1551601366446151"</f>
        <v>1551601366446151</v>
      </c>
      <c r="C1709" t="s">
        <v>40</v>
      </c>
      <c r="D1709">
        <v>5.7703550000000003</v>
      </c>
      <c r="E1709">
        <v>0.49361729999999998</v>
      </c>
      <c r="F1709" t="s">
        <v>42</v>
      </c>
      <c r="G1709">
        <v>-216.78039999999999</v>
      </c>
      <c r="H1709">
        <v>0.86337960000000002</v>
      </c>
      <c r="I1709">
        <v>285.33269999999999</v>
      </c>
      <c r="J1709">
        <v>-216.23869999999999</v>
      </c>
      <c r="K1709">
        <v>1.119434</v>
      </c>
      <c r="L1709">
        <v>285.30149999999998</v>
      </c>
      <c r="M1709">
        <v>-0.9969481</v>
      </c>
      <c r="N1709">
        <v>-1.456825E-2</v>
      </c>
      <c r="O1709">
        <v>-7.6697470000000004E-2</v>
      </c>
      <c r="P1709">
        <v>-0.99152340000000005</v>
      </c>
      <c r="Q1709">
        <v>0.121339</v>
      </c>
      <c r="R1709">
        <v>4.6455910000000003E-2</v>
      </c>
      <c r="S1709">
        <v>-3.1537929999999998</v>
      </c>
      <c r="T1709">
        <v>-1.101502</v>
      </c>
      <c r="U1709">
        <v>8.0474850000000001E-2</v>
      </c>
      <c r="V1709">
        <v>0.1229175</v>
      </c>
      <c r="W1709">
        <v>0.13518469999999999</v>
      </c>
      <c r="X1709">
        <v>0.98316650000000005</v>
      </c>
      <c r="Y1709">
        <v>9.2244350000000003E-2</v>
      </c>
      <c r="Z1709">
        <v>4.1247770000000003E-2</v>
      </c>
      <c r="AA1709">
        <v>0.99488169999999998</v>
      </c>
      <c r="AB1709">
        <v>22</v>
      </c>
      <c r="AC1709">
        <v>-0.54169999999999097</v>
      </c>
      <c r="AD1709">
        <v>-0.25605439999999902</v>
      </c>
      <c r="AE1709">
        <v>3.1200000000012499E-2</v>
      </c>
      <c r="AF1709">
        <v>5.9425745682467501E-2</v>
      </c>
      <c r="AG1709">
        <v>-0.25605439999999902</v>
      </c>
      <c r="AH1709">
        <v>0.43977546813524399</v>
      </c>
      <c r="AI1709">
        <v>119.98472952930599</v>
      </c>
      <c r="AJ1709">
        <v>82.304379670948407</v>
      </c>
      <c r="AK1709">
        <v>0.51234533020497997</v>
      </c>
      <c r="AL1709">
        <v>82.2306996017183</v>
      </c>
      <c r="AM1709">
        <v>82.873739221045795</v>
      </c>
      <c r="AN1709">
        <v>0.99999999082129498</v>
      </c>
    </row>
    <row r="1710" spans="1:40" x14ac:dyDescent="0.25">
      <c r="A1710" t="str">
        <f>"20190303162246476"</f>
        <v>20190303162246476</v>
      </c>
      <c r="B1710" t="str">
        <f>"1551601366465671"</f>
        <v>1551601366465671</v>
      </c>
      <c r="C1710" t="s">
        <v>40</v>
      </c>
      <c r="D1710">
        <v>5.7258519999999997</v>
      </c>
      <c r="E1710">
        <v>0.49395889999999998</v>
      </c>
      <c r="F1710" t="s">
        <v>42</v>
      </c>
      <c r="G1710">
        <v>-216.9744</v>
      </c>
      <c r="H1710">
        <v>0.864035199999999</v>
      </c>
      <c r="I1710">
        <v>285.32089999999999</v>
      </c>
      <c r="J1710">
        <v>-216.45490000000001</v>
      </c>
      <c r="K1710">
        <v>1.1194839999999999</v>
      </c>
      <c r="L1710">
        <v>285.28809999999999</v>
      </c>
      <c r="M1710">
        <v>-0.99715200000000004</v>
      </c>
      <c r="N1710">
        <v>-1.4562479999999999E-2</v>
      </c>
      <c r="O1710">
        <v>-7.3998999999999995E-2</v>
      </c>
      <c r="P1710">
        <v>-0.99120160000000002</v>
      </c>
      <c r="Q1710">
        <v>0.12488290000000001</v>
      </c>
      <c r="R1710">
        <v>4.3858170000000002E-2</v>
      </c>
      <c r="S1710">
        <v>-3.1557919999999999</v>
      </c>
      <c r="T1710">
        <v>-1.0952170000000001</v>
      </c>
      <c r="U1710">
        <v>8.2183839999999994E-2</v>
      </c>
      <c r="V1710">
        <v>0.117642</v>
      </c>
      <c r="W1710">
        <v>0.13875419999999999</v>
      </c>
      <c r="X1710">
        <v>0.98331460000000004</v>
      </c>
      <c r="Y1710">
        <v>9.0450290000000003E-2</v>
      </c>
      <c r="Z1710">
        <v>3.9812239999999999E-2</v>
      </c>
      <c r="AA1710">
        <v>0.99510489999999996</v>
      </c>
      <c r="AB1710">
        <v>22</v>
      </c>
      <c r="AC1710">
        <v>-0.51949999999999297</v>
      </c>
      <c r="AD1710">
        <v>-0.25544879999999998</v>
      </c>
      <c r="AE1710">
        <v>3.2800000000008801E-2</v>
      </c>
      <c r="AF1710">
        <v>5.7346023753423001E-2</v>
      </c>
      <c r="AG1710">
        <v>-0.25544879999999998</v>
      </c>
      <c r="AH1710">
        <v>0.41556730208992299</v>
      </c>
      <c r="AI1710">
        <v>121.338429223123</v>
      </c>
      <c r="AJ1710">
        <v>82.143115377485302</v>
      </c>
      <c r="AK1710">
        <v>0.491160705297223</v>
      </c>
      <c r="AL1710">
        <v>82.024236294055797</v>
      </c>
      <c r="AM1710">
        <v>83.177662160566797</v>
      </c>
      <c r="AN1710">
        <v>0.99999998537739998</v>
      </c>
    </row>
    <row r="1711" spans="1:40" x14ac:dyDescent="0.25">
      <c r="A1711" t="str">
        <f>"20190303162246491"</f>
        <v>20190303162246491</v>
      </c>
      <c r="B1711" t="str">
        <f>"1551601366486167"</f>
        <v>1551601366486167</v>
      </c>
      <c r="C1711" t="s">
        <v>40</v>
      </c>
      <c r="D1711">
        <v>5.6814349999999996</v>
      </c>
      <c r="E1711">
        <v>0.49411899999999997</v>
      </c>
      <c r="F1711" t="s">
        <v>42</v>
      </c>
      <c r="G1711">
        <v>-217.17150000000001</v>
      </c>
      <c r="H1711">
        <v>0.87356590000000001</v>
      </c>
      <c r="I1711">
        <v>285.30650000000003</v>
      </c>
      <c r="J1711">
        <v>-216.59559999999999</v>
      </c>
      <c r="K1711">
        <v>1.1195120000000001</v>
      </c>
      <c r="L1711">
        <v>285.27960000000002</v>
      </c>
      <c r="M1711">
        <v>-0.99727949999999999</v>
      </c>
      <c r="N1711">
        <v>-1.455848E-2</v>
      </c>
      <c r="O1711">
        <v>-7.2260740000000004E-2</v>
      </c>
      <c r="P1711">
        <v>-0.99095639999999996</v>
      </c>
      <c r="Q1711">
        <v>0.12716160000000001</v>
      </c>
      <c r="R1711">
        <v>4.2846969999999998E-2</v>
      </c>
      <c r="S1711">
        <v>-3.1596679999999999</v>
      </c>
      <c r="T1711">
        <v>-1.0842799999999999</v>
      </c>
      <c r="U1711">
        <v>8.0871579999999998E-2</v>
      </c>
      <c r="V1711">
        <v>0.1149008</v>
      </c>
      <c r="W1711">
        <v>0.14104559999999999</v>
      </c>
      <c r="X1711">
        <v>0.98331270000000004</v>
      </c>
      <c r="Y1711">
        <v>8.8675149999999994E-2</v>
      </c>
      <c r="Z1711">
        <v>3.8522269999999997E-2</v>
      </c>
      <c r="AA1711">
        <v>0.99531539999999996</v>
      </c>
      <c r="AB1711">
        <v>22</v>
      </c>
      <c r="AC1711">
        <v>-0.57590000000001795</v>
      </c>
      <c r="AD1711">
        <v>-0.2459461</v>
      </c>
      <c r="AE1711">
        <v>2.6900000000011901E-2</v>
      </c>
      <c r="AF1711">
        <v>5.79101647672935E-2</v>
      </c>
      <c r="AG1711">
        <v>-0.2459461</v>
      </c>
      <c r="AH1711">
        <v>0.48431189239599898</v>
      </c>
      <c r="AI1711">
        <v>116.75879502506599</v>
      </c>
      <c r="AJ1711">
        <v>83.181399588655594</v>
      </c>
      <c r="AK1711">
        <v>0.546261000259747</v>
      </c>
      <c r="AL1711">
        <v>81.891644557902296</v>
      </c>
      <c r="AM1711">
        <v>83.335171129951505</v>
      </c>
      <c r="AN1711">
        <v>0.999999960550644</v>
      </c>
    </row>
    <row r="1712" spans="1:40" x14ac:dyDescent="0.25">
      <c r="A1712" t="str">
        <f>"20190303162246510"</f>
        <v>20190303162246510</v>
      </c>
      <c r="B1712" t="str">
        <f>"1551601366495927"</f>
        <v>1551601366495927</v>
      </c>
      <c r="C1712" t="s">
        <v>40</v>
      </c>
      <c r="D1712">
        <v>5.6819550000000003</v>
      </c>
      <c r="E1712">
        <v>0.48498570000000002</v>
      </c>
      <c r="F1712" t="s">
        <v>42</v>
      </c>
      <c r="G1712">
        <v>-217.35910000000001</v>
      </c>
      <c r="H1712">
        <v>0.85952580000000001</v>
      </c>
      <c r="I1712">
        <v>285.29919999999998</v>
      </c>
      <c r="J1712">
        <v>-216.78290000000001</v>
      </c>
      <c r="K1712">
        <v>1.1195619999999999</v>
      </c>
      <c r="L1712">
        <v>285.2688</v>
      </c>
      <c r="M1712">
        <v>-0.99744279999999996</v>
      </c>
      <c r="N1712">
        <v>-1.455294E-2</v>
      </c>
      <c r="O1712">
        <v>-6.9971779999999997E-2</v>
      </c>
      <c r="P1712">
        <v>-0.9905834</v>
      </c>
      <c r="Q1712">
        <v>0.1311667</v>
      </c>
      <c r="R1712">
        <v>3.9242730000000003E-2</v>
      </c>
      <c r="S1712">
        <v>-3.162048</v>
      </c>
      <c r="T1712">
        <v>-1.0766359999999999</v>
      </c>
      <c r="U1712">
        <v>8.0261230000000003E-2</v>
      </c>
      <c r="V1712">
        <v>0.1090232</v>
      </c>
      <c r="W1712">
        <v>0.14507679999999901</v>
      </c>
      <c r="X1712">
        <v>0.98339549999999998</v>
      </c>
      <c r="Y1712">
        <v>8.6560449999999997E-2</v>
      </c>
      <c r="Z1712">
        <v>3.7144629999999998E-2</v>
      </c>
      <c r="AA1712">
        <v>0.99555389999999999</v>
      </c>
      <c r="AB1712">
        <v>22</v>
      </c>
      <c r="AC1712">
        <v>-0.57620000000000005</v>
      </c>
      <c r="AD1712">
        <v>-0.2600362</v>
      </c>
      <c r="AE1712">
        <v>3.03999999999859E-2</v>
      </c>
      <c r="AF1712">
        <v>5.8721115174900203E-2</v>
      </c>
      <c r="AG1712">
        <v>-0.2600362</v>
      </c>
      <c r="AH1712">
        <v>0.47598633794566098</v>
      </c>
      <c r="AI1712">
        <v>118.46654038494501</v>
      </c>
      <c r="AJ1712">
        <v>82.967113773609697</v>
      </c>
      <c r="AK1712">
        <v>0.54555475306218804</v>
      </c>
      <c r="AL1712">
        <v>81.658273660096896</v>
      </c>
      <c r="AM1712">
        <v>83.673792016812996</v>
      </c>
      <c r="AN1712">
        <v>1.0000000227283601</v>
      </c>
    </row>
    <row r="1713" spans="1:40" x14ac:dyDescent="0.25">
      <c r="A1713" t="str">
        <f>"20190303162246533"</f>
        <v>20190303162246533</v>
      </c>
      <c r="B1713" t="str">
        <f>"1551601366526183"</f>
        <v>1551601366526183</v>
      </c>
      <c r="C1713" t="s">
        <v>40</v>
      </c>
      <c r="D1713">
        <v>5.9100380000000001</v>
      </c>
      <c r="E1713">
        <v>0.46589039999999998</v>
      </c>
      <c r="F1713" t="s">
        <v>42</v>
      </c>
      <c r="G1713">
        <v>-217.57409999999999</v>
      </c>
      <c r="H1713">
        <v>0.91494419999999999</v>
      </c>
      <c r="I1713">
        <v>285.26819999999998</v>
      </c>
      <c r="J1713">
        <v>-217.0111</v>
      </c>
      <c r="K1713">
        <v>1.1196170000000001</v>
      </c>
      <c r="L1713">
        <v>285.25599999999997</v>
      </c>
      <c r="M1713">
        <v>-0.99763139999999995</v>
      </c>
      <c r="N1713">
        <v>-1.4545779999999999E-2</v>
      </c>
      <c r="O1713">
        <v>-6.7232620000000007E-2</v>
      </c>
      <c r="P1713">
        <v>-0.99040110000000003</v>
      </c>
      <c r="Q1713">
        <v>0.1334265</v>
      </c>
      <c r="R1713">
        <v>3.6102049999999997E-2</v>
      </c>
      <c r="S1713">
        <v>-3.1359859999999999</v>
      </c>
      <c r="T1713">
        <v>-0.81101699999999999</v>
      </c>
      <c r="U1713">
        <v>-2.2583009999999999E-3</v>
      </c>
      <c r="V1713">
        <v>0.1031649</v>
      </c>
      <c r="W1713">
        <v>0.147367</v>
      </c>
      <c r="X1713">
        <v>0.98368690000000003</v>
      </c>
      <c r="Y1713">
        <v>6.238225E-2</v>
      </c>
      <c r="Z1713">
        <v>2.452996E-2</v>
      </c>
      <c r="AA1713">
        <v>0.99775080000000005</v>
      </c>
      <c r="AB1713">
        <v>22</v>
      </c>
      <c r="AC1713">
        <v>-0.56299999999998795</v>
      </c>
      <c r="AD1713">
        <v>-0.20467279999999999</v>
      </c>
      <c r="AE1713">
        <v>1.2200000000007E-2</v>
      </c>
      <c r="AF1713">
        <v>4.4190794940460097E-2</v>
      </c>
      <c r="AG1713">
        <v>-0.20467279999999999</v>
      </c>
      <c r="AH1713">
        <v>0.49545623883024398</v>
      </c>
      <c r="AI1713">
        <v>112.365511749996</v>
      </c>
      <c r="AJ1713">
        <v>84.903154635451401</v>
      </c>
      <c r="AK1713">
        <v>0.53788536512264595</v>
      </c>
      <c r="AL1713">
        <v>81.525628727784493</v>
      </c>
      <c r="AM1713">
        <v>84.012948592035897</v>
      </c>
      <c r="AN1713">
        <v>0.99999997325630896</v>
      </c>
    </row>
    <row r="1714" spans="1:40" x14ac:dyDescent="0.25">
      <c r="A1714" t="str">
        <f>"20190303162246556"</f>
        <v>20190303162246556</v>
      </c>
      <c r="B1714" t="str">
        <f>"1551601366546680"</f>
        <v>1551601366546680</v>
      </c>
      <c r="C1714" t="s">
        <v>40</v>
      </c>
      <c r="D1714">
        <v>5.9387349999999897</v>
      </c>
      <c r="E1714">
        <v>0.4663757</v>
      </c>
      <c r="F1714" t="s">
        <v>47</v>
      </c>
      <c r="G1714">
        <v>-326.33760000000001</v>
      </c>
      <c r="H1714">
        <v>8.0001299999999997E-2</v>
      </c>
      <c r="I1714">
        <v>279.37470000000002</v>
      </c>
      <c r="J1714">
        <v>-217.22409999999999</v>
      </c>
      <c r="K1714">
        <v>1.1196699999999999</v>
      </c>
      <c r="L1714">
        <v>285.24470000000002</v>
      </c>
      <c r="M1714">
        <v>-0.99779680000000004</v>
      </c>
      <c r="N1714">
        <v>-1.453865E-2</v>
      </c>
      <c r="O1714">
        <v>-6.4732769999999995E-2</v>
      </c>
      <c r="P1714">
        <v>-0.9903054</v>
      </c>
      <c r="Q1714">
        <v>0.13497219999999999</v>
      </c>
      <c r="R1714">
        <v>3.2836329999999997E-2</v>
      </c>
      <c r="S1714">
        <v>-3.0389400000000002</v>
      </c>
      <c r="T1714">
        <v>-2.8898119999999999E-2</v>
      </c>
      <c r="U1714">
        <v>-0.16348270000000001</v>
      </c>
      <c r="V1714">
        <v>9.7418489999999996E-2</v>
      </c>
      <c r="W1714">
        <v>0.14894350000000001</v>
      </c>
      <c r="X1714">
        <v>0.98403529999999995</v>
      </c>
      <c r="Y1714">
        <v>1.103847E-2</v>
      </c>
      <c r="Z1714">
        <v>-1.9414519999999999E-4</v>
      </c>
      <c r="AA1714">
        <v>0.99993909999999997</v>
      </c>
      <c r="AB1714">
        <v>21</v>
      </c>
      <c r="AC1714">
        <v>-109.1135</v>
      </c>
      <c r="AD1714">
        <v>-1.0396687</v>
      </c>
      <c r="AE1714">
        <v>-5.87</v>
      </c>
      <c r="AF1714">
        <v>1.2061700910030499</v>
      </c>
      <c r="AG1714">
        <v>-1.0396687</v>
      </c>
      <c r="AH1714">
        <v>109.25473173949599</v>
      </c>
      <c r="AI1714">
        <v>90.545177313587104</v>
      </c>
      <c r="AJ1714">
        <v>89.367481416855995</v>
      </c>
      <c r="AK1714">
        <v>109.26633591716801</v>
      </c>
      <c r="AL1714">
        <v>81.434294189689197</v>
      </c>
      <c r="AM1714">
        <v>84.346198886974705</v>
      </c>
      <c r="AN1714">
        <v>1.00000000001611</v>
      </c>
    </row>
    <row r="1715" spans="1:40" x14ac:dyDescent="0.25">
      <c r="A1715" t="str">
        <f>"20190303162246579"</f>
        <v>20190303162246579</v>
      </c>
      <c r="B1715" t="str">
        <f>"1551601366566199"</f>
        <v>1551601366566199</v>
      </c>
      <c r="C1715" t="s">
        <v>40</v>
      </c>
      <c r="D1715">
        <v>5.9231999999999996</v>
      </c>
      <c r="E1715">
        <v>0.46806170000000002</v>
      </c>
      <c r="F1715" t="s">
        <v>48</v>
      </c>
      <c r="G1715">
        <v>-512.82590000000005</v>
      </c>
      <c r="H1715">
        <v>2.1315059999999999</v>
      </c>
      <c r="I1715">
        <v>268.77600000000001</v>
      </c>
      <c r="J1715">
        <v>-217.43610000000001</v>
      </c>
      <c r="K1715">
        <v>1.1197299999999999</v>
      </c>
      <c r="L1715">
        <v>285.23379999999997</v>
      </c>
      <c r="M1715">
        <v>-0.99795020000000001</v>
      </c>
      <c r="N1715">
        <v>-1.4530009999999999E-2</v>
      </c>
      <c r="O1715">
        <v>-6.232501E-2</v>
      </c>
      <c r="P1715">
        <v>-0.99029820000000002</v>
      </c>
      <c r="Q1715">
        <v>0.1358818</v>
      </c>
      <c r="R1715">
        <v>2.9081579999999999E-2</v>
      </c>
      <c r="S1715">
        <v>-3.0335540000000001</v>
      </c>
      <c r="T1715">
        <v>1.0384559999999999E-2</v>
      </c>
      <c r="U1715">
        <v>-0.1690063</v>
      </c>
      <c r="V1715">
        <v>9.1272259999999994E-2</v>
      </c>
      <c r="W1715">
        <v>0.14988689999999999</v>
      </c>
      <c r="X1715">
        <v>0.98448119999999995</v>
      </c>
      <c r="Y1715">
        <v>6.707279E-3</v>
      </c>
      <c r="Z1715">
        <v>-1.0814430000000001E-3</v>
      </c>
      <c r="AA1715">
        <v>0.99997689999999995</v>
      </c>
      <c r="AB1715">
        <v>21</v>
      </c>
      <c r="AC1715">
        <v>-295.38979999999998</v>
      </c>
      <c r="AD1715">
        <v>1.011776</v>
      </c>
      <c r="AE1715">
        <v>-16.457799999999899</v>
      </c>
      <c r="AF1715">
        <v>1.9862937649533801</v>
      </c>
      <c r="AG1715">
        <v>1.011776</v>
      </c>
      <c r="AH1715">
        <v>295.837794097592</v>
      </c>
      <c r="AI1715">
        <v>89.804051533752798</v>
      </c>
      <c r="AJ1715">
        <v>89.615314399275505</v>
      </c>
      <c r="AK1715">
        <v>295.846192252197</v>
      </c>
      <c r="AL1715">
        <v>81.379627438045702</v>
      </c>
      <c r="AM1715">
        <v>84.703190938508001</v>
      </c>
      <c r="AN1715">
        <v>0.99999997069527802</v>
      </c>
    </row>
    <row r="1716" spans="1:40" x14ac:dyDescent="0.25">
      <c r="A1716" t="str">
        <f>"20190303162246599"</f>
        <v>20190303162246599</v>
      </c>
      <c r="B1716" t="str">
        <f>"1551601366585719"</f>
        <v>1551601366585719</v>
      </c>
      <c r="C1716" t="s">
        <v>40</v>
      </c>
      <c r="D1716">
        <v>5.920941</v>
      </c>
      <c r="E1716">
        <v>0.46878959999999997</v>
      </c>
      <c r="F1716" t="s">
        <v>48</v>
      </c>
      <c r="G1716">
        <v>-512.82569999999998</v>
      </c>
      <c r="H1716">
        <v>1.790845</v>
      </c>
      <c r="I1716">
        <v>269.06990000000002</v>
      </c>
      <c r="J1716">
        <v>-217.64240000000001</v>
      </c>
      <c r="K1716">
        <v>1.1198220000000001</v>
      </c>
      <c r="L1716">
        <v>285.22359999999998</v>
      </c>
      <c r="M1716">
        <v>-0.99808730000000001</v>
      </c>
      <c r="N1716">
        <v>-1.4516090000000001E-2</v>
      </c>
      <c r="O1716">
        <v>-6.0092939999999997E-2</v>
      </c>
      <c r="P1716">
        <v>-0.99010279999999995</v>
      </c>
      <c r="Q1716">
        <v>0.13779169999999999</v>
      </c>
      <c r="R1716">
        <v>2.664474E-2</v>
      </c>
      <c r="S1716">
        <v>-3.0333399999999999</v>
      </c>
      <c r="T1716">
        <v>6.8924429999999998E-3</v>
      </c>
      <c r="U1716">
        <v>-0.1659851</v>
      </c>
      <c r="V1716">
        <v>8.6598729999999999E-2</v>
      </c>
      <c r="W1716">
        <v>0.1518176</v>
      </c>
      <c r="X1716">
        <v>0.98460760000000003</v>
      </c>
      <c r="Y1716">
        <v>5.4613810000000004E-3</v>
      </c>
      <c r="Z1716">
        <v>-9.7530760000000001E-4</v>
      </c>
      <c r="AA1716">
        <v>0.9999846</v>
      </c>
      <c r="AB1716">
        <v>21</v>
      </c>
      <c r="AC1716">
        <v>-295.18329999999997</v>
      </c>
      <c r="AD1716">
        <v>0.67102300000000004</v>
      </c>
      <c r="AE1716">
        <v>-16.153699999999901</v>
      </c>
      <c r="AF1716">
        <v>1.6157913296311399</v>
      </c>
      <c r="AG1716">
        <v>0.67102300000000004</v>
      </c>
      <c r="AH1716">
        <v>295.61903068676997</v>
      </c>
      <c r="AI1716">
        <v>89.869946987324298</v>
      </c>
      <c r="AJ1716">
        <v>89.686836460951497</v>
      </c>
      <c r="AK1716">
        <v>295.62420800346001</v>
      </c>
      <c r="AL1716">
        <v>81.267726365466402</v>
      </c>
      <c r="AM1716">
        <v>84.973625329351407</v>
      </c>
      <c r="AN1716">
        <v>1.00000002484256</v>
      </c>
    </row>
    <row r="1717" spans="1:40" x14ac:dyDescent="0.25">
      <c r="A1717" t="str">
        <f>"20190303162246622"</f>
        <v>20190303162246622</v>
      </c>
      <c r="B1717" t="str">
        <f>"1551601366615975"</f>
        <v>1551601366615975</v>
      </c>
      <c r="C1717" t="s">
        <v>40</v>
      </c>
      <c r="D1717">
        <v>5.9710000000000001</v>
      </c>
      <c r="E1717">
        <v>0.46988419999999997</v>
      </c>
      <c r="F1717" t="s">
        <v>48</v>
      </c>
      <c r="G1717">
        <v>-512.82560000000001</v>
      </c>
      <c r="H1717">
        <v>1.400979</v>
      </c>
      <c r="I1717">
        <v>268.99779999999998</v>
      </c>
      <c r="J1717">
        <v>-217.86150000000001</v>
      </c>
      <c r="K1717">
        <v>1.1199429999999999</v>
      </c>
      <c r="L1717">
        <v>285.21300000000002</v>
      </c>
      <c r="M1717">
        <v>-0.99821859999999996</v>
      </c>
      <c r="N1717">
        <v>-1.449342E-2</v>
      </c>
      <c r="O1717">
        <v>-5.7876419999999998E-2</v>
      </c>
      <c r="P1717">
        <v>-0.98965890000000001</v>
      </c>
      <c r="Q1717">
        <v>0.1410555</v>
      </c>
      <c r="R1717">
        <v>2.605961E-2</v>
      </c>
      <c r="S1717">
        <v>-3.0340729999999998</v>
      </c>
      <c r="T1717">
        <v>2.8907059999999998E-3</v>
      </c>
      <c r="U1717">
        <v>-0.1667786</v>
      </c>
      <c r="V1717">
        <v>8.3766770000000004E-2</v>
      </c>
      <c r="W1717">
        <v>0.15508720000000001</v>
      </c>
      <c r="X1717">
        <v>0.98434299999999997</v>
      </c>
      <c r="Y1717">
        <v>2.9947070000000001E-3</v>
      </c>
      <c r="Z1717">
        <v>-8.7368229999999997E-4</v>
      </c>
      <c r="AA1717">
        <v>0.99999510000000003</v>
      </c>
      <c r="AB1717">
        <v>21</v>
      </c>
      <c r="AC1717">
        <v>-294.96409999999997</v>
      </c>
      <c r="AD1717">
        <v>0.28103600000000001</v>
      </c>
      <c r="AE1717">
        <v>-16.2151999999999</v>
      </c>
      <c r="AF1717">
        <v>0.885244024565633</v>
      </c>
      <c r="AG1717">
        <v>0.28103600000000001</v>
      </c>
      <c r="AH1717">
        <v>295.407872915761</v>
      </c>
      <c r="AI1717">
        <v>89.945491975635804</v>
      </c>
      <c r="AJ1717">
        <v>89.828303172420704</v>
      </c>
      <c r="AK1717">
        <v>295.40933299208899</v>
      </c>
      <c r="AL1717">
        <v>81.078146638110098</v>
      </c>
      <c r="AM1717">
        <v>85.1358959965184</v>
      </c>
      <c r="AN1717">
        <v>1.0000000265045299</v>
      </c>
    </row>
    <row r="1718" spans="1:40" x14ac:dyDescent="0.25">
      <c r="A1718" t="str">
        <f>"20190303162246638"</f>
        <v>20190303162246638</v>
      </c>
      <c r="B1718" t="str">
        <f>"1551601366625736"</f>
        <v>1551601366625736</v>
      </c>
      <c r="C1718" t="s">
        <v>40</v>
      </c>
      <c r="D1718">
        <v>5.965427</v>
      </c>
      <c r="E1718">
        <v>0.4702692</v>
      </c>
      <c r="F1718" t="s">
        <v>48</v>
      </c>
      <c r="G1718">
        <v>-512.82560000000001</v>
      </c>
      <c r="H1718">
        <v>1.147248</v>
      </c>
      <c r="I1718">
        <v>269.61799999999999</v>
      </c>
      <c r="J1718">
        <v>-218.00739999999999</v>
      </c>
      <c r="K1718">
        <v>1.1200399999999999</v>
      </c>
      <c r="L1718">
        <v>285.20620000000002</v>
      </c>
      <c r="M1718">
        <v>-0.99829610000000002</v>
      </c>
      <c r="N1718">
        <v>-1.4475E-2</v>
      </c>
      <c r="O1718">
        <v>-5.6529540000000003E-2</v>
      </c>
      <c r="P1718">
        <v>-0.98950229999999995</v>
      </c>
      <c r="Q1718">
        <v>0.14216210000000001</v>
      </c>
      <c r="R1718">
        <v>2.5989100000000001E-2</v>
      </c>
      <c r="S1718">
        <v>-3.0355379999999998</v>
      </c>
      <c r="T1718">
        <v>2.8181080000000002E-4</v>
      </c>
      <c r="U1718">
        <v>-0.16049189999999999</v>
      </c>
      <c r="V1718">
        <v>8.2324250000000002E-2</v>
      </c>
      <c r="W1718">
        <v>0.156198</v>
      </c>
      <c r="X1718">
        <v>0.98428910000000003</v>
      </c>
      <c r="Y1718">
        <v>3.7377909999999999E-3</v>
      </c>
      <c r="Z1718">
        <v>-7.967111E-4</v>
      </c>
      <c r="AA1718">
        <v>0.99999269999999996</v>
      </c>
      <c r="AB1718">
        <v>21</v>
      </c>
      <c r="AC1718">
        <v>-294.81819999999999</v>
      </c>
      <c r="AD1718">
        <v>2.72080000000001E-2</v>
      </c>
      <c r="AE1718">
        <v>-15.588200000000001</v>
      </c>
      <c r="AF1718">
        <v>1.1044135414796801</v>
      </c>
      <c r="AG1718">
        <v>2.72080000000001E-2</v>
      </c>
      <c r="AH1718">
        <v>295.227948915171</v>
      </c>
      <c r="AI1718">
        <v>89.994719698244594</v>
      </c>
      <c r="AJ1718">
        <v>89.785664128946806</v>
      </c>
      <c r="AK1718">
        <v>295.23001590320098</v>
      </c>
      <c r="AL1718">
        <v>81.013717659672594</v>
      </c>
      <c r="AM1718">
        <v>85.219006934980399</v>
      </c>
      <c r="AN1718">
        <v>1.0000000648604299</v>
      </c>
    </row>
    <row r="1719" spans="1:40" x14ac:dyDescent="0.25">
      <c r="A1719" t="str">
        <f>"20190303162246655"</f>
        <v>20190303162246655</v>
      </c>
      <c r="B1719" t="str">
        <f>"1551601366646233"</f>
        <v>1551601366646233</v>
      </c>
      <c r="C1719" t="s">
        <v>40</v>
      </c>
      <c r="D1719">
        <v>5.9011809999999896</v>
      </c>
      <c r="E1719">
        <v>0.47110360000000001</v>
      </c>
      <c r="F1719" t="s">
        <v>48</v>
      </c>
      <c r="G1719">
        <v>-512.82550000000003</v>
      </c>
      <c r="H1719">
        <v>1.1247309999999999</v>
      </c>
      <c r="I1719">
        <v>269.88479999999998</v>
      </c>
      <c r="J1719">
        <v>-218.17830000000001</v>
      </c>
      <c r="K1719">
        <v>1.120174</v>
      </c>
      <c r="L1719">
        <v>285.19830000000002</v>
      </c>
      <c r="M1719">
        <v>-0.99837770000000003</v>
      </c>
      <c r="N1719">
        <v>-1.445303E-2</v>
      </c>
      <c r="O1719">
        <v>-5.5071990000000001E-2</v>
      </c>
      <c r="P1719">
        <v>-0.98919429999999997</v>
      </c>
      <c r="Q1719">
        <v>0.14461930000000001</v>
      </c>
      <c r="R1719">
        <v>2.408822E-2</v>
      </c>
      <c r="S1719">
        <v>-3.035965</v>
      </c>
      <c r="T1719" s="1">
        <v>4.911423E-5</v>
      </c>
      <c r="U1719">
        <v>-0.1577759</v>
      </c>
      <c r="V1719">
        <v>7.8928590000000007E-2</v>
      </c>
      <c r="W1719">
        <v>0.15866440000000001</v>
      </c>
      <c r="X1719">
        <v>0.98417270000000001</v>
      </c>
      <c r="Y1719">
        <v>3.177633E-3</v>
      </c>
      <c r="Z1719">
        <v>-7.7398440000000005E-4</v>
      </c>
      <c r="AA1719">
        <v>0.99999459999999996</v>
      </c>
      <c r="AB1719">
        <v>21</v>
      </c>
      <c r="AC1719">
        <v>-294.6472</v>
      </c>
      <c r="AD1719">
        <v>4.5569999999999196E-3</v>
      </c>
      <c r="AE1719">
        <v>-15.313499999999999</v>
      </c>
      <c r="AF1719">
        <v>0.93824881555073703</v>
      </c>
      <c r="AG1719">
        <v>4.5569999999999196E-3</v>
      </c>
      <c r="AH1719">
        <v>295.043378840667</v>
      </c>
      <c r="AI1719">
        <v>89.999115060476598</v>
      </c>
      <c r="AJ1719">
        <v>89.817797924271602</v>
      </c>
      <c r="AK1719">
        <v>295.04487070498902</v>
      </c>
      <c r="AL1719">
        <v>80.870618354695793</v>
      </c>
      <c r="AM1719">
        <v>85.414811829822398</v>
      </c>
      <c r="AN1719">
        <v>1.0000000087860099</v>
      </c>
    </row>
    <row r="1720" spans="1:40" x14ac:dyDescent="0.25">
      <c r="A1720" t="str">
        <f>"20190303162246677"</f>
        <v>20190303162246677</v>
      </c>
      <c r="B1720" t="str">
        <f>"1551601366665752"</f>
        <v>1551601366665752</v>
      </c>
      <c r="C1720" t="s">
        <v>40</v>
      </c>
      <c r="D1720">
        <v>5.8397139999999998</v>
      </c>
      <c r="E1720">
        <v>0.47161809999999998</v>
      </c>
      <c r="F1720" t="s">
        <v>48</v>
      </c>
      <c r="G1720">
        <v>-512.82560000000001</v>
      </c>
      <c r="H1720">
        <v>1.339558</v>
      </c>
      <c r="I1720">
        <v>269.9495</v>
      </c>
      <c r="J1720">
        <v>-218.3811</v>
      </c>
      <c r="K1720">
        <v>1.120333</v>
      </c>
      <c r="L1720">
        <v>285.1891</v>
      </c>
      <c r="M1720">
        <v>-0.99846199999999996</v>
      </c>
      <c r="N1720">
        <v>-1.442767E-2</v>
      </c>
      <c r="O1720">
        <v>-5.3530000000000001E-2</v>
      </c>
      <c r="P1720">
        <v>-0.98917569999999999</v>
      </c>
      <c r="Q1720">
        <v>0.1450004</v>
      </c>
      <c r="R1720">
        <v>2.250255E-2</v>
      </c>
      <c r="S1720">
        <v>-3.03627</v>
      </c>
      <c r="T1720">
        <v>2.261519E-3</v>
      </c>
      <c r="U1720">
        <v>-0.157135</v>
      </c>
      <c r="V1720">
        <v>7.5760190000000005E-2</v>
      </c>
      <c r="W1720">
        <v>0.15906090000000001</v>
      </c>
      <c r="X1720">
        <v>0.9843577</v>
      </c>
      <c r="Y1720">
        <v>1.8485140000000001E-3</v>
      </c>
      <c r="Z1720">
        <v>-7.9953909999999997E-4</v>
      </c>
      <c r="AA1720">
        <v>0.99999800000000005</v>
      </c>
      <c r="AB1720">
        <v>21</v>
      </c>
      <c r="AC1720">
        <v>-294.44450000000001</v>
      </c>
      <c r="AD1720">
        <v>0.219225</v>
      </c>
      <c r="AE1720">
        <v>-15.2395999999999</v>
      </c>
      <c r="AF1720">
        <v>0.54550907150809902</v>
      </c>
      <c r="AG1720">
        <v>0.219225</v>
      </c>
      <c r="AH1720">
        <v>294.83794750530501</v>
      </c>
      <c r="AI1720">
        <v>89.957398145129304</v>
      </c>
      <c r="AJ1720">
        <v>89.893991488940998</v>
      </c>
      <c r="AK1720">
        <v>294.83853365679499</v>
      </c>
      <c r="AL1720">
        <v>80.8476085531546</v>
      </c>
      <c r="AM1720">
        <v>85.598958865960597</v>
      </c>
      <c r="AN1720">
        <v>1.0000000289234601</v>
      </c>
    </row>
    <row r="1721" spans="1:40" x14ac:dyDescent="0.25">
      <c r="A1721" t="str">
        <f>"20190303162246698"</f>
        <v>20190303162246698</v>
      </c>
      <c r="B1721" t="str">
        <f>"1551601366686248"</f>
        <v>1551601366686248</v>
      </c>
      <c r="C1721" t="s">
        <v>40</v>
      </c>
      <c r="D1721">
        <v>5.9048480000000003</v>
      </c>
      <c r="E1721">
        <v>0.47214990000000001</v>
      </c>
      <c r="F1721" t="s">
        <v>48</v>
      </c>
      <c r="G1721">
        <v>-512.82539999999995</v>
      </c>
      <c r="H1721">
        <v>0.6965382</v>
      </c>
      <c r="I1721">
        <v>269.86009999999999</v>
      </c>
      <c r="J1721">
        <v>-218.59039999999999</v>
      </c>
      <c r="K1721">
        <v>1.1204879999999999</v>
      </c>
      <c r="L1721">
        <v>285.17950000000002</v>
      </c>
      <c r="M1721">
        <v>-0.99853460000000005</v>
      </c>
      <c r="N1721">
        <v>-1.440292E-2</v>
      </c>
      <c r="O1721">
        <v>-5.2168329999999999E-2</v>
      </c>
      <c r="P1721">
        <v>-0.98933919999999997</v>
      </c>
      <c r="Q1721">
        <v>0.14411679999999999</v>
      </c>
      <c r="R1721">
        <v>2.0945310000000002E-2</v>
      </c>
      <c r="S1721">
        <v>-3.037064</v>
      </c>
      <c r="T1721">
        <v>-4.370451E-3</v>
      </c>
      <c r="U1721">
        <v>-0.15811159999999999</v>
      </c>
      <c r="V1721">
        <v>7.2801820000000003E-2</v>
      </c>
      <c r="W1721">
        <v>0.15819359999999999</v>
      </c>
      <c r="X1721">
        <v>0.98472059999999995</v>
      </c>
      <c r="Y1721">
        <v>1.793388E-4</v>
      </c>
      <c r="Z1721">
        <v>-6.7502969999999997E-4</v>
      </c>
      <c r="AA1721">
        <v>0.99999979999999999</v>
      </c>
      <c r="AB1721">
        <v>21</v>
      </c>
      <c r="AC1721">
        <v>-294.23500000000001</v>
      </c>
      <c r="AD1721">
        <v>-0.42394979999999899</v>
      </c>
      <c r="AE1721">
        <v>-15.3194</v>
      </c>
      <c r="AF1721">
        <v>5.2802985501576999E-2</v>
      </c>
      <c r="AG1721">
        <v>-0.42394979999999899</v>
      </c>
      <c r="AH1721">
        <v>294.63291904920402</v>
      </c>
      <c r="AI1721">
        <v>90.082443323677296</v>
      </c>
      <c r="AJ1721">
        <v>89.989731669521802</v>
      </c>
      <c r="AK1721">
        <v>294.633228793093</v>
      </c>
      <c r="AL1721">
        <v>80.897938076004195</v>
      </c>
      <c r="AM1721">
        <v>85.771732554618694</v>
      </c>
      <c r="AN1721">
        <v>0.99999999007031604</v>
      </c>
    </row>
    <row r="1722" spans="1:40" x14ac:dyDescent="0.25">
      <c r="A1722" t="str">
        <f>"20190303162246723"</f>
        <v>20190303162246723</v>
      </c>
      <c r="B1722" t="str">
        <f>"1551601366716504"</f>
        <v>1551601366716504</v>
      </c>
      <c r="C1722" t="s">
        <v>40</v>
      </c>
      <c r="D1722">
        <v>5.9006150000000002</v>
      </c>
      <c r="E1722">
        <v>0.47289979999999998</v>
      </c>
      <c r="F1722" t="s">
        <v>49</v>
      </c>
      <c r="G1722">
        <v>-433.06849999999997</v>
      </c>
      <c r="H1722">
        <v>8.0001470000000005E-2</v>
      </c>
      <c r="I1722">
        <v>274.01429999999999</v>
      </c>
      <c r="J1722">
        <v>-218.8169</v>
      </c>
      <c r="K1722">
        <v>1.120652</v>
      </c>
      <c r="L1722">
        <v>285.16919999999999</v>
      </c>
      <c r="M1722">
        <v>-0.99859679999999995</v>
      </c>
      <c r="N1722">
        <v>-1.4377539999999999E-2</v>
      </c>
      <c r="O1722">
        <v>-5.0967930000000002E-2</v>
      </c>
      <c r="P1722">
        <v>-0.98946780000000001</v>
      </c>
      <c r="Q1722">
        <v>0.1433692</v>
      </c>
      <c r="R1722">
        <v>1.996709E-2</v>
      </c>
      <c r="S1722">
        <v>-3.0378270000000001</v>
      </c>
      <c r="T1722">
        <v>-1.473725E-2</v>
      </c>
      <c r="U1722">
        <v>-0.15814210000000001</v>
      </c>
      <c r="V1722">
        <v>7.0576089999999994E-2</v>
      </c>
      <c r="W1722">
        <v>0.1574586</v>
      </c>
      <c r="X1722">
        <v>0.9850004</v>
      </c>
      <c r="Y1722">
        <v>-1.017666E-3</v>
      </c>
      <c r="Z1722">
        <v>-4.9568650000000002E-4</v>
      </c>
      <c r="AA1722">
        <v>0.99999930000000004</v>
      </c>
      <c r="AB1722">
        <v>21</v>
      </c>
      <c r="AC1722">
        <v>-214.2516</v>
      </c>
      <c r="AD1722">
        <v>-1.04065053</v>
      </c>
      <c r="AE1722">
        <v>-11.1548999999999</v>
      </c>
      <c r="AF1722">
        <v>-0.21930440026567399</v>
      </c>
      <c r="AG1722">
        <v>-1.04065053</v>
      </c>
      <c r="AH1722">
        <v>214.53663083850199</v>
      </c>
      <c r="AI1722">
        <v>90.277921697089496</v>
      </c>
      <c r="AJ1722">
        <v>90.058569075771004</v>
      </c>
      <c r="AK1722">
        <v>214.53926684754299</v>
      </c>
      <c r="AL1722">
        <v>80.940584986243394</v>
      </c>
      <c r="AM1722">
        <v>85.901713943665399</v>
      </c>
      <c r="AN1722">
        <v>0.999999991596904</v>
      </c>
    </row>
    <row r="1723" spans="1:40" x14ac:dyDescent="0.25">
      <c r="A1723" t="str">
        <f>"20190303162246744"</f>
        <v>20190303162246744</v>
      </c>
      <c r="B1723" t="str">
        <f>"1551601366736024"</f>
        <v>1551601366736024</v>
      </c>
      <c r="C1723" t="s">
        <v>40</v>
      </c>
      <c r="D1723">
        <v>5.9029420000000004</v>
      </c>
      <c r="E1723">
        <v>0.47320139999999999</v>
      </c>
      <c r="F1723" t="s">
        <v>47</v>
      </c>
      <c r="G1723">
        <v>-335.06689999999998</v>
      </c>
      <c r="H1723">
        <v>8.0001669999999997E-2</v>
      </c>
      <c r="I1723">
        <v>279.2482</v>
      </c>
      <c r="J1723">
        <v>-219.01840000000001</v>
      </c>
      <c r="K1723">
        <v>1.120798</v>
      </c>
      <c r="L1723">
        <v>285.16000000000003</v>
      </c>
      <c r="M1723">
        <v>-0.99863710000000006</v>
      </c>
      <c r="N1723">
        <v>-1.4356529999999999E-2</v>
      </c>
      <c r="O1723">
        <v>-5.0178590000000002E-2</v>
      </c>
      <c r="P1723">
        <v>-0.98953880000000005</v>
      </c>
      <c r="Q1723">
        <v>0.1430611</v>
      </c>
      <c r="R1723">
        <v>1.8615199999999998E-2</v>
      </c>
      <c r="S1723">
        <v>-3.0390009999999998</v>
      </c>
      <c r="T1723">
        <v>-2.720463E-2</v>
      </c>
      <c r="U1723">
        <v>-0.15478520000000001</v>
      </c>
      <c r="V1723">
        <v>6.8390989999999999E-2</v>
      </c>
      <c r="W1723">
        <v>0.15716060000000001</v>
      </c>
      <c r="X1723">
        <v>0.98520209999999997</v>
      </c>
      <c r="Y1723">
        <v>-6.8473630000000002E-4</v>
      </c>
      <c r="Z1723">
        <v>-2.798031E-4</v>
      </c>
      <c r="AA1723">
        <v>0.99999970000000005</v>
      </c>
      <c r="AB1723">
        <v>21</v>
      </c>
      <c r="AC1723">
        <v>-116.048499999999</v>
      </c>
      <c r="AD1723">
        <v>-1.04079633</v>
      </c>
      <c r="AE1723">
        <v>-5.9118000000000199</v>
      </c>
      <c r="AF1723">
        <v>-8.0594544624545905E-2</v>
      </c>
      <c r="AG1723">
        <v>-1.04079633</v>
      </c>
      <c r="AH1723">
        <v>116.189633714473</v>
      </c>
      <c r="AI1723">
        <v>90.513226747132705</v>
      </c>
      <c r="AJ1723">
        <v>90.039743016399498</v>
      </c>
      <c r="AK1723">
        <v>116.19432316247</v>
      </c>
      <c r="AL1723">
        <v>80.957874285573496</v>
      </c>
      <c r="AM1723">
        <v>86.028998597420696</v>
      </c>
      <c r="AN1723">
        <v>0.99999997977497401</v>
      </c>
    </row>
    <row r="1724" spans="1:40" x14ac:dyDescent="0.25">
      <c r="A1724" t="str">
        <f>"20190303162246769"</f>
        <v>20190303162246769</v>
      </c>
      <c r="B1724" t="str">
        <f>"1551601366756519"</f>
        <v>1551601366756519</v>
      </c>
      <c r="C1724" t="s">
        <v>40</v>
      </c>
      <c r="D1724">
        <v>5.8398120000000002</v>
      </c>
      <c r="E1724">
        <v>0.4735781</v>
      </c>
      <c r="F1724" t="s">
        <v>49</v>
      </c>
      <c r="G1724">
        <v>-319.84249999999997</v>
      </c>
      <c r="H1724" s="1">
        <v>6.9890579999999998E-6</v>
      </c>
      <c r="I1724">
        <v>279.95679999999999</v>
      </c>
      <c r="J1724">
        <v>-219.24940000000001</v>
      </c>
      <c r="K1724">
        <v>1.1209420000000001</v>
      </c>
      <c r="L1724">
        <v>285.14929999999998</v>
      </c>
      <c r="M1724">
        <v>-0.99867010000000001</v>
      </c>
      <c r="N1724">
        <v>-1.4334879999999999E-2</v>
      </c>
      <c r="O1724">
        <v>-4.9526710000000002E-2</v>
      </c>
      <c r="P1724">
        <v>-0.98952050000000003</v>
      </c>
      <c r="Q1724">
        <v>0.14348739999999999</v>
      </c>
      <c r="R1724">
        <v>1.6148880000000001E-2</v>
      </c>
      <c r="S1724">
        <v>-3.0395509999999999</v>
      </c>
      <c r="T1724">
        <v>-3.3788560000000002E-2</v>
      </c>
      <c r="U1724">
        <v>-0.15686040000000001</v>
      </c>
      <c r="V1724">
        <v>6.5226129999999993E-2</v>
      </c>
      <c r="W1724">
        <v>0.15759379999999901</v>
      </c>
      <c r="X1724">
        <v>0.98534750000000004</v>
      </c>
      <c r="Y1724">
        <v>-2.0085939999999998E-3</v>
      </c>
      <c r="Z1724">
        <v>-1.8571249999999999E-4</v>
      </c>
      <c r="AA1724">
        <v>0.99999800000000005</v>
      </c>
      <c r="AB1724">
        <v>21</v>
      </c>
      <c r="AC1724">
        <v>-100.593099999999</v>
      </c>
      <c r="AD1724">
        <v>-1.120935010942</v>
      </c>
      <c r="AE1724">
        <v>-5.1924999999999901</v>
      </c>
      <c r="AF1724">
        <v>-0.2035448759772</v>
      </c>
      <c r="AG1724">
        <v>-1.120935010942</v>
      </c>
      <c r="AH1724">
        <v>100.714347882963</v>
      </c>
      <c r="AI1724">
        <v>90.637665473876595</v>
      </c>
      <c r="AJ1724">
        <v>90.115795283413505</v>
      </c>
      <c r="AK1724">
        <v>100.720791276209</v>
      </c>
      <c r="AL1724">
        <v>80.932740505213204</v>
      </c>
      <c r="AM1724">
        <v>86.212770019537302</v>
      </c>
      <c r="AN1724">
        <v>0.99999997479473302</v>
      </c>
    </row>
    <row r="1725" spans="1:40" x14ac:dyDescent="0.25">
      <c r="A1725" t="str">
        <f>"20190303162246790"</f>
        <v>20190303162246790</v>
      </c>
      <c r="B1725" t="str">
        <f>"1551601366775883"</f>
        <v>1551601366775883</v>
      </c>
      <c r="C1725" t="s">
        <v>40</v>
      </c>
      <c r="D1725">
        <v>5.8414960000000002</v>
      </c>
      <c r="E1725">
        <v>0.47390510000000002</v>
      </c>
      <c r="F1725" t="s">
        <v>49</v>
      </c>
      <c r="G1725">
        <v>-313.16219999999998</v>
      </c>
      <c r="H1725" s="1">
        <v>4.0097419999999998E-6</v>
      </c>
      <c r="I1725">
        <v>280.15019999999998</v>
      </c>
      <c r="J1725">
        <v>-219.4452</v>
      </c>
      <c r="K1725">
        <v>1.121041</v>
      </c>
      <c r="L1725">
        <v>285.14010000000002</v>
      </c>
      <c r="M1725">
        <v>-0.99868829999999997</v>
      </c>
      <c r="N1725">
        <v>-1.431841E-2</v>
      </c>
      <c r="O1725">
        <v>-4.9159290000000001E-2</v>
      </c>
      <c r="P1725">
        <v>-0.98955890000000002</v>
      </c>
      <c r="Q1725">
        <v>0.14349700000000001</v>
      </c>
      <c r="R1725">
        <v>1.348942E-2</v>
      </c>
      <c r="S1725">
        <v>-3.0396730000000001</v>
      </c>
      <c r="T1725">
        <v>-3.6281349999999997E-2</v>
      </c>
      <c r="U1725">
        <v>-0.16180420000000001</v>
      </c>
      <c r="V1725">
        <v>6.2166239999999998E-2</v>
      </c>
      <c r="W1725">
        <v>0.1576079</v>
      </c>
      <c r="X1725">
        <v>0.98554310000000001</v>
      </c>
      <c r="Y1725">
        <v>-3.995953E-3</v>
      </c>
      <c r="Z1725">
        <v>-1.7037349999999901E-4</v>
      </c>
      <c r="AA1725">
        <v>0.99999199999999999</v>
      </c>
      <c r="AB1725">
        <v>21</v>
      </c>
      <c r="AC1725">
        <v>-93.716999999999899</v>
      </c>
      <c r="AD1725">
        <v>-1.121036990258</v>
      </c>
      <c r="AE1725">
        <v>-4.9899000000000298</v>
      </c>
      <c r="AF1725">
        <v>-0.376278462759915</v>
      </c>
      <c r="AG1725">
        <v>-1.121036990258</v>
      </c>
      <c r="AH1725">
        <v>93.835604625857599</v>
      </c>
      <c r="AI1725">
        <v>90.684464245731604</v>
      </c>
      <c r="AJ1725">
        <v>90.229753432808906</v>
      </c>
      <c r="AK1725">
        <v>93.843055176796796</v>
      </c>
      <c r="AL1725">
        <v>80.931923068872095</v>
      </c>
      <c r="AM1725">
        <v>86.390669893599807</v>
      </c>
      <c r="AN1725">
        <v>1.00000004674787</v>
      </c>
    </row>
    <row r="1726" spans="1:40" x14ac:dyDescent="0.25">
      <c r="A1726" t="str">
        <f>"20190303162246813"</f>
        <v>20190303162246813</v>
      </c>
      <c r="B1726" t="str">
        <f>"1551601366807115"</f>
        <v>1551601366807115</v>
      </c>
      <c r="C1726" t="s">
        <v>40</v>
      </c>
      <c r="D1726">
        <v>5.8420870000000003</v>
      </c>
      <c r="E1726">
        <v>0.48197719999999999</v>
      </c>
      <c r="F1726" t="s">
        <v>49</v>
      </c>
      <c r="G1726">
        <v>-303.14229999999998</v>
      </c>
      <c r="H1726" s="1">
        <v>3.763521E-6</v>
      </c>
      <c r="I1726">
        <v>280.54050000000001</v>
      </c>
      <c r="J1726">
        <v>-219.66220000000001</v>
      </c>
      <c r="K1726">
        <v>1.1211450000000001</v>
      </c>
      <c r="L1726">
        <v>285.12979999999999</v>
      </c>
      <c r="M1726">
        <v>-0.99869909999999995</v>
      </c>
      <c r="N1726">
        <v>-1.429823E-2</v>
      </c>
      <c r="O1726">
        <v>-4.8947789999999998E-2</v>
      </c>
      <c r="P1726">
        <v>-0.98997780000000002</v>
      </c>
      <c r="Q1726">
        <v>0.14083970000000001</v>
      </c>
      <c r="R1726">
        <v>1.040805E-2</v>
      </c>
      <c r="S1726">
        <v>-3.039841</v>
      </c>
      <c r="T1726">
        <v>-4.0715580000000001E-2</v>
      </c>
      <c r="U1726">
        <v>-0.16705320000000001</v>
      </c>
      <c r="V1726">
        <v>5.8857840000000002E-2</v>
      </c>
      <c r="W1726">
        <v>0.15495629999999999</v>
      </c>
      <c r="X1726">
        <v>0.98616649999999995</v>
      </c>
      <c r="Y1726">
        <v>-5.9259129999999997E-3</v>
      </c>
      <c r="Z1726">
        <v>-1.2721330000000001E-4</v>
      </c>
      <c r="AA1726">
        <v>0.99998240000000005</v>
      </c>
      <c r="AB1726">
        <v>21</v>
      </c>
      <c r="AC1726">
        <v>-83.480099999999894</v>
      </c>
      <c r="AD1726">
        <v>-1.1211412364790001</v>
      </c>
      <c r="AE1726">
        <v>-4.5892999999999802</v>
      </c>
      <c r="AF1726">
        <v>-0.49712475491050601</v>
      </c>
      <c r="AG1726">
        <v>-1.1211412364790001</v>
      </c>
      <c r="AH1726">
        <v>83.589642899460102</v>
      </c>
      <c r="AI1726">
        <v>90.768416655315704</v>
      </c>
      <c r="AJ1726">
        <v>90.340745737842397</v>
      </c>
      <c r="AK1726">
        <v>83.598639287690204</v>
      </c>
      <c r="AL1726">
        <v>81.085738490415494</v>
      </c>
      <c r="AM1726">
        <v>86.584440682976293</v>
      </c>
      <c r="AN1726">
        <v>1.0000000329806999</v>
      </c>
    </row>
    <row r="1727" spans="1:40" x14ac:dyDescent="0.25">
      <c r="A1727" t="str">
        <f>"20190303162246834"</f>
        <v>20190303162246834</v>
      </c>
      <c r="B1727" t="str">
        <f>"1551601366826635"</f>
        <v>1551601366826635</v>
      </c>
      <c r="C1727" t="s">
        <v>40</v>
      </c>
      <c r="D1727">
        <v>5.8396350000000004</v>
      </c>
      <c r="E1727">
        <v>0.4814369</v>
      </c>
      <c r="F1727" t="s">
        <v>47</v>
      </c>
      <c r="G1727">
        <v>-243.1609</v>
      </c>
      <c r="H1727" s="1">
        <v>1.4528539999999999E-7</v>
      </c>
      <c r="I1727">
        <v>284.27879999999999</v>
      </c>
      <c r="J1727">
        <v>-219.85919999999999</v>
      </c>
      <c r="K1727">
        <v>1.1212249999999999</v>
      </c>
      <c r="L1727">
        <v>285.12029999999999</v>
      </c>
      <c r="M1727">
        <v>-0.99870159999999997</v>
      </c>
      <c r="N1727">
        <v>-1.426769E-2</v>
      </c>
      <c r="O1727">
        <v>-4.8907390000000002E-2</v>
      </c>
      <c r="P1727">
        <v>-0.99031930000000001</v>
      </c>
      <c r="Q1727">
        <v>0.1386338</v>
      </c>
      <c r="R1727">
        <v>6.9641590000000001E-3</v>
      </c>
      <c r="S1727">
        <v>-3.0522610000000001</v>
      </c>
      <c r="T1727">
        <v>-0.14562610000000001</v>
      </c>
      <c r="U1727">
        <v>-0.1105347</v>
      </c>
      <c r="V1727">
        <v>5.5361889999999997E-2</v>
      </c>
      <c r="W1727">
        <v>0.1527395</v>
      </c>
      <c r="X1727">
        <v>0.9867146</v>
      </c>
      <c r="Y1727">
        <v>1.268737E-2</v>
      </c>
      <c r="Z1727">
        <v>2.0254259999999999E-3</v>
      </c>
      <c r="AA1727">
        <v>0.99991739999999996</v>
      </c>
      <c r="AB1727">
        <v>21</v>
      </c>
      <c r="AC1727">
        <v>-23.3017</v>
      </c>
      <c r="AD1727">
        <v>-1.1212248547146</v>
      </c>
      <c r="AE1727">
        <v>-0.84149999999999603</v>
      </c>
      <c r="AF1727">
        <v>0.298557979905196</v>
      </c>
      <c r="AG1727">
        <v>-1.1212248547146</v>
      </c>
      <c r="AH1727">
        <v>23.261182510885099</v>
      </c>
      <c r="AI1727">
        <v>92.759382076370102</v>
      </c>
      <c r="AJ1727">
        <v>89.264647318290201</v>
      </c>
      <c r="AK1727">
        <v>23.290102916193799</v>
      </c>
      <c r="AL1727">
        <v>81.214281858489898</v>
      </c>
      <c r="AM1727">
        <v>86.788655608126604</v>
      </c>
      <c r="AN1727">
        <v>0.99999999778889104</v>
      </c>
    </row>
    <row r="1728" spans="1:40" x14ac:dyDescent="0.25">
      <c r="A1728" t="str">
        <f>"20190303162246856"</f>
        <v>20190303162246856</v>
      </c>
      <c r="B1728" t="str">
        <f>"1551601366846154"</f>
        <v>1551601366846154</v>
      </c>
      <c r="C1728" t="s">
        <v>40</v>
      </c>
      <c r="D1728">
        <v>5.7884409999999997</v>
      </c>
      <c r="E1728">
        <v>0.48187649999999999</v>
      </c>
      <c r="F1728" t="s">
        <v>47</v>
      </c>
      <c r="G1728">
        <v>-241.4991</v>
      </c>
      <c r="H1728" s="1">
        <v>-7.3906380000000002E-7</v>
      </c>
      <c r="I1728">
        <v>284.24160000000001</v>
      </c>
      <c r="J1728">
        <v>-220.06569999999999</v>
      </c>
      <c r="K1728">
        <v>1.1212879999999901</v>
      </c>
      <c r="L1728">
        <v>285.11009999999999</v>
      </c>
      <c r="M1728">
        <v>-0.99869830000000004</v>
      </c>
      <c r="N1728">
        <v>-1.4211369999999999E-2</v>
      </c>
      <c r="O1728">
        <v>-4.8989779999999997E-2</v>
      </c>
      <c r="P1728">
        <v>-0.99036590000000002</v>
      </c>
      <c r="Q1728">
        <v>0.13837839999999901</v>
      </c>
      <c r="R1728">
        <v>5.2150259999999898E-3</v>
      </c>
      <c r="S1728">
        <v>-3.0523220000000002</v>
      </c>
      <c r="T1728">
        <v>-0.15815009999999999</v>
      </c>
      <c r="U1728">
        <v>-0.1239319</v>
      </c>
      <c r="V1728">
        <v>5.3670450000000001E-2</v>
      </c>
      <c r="W1728">
        <v>0.15243979999999999</v>
      </c>
      <c r="X1728">
        <v>0.98685440000000002</v>
      </c>
      <c r="Y1728">
        <v>8.3852500000000003E-3</v>
      </c>
      <c r="Z1728">
        <v>2.114828E-3</v>
      </c>
      <c r="AA1728">
        <v>0.99996260000000003</v>
      </c>
      <c r="AB1728">
        <v>21</v>
      </c>
      <c r="AC1728">
        <v>-21.433399999999999</v>
      </c>
      <c r="AD1728">
        <v>-1.12128873906379</v>
      </c>
      <c r="AE1728">
        <v>-0.86849999999998295</v>
      </c>
      <c r="AF1728">
        <v>0.18216874728320201</v>
      </c>
      <c r="AG1728">
        <v>-1.12128873906379</v>
      </c>
      <c r="AH1728">
        <v>21.391760895624898</v>
      </c>
      <c r="AI1728">
        <v>93.000409742029703</v>
      </c>
      <c r="AJ1728">
        <v>89.512090279381098</v>
      </c>
      <c r="AK1728">
        <v>21.4219025323248</v>
      </c>
      <c r="AL1728">
        <v>81.231656964506996</v>
      </c>
      <c r="AM1728">
        <v>86.887014096476605</v>
      </c>
      <c r="AN1728">
        <v>1.0000000083133</v>
      </c>
    </row>
    <row r="1729" spans="1:40" x14ac:dyDescent="0.25">
      <c r="A1729" t="str">
        <f>"20190303162246878"</f>
        <v>20190303162246878</v>
      </c>
      <c r="B1729" t="str">
        <f>"1551601366866651"</f>
        <v>1551601366866651</v>
      </c>
      <c r="C1729" t="s">
        <v>40</v>
      </c>
      <c r="D1729">
        <v>5.7184629999999999</v>
      </c>
      <c r="E1729">
        <v>0.48228900000000002</v>
      </c>
      <c r="F1729" t="s">
        <v>47</v>
      </c>
      <c r="G1729">
        <v>-241.6377</v>
      </c>
      <c r="H1729" s="1">
        <v>-6.6530100000000004E-7</v>
      </c>
      <c r="I1729">
        <v>284.2244</v>
      </c>
      <c r="J1729">
        <v>-220.26929999999999</v>
      </c>
      <c r="K1729">
        <v>1.1213280000000001</v>
      </c>
      <c r="L1729">
        <v>285.10000000000002</v>
      </c>
      <c r="M1729">
        <v>-0.99869019999999997</v>
      </c>
      <c r="N1729">
        <v>-1.411687E-2</v>
      </c>
      <c r="O1729">
        <v>-4.9181160000000002E-2</v>
      </c>
      <c r="P1729">
        <v>-0.99030669999999998</v>
      </c>
      <c r="Q1729">
        <v>0.1388605</v>
      </c>
      <c r="R1729">
        <v>3.2712319999999998E-3</v>
      </c>
      <c r="S1729">
        <v>-3.0520170000000002</v>
      </c>
      <c r="T1729">
        <v>-0.1586409</v>
      </c>
      <c r="U1729">
        <v>-0.12530519999999901</v>
      </c>
      <c r="V1729">
        <v>5.1892929999999997E-2</v>
      </c>
      <c r="W1729">
        <v>0.1528361</v>
      </c>
      <c r="X1729">
        <v>0.98688819999999999</v>
      </c>
      <c r="Y1729">
        <v>8.1233439999999994E-3</v>
      </c>
      <c r="Z1729">
        <v>2.1264069999999999E-3</v>
      </c>
      <c r="AA1729">
        <v>0.99996479999999999</v>
      </c>
      <c r="AB1729">
        <v>21</v>
      </c>
      <c r="AC1729">
        <v>-21.368400000000001</v>
      </c>
      <c r="AD1729">
        <v>-1.1213286653009999</v>
      </c>
      <c r="AE1729">
        <v>-0.87560000000001903</v>
      </c>
      <c r="AF1729">
        <v>0.176003276588517</v>
      </c>
      <c r="AG1729">
        <v>-1.1213286653009999</v>
      </c>
      <c r="AH1729">
        <v>21.326973366426401</v>
      </c>
      <c r="AI1729">
        <v>93.009621312994298</v>
      </c>
      <c r="AJ1729">
        <v>89.527170788194397</v>
      </c>
      <c r="AK1729">
        <v>21.357156835619602</v>
      </c>
      <c r="AL1729">
        <v>81.2086816555383</v>
      </c>
      <c r="AM1729">
        <v>86.990023628378594</v>
      </c>
      <c r="AN1729">
        <v>1.0000000344732101</v>
      </c>
    </row>
    <row r="1730" spans="1:40" x14ac:dyDescent="0.25">
      <c r="A1730" t="str">
        <f>"20190303162246901"</f>
        <v>20190303162246901</v>
      </c>
      <c r="B1730" t="str">
        <f>"1551601366895932"</f>
        <v>1551601366895932</v>
      </c>
      <c r="C1730" t="s">
        <v>40</v>
      </c>
      <c r="D1730">
        <v>5.7178440000000004</v>
      </c>
      <c r="E1730">
        <v>0.48283510000000002</v>
      </c>
      <c r="F1730" t="s">
        <v>47</v>
      </c>
      <c r="G1730">
        <v>-242.38390000000001</v>
      </c>
      <c r="H1730" s="1">
        <v>-2.6819270000000002E-7</v>
      </c>
      <c r="I1730">
        <v>284.17259999999999</v>
      </c>
      <c r="J1730">
        <v>-220.48099999999999</v>
      </c>
      <c r="K1730">
        <v>1.1213550000000001</v>
      </c>
      <c r="L1730">
        <v>285.08920000000001</v>
      </c>
      <c r="M1730">
        <v>-0.99867740000000005</v>
      </c>
      <c r="N1730">
        <v>-1.3963400000000001E-2</v>
      </c>
      <c r="O1730">
        <v>-4.948143E-2</v>
      </c>
      <c r="P1730">
        <v>-0.99008379999999996</v>
      </c>
      <c r="Q1730">
        <v>0.14047509999999999</v>
      </c>
      <c r="R1730">
        <v>1.0457929999999999E-3</v>
      </c>
      <c r="S1730">
        <v>-3.0514830000000002</v>
      </c>
      <c r="T1730">
        <v>-0.15472669999999999</v>
      </c>
      <c r="U1730">
        <v>-0.1279602</v>
      </c>
      <c r="V1730">
        <v>4.9935649999999998E-2</v>
      </c>
      <c r="W1730">
        <v>0.15430239999999901</v>
      </c>
      <c r="X1730">
        <v>0.986761</v>
      </c>
      <c r="Y1730">
        <v>7.5515779999999998E-3</v>
      </c>
      <c r="Z1730">
        <v>2.058158E-3</v>
      </c>
      <c r="AA1730">
        <v>0.99996940000000001</v>
      </c>
      <c r="AB1730">
        <v>21</v>
      </c>
      <c r="AC1730">
        <v>-21.902899999999999</v>
      </c>
      <c r="AD1730">
        <v>-1.1213552681926999</v>
      </c>
      <c r="AE1730">
        <v>-0.91660000000001596</v>
      </c>
      <c r="AF1730">
        <v>0.16797602103279899</v>
      </c>
      <c r="AG1730">
        <v>-1.1213552681926999</v>
      </c>
      <c r="AH1730">
        <v>21.864215712992799</v>
      </c>
      <c r="AI1730">
        <v>92.935883440225297</v>
      </c>
      <c r="AJ1730">
        <v>89.559822870245895</v>
      </c>
      <c r="AK1730">
        <v>21.893596833901601</v>
      </c>
      <c r="AL1730">
        <v>81.123660324850803</v>
      </c>
      <c r="AM1730">
        <v>87.102983013154301</v>
      </c>
      <c r="AN1730">
        <v>1.0000000354538401</v>
      </c>
    </row>
    <row r="1731" spans="1:40" x14ac:dyDescent="0.25">
      <c r="A1731" t="str">
        <f>"20190303162246924"</f>
        <v>20190303162246924</v>
      </c>
      <c r="B1731" t="str">
        <f>"1551601366916428"</f>
        <v>1551601366916428</v>
      </c>
      <c r="C1731" t="s">
        <v>40</v>
      </c>
      <c r="D1731">
        <v>5.6576659999999999</v>
      </c>
      <c r="E1731">
        <v>0.48316789999999998</v>
      </c>
      <c r="F1731" t="s">
        <v>47</v>
      </c>
      <c r="G1731">
        <v>-244.30029999999999</v>
      </c>
      <c r="H1731" s="1">
        <v>7.5161600000000005E-7</v>
      </c>
      <c r="I1731">
        <v>284.07409999999999</v>
      </c>
      <c r="J1731">
        <v>-220.6934</v>
      </c>
      <c r="K1731">
        <v>1.1213690000000001</v>
      </c>
      <c r="L1731">
        <v>285.07830000000001</v>
      </c>
      <c r="M1731">
        <v>-0.99866069999999996</v>
      </c>
      <c r="N1731">
        <v>-1.3746400000000001E-2</v>
      </c>
      <c r="O1731">
        <v>-4.987867E-2</v>
      </c>
      <c r="P1731">
        <v>-0.98984459999999996</v>
      </c>
      <c r="Q1731">
        <v>0.14213529999999999</v>
      </c>
      <c r="R1731">
        <v>-2.3136950000000002E-3</v>
      </c>
      <c r="S1731">
        <v>-3.0505680000000002</v>
      </c>
      <c r="T1731">
        <v>-0.143613299999999</v>
      </c>
      <c r="U1731">
        <v>-0.13000490000000001</v>
      </c>
      <c r="V1731">
        <v>4.694243E-2</v>
      </c>
      <c r="W1731">
        <v>0.15575049999999999</v>
      </c>
      <c r="X1731">
        <v>0.98668040000000001</v>
      </c>
      <c r="Y1731">
        <v>7.2752019999999997E-3</v>
      </c>
      <c r="Z1731">
        <v>1.8800920000000001E-3</v>
      </c>
      <c r="AA1731">
        <v>0.99997170000000002</v>
      </c>
      <c r="AB1731">
        <v>21</v>
      </c>
      <c r="AC1731">
        <v>-23.6069</v>
      </c>
      <c r="AD1731">
        <v>-1.121368248384</v>
      </c>
      <c r="AE1731">
        <v>-1.00420000000002</v>
      </c>
      <c r="AF1731">
        <v>0.17424972859222901</v>
      </c>
      <c r="AG1731">
        <v>-1.121368248384</v>
      </c>
      <c r="AH1731">
        <v>23.574505722454798</v>
      </c>
      <c r="AI1731">
        <v>92.723260703499506</v>
      </c>
      <c r="AJ1731">
        <v>89.576508948397105</v>
      </c>
      <c r="AK1731">
        <v>23.601803951699399</v>
      </c>
      <c r="AL1731">
        <v>81.039674723042793</v>
      </c>
      <c r="AM1731">
        <v>87.276142734653405</v>
      </c>
      <c r="AN1731">
        <v>1.0000000108643501</v>
      </c>
    </row>
    <row r="1732" spans="1:40" x14ac:dyDescent="0.25">
      <c r="A1732" t="str">
        <f>"20190303162246946"</f>
        <v>20190303162246946</v>
      </c>
      <c r="B1732" t="str">
        <f>"1551601366935947"</f>
        <v>1551601366935947</v>
      </c>
      <c r="C1732" t="s">
        <v>40</v>
      </c>
      <c r="D1732">
        <v>5.661003</v>
      </c>
      <c r="E1732">
        <v>0.4837726</v>
      </c>
      <c r="F1732" t="s">
        <v>47</v>
      </c>
      <c r="G1732">
        <v>-245.6943</v>
      </c>
      <c r="H1732" s="1">
        <v>1.4934359999999999E-6</v>
      </c>
      <c r="I1732">
        <v>283.95940000000002</v>
      </c>
      <c r="J1732">
        <v>-220.8997</v>
      </c>
      <c r="K1732">
        <v>1.121359</v>
      </c>
      <c r="L1732">
        <v>285.0675</v>
      </c>
      <c r="M1732">
        <v>-0.99864070000000005</v>
      </c>
      <c r="N1732">
        <v>-1.347273E-2</v>
      </c>
      <c r="O1732">
        <v>-5.0351E-2</v>
      </c>
      <c r="P1732">
        <v>-0.98969269999999998</v>
      </c>
      <c r="Q1732">
        <v>0.14312710000000001</v>
      </c>
      <c r="R1732">
        <v>-4.7535859999999997E-3</v>
      </c>
      <c r="S1732">
        <v>-3.0501100000000001</v>
      </c>
      <c r="T1732">
        <v>-0.13680699999999901</v>
      </c>
      <c r="U1732">
        <v>-0.13650509999999999</v>
      </c>
      <c r="V1732">
        <v>4.4948830000000002E-2</v>
      </c>
      <c r="W1732">
        <v>0.15647440000000001</v>
      </c>
      <c r="X1732">
        <v>0.9866587</v>
      </c>
      <c r="Y1732">
        <v>5.6205140000000001E-3</v>
      </c>
      <c r="Z1732">
        <v>1.740391E-3</v>
      </c>
      <c r="AA1732">
        <v>0.9999827</v>
      </c>
      <c r="AB1732">
        <v>21</v>
      </c>
      <c r="AC1732">
        <v>-24.794599999999999</v>
      </c>
      <c r="AD1732">
        <v>-1.121357506564</v>
      </c>
      <c r="AE1732">
        <v>-1.1080999999999701</v>
      </c>
      <c r="AF1732">
        <v>0.14156304760848901</v>
      </c>
      <c r="AG1732">
        <v>-1.121357506564</v>
      </c>
      <c r="AH1732">
        <v>24.768383655716001</v>
      </c>
      <c r="AI1732">
        <v>92.592182141166404</v>
      </c>
      <c r="AJ1732">
        <v>89.672531039646302</v>
      </c>
      <c r="AK1732">
        <v>24.794158821599801</v>
      </c>
      <c r="AL1732">
        <v>80.997683481968707</v>
      </c>
      <c r="AM1732">
        <v>87.391601759266507</v>
      </c>
      <c r="AN1732">
        <v>1.0000000127297</v>
      </c>
    </row>
    <row r="1733" spans="1:40" x14ac:dyDescent="0.25">
      <c r="A1733" t="str">
        <f>"20190303162246970"</f>
        <v>20190303162246970</v>
      </c>
      <c r="B1733" t="str">
        <f>"1551601366956443"</f>
        <v>1551601366956443</v>
      </c>
      <c r="C1733" t="s">
        <v>40</v>
      </c>
      <c r="D1733">
        <v>5.6611469999999997</v>
      </c>
      <c r="E1733">
        <v>0.48413460000000003</v>
      </c>
      <c r="F1733" t="s">
        <v>47</v>
      </c>
      <c r="G1733">
        <v>-246.9708</v>
      </c>
      <c r="H1733" s="1">
        <v>2.172746E-6</v>
      </c>
      <c r="I1733">
        <v>283.88589999999999</v>
      </c>
      <c r="J1733">
        <v>-221.12020000000001</v>
      </c>
      <c r="K1733">
        <v>1.121337</v>
      </c>
      <c r="L1733">
        <v>285.0557</v>
      </c>
      <c r="M1733">
        <v>-0.9986159</v>
      </c>
      <c r="N1733">
        <v>-1.313773E-2</v>
      </c>
      <c r="O1733">
        <v>-5.092795E-2</v>
      </c>
      <c r="P1733">
        <v>-0.98963950000000001</v>
      </c>
      <c r="Q1733">
        <v>0.14343719999999999</v>
      </c>
      <c r="R1733">
        <v>-6.3010840000000002E-3</v>
      </c>
      <c r="S1733">
        <v>-3.0495450000000002</v>
      </c>
      <c r="T1733">
        <v>-0.13116549999999999</v>
      </c>
      <c r="U1733">
        <v>-0.13821410000000001</v>
      </c>
      <c r="V1733">
        <v>4.395843E-2</v>
      </c>
      <c r="W1733">
        <v>0.15645699999999901</v>
      </c>
      <c r="X1733">
        <v>0.98670610000000003</v>
      </c>
      <c r="Y1733">
        <v>5.6330989999999999E-3</v>
      </c>
      <c r="Z1733">
        <v>1.6761250000000001E-3</v>
      </c>
      <c r="AA1733">
        <v>0.9999827</v>
      </c>
      <c r="AB1733">
        <v>21</v>
      </c>
      <c r="AC1733">
        <v>-25.850599999999901</v>
      </c>
      <c r="AD1733">
        <v>-1.121334827254</v>
      </c>
      <c r="AE1733">
        <v>-1.1698</v>
      </c>
      <c r="AF1733">
        <v>0.148071945572358</v>
      </c>
      <c r="AG1733">
        <v>-1.121334827254</v>
      </c>
      <c r="AH1733">
        <v>25.8281301892067</v>
      </c>
      <c r="AI1733">
        <v>92.485908883624305</v>
      </c>
      <c r="AJ1733">
        <v>89.671528502504401</v>
      </c>
      <c r="AK1733">
        <v>25.8528842910513</v>
      </c>
      <c r="AL1733">
        <v>80.998693036420406</v>
      </c>
      <c r="AM1733">
        <v>87.449120667157203</v>
      </c>
      <c r="AN1733">
        <v>1.0000000320971301</v>
      </c>
    </row>
    <row r="1734" spans="1:40" x14ac:dyDescent="0.25">
      <c r="A1734" t="str">
        <f>"20190303162246992"</f>
        <v>20190303162246992</v>
      </c>
      <c r="B1734" t="str">
        <f>"1551601366975962"</f>
        <v>1551601366975962</v>
      </c>
      <c r="C1734" t="s">
        <v>40</v>
      </c>
      <c r="D1734">
        <v>5.6562400000000004</v>
      </c>
      <c r="E1734">
        <v>0.48435850000000003</v>
      </c>
      <c r="F1734" t="s">
        <v>47</v>
      </c>
      <c r="G1734">
        <v>-248.0771</v>
      </c>
      <c r="H1734" s="1">
        <v>2.76145E-6</v>
      </c>
      <c r="I1734">
        <v>283.8159</v>
      </c>
      <c r="J1734">
        <v>-221.3313</v>
      </c>
      <c r="K1734">
        <v>1.1213150000000001</v>
      </c>
      <c r="L1734">
        <v>285.04419999999999</v>
      </c>
      <c r="M1734">
        <v>-0.99858820000000004</v>
      </c>
      <c r="N1734">
        <v>-1.2778609999999999E-2</v>
      </c>
      <c r="O1734">
        <v>-5.1558960000000001E-2</v>
      </c>
      <c r="P1734">
        <v>-0.98952359999999995</v>
      </c>
      <c r="Q1734">
        <v>0.1441819</v>
      </c>
      <c r="R1734">
        <v>-7.3999319999999997E-3</v>
      </c>
      <c r="S1734">
        <v>-3.0488590000000002</v>
      </c>
      <c r="T1734">
        <v>-0.1268243</v>
      </c>
      <c r="U1734">
        <v>-0.1402283</v>
      </c>
      <c r="V1734">
        <v>4.3466999999999999E-2</v>
      </c>
      <c r="W1734">
        <v>0.1568493</v>
      </c>
      <c r="X1734">
        <v>0.98666549999999997</v>
      </c>
      <c r="Y1734">
        <v>5.5970949999999998E-3</v>
      </c>
      <c r="Z1734">
        <v>1.6346620000000001E-3</v>
      </c>
      <c r="AA1734">
        <v>0.99998299999999996</v>
      </c>
      <c r="AB1734">
        <v>21</v>
      </c>
      <c r="AC1734">
        <v>-26.745799999999999</v>
      </c>
      <c r="AD1734">
        <v>-1.1213122385500001</v>
      </c>
      <c r="AE1734">
        <v>-1.22829999999999</v>
      </c>
      <c r="AF1734">
        <v>0.152165295120746</v>
      </c>
      <c r="AG1734">
        <v>-1.1213122385500001</v>
      </c>
      <c r="AH1734">
        <v>26.726677732745198</v>
      </c>
      <c r="AI1734">
        <v>92.402384768554896</v>
      </c>
      <c r="AJ1734">
        <v>89.673796530709893</v>
      </c>
      <c r="AK1734">
        <v>26.750622386093799</v>
      </c>
      <c r="AL1734">
        <v>80.975934139808103</v>
      </c>
      <c r="AM1734">
        <v>87.477497333287204</v>
      </c>
      <c r="AN1734">
        <v>0.99999994594486796</v>
      </c>
    </row>
    <row r="1735" spans="1:40" x14ac:dyDescent="0.25">
      <c r="A1735" t="str">
        <f>"20190303162247013"</f>
        <v>20190303162247013</v>
      </c>
      <c r="B1735" t="str">
        <f>"1551601367006219"</f>
        <v>1551601367006219</v>
      </c>
      <c r="C1735" t="s">
        <v>40</v>
      </c>
      <c r="D1735">
        <v>5.6538339999999998</v>
      </c>
      <c r="E1735">
        <v>0.4847071</v>
      </c>
      <c r="F1735" t="s">
        <v>47</v>
      </c>
      <c r="G1735">
        <v>-249.21680000000001</v>
      </c>
      <c r="H1735" s="1">
        <v>3.3679439999999999E-6</v>
      </c>
      <c r="I1735">
        <v>283.74400000000003</v>
      </c>
      <c r="J1735">
        <v>-221.52109999999999</v>
      </c>
      <c r="K1735">
        <v>1.121294</v>
      </c>
      <c r="L1735">
        <v>285.03370000000001</v>
      </c>
      <c r="M1735">
        <v>-0.99855919999999998</v>
      </c>
      <c r="N1735">
        <v>-1.2413179999999999E-2</v>
      </c>
      <c r="O1735">
        <v>-5.220586E-2</v>
      </c>
      <c r="P1735">
        <v>-0.98921780000000004</v>
      </c>
      <c r="Q1735">
        <v>0.14628859999999999</v>
      </c>
      <c r="R1735">
        <v>-6.9170029999999997E-3</v>
      </c>
      <c r="S1735">
        <v>-3.0485530000000001</v>
      </c>
      <c r="T1735">
        <v>-0.1225861</v>
      </c>
      <c r="U1735">
        <v>-0.1421509</v>
      </c>
      <c r="V1735">
        <v>4.455837E-2</v>
      </c>
      <c r="W1735">
        <v>0.15859529999999999</v>
      </c>
      <c r="X1735">
        <v>0.98633769999999998</v>
      </c>
      <c r="Y1735">
        <v>5.6124039999999997E-3</v>
      </c>
      <c r="Z1735">
        <v>1.595579E-3</v>
      </c>
      <c r="AA1735">
        <v>0.99998299999999996</v>
      </c>
      <c r="AB1735">
        <v>21</v>
      </c>
      <c r="AC1735">
        <v>-27.695699999999999</v>
      </c>
      <c r="AD1735">
        <v>-1.1212906320559901</v>
      </c>
      <c r="AE1735">
        <v>-1.2896999999999801</v>
      </c>
      <c r="AF1735">
        <v>0.15779013455976099</v>
      </c>
      <c r="AG1735">
        <v>-1.1212906320559901</v>
      </c>
      <c r="AH1735">
        <v>27.679989112366499</v>
      </c>
      <c r="AI1735">
        <v>92.319692800360201</v>
      </c>
      <c r="AJ1735">
        <v>89.673388208507205</v>
      </c>
      <c r="AK1735">
        <v>27.703140393623698</v>
      </c>
      <c r="AL1735">
        <v>80.874628074543693</v>
      </c>
      <c r="AM1735">
        <v>87.413389031180799</v>
      </c>
      <c r="AN1735">
        <v>0.99999998798021805</v>
      </c>
    </row>
    <row r="1736" spans="1:40" x14ac:dyDescent="0.25">
      <c r="A1736" t="str">
        <f>"20190303162247036"</f>
        <v>20190303162247036</v>
      </c>
      <c r="B1736" t="str">
        <f>"1551601367025739"</f>
        <v>1551601367025739</v>
      </c>
      <c r="C1736" t="s">
        <v>40</v>
      </c>
      <c r="D1736">
        <v>5.660285</v>
      </c>
      <c r="E1736">
        <v>0.49057390000000001</v>
      </c>
      <c r="F1736" t="s">
        <v>47</v>
      </c>
      <c r="G1736">
        <v>-251.13820000000001</v>
      </c>
      <c r="H1736" s="1">
        <v>-9.3112369999999996E-7</v>
      </c>
      <c r="I1736">
        <v>283.68220000000002</v>
      </c>
      <c r="J1736">
        <v>-221.7413</v>
      </c>
      <c r="K1736">
        <v>1.121267</v>
      </c>
      <c r="L1736">
        <v>285.02120000000002</v>
      </c>
      <c r="M1736">
        <v>-0.99852019999999997</v>
      </c>
      <c r="N1736">
        <v>-1.1935339999999999E-2</v>
      </c>
      <c r="O1736">
        <v>-5.3058340000000002E-2</v>
      </c>
      <c r="P1736">
        <v>-0.98896499999999998</v>
      </c>
      <c r="Q1736">
        <v>0.14799880000000001</v>
      </c>
      <c r="R1736">
        <v>-6.6962050000000002E-3</v>
      </c>
      <c r="S1736">
        <v>-3.0487980000000001</v>
      </c>
      <c r="T1736">
        <v>-0.1154269</v>
      </c>
      <c r="U1736">
        <v>-0.13912959999999999</v>
      </c>
      <c r="V1736">
        <v>4.5587750000000003E-2</v>
      </c>
      <c r="W1736">
        <v>0.15983710000000001</v>
      </c>
      <c r="X1736">
        <v>0.98609020000000003</v>
      </c>
      <c r="Y1736">
        <v>7.4595989999999999E-3</v>
      </c>
      <c r="Z1736">
        <v>1.558128E-3</v>
      </c>
      <c r="AA1736">
        <v>0.99997100000000005</v>
      </c>
      <c r="AB1736">
        <v>21</v>
      </c>
      <c r="AC1736">
        <v>-29.396899999999999</v>
      </c>
      <c r="AD1736">
        <v>-1.1212679311236999</v>
      </c>
      <c r="AE1736">
        <v>-1.33899999999999</v>
      </c>
      <c r="AF1736">
        <v>0.222425084517515</v>
      </c>
      <c r="AG1736">
        <v>-1.1212679311236999</v>
      </c>
      <c r="AH1736">
        <v>29.383875841460899</v>
      </c>
      <c r="AI1736">
        <v>92.185243613616805</v>
      </c>
      <c r="AJ1736">
        <v>89.566300399919598</v>
      </c>
      <c r="AK1736">
        <v>29.406102668629501</v>
      </c>
      <c r="AL1736">
        <v>80.802559058584606</v>
      </c>
      <c r="AM1736">
        <v>87.353054314877795</v>
      </c>
      <c r="AN1736">
        <v>1.00000001201125</v>
      </c>
    </row>
    <row r="1737" spans="1:40" x14ac:dyDescent="0.25">
      <c r="A1737" t="str">
        <f>"20190303162247058"</f>
        <v>20190303162247058</v>
      </c>
      <c r="B1737" t="str">
        <f>"1551601367046235"</f>
        <v>1551601367046235</v>
      </c>
      <c r="C1737" t="s">
        <v>40</v>
      </c>
      <c r="D1737">
        <v>5.4580760000000001</v>
      </c>
      <c r="E1737">
        <v>0.49053989999999997</v>
      </c>
      <c r="F1737" t="s">
        <v>47</v>
      </c>
      <c r="G1737">
        <v>-251.54910000000001</v>
      </c>
      <c r="H1737" s="1">
        <v>-7.1240610000000005E-7</v>
      </c>
      <c r="I1737">
        <v>284.11759999999998</v>
      </c>
      <c r="J1737">
        <v>-221.95320000000001</v>
      </c>
      <c r="K1737">
        <v>1.121237</v>
      </c>
      <c r="L1737">
        <v>285.00900000000001</v>
      </c>
      <c r="M1737">
        <v>-0.99847719999999995</v>
      </c>
      <c r="N1737">
        <v>-1.143015E-2</v>
      </c>
      <c r="O1737">
        <v>-5.3969290000000003E-2</v>
      </c>
      <c r="P1737">
        <v>-0.98903050000000003</v>
      </c>
      <c r="Q1737">
        <v>0.1475832</v>
      </c>
      <c r="R1737">
        <v>-6.1695569999999896E-3</v>
      </c>
      <c r="S1737">
        <v>-3.0500340000000001</v>
      </c>
      <c r="T1737">
        <v>-0.11473170000000001</v>
      </c>
      <c r="U1737">
        <v>-9.2468259999999997E-2</v>
      </c>
      <c r="V1737">
        <v>4.6998829999999998E-2</v>
      </c>
      <c r="W1737">
        <v>0.158931399999999</v>
      </c>
      <c r="X1737">
        <v>0.9861704</v>
      </c>
      <c r="Y1737">
        <v>2.3648760000000001E-2</v>
      </c>
      <c r="Z1737">
        <v>1.9906289999999998E-3</v>
      </c>
      <c r="AA1737">
        <v>0.99971840000000001</v>
      </c>
      <c r="AB1737">
        <v>21</v>
      </c>
      <c r="AC1737">
        <v>-29.5959</v>
      </c>
      <c r="AD1737">
        <v>-1.1212377124060999</v>
      </c>
      <c r="AE1737">
        <v>-0.89140000000003194</v>
      </c>
      <c r="AF1737">
        <v>0.70626056635589796</v>
      </c>
      <c r="AG1737">
        <v>-1.1212377124060999</v>
      </c>
      <c r="AH1737">
        <v>29.558486711519599</v>
      </c>
      <c r="AI1737">
        <v>92.171731565431799</v>
      </c>
      <c r="AJ1737">
        <v>88.631254299620593</v>
      </c>
      <c r="AK1737">
        <v>29.588175250771901</v>
      </c>
      <c r="AL1737">
        <v>80.855124326880599</v>
      </c>
      <c r="AM1737">
        <v>87.271466827511603</v>
      </c>
      <c r="AN1737">
        <v>1.0000000688817401</v>
      </c>
    </row>
    <row r="1738" spans="1:40" x14ac:dyDescent="0.25">
      <c r="A1738" t="str">
        <f>"20190303162247079"</f>
        <v>20190303162247079</v>
      </c>
      <c r="B1738" t="str">
        <f>"1551601367065755"</f>
        <v>1551601367065755</v>
      </c>
      <c r="C1738" t="s">
        <v>40</v>
      </c>
      <c r="D1738">
        <v>5.7335479999999999</v>
      </c>
      <c r="E1738">
        <v>0.48713649999999997</v>
      </c>
      <c r="F1738" t="s">
        <v>47</v>
      </c>
      <c r="G1738">
        <v>-250.94929999999999</v>
      </c>
      <c r="H1738" s="1">
        <v>-1.0315960000000001E-6</v>
      </c>
      <c r="I1738">
        <v>284.14389999999997</v>
      </c>
      <c r="J1738">
        <v>-222.15469999999999</v>
      </c>
      <c r="K1738">
        <v>1.121197</v>
      </c>
      <c r="L1738">
        <v>284.99709999999999</v>
      </c>
      <c r="M1738">
        <v>-0.99843230000000005</v>
      </c>
      <c r="N1738">
        <v>-1.092284E-2</v>
      </c>
      <c r="O1738">
        <v>-5.4897179999999997E-2</v>
      </c>
      <c r="P1738">
        <v>-0.98915589999999998</v>
      </c>
      <c r="Q1738">
        <v>0.14674499999999999</v>
      </c>
      <c r="R1738">
        <v>-6.0759550000000001E-3</v>
      </c>
      <c r="S1738">
        <v>-3.0502929999999999</v>
      </c>
      <c r="T1738">
        <v>-0.11795020000000001</v>
      </c>
      <c r="U1738">
        <v>-9.1003420000000002E-2</v>
      </c>
      <c r="V1738">
        <v>4.8002629999999998E-2</v>
      </c>
      <c r="W1738">
        <v>0.1576004</v>
      </c>
      <c r="X1738">
        <v>0.98633559999999998</v>
      </c>
      <c r="Y1738">
        <v>2.505491E-2</v>
      </c>
      <c r="Z1738">
        <v>2.1416500000000002E-3</v>
      </c>
      <c r="AA1738">
        <v>0.99968380000000001</v>
      </c>
      <c r="AB1738">
        <v>21</v>
      </c>
      <c r="AC1738">
        <v>-28.794599999999999</v>
      </c>
      <c r="AD1738">
        <v>-1.121198031596</v>
      </c>
      <c r="AE1738">
        <v>-0.85320000000001495</v>
      </c>
      <c r="AF1738">
        <v>0.72782084271692604</v>
      </c>
      <c r="AG1738">
        <v>-1.121198031596</v>
      </c>
      <c r="AH1738">
        <v>28.754456131701399</v>
      </c>
      <c r="AI1738">
        <v>92.2322401320598</v>
      </c>
      <c r="AJ1738">
        <v>88.550062636112798</v>
      </c>
      <c r="AK1738">
        <v>28.785509473259001</v>
      </c>
      <c r="AL1738">
        <v>80.932358046852301</v>
      </c>
      <c r="AM1738">
        <v>87.213747786174906</v>
      </c>
      <c r="AN1738">
        <v>1.00000002719721</v>
      </c>
    </row>
    <row r="1739" spans="1:40" x14ac:dyDescent="0.25">
      <c r="A1739" t="str">
        <f>"20190303162247103"</f>
        <v>20190303162247103</v>
      </c>
      <c r="B1739" t="str">
        <f>"1551601367096012"</f>
        <v>1551601367096012</v>
      </c>
      <c r="C1739" t="s">
        <v>40</v>
      </c>
      <c r="D1739">
        <v>5.62697</v>
      </c>
      <c r="E1739">
        <v>0.45880939999999998</v>
      </c>
      <c r="F1739" t="s">
        <v>47</v>
      </c>
      <c r="G1739">
        <v>-252.29470000000001</v>
      </c>
      <c r="H1739" s="1">
        <v>-3.1568430000000001E-7</v>
      </c>
      <c r="I1739">
        <v>283.8356</v>
      </c>
      <c r="J1739">
        <v>-222.3793</v>
      </c>
      <c r="K1739">
        <v>1.121148</v>
      </c>
      <c r="L1739">
        <v>284.98349999999999</v>
      </c>
      <c r="M1739">
        <v>-0.99837869999999995</v>
      </c>
      <c r="N1739">
        <v>-1.0345389999999999E-2</v>
      </c>
      <c r="O1739">
        <v>-5.5973429999999998E-2</v>
      </c>
      <c r="P1739">
        <v>-0.98909610000000003</v>
      </c>
      <c r="Q1739">
        <v>0.1471596</v>
      </c>
      <c r="R1739">
        <v>-5.7667009999999999E-3</v>
      </c>
      <c r="S1739">
        <v>-3.0489809999999999</v>
      </c>
      <c r="T1739">
        <v>-0.1134212</v>
      </c>
      <c r="U1739">
        <v>-0.11749270000000001</v>
      </c>
      <c r="V1739">
        <v>4.9362080000000003E-2</v>
      </c>
      <c r="W1739">
        <v>0.15744920000000001</v>
      </c>
      <c r="X1739">
        <v>0.98629259999999996</v>
      </c>
      <c r="Y1739">
        <v>1.745329E-2</v>
      </c>
      <c r="Z1739">
        <v>1.9149729999999999E-3</v>
      </c>
      <c r="AA1739">
        <v>0.99984589999999995</v>
      </c>
      <c r="AB1739">
        <v>21</v>
      </c>
      <c r="AC1739">
        <v>-29.915400000000002</v>
      </c>
      <c r="AD1739">
        <v>-1.1211483156843001</v>
      </c>
      <c r="AE1739">
        <v>-1.1478999999999899</v>
      </c>
      <c r="AF1739">
        <v>0.52771678346339301</v>
      </c>
      <c r="AG1739">
        <v>-1.1211483156843001</v>
      </c>
      <c r="AH1739">
        <v>29.8908293336569</v>
      </c>
      <c r="AI1739">
        <v>92.147714690237294</v>
      </c>
      <c r="AJ1739">
        <v>88.988559223803605</v>
      </c>
      <c r="AK1739">
        <v>29.9165027502066</v>
      </c>
      <c r="AL1739">
        <v>80.941130255968204</v>
      </c>
      <c r="AM1739">
        <v>87.134845185717097</v>
      </c>
      <c r="AN1739">
        <v>0.99999997916866201</v>
      </c>
    </row>
    <row r="1740" spans="1:40" x14ac:dyDescent="0.25">
      <c r="A1740" t="str">
        <f>"20190303162247125"</f>
        <v>20190303162247125</v>
      </c>
      <c r="B1740" t="str">
        <f>"1551601367116508"</f>
        <v>1551601367116508</v>
      </c>
      <c r="C1740" t="s">
        <v>40</v>
      </c>
      <c r="D1740">
        <v>5.5411659999999996</v>
      </c>
      <c r="E1740">
        <v>0.4565707</v>
      </c>
      <c r="F1740" t="s">
        <v>47</v>
      </c>
      <c r="G1740">
        <v>-253.94579999999999</v>
      </c>
      <c r="H1740" s="1">
        <v>5.6296559999999999E-7</v>
      </c>
      <c r="I1740">
        <v>281.43639999999999</v>
      </c>
      <c r="J1740">
        <v>-222.58260000000001</v>
      </c>
      <c r="K1740">
        <v>1.1210789999999999</v>
      </c>
      <c r="L1740">
        <v>284.971</v>
      </c>
      <c r="M1740">
        <v>-0.99832829999999995</v>
      </c>
      <c r="N1740">
        <v>-9.8251740000000008E-3</v>
      </c>
      <c r="O1740">
        <v>-5.6957670000000002E-2</v>
      </c>
      <c r="P1740">
        <v>-0.98872090000000001</v>
      </c>
      <c r="Q1740">
        <v>0.14965889999999901</v>
      </c>
      <c r="R1740">
        <v>-5.7921209999999999E-3</v>
      </c>
      <c r="S1740">
        <v>-3.04718</v>
      </c>
      <c r="T1740">
        <v>-0.1082267</v>
      </c>
      <c r="U1740">
        <v>-0.34240720000000002</v>
      </c>
      <c r="V1740">
        <v>5.0286499999999998E-2</v>
      </c>
      <c r="W1740">
        <v>0.1594323</v>
      </c>
      <c r="X1740">
        <v>0.98592729999999995</v>
      </c>
      <c r="Y1740">
        <v>-5.4855149999999998E-2</v>
      </c>
      <c r="Z1740">
        <v>2.139136E-4</v>
      </c>
      <c r="AA1740">
        <v>0.99849429999999995</v>
      </c>
      <c r="AB1740">
        <v>21</v>
      </c>
      <c r="AC1740">
        <v>-31.3631999999999</v>
      </c>
      <c r="AD1740">
        <v>-1.1210784370344</v>
      </c>
      <c r="AE1740">
        <v>-3.53460000000001</v>
      </c>
      <c r="AF1740">
        <v>-1.74020483904532</v>
      </c>
      <c r="AG1740">
        <v>-1.1210784370344</v>
      </c>
      <c r="AH1740">
        <v>31.473902108172801</v>
      </c>
      <c r="AI1740">
        <v>92.036864885072404</v>
      </c>
      <c r="AJ1740">
        <v>93.164684715532005</v>
      </c>
      <c r="AK1740">
        <v>31.5419029809342</v>
      </c>
      <c r="AL1740">
        <v>80.826053714846196</v>
      </c>
      <c r="AM1740">
        <v>87.080200855786899</v>
      </c>
      <c r="AN1740">
        <v>1.0000000156254101</v>
      </c>
    </row>
    <row r="1741" spans="1:40" x14ac:dyDescent="0.25">
      <c r="A1741" t="str">
        <f>"20190303162247146"</f>
        <v>20190303162247146</v>
      </c>
      <c r="B1741" t="str">
        <f>"1551601367136028"</f>
        <v>1551601367136028</v>
      </c>
      <c r="C1741" t="s">
        <v>40</v>
      </c>
      <c r="D1741">
        <v>5.6129639999999998</v>
      </c>
      <c r="E1741">
        <v>0.45595970000000002</v>
      </c>
      <c r="F1741" t="s">
        <v>47</v>
      </c>
      <c r="G1741">
        <v>-254.99950000000001</v>
      </c>
      <c r="H1741" s="1">
        <v>1.123703E-6</v>
      </c>
      <c r="I1741">
        <v>281.13560000000001</v>
      </c>
      <c r="J1741">
        <v>-222.7996</v>
      </c>
      <c r="K1741">
        <v>1.12101299999999</v>
      </c>
      <c r="L1741">
        <v>284.95740000000001</v>
      </c>
      <c r="M1741">
        <v>-0.99827379999999999</v>
      </c>
      <c r="N1741">
        <v>-9.2903039999999992E-3</v>
      </c>
      <c r="O1741">
        <v>-5.7994400000000002E-2</v>
      </c>
      <c r="P1741">
        <v>-0.98828150000000003</v>
      </c>
      <c r="Q1741">
        <v>0.15253329999999901</v>
      </c>
      <c r="R1741">
        <v>-5.7841819999999997E-3</v>
      </c>
      <c r="S1741">
        <v>-3.0480499999999999</v>
      </c>
      <c r="T1741">
        <v>-0.10541109999999999</v>
      </c>
      <c r="U1741">
        <v>-0.36062620000000001</v>
      </c>
      <c r="V1741">
        <v>5.129864E-2</v>
      </c>
      <c r="W1741">
        <v>0.16177329999999901</v>
      </c>
      <c r="X1741">
        <v>0.98549370000000003</v>
      </c>
      <c r="Y1741">
        <v>-5.9674829999999998E-2</v>
      </c>
      <c r="Z1741">
        <v>1.5176910000000001E-4</v>
      </c>
      <c r="AA1741">
        <v>0.99821789999999999</v>
      </c>
      <c r="AB1741">
        <v>22</v>
      </c>
      <c r="AC1741">
        <v>-32.1999</v>
      </c>
      <c r="AD1741">
        <v>-1.1210118762969901</v>
      </c>
      <c r="AE1741">
        <v>-3.8217999999999899</v>
      </c>
      <c r="AF1741">
        <v>-1.9455474625464</v>
      </c>
      <c r="AG1741">
        <v>-1.1210118762969901</v>
      </c>
      <c r="AH1741">
        <v>32.328713611246897</v>
      </c>
      <c r="AI1741">
        <v>91.9823761581778</v>
      </c>
      <c r="AJ1741">
        <v>93.443916170119493</v>
      </c>
      <c r="AK1741">
        <v>32.406597265276801</v>
      </c>
      <c r="AL1741">
        <v>80.690160023380898</v>
      </c>
      <c r="AM1741">
        <v>87.020229352977196</v>
      </c>
      <c r="AN1741">
        <v>0.99999999189921396</v>
      </c>
    </row>
    <row r="1742" spans="1:40" x14ac:dyDescent="0.25">
      <c r="A1742" t="str">
        <f>"20190303162247169"</f>
        <v>20190303162247169</v>
      </c>
      <c r="B1742" t="str">
        <f>"1551601367156523"</f>
        <v>1551601367156523</v>
      </c>
      <c r="C1742" t="s">
        <v>40</v>
      </c>
      <c r="D1742">
        <v>5.6101099999999997</v>
      </c>
      <c r="E1742">
        <v>0.45568399999999998</v>
      </c>
      <c r="F1742" t="s">
        <v>47</v>
      </c>
      <c r="G1742">
        <v>-257.65019999999998</v>
      </c>
      <c r="H1742" s="1">
        <v>2.534277E-6</v>
      </c>
      <c r="I1742">
        <v>280.78250000000003</v>
      </c>
      <c r="J1742">
        <v>-223.0187</v>
      </c>
      <c r="K1742">
        <v>1.1209229999999999</v>
      </c>
      <c r="L1742">
        <v>284.94349999999997</v>
      </c>
      <c r="M1742">
        <v>-0.99821970000000004</v>
      </c>
      <c r="N1742">
        <v>-8.7816909999999995E-3</v>
      </c>
      <c r="O1742">
        <v>-5.8993520000000001E-2</v>
      </c>
      <c r="P1742">
        <v>-0.98796110000000004</v>
      </c>
      <c r="Q1742">
        <v>0.15456239999999999</v>
      </c>
      <c r="R1742">
        <v>-6.59328E-3</v>
      </c>
      <c r="S1742">
        <v>-3.0485690000000001</v>
      </c>
      <c r="T1742">
        <v>-9.8060729999999999E-2</v>
      </c>
      <c r="U1742">
        <v>-0.36520390000000003</v>
      </c>
      <c r="V1742">
        <v>5.1473240000000003E-2</v>
      </c>
      <c r="W1742">
        <v>0.16329389999999999</v>
      </c>
      <c r="X1742">
        <v>0.98523380000000005</v>
      </c>
      <c r="Y1742">
        <v>-6.0137339999999997E-2</v>
      </c>
      <c r="Z1742">
        <v>1.4246469999999999E-4</v>
      </c>
      <c r="AA1742">
        <v>0.99819009999999997</v>
      </c>
      <c r="AB1742">
        <v>22</v>
      </c>
      <c r="AC1742">
        <v>-34.631499999999903</v>
      </c>
      <c r="AD1742">
        <v>-1.1209204657230001</v>
      </c>
      <c r="AE1742">
        <v>-4.1609999999999401</v>
      </c>
      <c r="AF1742">
        <v>-2.1084621016301002</v>
      </c>
      <c r="AG1742">
        <v>-1.1209204657230001</v>
      </c>
      <c r="AH1742">
        <v>34.780742700541701</v>
      </c>
      <c r="AI1742">
        <v>91.842520332775507</v>
      </c>
      <c r="AJ1742">
        <v>93.469112779682504</v>
      </c>
      <c r="AK1742">
        <v>34.862618058972203</v>
      </c>
      <c r="AL1742">
        <v>80.601862185098597</v>
      </c>
      <c r="AM1742">
        <v>87.009318490964105</v>
      </c>
      <c r="AN1742">
        <v>1.00000001643787</v>
      </c>
    </row>
    <row r="1743" spans="1:40" x14ac:dyDescent="0.25">
      <c r="A1743" t="str">
        <f>"20190303162247193"</f>
        <v>20190303162247193</v>
      </c>
      <c r="B1743" t="str">
        <f>"1551601367166283"</f>
        <v>1551601367166283</v>
      </c>
      <c r="C1743" t="s">
        <v>40</v>
      </c>
      <c r="D1743">
        <v>5.6117949999999999</v>
      </c>
      <c r="E1743">
        <v>0.45551429999999998</v>
      </c>
      <c r="F1743" t="s">
        <v>47</v>
      </c>
      <c r="G1743">
        <v>-259.28109999999998</v>
      </c>
      <c r="H1743" s="1">
        <v>3.4021539999999998E-6</v>
      </c>
      <c r="I1743">
        <v>280.548</v>
      </c>
      <c r="J1743">
        <v>-223.25380000000001</v>
      </c>
      <c r="K1743">
        <v>1.120811</v>
      </c>
      <c r="L1743">
        <v>284.92849999999999</v>
      </c>
      <c r="M1743">
        <v>-0.99816579999999999</v>
      </c>
      <c r="N1743">
        <v>-8.2764069999999995E-3</v>
      </c>
      <c r="O1743">
        <v>-5.997185E-2</v>
      </c>
      <c r="P1743">
        <v>-0.98781660000000004</v>
      </c>
      <c r="Q1743">
        <v>0.15548329999999999</v>
      </c>
      <c r="R1743">
        <v>-6.594801E-3</v>
      </c>
      <c r="S1743">
        <v>-3.0488430000000002</v>
      </c>
      <c r="T1743">
        <v>-9.4243880000000002E-2</v>
      </c>
      <c r="U1743">
        <v>-0.3695679</v>
      </c>
      <c r="V1743">
        <v>5.2453550000000002E-2</v>
      </c>
      <c r="W1743">
        <v>0.163708399999999</v>
      </c>
      <c r="X1743">
        <v>0.98511329999999997</v>
      </c>
      <c r="Y1743">
        <v>-6.0559109999999999E-2</v>
      </c>
      <c r="Z1743">
        <v>1.6502770000000001E-4</v>
      </c>
      <c r="AA1743">
        <v>0.99816459999999996</v>
      </c>
      <c r="AB1743">
        <v>22</v>
      </c>
      <c r="AC1743">
        <v>-36.027299999999897</v>
      </c>
      <c r="AD1743">
        <v>-1.1208075978459999</v>
      </c>
      <c r="AE1743">
        <v>-4.3804999999999801</v>
      </c>
      <c r="AF1743">
        <v>-2.2098095580232102</v>
      </c>
      <c r="AG1743">
        <v>-1.1208075978459999</v>
      </c>
      <c r="AH1743">
        <v>36.190648482749197</v>
      </c>
      <c r="AI1743">
        <v>91.770561290060698</v>
      </c>
      <c r="AJ1743">
        <v>93.494155679261993</v>
      </c>
      <c r="AK1743">
        <v>36.275370508873401</v>
      </c>
      <c r="AL1743">
        <v>80.577789118606205</v>
      </c>
      <c r="AM1743">
        <v>86.952095128378602</v>
      </c>
      <c r="AN1743">
        <v>1.0000000144875201</v>
      </c>
    </row>
    <row r="1744" spans="1:40" x14ac:dyDescent="0.25">
      <c r="A1744" t="str">
        <f>"20190303162247217"</f>
        <v>20190303162247217</v>
      </c>
      <c r="B1744" t="str">
        <f>"1551601367206344"</f>
        <v>1551601367206344</v>
      </c>
      <c r="C1744" t="s">
        <v>40</v>
      </c>
      <c r="D1744">
        <v>5.6677920000000004</v>
      </c>
      <c r="E1744">
        <v>0.45520379999999999</v>
      </c>
      <c r="F1744" t="s">
        <v>47</v>
      </c>
      <c r="G1744">
        <v>-259.6721</v>
      </c>
      <c r="H1744" s="1">
        <v>3.610217E-6</v>
      </c>
      <c r="I1744">
        <v>280.50119999999998</v>
      </c>
      <c r="J1744">
        <v>-223.4828</v>
      </c>
      <c r="K1744">
        <v>1.120689</v>
      </c>
      <c r="L1744">
        <v>284.91379999999998</v>
      </c>
      <c r="M1744">
        <v>-0.99811950000000005</v>
      </c>
      <c r="N1744">
        <v>-7.8233569999999995E-3</v>
      </c>
      <c r="O1744">
        <v>-6.0800010000000002E-2</v>
      </c>
      <c r="P1744">
        <v>-0.98785540000000005</v>
      </c>
      <c r="Q1744">
        <v>0.1552605</v>
      </c>
      <c r="R1744">
        <v>-6.0250199999999999E-3</v>
      </c>
      <c r="S1744">
        <v>-3.0493009999999998</v>
      </c>
      <c r="T1744">
        <v>-9.3845010000000006E-2</v>
      </c>
      <c r="U1744">
        <v>-0.370697</v>
      </c>
      <c r="V1744">
        <v>5.3873869999999997E-2</v>
      </c>
      <c r="W1744">
        <v>0.16303099999999901</v>
      </c>
      <c r="X1744">
        <v>0.98514900000000005</v>
      </c>
      <c r="Y1744">
        <v>-6.0079140000000003E-2</v>
      </c>
      <c r="Z1744">
        <v>2.2996759999999999E-4</v>
      </c>
      <c r="AA1744">
        <v>0.99819360000000001</v>
      </c>
      <c r="AB1744">
        <v>22</v>
      </c>
      <c r="AC1744">
        <v>-36.189300000000003</v>
      </c>
      <c r="AD1744">
        <v>-1.120685389783</v>
      </c>
      <c r="AE1744">
        <v>-4.4125999999999896</v>
      </c>
      <c r="AF1744">
        <v>-2.2019786259563698</v>
      </c>
      <c r="AG1744">
        <v>-1.120685389783</v>
      </c>
      <c r="AH1744">
        <v>36.356284844771103</v>
      </c>
      <c r="AI1744">
        <v>91.762360468396096</v>
      </c>
      <c r="AJ1744">
        <v>93.465979842882604</v>
      </c>
      <c r="AK1744">
        <v>36.440143980590598</v>
      </c>
      <c r="AL1744">
        <v>80.617129939320094</v>
      </c>
      <c r="AM1744">
        <v>86.869840141765806</v>
      </c>
      <c r="AN1744">
        <v>1.0000000265153799</v>
      </c>
    </row>
    <row r="1745" spans="1:40" x14ac:dyDescent="0.25">
      <c r="A1745" t="str">
        <f>"20190303162247237"</f>
        <v>20190303162247237</v>
      </c>
      <c r="B1745" t="str">
        <f>"1551601367225862"</f>
        <v>1551601367225862</v>
      </c>
      <c r="C1745" t="s">
        <v>40</v>
      </c>
      <c r="D1745">
        <v>5.5012540000000003</v>
      </c>
      <c r="E1745">
        <v>0.4549243</v>
      </c>
      <c r="F1745" t="s">
        <v>47</v>
      </c>
      <c r="G1745">
        <v>-258.34500000000003</v>
      </c>
      <c r="H1745" s="1">
        <v>2.9040160000000001E-6</v>
      </c>
      <c r="I1745">
        <v>280.66590000000002</v>
      </c>
      <c r="J1745">
        <v>-223.68729999999999</v>
      </c>
      <c r="K1745">
        <v>1.120571</v>
      </c>
      <c r="L1745">
        <v>284.9006</v>
      </c>
      <c r="M1745">
        <v>-0.99808479999999999</v>
      </c>
      <c r="N1745">
        <v>-7.446093E-3</v>
      </c>
      <c r="O1745">
        <v>-6.1411670000000002E-2</v>
      </c>
      <c r="P1745">
        <v>-0.98787720000000001</v>
      </c>
      <c r="Q1745">
        <v>0.15513740000000001</v>
      </c>
      <c r="R1745">
        <v>-5.5992269999999896E-3</v>
      </c>
      <c r="S1745">
        <v>-3.0500340000000001</v>
      </c>
      <c r="T1745">
        <v>-9.8046900000000006E-2</v>
      </c>
      <c r="U1745">
        <v>-0.3716431</v>
      </c>
      <c r="V1745">
        <v>5.4936550000000001E-2</v>
      </c>
      <c r="W1745">
        <v>0.16252610000000001</v>
      </c>
      <c r="X1745">
        <v>0.98517370000000004</v>
      </c>
      <c r="Y1745">
        <v>-5.9744350000000002E-2</v>
      </c>
      <c r="Z1745">
        <v>3.2764639999999999E-4</v>
      </c>
      <c r="AA1745">
        <v>0.99821360000000003</v>
      </c>
      <c r="AB1745">
        <v>22</v>
      </c>
      <c r="AC1745">
        <v>-34.657699999999998</v>
      </c>
      <c r="AD1745">
        <v>-1.1205680959839901</v>
      </c>
      <c r="AE1745">
        <v>-4.2346999999999699</v>
      </c>
      <c r="AF1745">
        <v>-2.09610152154755</v>
      </c>
      <c r="AG1745">
        <v>-1.1205680959839901</v>
      </c>
      <c r="AH1745">
        <v>34.816486623699397</v>
      </c>
      <c r="AI1745">
        <v>91.840097999149194</v>
      </c>
      <c r="AJ1745">
        <v>93.445292637136106</v>
      </c>
      <c r="AK1745">
        <v>34.897522193769198</v>
      </c>
      <c r="AL1745">
        <v>80.646449266135093</v>
      </c>
      <c r="AM1745">
        <v>86.8083029834374</v>
      </c>
      <c r="AN1745">
        <v>0.99999998843940097</v>
      </c>
    </row>
    <row r="1746" spans="1:40" x14ac:dyDescent="0.25">
      <c r="A1746" t="str">
        <f>"20190303162247337"</f>
        <v>20190303162247337</v>
      </c>
      <c r="B1746" t="str">
        <f>"1551601367326092"</f>
        <v>1551601367326092</v>
      </c>
      <c r="C1746" t="s">
        <v>40</v>
      </c>
      <c r="D1746">
        <v>4.5396869999999998</v>
      </c>
      <c r="E1746">
        <v>0.43583139999999998</v>
      </c>
      <c r="F1746" t="s">
        <v>47</v>
      </c>
      <c r="G1746">
        <v>-258.26429999999999</v>
      </c>
      <c r="H1746" s="1">
        <v>2.861031E-6</v>
      </c>
      <c r="I1746">
        <v>280.6694</v>
      </c>
      <c r="J1746">
        <v>-224.70769999999999</v>
      </c>
      <c r="K1746">
        <v>1.1200030000000001</v>
      </c>
      <c r="L1746">
        <v>284.83550000000002</v>
      </c>
      <c r="M1746">
        <v>-0.99801680000000004</v>
      </c>
      <c r="N1746">
        <v>-5.7658630000000004E-3</v>
      </c>
      <c r="O1746">
        <v>-6.2685089999999999E-2</v>
      </c>
      <c r="P1746">
        <v>-0.98802889999999999</v>
      </c>
      <c r="Q1746">
        <v>0.15422439999999901</v>
      </c>
      <c r="R1746">
        <v>-3.6891760000000002E-3</v>
      </c>
      <c r="S1746">
        <v>-3.050217</v>
      </c>
      <c r="T1746">
        <v>-9.8851320000000006E-2</v>
      </c>
      <c r="U1746">
        <v>-0.3732605</v>
      </c>
      <c r="V1746">
        <v>5.826506E-2</v>
      </c>
      <c r="W1746">
        <v>0.159904399999999</v>
      </c>
      <c r="X1746">
        <v>0.9854115</v>
      </c>
      <c r="Y1746">
        <v>-5.8990710000000002E-2</v>
      </c>
      <c r="Z1746">
        <v>5.3711949999999905E-4</v>
      </c>
      <c r="AA1746">
        <v>0.99825839999999999</v>
      </c>
      <c r="AB1746">
        <v>23</v>
      </c>
      <c r="AC1746">
        <v>-33.556600000000003</v>
      </c>
      <c r="AD1746">
        <v>-1.120000138969</v>
      </c>
      <c r="AE1746">
        <v>-4.1661000000000197</v>
      </c>
      <c r="AF1746">
        <v>-2.0521219078476798</v>
      </c>
      <c r="AG1746">
        <v>-1.120000138969</v>
      </c>
      <c r="AH1746">
        <v>33.714772879477998</v>
      </c>
      <c r="AI1746">
        <v>91.899146104234006</v>
      </c>
      <c r="AJ1746">
        <v>93.483133208236794</v>
      </c>
      <c r="AK1746">
        <v>33.795732200246</v>
      </c>
      <c r="AL1746">
        <v>80.798652971203396</v>
      </c>
      <c r="AM1746">
        <v>86.6161752698642</v>
      </c>
      <c r="AN1746">
        <v>1.0000000293442</v>
      </c>
    </row>
    <row r="1747" spans="1:40" x14ac:dyDescent="0.25">
      <c r="A1747" t="str">
        <f>"20190303162247358"</f>
        <v>20190303162247358</v>
      </c>
      <c r="B1747" t="str">
        <f>"1551601367346592"</f>
        <v>1551601367346592</v>
      </c>
      <c r="C1747" t="s">
        <v>40</v>
      </c>
      <c r="D1747">
        <v>5.4748169999999998</v>
      </c>
      <c r="E1747">
        <v>0.52537069999999997</v>
      </c>
      <c r="F1747" t="s">
        <v>47</v>
      </c>
      <c r="G1747">
        <v>-233.98159999999999</v>
      </c>
      <c r="H1747" s="1">
        <v>6.4138459999999995E-7</v>
      </c>
      <c r="I1747">
        <v>283.25799999999998</v>
      </c>
      <c r="J1747">
        <v>-224.91319999999999</v>
      </c>
      <c r="K1747">
        <v>1.1199330000000001</v>
      </c>
      <c r="L1747">
        <v>284.82249999999999</v>
      </c>
      <c r="M1747">
        <v>-0.99801830000000002</v>
      </c>
      <c r="N1747">
        <v>-5.4668039999999996E-3</v>
      </c>
      <c r="O1747">
        <v>-6.2685500000000005E-2</v>
      </c>
      <c r="P1747">
        <v>-0.98781909999999895</v>
      </c>
      <c r="Q1747">
        <v>0.15557969999999999</v>
      </c>
      <c r="R1747">
        <v>-2.8901600000000001E-3</v>
      </c>
      <c r="S1747">
        <v>-3.0926819999999999</v>
      </c>
      <c r="T1747">
        <v>-0.37350359999999999</v>
      </c>
      <c r="U1747">
        <v>-0.52606200000000003</v>
      </c>
      <c r="V1747">
        <v>5.9064810000000002E-2</v>
      </c>
      <c r="W1747">
        <v>0.1609582</v>
      </c>
      <c r="X1747">
        <v>0.98519219999999996</v>
      </c>
      <c r="Y1747">
        <v>-0.1051882</v>
      </c>
      <c r="Z1747">
        <v>5.6185849999999999E-4</v>
      </c>
      <c r="AA1747">
        <v>0.99445220000000001</v>
      </c>
      <c r="AB1747">
        <v>23</v>
      </c>
      <c r="AC1747">
        <v>-9.0683999999999898</v>
      </c>
      <c r="AD1747">
        <v>-1.1199323586154</v>
      </c>
      <c r="AE1747">
        <v>-1.5645</v>
      </c>
      <c r="AF1747">
        <v>-0.97846528094994401</v>
      </c>
      <c r="AG1747">
        <v>-1.1199323586154</v>
      </c>
      <c r="AH1747">
        <v>9.0151149210446295</v>
      </c>
      <c r="AI1747">
        <v>97.040547922949699</v>
      </c>
      <c r="AJ1747">
        <v>96.194411986598297</v>
      </c>
      <c r="AK1747">
        <v>9.1369546257787597</v>
      </c>
      <c r="AL1747">
        <v>80.737481429240205</v>
      </c>
      <c r="AM1747">
        <v>86.5690771076613</v>
      </c>
      <c r="AN1747">
        <v>0.99999993243420504</v>
      </c>
    </row>
    <row r="1748" spans="1:40" x14ac:dyDescent="0.25">
      <c r="A1748" t="str">
        <f>"20190303162247371"</f>
        <v>20190303162247371</v>
      </c>
      <c r="B1748" t="str">
        <f>"1551601367366108"</f>
        <v>1551601367366108</v>
      </c>
      <c r="C1748" t="s">
        <v>40</v>
      </c>
      <c r="D1748">
        <v>5.5231700000000004</v>
      </c>
      <c r="E1748">
        <v>0.54483349999999997</v>
      </c>
      <c r="F1748" t="s">
        <v>42</v>
      </c>
      <c r="G1748">
        <v>-225.602</v>
      </c>
      <c r="H1748">
        <v>0.8455859</v>
      </c>
      <c r="I1748">
        <v>284.86130000000003</v>
      </c>
      <c r="J1748">
        <v>-225.05760000000001</v>
      </c>
      <c r="K1748">
        <v>1.1198840000000001</v>
      </c>
      <c r="L1748">
        <v>284.8134</v>
      </c>
      <c r="M1748">
        <v>-0.99802139999999995</v>
      </c>
      <c r="N1748">
        <v>-5.2662749999999999E-3</v>
      </c>
      <c r="O1748">
        <v>-6.2657480000000002E-2</v>
      </c>
      <c r="P1748">
        <v>-0.98773080000000002</v>
      </c>
      <c r="Q1748">
        <v>0.15614819999999999</v>
      </c>
      <c r="R1748">
        <v>-2.383254E-3</v>
      </c>
      <c r="S1748">
        <v>-3.2408290000000002</v>
      </c>
      <c r="T1748">
        <v>-1.290932</v>
      </c>
      <c r="U1748">
        <v>0.18218989999999999</v>
      </c>
      <c r="V1748">
        <v>5.9544359999999998E-2</v>
      </c>
      <c r="W1748">
        <v>0.1613262</v>
      </c>
      <c r="X1748">
        <v>0.98510319999999996</v>
      </c>
      <c r="Y1748">
        <v>0.1057515</v>
      </c>
      <c r="Z1748">
        <v>4.4265069999999997E-2</v>
      </c>
      <c r="AA1748">
        <v>0.99340689999999998</v>
      </c>
      <c r="AB1748">
        <v>23</v>
      </c>
      <c r="AC1748">
        <v>-0.544399999999996</v>
      </c>
      <c r="AD1748">
        <v>-0.27429809999999999</v>
      </c>
      <c r="AE1748">
        <v>4.79000000000269E-2</v>
      </c>
      <c r="AF1748">
        <v>6.5433231576101994E-2</v>
      </c>
      <c r="AG1748">
        <v>-0.27429809999999999</v>
      </c>
      <c r="AH1748">
        <v>0.43160071342213102</v>
      </c>
      <c r="AI1748">
        <v>122.143469491662</v>
      </c>
      <c r="AJ1748">
        <v>81.379266861369004</v>
      </c>
      <c r="AK1748">
        <v>0.51555807750882299</v>
      </c>
      <c r="AL1748">
        <v>80.716117956115596</v>
      </c>
      <c r="AM1748">
        <v>86.540976911329395</v>
      </c>
      <c r="AN1748">
        <v>0.99999999413224405</v>
      </c>
    </row>
    <row r="1749" spans="1:40" x14ac:dyDescent="0.25">
      <c r="A1749" t="str">
        <f>"20190303162247393"</f>
        <v>20190303162247393</v>
      </c>
      <c r="B1749" t="str">
        <f>"1551601367386136"</f>
        <v>1551601367386136</v>
      </c>
      <c r="C1749" t="s">
        <v>40</v>
      </c>
      <c r="D1749">
        <v>5.448995</v>
      </c>
      <c r="E1749">
        <v>0.54538039999999999</v>
      </c>
      <c r="F1749" t="s">
        <v>42</v>
      </c>
      <c r="G1749">
        <v>-225.89490000000001</v>
      </c>
      <c r="H1749">
        <v>1.0240340000000001</v>
      </c>
      <c r="I1749">
        <v>284.90660000000003</v>
      </c>
      <c r="J1749">
        <v>-225.28299999999999</v>
      </c>
      <c r="K1749">
        <v>1.1198239999999999</v>
      </c>
      <c r="L1749">
        <v>284.79939999999999</v>
      </c>
      <c r="M1749">
        <v>-0.99802760000000001</v>
      </c>
      <c r="N1749">
        <v>-4.9681279999999996E-3</v>
      </c>
      <c r="O1749">
        <v>-6.2582429999999994E-2</v>
      </c>
      <c r="P1749">
        <v>-0.98759410000000003</v>
      </c>
      <c r="Q1749">
        <v>0.1570241</v>
      </c>
      <c r="R1749">
        <v>-1.190871E-3</v>
      </c>
      <c r="S1749">
        <v>-3.0941160000000001</v>
      </c>
      <c r="T1749">
        <v>-0.35439349999999997</v>
      </c>
      <c r="U1749">
        <v>0.34341430000000001</v>
      </c>
      <c r="V1749">
        <v>6.0659079999999997E-2</v>
      </c>
      <c r="W1749">
        <v>0.1619041</v>
      </c>
      <c r="X1749">
        <v>0.98494040000000005</v>
      </c>
      <c r="Y1749">
        <v>0.17077339999999999</v>
      </c>
      <c r="Z1749">
        <v>1.6962330000000001E-2</v>
      </c>
      <c r="AA1749">
        <v>0.98516429999999999</v>
      </c>
      <c r="AB1749">
        <v>23</v>
      </c>
      <c r="AC1749">
        <v>-0.61190000000001898</v>
      </c>
      <c r="AD1749">
        <v>-9.5789999999999806E-2</v>
      </c>
      <c r="AE1749">
        <v>0.107200000000034</v>
      </c>
      <c r="AF1749">
        <v>0.141910365150619</v>
      </c>
      <c r="AG1749">
        <v>-9.5789999999999806E-2</v>
      </c>
      <c r="AH1749">
        <v>0.589964239613194</v>
      </c>
      <c r="AI1749">
        <v>98.970854047068002</v>
      </c>
      <c r="AJ1749">
        <v>76.474981964873606</v>
      </c>
      <c r="AK1749">
        <v>0.61430617761793305</v>
      </c>
      <c r="AL1749">
        <v>80.6825659459397</v>
      </c>
      <c r="AM1749">
        <v>86.4758018291176</v>
      </c>
      <c r="AN1749">
        <v>1.0000000265677</v>
      </c>
    </row>
    <row r="1750" spans="1:40" x14ac:dyDescent="0.25">
      <c r="A1750" t="str">
        <f>"20190303162247416"</f>
        <v>20190303162247416</v>
      </c>
      <c r="B1750" t="str">
        <f>"1551601367406630"</f>
        <v>1551601367406630</v>
      </c>
      <c r="C1750" t="s">
        <v>40</v>
      </c>
      <c r="D1750">
        <v>5.4581689999999998</v>
      </c>
      <c r="E1750">
        <v>0.54269309999999904</v>
      </c>
      <c r="F1750" t="s">
        <v>47</v>
      </c>
      <c r="G1750">
        <v>-238.91220000000001</v>
      </c>
      <c r="H1750" s="1">
        <v>3.1301529999999999E-6</v>
      </c>
      <c r="I1750">
        <v>286.34789999999998</v>
      </c>
      <c r="J1750">
        <v>-225.51580000000001</v>
      </c>
      <c r="K1750">
        <v>1.1197809999999999</v>
      </c>
      <c r="L1750">
        <v>284.78489999999999</v>
      </c>
      <c r="M1750">
        <v>-0.99803540000000002</v>
      </c>
      <c r="N1750">
        <v>-4.6835560000000002E-3</v>
      </c>
      <c r="O1750">
        <v>-6.2478890000000002E-2</v>
      </c>
      <c r="P1750">
        <v>-0.98754330000000001</v>
      </c>
      <c r="Q1750">
        <v>0.1573476</v>
      </c>
      <c r="R1750" s="1">
        <v>5.65871599999999E-6</v>
      </c>
      <c r="S1750">
        <v>-3.0783230000000001</v>
      </c>
      <c r="T1750">
        <v>-0.25292439999999999</v>
      </c>
      <c r="U1750">
        <v>0.34976200000000002</v>
      </c>
      <c r="V1750">
        <v>6.1751569999999999E-2</v>
      </c>
      <c r="W1750">
        <v>0.16194549999999999</v>
      </c>
      <c r="X1750">
        <v>0.98486569999999996</v>
      </c>
      <c r="Y1750">
        <v>0.173956</v>
      </c>
      <c r="Z1750">
        <v>1.234036E-2</v>
      </c>
      <c r="AA1750">
        <v>0.98467610000000005</v>
      </c>
      <c r="AB1750">
        <v>23</v>
      </c>
      <c r="AC1750">
        <v>-13.3964</v>
      </c>
      <c r="AD1750">
        <v>-1.119777869847</v>
      </c>
      <c r="AE1750">
        <v>1.56299999999998</v>
      </c>
      <c r="AF1750">
        <v>2.3805382491127598</v>
      </c>
      <c r="AG1750">
        <v>-1.119777869847</v>
      </c>
      <c r="AH1750">
        <v>13.1817080930877</v>
      </c>
      <c r="AI1750">
        <v>94.778649069847901</v>
      </c>
      <c r="AJ1750">
        <v>79.7630604777153</v>
      </c>
      <c r="AK1750">
        <v>13.441662586327</v>
      </c>
      <c r="AL1750">
        <v>80.680162156210898</v>
      </c>
      <c r="AM1750">
        <v>86.412222769455994</v>
      </c>
      <c r="AN1750">
        <v>1.0000000242021001</v>
      </c>
    </row>
    <row r="1751" spans="1:40" x14ac:dyDescent="0.25">
      <c r="A1751" t="str">
        <f>"20190303162247436"</f>
        <v>20190303162247436</v>
      </c>
      <c r="B1751" t="str">
        <f>"1551601367426151"</f>
        <v>1551601367426151</v>
      </c>
      <c r="C1751" t="s">
        <v>40</v>
      </c>
      <c r="D1751">
        <v>5.4381740000000001</v>
      </c>
      <c r="E1751">
        <v>0.54128019999999999</v>
      </c>
      <c r="F1751" t="s">
        <v>47</v>
      </c>
      <c r="G1751">
        <v>-241.04910000000001</v>
      </c>
      <c r="H1751" s="1">
        <v>-9.7851670000000005E-7</v>
      </c>
      <c r="I1751">
        <v>286.45420000000001</v>
      </c>
      <c r="J1751">
        <v>-225.7398</v>
      </c>
      <c r="K1751">
        <v>1.1197509999999999</v>
      </c>
      <c r="L1751">
        <v>284.77100000000002</v>
      </c>
      <c r="M1751">
        <v>-0.99804340000000002</v>
      </c>
      <c r="N1751">
        <v>-4.4364410000000002E-3</v>
      </c>
      <c r="O1751">
        <v>-6.236966E-2</v>
      </c>
      <c r="P1751">
        <v>-0.98742830000000004</v>
      </c>
      <c r="Q1751">
        <v>0.15805910000000001</v>
      </c>
      <c r="R1751">
        <v>1.683124E-3</v>
      </c>
      <c r="S1751">
        <v>-3.0731510000000002</v>
      </c>
      <c r="T1751">
        <v>-0.22154070000000001</v>
      </c>
      <c r="U1751">
        <v>0.33026119999999998</v>
      </c>
      <c r="V1751">
        <v>6.3312129999999994E-2</v>
      </c>
      <c r="W1751">
        <v>0.16241129999999901</v>
      </c>
      <c r="X1751">
        <v>0.98468990000000001</v>
      </c>
      <c r="Y1751">
        <v>0.16805690000000001</v>
      </c>
      <c r="Z1751">
        <v>1.0610339999999999E-2</v>
      </c>
      <c r="AA1751">
        <v>0.98572020000000005</v>
      </c>
      <c r="AB1751">
        <v>23</v>
      </c>
      <c r="AC1751">
        <v>-15.3093</v>
      </c>
      <c r="AD1751">
        <v>-1.1197519785166901</v>
      </c>
      <c r="AE1751">
        <v>1.68320000000005</v>
      </c>
      <c r="AF1751">
        <v>2.6209142862739898</v>
      </c>
      <c r="AG1751">
        <v>-1.1197519785166901</v>
      </c>
      <c r="AH1751">
        <v>15.094723969995499</v>
      </c>
      <c r="AI1751">
        <v>94.180209029156998</v>
      </c>
      <c r="AJ1751">
        <v>80.149870926018195</v>
      </c>
      <c r="AK1751">
        <v>15.361436388559</v>
      </c>
      <c r="AL1751">
        <v>80.653115759786402</v>
      </c>
      <c r="AM1751">
        <v>86.321144927742097</v>
      </c>
      <c r="AN1751">
        <v>1.0000000276674099</v>
      </c>
    </row>
    <row r="1752" spans="1:40" x14ac:dyDescent="0.25">
      <c r="A1752" t="str">
        <f>"20190303162247459"</f>
        <v>20190303162247459</v>
      </c>
      <c r="B1752" t="str">
        <f>"1551601367456407"</f>
        <v>1551601367456407</v>
      </c>
      <c r="C1752" t="s">
        <v>40</v>
      </c>
      <c r="D1752">
        <v>5.4276299999999997</v>
      </c>
      <c r="E1752">
        <v>0.53824320000000003</v>
      </c>
      <c r="F1752" t="s">
        <v>47</v>
      </c>
      <c r="G1752">
        <v>-242.4691</v>
      </c>
      <c r="H1752" s="1">
        <v>-2.2287939999999999E-7</v>
      </c>
      <c r="I1752">
        <v>286.52429999999998</v>
      </c>
      <c r="J1752">
        <v>-225.97890000000001</v>
      </c>
      <c r="K1752">
        <v>1.1197250000000001</v>
      </c>
      <c r="L1752">
        <v>284.7561</v>
      </c>
      <c r="M1752">
        <v>-0.99805180000000004</v>
      </c>
      <c r="N1752">
        <v>-4.2028480000000003E-3</v>
      </c>
      <c r="O1752">
        <v>-6.2252870000000002E-2</v>
      </c>
      <c r="P1752">
        <v>-0.98725770000000002</v>
      </c>
      <c r="Q1752">
        <v>0.15908839999999999</v>
      </c>
      <c r="R1752">
        <v>3.7147840000000001E-3</v>
      </c>
      <c r="S1752">
        <v>-3.070541</v>
      </c>
      <c r="T1752">
        <v>-0.20552239999999999</v>
      </c>
      <c r="U1752">
        <v>0.32180789999999998</v>
      </c>
      <c r="V1752">
        <v>6.5213839999999995E-2</v>
      </c>
      <c r="W1752">
        <v>0.16320879999999999</v>
      </c>
      <c r="X1752">
        <v>0.98443389999999997</v>
      </c>
      <c r="Y1752">
        <v>0.1654351</v>
      </c>
      <c r="Z1752">
        <v>9.7559670000000008E-3</v>
      </c>
      <c r="AA1752">
        <v>0.98617239999999995</v>
      </c>
      <c r="AB1752">
        <v>24</v>
      </c>
      <c r="AC1752">
        <v>-16.490199999999898</v>
      </c>
      <c r="AD1752">
        <v>-1.1197252228793999</v>
      </c>
      <c r="AE1752">
        <v>1.76819999999997</v>
      </c>
      <c r="AF1752">
        <v>2.7786753227319001</v>
      </c>
      <c r="AG1752">
        <v>-1.1197252228793999</v>
      </c>
      <c r="AH1752">
        <v>16.273956601673401</v>
      </c>
      <c r="AI1752">
        <v>93.880040776579804</v>
      </c>
      <c r="AJ1752">
        <v>80.310546597629894</v>
      </c>
      <c r="AK1752">
        <v>16.5474011432932</v>
      </c>
      <c r="AL1752">
        <v>80.606804489824896</v>
      </c>
      <c r="AM1752">
        <v>86.209977712194004</v>
      </c>
      <c r="AN1752">
        <v>1.00000003039709</v>
      </c>
    </row>
    <row r="1753" spans="1:40" x14ac:dyDescent="0.25">
      <c r="A1753" t="str">
        <f>"20190303162247482"</f>
        <v>20190303162247482</v>
      </c>
      <c r="B1753" t="str">
        <f>"1551601367475927"</f>
        <v>1551601367475927</v>
      </c>
      <c r="C1753" t="s">
        <v>40</v>
      </c>
      <c r="D1753">
        <v>5.4146179999999999</v>
      </c>
      <c r="E1753">
        <v>0.5375299</v>
      </c>
      <c r="F1753" t="s">
        <v>47</v>
      </c>
      <c r="G1753">
        <v>-245.13470000000001</v>
      </c>
      <c r="H1753" s="1">
        <v>1.195637E-6</v>
      </c>
      <c r="I1753">
        <v>286.64190000000002</v>
      </c>
      <c r="J1753">
        <v>-226.2251</v>
      </c>
      <c r="K1753">
        <v>1.11971</v>
      </c>
      <c r="L1753">
        <v>284.74090000000001</v>
      </c>
      <c r="M1753">
        <v>-0.99805969999999999</v>
      </c>
      <c r="N1753">
        <v>-3.9944289999999999E-3</v>
      </c>
      <c r="O1753">
        <v>-6.2136650000000002E-2</v>
      </c>
      <c r="P1753">
        <v>-0.98701410000000001</v>
      </c>
      <c r="Q1753">
        <v>0.16052849999999999</v>
      </c>
      <c r="R1753">
        <v>5.827769E-3</v>
      </c>
      <c r="S1753">
        <v>-3.0664669999999998</v>
      </c>
      <c r="T1753">
        <v>-0.1792463</v>
      </c>
      <c r="U1753">
        <v>0.30187989999999998</v>
      </c>
      <c r="V1753">
        <v>6.7191819999999999E-2</v>
      </c>
      <c r="W1753">
        <v>0.16444259999999999</v>
      </c>
      <c r="X1753">
        <v>0.98409550000000001</v>
      </c>
      <c r="Y1753">
        <v>0.15924140000000001</v>
      </c>
      <c r="Z1753">
        <v>8.332028E-3</v>
      </c>
      <c r="AA1753">
        <v>0.98720450000000004</v>
      </c>
      <c r="AB1753">
        <v>24</v>
      </c>
      <c r="AC1753">
        <v>-18.909600000000001</v>
      </c>
      <c r="AD1753">
        <v>-1.1197088043629999</v>
      </c>
      <c r="AE1753">
        <v>1.90100000000001</v>
      </c>
      <c r="AF1753">
        <v>3.06168737080736</v>
      </c>
      <c r="AG1753">
        <v>-1.1197088043629999</v>
      </c>
      <c r="AH1753">
        <v>18.690060027041</v>
      </c>
      <c r="AI1753">
        <v>93.383463366788703</v>
      </c>
      <c r="AJ1753">
        <v>80.696797568460994</v>
      </c>
      <c r="AK1753">
        <v>18.972243440814399</v>
      </c>
      <c r="AL1753">
        <v>80.535144789594995</v>
      </c>
      <c r="AM1753">
        <v>86.094035616714606</v>
      </c>
      <c r="AN1753">
        <v>1.00000003124496</v>
      </c>
    </row>
    <row r="1754" spans="1:40" x14ac:dyDescent="0.25">
      <c r="A1754" t="str">
        <f>"20190303162247505"</f>
        <v>20190303162247505</v>
      </c>
      <c r="B1754" t="str">
        <f>"1551601367496422"</f>
        <v>1551601367496422</v>
      </c>
      <c r="C1754" t="s">
        <v>40</v>
      </c>
      <c r="D1754">
        <v>5.4008390000000004</v>
      </c>
      <c r="E1754">
        <v>0.53662430000000005</v>
      </c>
      <c r="F1754" t="s">
        <v>47</v>
      </c>
      <c r="G1754">
        <v>-246.5018</v>
      </c>
      <c r="H1754" s="1">
        <v>1.9231619999999999E-6</v>
      </c>
      <c r="I1754">
        <v>286.7294</v>
      </c>
      <c r="J1754">
        <v>-226.4657</v>
      </c>
      <c r="K1754">
        <v>1.1196919999999999</v>
      </c>
      <c r="L1754">
        <v>284.72609999999997</v>
      </c>
      <c r="M1754">
        <v>-0.99806709999999998</v>
      </c>
      <c r="N1754">
        <v>-3.825209E-3</v>
      </c>
      <c r="O1754">
        <v>-6.2027430000000001E-2</v>
      </c>
      <c r="P1754">
        <v>-0.98669949999999995</v>
      </c>
      <c r="Q1754">
        <v>0.1624342</v>
      </c>
      <c r="R1754">
        <v>6.2661829999999998E-3</v>
      </c>
      <c r="S1754">
        <v>-3.0652309999999998</v>
      </c>
      <c r="T1754">
        <v>-0.16926569999999999</v>
      </c>
      <c r="U1754">
        <v>0.30059809999999998</v>
      </c>
      <c r="V1754">
        <v>6.7500260000000006E-2</v>
      </c>
      <c r="W1754">
        <v>0.166181299999999</v>
      </c>
      <c r="X1754">
        <v>0.98378220000000005</v>
      </c>
      <c r="Y1754">
        <v>0.158804799999999</v>
      </c>
      <c r="Z1754">
        <v>7.8545300000000002E-3</v>
      </c>
      <c r="AA1754">
        <v>0.98727880000000001</v>
      </c>
      <c r="AB1754">
        <v>24</v>
      </c>
      <c r="AC1754">
        <v>-20.036100000000001</v>
      </c>
      <c r="AD1754">
        <v>-1.11969007683799</v>
      </c>
      <c r="AE1754">
        <v>2.0033000000000198</v>
      </c>
      <c r="AF1754">
        <v>3.2322450542581702</v>
      </c>
      <c r="AG1754">
        <v>-1.11969007683799</v>
      </c>
      <c r="AH1754">
        <v>19.8119982876037</v>
      </c>
      <c r="AI1754">
        <v>93.192554038606204</v>
      </c>
      <c r="AJ1754">
        <v>80.734065672931195</v>
      </c>
      <c r="AK1754">
        <v>20.105133426738501</v>
      </c>
      <c r="AL1754">
        <v>80.434134188343904</v>
      </c>
      <c r="AM1754">
        <v>86.074915705561693</v>
      </c>
      <c r="AN1754">
        <v>0.99999996330329799</v>
      </c>
    </row>
    <row r="1755" spans="1:40" x14ac:dyDescent="0.25">
      <c r="A1755" t="str">
        <f>"20190303162247526"</f>
        <v>20190303162247526</v>
      </c>
      <c r="B1755" t="str">
        <f>"1551601367515943"</f>
        <v>1551601367515943</v>
      </c>
      <c r="C1755" t="s">
        <v>40</v>
      </c>
      <c r="D1755">
        <v>5.3941080000000001</v>
      </c>
      <c r="E1755">
        <v>0.53566720000000001</v>
      </c>
      <c r="F1755" t="s">
        <v>47</v>
      </c>
      <c r="G1755">
        <v>-248.26939999999999</v>
      </c>
      <c r="H1755" s="1">
        <v>2.8637760000000002E-6</v>
      </c>
      <c r="I1755">
        <v>286.81599999999997</v>
      </c>
      <c r="J1755">
        <v>-226.7062</v>
      </c>
      <c r="K1755">
        <v>1.1196809999999999</v>
      </c>
      <c r="L1755">
        <v>284.71120000000002</v>
      </c>
      <c r="M1755">
        <v>-0.99807420000000002</v>
      </c>
      <c r="N1755">
        <v>-3.6871249999999999E-3</v>
      </c>
      <c r="O1755">
        <v>-6.1922320000000003E-2</v>
      </c>
      <c r="P1755">
        <v>-0.98644469999999995</v>
      </c>
      <c r="Q1755">
        <v>0.1639938</v>
      </c>
      <c r="R1755">
        <v>5.7588169999999899E-3</v>
      </c>
      <c r="S1755">
        <v>-3.0644840000000002</v>
      </c>
      <c r="T1755">
        <v>-0.1573707</v>
      </c>
      <c r="U1755">
        <v>0.29373169999999998</v>
      </c>
      <c r="V1755">
        <v>6.6872799999999996E-2</v>
      </c>
      <c r="W1755">
        <v>0.1676049</v>
      </c>
      <c r="X1755">
        <v>0.9835836</v>
      </c>
      <c r="Y1755">
        <v>0.156581</v>
      </c>
      <c r="Z1755">
        <v>7.2419579999999997E-3</v>
      </c>
      <c r="AA1755">
        <v>0.98763860000000003</v>
      </c>
      <c r="AB1755">
        <v>24</v>
      </c>
      <c r="AC1755">
        <v>-21.563199999999899</v>
      </c>
      <c r="AD1755">
        <v>-1.119678136224</v>
      </c>
      <c r="AE1755">
        <v>2.1047999999999498</v>
      </c>
      <c r="AF1755">
        <v>3.4268607042923001</v>
      </c>
      <c r="AG1755">
        <v>-1.119678136224</v>
      </c>
      <c r="AH1755">
        <v>21.3345038393118</v>
      </c>
      <c r="AI1755">
        <v>92.966289805119004</v>
      </c>
      <c r="AJ1755">
        <v>80.8747947013388</v>
      </c>
      <c r="AK1755">
        <v>21.636961604739501</v>
      </c>
      <c r="AL1755">
        <v>80.351408374550402</v>
      </c>
      <c r="AM1755">
        <v>86.110506740120599</v>
      </c>
      <c r="AN1755">
        <v>1.0000000360364001</v>
      </c>
    </row>
    <row r="1756" spans="1:40" x14ac:dyDescent="0.25">
      <c r="A1756" t="str">
        <f>"20190303162247549"</f>
        <v>20190303162247549</v>
      </c>
      <c r="B1756" t="str">
        <f>"1551601367536438"</f>
        <v>1551601367536438</v>
      </c>
      <c r="C1756" t="s">
        <v>40</v>
      </c>
      <c r="D1756">
        <v>5.479158</v>
      </c>
      <c r="E1756">
        <v>0.5347423</v>
      </c>
      <c r="F1756" t="s">
        <v>47</v>
      </c>
      <c r="G1756">
        <v>-249.7004</v>
      </c>
      <c r="H1756" s="1">
        <v>3.6253010000000001E-6</v>
      </c>
      <c r="I1756">
        <v>286.83429999999998</v>
      </c>
      <c r="J1756">
        <v>-226.94800000000001</v>
      </c>
      <c r="K1756">
        <v>1.1196699999999999</v>
      </c>
      <c r="L1756">
        <v>284.69639999999998</v>
      </c>
      <c r="M1756">
        <v>-0.99808110000000005</v>
      </c>
      <c r="N1756">
        <v>-3.574589E-3</v>
      </c>
      <c r="O1756">
        <v>-6.1817610000000002E-2</v>
      </c>
      <c r="P1756">
        <v>-0.98604669999999905</v>
      </c>
      <c r="Q1756">
        <v>0.1663888</v>
      </c>
      <c r="R1756">
        <v>5.1595440000000003E-3</v>
      </c>
      <c r="S1756">
        <v>-3.0643769999999999</v>
      </c>
      <c r="T1756">
        <v>-0.14921609999999999</v>
      </c>
      <c r="U1756">
        <v>0.28292850000000003</v>
      </c>
      <c r="V1756">
        <v>6.6145540000000003E-2</v>
      </c>
      <c r="W1756">
        <v>0.16988900000000001</v>
      </c>
      <c r="X1756">
        <v>0.98324080000000003</v>
      </c>
      <c r="Y1756">
        <v>0.1530618</v>
      </c>
      <c r="Z1756">
        <v>6.7731500000000004E-3</v>
      </c>
      <c r="AA1756">
        <v>0.9881934</v>
      </c>
      <c r="AB1756">
        <v>24</v>
      </c>
      <c r="AC1756">
        <v>-22.752400000000002</v>
      </c>
      <c r="AD1756">
        <v>-1.1196663746989901</v>
      </c>
      <c r="AE1756">
        <v>2.1379000000000001</v>
      </c>
      <c r="AF1756">
        <v>3.5318408040445499</v>
      </c>
      <c r="AG1756">
        <v>-1.1196663746989901</v>
      </c>
      <c r="AH1756">
        <v>22.522657848635401</v>
      </c>
      <c r="AI1756">
        <v>92.811691724110602</v>
      </c>
      <c r="AJ1756">
        <v>81.087866572689094</v>
      </c>
      <c r="AK1756">
        <v>22.825373355598</v>
      </c>
      <c r="AL1756">
        <v>80.218634532163605</v>
      </c>
      <c r="AM1756">
        <v>86.151341002888699</v>
      </c>
      <c r="AN1756">
        <v>0.99999998778376498</v>
      </c>
    </row>
    <row r="1757" spans="1:40" x14ac:dyDescent="0.25">
      <c r="A1757" t="str">
        <f>"20190303162247571"</f>
        <v>20190303162247571</v>
      </c>
      <c r="B1757" t="str">
        <f>"1551601367566695"</f>
        <v>1551601367566695</v>
      </c>
      <c r="C1757" t="s">
        <v>40</v>
      </c>
      <c r="D1757">
        <v>5.3788970000000003</v>
      </c>
      <c r="E1757">
        <v>0.53445659999999995</v>
      </c>
      <c r="F1757" t="s">
        <v>47</v>
      </c>
      <c r="G1757">
        <v>-251.4041</v>
      </c>
      <c r="H1757" s="1">
        <v>-7.8958369999999998E-7</v>
      </c>
      <c r="I1757">
        <v>286.85649999999998</v>
      </c>
      <c r="J1757">
        <v>-227.20500000000001</v>
      </c>
      <c r="K1757">
        <v>1.119653</v>
      </c>
      <c r="L1757">
        <v>284.68060000000003</v>
      </c>
      <c r="M1757">
        <v>-0.99808869999999905</v>
      </c>
      <c r="N1757">
        <v>-3.480417E-3</v>
      </c>
      <c r="O1757">
        <v>-6.1700400000000002E-2</v>
      </c>
      <c r="P1757">
        <v>-0.98542359999999896</v>
      </c>
      <c r="Q1757">
        <v>0.17004710000000001</v>
      </c>
      <c r="R1757">
        <v>4.96643E-3</v>
      </c>
      <c r="S1757">
        <v>-3.0647280000000001</v>
      </c>
      <c r="T1757">
        <v>-0.14031160000000001</v>
      </c>
      <c r="U1757">
        <v>0.27069090000000001</v>
      </c>
      <c r="V1757">
        <v>6.5799860000000002E-2</v>
      </c>
      <c r="W1757">
        <v>0.17345260000000001</v>
      </c>
      <c r="X1757">
        <v>0.9826416</v>
      </c>
      <c r="Y1757">
        <v>0.1490542</v>
      </c>
      <c r="Z1757">
        <v>6.267941E-3</v>
      </c>
      <c r="AA1757">
        <v>0.98880919999999894</v>
      </c>
      <c r="AB1757">
        <v>25</v>
      </c>
      <c r="AC1757">
        <v>-24.199099999999898</v>
      </c>
      <c r="AD1757">
        <v>-1.1196537895837</v>
      </c>
      <c r="AE1757">
        <v>2.1758999999999502</v>
      </c>
      <c r="AF1757">
        <v>3.6570911702720599</v>
      </c>
      <c r="AG1757">
        <v>-1.1196537895837</v>
      </c>
      <c r="AH1757">
        <v>23.967840549341901</v>
      </c>
      <c r="AI1757">
        <v>92.644060831252901</v>
      </c>
      <c r="AJ1757">
        <v>81.324536756221605</v>
      </c>
      <c r="AK1757">
        <v>24.2710799313687</v>
      </c>
      <c r="AL1757">
        <v>80.011378140515603</v>
      </c>
      <c r="AM1757">
        <v>86.169066641465406</v>
      </c>
      <c r="AN1757">
        <v>0.99999997003666896</v>
      </c>
    </row>
    <row r="1758" spans="1:40" x14ac:dyDescent="0.25">
      <c r="A1758" t="str">
        <f>"20190303162247594"</f>
        <v>20190303162247594</v>
      </c>
      <c r="B1758" t="str">
        <f>"1551601367586214"</f>
        <v>1551601367586214</v>
      </c>
      <c r="C1758" t="s">
        <v>40</v>
      </c>
      <c r="D1758">
        <v>5.4419240000000002</v>
      </c>
      <c r="E1758">
        <v>0.5340511</v>
      </c>
      <c r="F1758" t="s">
        <v>47</v>
      </c>
      <c r="G1758">
        <v>-254.7808</v>
      </c>
      <c r="H1758" s="1">
        <v>1.0072920000000001E-6</v>
      </c>
      <c r="I1758">
        <v>287.05709999999999</v>
      </c>
      <c r="J1758">
        <v>-227.4614</v>
      </c>
      <c r="K1758">
        <v>1.119631</v>
      </c>
      <c r="L1758">
        <v>284.66489999999999</v>
      </c>
      <c r="M1758">
        <v>-0.99809700000000001</v>
      </c>
      <c r="N1758">
        <v>-3.4108950000000002E-3</v>
      </c>
      <c r="O1758">
        <v>-6.1570819999999998E-2</v>
      </c>
      <c r="P1758">
        <v>-0.98519469999999998</v>
      </c>
      <c r="Q1758">
        <v>0.17137929999999901</v>
      </c>
      <c r="R1758">
        <v>4.5516760000000002E-3</v>
      </c>
      <c r="S1758">
        <v>-3.064514</v>
      </c>
      <c r="T1758">
        <v>-0.1244277</v>
      </c>
      <c r="U1758">
        <v>0.26409909999999998</v>
      </c>
      <c r="V1758">
        <v>6.5246869999999998E-2</v>
      </c>
      <c r="W1758">
        <v>0.17471529999999999</v>
      </c>
      <c r="X1758">
        <v>0.98245479999999996</v>
      </c>
      <c r="Y1758">
        <v>0.14686969999999999</v>
      </c>
      <c r="Z1758">
        <v>5.5112360000000001E-3</v>
      </c>
      <c r="AA1758">
        <v>0.98914049999999998</v>
      </c>
      <c r="AB1758">
        <v>25</v>
      </c>
      <c r="AC1758">
        <v>-27.319400000000002</v>
      </c>
      <c r="AD1758">
        <v>-1.119629992708</v>
      </c>
      <c r="AE1758">
        <v>2.3921999999999999</v>
      </c>
      <c r="AF1758">
        <v>4.06297646410074</v>
      </c>
      <c r="AG1758">
        <v>-1.119629992708</v>
      </c>
      <c r="AH1758">
        <v>27.075146746664601</v>
      </c>
      <c r="AI1758">
        <v>92.341794275559593</v>
      </c>
      <c r="AJ1758">
        <v>81.465706871663301</v>
      </c>
      <c r="AK1758">
        <v>27.401184653620899</v>
      </c>
      <c r="AL1758">
        <v>79.9379093645789</v>
      </c>
      <c r="AM1758">
        <v>86.200447421893699</v>
      </c>
      <c r="AN1758">
        <v>1.00000001207096</v>
      </c>
    </row>
    <row r="1759" spans="1:40" x14ac:dyDescent="0.25">
      <c r="A1759" t="str">
        <f>"20190303162247618"</f>
        <v>20190303162247618</v>
      </c>
      <c r="B1759" t="str">
        <f>"1551601367605735"</f>
        <v>1551601367605735</v>
      </c>
      <c r="C1759" t="s">
        <v>40</v>
      </c>
      <c r="D1759">
        <v>5.4105809999999996</v>
      </c>
      <c r="E1759">
        <v>0.53375819999999996</v>
      </c>
      <c r="F1759" t="s">
        <v>47</v>
      </c>
      <c r="G1759">
        <v>-256.15379999999999</v>
      </c>
      <c r="H1759" s="1">
        <v>1.7379680000000001E-6</v>
      </c>
      <c r="I1759">
        <v>287.0763</v>
      </c>
      <c r="J1759">
        <v>-227.71469999999999</v>
      </c>
      <c r="K1759">
        <v>1.1196029999999999</v>
      </c>
      <c r="L1759">
        <v>284.64940000000001</v>
      </c>
      <c r="M1759">
        <v>-0.99810620000000005</v>
      </c>
      <c r="N1759">
        <v>-3.3645160000000001E-3</v>
      </c>
      <c r="O1759">
        <v>-6.1425510000000003E-2</v>
      </c>
      <c r="P1759">
        <v>-0.98554980000000003</v>
      </c>
      <c r="Q1759">
        <v>0.16935320000000001</v>
      </c>
      <c r="R1759">
        <v>3.3389219999999998E-3</v>
      </c>
      <c r="S1759">
        <v>-3.0646969999999998</v>
      </c>
      <c r="T1759">
        <v>-0.1195898</v>
      </c>
      <c r="U1759">
        <v>0.25756839999999998</v>
      </c>
      <c r="V1759">
        <v>6.3919340000000005E-2</v>
      </c>
      <c r="W1759">
        <v>0.17264299999999999</v>
      </c>
      <c r="X1759">
        <v>0.98290829999999996</v>
      </c>
      <c r="Y1759">
        <v>0.14464260000000001</v>
      </c>
      <c r="Z1759">
        <v>5.2459469999999999E-3</v>
      </c>
      <c r="AA1759">
        <v>0.98947010000000002</v>
      </c>
      <c r="AB1759">
        <v>25</v>
      </c>
      <c r="AC1759">
        <v>-28.4391</v>
      </c>
      <c r="AD1759">
        <v>-1.1196012620319999</v>
      </c>
      <c r="AE1759">
        <v>2.4268999999999799</v>
      </c>
      <c r="AF1759">
        <v>4.1628077596433197</v>
      </c>
      <c r="AG1759">
        <v>-1.1196012620319999</v>
      </c>
      <c r="AH1759">
        <v>28.192943165538299</v>
      </c>
      <c r="AI1759">
        <v>92.249774490286697</v>
      </c>
      <c r="AJ1759">
        <v>81.600723726422601</v>
      </c>
      <c r="AK1759">
        <v>28.520598166324699</v>
      </c>
      <c r="AL1759">
        <v>80.058475711446803</v>
      </c>
      <c r="AM1759">
        <v>86.279247182000006</v>
      </c>
      <c r="AN1759">
        <v>1.0000000068419601</v>
      </c>
    </row>
    <row r="1760" spans="1:40" x14ac:dyDescent="0.25">
      <c r="A1760" t="str">
        <f>"20190303162247636"</f>
        <v>20190303162247636</v>
      </c>
      <c r="B1760" t="str">
        <f>"1551601367626230"</f>
        <v>1551601367626230</v>
      </c>
      <c r="C1760" t="s">
        <v>40</v>
      </c>
      <c r="D1760">
        <v>5.4456249999999997</v>
      </c>
      <c r="E1760">
        <v>0.53351459999999995</v>
      </c>
      <c r="F1760" t="s">
        <v>47</v>
      </c>
      <c r="G1760">
        <v>-255.0856</v>
      </c>
      <c r="H1760" s="1">
        <v>1.169507E-6</v>
      </c>
      <c r="I1760">
        <v>286.8972</v>
      </c>
      <c r="J1760">
        <v>-227.93459999999999</v>
      </c>
      <c r="K1760">
        <v>1.1195740000000001</v>
      </c>
      <c r="L1760">
        <v>284.63600000000002</v>
      </c>
      <c r="M1760">
        <v>-0.99811499999999997</v>
      </c>
      <c r="N1760">
        <v>-3.3425569999999999E-3</v>
      </c>
      <c r="O1760">
        <v>-6.1280469999999997E-2</v>
      </c>
      <c r="P1760">
        <v>-0.98608859999999998</v>
      </c>
      <c r="Q1760">
        <v>0.1662158</v>
      </c>
      <c r="R1760">
        <v>1.2176559999999999E-3</v>
      </c>
      <c r="S1760">
        <v>-3.064667</v>
      </c>
      <c r="T1760">
        <v>-0.12535950000000001</v>
      </c>
      <c r="U1760">
        <v>0.25167850000000003</v>
      </c>
      <c r="V1760">
        <v>6.1697090000000003E-2</v>
      </c>
      <c r="W1760">
        <v>0.16948489999999999</v>
      </c>
      <c r="X1760">
        <v>0.98359969999999997</v>
      </c>
      <c r="Y1760">
        <v>0.14259720000000001</v>
      </c>
      <c r="Z1760">
        <v>5.4465980000000004E-3</v>
      </c>
      <c r="AA1760">
        <v>0.98976580000000003</v>
      </c>
      <c r="AB1760">
        <v>25</v>
      </c>
      <c r="AC1760">
        <v>-27.151</v>
      </c>
      <c r="AD1760">
        <v>-1.1195728304929999</v>
      </c>
      <c r="AE1760">
        <v>2.2612000000000299</v>
      </c>
      <c r="AF1760">
        <v>3.91417599425532</v>
      </c>
      <c r="AG1760">
        <v>-1.1195728304929999</v>
      </c>
      <c r="AH1760">
        <v>26.9159525481037</v>
      </c>
      <c r="AI1760">
        <v>92.357088389941197</v>
      </c>
      <c r="AJ1760">
        <v>81.725924211054902</v>
      </c>
      <c r="AK1760">
        <v>27.222099819972598</v>
      </c>
      <c r="AL1760">
        <v>80.242128744219102</v>
      </c>
      <c r="AM1760">
        <v>86.410778066730003</v>
      </c>
      <c r="AN1760">
        <v>1.0000000160412801</v>
      </c>
    </row>
    <row r="1761" spans="1:40" x14ac:dyDescent="0.25">
      <c r="A1761" t="str">
        <f>"20190303162247662"</f>
        <v>20190303162247662</v>
      </c>
      <c r="B1761" t="str">
        <f>"1551601367656487"</f>
        <v>1551601367656487</v>
      </c>
      <c r="C1761" t="s">
        <v>40</v>
      </c>
      <c r="D1761">
        <v>5.4432320000000001</v>
      </c>
      <c r="E1761">
        <v>0.53324320000000003</v>
      </c>
      <c r="F1761" t="s">
        <v>47</v>
      </c>
      <c r="G1761">
        <v>-253.23910000000001</v>
      </c>
      <c r="H1761" s="1">
        <v>1.8687529999999999E-7</v>
      </c>
      <c r="I1761">
        <v>286.65370000000001</v>
      </c>
      <c r="J1761">
        <v>-228.21270000000001</v>
      </c>
      <c r="K1761">
        <v>1.1195389999999901</v>
      </c>
      <c r="L1761">
        <v>284.6191</v>
      </c>
      <c r="M1761">
        <v>-0.99812820000000002</v>
      </c>
      <c r="N1761">
        <v>-3.3370159999999999E-3</v>
      </c>
      <c r="O1761">
        <v>-6.1067349999999999E-2</v>
      </c>
      <c r="P1761">
        <v>-0.98637660000000005</v>
      </c>
      <c r="Q1761">
        <v>0.16450119999999999</v>
      </c>
      <c r="R1761">
        <v>-9.6019919999999997E-4</v>
      </c>
      <c r="S1761">
        <v>-3.0648650000000002</v>
      </c>
      <c r="T1761">
        <v>-0.13560239999999901</v>
      </c>
      <c r="U1761">
        <v>0.24438480000000001</v>
      </c>
      <c r="V1761">
        <v>5.9339389999999999E-2</v>
      </c>
      <c r="W1761">
        <v>0.1677642</v>
      </c>
      <c r="X1761">
        <v>0.98403969999999996</v>
      </c>
      <c r="Y1761">
        <v>0.140014</v>
      </c>
      <c r="Z1761">
        <v>5.8184150000000004E-3</v>
      </c>
      <c r="AA1761">
        <v>0.99013249999999997</v>
      </c>
      <c r="AB1761">
        <v>25</v>
      </c>
      <c r="AC1761">
        <v>-25.026399999999899</v>
      </c>
      <c r="AD1761">
        <v>-1.1195388131246999</v>
      </c>
      <c r="AE1761">
        <v>2.03460000000001</v>
      </c>
      <c r="AF1761">
        <v>3.5520453823532701</v>
      </c>
      <c r="AG1761">
        <v>-1.1195388131246999</v>
      </c>
      <c r="AH1761">
        <v>24.806128049377499</v>
      </c>
      <c r="AI1761">
        <v>92.558036603223997</v>
      </c>
      <c r="AJ1761">
        <v>81.851082097885097</v>
      </c>
      <c r="AK1761">
        <v>25.084146035982599</v>
      </c>
      <c r="AL1761">
        <v>80.342150305484793</v>
      </c>
      <c r="AM1761">
        <v>86.549138670279106</v>
      </c>
      <c r="AN1761">
        <v>1.0000000605916399</v>
      </c>
    </row>
    <row r="1762" spans="1:40" x14ac:dyDescent="0.25">
      <c r="A1762" t="str">
        <f>"20190303162247694"</f>
        <v>20190303162247694</v>
      </c>
      <c r="B1762" t="str">
        <f>"1551601367685767"</f>
        <v>1551601367685767</v>
      </c>
      <c r="C1762" t="s">
        <v>40</v>
      </c>
      <c r="D1762">
        <v>5.4520379999999999</v>
      </c>
      <c r="E1762">
        <v>0.53302689999999997</v>
      </c>
      <c r="F1762" t="s">
        <v>47</v>
      </c>
      <c r="G1762">
        <v>-252.6182</v>
      </c>
      <c r="H1762" s="1">
        <v>-1.4350119999999999E-7</v>
      </c>
      <c r="I1762">
        <v>286.50110000000001</v>
      </c>
      <c r="J1762">
        <v>-228.58699999999999</v>
      </c>
      <c r="K1762">
        <v>1.1195010000000001</v>
      </c>
      <c r="L1762">
        <v>284.59660000000002</v>
      </c>
      <c r="M1762">
        <v>-0.99815030000000005</v>
      </c>
      <c r="N1762">
        <v>-3.383516E-3</v>
      </c>
      <c r="O1762">
        <v>-6.069915E-2</v>
      </c>
      <c r="P1762">
        <v>-0.9864752</v>
      </c>
      <c r="Q1762">
        <v>0.16388559999999999</v>
      </c>
      <c r="R1762">
        <v>-2.8668420000000001E-3</v>
      </c>
      <c r="S1762">
        <v>-3.0650940000000002</v>
      </c>
      <c r="T1762">
        <v>-0.14060329999999999</v>
      </c>
      <c r="U1762">
        <v>0.2363586</v>
      </c>
      <c r="V1762">
        <v>5.7096149999999998E-2</v>
      </c>
      <c r="W1762">
        <v>0.16719020000000001</v>
      </c>
      <c r="X1762">
        <v>0.98426999999999998</v>
      </c>
      <c r="Y1762">
        <v>0.13705429999999999</v>
      </c>
      <c r="Z1762">
        <v>5.9437709999999996E-3</v>
      </c>
      <c r="AA1762">
        <v>0.99054569999999997</v>
      </c>
      <c r="AB1762">
        <v>25</v>
      </c>
      <c r="AC1762">
        <v>-24.031199999999899</v>
      </c>
      <c r="AD1762">
        <v>-1.1195011435011999</v>
      </c>
      <c r="AE1762">
        <v>1.9044999999999801</v>
      </c>
      <c r="AF1762">
        <v>3.3524401033072699</v>
      </c>
      <c r="AG1762">
        <v>-1.1195011435011999</v>
      </c>
      <c r="AH1762">
        <v>23.819915172683601</v>
      </c>
      <c r="AI1762">
        <v>92.664615105743096</v>
      </c>
      <c r="AJ1762">
        <v>81.988750467227405</v>
      </c>
      <c r="AK1762">
        <v>24.0807079690446</v>
      </c>
      <c r="AL1762">
        <v>80.375508491916406</v>
      </c>
      <c r="AM1762">
        <v>86.680071091721601</v>
      </c>
      <c r="AN1762">
        <v>0.99999998311043103</v>
      </c>
    </row>
    <row r="1763" spans="1:40" x14ac:dyDescent="0.25">
      <c r="A1763" t="str">
        <f>"20190303162247717"</f>
        <v>20190303162247717</v>
      </c>
      <c r="B1763" t="str">
        <f>"1551601367706262"</f>
        <v>1551601367706262</v>
      </c>
      <c r="C1763" t="s">
        <v>40</v>
      </c>
      <c r="D1763">
        <v>5.4940800000000003</v>
      </c>
      <c r="E1763">
        <v>0.53300219999999998</v>
      </c>
      <c r="F1763" t="s">
        <v>47</v>
      </c>
      <c r="G1763">
        <v>-252.77160000000001</v>
      </c>
      <c r="H1763" s="1">
        <v>-6.1905720000000002E-8</v>
      </c>
      <c r="I1763">
        <v>286.41300000000001</v>
      </c>
      <c r="J1763">
        <v>-228.85040000000001</v>
      </c>
      <c r="K1763">
        <v>1.1194660000000001</v>
      </c>
      <c r="L1763">
        <v>284.58089999999999</v>
      </c>
      <c r="M1763">
        <v>-0.99816950000000004</v>
      </c>
      <c r="N1763">
        <v>-3.4577829999999999E-3</v>
      </c>
      <c r="O1763">
        <v>-6.0380950000000003E-2</v>
      </c>
      <c r="P1763">
        <v>-0.98668869999999997</v>
      </c>
      <c r="Q1763">
        <v>0.16256389999999901</v>
      </c>
      <c r="R1763">
        <v>-4.3130740000000001E-3</v>
      </c>
      <c r="S1763">
        <v>-3.065369</v>
      </c>
      <c r="T1763">
        <v>-0.14189570000000001</v>
      </c>
      <c r="U1763">
        <v>0.2302246</v>
      </c>
      <c r="V1763">
        <v>5.5365669999999999E-2</v>
      </c>
      <c r="W1763">
        <v>0.16593859999999999</v>
      </c>
      <c r="X1763">
        <v>0.98458060000000003</v>
      </c>
      <c r="Y1763">
        <v>0.13475970000000001</v>
      </c>
      <c r="Z1763">
        <v>5.927959E-3</v>
      </c>
      <c r="AA1763">
        <v>0.99086059999999998</v>
      </c>
      <c r="AB1763">
        <v>26</v>
      </c>
      <c r="AC1763">
        <v>-23.921199999999999</v>
      </c>
      <c r="AD1763">
        <v>-1.11946606190572</v>
      </c>
      <c r="AE1763">
        <v>1.83210000000002</v>
      </c>
      <c r="AF1763">
        <v>3.2660393096047899</v>
      </c>
      <c r="AG1763">
        <v>-1.11946606190572</v>
      </c>
      <c r="AH1763">
        <v>23.715293390785298</v>
      </c>
      <c r="AI1763">
        <v>92.677372837670404</v>
      </c>
      <c r="AJ1763">
        <v>82.158625933784705</v>
      </c>
      <c r="AK1763">
        <v>23.965294858329301</v>
      </c>
      <c r="AL1763">
        <v>80.448235701289505</v>
      </c>
      <c r="AM1763">
        <v>86.781490613607303</v>
      </c>
      <c r="AN1763">
        <v>0.99999996714043404</v>
      </c>
    </row>
    <row r="1764" spans="1:40" x14ac:dyDescent="0.25">
      <c r="A1764" t="str">
        <f>"20190303162247738"</f>
        <v>20190303162247738</v>
      </c>
      <c r="B1764" t="str">
        <f>"1551601367725783"</f>
        <v>1551601367725783</v>
      </c>
      <c r="C1764" t="s">
        <v>40</v>
      </c>
      <c r="D1764">
        <v>5.5021440000000004</v>
      </c>
      <c r="E1764">
        <v>0.53292879999999998</v>
      </c>
      <c r="F1764" t="s">
        <v>47</v>
      </c>
      <c r="G1764">
        <v>-252.48929999999999</v>
      </c>
      <c r="H1764" s="1">
        <v>-2.1212320000000001E-7</v>
      </c>
      <c r="I1764">
        <v>286.33199999999999</v>
      </c>
      <c r="J1764">
        <v>-229.09190000000001</v>
      </c>
      <c r="K1764">
        <v>1.1194360000000001</v>
      </c>
      <c r="L1764">
        <v>284.56659999999999</v>
      </c>
      <c r="M1764">
        <v>-0.99819000000000002</v>
      </c>
      <c r="N1764">
        <v>-3.573644E-3</v>
      </c>
      <c r="O1764">
        <v>-6.0035379999999999E-2</v>
      </c>
      <c r="P1764">
        <v>-0.98707509999999998</v>
      </c>
      <c r="Q1764">
        <v>0.16014829999999999</v>
      </c>
      <c r="R1764">
        <v>-5.9502890000000001E-3</v>
      </c>
      <c r="S1764">
        <v>-3.065369</v>
      </c>
      <c r="T1764">
        <v>-0.14516689999999999</v>
      </c>
      <c r="U1764">
        <v>0.22708130000000001</v>
      </c>
      <c r="V1764">
        <v>5.3428259999999998E-2</v>
      </c>
      <c r="W1764">
        <v>0.16363449999999999</v>
      </c>
      <c r="X1764">
        <v>0.98507319999999998</v>
      </c>
      <c r="Y1764">
        <v>0.1333983</v>
      </c>
      <c r="Z1764">
        <v>6.0152239999999996E-3</v>
      </c>
      <c r="AA1764">
        <v>0.99104429999999999</v>
      </c>
      <c r="AB1764">
        <v>26</v>
      </c>
      <c r="AC1764">
        <v>-23.397399999999902</v>
      </c>
      <c r="AD1764">
        <v>-1.1194362121232</v>
      </c>
      <c r="AE1764">
        <v>1.7653999999999901</v>
      </c>
      <c r="AF1764">
        <v>3.1597042692962698</v>
      </c>
      <c r="AG1764">
        <v>-1.1194362121232</v>
      </c>
      <c r="AH1764">
        <v>23.196411123690201</v>
      </c>
      <c r="AI1764">
        <v>92.737652708104903</v>
      </c>
      <c r="AJ1764">
        <v>82.2431824796206</v>
      </c>
      <c r="AK1764">
        <v>23.437370960107302</v>
      </c>
      <c r="AL1764">
        <v>80.582081197655697</v>
      </c>
      <c r="AM1764">
        <v>86.895441555465595</v>
      </c>
      <c r="AN1764">
        <v>1.00000001895755</v>
      </c>
    </row>
    <row r="1765" spans="1:40" x14ac:dyDescent="0.25">
      <c r="A1765" t="str">
        <f>"20190303162247761"</f>
        <v>20190303162247761</v>
      </c>
      <c r="B1765" t="str">
        <f>"1551601367757015"</f>
        <v>1551601367757015</v>
      </c>
      <c r="C1765" t="s">
        <v>40</v>
      </c>
      <c r="D1765">
        <v>5.568651</v>
      </c>
      <c r="E1765">
        <v>0.53286699999999998</v>
      </c>
      <c r="F1765" t="s">
        <v>47</v>
      </c>
      <c r="G1765">
        <v>-251.65729999999999</v>
      </c>
      <c r="H1765" s="1">
        <v>-6.5483949999999904E-7</v>
      </c>
      <c r="I1765">
        <v>286.21469999999999</v>
      </c>
      <c r="J1765">
        <v>-229.36660000000001</v>
      </c>
      <c r="K1765">
        <v>1.1193930000000001</v>
      </c>
      <c r="L1765">
        <v>284.55059999999997</v>
      </c>
      <c r="M1765">
        <v>-0.99821740000000003</v>
      </c>
      <c r="N1765">
        <v>-3.7902819999999999E-3</v>
      </c>
      <c r="O1765">
        <v>-5.9561490000000002E-2</v>
      </c>
      <c r="P1765">
        <v>-0.98741159999999994</v>
      </c>
      <c r="Q1765">
        <v>0.15800929999999999</v>
      </c>
      <c r="R1765">
        <v>-7.1793450000000002E-3</v>
      </c>
      <c r="S1765">
        <v>-3.0653079999999999</v>
      </c>
      <c r="T1765">
        <v>-0.15206549999999999</v>
      </c>
      <c r="U1765">
        <v>0.22387699999999999</v>
      </c>
      <c r="V1765">
        <v>5.1775830000000002E-2</v>
      </c>
      <c r="W1765">
        <v>0.16170409999999999</v>
      </c>
      <c r="X1765">
        <v>0.98548009999999997</v>
      </c>
      <c r="Y1765">
        <v>0.13188</v>
      </c>
      <c r="Z1765">
        <v>6.2392790000000004E-3</v>
      </c>
      <c r="AA1765">
        <v>0.99124599999999996</v>
      </c>
      <c r="AB1765">
        <v>26</v>
      </c>
      <c r="AC1765">
        <v>-22.290699999999902</v>
      </c>
      <c r="AD1765">
        <v>-1.1193936548395</v>
      </c>
      <c r="AE1765">
        <v>1.6641000000000099</v>
      </c>
      <c r="AF1765">
        <v>2.9813456576031099</v>
      </c>
      <c r="AG1765">
        <v>-1.1193936548395</v>
      </c>
      <c r="AH1765">
        <v>22.096593063772399</v>
      </c>
      <c r="AI1765">
        <v>92.874075783873906</v>
      </c>
      <c r="AJ1765">
        <v>82.315867176997202</v>
      </c>
      <c r="AK1765">
        <v>22.324893932795199</v>
      </c>
      <c r="AL1765">
        <v>80.694177773097707</v>
      </c>
      <c r="AM1765">
        <v>86.992520165752197</v>
      </c>
      <c r="AN1765">
        <v>0.99999999001250395</v>
      </c>
    </row>
    <row r="1766" spans="1:40" x14ac:dyDescent="0.25">
      <c r="A1766" t="str">
        <f>"20190303162247786"</f>
        <v>20190303162247786</v>
      </c>
      <c r="B1766" t="str">
        <f>"1551601367776534"</f>
        <v>1551601367776534</v>
      </c>
      <c r="C1766" t="s">
        <v>40</v>
      </c>
      <c r="D1766">
        <v>5.6109179999999999</v>
      </c>
      <c r="E1766">
        <v>0.53291369999999905</v>
      </c>
      <c r="F1766" t="s">
        <v>47</v>
      </c>
      <c r="G1766">
        <v>-251.03059999999999</v>
      </c>
      <c r="H1766" s="1">
        <v>-9.8837589999999996E-7</v>
      </c>
      <c r="I1766">
        <v>286.11930000000001</v>
      </c>
      <c r="J1766">
        <v>-229.64250000000001</v>
      </c>
      <c r="K1766">
        <v>1.119354</v>
      </c>
      <c r="L1766">
        <v>284.53469999999999</v>
      </c>
      <c r="M1766">
        <v>-0.99825140000000001</v>
      </c>
      <c r="N1766">
        <v>-4.1350670000000001E-3</v>
      </c>
      <c r="O1766">
        <v>-5.8969939999999998E-2</v>
      </c>
      <c r="P1766">
        <v>-0.98784070000000002</v>
      </c>
      <c r="Q1766">
        <v>0.1552916</v>
      </c>
      <c r="R1766">
        <v>-7.4791930000000003E-3</v>
      </c>
      <c r="S1766">
        <v>-3.0651860000000002</v>
      </c>
      <c r="T1766">
        <v>-0.15838039999999901</v>
      </c>
      <c r="U1766">
        <v>0.22195429999999999</v>
      </c>
      <c r="V1766">
        <v>5.094564E-2</v>
      </c>
      <c r="W1766">
        <v>0.1593193</v>
      </c>
      <c r="X1766">
        <v>0.98591169999999995</v>
      </c>
      <c r="Y1766">
        <v>0.13065930000000001</v>
      </c>
      <c r="Z1766">
        <v>6.4376279999999999E-3</v>
      </c>
      <c r="AA1766">
        <v>0.99140640000000002</v>
      </c>
      <c r="AB1766">
        <v>26</v>
      </c>
      <c r="AC1766">
        <v>-21.388099999999898</v>
      </c>
      <c r="AD1766">
        <v>-1.1193549883759</v>
      </c>
      <c r="AE1766">
        <v>1.58460000000002</v>
      </c>
      <c r="AF1766">
        <v>2.8353841580480399</v>
      </c>
      <c r="AG1766">
        <v>-1.1193549883759</v>
      </c>
      <c r="AH1766">
        <v>21.199685528725201</v>
      </c>
      <c r="AI1766">
        <v>92.995815064157895</v>
      </c>
      <c r="AJ1766">
        <v>82.382097573893702</v>
      </c>
      <c r="AK1766">
        <v>21.417726896908398</v>
      </c>
      <c r="AL1766">
        <v>80.832611718287396</v>
      </c>
      <c r="AM1766">
        <v>87.041949834270994</v>
      </c>
      <c r="AN1766">
        <v>0.99999998889219399</v>
      </c>
    </row>
    <row r="1767" spans="1:40" x14ac:dyDescent="0.25">
      <c r="A1767" t="str">
        <f>"20190303162247808"</f>
        <v>20190303162247808</v>
      </c>
      <c r="B1767" t="str">
        <f>"1551601367796054"</f>
        <v>1551601367796054</v>
      </c>
      <c r="C1767" t="s">
        <v>40</v>
      </c>
      <c r="D1767">
        <v>5.571885</v>
      </c>
      <c r="E1767">
        <v>0.53285859999999996</v>
      </c>
      <c r="F1767" t="s">
        <v>47</v>
      </c>
      <c r="G1767">
        <v>-250.0908</v>
      </c>
      <c r="H1767" s="1">
        <v>-1.4884729999999999E-6</v>
      </c>
      <c r="I1767">
        <v>286.02460000000002</v>
      </c>
      <c r="J1767">
        <v>-229.9006</v>
      </c>
      <c r="K1767">
        <v>1.119335</v>
      </c>
      <c r="L1767">
        <v>284.52010000000001</v>
      </c>
      <c r="M1767">
        <v>-0.99828790000000001</v>
      </c>
      <c r="N1767">
        <v>-4.5554699999999998E-3</v>
      </c>
      <c r="O1767">
        <v>-5.8313419999999998E-2</v>
      </c>
      <c r="P1767">
        <v>-0.98846610000000001</v>
      </c>
      <c r="Q1767">
        <v>0.1512916</v>
      </c>
      <c r="R1767">
        <v>-6.7537999999999999E-3</v>
      </c>
      <c r="S1767">
        <v>-3.064972</v>
      </c>
      <c r="T1767">
        <v>-0.16777909999999999</v>
      </c>
      <c r="U1767">
        <v>0.22332759999999999</v>
      </c>
      <c r="V1767">
        <v>5.1084379999999999E-2</v>
      </c>
      <c r="W1767">
        <v>0.15572649999999999</v>
      </c>
      <c r="X1767">
        <v>0.98647839999999998</v>
      </c>
      <c r="Y1767">
        <v>0.13042429999999999</v>
      </c>
      <c r="Z1767">
        <v>6.7808629999999998E-3</v>
      </c>
      <c r="AA1767">
        <v>0.99143510000000001</v>
      </c>
      <c r="AB1767">
        <v>26</v>
      </c>
      <c r="AC1767">
        <v>-20.190200000000001</v>
      </c>
      <c r="AD1767">
        <v>-1.1193364884729999</v>
      </c>
      <c r="AE1767">
        <v>1.5044999999999999</v>
      </c>
      <c r="AF1767">
        <v>2.6711470764467999</v>
      </c>
      <c r="AG1767">
        <v>-1.1193364884729999</v>
      </c>
      <c r="AH1767">
        <v>20.006955877312201</v>
      </c>
      <c r="AI1767">
        <v>93.174103509935705</v>
      </c>
      <c r="AJ1767">
        <v>82.395359651956994</v>
      </c>
      <c r="AK1767">
        <v>20.215494660164801</v>
      </c>
      <c r="AL1767">
        <v>81.041066665783703</v>
      </c>
      <c r="AM1767">
        <v>87.0356094404044</v>
      </c>
      <c r="AN1767">
        <v>0.99999999517439697</v>
      </c>
    </row>
    <row r="1768" spans="1:40" x14ac:dyDescent="0.25">
      <c r="A1768" t="str">
        <f>"20190303162247830"</f>
        <v>20190303162247830</v>
      </c>
      <c r="B1768" t="str">
        <f>"1551601367826312"</f>
        <v>1551601367826312</v>
      </c>
      <c r="C1768" t="s">
        <v>40</v>
      </c>
      <c r="D1768">
        <v>5.8523839999999998</v>
      </c>
      <c r="E1768">
        <v>0.5327556</v>
      </c>
      <c r="F1768" t="s">
        <v>47</v>
      </c>
      <c r="G1768">
        <v>-248.83340000000001</v>
      </c>
      <c r="H1768" s="1">
        <v>3.163904E-6</v>
      </c>
      <c r="I1768">
        <v>285.91500000000002</v>
      </c>
      <c r="J1768">
        <v>-230.16390000000001</v>
      </c>
      <c r="K1768">
        <v>1.1193229999999901</v>
      </c>
      <c r="L1768">
        <v>284.50560000000002</v>
      </c>
      <c r="M1768">
        <v>-0.99832980000000004</v>
      </c>
      <c r="N1768">
        <v>-5.039193E-3</v>
      </c>
      <c r="O1768">
        <v>-5.7554170000000002E-2</v>
      </c>
      <c r="P1768">
        <v>-0.98917619999999895</v>
      </c>
      <c r="Q1768">
        <v>0.146570899999999</v>
      </c>
      <c r="R1768">
        <v>-6.9170280000000004E-3</v>
      </c>
      <c r="S1768">
        <v>-3.0642550000000002</v>
      </c>
      <c r="T1768">
        <v>-0.1811624</v>
      </c>
      <c r="U1768">
        <v>0.225769</v>
      </c>
      <c r="V1768">
        <v>5.0234790000000001E-2</v>
      </c>
      <c r="W1768">
        <v>0.15147829999999901</v>
      </c>
      <c r="X1768">
        <v>0.98718329999999999</v>
      </c>
      <c r="Y1768">
        <v>0.13042680000000001</v>
      </c>
      <c r="Z1768">
        <v>7.2824369999999897E-3</v>
      </c>
      <c r="AA1768">
        <v>0.99143119999999996</v>
      </c>
      <c r="AB1768">
        <v>26</v>
      </c>
      <c r="AC1768">
        <v>-18.669499999999999</v>
      </c>
      <c r="AD1768">
        <v>-1.1193198360959999</v>
      </c>
      <c r="AE1768">
        <v>1.4094</v>
      </c>
      <c r="AF1768">
        <v>2.4727467629290598</v>
      </c>
      <c r="AG1768">
        <v>-1.1193198360959999</v>
      </c>
      <c r="AH1768">
        <v>18.491343339736801</v>
      </c>
      <c r="AI1768">
        <v>93.433517694465905</v>
      </c>
      <c r="AJ1768">
        <v>82.383333630371098</v>
      </c>
      <c r="AK1768">
        <v>18.689492554830998</v>
      </c>
      <c r="AL1768">
        <v>81.287394412296607</v>
      </c>
      <c r="AM1768">
        <v>87.0869027911628</v>
      </c>
      <c r="AN1768">
        <v>1.0000000386480601</v>
      </c>
    </row>
    <row r="1769" spans="1:40" x14ac:dyDescent="0.25">
      <c r="A1769" t="str">
        <f>"20190303162247850"</f>
        <v>20190303162247850</v>
      </c>
      <c r="B1769" t="str">
        <f>"1551601367836071"</f>
        <v>1551601367836071</v>
      </c>
      <c r="C1769" t="s">
        <v>40</v>
      </c>
      <c r="D1769">
        <v>5.6341229999999998</v>
      </c>
      <c r="E1769">
        <v>0.53272889999999995</v>
      </c>
      <c r="F1769" t="s">
        <v>47</v>
      </c>
      <c r="G1769">
        <v>-247.6251</v>
      </c>
      <c r="H1769" s="1">
        <v>2.520911E-6</v>
      </c>
      <c r="I1769">
        <v>285.78590000000003</v>
      </c>
      <c r="J1769">
        <v>-230.40520000000001</v>
      </c>
      <c r="K1769">
        <v>1.1193229999999901</v>
      </c>
      <c r="L1769">
        <v>284.49250000000001</v>
      </c>
      <c r="M1769">
        <v>-0.99837149999999997</v>
      </c>
      <c r="N1769">
        <v>-5.5081150000000001E-3</v>
      </c>
      <c r="O1769">
        <v>-5.678093E-2</v>
      </c>
      <c r="P1769">
        <v>-0.98941920000000005</v>
      </c>
      <c r="Q1769">
        <v>0.144863299999999</v>
      </c>
      <c r="R1769">
        <v>-8.0253859999999903E-3</v>
      </c>
      <c r="S1769">
        <v>-3.063507</v>
      </c>
      <c r="T1769">
        <v>-0.19638130000000001</v>
      </c>
      <c r="U1769">
        <v>0.2246399</v>
      </c>
      <c r="V1769">
        <v>4.8397839999999998E-2</v>
      </c>
      <c r="W1769">
        <v>0.150231</v>
      </c>
      <c r="X1769">
        <v>0.98746560000000005</v>
      </c>
      <c r="Y1769">
        <v>0.12925929999999999</v>
      </c>
      <c r="Z1769">
        <v>7.8097339999999996E-3</v>
      </c>
      <c r="AA1769">
        <v>0.99158009999999996</v>
      </c>
      <c r="AB1769">
        <v>26</v>
      </c>
      <c r="AC1769">
        <v>-17.2198999999999</v>
      </c>
      <c r="AD1769">
        <v>-1.1193204790889999</v>
      </c>
      <c r="AE1769">
        <v>1.2934000000000101</v>
      </c>
      <c r="AF1769">
        <v>2.2595962874050302</v>
      </c>
      <c r="AG1769">
        <v>-1.1193204790889999</v>
      </c>
      <c r="AH1769">
        <v>17.047052866126901</v>
      </c>
      <c r="AI1769">
        <v>93.724204098308704</v>
      </c>
      <c r="AJ1769">
        <v>82.449427735373206</v>
      </c>
      <c r="AK1769">
        <v>17.2325466817151</v>
      </c>
      <c r="AL1769">
        <v>81.359686488054606</v>
      </c>
      <c r="AM1769">
        <v>87.194054412432394</v>
      </c>
      <c r="AN1769">
        <v>1.00000000773051</v>
      </c>
    </row>
    <row r="1770" spans="1:40" x14ac:dyDescent="0.25">
      <c r="A1770" t="str">
        <f>"20190303162247874"</f>
        <v>20190303162247874</v>
      </c>
      <c r="B1770" t="str">
        <f>"1551601367866327"</f>
        <v>1551601367866327</v>
      </c>
      <c r="C1770" t="s">
        <v>40</v>
      </c>
      <c r="D1770">
        <v>5.567717</v>
      </c>
      <c r="E1770">
        <v>0.53247739999999999</v>
      </c>
      <c r="F1770" t="s">
        <v>47</v>
      </c>
      <c r="G1770">
        <v>-247.48560000000001</v>
      </c>
      <c r="H1770" s="1">
        <v>2.4466899999999999E-6</v>
      </c>
      <c r="I1770">
        <v>285.7253</v>
      </c>
      <c r="J1770">
        <v>-230.6832</v>
      </c>
      <c r="K1770">
        <v>1.1193219999999999</v>
      </c>
      <c r="L1770">
        <v>284.47770000000003</v>
      </c>
      <c r="M1770">
        <v>-0.99842359999999997</v>
      </c>
      <c r="N1770">
        <v>-6.0608800000000003E-3</v>
      </c>
      <c r="O1770">
        <v>-5.5801570000000002E-2</v>
      </c>
      <c r="P1770">
        <v>-0.98988560000000003</v>
      </c>
      <c r="Q1770">
        <v>0.14164589999999999</v>
      </c>
      <c r="R1770">
        <v>-7.9747959999999993E-3</v>
      </c>
      <c r="S1770">
        <v>-3.0632630000000001</v>
      </c>
      <c r="T1770">
        <v>-0.20074259999999999</v>
      </c>
      <c r="U1770">
        <v>0.22109989999999999</v>
      </c>
      <c r="V1770">
        <v>4.7522469999999997E-2</v>
      </c>
      <c r="W1770">
        <v>0.14755699999999999</v>
      </c>
      <c r="X1770">
        <v>0.98791119999999999</v>
      </c>
      <c r="Y1770">
        <v>0.12714139999999999</v>
      </c>
      <c r="Z1770">
        <v>7.853489E-3</v>
      </c>
      <c r="AA1770">
        <v>0.99185350000000005</v>
      </c>
      <c r="AB1770">
        <v>26</v>
      </c>
      <c r="AC1770">
        <v>-16.802399999999999</v>
      </c>
      <c r="AD1770">
        <v>-1.11931955331</v>
      </c>
      <c r="AE1770">
        <v>1.2475999999999701</v>
      </c>
      <c r="AF1770">
        <v>2.1736800102678999</v>
      </c>
      <c r="AG1770">
        <v>-1.11931955331</v>
      </c>
      <c r="AH1770">
        <v>16.6331898813648</v>
      </c>
      <c r="AI1770">
        <v>93.817514520854999</v>
      </c>
      <c r="AJ1770">
        <v>82.554592126825099</v>
      </c>
      <c r="AK1770">
        <v>16.811923348593901</v>
      </c>
      <c r="AL1770">
        <v>81.5146223994753</v>
      </c>
      <c r="AM1770">
        <v>87.2459673856726</v>
      </c>
      <c r="AN1770">
        <v>0.99999999624466995</v>
      </c>
    </row>
    <row r="1771" spans="1:40" x14ac:dyDescent="0.25">
      <c r="A1771" t="str">
        <f>"20190303162247895"</f>
        <v>20190303162247895</v>
      </c>
      <c r="B1771" t="str">
        <f>"1551601367885846"</f>
        <v>1551601367885846</v>
      </c>
      <c r="C1771" t="s">
        <v>40</v>
      </c>
      <c r="D1771">
        <v>5.6113770000000001</v>
      </c>
      <c r="E1771">
        <v>0.51269730000000002</v>
      </c>
      <c r="F1771" t="s">
        <v>47</v>
      </c>
      <c r="G1771">
        <v>-246.9736</v>
      </c>
      <c r="H1771" s="1">
        <v>2.1742120000000002E-6</v>
      </c>
      <c r="I1771">
        <v>285.65230000000003</v>
      </c>
      <c r="J1771">
        <v>-230.92939999999999</v>
      </c>
      <c r="K1771">
        <v>1.1193150000000001</v>
      </c>
      <c r="L1771">
        <v>284.46499999999997</v>
      </c>
      <c r="M1771">
        <v>-0.99847200000000003</v>
      </c>
      <c r="N1771">
        <v>-6.5408269999999999E-3</v>
      </c>
      <c r="O1771">
        <v>-5.4873379999999999E-2</v>
      </c>
      <c r="P1771">
        <v>-0.99035899999999999</v>
      </c>
      <c r="Q1771">
        <v>0.1383732</v>
      </c>
      <c r="R1771">
        <v>-6.4786310000000003E-3</v>
      </c>
      <c r="S1771">
        <v>-3.0625309999999999</v>
      </c>
      <c r="T1771">
        <v>-0.2104279</v>
      </c>
      <c r="U1771">
        <v>0.2208252</v>
      </c>
      <c r="V1771">
        <v>4.8132840000000003E-2</v>
      </c>
      <c r="W1771">
        <v>0.14475550000000001</v>
      </c>
      <c r="X1771">
        <v>0.98829599999999995</v>
      </c>
      <c r="Y1771">
        <v>0.126113</v>
      </c>
      <c r="Z1771">
        <v>8.1389340000000004E-3</v>
      </c>
      <c r="AA1771">
        <v>0.99198249999999999</v>
      </c>
      <c r="AB1771">
        <v>26</v>
      </c>
      <c r="AC1771">
        <v>-16.0442</v>
      </c>
      <c r="AD1771">
        <v>-1.1193128257879901</v>
      </c>
      <c r="AE1771">
        <v>1.18730000000005</v>
      </c>
      <c r="AF1771">
        <v>2.0559772032827999</v>
      </c>
      <c r="AG1771">
        <v>-1.1193128257879901</v>
      </c>
      <c r="AH1771">
        <v>15.878014585367101</v>
      </c>
      <c r="AI1771">
        <v>93.9990905587577</v>
      </c>
      <c r="AJ1771">
        <v>82.6220624115996</v>
      </c>
      <c r="AK1771">
        <v>16.0496495486824</v>
      </c>
      <c r="AL1771">
        <v>81.676878621632</v>
      </c>
      <c r="AM1771">
        <v>87.211734938045495</v>
      </c>
      <c r="AN1771">
        <v>0.99999995434135602</v>
      </c>
    </row>
    <row r="1772" spans="1:40" x14ac:dyDescent="0.25">
      <c r="A1772" t="str">
        <f>"20190303162247918"</f>
        <v>20190303162247918</v>
      </c>
      <c r="B1772" t="str">
        <f>"1551601367906343"</f>
        <v>1551601367906343</v>
      </c>
      <c r="C1772" t="s">
        <v>40</v>
      </c>
      <c r="D1772">
        <v>5.8255790000000003</v>
      </c>
      <c r="E1772">
        <v>0.51166160000000005</v>
      </c>
      <c r="F1772" t="s">
        <v>42</v>
      </c>
      <c r="G1772">
        <v>-231.7002</v>
      </c>
      <c r="H1772">
        <v>0.95136209999999999</v>
      </c>
      <c r="I1772">
        <v>284.47949999999997</v>
      </c>
      <c r="J1772">
        <v>-231.1942</v>
      </c>
      <c r="K1772">
        <v>1.119337</v>
      </c>
      <c r="L1772">
        <v>284.45159999999998</v>
      </c>
      <c r="M1772">
        <v>-0.99852510000000005</v>
      </c>
      <c r="N1772">
        <v>-7.0331609999999996E-3</v>
      </c>
      <c r="O1772">
        <v>-5.3834840000000002E-2</v>
      </c>
      <c r="P1772">
        <v>-0.9905872</v>
      </c>
      <c r="Q1772">
        <v>0.1368559</v>
      </c>
      <c r="R1772">
        <v>-2.741645E-3</v>
      </c>
      <c r="S1772">
        <v>-3.1247410000000002</v>
      </c>
      <c r="T1772">
        <v>-0.68089369999999905</v>
      </c>
      <c r="U1772">
        <v>5.8044430000000001E-2</v>
      </c>
      <c r="V1772">
        <v>5.0856529999999997E-2</v>
      </c>
      <c r="W1772">
        <v>0.1437175</v>
      </c>
      <c r="X1772">
        <v>0.9883111</v>
      </c>
      <c r="Y1772">
        <v>6.9505780000000003E-2</v>
      </c>
      <c r="Z1772">
        <v>1.8948280000000001E-2</v>
      </c>
      <c r="AA1772">
        <v>0.9974016</v>
      </c>
      <c r="AB1772">
        <v>26</v>
      </c>
      <c r="AC1772">
        <v>-0.50600000000000001</v>
      </c>
      <c r="AD1772">
        <v>-0.16797490000000001</v>
      </c>
      <c r="AE1772">
        <v>2.7899999999988202E-2</v>
      </c>
      <c r="AF1772">
        <v>4.9646141891528502E-2</v>
      </c>
      <c r="AG1772">
        <v>-0.16797490000000001</v>
      </c>
      <c r="AH1772">
        <v>0.45389575155217499</v>
      </c>
      <c r="AI1772">
        <v>110.19754531320299</v>
      </c>
      <c r="AJ1772">
        <v>83.757924232319894</v>
      </c>
      <c r="AK1772">
        <v>0.48651994790741898</v>
      </c>
      <c r="AL1772">
        <v>81.736980230178304</v>
      </c>
      <c r="AM1772">
        <v>87.054270960486406</v>
      </c>
      <c r="AN1772">
        <v>0.99999996841654903</v>
      </c>
    </row>
    <row r="1773" spans="1:40" x14ac:dyDescent="0.25">
      <c r="A1773" t="str">
        <f>"20190303162247939"</f>
        <v>20190303162247939</v>
      </c>
      <c r="B1773" t="str">
        <f>"1551601367925863"</f>
        <v>1551601367925863</v>
      </c>
      <c r="C1773" t="s">
        <v>40</v>
      </c>
      <c r="D1773">
        <v>5.6422879999999997</v>
      </c>
      <c r="E1773">
        <v>0.51115949999999999</v>
      </c>
      <c r="F1773" t="s">
        <v>42</v>
      </c>
      <c r="G1773">
        <v>-231.9315</v>
      </c>
      <c r="H1773">
        <v>0.94395450000000003</v>
      </c>
      <c r="I1773">
        <v>284.4649</v>
      </c>
      <c r="J1773">
        <v>-231.44059999999999</v>
      </c>
      <c r="K1773">
        <v>1.1193759999999999</v>
      </c>
      <c r="L1773">
        <v>284.43939999999998</v>
      </c>
      <c r="M1773">
        <v>-0.99857470000000004</v>
      </c>
      <c r="N1773">
        <v>-7.4695940000000004E-3</v>
      </c>
      <c r="O1773">
        <v>-5.284904E-2</v>
      </c>
      <c r="P1773">
        <v>-0.99048449999999999</v>
      </c>
      <c r="Q1773">
        <v>0.13762269999999999</v>
      </c>
      <c r="R1773">
        <v>9.7693920000000009E-4</v>
      </c>
      <c r="S1773">
        <v>-3.1315919999999999</v>
      </c>
      <c r="T1773">
        <v>-0.74495469999999997</v>
      </c>
      <c r="U1773">
        <v>5.6823730000000003E-2</v>
      </c>
      <c r="V1773">
        <v>5.3595490000000003E-2</v>
      </c>
      <c r="W1773">
        <v>0.14490600000000001</v>
      </c>
      <c r="X1773">
        <v>0.9879928</v>
      </c>
      <c r="Y1773">
        <v>6.7628450000000007E-2</v>
      </c>
      <c r="Z1773">
        <v>2.0194179999999999E-2</v>
      </c>
      <c r="AA1773">
        <v>0.99750620000000001</v>
      </c>
      <c r="AB1773">
        <v>26</v>
      </c>
      <c r="AC1773">
        <v>-0.49090000000001</v>
      </c>
      <c r="AD1773">
        <v>-0.17542149999999901</v>
      </c>
      <c r="AE1773">
        <v>2.5500000000022199E-2</v>
      </c>
      <c r="AF1773">
        <v>4.5601222499375198E-2</v>
      </c>
      <c r="AG1773">
        <v>-0.17542149999999901</v>
      </c>
      <c r="AH1773">
        <v>0.43364077973472398</v>
      </c>
      <c r="AI1773">
        <v>111.915587581591</v>
      </c>
      <c r="AJ1773">
        <v>83.996897592637893</v>
      </c>
      <c r="AK1773">
        <v>0.46999627658591803</v>
      </c>
      <c r="AL1773">
        <v>81.668164096075998</v>
      </c>
      <c r="AM1773">
        <v>86.894928261060201</v>
      </c>
      <c r="AN1773">
        <v>0.99999999911809001</v>
      </c>
    </row>
    <row r="1774" spans="1:40" x14ac:dyDescent="0.25">
      <c r="A1774" t="str">
        <f>"20190303162247962"</f>
        <v>20190303162247962</v>
      </c>
      <c r="B1774" t="str">
        <f>"1551601367956119"</f>
        <v>1551601367956119</v>
      </c>
      <c r="C1774" t="s">
        <v>40</v>
      </c>
      <c r="D1774">
        <v>5.6497260000000002</v>
      </c>
      <c r="E1774">
        <v>0.51048800000000005</v>
      </c>
      <c r="F1774" t="s">
        <v>42</v>
      </c>
      <c r="G1774">
        <v>-232.1652</v>
      </c>
      <c r="H1774">
        <v>0.94089199999999995</v>
      </c>
      <c r="I1774">
        <v>284.45389999999998</v>
      </c>
      <c r="J1774">
        <v>-231.71610000000001</v>
      </c>
      <c r="K1774">
        <v>1.119426</v>
      </c>
      <c r="L1774">
        <v>284.42599999999999</v>
      </c>
      <c r="M1774">
        <v>-0.99862899999999999</v>
      </c>
      <c r="N1774">
        <v>-7.9464480000000001E-3</v>
      </c>
      <c r="O1774">
        <v>-5.1740590000000003E-2</v>
      </c>
      <c r="P1774">
        <v>-0.99019889999999999</v>
      </c>
      <c r="Q1774">
        <v>0.1396502</v>
      </c>
      <c r="R1774">
        <v>2.073606E-3</v>
      </c>
      <c r="S1774">
        <v>-3.1360929999999998</v>
      </c>
      <c r="T1774">
        <v>-0.77247949999999999</v>
      </c>
      <c r="U1774">
        <v>6.149292E-2</v>
      </c>
      <c r="V1774">
        <v>5.3584670000000001E-2</v>
      </c>
      <c r="W1774">
        <v>0.1474019</v>
      </c>
      <c r="X1774">
        <v>0.9876241</v>
      </c>
      <c r="Y1774">
        <v>6.7770590000000006E-2</v>
      </c>
      <c r="Z1774">
        <v>2.064415E-2</v>
      </c>
      <c r="AA1774">
        <v>0.99748729999999997</v>
      </c>
      <c r="AB1774">
        <v>26</v>
      </c>
      <c r="AC1774">
        <v>-0.44909999999998701</v>
      </c>
      <c r="AD1774">
        <v>-0.178533999999999</v>
      </c>
      <c r="AE1774">
        <v>2.7899999999988202E-2</v>
      </c>
      <c r="AF1774">
        <v>4.41496528755689E-2</v>
      </c>
      <c r="AG1774">
        <v>-0.178533999999999</v>
      </c>
      <c r="AH1774">
        <v>0.38624837776147097</v>
      </c>
      <c r="AI1774">
        <v>114.666271141256</v>
      </c>
      <c r="AJ1774">
        <v>83.479176026402698</v>
      </c>
      <c r="AK1774">
        <v>0.42779830566331201</v>
      </c>
      <c r="AL1774">
        <v>81.523607254454603</v>
      </c>
      <c r="AM1774">
        <v>86.8943972107745</v>
      </c>
      <c r="AN1774">
        <v>0.99999999994171396</v>
      </c>
    </row>
    <row r="1775" spans="1:40" x14ac:dyDescent="0.25">
      <c r="A1775" t="str">
        <f>"20190303162247986"</f>
        <v>20190303162247986</v>
      </c>
      <c r="B1775" t="str">
        <f>"1551601367976617"</f>
        <v>1551601367976617</v>
      </c>
      <c r="C1775" t="s">
        <v>40</v>
      </c>
      <c r="D1775">
        <v>5.6299359999999998</v>
      </c>
      <c r="E1775">
        <v>0.51041890000000001</v>
      </c>
      <c r="F1775" t="s">
        <v>42</v>
      </c>
      <c r="G1775">
        <v>-232.4041</v>
      </c>
      <c r="H1775">
        <v>0.94873560000000001</v>
      </c>
      <c r="I1775">
        <v>284.43990000000002</v>
      </c>
      <c r="J1775">
        <v>-231.99449999999999</v>
      </c>
      <c r="K1775">
        <v>1.119483</v>
      </c>
      <c r="L1775">
        <v>284.4128</v>
      </c>
      <c r="M1775">
        <v>-0.99868219999999996</v>
      </c>
      <c r="N1775">
        <v>-8.4290430000000006E-3</v>
      </c>
      <c r="O1775">
        <v>-5.0625530000000002E-2</v>
      </c>
      <c r="P1775">
        <v>-0.98984629999999996</v>
      </c>
      <c r="Q1775">
        <v>0.14213399999999901</v>
      </c>
      <c r="R1775">
        <v>1.5413880000000001E-3</v>
      </c>
      <c r="S1775">
        <v>-3.1394039999999999</v>
      </c>
      <c r="T1775">
        <v>-0.77887050000000002</v>
      </c>
      <c r="U1775">
        <v>6.2408449999999997E-2</v>
      </c>
      <c r="V1775">
        <v>5.1936240000000002E-2</v>
      </c>
      <c r="W1775">
        <v>0.15036350000000001</v>
      </c>
      <c r="X1775">
        <v>0.98726559999999997</v>
      </c>
      <c r="Y1775">
        <v>6.6935960000000003E-2</v>
      </c>
      <c r="Z1775">
        <v>2.0413089999999998E-2</v>
      </c>
      <c r="AA1775">
        <v>0.99754849999999995</v>
      </c>
      <c r="AB1775">
        <v>26</v>
      </c>
      <c r="AC1775">
        <v>-0.40960000000001101</v>
      </c>
      <c r="AD1775">
        <v>-0.17074739999999999</v>
      </c>
      <c r="AE1775">
        <v>2.7100000000018502E-2</v>
      </c>
      <c r="AF1775">
        <v>4.0751462128562899E-2</v>
      </c>
      <c r="AG1775">
        <v>-0.17074739999999999</v>
      </c>
      <c r="AH1775">
        <v>0.34756732156660602</v>
      </c>
      <c r="AI1775">
        <v>116.00876457757499</v>
      </c>
      <c r="AJ1775">
        <v>83.312734560997896</v>
      </c>
      <c r="AK1775">
        <v>0.38938207366718902</v>
      </c>
      <c r="AL1775">
        <v>81.352007155884806</v>
      </c>
      <c r="AM1775">
        <v>86.9886655741727</v>
      </c>
      <c r="AN1775">
        <v>0.99999996005047298</v>
      </c>
    </row>
    <row r="1776" spans="1:40" x14ac:dyDescent="0.25">
      <c r="A1776" t="str">
        <f>"20190303162248008"</f>
        <v>20190303162248008</v>
      </c>
      <c r="B1776" t="str">
        <f>"1551601367996135"</f>
        <v>1551601367996135</v>
      </c>
      <c r="C1776" t="s">
        <v>40</v>
      </c>
      <c r="D1776">
        <v>5.6183540000000001</v>
      </c>
      <c r="E1776">
        <v>0.51027990000000001</v>
      </c>
      <c r="F1776" t="s">
        <v>42</v>
      </c>
      <c r="G1776">
        <v>-232.85509999999999</v>
      </c>
      <c r="H1776">
        <v>0.90707559999999998</v>
      </c>
      <c r="I1776">
        <v>284.43029999999999</v>
      </c>
      <c r="J1776">
        <v>-232.25399999999999</v>
      </c>
      <c r="K1776">
        <v>1.119548</v>
      </c>
      <c r="L1776">
        <v>284.4008</v>
      </c>
      <c r="M1776">
        <v>-0.99872969999999905</v>
      </c>
      <c r="N1776">
        <v>-8.874079E-3</v>
      </c>
      <c r="O1776">
        <v>-4.9599409999999997E-2</v>
      </c>
      <c r="P1776">
        <v>-0.98950910000000003</v>
      </c>
      <c r="Q1776">
        <v>0.14447079999999901</v>
      </c>
      <c r="R1776">
        <v>-1.1268399999999999E-4</v>
      </c>
      <c r="S1776">
        <v>-3.1420439999999998</v>
      </c>
      <c r="T1776">
        <v>-0.77546530000000002</v>
      </c>
      <c r="U1776">
        <v>6.3446039999999995E-2</v>
      </c>
      <c r="V1776">
        <v>4.9255930000000003E-2</v>
      </c>
      <c r="W1776">
        <v>0.1531429</v>
      </c>
      <c r="X1776">
        <v>0.98697570000000001</v>
      </c>
      <c r="Y1776">
        <v>6.6309809999999997E-2</v>
      </c>
      <c r="Z1776">
        <v>1.9982699999999999E-2</v>
      </c>
      <c r="AA1776">
        <v>0.99759889999999996</v>
      </c>
      <c r="AB1776">
        <v>26</v>
      </c>
      <c r="AC1776">
        <v>-0.60109999999997399</v>
      </c>
      <c r="AD1776">
        <v>-0.21247240000000001</v>
      </c>
      <c r="AE1776">
        <v>2.94999999999845E-2</v>
      </c>
      <c r="AF1776">
        <v>5.2709246913699999E-2</v>
      </c>
      <c r="AG1776">
        <v>-0.21247240000000001</v>
      </c>
      <c r="AH1776">
        <v>0.53252189656570004</v>
      </c>
      <c r="AI1776">
        <v>111.655678488964</v>
      </c>
      <c r="AJ1776">
        <v>84.347251288615993</v>
      </c>
      <c r="AK1776">
        <v>0.57576241262685701</v>
      </c>
      <c r="AL1776">
        <v>81.190893279442406</v>
      </c>
      <c r="AM1776">
        <v>87.142971762564002</v>
      </c>
      <c r="AN1776">
        <v>0.99999996342553099</v>
      </c>
    </row>
    <row r="1777" spans="1:40" x14ac:dyDescent="0.25">
      <c r="A1777" t="str">
        <f>"20190303162248030"</f>
        <v>20190303162248030</v>
      </c>
      <c r="B1777" t="str">
        <f>"1551601368026391"</f>
        <v>1551601368026391</v>
      </c>
      <c r="C1777" t="s">
        <v>40</v>
      </c>
      <c r="D1777">
        <v>5.6594989999999896</v>
      </c>
      <c r="E1777">
        <v>0.51028669999999998</v>
      </c>
      <c r="F1777" t="s">
        <v>42</v>
      </c>
      <c r="G1777">
        <v>-233.0932</v>
      </c>
      <c r="H1777">
        <v>0.91402859999999997</v>
      </c>
      <c r="I1777">
        <v>284.41680000000002</v>
      </c>
      <c r="J1777">
        <v>-232.50970000000001</v>
      </c>
      <c r="K1777">
        <v>1.1195999999999999</v>
      </c>
      <c r="L1777">
        <v>284.38920000000002</v>
      </c>
      <c r="M1777">
        <v>-0.99877519999999997</v>
      </c>
      <c r="N1777">
        <v>-9.2921210000000004E-3</v>
      </c>
      <c r="O1777">
        <v>-4.8600249999999998E-2</v>
      </c>
      <c r="P1777">
        <v>-0.98938999999999999</v>
      </c>
      <c r="Q1777">
        <v>0.14527129999999999</v>
      </c>
      <c r="R1777">
        <v>-2.0325780000000002E-3</v>
      </c>
      <c r="S1777">
        <v>-3.1442410000000001</v>
      </c>
      <c r="T1777">
        <v>-0.77005040000000002</v>
      </c>
      <c r="U1777">
        <v>5.8685300000000003E-2</v>
      </c>
      <c r="V1777">
        <v>4.6344120000000003E-2</v>
      </c>
      <c r="W1777">
        <v>0.15436269999999999</v>
      </c>
      <c r="X1777">
        <v>0.98692670000000005</v>
      </c>
      <c r="Y1777">
        <v>6.3941330000000005E-2</v>
      </c>
      <c r="Z1777">
        <v>1.9297580000000002E-2</v>
      </c>
      <c r="AA1777">
        <v>0.99776710000000002</v>
      </c>
      <c r="AB1777">
        <v>26</v>
      </c>
      <c r="AC1777">
        <v>-0.58349999999998603</v>
      </c>
      <c r="AD1777">
        <v>-0.20557139999999999</v>
      </c>
      <c r="AE1777">
        <v>2.7600000000006699E-2</v>
      </c>
      <c r="AF1777">
        <v>4.9763914209736401E-2</v>
      </c>
      <c r="AG1777">
        <v>-0.20557139999999999</v>
      </c>
      <c r="AH1777">
        <v>0.51739323157994999</v>
      </c>
      <c r="AI1777">
        <v>111.5786108746</v>
      </c>
      <c r="AJ1777">
        <v>84.506077302429006</v>
      </c>
      <c r="AK1777">
        <v>0.55895599445768296</v>
      </c>
      <c r="AL1777">
        <v>81.120162871099097</v>
      </c>
      <c r="AM1777">
        <v>87.311478807487902</v>
      </c>
      <c r="AN1777">
        <v>0.99999996589137596</v>
      </c>
    </row>
    <row r="1778" spans="1:40" x14ac:dyDescent="0.25">
      <c r="A1778" t="str">
        <f>"20190303162248051"</f>
        <v>20190303162248051</v>
      </c>
      <c r="B1778" t="str">
        <f>"1551601368045912"</f>
        <v>1551601368045912</v>
      </c>
      <c r="C1778" t="s">
        <v>40</v>
      </c>
      <c r="D1778">
        <v>5.7114719999999997</v>
      </c>
      <c r="E1778">
        <v>0.50968159999999996</v>
      </c>
      <c r="F1778" t="s">
        <v>42</v>
      </c>
      <c r="G1778">
        <v>-233.30940000000001</v>
      </c>
      <c r="H1778">
        <v>0.87018909999999905</v>
      </c>
      <c r="I1778">
        <v>284.4024</v>
      </c>
      <c r="J1778">
        <v>-232.7653</v>
      </c>
      <c r="K1778">
        <v>1.119642</v>
      </c>
      <c r="L1778">
        <v>284.37790000000001</v>
      </c>
      <c r="M1778">
        <v>-0.99881920000000002</v>
      </c>
      <c r="N1778">
        <v>-9.6777400000000006E-3</v>
      </c>
      <c r="O1778">
        <v>-4.7609289999999999E-2</v>
      </c>
      <c r="P1778">
        <v>-0.9894058</v>
      </c>
      <c r="Q1778">
        <v>0.14513239999999999</v>
      </c>
      <c r="R1778">
        <v>-3.6190990000000002E-3</v>
      </c>
      <c r="S1778">
        <v>-3.1777950000000001</v>
      </c>
      <c r="T1778">
        <v>-0.99092979999999997</v>
      </c>
      <c r="U1778">
        <v>5.1635739999999999E-2</v>
      </c>
      <c r="V1778">
        <v>4.3777820000000002E-2</v>
      </c>
      <c r="W1778">
        <v>0.154611</v>
      </c>
      <c r="X1778">
        <v>0.98700509999999997</v>
      </c>
      <c r="Y1778">
        <v>5.8827749999999998E-2</v>
      </c>
      <c r="Z1778">
        <v>2.3297740000000001E-2</v>
      </c>
      <c r="AA1778">
        <v>0.99799629999999995</v>
      </c>
      <c r="AB1778">
        <v>26</v>
      </c>
      <c r="AC1778">
        <v>-0.54410000000001402</v>
      </c>
      <c r="AD1778">
        <v>-0.24945290000000001</v>
      </c>
      <c r="AE1778">
        <v>2.4499999999988999E-2</v>
      </c>
      <c r="AF1778">
        <v>4.16423864970695E-2</v>
      </c>
      <c r="AG1778">
        <v>-0.24945290000000001</v>
      </c>
      <c r="AH1778">
        <v>0.44828124552299098</v>
      </c>
      <c r="AI1778">
        <v>118.989945761801</v>
      </c>
      <c r="AJ1778">
        <v>84.692828567884504</v>
      </c>
      <c r="AK1778">
        <v>0.51470079926033296</v>
      </c>
      <c r="AL1778">
        <v>81.105764333285705</v>
      </c>
      <c r="AM1778">
        <v>87.460356166244296</v>
      </c>
      <c r="AN1778">
        <v>1.00000006313547</v>
      </c>
    </row>
    <row r="1779" spans="1:40" x14ac:dyDescent="0.25">
      <c r="A1779" t="str">
        <f>"20190303162248074"</f>
        <v>20190303162248074</v>
      </c>
      <c r="B1779" t="str">
        <f>"1551601368066407"</f>
        <v>1551601368066407</v>
      </c>
      <c r="C1779" t="s">
        <v>40</v>
      </c>
      <c r="D1779">
        <v>5.6914309999999997</v>
      </c>
      <c r="E1779">
        <v>0.5094514</v>
      </c>
      <c r="F1779" t="s">
        <v>42</v>
      </c>
      <c r="G1779">
        <v>-233.54349999999999</v>
      </c>
      <c r="H1779">
        <v>0.86884189999999994</v>
      </c>
      <c r="I1779">
        <v>284.3897</v>
      </c>
      <c r="J1779">
        <v>-233.02889999999999</v>
      </c>
      <c r="K1779">
        <v>1.1196759999999999</v>
      </c>
      <c r="L1779">
        <v>284.36649999999997</v>
      </c>
      <c r="M1779">
        <v>-0.99886359999999996</v>
      </c>
      <c r="N1779">
        <v>-1.003719E-2</v>
      </c>
      <c r="O1779">
        <v>-4.659137E-2</v>
      </c>
      <c r="P1779">
        <v>-0.98926879999999995</v>
      </c>
      <c r="Q1779">
        <v>0.14599589999999901</v>
      </c>
      <c r="R1779">
        <v>-5.7055259999999998E-3</v>
      </c>
      <c r="S1779">
        <v>-3.1827549999999998</v>
      </c>
      <c r="T1779">
        <v>-1.0256069999999999</v>
      </c>
      <c r="U1779">
        <v>4.7088619999999998E-2</v>
      </c>
      <c r="V1779">
        <v>4.0680099999999997E-2</v>
      </c>
      <c r="W1779">
        <v>0.15583569999999999</v>
      </c>
      <c r="X1779">
        <v>0.98694499999999996</v>
      </c>
      <c r="Y1779">
        <v>5.621321E-2</v>
      </c>
      <c r="Z1779">
        <v>2.330496E-2</v>
      </c>
      <c r="AA1779">
        <v>0.9981468</v>
      </c>
      <c r="AB1779">
        <v>26</v>
      </c>
      <c r="AC1779">
        <v>-0.51460000000000095</v>
      </c>
      <c r="AD1779">
        <v>-0.2508341</v>
      </c>
      <c r="AE1779">
        <v>2.3200000000031199E-2</v>
      </c>
      <c r="AF1779">
        <v>3.8114549545426903E-2</v>
      </c>
      <c r="AG1779">
        <v>-0.2508341</v>
      </c>
      <c r="AH1779">
        <v>0.41464356474388397</v>
      </c>
      <c r="AI1779">
        <v>121.064736575513</v>
      </c>
      <c r="AJ1779">
        <v>84.748059980593297</v>
      </c>
      <c r="AK1779">
        <v>0.48610672736897698</v>
      </c>
      <c r="AL1779">
        <v>81.034732993567005</v>
      </c>
      <c r="AM1779">
        <v>87.6397069524524</v>
      </c>
      <c r="AN1779">
        <v>1.00000003447774</v>
      </c>
    </row>
    <row r="1780" spans="1:40" x14ac:dyDescent="0.25">
      <c r="A1780" t="str">
        <f>"20190303162248097"</f>
        <v>20190303162248097</v>
      </c>
      <c r="B1780" t="str">
        <f>"1551601368085927"</f>
        <v>1551601368085927</v>
      </c>
      <c r="C1780" t="s">
        <v>40</v>
      </c>
      <c r="D1780">
        <v>5.6738670000000004</v>
      </c>
      <c r="E1780">
        <v>0.50938620000000001</v>
      </c>
      <c r="F1780" t="s">
        <v>42</v>
      </c>
      <c r="G1780">
        <v>-233.78120000000001</v>
      </c>
      <c r="H1780">
        <v>0.87668939999999995</v>
      </c>
      <c r="I1780">
        <v>284.37670000000003</v>
      </c>
      <c r="J1780">
        <v>-233.3</v>
      </c>
      <c r="K1780">
        <v>1.1197079999999999</v>
      </c>
      <c r="L1780">
        <v>284.35500000000002</v>
      </c>
      <c r="M1780">
        <v>-0.99890849999999998</v>
      </c>
      <c r="N1780">
        <v>-1.036452E-2</v>
      </c>
      <c r="O1780">
        <v>-4.5547270000000001E-2</v>
      </c>
      <c r="P1780">
        <v>-0.98910830000000005</v>
      </c>
      <c r="Q1780">
        <v>0.14697679999999999</v>
      </c>
      <c r="R1780">
        <v>-7.9309740000000004E-3</v>
      </c>
      <c r="S1780">
        <v>-3.1846009999999998</v>
      </c>
      <c r="T1780">
        <v>-1.0285359999999999</v>
      </c>
      <c r="U1780">
        <v>4.2572020000000002E-2</v>
      </c>
      <c r="V1780">
        <v>3.7417110000000003E-2</v>
      </c>
      <c r="W1780">
        <v>0.15714589999999901</v>
      </c>
      <c r="X1780">
        <v>0.98686629999999997</v>
      </c>
      <c r="Y1780">
        <v>5.3895980000000003E-2</v>
      </c>
      <c r="Z1780">
        <v>2.265522E-2</v>
      </c>
      <c r="AA1780">
        <v>0.99828950000000005</v>
      </c>
      <c r="AB1780">
        <v>26</v>
      </c>
      <c r="AC1780">
        <v>-0.48120000000000102</v>
      </c>
      <c r="AD1780">
        <v>-0.243018599999999</v>
      </c>
      <c r="AE1780">
        <v>2.1700000000009802E-2</v>
      </c>
      <c r="AF1780">
        <v>3.4750755976241103E-2</v>
      </c>
      <c r="AG1780">
        <v>-0.243018599999999</v>
      </c>
      <c r="AH1780">
        <v>0.38238277176942997</v>
      </c>
      <c r="AI1780">
        <v>122.330913842713</v>
      </c>
      <c r="AJ1780">
        <v>84.807252504776102</v>
      </c>
      <c r="AK1780">
        <v>0.45440316804898301</v>
      </c>
      <c r="AL1780">
        <v>80.958727169709604</v>
      </c>
      <c r="AM1780">
        <v>87.828666280263107</v>
      </c>
      <c r="AN1780">
        <v>0.99999998404162505</v>
      </c>
    </row>
    <row r="1781" spans="1:40" x14ac:dyDescent="0.25">
      <c r="A1781" t="str">
        <f>"20190303162248118"</f>
        <v>20190303162248118</v>
      </c>
      <c r="B1781" t="str">
        <f>"1551601368106423"</f>
        <v>1551601368106423</v>
      </c>
      <c r="C1781" t="s">
        <v>40</v>
      </c>
      <c r="D1781">
        <v>5.7056110000000002</v>
      </c>
      <c r="E1781">
        <v>0.50951610000000003</v>
      </c>
      <c r="F1781" t="s">
        <v>42</v>
      </c>
      <c r="G1781">
        <v>-234.02029999999999</v>
      </c>
      <c r="H1781">
        <v>0.88736890000000002</v>
      </c>
      <c r="I1781">
        <v>284.36349999999999</v>
      </c>
      <c r="J1781">
        <v>-233.54759999999999</v>
      </c>
      <c r="K1781">
        <v>1.1197410000000001</v>
      </c>
      <c r="L1781">
        <v>284.34480000000002</v>
      </c>
      <c r="M1781">
        <v>-0.99894879999999997</v>
      </c>
      <c r="N1781">
        <v>-1.062213E-2</v>
      </c>
      <c r="O1781">
        <v>-4.4594849999999998E-2</v>
      </c>
      <c r="P1781">
        <v>-0.98887009999999997</v>
      </c>
      <c r="Q1781">
        <v>0.14847939999999901</v>
      </c>
      <c r="R1781">
        <v>-9.4741210000000003E-3</v>
      </c>
      <c r="S1781">
        <v>-3.1860200000000001</v>
      </c>
      <c r="T1781">
        <v>-1.0276190000000001</v>
      </c>
      <c r="U1781">
        <v>3.6376949999999998E-2</v>
      </c>
      <c r="V1781">
        <v>3.4923919999999997E-2</v>
      </c>
      <c r="W1781">
        <v>0.15890599999999999</v>
      </c>
      <c r="X1781">
        <v>0.98667590000000005</v>
      </c>
      <c r="Y1781">
        <v>5.1198349999999997E-2</v>
      </c>
      <c r="Z1781">
        <v>2.189338E-2</v>
      </c>
      <c r="AA1781">
        <v>0.99844849999999996</v>
      </c>
      <c r="AB1781">
        <v>26</v>
      </c>
      <c r="AC1781">
        <v>-0.47270000000000301</v>
      </c>
      <c r="AD1781">
        <v>-0.232372099999999</v>
      </c>
      <c r="AE1781">
        <v>1.8699999999967E-2</v>
      </c>
      <c r="AF1781">
        <v>3.2033572255471099E-2</v>
      </c>
      <c r="AG1781">
        <v>-0.232372099999999</v>
      </c>
      <c r="AH1781">
        <v>0.379766445527353</v>
      </c>
      <c r="AI1781">
        <v>121.371345589578</v>
      </c>
      <c r="AJ1781">
        <v>85.178473382469804</v>
      </c>
      <c r="AK1781">
        <v>0.44636923702058101</v>
      </c>
      <c r="AL1781">
        <v>80.856598330275901</v>
      </c>
      <c r="AM1781">
        <v>87.9728316018806</v>
      </c>
      <c r="AN1781">
        <v>1.00000006433248</v>
      </c>
    </row>
    <row r="1782" spans="1:40" x14ac:dyDescent="0.25">
      <c r="A1782" t="str">
        <f>"20190303162248142"</f>
        <v>20190303162248142</v>
      </c>
      <c r="B1782" t="str">
        <f>"1551601368136679"</f>
        <v>1551601368136679</v>
      </c>
      <c r="C1782" t="s">
        <v>40</v>
      </c>
      <c r="D1782">
        <v>5.7774029999999996</v>
      </c>
      <c r="E1782">
        <v>0.51037399999999999</v>
      </c>
      <c r="F1782" t="s">
        <v>42</v>
      </c>
      <c r="G1782">
        <v>-234.2567</v>
      </c>
      <c r="H1782">
        <v>0.89160280000000003</v>
      </c>
      <c r="I1782">
        <v>284.35300000000001</v>
      </c>
      <c r="J1782">
        <v>-233.82669999999999</v>
      </c>
      <c r="K1782">
        <v>1.1197649999999999</v>
      </c>
      <c r="L1782">
        <v>284.33359999999999</v>
      </c>
      <c r="M1782">
        <v>-0.99899320000000003</v>
      </c>
      <c r="N1782">
        <v>-1.086579E-2</v>
      </c>
      <c r="O1782">
        <v>-4.3526189999999999E-2</v>
      </c>
      <c r="P1782">
        <v>-0.98864629999999998</v>
      </c>
      <c r="Q1782">
        <v>0.14995890000000001</v>
      </c>
      <c r="R1782">
        <v>-9.5286290000000003E-3</v>
      </c>
      <c r="S1782">
        <v>-3.188126</v>
      </c>
      <c r="T1782">
        <v>-1.025757</v>
      </c>
      <c r="U1782">
        <v>3.6743159999999997E-2</v>
      </c>
      <c r="V1782">
        <v>3.380325E-2</v>
      </c>
      <c r="W1782">
        <v>0.1606264</v>
      </c>
      <c r="X1782">
        <v>0.98643619999999999</v>
      </c>
      <c r="Y1782">
        <v>5.0356350000000001E-2</v>
      </c>
      <c r="Z1782">
        <v>2.1376539999999999E-2</v>
      </c>
      <c r="AA1782">
        <v>0.99850249999999996</v>
      </c>
      <c r="AB1782">
        <v>26</v>
      </c>
      <c r="AC1782">
        <v>-0.43000000000000599</v>
      </c>
      <c r="AD1782">
        <v>-0.22816219999999901</v>
      </c>
      <c r="AE1782">
        <v>1.9400000000018701E-2</v>
      </c>
      <c r="AF1782">
        <v>2.97421764766965E-2</v>
      </c>
      <c r="AG1782">
        <v>-0.22816219999999901</v>
      </c>
      <c r="AH1782">
        <v>0.33470445684674499</v>
      </c>
      <c r="AI1782">
        <v>124.176780851573</v>
      </c>
      <c r="AJ1782">
        <v>84.921976898309595</v>
      </c>
      <c r="AK1782">
        <v>0.40616457256078597</v>
      </c>
      <c r="AL1782">
        <v>80.756742849493605</v>
      </c>
      <c r="AM1782">
        <v>88.037353078535602</v>
      </c>
      <c r="AN1782">
        <v>0.99999993837897905</v>
      </c>
    </row>
    <row r="1783" spans="1:40" x14ac:dyDescent="0.25">
      <c r="A1783" t="str">
        <f>"20190303162248164"</f>
        <v>20190303162248164</v>
      </c>
      <c r="B1783" t="str">
        <f>"1551601368156199"</f>
        <v>1551601368156199</v>
      </c>
      <c r="C1783" t="s">
        <v>40</v>
      </c>
      <c r="D1783">
        <v>5.6927209999999997</v>
      </c>
      <c r="E1783">
        <v>0.52450169999999996</v>
      </c>
      <c r="F1783" t="s">
        <v>42</v>
      </c>
      <c r="G1783">
        <v>-234.49709999999999</v>
      </c>
      <c r="H1783">
        <v>0.90507249999999995</v>
      </c>
      <c r="I1783">
        <v>284.34390000000002</v>
      </c>
      <c r="J1783">
        <v>-234.07570000000001</v>
      </c>
      <c r="K1783">
        <v>1.1197900000000001</v>
      </c>
      <c r="L1783">
        <v>284.32389999999998</v>
      </c>
      <c r="M1783">
        <v>-0.99903180000000003</v>
      </c>
      <c r="N1783">
        <v>-1.10429E-2</v>
      </c>
      <c r="O1783">
        <v>-4.2585129999999999E-2</v>
      </c>
      <c r="P1783">
        <v>-0.98841679999999998</v>
      </c>
      <c r="Q1783">
        <v>0.15154500000000001</v>
      </c>
      <c r="R1783">
        <v>-8.1599089999999999E-3</v>
      </c>
      <c r="S1783">
        <v>-3.189835</v>
      </c>
      <c r="T1783">
        <v>-1.0214240000000001</v>
      </c>
      <c r="U1783">
        <v>4.7821040000000002E-2</v>
      </c>
      <c r="V1783">
        <v>3.4228910000000001E-2</v>
      </c>
      <c r="W1783">
        <v>0.16238449999999999</v>
      </c>
      <c r="X1783">
        <v>0.9861337</v>
      </c>
      <c r="Y1783">
        <v>5.2836590000000003E-2</v>
      </c>
      <c r="Z1783">
        <v>2.139334E-2</v>
      </c>
      <c r="AA1783">
        <v>0.99837399999999998</v>
      </c>
      <c r="AB1783">
        <v>26</v>
      </c>
      <c r="AC1783">
        <v>-0.42139999999997702</v>
      </c>
      <c r="AD1783">
        <v>-0.21471750000000001</v>
      </c>
      <c r="AE1783">
        <v>2.0000000000038601E-2</v>
      </c>
      <c r="AF1783">
        <v>3.0124769707976399E-2</v>
      </c>
      <c r="AG1783">
        <v>-0.21471750000000001</v>
      </c>
      <c r="AH1783">
        <v>0.33371899107282899</v>
      </c>
      <c r="AI1783">
        <v>122.651852448225</v>
      </c>
      <c r="AJ1783">
        <v>84.841897678829497</v>
      </c>
      <c r="AK1783">
        <v>0.397969184182489</v>
      </c>
      <c r="AL1783">
        <v>80.654671770284693</v>
      </c>
      <c r="AM1783">
        <v>88.012049437876698</v>
      </c>
      <c r="AN1783">
        <v>1.00000000919786</v>
      </c>
    </row>
    <row r="1784" spans="1:40" x14ac:dyDescent="0.25">
      <c r="A1784" t="str">
        <f>"20190303162248186"</f>
        <v>20190303162248186</v>
      </c>
      <c r="B1784" t="str">
        <f>"1551601368176695"</f>
        <v>1551601368176695</v>
      </c>
      <c r="C1784" t="s">
        <v>40</v>
      </c>
      <c r="D1784">
        <v>5.6947260000000002</v>
      </c>
      <c r="E1784">
        <v>0.52572019999999997</v>
      </c>
      <c r="F1784" t="s">
        <v>42</v>
      </c>
      <c r="G1784">
        <v>-234.9342</v>
      </c>
      <c r="H1784">
        <v>0.82412410000000003</v>
      </c>
      <c r="I1784">
        <v>284.36790000000002</v>
      </c>
      <c r="J1784">
        <v>-234.34479999999999</v>
      </c>
      <c r="K1784">
        <v>1.1198159999999999</v>
      </c>
      <c r="L1784">
        <v>284.31360000000001</v>
      </c>
      <c r="M1784">
        <v>-0.99907199999999996</v>
      </c>
      <c r="N1784">
        <v>-1.1201829999999999E-2</v>
      </c>
      <c r="O1784">
        <v>-4.1591410000000002E-2</v>
      </c>
      <c r="P1784">
        <v>-0.98843599999999998</v>
      </c>
      <c r="Q1784">
        <v>0.15151700000000001</v>
      </c>
      <c r="R1784">
        <v>-6.1023120000000004E-3</v>
      </c>
      <c r="S1784">
        <v>-3.2057799999999999</v>
      </c>
      <c r="T1784">
        <v>-1.1039490000000001</v>
      </c>
      <c r="U1784">
        <v>0.16412349999999901</v>
      </c>
      <c r="V1784">
        <v>3.529533E-2</v>
      </c>
      <c r="W1784">
        <v>0.1625125</v>
      </c>
      <c r="X1784">
        <v>0.98607500000000003</v>
      </c>
      <c r="Y1784">
        <v>8.53106E-2</v>
      </c>
      <c r="Z1784">
        <v>2.822129E-2</v>
      </c>
      <c r="AA1784">
        <v>0.99595460000000002</v>
      </c>
      <c r="AB1784">
        <v>26</v>
      </c>
      <c r="AC1784">
        <v>-0.58940000000001103</v>
      </c>
      <c r="AD1784">
        <v>-0.29569189999999901</v>
      </c>
      <c r="AE1784">
        <v>5.4300000000011998E-2</v>
      </c>
      <c r="AF1784">
        <v>6.3036626402821996E-2</v>
      </c>
      <c r="AG1784">
        <v>-0.29569189999999901</v>
      </c>
      <c r="AH1784">
        <v>0.469467525359473</v>
      </c>
      <c r="AI1784">
        <v>121.97418829818901</v>
      </c>
      <c r="AJ1784">
        <v>82.352487015074601</v>
      </c>
      <c r="AK1784">
        <v>0.55839687800076898</v>
      </c>
      <c r="AL1784">
        <v>80.647238995933506</v>
      </c>
      <c r="AM1784">
        <v>87.950043893345907</v>
      </c>
      <c r="AN1784">
        <v>0.99999998930052902</v>
      </c>
    </row>
    <row r="1785" spans="1:40" x14ac:dyDescent="0.25">
      <c r="A1785" t="str">
        <f>"20190303162248209"</f>
        <v>20190303162248209</v>
      </c>
      <c r="B1785" t="str">
        <f>"1551601368205975"</f>
        <v>1551601368205975</v>
      </c>
      <c r="C1785" t="s">
        <v>40</v>
      </c>
      <c r="D1785">
        <v>5.7380719999999998</v>
      </c>
      <c r="E1785">
        <v>0.52635089999999995</v>
      </c>
      <c r="F1785" t="s">
        <v>42</v>
      </c>
      <c r="G1785">
        <v>-235.172</v>
      </c>
      <c r="H1785">
        <v>0.83255840000000003</v>
      </c>
      <c r="I1785">
        <v>284.35950000000003</v>
      </c>
      <c r="J1785">
        <v>-234.61259999999999</v>
      </c>
      <c r="K1785">
        <v>1.119848</v>
      </c>
      <c r="L1785">
        <v>284.30360000000002</v>
      </c>
      <c r="M1785">
        <v>-0.99911030000000001</v>
      </c>
      <c r="N1785">
        <v>-1.1335380000000001E-2</v>
      </c>
      <c r="O1785">
        <v>-4.0625759999999997E-2</v>
      </c>
      <c r="P1785">
        <v>-0.98861840000000001</v>
      </c>
      <c r="Q1785">
        <v>0.15038080000000001</v>
      </c>
      <c r="R1785">
        <v>-4.4692600000000001E-3</v>
      </c>
      <c r="S1785">
        <v>-3.2069239999999999</v>
      </c>
      <c r="T1785">
        <v>-1.1137280000000001</v>
      </c>
      <c r="U1785">
        <v>0.17846679999999901</v>
      </c>
      <c r="V1785">
        <v>3.596924E-2</v>
      </c>
      <c r="W1785">
        <v>0.16151070000000001</v>
      </c>
      <c r="X1785">
        <v>0.98621519999999996</v>
      </c>
      <c r="Y1785">
        <v>8.8510980000000003E-2</v>
      </c>
      <c r="Z1785">
        <v>2.868913E-2</v>
      </c>
      <c r="AA1785">
        <v>0.99566200000000005</v>
      </c>
      <c r="AB1785">
        <v>26</v>
      </c>
      <c r="AC1785">
        <v>-0.55940000000001</v>
      </c>
      <c r="AD1785">
        <v>-0.28728959999999898</v>
      </c>
      <c r="AE1785">
        <v>5.59000000000082E-2</v>
      </c>
      <c r="AF1785">
        <v>6.2309590460731201E-2</v>
      </c>
      <c r="AG1785">
        <v>-0.28728959999999898</v>
      </c>
      <c r="AH1785">
        <v>0.441398521905426</v>
      </c>
      <c r="AI1785">
        <v>122.800669154747</v>
      </c>
      <c r="AJ1785">
        <v>81.964988629340695</v>
      </c>
      <c r="AK1785">
        <v>0.53033051436989698</v>
      </c>
      <c r="AL1785">
        <v>80.705406061968205</v>
      </c>
      <c r="AM1785">
        <v>87.911234209722096</v>
      </c>
      <c r="AN1785">
        <v>0.99999995657585194</v>
      </c>
    </row>
    <row r="1786" spans="1:40" x14ac:dyDescent="0.25">
      <c r="A1786" t="str">
        <f>"20190303162248232"</f>
        <v>20190303162248232</v>
      </c>
      <c r="B1786" t="str">
        <f>"1551601368226471"</f>
        <v>1551601368226471</v>
      </c>
      <c r="C1786" t="s">
        <v>40</v>
      </c>
      <c r="D1786">
        <v>5.6732620000000002</v>
      </c>
      <c r="E1786">
        <v>0.52643899999999999</v>
      </c>
      <c r="F1786" t="s">
        <v>42</v>
      </c>
      <c r="G1786">
        <v>-235.40960000000001</v>
      </c>
      <c r="H1786">
        <v>0.84082819999999903</v>
      </c>
      <c r="I1786">
        <v>284.351</v>
      </c>
      <c r="J1786">
        <v>-234.8835</v>
      </c>
      <c r="K1786">
        <v>1.1198900000000001</v>
      </c>
      <c r="L1786">
        <v>284.29360000000003</v>
      </c>
      <c r="M1786">
        <v>-0.99914689999999995</v>
      </c>
      <c r="N1786">
        <v>-1.1449869999999999E-2</v>
      </c>
      <c r="O1786">
        <v>-3.9677810000000001E-2</v>
      </c>
      <c r="P1786">
        <v>-0.98839589999999999</v>
      </c>
      <c r="Q1786">
        <v>0.15183459999999999</v>
      </c>
      <c r="R1786">
        <v>-4.4425799999999998E-3</v>
      </c>
      <c r="S1786">
        <v>-3.2061310000000001</v>
      </c>
      <c r="T1786">
        <v>-1.1223240000000001</v>
      </c>
      <c r="U1786">
        <v>0.18994140000000001</v>
      </c>
      <c r="V1786">
        <v>3.5042879999999998E-2</v>
      </c>
      <c r="W1786">
        <v>0.1630789</v>
      </c>
      <c r="X1786">
        <v>0.98599049999999999</v>
      </c>
      <c r="Y1786">
        <v>9.0920139999999997E-2</v>
      </c>
      <c r="Z1786">
        <v>2.901511E-2</v>
      </c>
      <c r="AA1786">
        <v>0.99543539999999997</v>
      </c>
      <c r="AB1786">
        <v>26</v>
      </c>
      <c r="AC1786">
        <v>-0.526100000000013</v>
      </c>
      <c r="AD1786">
        <v>-0.27906180000000003</v>
      </c>
      <c r="AE1786">
        <v>5.7399999999972799E-2</v>
      </c>
      <c r="AF1786">
        <v>6.1210890087186401E-2</v>
      </c>
      <c r="AG1786">
        <v>-0.27906180000000003</v>
      </c>
      <c r="AH1786">
        <v>0.40953598557562099</v>
      </c>
      <c r="AI1786">
        <v>123.97696541149099</v>
      </c>
      <c r="AJ1786">
        <v>81.4992710206391</v>
      </c>
      <c r="AK1786">
        <v>0.49934155121109303</v>
      </c>
      <c r="AL1786">
        <v>80.614347979508395</v>
      </c>
      <c r="AM1786">
        <v>87.964519557086703</v>
      </c>
      <c r="AN1786">
        <v>0.999999998577077</v>
      </c>
    </row>
    <row r="1787" spans="1:40" x14ac:dyDescent="0.25">
      <c r="A1787" t="str">
        <f>"20190303162248254"</f>
        <v>20190303162248254</v>
      </c>
      <c r="B1787" t="str">
        <f>"1551601368245992"</f>
        <v>1551601368245992</v>
      </c>
      <c r="C1787" t="s">
        <v>40</v>
      </c>
      <c r="D1787">
        <v>5.697635</v>
      </c>
      <c r="E1787">
        <v>0.52643949999999995</v>
      </c>
      <c r="F1787" t="s">
        <v>42</v>
      </c>
      <c r="G1787">
        <v>-235.64859999999999</v>
      </c>
      <c r="H1787">
        <v>0.85288039999999998</v>
      </c>
      <c r="I1787">
        <v>284.33999999999997</v>
      </c>
      <c r="J1787">
        <v>-235.14760000000001</v>
      </c>
      <c r="K1787">
        <v>1.119939</v>
      </c>
      <c r="L1787">
        <v>284.2842</v>
      </c>
      <c r="M1787">
        <v>-0.99918099999999999</v>
      </c>
      <c r="N1787">
        <v>-1.1542699999999999E-2</v>
      </c>
      <c r="O1787">
        <v>-3.8785180000000002E-2</v>
      </c>
      <c r="P1787">
        <v>-0.98795770000000005</v>
      </c>
      <c r="Q1787">
        <v>0.15466540000000001</v>
      </c>
      <c r="R1787">
        <v>-4.3250220000000004E-3</v>
      </c>
      <c r="S1787">
        <v>-3.2080690000000001</v>
      </c>
      <c r="T1787">
        <v>-1.119523</v>
      </c>
      <c r="U1787">
        <v>0.1937256</v>
      </c>
      <c r="V1787">
        <v>3.4257040000000002E-2</v>
      </c>
      <c r="W1787">
        <v>0.165998799999999</v>
      </c>
      <c r="X1787">
        <v>0.98553069999999998</v>
      </c>
      <c r="Y1787">
        <v>9.124227E-2</v>
      </c>
      <c r="Z1787">
        <v>2.8694500000000001E-2</v>
      </c>
      <c r="AA1787">
        <v>0.99541519999999994</v>
      </c>
      <c r="AB1787">
        <v>26</v>
      </c>
      <c r="AC1787">
        <v>-0.50099999999997602</v>
      </c>
      <c r="AD1787">
        <v>-0.26705859999999998</v>
      </c>
      <c r="AE1787">
        <v>5.57999999999765E-2</v>
      </c>
      <c r="AF1787">
        <v>5.8712355869309597E-2</v>
      </c>
      <c r="AG1787">
        <v>-0.26705859999999998</v>
      </c>
      <c r="AH1787">
        <v>0.389219534928061</v>
      </c>
      <c r="AI1787">
        <v>124.155443189813</v>
      </c>
      <c r="AJ1787">
        <v>81.421813679986201</v>
      </c>
      <c r="AK1787">
        <v>0.47566719766586901</v>
      </c>
      <c r="AL1787">
        <v>80.444737854100595</v>
      </c>
      <c r="AM1787">
        <v>88.0092006597242</v>
      </c>
      <c r="AN1787">
        <v>0.99999995351674398</v>
      </c>
    </row>
    <row r="1788" spans="1:40" x14ac:dyDescent="0.25">
      <c r="A1788" t="str">
        <f>"20190303162248276"</f>
        <v>20190303162248276</v>
      </c>
      <c r="B1788" t="str">
        <f>"1551601368266487"</f>
        <v>1551601368266487</v>
      </c>
      <c r="C1788" t="s">
        <v>40</v>
      </c>
      <c r="D1788">
        <v>5.7063899999999999</v>
      </c>
      <c r="E1788">
        <v>0.52638289999999999</v>
      </c>
      <c r="F1788" t="s">
        <v>42</v>
      </c>
      <c r="G1788">
        <v>-235.8869</v>
      </c>
      <c r="H1788">
        <v>0.86314419999999903</v>
      </c>
      <c r="I1788">
        <v>284.3295</v>
      </c>
      <c r="J1788">
        <v>-235.39169999999999</v>
      </c>
      <c r="K1788">
        <v>1.1199749999999999</v>
      </c>
      <c r="L1788">
        <v>284.27569999999997</v>
      </c>
      <c r="M1788">
        <v>-0.99921079999999995</v>
      </c>
      <c r="N1788">
        <v>-1.161182E-2</v>
      </c>
      <c r="O1788">
        <v>-3.7985970000000001E-2</v>
      </c>
      <c r="P1788">
        <v>-0.98733930000000003</v>
      </c>
      <c r="Q1788">
        <v>0.1585693</v>
      </c>
      <c r="R1788">
        <v>-4.1155269999999999E-3</v>
      </c>
      <c r="S1788">
        <v>-3.2121119999999999</v>
      </c>
      <c r="T1788">
        <v>-1.1158079999999999</v>
      </c>
      <c r="U1788">
        <v>0.19656370000000001</v>
      </c>
      <c r="V1788">
        <v>3.3651979999999998E-2</v>
      </c>
      <c r="W1788">
        <v>0.16996610000000001</v>
      </c>
      <c r="X1788">
        <v>0.9848751</v>
      </c>
      <c r="Y1788">
        <v>9.1352719999999998E-2</v>
      </c>
      <c r="Z1788">
        <v>2.832964E-2</v>
      </c>
      <c r="AA1788">
        <v>0.99541559999999996</v>
      </c>
      <c r="AB1788">
        <v>26</v>
      </c>
      <c r="AC1788">
        <v>-0.49520000000001102</v>
      </c>
      <c r="AD1788">
        <v>-0.25683080000000003</v>
      </c>
      <c r="AE1788">
        <v>5.3800000000023801E-2</v>
      </c>
      <c r="AF1788">
        <v>5.7331500673407997E-2</v>
      </c>
      <c r="AG1788">
        <v>-0.25683080000000003</v>
      </c>
      <c r="AH1788">
        <v>0.38930262338687499</v>
      </c>
      <c r="AI1788">
        <v>123.131705399143</v>
      </c>
      <c r="AJ1788">
        <v>81.622428821428599</v>
      </c>
      <c r="AK1788">
        <v>0.46989945028059799</v>
      </c>
      <c r="AL1788">
        <v>80.214151428174901</v>
      </c>
      <c r="AM1788">
        <v>88.043034503273603</v>
      </c>
      <c r="AN1788">
        <v>0.99999994675356796</v>
      </c>
    </row>
    <row r="1789" spans="1:40" x14ac:dyDescent="0.25">
      <c r="A1789" t="str">
        <f>"20190303162248298"</f>
        <v>20190303162248298</v>
      </c>
      <c r="B1789" t="str">
        <f>"1551601368286008"</f>
        <v>1551601368286008</v>
      </c>
      <c r="C1789" t="s">
        <v>40</v>
      </c>
      <c r="D1789">
        <v>5.6945819999999996</v>
      </c>
      <c r="E1789">
        <v>0.52632630000000002</v>
      </c>
      <c r="F1789" t="s">
        <v>42</v>
      </c>
      <c r="G1789">
        <v>-236.1232</v>
      </c>
      <c r="H1789">
        <v>0.86822310000000003</v>
      </c>
      <c r="I1789">
        <v>284.32089999999999</v>
      </c>
      <c r="J1789">
        <v>-235.65299999999999</v>
      </c>
      <c r="K1789">
        <v>1.120015</v>
      </c>
      <c r="L1789">
        <v>284.26670000000001</v>
      </c>
      <c r="M1789">
        <v>-0.99924159999999995</v>
      </c>
      <c r="N1789">
        <v>-1.1668899999999999E-2</v>
      </c>
      <c r="O1789">
        <v>-3.7151160000000003E-2</v>
      </c>
      <c r="P1789">
        <v>-0.98685040000000002</v>
      </c>
      <c r="Q1789">
        <v>0.1615857</v>
      </c>
      <c r="R1789">
        <v>-4.0460649999999997E-3</v>
      </c>
      <c r="S1789">
        <v>-3.2170869999999998</v>
      </c>
      <c r="T1789">
        <v>-1.1071629999999999</v>
      </c>
      <c r="U1789">
        <v>0.19799800000000001</v>
      </c>
      <c r="V1789">
        <v>3.2877370000000003E-2</v>
      </c>
      <c r="W1789">
        <v>0.17303560000000001</v>
      </c>
      <c r="X1789">
        <v>0.98436670000000004</v>
      </c>
      <c r="Y1789">
        <v>9.1067690000000007E-2</v>
      </c>
      <c r="Z1789">
        <v>2.7763019999999999E-2</v>
      </c>
      <c r="AA1789">
        <v>0.99545760000000005</v>
      </c>
      <c r="AB1789">
        <v>26</v>
      </c>
      <c r="AC1789">
        <v>-0.470200000000005</v>
      </c>
      <c r="AD1789">
        <v>-0.25179190000000001</v>
      </c>
      <c r="AE1789">
        <v>5.4199999999980202E-2</v>
      </c>
      <c r="AF1789">
        <v>5.5831853810407103E-2</v>
      </c>
      <c r="AG1789">
        <v>-0.25179190000000001</v>
      </c>
      <c r="AH1789">
        <v>0.36466235409964698</v>
      </c>
      <c r="AI1789">
        <v>124.314561901562</v>
      </c>
      <c r="AJ1789">
        <v>81.295291087355494</v>
      </c>
      <c r="AK1789">
        <v>0.44664861950196699</v>
      </c>
      <c r="AL1789">
        <v>80.035637811275905</v>
      </c>
      <c r="AM1789">
        <v>88.087059874809896</v>
      </c>
      <c r="AN1789">
        <v>1.0000000201971799</v>
      </c>
    </row>
    <row r="1790" spans="1:40" x14ac:dyDescent="0.25">
      <c r="A1790" t="str">
        <f>"20190303162248321"</f>
        <v>20190303162248321</v>
      </c>
      <c r="B1790" t="str">
        <f>"1551601368316263"</f>
        <v>1551601368316263</v>
      </c>
      <c r="C1790" t="s">
        <v>40</v>
      </c>
      <c r="D1790">
        <v>5.8356279999999998</v>
      </c>
      <c r="E1790">
        <v>0.52584519999999901</v>
      </c>
      <c r="F1790" t="s">
        <v>42</v>
      </c>
      <c r="G1790">
        <v>-236.3612</v>
      </c>
      <c r="H1790">
        <v>0.87767309999999998</v>
      </c>
      <c r="I1790">
        <v>284.31060000000002</v>
      </c>
      <c r="J1790">
        <v>-235.91739999999999</v>
      </c>
      <c r="K1790">
        <v>1.1200479999999999</v>
      </c>
      <c r="L1790">
        <v>284.25779999999997</v>
      </c>
      <c r="M1790">
        <v>-0.99927160000000004</v>
      </c>
      <c r="N1790">
        <v>-1.17108E-2</v>
      </c>
      <c r="O1790">
        <v>-3.6323510000000003E-2</v>
      </c>
      <c r="P1790">
        <v>-0.9863305</v>
      </c>
      <c r="Q1790">
        <v>0.16470699999999999</v>
      </c>
      <c r="R1790">
        <v>-4.8786430000000002E-3</v>
      </c>
      <c r="S1790">
        <v>-3.221222</v>
      </c>
      <c r="T1790">
        <v>-1.1021810000000001</v>
      </c>
      <c r="U1790">
        <v>0.19805909999999999</v>
      </c>
      <c r="V1790">
        <v>3.120887E-2</v>
      </c>
      <c r="W1790">
        <v>0.17619589999999999</v>
      </c>
      <c r="X1790">
        <v>0.98386030000000002</v>
      </c>
      <c r="Y1790">
        <v>9.0352420000000003E-2</v>
      </c>
      <c r="Z1790">
        <v>2.7223259999999999E-2</v>
      </c>
      <c r="AA1790">
        <v>0.99553769999999997</v>
      </c>
      <c r="AB1790">
        <v>26</v>
      </c>
      <c r="AC1790">
        <v>-0.44380000000001002</v>
      </c>
      <c r="AD1790">
        <v>-0.24237489999999901</v>
      </c>
      <c r="AE1790">
        <v>5.2800000000047399E-2</v>
      </c>
      <c r="AF1790">
        <v>5.3231259116324099E-2</v>
      </c>
      <c r="AG1790">
        <v>-0.24237489999999901</v>
      </c>
      <c r="AH1790">
        <v>0.341232297029471</v>
      </c>
      <c r="AI1790">
        <v>125.061371676005</v>
      </c>
      <c r="AJ1790">
        <v>81.133484469018697</v>
      </c>
      <c r="AK1790">
        <v>0.42192255170010601</v>
      </c>
      <c r="AL1790">
        <v>79.851740797702902</v>
      </c>
      <c r="AM1790">
        <v>88.183139264351894</v>
      </c>
      <c r="AN1790">
        <v>1.0000000393297801</v>
      </c>
    </row>
    <row r="1791" spans="1:40" x14ac:dyDescent="0.25">
      <c r="A1791" t="str">
        <f>"20190303162248343"</f>
        <v>20190303162248343</v>
      </c>
      <c r="B1791" t="str">
        <f>"1551601368336759"</f>
        <v>1551601368336759</v>
      </c>
      <c r="C1791" t="s">
        <v>40</v>
      </c>
      <c r="D1791">
        <v>5.7289199999999996</v>
      </c>
      <c r="E1791">
        <v>0.5003398</v>
      </c>
      <c r="F1791" t="s">
        <v>42</v>
      </c>
      <c r="G1791">
        <v>-236.59950000000001</v>
      </c>
      <c r="H1791">
        <v>0.88810940000000005</v>
      </c>
      <c r="I1791">
        <v>284.29919999999998</v>
      </c>
      <c r="J1791">
        <v>-236.17939999999999</v>
      </c>
      <c r="K1791">
        <v>1.1200829999999999</v>
      </c>
      <c r="L1791">
        <v>284.24919999999997</v>
      </c>
      <c r="M1791">
        <v>-0.99930030000000003</v>
      </c>
      <c r="N1791">
        <v>-1.174101E-2</v>
      </c>
      <c r="O1791">
        <v>-3.5513999999999997E-2</v>
      </c>
      <c r="P1791">
        <v>-0.98568639999999996</v>
      </c>
      <c r="Q1791">
        <v>0.168488</v>
      </c>
      <c r="R1791">
        <v>-5.8662019999999896E-3</v>
      </c>
      <c r="S1791">
        <v>-3.2256930000000001</v>
      </c>
      <c r="T1791">
        <v>-1.0967420000000001</v>
      </c>
      <c r="U1791">
        <v>0.19543460000000001</v>
      </c>
      <c r="V1791">
        <v>2.9402500000000002E-2</v>
      </c>
      <c r="W1791">
        <v>0.18000260000000001</v>
      </c>
      <c r="X1791">
        <v>0.98322659999999995</v>
      </c>
      <c r="Y1791">
        <v>8.8870909999999997E-2</v>
      </c>
      <c r="Z1791">
        <v>2.6549980000000001E-2</v>
      </c>
      <c r="AA1791">
        <v>0.99568920000000005</v>
      </c>
      <c r="AB1791">
        <v>26</v>
      </c>
      <c r="AC1791">
        <v>-0.42010000000001901</v>
      </c>
      <c r="AD1791">
        <v>-0.231973599999999</v>
      </c>
      <c r="AE1791">
        <v>5.0000000000011299E-2</v>
      </c>
      <c r="AF1791">
        <v>4.9889559024679397E-2</v>
      </c>
      <c r="AG1791">
        <v>-0.231973599999999</v>
      </c>
      <c r="AH1791">
        <v>0.32142294923338499</v>
      </c>
      <c r="AI1791">
        <v>125.495277216575</v>
      </c>
      <c r="AJ1791">
        <v>81.177255933403998</v>
      </c>
      <c r="AK1791">
        <v>0.39951649714439103</v>
      </c>
      <c r="AL1791">
        <v>79.630088699258295</v>
      </c>
      <c r="AM1791">
        <v>88.287132121069007</v>
      </c>
      <c r="AN1791">
        <v>0.99999999498028402</v>
      </c>
    </row>
    <row r="1792" spans="1:40" x14ac:dyDescent="0.25">
      <c r="A1792" t="str">
        <f>"20190303162248364"</f>
        <v>20190303162248364</v>
      </c>
      <c r="B1792" t="str">
        <f>"1551601368356279"</f>
        <v>1551601368356279</v>
      </c>
      <c r="C1792" t="s">
        <v>40</v>
      </c>
      <c r="D1792">
        <v>5.4597220000000002</v>
      </c>
      <c r="E1792">
        <v>0.4682769</v>
      </c>
      <c r="F1792" t="s">
        <v>42</v>
      </c>
      <c r="G1792">
        <v>-237.07980000000001</v>
      </c>
      <c r="H1792">
        <v>0.91427080000000005</v>
      </c>
      <c r="I1792">
        <v>284.24689999999998</v>
      </c>
      <c r="J1792">
        <v>-236.42760000000001</v>
      </c>
      <c r="K1792">
        <v>1.120115</v>
      </c>
      <c r="L1792">
        <v>284.24130000000002</v>
      </c>
      <c r="M1792">
        <v>-0.99932679999999996</v>
      </c>
      <c r="N1792">
        <v>-1.1758609999999999E-2</v>
      </c>
      <c r="O1792">
        <v>-3.475458E-2</v>
      </c>
      <c r="P1792">
        <v>-0.98473109999999997</v>
      </c>
      <c r="Q1792">
        <v>0.173986</v>
      </c>
      <c r="R1792">
        <v>-5.8231929999999999E-3</v>
      </c>
      <c r="S1792">
        <v>-3.1672820000000002</v>
      </c>
      <c r="T1792">
        <v>-0.72403450000000003</v>
      </c>
      <c r="U1792">
        <v>-8.9111329999999999E-3</v>
      </c>
      <c r="V1792">
        <v>2.8668920000000001E-2</v>
      </c>
      <c r="W1792">
        <v>0.18550829999999999</v>
      </c>
      <c r="X1792">
        <v>0.9822244</v>
      </c>
      <c r="Y1792">
        <v>3.0315470000000001E-2</v>
      </c>
      <c r="Z1792">
        <v>1.1040070000000001E-2</v>
      </c>
      <c r="AA1792">
        <v>0.99947940000000002</v>
      </c>
      <c r="AB1792">
        <v>26</v>
      </c>
      <c r="AC1792">
        <v>-0.65219999999999301</v>
      </c>
      <c r="AD1792">
        <v>-0.20584419999999901</v>
      </c>
      <c r="AE1792">
        <v>5.5999999999585201E-3</v>
      </c>
      <c r="AF1792">
        <v>2.5704779055857201E-2</v>
      </c>
      <c r="AG1792">
        <v>-0.20584419999999901</v>
      </c>
      <c r="AH1792">
        <v>0.59258638748819303</v>
      </c>
      <c r="AI1792">
        <v>109.138788275243</v>
      </c>
      <c r="AJ1792">
        <v>87.516222601150105</v>
      </c>
      <c r="AK1792">
        <v>0.62784647564214102</v>
      </c>
      <c r="AL1792">
        <v>79.309231214499803</v>
      </c>
      <c r="AM1792">
        <v>88.328139783546405</v>
      </c>
      <c r="AN1792">
        <v>1.0000000041491</v>
      </c>
    </row>
    <row r="1793" spans="1:40" x14ac:dyDescent="0.25">
      <c r="A1793" t="str">
        <f>"20190303162248386"</f>
        <v>20190303162248386</v>
      </c>
      <c r="B1793" t="str">
        <f>"1551601368375799"</f>
        <v>1551601368375799</v>
      </c>
      <c r="C1793" t="s">
        <v>40</v>
      </c>
      <c r="D1793">
        <v>6.0060520000000004</v>
      </c>
      <c r="E1793">
        <v>0.46482570000000001</v>
      </c>
      <c r="F1793" t="s">
        <v>47</v>
      </c>
      <c r="G1793">
        <v>-263.34750000000003</v>
      </c>
      <c r="H1793" s="1">
        <v>2.4458160000000002E-7</v>
      </c>
      <c r="I1793">
        <v>281.90140000000002</v>
      </c>
      <c r="J1793">
        <v>-236.6927</v>
      </c>
      <c r="K1793">
        <v>1.120144</v>
      </c>
      <c r="L1793">
        <v>284.233</v>
      </c>
      <c r="M1793">
        <v>-0.99935439999999998</v>
      </c>
      <c r="N1793">
        <v>-1.176724E-2</v>
      </c>
      <c r="O1793">
        <v>-3.3947289999999998E-2</v>
      </c>
      <c r="P1793">
        <v>-0.98394190000000004</v>
      </c>
      <c r="Q1793">
        <v>0.1784355</v>
      </c>
      <c r="R1793">
        <v>-4.3697959999999996E-3</v>
      </c>
      <c r="S1793">
        <v>-3.0675050000000001</v>
      </c>
      <c r="T1793">
        <v>-0.12763659999999999</v>
      </c>
      <c r="U1793">
        <v>-0.26663209999999998</v>
      </c>
      <c r="V1793">
        <v>2.9304159999999999E-2</v>
      </c>
      <c r="W1793">
        <v>0.18995580000000001</v>
      </c>
      <c r="X1793">
        <v>0.98135519999999998</v>
      </c>
      <c r="Y1793">
        <v>-5.2679829999999997E-2</v>
      </c>
      <c r="Z1793">
        <v>-3.9443889999999998E-4</v>
      </c>
      <c r="AA1793">
        <v>0.99861140000000004</v>
      </c>
      <c r="AB1793">
        <v>26</v>
      </c>
      <c r="AC1793">
        <v>-26.654800000000002</v>
      </c>
      <c r="AD1793">
        <v>-1.1201437554183999</v>
      </c>
      <c r="AE1793">
        <v>-2.3315999999999799</v>
      </c>
      <c r="AF1793">
        <v>-1.4228414134723999</v>
      </c>
      <c r="AG1793">
        <v>-1.1201437554183999</v>
      </c>
      <c r="AH1793">
        <v>26.671846235186301</v>
      </c>
      <c r="AI1793">
        <v>92.401440436321295</v>
      </c>
      <c r="AJ1793">
        <v>93.053617135973994</v>
      </c>
      <c r="AK1793">
        <v>26.733248611310199</v>
      </c>
      <c r="AL1793">
        <v>79.0497950749225</v>
      </c>
      <c r="AM1793">
        <v>88.289604095038399</v>
      </c>
      <c r="AN1793">
        <v>0.99999998415699198</v>
      </c>
    </row>
    <row r="1794" spans="1:40" x14ac:dyDescent="0.25">
      <c r="A1794" t="str">
        <f>"20190303162248410"</f>
        <v>20190303162248410</v>
      </c>
      <c r="B1794" t="str">
        <f>"1551601368406055"</f>
        <v>1551601368406055</v>
      </c>
      <c r="C1794" t="s">
        <v>40</v>
      </c>
      <c r="D1794">
        <v>5.6772280000000004</v>
      </c>
      <c r="E1794">
        <v>0.46618559999999998</v>
      </c>
      <c r="F1794" t="s">
        <v>49</v>
      </c>
      <c r="G1794">
        <v>-280.4821</v>
      </c>
      <c r="H1794" s="1">
        <v>9.1258029999999998E-6</v>
      </c>
      <c r="I1794">
        <v>280.08010000000002</v>
      </c>
      <c r="J1794">
        <v>-236.97130000000001</v>
      </c>
      <c r="K1794">
        <v>1.1201669999999999</v>
      </c>
      <c r="L1794">
        <v>284.22449999999998</v>
      </c>
      <c r="M1794">
        <v>-0.99938289999999996</v>
      </c>
      <c r="N1794">
        <v>-1.176525E-2</v>
      </c>
      <c r="O1794">
        <v>-3.3102380000000001E-2</v>
      </c>
      <c r="P1794">
        <v>-0.98345780000000005</v>
      </c>
      <c r="Q1794">
        <v>0.18113209999999999</v>
      </c>
      <c r="R1794">
        <v>-1.3893309999999999E-3</v>
      </c>
      <c r="S1794">
        <v>-3.0618590000000001</v>
      </c>
      <c r="T1794">
        <v>-7.8322530000000001E-2</v>
      </c>
      <c r="U1794">
        <v>-0.29037479999999999</v>
      </c>
      <c r="V1794">
        <v>3.1438180000000003E-2</v>
      </c>
      <c r="W1794">
        <v>0.1926409</v>
      </c>
      <c r="X1794">
        <v>0.98076560000000002</v>
      </c>
      <c r="Y1794">
        <v>-6.1377950000000001E-2</v>
      </c>
      <c r="Z1794">
        <v>-6.8960069999999998E-4</v>
      </c>
      <c r="AA1794">
        <v>0.99811430000000001</v>
      </c>
      <c r="AB1794">
        <v>26</v>
      </c>
      <c r="AC1794">
        <v>-43.510799999999897</v>
      </c>
      <c r="AD1794">
        <v>-1.120157874197</v>
      </c>
      <c r="AE1794">
        <v>-4.1443999999999601</v>
      </c>
      <c r="AF1794">
        <v>-2.6999445902277799</v>
      </c>
      <c r="AG1794">
        <v>-1.120157874197</v>
      </c>
      <c r="AH1794">
        <v>43.595516170091599</v>
      </c>
      <c r="AI1794">
        <v>91.469039861673906</v>
      </c>
      <c r="AJ1794">
        <v>93.543898947976203</v>
      </c>
      <c r="AK1794">
        <v>43.6934032159335</v>
      </c>
      <c r="AL1794">
        <v>78.893055833834396</v>
      </c>
      <c r="AM1794">
        <v>88.164027705118301</v>
      </c>
      <c r="AN1794">
        <v>1.00000001882894</v>
      </c>
    </row>
    <row r="1795" spans="1:40" x14ac:dyDescent="0.25">
      <c r="A1795" t="str">
        <f>"20190303162248433"</f>
        <v>20190303162248433</v>
      </c>
      <c r="B1795" t="str">
        <f>"1551601368415816"</f>
        <v>1551601368415816</v>
      </c>
      <c r="C1795" t="s">
        <v>40</v>
      </c>
      <c r="D1795">
        <v>5.9658439999999997</v>
      </c>
      <c r="E1795">
        <v>0.46666410000000003</v>
      </c>
      <c r="F1795" t="s">
        <v>47</v>
      </c>
      <c r="G1795">
        <v>-268.30119999999999</v>
      </c>
      <c r="H1795" s="1">
        <v>2.8806910000000002E-6</v>
      </c>
      <c r="I1795">
        <v>281.46910000000003</v>
      </c>
      <c r="J1795">
        <v>-237.23920000000001</v>
      </c>
      <c r="K1795">
        <v>1.120182</v>
      </c>
      <c r="L1795">
        <v>284.21660000000003</v>
      </c>
      <c r="M1795">
        <v>-0.99940949999999995</v>
      </c>
      <c r="N1795">
        <v>-1.175445E-2</v>
      </c>
      <c r="O1795">
        <v>-3.2292710000000002E-2</v>
      </c>
      <c r="P1795">
        <v>-0.98321289999999995</v>
      </c>
      <c r="Q1795">
        <v>0.1824596</v>
      </c>
      <c r="R1795">
        <v>1.1913550000000001E-3</v>
      </c>
      <c r="S1795">
        <v>-3.0702970000000001</v>
      </c>
      <c r="T1795">
        <v>-0.1097751</v>
      </c>
      <c r="U1795">
        <v>-0.27001950000000002</v>
      </c>
      <c r="V1795">
        <v>3.3214380000000002E-2</v>
      </c>
      <c r="W1795">
        <v>0.1939514</v>
      </c>
      <c r="X1795">
        <v>0.98044869999999995</v>
      </c>
      <c r="Y1795">
        <v>-5.5353640000000003E-2</v>
      </c>
      <c r="Z1795">
        <v>-5.4096159999999995E-4</v>
      </c>
      <c r="AA1795">
        <v>0.99846670000000004</v>
      </c>
      <c r="AB1795">
        <v>26</v>
      </c>
      <c r="AC1795">
        <v>-31.061999999999902</v>
      </c>
      <c r="AD1795">
        <v>-1.1201791193089901</v>
      </c>
      <c r="AE1795">
        <v>-2.7475000000000001</v>
      </c>
      <c r="AF1795">
        <v>-1.74067535820509</v>
      </c>
      <c r="AG1795">
        <v>-1.1201791193089901</v>
      </c>
      <c r="AH1795">
        <v>31.094402974666099</v>
      </c>
      <c r="AI1795">
        <v>92.059971756210203</v>
      </c>
      <c r="AJ1795">
        <v>93.204093213836302</v>
      </c>
      <c r="AK1795">
        <v>31.163225897087798</v>
      </c>
      <c r="AL1795">
        <v>78.816526152295495</v>
      </c>
      <c r="AM1795">
        <v>88.059749279897105</v>
      </c>
      <c r="AN1795">
        <v>0.999999996966217</v>
      </c>
    </row>
    <row r="1796" spans="1:40" x14ac:dyDescent="0.25">
      <c r="A1796" t="str">
        <f>"20190303162248454"</f>
        <v>20190303162248454</v>
      </c>
      <c r="B1796" t="str">
        <f>"1551601368446071"</f>
        <v>1551601368446071</v>
      </c>
      <c r="C1796" t="s">
        <v>40</v>
      </c>
      <c r="D1796">
        <v>5.9523229999999998</v>
      </c>
      <c r="E1796">
        <v>0.46755649999999999</v>
      </c>
      <c r="F1796" t="s">
        <v>47</v>
      </c>
      <c r="G1796">
        <v>-267.01069999999999</v>
      </c>
      <c r="H1796" s="1">
        <v>2.193957E-6</v>
      </c>
      <c r="I1796">
        <v>281.72000000000003</v>
      </c>
      <c r="J1796">
        <v>-237.4872</v>
      </c>
      <c r="K1796">
        <v>1.120196</v>
      </c>
      <c r="L1796">
        <v>284.20940000000002</v>
      </c>
      <c r="M1796">
        <v>-0.99943360000000003</v>
      </c>
      <c r="N1796">
        <v>-1.173548E-2</v>
      </c>
      <c r="O1796">
        <v>-3.1543670000000003E-2</v>
      </c>
      <c r="P1796">
        <v>-0.98289950000000004</v>
      </c>
      <c r="Q1796">
        <v>0.1841159</v>
      </c>
      <c r="R1796">
        <v>3.221883E-3</v>
      </c>
      <c r="S1796">
        <v>-3.0729980000000001</v>
      </c>
      <c r="T1796">
        <v>-0.1156242</v>
      </c>
      <c r="U1796">
        <v>-0.25769039999999999</v>
      </c>
      <c r="V1796">
        <v>3.4498760000000003E-2</v>
      </c>
      <c r="W1796">
        <v>0.1955836</v>
      </c>
      <c r="X1796">
        <v>0.98008010000000001</v>
      </c>
      <c r="Y1796">
        <v>-5.204843E-2</v>
      </c>
      <c r="Z1796">
        <v>-4.6901720000000003E-4</v>
      </c>
      <c r="AA1796">
        <v>0.99864450000000005</v>
      </c>
      <c r="AB1796">
        <v>26</v>
      </c>
      <c r="AC1796">
        <v>-29.523499999999899</v>
      </c>
      <c r="AD1796">
        <v>-1.1201938060429999</v>
      </c>
      <c r="AE1796">
        <v>-2.4893999999999799</v>
      </c>
      <c r="AF1796">
        <v>-1.5545952376885599</v>
      </c>
      <c r="AG1796">
        <v>-1.1201938060429999</v>
      </c>
      <c r="AH1796">
        <v>29.545102824686499</v>
      </c>
      <c r="AI1796">
        <v>92.168315758233106</v>
      </c>
      <c r="AJ1796">
        <v>93.0119942646552</v>
      </c>
      <c r="AK1796">
        <v>29.607173141612801</v>
      </c>
      <c r="AL1796">
        <v>78.721182747418197</v>
      </c>
      <c r="AM1796">
        <v>87.9840243877034</v>
      </c>
      <c r="AN1796">
        <v>1.00000005572325</v>
      </c>
    </row>
    <row r="1797" spans="1:40" x14ac:dyDescent="0.25">
      <c r="A1797" t="str">
        <f>"20190303162248476"</f>
        <v>20190303162248476</v>
      </c>
      <c r="B1797" t="str">
        <f>"1551601368466567"</f>
        <v>1551601368466567</v>
      </c>
      <c r="C1797" t="s">
        <v>40</v>
      </c>
      <c r="D1797">
        <v>5.953881</v>
      </c>
      <c r="E1797">
        <v>0.46779320000000002</v>
      </c>
      <c r="F1797" t="s">
        <v>47</v>
      </c>
      <c r="G1797">
        <v>-262.60789999999997</v>
      </c>
      <c r="H1797" s="1">
        <v>-1.49003299999999E-7</v>
      </c>
      <c r="I1797">
        <v>282.22000000000003</v>
      </c>
      <c r="J1797">
        <v>-237.74430000000001</v>
      </c>
      <c r="K1797">
        <v>1.1202160000000001</v>
      </c>
      <c r="L1797">
        <v>284.20209999999997</v>
      </c>
      <c r="M1797">
        <v>-0.99945799999999996</v>
      </c>
      <c r="N1797">
        <v>-1.1705159999999999E-2</v>
      </c>
      <c r="O1797">
        <v>-3.076738E-2</v>
      </c>
      <c r="P1797">
        <v>-0.98237490000000005</v>
      </c>
      <c r="Q1797">
        <v>0.18686849999999999</v>
      </c>
      <c r="R1797">
        <v>4.4372980000000001E-3</v>
      </c>
      <c r="S1797">
        <v>-3.0786899999999999</v>
      </c>
      <c r="T1797">
        <v>-0.13728670000000001</v>
      </c>
      <c r="U1797">
        <v>-0.24380489999999999</v>
      </c>
      <c r="V1797">
        <v>3.4937669999999997E-2</v>
      </c>
      <c r="W1797">
        <v>0.19829930000000001</v>
      </c>
      <c r="X1797">
        <v>0.97951869999999996</v>
      </c>
      <c r="Y1797">
        <v>-4.818952E-2</v>
      </c>
      <c r="Z1797">
        <v>-3.4590789999999999E-4</v>
      </c>
      <c r="AA1797">
        <v>0.99883809999999995</v>
      </c>
      <c r="AB1797">
        <v>26</v>
      </c>
      <c r="AC1797">
        <v>-24.863599999999899</v>
      </c>
      <c r="AD1797">
        <v>-1.12021614900329</v>
      </c>
      <c r="AE1797">
        <v>-1.98209999999994</v>
      </c>
      <c r="AF1797">
        <v>-1.2136731420190401</v>
      </c>
      <c r="AG1797">
        <v>-1.12021614900329</v>
      </c>
      <c r="AH1797">
        <v>24.862665337603101</v>
      </c>
      <c r="AI1797">
        <v>92.576718791518005</v>
      </c>
      <c r="AJ1797">
        <v>92.794679976479202</v>
      </c>
      <c r="AK1797">
        <v>24.917464044436699</v>
      </c>
      <c r="AL1797">
        <v>78.562476473946205</v>
      </c>
      <c r="AM1797">
        <v>87.9572286041208</v>
      </c>
      <c r="AN1797">
        <v>1.0000000684076</v>
      </c>
    </row>
    <row r="1798" spans="1:40" x14ac:dyDescent="0.25">
      <c r="A1798" t="str">
        <f>"20190303162248497"</f>
        <v>20190303162248497</v>
      </c>
      <c r="B1798" t="str">
        <f>"1551601368486087"</f>
        <v>1551601368486087</v>
      </c>
      <c r="C1798" t="s">
        <v>40</v>
      </c>
      <c r="D1798">
        <v>5.7338649999999998</v>
      </c>
      <c r="E1798">
        <v>0.4679373</v>
      </c>
      <c r="F1798" t="s">
        <v>47</v>
      </c>
      <c r="G1798">
        <v>-261.9889</v>
      </c>
      <c r="H1798" s="1">
        <v>-4.7840790000000001E-7</v>
      </c>
      <c r="I1798">
        <v>282.322</v>
      </c>
      <c r="J1798">
        <v>-237.99760000000001</v>
      </c>
      <c r="K1798">
        <v>1.1202289999999999</v>
      </c>
      <c r="L1798">
        <v>284.1952</v>
      </c>
      <c r="M1798">
        <v>-0.99948179999999998</v>
      </c>
      <c r="N1798">
        <v>-1.166444E-2</v>
      </c>
      <c r="O1798">
        <v>-3.0003080000000001E-2</v>
      </c>
      <c r="P1798">
        <v>-0.98188390000000003</v>
      </c>
      <c r="Q1798">
        <v>0.18942010000000001</v>
      </c>
      <c r="R1798">
        <v>4.923111E-3</v>
      </c>
      <c r="S1798">
        <v>-3.082001</v>
      </c>
      <c r="T1798">
        <v>-0.14240320000000001</v>
      </c>
      <c r="U1798">
        <v>-0.2390137</v>
      </c>
      <c r="V1798">
        <v>3.4661289999999997E-2</v>
      </c>
      <c r="W1798">
        <v>0.2008056</v>
      </c>
      <c r="X1798">
        <v>0.97901769999999999</v>
      </c>
      <c r="Y1798">
        <v>-4.7324049999999999E-2</v>
      </c>
      <c r="Z1798">
        <v>-3.3423440000000001E-4</v>
      </c>
      <c r="AA1798">
        <v>0.99887959999999998</v>
      </c>
      <c r="AB1798">
        <v>26</v>
      </c>
      <c r="AC1798">
        <v>-23.991299999999899</v>
      </c>
      <c r="AD1798">
        <v>-1.1202294784078899</v>
      </c>
      <c r="AE1798">
        <v>-1.87319999999999</v>
      </c>
      <c r="AF1798">
        <v>-1.1500026544583399</v>
      </c>
      <c r="AG1798">
        <v>-1.1202294784078899</v>
      </c>
      <c r="AH1798">
        <v>23.984727525948401</v>
      </c>
      <c r="AI1798">
        <v>92.671046375765599</v>
      </c>
      <c r="AJ1798">
        <v>92.745074978347702</v>
      </c>
      <c r="AK1798">
        <v>24.0383979225643</v>
      </c>
      <c r="AL1798">
        <v>78.415927439069193</v>
      </c>
      <c r="AM1798">
        <v>87.972338509083002</v>
      </c>
      <c r="AN1798">
        <v>0.99999997546455599</v>
      </c>
    </row>
    <row r="1799" spans="1:40" x14ac:dyDescent="0.25">
      <c r="A1799" t="str">
        <f>"20190303162248522"</f>
        <v>20190303162248522</v>
      </c>
      <c r="B1799" t="str">
        <f>"1551601368518295"</f>
        <v>1551601368518295</v>
      </c>
      <c r="C1799" t="s">
        <v>40</v>
      </c>
      <c r="D1799">
        <v>6.0139319999999996</v>
      </c>
      <c r="E1799">
        <v>0.46788999999999997</v>
      </c>
      <c r="F1799" t="s">
        <v>47</v>
      </c>
      <c r="G1799">
        <v>-261.50069999999999</v>
      </c>
      <c r="H1799" s="1">
        <v>-7.3820430000000001E-7</v>
      </c>
      <c r="I1799">
        <v>282.37909999999999</v>
      </c>
      <c r="J1799">
        <v>-238.27940000000001</v>
      </c>
      <c r="K1799">
        <v>1.1202319999999999</v>
      </c>
      <c r="L1799">
        <v>284.18770000000001</v>
      </c>
      <c r="M1799">
        <v>-0.99950760000000005</v>
      </c>
      <c r="N1799">
        <v>-1.160752E-2</v>
      </c>
      <c r="O1799">
        <v>-2.9153220000000001E-2</v>
      </c>
      <c r="P1799">
        <v>-0.98170210000000002</v>
      </c>
      <c r="Q1799">
        <v>0.1903733</v>
      </c>
      <c r="R1799">
        <v>4.3799319999999996E-3</v>
      </c>
      <c r="S1799">
        <v>-3.0849000000000002</v>
      </c>
      <c r="T1799">
        <v>-0.1470361</v>
      </c>
      <c r="U1799">
        <v>-0.2383728</v>
      </c>
      <c r="V1799">
        <v>3.3279759999999999E-2</v>
      </c>
      <c r="W1799">
        <v>0.20170289999999999</v>
      </c>
      <c r="X1799">
        <v>0.97888120000000001</v>
      </c>
      <c r="Y1799">
        <v>-4.7891450000000002E-2</v>
      </c>
      <c r="Z1799">
        <v>-3.6930049999999999E-4</v>
      </c>
      <c r="AA1799">
        <v>0.99885250000000003</v>
      </c>
      <c r="AB1799">
        <v>26</v>
      </c>
      <c r="AC1799">
        <v>-23.2212999999999</v>
      </c>
      <c r="AD1799">
        <v>-1.12023273820429</v>
      </c>
      <c r="AE1799">
        <v>-1.80860000000001</v>
      </c>
      <c r="AF1799">
        <v>-1.1282001355093501</v>
      </c>
      <c r="AG1799">
        <v>-1.12023273820429</v>
      </c>
      <c r="AH1799">
        <v>23.210467709065298</v>
      </c>
      <c r="AI1799">
        <v>92.759932569555005</v>
      </c>
      <c r="AJ1799">
        <v>92.782807755702606</v>
      </c>
      <c r="AK1799">
        <v>23.264856935022699</v>
      </c>
      <c r="AL1799">
        <v>78.363442355767205</v>
      </c>
      <c r="AM1799">
        <v>88.052822295720603</v>
      </c>
      <c r="AN1799">
        <v>1.0000000030037499</v>
      </c>
    </row>
    <row r="1800" spans="1:40" x14ac:dyDescent="0.25">
      <c r="A1800" t="str">
        <f>"20190303162248543"</f>
        <v>20190303162248543</v>
      </c>
      <c r="B1800" t="str">
        <f>"1551601368535863"</f>
        <v>1551601368535863</v>
      </c>
      <c r="C1800" t="s">
        <v>40</v>
      </c>
      <c r="D1800">
        <v>5.8288979999999997</v>
      </c>
      <c r="E1800">
        <v>0.4677482</v>
      </c>
      <c r="F1800" t="s">
        <v>47</v>
      </c>
      <c r="G1800">
        <v>-259.79410000000001</v>
      </c>
      <c r="H1800" s="1">
        <v>3.6751300000000002E-6</v>
      </c>
      <c r="I1800">
        <v>282.51</v>
      </c>
      <c r="J1800">
        <v>-238.53229999999999</v>
      </c>
      <c r="K1800">
        <v>1.120223</v>
      </c>
      <c r="L1800">
        <v>284.18119999999999</v>
      </c>
      <c r="M1800">
        <v>-0.99953040000000004</v>
      </c>
      <c r="N1800">
        <v>-1.1545959999999999E-2</v>
      </c>
      <c r="O1800">
        <v>-2.8389399999999999E-2</v>
      </c>
      <c r="P1800">
        <v>-0.98169139999999999</v>
      </c>
      <c r="Q1800">
        <v>0.19045100000000001</v>
      </c>
      <c r="R1800">
        <v>3.2575019999999998E-3</v>
      </c>
      <c r="S1800">
        <v>-3.088165</v>
      </c>
      <c r="T1800">
        <v>-0.16079489999999999</v>
      </c>
      <c r="U1800">
        <v>-0.24081420000000001</v>
      </c>
      <c r="V1800">
        <v>3.1407839999999999E-2</v>
      </c>
      <c r="W1800">
        <v>0.20172390000000001</v>
      </c>
      <c r="X1800">
        <v>0.97893869999999905</v>
      </c>
      <c r="Y1800">
        <v>-4.9348879999999998E-2</v>
      </c>
      <c r="Z1800">
        <v>-4.2036310000000002E-4</v>
      </c>
      <c r="AA1800">
        <v>0.99878149999999999</v>
      </c>
      <c r="AB1800">
        <v>26</v>
      </c>
      <c r="AC1800">
        <v>-21.261800000000001</v>
      </c>
      <c r="AD1800">
        <v>-1.1202193248700001</v>
      </c>
      <c r="AE1800">
        <v>-1.67119999999999</v>
      </c>
      <c r="AF1800">
        <v>-1.06394114563646</v>
      </c>
      <c r="AG1800">
        <v>-1.1202193248700001</v>
      </c>
      <c r="AH1800">
        <v>21.242072484051299</v>
      </c>
      <c r="AI1800">
        <v>93.014974395516802</v>
      </c>
      <c r="AJ1800">
        <v>92.867349151449702</v>
      </c>
      <c r="AK1800">
        <v>21.298180802943701</v>
      </c>
      <c r="AL1800">
        <v>78.362213636740094</v>
      </c>
      <c r="AM1800">
        <v>88.1623776823686</v>
      </c>
      <c r="AN1800">
        <v>0.99999998130118195</v>
      </c>
    </row>
    <row r="1801" spans="1:40" x14ac:dyDescent="0.25">
      <c r="A1801" t="str">
        <f>"20190303162248566"</f>
        <v>20190303162248566</v>
      </c>
      <c r="B1801" t="str">
        <f>"1551601368556359"</f>
        <v>1551601368556359</v>
      </c>
      <c r="C1801" t="s">
        <v>40</v>
      </c>
      <c r="D1801">
        <v>5.9527010000000002</v>
      </c>
      <c r="E1801">
        <v>0.46750449999999999</v>
      </c>
      <c r="F1801" t="s">
        <v>47</v>
      </c>
      <c r="G1801">
        <v>-259.4794</v>
      </c>
      <c r="H1801" s="1">
        <v>3.5076640000000002E-6</v>
      </c>
      <c r="I1801">
        <v>282.52010000000001</v>
      </c>
      <c r="J1801">
        <v>-238.79689999999999</v>
      </c>
      <c r="K1801">
        <v>1.120217</v>
      </c>
      <c r="L1801">
        <v>284.1746</v>
      </c>
      <c r="M1801">
        <v>-0.99955349999999998</v>
      </c>
      <c r="N1801">
        <v>-1.1476750000000001E-2</v>
      </c>
      <c r="O1801">
        <v>-2.7591330000000001E-2</v>
      </c>
      <c r="P1801">
        <v>-0.98166169999999997</v>
      </c>
      <c r="Q1801">
        <v>0.19062560000000001</v>
      </c>
      <c r="R1801">
        <v>1.5915669999999999E-3</v>
      </c>
      <c r="S1801">
        <v>-3.0888059999999999</v>
      </c>
      <c r="T1801">
        <v>-0.16518529999999901</v>
      </c>
      <c r="U1801">
        <v>-0.24493409999999999</v>
      </c>
      <c r="V1801">
        <v>2.895905E-2</v>
      </c>
      <c r="W1801">
        <v>0.2018346</v>
      </c>
      <c r="X1801">
        <v>0.97899139999999996</v>
      </c>
      <c r="Y1801">
        <v>-5.1447649999999998E-2</v>
      </c>
      <c r="Z1801">
        <v>-5.1296339999999999E-4</v>
      </c>
      <c r="AA1801">
        <v>0.9986756</v>
      </c>
      <c r="AB1801">
        <v>26</v>
      </c>
      <c r="AC1801">
        <v>-20.682500000000001</v>
      </c>
      <c r="AD1801">
        <v>-1.1202134923360001</v>
      </c>
      <c r="AE1801">
        <v>-1.6544999999999801</v>
      </c>
      <c r="AF1801">
        <v>-1.0800266334090101</v>
      </c>
      <c r="AG1801">
        <v>-1.1202134923360001</v>
      </c>
      <c r="AH1801">
        <v>20.6600555060655</v>
      </c>
      <c r="AI1801">
        <v>93.099384363779805</v>
      </c>
      <c r="AJ1801">
        <v>92.992474579433207</v>
      </c>
      <c r="AK1801">
        <v>20.718572086680801</v>
      </c>
      <c r="AL1801">
        <v>78.355737975390198</v>
      </c>
      <c r="AM1801">
        <v>88.305656564489993</v>
      </c>
      <c r="AN1801">
        <v>0.99999999680401097</v>
      </c>
    </row>
    <row r="1802" spans="1:40" x14ac:dyDescent="0.25">
      <c r="A1802" t="str">
        <f>"20190303162248587"</f>
        <v>20190303162248587</v>
      </c>
      <c r="B1802" t="str">
        <f>"1551601368575880"</f>
        <v>1551601368575880</v>
      </c>
      <c r="C1802" t="s">
        <v>40</v>
      </c>
      <c r="D1802">
        <v>5.8887169999999998</v>
      </c>
      <c r="E1802">
        <v>0.4674121</v>
      </c>
      <c r="F1802" t="s">
        <v>47</v>
      </c>
      <c r="G1802">
        <v>-258.7414</v>
      </c>
      <c r="H1802" s="1">
        <v>3.1149680000000002E-6</v>
      </c>
      <c r="I1802">
        <v>282.55130000000003</v>
      </c>
      <c r="J1802">
        <v>-239.05029999999999</v>
      </c>
      <c r="K1802">
        <v>1.120215</v>
      </c>
      <c r="L1802">
        <v>284.16840000000002</v>
      </c>
      <c r="M1802">
        <v>-0.99957510000000005</v>
      </c>
      <c r="N1802">
        <v>-1.1410740000000001E-2</v>
      </c>
      <c r="O1802">
        <v>-2.6826409999999998E-2</v>
      </c>
      <c r="P1802">
        <v>-0.98160860000000005</v>
      </c>
      <c r="Q1802">
        <v>0.19090370000000001</v>
      </c>
      <c r="R1802">
        <v>7.7266529999999996E-4</v>
      </c>
      <c r="S1802">
        <v>-3.0901339999999999</v>
      </c>
      <c r="T1802">
        <v>-0.17356170000000001</v>
      </c>
      <c r="U1802">
        <v>-0.25149539999999998</v>
      </c>
      <c r="V1802">
        <v>2.738904E-2</v>
      </c>
      <c r="W1802">
        <v>0.2020499</v>
      </c>
      <c r="X1802">
        <v>0.97899219999999998</v>
      </c>
      <c r="Y1802">
        <v>-5.4273759999999997E-2</v>
      </c>
      <c r="Z1802">
        <v>-6.3393909999999996E-4</v>
      </c>
      <c r="AA1802">
        <v>0.99852589999999997</v>
      </c>
      <c r="AB1802">
        <v>26</v>
      </c>
      <c r="AC1802">
        <v>-19.691099999999999</v>
      </c>
      <c r="AD1802">
        <v>-1.120211885032</v>
      </c>
      <c r="AE1802">
        <v>-1.61709999999999</v>
      </c>
      <c r="AF1802">
        <v>-1.0847549222880599</v>
      </c>
      <c r="AG1802">
        <v>-1.120211885032</v>
      </c>
      <c r="AH1802">
        <v>19.6641816391387</v>
      </c>
      <c r="AI1802">
        <v>93.255512919829002</v>
      </c>
      <c r="AJ1802">
        <v>93.157464202798593</v>
      </c>
      <c r="AK1802">
        <v>19.725912081468699</v>
      </c>
      <c r="AL1802">
        <v>78.343143027870497</v>
      </c>
      <c r="AM1802">
        <v>88.397467145258503</v>
      </c>
      <c r="AN1802">
        <v>1.00000002463148</v>
      </c>
    </row>
    <row r="1803" spans="1:40" x14ac:dyDescent="0.25">
      <c r="A1803" t="str">
        <f>"20190303162248611"</f>
        <v>20190303162248611</v>
      </c>
      <c r="B1803" t="str">
        <f>"1551601368596376"</f>
        <v>1551601368596376</v>
      </c>
      <c r="C1803" t="s">
        <v>40</v>
      </c>
      <c r="D1803">
        <v>5.9566400000000002</v>
      </c>
      <c r="E1803">
        <v>0.46747179999999999</v>
      </c>
      <c r="F1803" t="s">
        <v>47</v>
      </c>
      <c r="G1803">
        <v>-258.71519999999998</v>
      </c>
      <c r="H1803" s="1">
        <v>3.1009880000000001E-6</v>
      </c>
      <c r="I1803">
        <v>282.55020000000002</v>
      </c>
      <c r="J1803">
        <v>-239.32560000000001</v>
      </c>
      <c r="K1803">
        <v>1.120204</v>
      </c>
      <c r="L1803">
        <v>284.16199999999998</v>
      </c>
      <c r="M1803">
        <v>-0.99959779999999998</v>
      </c>
      <c r="N1803">
        <v>-1.133812E-2</v>
      </c>
      <c r="O1803">
        <v>-2.599481E-2</v>
      </c>
      <c r="P1803">
        <v>-0.98170210000000002</v>
      </c>
      <c r="Q1803">
        <v>0.19042120000000001</v>
      </c>
      <c r="R1803">
        <v>8.5807029999999897E-4</v>
      </c>
      <c r="S1803">
        <v>-3.0906370000000001</v>
      </c>
      <c r="T1803">
        <v>-0.17605850000000001</v>
      </c>
      <c r="U1803">
        <v>-0.25433349999999999</v>
      </c>
      <c r="V1803">
        <v>2.6660590000000001E-2</v>
      </c>
      <c r="W1803">
        <v>0.20149880000000001</v>
      </c>
      <c r="X1803">
        <v>0.97912589999999999</v>
      </c>
      <c r="Y1803">
        <v>-5.5996400000000002E-2</v>
      </c>
      <c r="Z1803">
        <v>-7.2681500000000001E-4</v>
      </c>
      <c r="AA1803">
        <v>0.9984307</v>
      </c>
      <c r="AB1803">
        <v>26</v>
      </c>
      <c r="AC1803">
        <v>-19.389599999999898</v>
      </c>
      <c r="AD1803">
        <v>-1.120200899012</v>
      </c>
      <c r="AE1803">
        <v>-1.6118000000000099</v>
      </c>
      <c r="AF1803">
        <v>-1.10353585795322</v>
      </c>
      <c r="AG1803">
        <v>-1.120200899012</v>
      </c>
      <c r="AH1803">
        <v>19.3607701262533</v>
      </c>
      <c r="AI1803">
        <v>93.306048541793004</v>
      </c>
      <c r="AJ1803">
        <v>93.262246675484604</v>
      </c>
      <c r="AK1803">
        <v>19.4245221646649</v>
      </c>
      <c r="AL1803">
        <v>78.375382007968796</v>
      </c>
      <c r="AM1803">
        <v>88.440280315599097</v>
      </c>
      <c r="AN1803">
        <v>1.0000000407556899</v>
      </c>
    </row>
    <row r="1804" spans="1:40" x14ac:dyDescent="0.25">
      <c r="A1804" t="str">
        <f>"20190303162248634"</f>
        <v>20190303162248634</v>
      </c>
      <c r="B1804" t="str">
        <f>"1551601368626631"</f>
        <v>1551601368626631</v>
      </c>
      <c r="C1804" t="s">
        <v>40</v>
      </c>
      <c r="D1804">
        <v>5.8402640000000003</v>
      </c>
      <c r="E1804">
        <v>0.48567769999999999</v>
      </c>
      <c r="F1804" t="s">
        <v>47</v>
      </c>
      <c r="G1804">
        <v>-258.54860000000002</v>
      </c>
      <c r="H1804" s="1">
        <v>3.0123669999999999E-6</v>
      </c>
      <c r="I1804">
        <v>282.58409999999998</v>
      </c>
      <c r="J1804">
        <v>-239.59710000000001</v>
      </c>
      <c r="K1804">
        <v>1.1201890000000001</v>
      </c>
      <c r="L1804">
        <v>284.1558</v>
      </c>
      <c r="M1804">
        <v>-0.9996197</v>
      </c>
      <c r="N1804">
        <v>-1.1262400000000001E-2</v>
      </c>
      <c r="O1804">
        <v>-2.5175960000000001E-2</v>
      </c>
      <c r="P1804">
        <v>-0.98178580000000004</v>
      </c>
      <c r="Q1804">
        <v>0.1899884</v>
      </c>
      <c r="R1804">
        <v>1.160557E-3</v>
      </c>
      <c r="S1804">
        <v>-3.0910489999999999</v>
      </c>
      <c r="T1804">
        <v>-0.1801276</v>
      </c>
      <c r="U1804">
        <v>-0.25372309999999998</v>
      </c>
      <c r="V1804">
        <v>2.6161230000000001E-2</v>
      </c>
      <c r="W1804">
        <v>0.2009929</v>
      </c>
      <c r="X1804">
        <v>0.97924330000000004</v>
      </c>
      <c r="Y1804">
        <v>-5.6602630000000001E-2</v>
      </c>
      <c r="Z1804">
        <v>-7.84745E-4</v>
      </c>
      <c r="AA1804">
        <v>0.99839650000000002</v>
      </c>
      <c r="AB1804">
        <v>26</v>
      </c>
      <c r="AC1804">
        <v>-18.951499999999999</v>
      </c>
      <c r="AD1804">
        <v>-1.12018598763299</v>
      </c>
      <c r="AE1804">
        <v>-1.5717000000000201</v>
      </c>
      <c r="AF1804">
        <v>-1.0902662373594501</v>
      </c>
      <c r="AG1804">
        <v>-1.12018598763299</v>
      </c>
      <c r="AH1804">
        <v>18.919415462730299</v>
      </c>
      <c r="AI1804">
        <v>93.382829334601794</v>
      </c>
      <c r="AJ1804">
        <v>93.298127412198696</v>
      </c>
      <c r="AK1804">
        <v>18.9838820731329</v>
      </c>
      <c r="AL1804">
        <v>78.404972858104898</v>
      </c>
      <c r="AM1804">
        <v>88.469663660105098</v>
      </c>
      <c r="AN1804">
        <v>0.99999999820020602</v>
      </c>
    </row>
    <row r="1805" spans="1:40" x14ac:dyDescent="0.25">
      <c r="A1805" t="str">
        <f>"20190303162248654"</f>
        <v>20190303162248654</v>
      </c>
      <c r="B1805" t="str">
        <f>"1551601368646151"</f>
        <v>1551601368646151</v>
      </c>
      <c r="C1805" t="s">
        <v>40</v>
      </c>
      <c r="D1805">
        <v>5.8955719999999996</v>
      </c>
      <c r="E1805">
        <v>0.48588759999999998</v>
      </c>
      <c r="F1805" t="s">
        <v>47</v>
      </c>
      <c r="G1805">
        <v>-255.92670000000001</v>
      </c>
      <c r="H1805" s="1">
        <v>1.6171200000000001E-6</v>
      </c>
      <c r="I1805">
        <v>283.58890000000002</v>
      </c>
      <c r="J1805">
        <v>-239.84739999999999</v>
      </c>
      <c r="K1805">
        <v>1.1201680000000001</v>
      </c>
      <c r="L1805">
        <v>284.15039999999999</v>
      </c>
      <c r="M1805">
        <v>-0.9996391</v>
      </c>
      <c r="N1805">
        <v>-1.118748E-2</v>
      </c>
      <c r="O1805">
        <v>-2.442389E-2</v>
      </c>
      <c r="P1805">
        <v>-0.98186980000000001</v>
      </c>
      <c r="Q1805">
        <v>0.18954009999999999</v>
      </c>
      <c r="R1805">
        <v>2.4877720000000001E-3</v>
      </c>
      <c r="S1805">
        <v>-3.0968930000000001</v>
      </c>
      <c r="T1805">
        <v>-0.2124423</v>
      </c>
      <c r="U1805">
        <v>-0.1075134</v>
      </c>
      <c r="V1805">
        <v>2.675112E-2</v>
      </c>
      <c r="W1805">
        <v>0.2004716</v>
      </c>
      <c r="X1805">
        <v>0.97933419999999904</v>
      </c>
      <c r="Y1805">
        <v>-1.028662E-2</v>
      </c>
      <c r="Z1805">
        <v>9.8978090000000009E-4</v>
      </c>
      <c r="AA1805">
        <v>0.99994660000000002</v>
      </c>
      <c r="AB1805">
        <v>26</v>
      </c>
      <c r="AC1805">
        <v>-16.0793</v>
      </c>
      <c r="AD1805">
        <v>-1.1201663828799999</v>
      </c>
      <c r="AE1805">
        <v>-0.56149999999996603</v>
      </c>
      <c r="AF1805">
        <v>-0.16777558775819101</v>
      </c>
      <c r="AG1805">
        <v>-1.1201663828799999</v>
      </c>
      <c r="AH1805">
        <v>16.010609178549199</v>
      </c>
      <c r="AI1805">
        <v>94.001901776377807</v>
      </c>
      <c r="AJ1805">
        <v>90.600381980359003</v>
      </c>
      <c r="AK1805">
        <v>16.050623901936799</v>
      </c>
      <c r="AL1805">
        <v>78.435461501568298</v>
      </c>
      <c r="AM1805">
        <v>88.435319390661405</v>
      </c>
      <c r="AN1805">
        <v>0.99999998005872603</v>
      </c>
    </row>
    <row r="1806" spans="1:40" x14ac:dyDescent="0.25">
      <c r="A1806" t="str">
        <f>"20190303162248677"</f>
        <v>20190303162248677</v>
      </c>
      <c r="B1806" t="str">
        <f>"1551601368666647"</f>
        <v>1551601368666647</v>
      </c>
      <c r="C1806" t="s">
        <v>40</v>
      </c>
      <c r="D1806">
        <v>5.7799839999999998</v>
      </c>
      <c r="E1806">
        <v>0.4855139</v>
      </c>
      <c r="F1806" t="s">
        <v>47</v>
      </c>
      <c r="G1806">
        <v>-256.44560000000001</v>
      </c>
      <c r="H1806" s="1">
        <v>1.893249E-6</v>
      </c>
      <c r="I1806">
        <v>283.60390000000001</v>
      </c>
      <c r="J1806">
        <v>-240.1112</v>
      </c>
      <c r="K1806">
        <v>1.1201449999999999</v>
      </c>
      <c r="L1806">
        <v>284.14479999999998</v>
      </c>
      <c r="M1806">
        <v>-0.99965890000000002</v>
      </c>
      <c r="N1806">
        <v>-1.1103129999999999E-2</v>
      </c>
      <c r="O1806">
        <v>-2.3638079999999999E-2</v>
      </c>
      <c r="P1806">
        <v>-0.98213890000000004</v>
      </c>
      <c r="Q1806">
        <v>0.18809110000000001</v>
      </c>
      <c r="R1806">
        <v>5.0122880000000002E-3</v>
      </c>
      <c r="S1806">
        <v>-3.0959780000000001</v>
      </c>
      <c r="T1806">
        <v>-0.20893880000000001</v>
      </c>
      <c r="U1806">
        <v>-0.1019287</v>
      </c>
      <c r="V1806">
        <v>2.850625E-2</v>
      </c>
      <c r="W1806">
        <v>0.19894049999999999</v>
      </c>
      <c r="X1806">
        <v>0.97959689999999999</v>
      </c>
      <c r="Y1806">
        <v>-9.2820929999999999E-3</v>
      </c>
      <c r="Z1806">
        <v>9.6618569999999996E-4</v>
      </c>
      <c r="AA1806">
        <v>0.99995639999999997</v>
      </c>
      <c r="AB1806">
        <v>26</v>
      </c>
      <c r="AC1806">
        <v>-16.334399999999999</v>
      </c>
      <c r="AD1806">
        <v>-1.1201431067509999</v>
      </c>
      <c r="AE1806">
        <v>-0.54089999999996496</v>
      </c>
      <c r="AF1806">
        <v>-0.15388829229966799</v>
      </c>
      <c r="AG1806">
        <v>-1.1201431067509999</v>
      </c>
      <c r="AH1806">
        <v>16.266211770627699</v>
      </c>
      <c r="AI1806">
        <v>93.939174858962801</v>
      </c>
      <c r="AJ1806">
        <v>90.542036876777402</v>
      </c>
      <c r="AK1806">
        <v>16.3054606666913</v>
      </c>
      <c r="AL1806">
        <v>78.524990889095903</v>
      </c>
      <c r="AM1806">
        <v>88.333164364512399</v>
      </c>
      <c r="AN1806">
        <v>1.00000000765946</v>
      </c>
    </row>
    <row r="1807" spans="1:40" x14ac:dyDescent="0.25">
      <c r="A1807" t="str">
        <f>"20190303162248698"</f>
        <v>20190303162248698</v>
      </c>
      <c r="B1807" t="str">
        <f>"1551601368686168"</f>
        <v>1551601368686168</v>
      </c>
      <c r="C1807" t="s">
        <v>40</v>
      </c>
      <c r="D1807">
        <v>5.8066300000000002</v>
      </c>
      <c r="E1807">
        <v>0.48515760000000002</v>
      </c>
      <c r="F1807" t="s">
        <v>47</v>
      </c>
      <c r="G1807">
        <v>-256.90780000000001</v>
      </c>
      <c r="H1807" s="1">
        <v>2.139222E-6</v>
      </c>
      <c r="I1807">
        <v>283.61709999999999</v>
      </c>
      <c r="J1807">
        <v>-240.36969999999999</v>
      </c>
      <c r="K1807">
        <v>1.1201319999999999</v>
      </c>
      <c r="L1807">
        <v>284.13959999999997</v>
      </c>
      <c r="M1807">
        <v>-0.99967760000000006</v>
      </c>
      <c r="N1807">
        <v>-1.1015280000000001E-2</v>
      </c>
      <c r="O1807">
        <v>-2.2881160000000001E-2</v>
      </c>
      <c r="P1807">
        <v>-0.98259249999999998</v>
      </c>
      <c r="Q1807">
        <v>0.1855967</v>
      </c>
      <c r="R1807">
        <v>8.1314319999999992E-3</v>
      </c>
      <c r="S1807">
        <v>-3.0945740000000002</v>
      </c>
      <c r="T1807">
        <v>-0.206372</v>
      </c>
      <c r="U1807">
        <v>-9.7228999999999996E-2</v>
      </c>
      <c r="V1807">
        <v>3.088428E-2</v>
      </c>
      <c r="W1807">
        <v>0.1963617</v>
      </c>
      <c r="X1807">
        <v>0.98004500000000005</v>
      </c>
      <c r="Y1807">
        <v>-8.5375009999999994E-3</v>
      </c>
      <c r="Z1807">
        <v>9.4042310000000005E-4</v>
      </c>
      <c r="AA1807">
        <v>0.99996309999999999</v>
      </c>
      <c r="AB1807">
        <v>26</v>
      </c>
      <c r="AC1807">
        <v>-16.5381</v>
      </c>
      <c r="AD1807">
        <v>-1.1201298607779999</v>
      </c>
      <c r="AE1807">
        <v>-0.52249999999997898</v>
      </c>
      <c r="AF1807">
        <v>-0.143272760058614</v>
      </c>
      <c r="AG1807">
        <v>-1.1201298607779999</v>
      </c>
      <c r="AH1807">
        <v>16.4702457239501</v>
      </c>
      <c r="AI1807">
        <v>93.890507982985</v>
      </c>
      <c r="AJ1807">
        <v>90.498396779227804</v>
      </c>
      <c r="AK1807">
        <v>16.5089131137116</v>
      </c>
      <c r="AL1807">
        <v>78.675718457820594</v>
      </c>
      <c r="AM1807">
        <v>88.195028306578905</v>
      </c>
      <c r="AN1807">
        <v>0.99999997900150395</v>
      </c>
    </row>
    <row r="1808" spans="1:40" x14ac:dyDescent="0.25">
      <c r="A1808" t="str">
        <f>"20190303162248722"</f>
        <v>20190303162248722</v>
      </c>
      <c r="B1808" t="str">
        <f>"1551601368716423"</f>
        <v>1551601368716423</v>
      </c>
      <c r="C1808" t="s">
        <v>40</v>
      </c>
      <c r="D1808">
        <v>5.7370460000000003</v>
      </c>
      <c r="E1808">
        <v>0.48528969999999999</v>
      </c>
      <c r="F1808" t="s">
        <v>47</v>
      </c>
      <c r="G1808">
        <v>-256.83229999999998</v>
      </c>
      <c r="H1808" s="1">
        <v>2.0990350000000001E-6</v>
      </c>
      <c r="I1808">
        <v>283.65449999999998</v>
      </c>
      <c r="J1808">
        <v>-240.64789999999999</v>
      </c>
      <c r="K1808">
        <v>1.1201289999999999</v>
      </c>
      <c r="L1808">
        <v>284.13409999999999</v>
      </c>
      <c r="M1808">
        <v>-0.99969640000000004</v>
      </c>
      <c r="N1808">
        <v>-1.0915650000000001E-2</v>
      </c>
      <c r="O1808">
        <v>-2.209173E-2</v>
      </c>
      <c r="P1808">
        <v>-0.98359099999999999</v>
      </c>
      <c r="Q1808">
        <v>0.18000079999999999</v>
      </c>
      <c r="R1808">
        <v>1.217704E-2</v>
      </c>
      <c r="S1808">
        <v>-3.0936430000000001</v>
      </c>
      <c r="T1808">
        <v>-0.21049399999999999</v>
      </c>
      <c r="U1808">
        <v>-9.1156009999999996E-2</v>
      </c>
      <c r="V1808">
        <v>3.4160120000000002E-2</v>
      </c>
      <c r="W1808">
        <v>0.19067580000000001</v>
      </c>
      <c r="X1808">
        <v>0.98105850000000006</v>
      </c>
      <c r="Y1808">
        <v>-7.3783240000000003E-3</v>
      </c>
      <c r="Z1808">
        <v>9.6896120000000002E-4</v>
      </c>
      <c r="AA1808">
        <v>0.99997230000000004</v>
      </c>
      <c r="AB1808">
        <v>26</v>
      </c>
      <c r="AC1808">
        <v>-16.184399999999901</v>
      </c>
      <c r="AD1808">
        <v>-1.1201269009649999</v>
      </c>
      <c r="AE1808">
        <v>-0.47960000000000402</v>
      </c>
      <c r="AF1808">
        <v>-0.12133954262426</v>
      </c>
      <c r="AG1808">
        <v>-1.1201269009649999</v>
      </c>
      <c r="AH1808">
        <v>16.113926512528</v>
      </c>
      <c r="AI1808">
        <v>93.976290972292503</v>
      </c>
      <c r="AJ1808">
        <v>90.431435024626794</v>
      </c>
      <c r="AK1808">
        <v>16.153267013518501</v>
      </c>
      <c r="AL1808">
        <v>79.007774016687094</v>
      </c>
      <c r="AM1808">
        <v>88.005786310539406</v>
      </c>
      <c r="AN1808">
        <v>0.99999997746315195</v>
      </c>
    </row>
    <row r="1809" spans="1:40" x14ac:dyDescent="0.25">
      <c r="A1809" t="str">
        <f>"20190303162248755"</f>
        <v>20190303162248755</v>
      </c>
      <c r="B1809" t="str">
        <f>"1551601368746679"</f>
        <v>1551601368746679</v>
      </c>
      <c r="C1809" t="s">
        <v>40</v>
      </c>
      <c r="D1809">
        <v>5.013852</v>
      </c>
      <c r="E1809">
        <v>0.4855139</v>
      </c>
      <c r="F1809" t="s">
        <v>47</v>
      </c>
      <c r="G1809">
        <v>-256.21600000000001</v>
      </c>
      <c r="H1809" s="1">
        <v>1.7710719999999999E-6</v>
      </c>
      <c r="I1809">
        <v>283.74040000000002</v>
      </c>
      <c r="J1809">
        <v>-241.03370000000001</v>
      </c>
      <c r="K1809">
        <v>1.12015</v>
      </c>
      <c r="L1809">
        <v>284.12670000000003</v>
      </c>
      <c r="M1809">
        <v>-0.99972000000000005</v>
      </c>
      <c r="N1809">
        <v>-1.077038E-2</v>
      </c>
      <c r="O1809">
        <v>-2.1071570000000001E-2</v>
      </c>
      <c r="P1809">
        <v>-0.98466509999999996</v>
      </c>
      <c r="Q1809">
        <v>0.1738287</v>
      </c>
      <c r="R1809">
        <v>1.478431E-2</v>
      </c>
      <c r="S1809">
        <v>-3.0917050000000001</v>
      </c>
      <c r="T1809">
        <v>-0.22244829999999999</v>
      </c>
      <c r="U1809">
        <v>-7.8186039999999998E-2</v>
      </c>
      <c r="V1809">
        <v>3.5760729999999998E-2</v>
      </c>
      <c r="W1809">
        <v>0.18437329999999999</v>
      </c>
      <c r="X1809">
        <v>0.98220549999999995</v>
      </c>
      <c r="Y1809">
        <v>-4.2359750000000003E-3</v>
      </c>
      <c r="Z1809">
        <v>1.112002E-3</v>
      </c>
      <c r="AA1809">
        <v>0.99999039999999995</v>
      </c>
      <c r="AB1809">
        <v>26</v>
      </c>
      <c r="AC1809">
        <v>-15.1822999999999</v>
      </c>
      <c r="AD1809">
        <v>-1.120148228928</v>
      </c>
      <c r="AE1809">
        <v>-0.38630000000000497</v>
      </c>
      <c r="AF1809">
        <v>-6.5922167031223194E-2</v>
      </c>
      <c r="AG1809">
        <v>-1.120148228928</v>
      </c>
      <c r="AH1809">
        <v>15.104899226723299</v>
      </c>
      <c r="AI1809">
        <v>94.241133537577198</v>
      </c>
      <c r="AJ1809">
        <v>90.250053834204394</v>
      </c>
      <c r="AK1809">
        <v>15.146519680650799</v>
      </c>
      <c r="AL1809">
        <v>79.375403310618097</v>
      </c>
      <c r="AM1809">
        <v>87.9148617349353</v>
      </c>
      <c r="AN1809">
        <v>0.99999999389663596</v>
      </c>
    </row>
    <row r="1810" spans="1:40" x14ac:dyDescent="0.25">
      <c r="A1810" t="str">
        <f>"20190303162248776"</f>
        <v>20190303162248776</v>
      </c>
      <c r="B1810" t="str">
        <f>"1551601368766199"</f>
        <v>1551601368766199</v>
      </c>
      <c r="C1810" t="s">
        <v>40</v>
      </c>
      <c r="D1810">
        <v>4.672625</v>
      </c>
      <c r="E1810">
        <v>0.48561720000000003</v>
      </c>
      <c r="F1810" t="s">
        <v>47</v>
      </c>
      <c r="G1810">
        <v>-255.6112</v>
      </c>
      <c r="H1810" s="1">
        <v>1.4492339999999999E-6</v>
      </c>
      <c r="I1810">
        <v>283.80840000000001</v>
      </c>
      <c r="J1810">
        <v>-241.2894</v>
      </c>
      <c r="K1810">
        <v>1.1201970000000001</v>
      </c>
      <c r="L1810">
        <v>284.12209999999999</v>
      </c>
      <c r="M1810">
        <v>-0.99973420000000002</v>
      </c>
      <c r="N1810">
        <v>-1.0676649999999999E-2</v>
      </c>
      <c r="O1810">
        <v>-2.0440880000000002E-2</v>
      </c>
      <c r="P1810">
        <v>-0.98480670000000003</v>
      </c>
      <c r="Q1810">
        <v>0.17297939999999901</v>
      </c>
      <c r="R1810">
        <v>1.5307660000000001E-2</v>
      </c>
      <c r="S1810">
        <v>-3.089645</v>
      </c>
      <c r="T1810">
        <v>-0.23741029999999999</v>
      </c>
      <c r="U1810">
        <v>-6.7474370000000006E-2</v>
      </c>
      <c r="V1810">
        <v>3.5651759999999998E-2</v>
      </c>
      <c r="W1810">
        <v>0.18343680000000001</v>
      </c>
      <c r="X1810">
        <v>0.98238479999999995</v>
      </c>
      <c r="Y1810">
        <v>-1.431767E-3</v>
      </c>
      <c r="Z1810">
        <v>1.287477E-3</v>
      </c>
      <c r="AA1810">
        <v>0.99999819999999995</v>
      </c>
      <c r="AB1810">
        <v>27</v>
      </c>
      <c r="AC1810">
        <v>-14.3217999999999</v>
      </c>
      <c r="AD1810">
        <v>-1.120195550766</v>
      </c>
      <c r="AE1810">
        <v>-0.31369999999998299</v>
      </c>
      <c r="AF1810">
        <v>-2.0740783411158401E-2</v>
      </c>
      <c r="AG1810">
        <v>-1.120195550766</v>
      </c>
      <c r="AH1810">
        <v>14.2381561202154</v>
      </c>
      <c r="AI1810">
        <v>94.498508941166193</v>
      </c>
      <c r="AJ1810">
        <v>90.0834629500239</v>
      </c>
      <c r="AK1810">
        <v>14.2821692314466</v>
      </c>
      <c r="AL1810">
        <v>79.429991953042901</v>
      </c>
      <c r="AM1810">
        <v>87.921589057285203</v>
      </c>
      <c r="AN1810">
        <v>1.00000000142818</v>
      </c>
    </row>
    <row r="1811" spans="1:40" x14ac:dyDescent="0.25">
      <c r="A1811" t="str">
        <f>"20190303162248977"</f>
        <v>20190303162248977</v>
      </c>
      <c r="B1811" t="str">
        <f>"1551601368965944"</f>
        <v>1551601368965944</v>
      </c>
      <c r="C1811" t="s">
        <v>40</v>
      </c>
      <c r="D1811">
        <v>4.7908179999999998</v>
      </c>
      <c r="E1811">
        <v>0.48561720000000003</v>
      </c>
      <c r="F1811" t="s">
        <v>47</v>
      </c>
      <c r="G1811">
        <v>-255.3905</v>
      </c>
      <c r="H1811" s="1">
        <v>1.331781E-6</v>
      </c>
      <c r="I1811">
        <v>283.82850000000002</v>
      </c>
      <c r="J1811">
        <v>-243.7022</v>
      </c>
      <c r="K1811">
        <v>1.120269</v>
      </c>
      <c r="L1811">
        <v>284.08240000000001</v>
      </c>
      <c r="M1811">
        <v>-0.99981750000000003</v>
      </c>
      <c r="N1811">
        <v>-1.0157100000000001E-2</v>
      </c>
      <c r="O1811">
        <v>-1.618532E-2</v>
      </c>
      <c r="P1811">
        <v>-0.98384369999999999</v>
      </c>
      <c r="Q1811">
        <v>0.1788225</v>
      </c>
      <c r="R1811">
        <v>8.6160449999999993E-3</v>
      </c>
      <c r="S1811">
        <v>-3.090408</v>
      </c>
      <c r="T1811">
        <v>-0.2455021</v>
      </c>
      <c r="U1811">
        <v>-6.4331050000000001E-2</v>
      </c>
      <c r="V1811">
        <v>2.4685149999999999E-2</v>
      </c>
      <c r="W1811">
        <v>0.1887848</v>
      </c>
      <c r="X1811">
        <v>0.98170820000000003</v>
      </c>
      <c r="Y1811">
        <v>-4.6487259999999997E-3</v>
      </c>
      <c r="Z1811">
        <v>9.113449E-4</v>
      </c>
      <c r="AA1811">
        <v>0.99998880000000001</v>
      </c>
      <c r="AB1811">
        <v>27</v>
      </c>
      <c r="AC1811">
        <v>-11.6882999999999</v>
      </c>
      <c r="AD1811">
        <v>-1.120267668219</v>
      </c>
      <c r="AE1811">
        <v>-0.25389999999998702</v>
      </c>
      <c r="AF1811">
        <v>-6.4089649129018697E-2</v>
      </c>
      <c r="AG1811">
        <v>-1.120267668219</v>
      </c>
      <c r="AH1811">
        <v>11.5845097874224</v>
      </c>
      <c r="AI1811">
        <v>95.523467886699805</v>
      </c>
      <c r="AJ1811">
        <v>90.316977499265604</v>
      </c>
      <c r="AK1811">
        <v>11.6387273422169</v>
      </c>
      <c r="AL1811">
        <v>79.118125249007903</v>
      </c>
      <c r="AM1811">
        <v>88.559595471321899</v>
      </c>
      <c r="AN1811">
        <v>1.0000000236444</v>
      </c>
    </row>
    <row r="1812" spans="1:40" x14ac:dyDescent="0.25">
      <c r="A1812" t="str">
        <f>"20190303162249001"</f>
        <v>20190303162249001</v>
      </c>
      <c r="B1812" t="str">
        <f>"1551601368996231"</f>
        <v>1551601368996231</v>
      </c>
      <c r="C1812" t="s">
        <v>40</v>
      </c>
      <c r="D1812">
        <v>5.3847880000000004</v>
      </c>
      <c r="E1812">
        <v>0.54124069999999902</v>
      </c>
      <c r="F1812" t="s">
        <v>47</v>
      </c>
      <c r="G1812">
        <v>-258.92149999999998</v>
      </c>
      <c r="H1812" s="1">
        <v>3.2107969999999999E-6</v>
      </c>
      <c r="I1812">
        <v>283.67599999999999</v>
      </c>
      <c r="J1812">
        <v>-243.98580000000001</v>
      </c>
      <c r="K1812">
        <v>1.120276</v>
      </c>
      <c r="L1812">
        <v>284.07830000000001</v>
      </c>
      <c r="M1812">
        <v>-0.99982459999999995</v>
      </c>
      <c r="N1812">
        <v>-1.0131569999999999E-2</v>
      </c>
      <c r="O1812">
        <v>-1.575199E-2</v>
      </c>
      <c r="P1812">
        <v>-0.98343100000000006</v>
      </c>
      <c r="Q1812">
        <v>0.1811152</v>
      </c>
      <c r="R1812">
        <v>7.8190550000000001E-3</v>
      </c>
      <c r="S1812">
        <v>-3.09137</v>
      </c>
      <c r="T1812">
        <v>-0.22754959999999999</v>
      </c>
      <c r="U1812">
        <v>-8.255005E-2</v>
      </c>
      <c r="V1812">
        <v>2.3458079999999999E-2</v>
      </c>
      <c r="W1812">
        <v>0.19104879999999999</v>
      </c>
      <c r="X1812">
        <v>0.98130019999999996</v>
      </c>
      <c r="Y1812">
        <v>-1.0941380000000001E-2</v>
      </c>
      <c r="Z1812">
        <v>5.4061409999999995E-4</v>
      </c>
      <c r="AA1812">
        <v>0.99994000000000005</v>
      </c>
      <c r="AB1812">
        <v>27</v>
      </c>
      <c r="AC1812">
        <v>-14.935699999999899</v>
      </c>
      <c r="AD1812">
        <v>-1.120272789203</v>
      </c>
      <c r="AE1812">
        <v>-0.40230000000002503</v>
      </c>
      <c r="AF1812">
        <v>-0.166037566064798</v>
      </c>
      <c r="AG1812">
        <v>-1.120272789203</v>
      </c>
      <c r="AH1812">
        <v>14.8566617403712</v>
      </c>
      <c r="AI1812">
        <v>94.311983176875799</v>
      </c>
      <c r="AJ1812">
        <v>90.640309101503206</v>
      </c>
      <c r="AK1812">
        <v>14.899764349256699</v>
      </c>
      <c r="AL1812">
        <v>78.986002755885593</v>
      </c>
      <c r="AM1812">
        <v>88.630599436768605</v>
      </c>
      <c r="AN1812">
        <v>1.0000000040093799</v>
      </c>
    </row>
    <row r="1813" spans="1:40" x14ac:dyDescent="0.25">
      <c r="A1813" t="str">
        <f>"20190303162249024"</f>
        <v>20190303162249024</v>
      </c>
      <c r="B1813" t="str">
        <f>"1551601369016727"</f>
        <v>1551601369016727</v>
      </c>
      <c r="C1813" t="s">
        <v>40</v>
      </c>
      <c r="D1813">
        <v>5.3804080000000001</v>
      </c>
      <c r="E1813">
        <v>0.54131130000000005</v>
      </c>
      <c r="F1813" t="s">
        <v>47</v>
      </c>
      <c r="G1813">
        <v>-263.75330000000002</v>
      </c>
      <c r="H1813" s="1">
        <v>4.6053709999999898E-7</v>
      </c>
      <c r="I1813">
        <v>286.37430000000001</v>
      </c>
      <c r="J1813">
        <v>-244.2662</v>
      </c>
      <c r="K1813">
        <v>1.120276</v>
      </c>
      <c r="L1813">
        <v>284.07440000000003</v>
      </c>
      <c r="M1813">
        <v>-0.99983160000000004</v>
      </c>
      <c r="N1813">
        <v>-1.0111190000000001E-2</v>
      </c>
      <c r="O1813">
        <v>-1.532011E-2</v>
      </c>
      <c r="P1813">
        <v>-0.98316420000000004</v>
      </c>
      <c r="Q1813">
        <v>0.18254999999999999</v>
      </c>
      <c r="R1813">
        <v>7.9791369999999903E-3</v>
      </c>
      <c r="S1813">
        <v>-3.0798649999999999</v>
      </c>
      <c r="T1813">
        <v>-0.174544</v>
      </c>
      <c r="U1813">
        <v>0.35772710000000002</v>
      </c>
      <c r="V1813">
        <v>2.3190769999999999E-2</v>
      </c>
      <c r="W1813">
        <v>0.19246170000000001</v>
      </c>
      <c r="X1813">
        <v>0.98103039999999997</v>
      </c>
      <c r="Y1813">
        <v>0.13031960000000001</v>
      </c>
      <c r="Z1813">
        <v>5.0497090000000003E-3</v>
      </c>
      <c r="AA1813">
        <v>0.99145919999999998</v>
      </c>
      <c r="AB1813">
        <v>27</v>
      </c>
      <c r="AC1813">
        <v>-19.487100000000002</v>
      </c>
      <c r="AD1813">
        <v>-1.12027553946289</v>
      </c>
      <c r="AE1813">
        <v>2.2998999999999801</v>
      </c>
      <c r="AF1813">
        <v>2.58974858766351</v>
      </c>
      <c r="AG1813">
        <v>-1.12027553946289</v>
      </c>
      <c r="AH1813">
        <v>19.386386797948798</v>
      </c>
      <c r="AI1813">
        <v>93.278200264501095</v>
      </c>
      <c r="AJ1813">
        <v>82.391136951722999</v>
      </c>
      <c r="AK1813">
        <v>19.590656142950099</v>
      </c>
      <c r="AL1813">
        <v>78.903518619556607</v>
      </c>
      <c r="AM1813">
        <v>88.645826037843705</v>
      </c>
      <c r="AN1813">
        <v>0.99999998175212101</v>
      </c>
    </row>
    <row r="1814" spans="1:40" x14ac:dyDescent="0.25">
      <c r="A1814" t="str">
        <f>"20190303162249046"</f>
        <v>20190303162249046</v>
      </c>
      <c r="B1814" t="str">
        <f>"1551601369036247"</f>
        <v>1551601369036247</v>
      </c>
      <c r="C1814" t="s">
        <v>40</v>
      </c>
      <c r="D1814">
        <v>5.4336589999999996</v>
      </c>
      <c r="E1814">
        <v>0.53982659999999905</v>
      </c>
      <c r="F1814" t="s">
        <v>47</v>
      </c>
      <c r="G1814">
        <v>-267.36399999999998</v>
      </c>
      <c r="H1814" s="1">
        <v>2.3819789999999999E-6</v>
      </c>
      <c r="I1814">
        <v>286.76339999999999</v>
      </c>
      <c r="J1814">
        <v>-244.53049999999999</v>
      </c>
      <c r="K1814">
        <v>1.1202920000000001</v>
      </c>
      <c r="L1814">
        <v>284.07080000000002</v>
      </c>
      <c r="M1814">
        <v>-0.999838</v>
      </c>
      <c r="N1814">
        <v>-1.009578E-2</v>
      </c>
      <c r="O1814">
        <v>-1.490913E-2</v>
      </c>
      <c r="P1814">
        <v>-0.98255309999999996</v>
      </c>
      <c r="Q1814">
        <v>0.18577879999999999</v>
      </c>
      <c r="R1814">
        <v>8.7124149999999994E-3</v>
      </c>
      <c r="S1814">
        <v>-3.0761569999999998</v>
      </c>
      <c r="T1814">
        <v>-0.14919749999999901</v>
      </c>
      <c r="U1814">
        <v>0.35812379999999999</v>
      </c>
      <c r="V1814">
        <v>2.351381E-2</v>
      </c>
      <c r="W1814">
        <v>0.19566829999999999</v>
      </c>
      <c r="X1814">
        <v>0.98038820000000004</v>
      </c>
      <c r="Y1814">
        <v>0.13024150000000001</v>
      </c>
      <c r="Z1814">
        <v>4.3765870000000004E-3</v>
      </c>
      <c r="AA1814">
        <v>0.99147269999999998</v>
      </c>
      <c r="AB1814">
        <v>27</v>
      </c>
      <c r="AC1814">
        <v>-22.833500000000001</v>
      </c>
      <c r="AD1814">
        <v>-1.120289618021</v>
      </c>
      <c r="AE1814">
        <v>2.6925999999999699</v>
      </c>
      <c r="AF1814">
        <v>3.0255623232476698</v>
      </c>
      <c r="AG1814">
        <v>-1.120289618021</v>
      </c>
      <c r="AH1814">
        <v>22.736833618439501</v>
      </c>
      <c r="AI1814">
        <v>92.796189092591405</v>
      </c>
      <c r="AJ1814">
        <v>82.420251131119699</v>
      </c>
      <c r="AK1814">
        <v>22.964596212272099</v>
      </c>
      <c r="AL1814">
        <v>78.716233576783793</v>
      </c>
      <c r="AM1814">
        <v>88.626070945411399</v>
      </c>
      <c r="AN1814">
        <v>1.0000000027924201</v>
      </c>
    </row>
    <row r="1815" spans="1:40" x14ac:dyDescent="0.25">
      <c r="A1815" t="str">
        <f>"20190303162249067"</f>
        <v>20190303162249067</v>
      </c>
      <c r="B1815" t="str">
        <f>"1551601369056743"</f>
        <v>1551601369056743</v>
      </c>
      <c r="C1815" t="s">
        <v>40</v>
      </c>
      <c r="D1815">
        <v>5.4162210000000002</v>
      </c>
      <c r="E1815">
        <v>0.53751329999999997</v>
      </c>
      <c r="F1815" t="s">
        <v>47</v>
      </c>
      <c r="G1815">
        <v>-268.53500000000003</v>
      </c>
      <c r="H1815" s="1">
        <v>3.0050940000000001E-6</v>
      </c>
      <c r="I1815">
        <v>286.79140000000001</v>
      </c>
      <c r="J1815">
        <v>-244.79179999999999</v>
      </c>
      <c r="K1815">
        <v>1.1203069999999999</v>
      </c>
      <c r="L1815">
        <v>284.06729999999999</v>
      </c>
      <c r="M1815">
        <v>-0.99984399999999996</v>
      </c>
      <c r="N1815">
        <v>-1.00835E-2</v>
      </c>
      <c r="O1815">
        <v>-1.4501139999999999E-2</v>
      </c>
      <c r="P1815">
        <v>-0.98189340000000003</v>
      </c>
      <c r="Q1815">
        <v>0.18920419999999999</v>
      </c>
      <c r="R1815">
        <v>9.3456200000000007E-3</v>
      </c>
      <c r="S1815">
        <v>-3.0773320000000002</v>
      </c>
      <c r="T1815">
        <v>-0.14361889999999999</v>
      </c>
      <c r="U1815">
        <v>0.34878540000000002</v>
      </c>
      <c r="V1815">
        <v>2.373981E-2</v>
      </c>
      <c r="W1815">
        <v>0.19907459999999999</v>
      </c>
      <c r="X1815">
        <v>0.97969680000000003</v>
      </c>
      <c r="Y1815">
        <v>0.12684119999999999</v>
      </c>
      <c r="Z1815">
        <v>4.1194730000000002E-3</v>
      </c>
      <c r="AA1815">
        <v>0.99191450000000003</v>
      </c>
      <c r="AB1815">
        <v>27</v>
      </c>
      <c r="AC1815">
        <v>-23.743200000000002</v>
      </c>
      <c r="AD1815">
        <v>-1.1203039949060001</v>
      </c>
      <c r="AE1815">
        <v>2.7241000000000199</v>
      </c>
      <c r="AF1815">
        <v>3.0614073062916698</v>
      </c>
      <c r="AG1815">
        <v>-1.1203039949060001</v>
      </c>
      <c r="AH1815">
        <v>23.6492312757082</v>
      </c>
      <c r="AI1815">
        <v>92.689760434278696</v>
      </c>
      <c r="AJ1815">
        <v>82.624044896590704</v>
      </c>
      <c r="AK1815">
        <v>23.872859813352001</v>
      </c>
      <c r="AL1815">
        <v>78.517151168400105</v>
      </c>
      <c r="AM1815">
        <v>88.611892181685704</v>
      </c>
      <c r="AN1815">
        <v>1.00000004743711</v>
      </c>
    </row>
    <row r="1816" spans="1:40" x14ac:dyDescent="0.25">
      <c r="A1816" t="str">
        <f>"20190303162249088"</f>
        <v>20190303162249088</v>
      </c>
      <c r="B1816" t="str">
        <f>"1551601369076263"</f>
        <v>1551601369076263</v>
      </c>
      <c r="C1816" t="s">
        <v>40</v>
      </c>
      <c r="D1816">
        <v>5.4500250000000001</v>
      </c>
      <c r="E1816">
        <v>0.53594519999999901</v>
      </c>
      <c r="F1816" t="s">
        <v>47</v>
      </c>
      <c r="G1816">
        <v>-270.40039999999999</v>
      </c>
      <c r="H1816" s="1">
        <v>-1.420891E-6</v>
      </c>
      <c r="I1816">
        <v>286.83960000000002</v>
      </c>
      <c r="J1816">
        <v>-245.054</v>
      </c>
      <c r="K1816">
        <v>1.1203209999999999</v>
      </c>
      <c r="L1816">
        <v>284.06400000000002</v>
      </c>
      <c r="M1816">
        <v>-0.99985000000000002</v>
      </c>
      <c r="N1816">
        <v>-1.0073789999999999E-2</v>
      </c>
      <c r="O1816">
        <v>-1.409173E-2</v>
      </c>
      <c r="P1816">
        <v>-0.98129429999999995</v>
      </c>
      <c r="Q1816">
        <v>0.19222529999999999</v>
      </c>
      <c r="R1816">
        <v>1.0545769999999999E-2</v>
      </c>
      <c r="S1816">
        <v>-3.0780940000000001</v>
      </c>
      <c r="T1816">
        <v>-0.13465859999999999</v>
      </c>
      <c r="U1816">
        <v>0.3332214</v>
      </c>
      <c r="V1816">
        <v>2.4532439999999999E-2</v>
      </c>
      <c r="W1816">
        <v>0.20207929999999999</v>
      </c>
      <c r="X1816">
        <v>0.97906179999999998</v>
      </c>
      <c r="Y1816">
        <v>0.1214773</v>
      </c>
      <c r="Z1816">
        <v>3.7352040000000002E-3</v>
      </c>
      <c r="AA1816">
        <v>0.99258710000000006</v>
      </c>
      <c r="AB1816">
        <v>27</v>
      </c>
      <c r="AC1816">
        <v>-25.3463999999999</v>
      </c>
      <c r="AD1816">
        <v>-1.1203224208910001</v>
      </c>
      <c r="AE1816">
        <v>2.7755999999999901</v>
      </c>
      <c r="AF1816">
        <v>3.1264813432350098</v>
      </c>
      <c r="AG1816">
        <v>-1.1203224208910001</v>
      </c>
      <c r="AH1816">
        <v>25.256010543321501</v>
      </c>
      <c r="AI1816">
        <v>92.520682755971393</v>
      </c>
      <c r="AJ1816">
        <v>82.943166172989194</v>
      </c>
      <c r="AK1816">
        <v>25.473438646572902</v>
      </c>
      <c r="AL1816">
        <v>78.341422124979601</v>
      </c>
      <c r="AM1816">
        <v>88.564634826395405</v>
      </c>
      <c r="AN1816">
        <v>0.99999994616003995</v>
      </c>
    </row>
    <row r="1817" spans="1:40" x14ac:dyDescent="0.25">
      <c r="A1817" t="str">
        <f>"20190303162249113"</f>
        <v>20190303162249113</v>
      </c>
      <c r="B1817" t="str">
        <f>"1551601369106519"</f>
        <v>1551601369106519</v>
      </c>
      <c r="C1817" t="s">
        <v>40</v>
      </c>
      <c r="D1817">
        <v>5.4379400000000002</v>
      </c>
      <c r="E1817">
        <v>0.53503859999999903</v>
      </c>
      <c r="F1817" t="s">
        <v>47</v>
      </c>
      <c r="G1817">
        <v>-271.93369999999999</v>
      </c>
      <c r="H1817" s="1">
        <v>-6.0751250000000003E-7</v>
      </c>
      <c r="I1817">
        <v>286.89850000000001</v>
      </c>
      <c r="J1817">
        <v>-245.3432</v>
      </c>
      <c r="K1817">
        <v>1.1203289999999999</v>
      </c>
      <c r="L1817">
        <v>284.06040000000002</v>
      </c>
      <c r="M1817">
        <v>-0.99985639999999998</v>
      </c>
      <c r="N1817">
        <v>-1.006573E-2</v>
      </c>
      <c r="O1817">
        <v>-1.364012E-2</v>
      </c>
      <c r="P1817">
        <v>-0.98076949999999996</v>
      </c>
      <c r="Q1817">
        <v>0.1948192</v>
      </c>
      <c r="R1817">
        <v>1.170728E-2</v>
      </c>
      <c r="S1817">
        <v>-3.0788570000000002</v>
      </c>
      <c r="T1817">
        <v>-0.12832389999999999</v>
      </c>
      <c r="U1817">
        <v>0.32467649999999998</v>
      </c>
      <c r="V1817">
        <v>2.5246370000000001E-2</v>
      </c>
      <c r="W1817">
        <v>0.20465920000000001</v>
      </c>
      <c r="X1817">
        <v>0.97850760000000003</v>
      </c>
      <c r="Y1817">
        <v>0.11829480000000001</v>
      </c>
      <c r="Z1817">
        <v>3.4846009999999999E-3</v>
      </c>
      <c r="AA1817">
        <v>0.99297239999999998</v>
      </c>
      <c r="AB1817">
        <v>27</v>
      </c>
      <c r="AC1817">
        <v>-26.590499999999899</v>
      </c>
      <c r="AD1817">
        <v>-1.1203296075125</v>
      </c>
      <c r="AE1817">
        <v>2.8380999999999901</v>
      </c>
      <c r="AF1817">
        <v>3.1949442252568798</v>
      </c>
      <c r="AG1817">
        <v>-1.1203296075125</v>
      </c>
      <c r="AH1817">
        <v>26.502795133877701</v>
      </c>
      <c r="AI1817">
        <v>92.403194816984197</v>
      </c>
      <c r="AJ1817">
        <v>83.126094505190295</v>
      </c>
      <c r="AK1817">
        <v>26.7181765272307</v>
      </c>
      <c r="AL1817">
        <v>78.190449671493596</v>
      </c>
      <c r="AM1817">
        <v>88.522045609859305</v>
      </c>
      <c r="AN1817">
        <v>0.99999994530028702</v>
      </c>
    </row>
    <row r="1818" spans="1:40" x14ac:dyDescent="0.25">
      <c r="A1818" t="str">
        <f>"20190303162249134"</f>
        <v>20190303162249134</v>
      </c>
      <c r="B1818" t="str">
        <f>"1551601369126038"</f>
        <v>1551601369126038</v>
      </c>
      <c r="C1818" t="s">
        <v>40</v>
      </c>
      <c r="D1818">
        <v>5.4934029999999998</v>
      </c>
      <c r="E1818">
        <v>0.53498169999999901</v>
      </c>
      <c r="F1818" t="s">
        <v>47</v>
      </c>
      <c r="G1818">
        <v>-274.07440000000003</v>
      </c>
      <c r="H1818" s="1">
        <v>5.2524919999999897E-7</v>
      </c>
      <c r="I1818">
        <v>287.04520000000002</v>
      </c>
      <c r="J1818">
        <v>-245.6156</v>
      </c>
      <c r="K1818">
        <v>1.1203399999999999</v>
      </c>
      <c r="L1818">
        <v>284.05709999999999</v>
      </c>
      <c r="M1818">
        <v>-0.99986200000000003</v>
      </c>
      <c r="N1818">
        <v>-1.006026E-2</v>
      </c>
      <c r="O1818">
        <v>-1.3216429999999999E-2</v>
      </c>
      <c r="P1818">
        <v>-0.98027969999999998</v>
      </c>
      <c r="Q1818">
        <v>0.197181</v>
      </c>
      <c r="R1818">
        <v>1.308398E-2</v>
      </c>
      <c r="S1818">
        <v>-3.0788570000000002</v>
      </c>
      <c r="T1818">
        <v>-0.1200552</v>
      </c>
      <c r="U1818">
        <v>0.31985469999999999</v>
      </c>
      <c r="V1818">
        <v>2.6202759999999999E-2</v>
      </c>
      <c r="W1818">
        <v>0.20700969999999999</v>
      </c>
      <c r="X1818">
        <v>0.97798790000000002</v>
      </c>
      <c r="Y1818">
        <v>0.1163529</v>
      </c>
      <c r="Z1818">
        <v>3.2299960000000002E-3</v>
      </c>
      <c r="AA1818">
        <v>0.99320269999999999</v>
      </c>
      <c r="AB1818">
        <v>27</v>
      </c>
      <c r="AC1818">
        <v>-28.4588</v>
      </c>
      <c r="AD1818">
        <v>-1.1203394747508</v>
      </c>
      <c r="AE1818">
        <v>2.98810000000003</v>
      </c>
      <c r="AF1818">
        <v>3.3588331377622098</v>
      </c>
      <c r="AG1818">
        <v>-1.1203394747508</v>
      </c>
      <c r="AH1818">
        <v>28.3733275830159</v>
      </c>
      <c r="AI1818">
        <v>92.245523607795405</v>
      </c>
      <c r="AJ1818">
        <v>83.248748340125104</v>
      </c>
      <c r="AK1818">
        <v>28.593402013736402</v>
      </c>
      <c r="AL1818">
        <v>78.052829259721506</v>
      </c>
      <c r="AM1818">
        <v>88.465268862926294</v>
      </c>
      <c r="AN1818">
        <v>0.99999996653605805</v>
      </c>
    </row>
    <row r="1819" spans="1:40" x14ac:dyDescent="0.25">
      <c r="A1819" t="str">
        <f>"20190303162249157"</f>
        <v>20190303162249157</v>
      </c>
      <c r="B1819" t="str">
        <f>"1551601369146535"</f>
        <v>1551601369146535</v>
      </c>
      <c r="C1819" t="s">
        <v>40</v>
      </c>
      <c r="D1819">
        <v>5.4893190000000001</v>
      </c>
      <c r="E1819">
        <v>0.53463559999999999</v>
      </c>
      <c r="F1819" t="s">
        <v>47</v>
      </c>
      <c r="G1819">
        <v>-276.24900000000002</v>
      </c>
      <c r="H1819" s="1">
        <v>1.6723949999999999E-6</v>
      </c>
      <c r="I1819">
        <v>287.2749</v>
      </c>
      <c r="J1819">
        <v>-245.87870000000001</v>
      </c>
      <c r="K1819">
        <v>1.1203510000000001</v>
      </c>
      <c r="L1819">
        <v>284.05410000000001</v>
      </c>
      <c r="M1819">
        <v>-0.99986739999999996</v>
      </c>
      <c r="N1819">
        <v>-1.005669E-2</v>
      </c>
      <c r="O1819">
        <v>-1.2812560000000001E-2</v>
      </c>
      <c r="P1819">
        <v>-0.97993240000000004</v>
      </c>
      <c r="Q1819">
        <v>0.19887769999999999</v>
      </c>
      <c r="R1819">
        <v>1.3432690000000001E-2</v>
      </c>
      <c r="S1819">
        <v>-3.0787049999999998</v>
      </c>
      <c r="T1819">
        <v>-0.1125958</v>
      </c>
      <c r="U1819">
        <v>0.32339479999999998</v>
      </c>
      <c r="V1819">
        <v>2.6151540000000001E-2</v>
      </c>
      <c r="W1819">
        <v>0.20869950000000001</v>
      </c>
      <c r="X1819">
        <v>0.97763009999999995</v>
      </c>
      <c r="Y1819">
        <v>0.1170988</v>
      </c>
      <c r="Z1819">
        <v>3.0641700000000002E-3</v>
      </c>
      <c r="AA1819">
        <v>0.99311550000000004</v>
      </c>
      <c r="AB1819">
        <v>27</v>
      </c>
      <c r="AC1819">
        <v>-30.3703</v>
      </c>
      <c r="AD1819">
        <v>-1.1203493276050001</v>
      </c>
      <c r="AE1819">
        <v>3.2207999999999899</v>
      </c>
      <c r="AF1819">
        <v>3.6048254926452499</v>
      </c>
      <c r="AG1819">
        <v>-1.1203493276050001</v>
      </c>
      <c r="AH1819">
        <v>30.285782158061199</v>
      </c>
      <c r="AI1819">
        <v>92.103716656991807</v>
      </c>
      <c r="AJ1819">
        <v>83.2121908639309</v>
      </c>
      <c r="AK1819">
        <v>30.520133524836201</v>
      </c>
      <c r="AL1819">
        <v>77.953849470430001</v>
      </c>
      <c r="AM1819">
        <v>88.467707129960701</v>
      </c>
      <c r="AN1819">
        <v>0.99999999838531495</v>
      </c>
    </row>
    <row r="1820" spans="1:40" x14ac:dyDescent="0.25">
      <c r="A1820" t="str">
        <f>"20190303162249178"</f>
        <v>20190303162249178</v>
      </c>
      <c r="B1820" t="str">
        <f>"1551601369166055"</f>
        <v>1551601369166055</v>
      </c>
      <c r="C1820" t="s">
        <v>40</v>
      </c>
      <c r="D1820">
        <v>5.575475</v>
      </c>
      <c r="E1820">
        <v>0.53431660000000003</v>
      </c>
      <c r="F1820" t="s">
        <v>47</v>
      </c>
      <c r="G1820">
        <v>-277.59480000000002</v>
      </c>
      <c r="H1820" s="1">
        <v>2.3844910000000002E-6</v>
      </c>
      <c r="I1820">
        <v>287.3689</v>
      </c>
      <c r="J1820">
        <v>-246.14689999999999</v>
      </c>
      <c r="K1820">
        <v>1.120355</v>
      </c>
      <c r="L1820">
        <v>284.05110000000002</v>
      </c>
      <c r="M1820">
        <v>-0.99987250000000005</v>
      </c>
      <c r="N1820">
        <v>-1.00546E-2</v>
      </c>
      <c r="O1820">
        <v>-1.2411729999999999E-2</v>
      </c>
      <c r="P1820">
        <v>-0.97956359999999998</v>
      </c>
      <c r="Q1820">
        <v>0.20061709999999999</v>
      </c>
      <c r="R1820">
        <v>1.4432189999999999E-2</v>
      </c>
      <c r="S1820">
        <v>-3.0791019999999998</v>
      </c>
      <c r="T1820">
        <v>-0.1087669</v>
      </c>
      <c r="U1820">
        <v>0.32180789999999998</v>
      </c>
      <c r="V1820">
        <v>2.675201E-2</v>
      </c>
      <c r="W1820">
        <v>0.21043300000000001</v>
      </c>
      <c r="X1820">
        <v>0.97724219999999895</v>
      </c>
      <c r="Y1820">
        <v>0.11618829999999999</v>
      </c>
      <c r="Z1820">
        <v>2.9446279999999999E-3</v>
      </c>
      <c r="AA1820">
        <v>0.99322279999999996</v>
      </c>
      <c r="AB1820">
        <v>27</v>
      </c>
      <c r="AC1820">
        <v>-31.447900000000001</v>
      </c>
      <c r="AD1820">
        <v>-1.120352615509</v>
      </c>
      <c r="AE1820">
        <v>3.3177999999999699</v>
      </c>
      <c r="AF1820">
        <v>3.7032385833567099</v>
      </c>
      <c r="AG1820">
        <v>-1.120352615509</v>
      </c>
      <c r="AH1820">
        <v>31.364925856585099</v>
      </c>
      <c r="AI1820">
        <v>92.031630947742698</v>
      </c>
      <c r="AJ1820">
        <v>83.266295256961598</v>
      </c>
      <c r="AK1820">
        <v>31.602654002115401</v>
      </c>
      <c r="AL1820">
        <v>77.852271865554997</v>
      </c>
      <c r="AM1820">
        <v>88.431919379403297</v>
      </c>
      <c r="AN1820">
        <v>1.0000000174944299</v>
      </c>
    </row>
    <row r="1821" spans="1:40" x14ac:dyDescent="0.25">
      <c r="A1821" t="str">
        <f>"20190303162249203"</f>
        <v>20190303162249203</v>
      </c>
      <c r="B1821" t="str">
        <f>"1551601369196311"</f>
        <v>1551601369196311</v>
      </c>
      <c r="C1821" t="s">
        <v>40</v>
      </c>
      <c r="D1821">
        <v>5.8665010000000004</v>
      </c>
      <c r="E1821">
        <v>0.48684719999999998</v>
      </c>
      <c r="F1821" t="s">
        <v>47</v>
      </c>
      <c r="G1821">
        <v>-278.88200000000001</v>
      </c>
      <c r="H1821" s="1">
        <v>3.0649870000000002E-6</v>
      </c>
      <c r="I1821">
        <v>287.47109999999998</v>
      </c>
      <c r="J1821">
        <v>-246.43559999999999</v>
      </c>
      <c r="K1821">
        <v>1.120368</v>
      </c>
      <c r="L1821">
        <v>284.048</v>
      </c>
      <c r="M1821">
        <v>-0.99987760000000003</v>
      </c>
      <c r="N1821">
        <v>-1.0053680000000001E-2</v>
      </c>
      <c r="O1821">
        <v>-1.199797E-2</v>
      </c>
      <c r="P1821">
        <v>-0.97938570000000003</v>
      </c>
      <c r="Q1821">
        <v>0.2013172</v>
      </c>
      <c r="R1821">
        <v>1.6596530000000002E-2</v>
      </c>
      <c r="S1821">
        <v>-3.079437</v>
      </c>
      <c r="T1821">
        <v>-0.10539320000000001</v>
      </c>
      <c r="U1821">
        <v>0.32171630000000001</v>
      </c>
      <c r="V1821">
        <v>2.850343E-2</v>
      </c>
      <c r="W1821">
        <v>0.21112980000000001</v>
      </c>
      <c r="X1821">
        <v>0.97704230000000003</v>
      </c>
      <c r="Y1821">
        <v>0.1157427</v>
      </c>
      <c r="Z1821">
        <v>2.8475129999999999E-3</v>
      </c>
      <c r="AA1821">
        <v>0.99327520000000002</v>
      </c>
      <c r="AB1821">
        <v>27</v>
      </c>
      <c r="AC1821">
        <v>-32.446399999999997</v>
      </c>
      <c r="AD1821">
        <v>-1.1203649350130001</v>
      </c>
      <c r="AE1821">
        <v>3.4230999999999701</v>
      </c>
      <c r="AF1821">
        <v>3.8076742281229401</v>
      </c>
      <c r="AG1821">
        <v>-1.1203649350130001</v>
      </c>
      <c r="AH1821">
        <v>32.364828159067599</v>
      </c>
      <c r="AI1821">
        <v>91.969032360460005</v>
      </c>
      <c r="AJ1821">
        <v>83.290080449784099</v>
      </c>
      <c r="AK1821">
        <v>32.607295232525701</v>
      </c>
      <c r="AL1821">
        <v>77.811429721733504</v>
      </c>
      <c r="AM1821">
        <v>88.328973911242301</v>
      </c>
      <c r="AN1821">
        <v>0.99999994697954597</v>
      </c>
    </row>
    <row r="1822" spans="1:40" x14ac:dyDescent="0.25">
      <c r="A1822" t="str">
        <f>"20190303162249226"</f>
        <v>20190303162249226</v>
      </c>
      <c r="B1822" t="str">
        <f>"1551601369216807"</f>
        <v>1551601369216807</v>
      </c>
      <c r="C1822" t="s">
        <v>40</v>
      </c>
      <c r="D1822">
        <v>5.6504500000000002</v>
      </c>
      <c r="E1822">
        <v>0.48047069999999997</v>
      </c>
      <c r="F1822" t="s">
        <v>47</v>
      </c>
      <c r="G1822">
        <v>-267.17410000000001</v>
      </c>
      <c r="H1822" s="1">
        <v>2.2809329999999999E-6</v>
      </c>
      <c r="I1822">
        <v>283.7054</v>
      </c>
      <c r="J1822">
        <v>-246.72300000000001</v>
      </c>
      <c r="K1822">
        <v>1.1203829999999999</v>
      </c>
      <c r="L1822">
        <v>284.04500000000002</v>
      </c>
      <c r="M1822">
        <v>-0.99988200000000005</v>
      </c>
      <c r="N1822">
        <v>-1.005413E-2</v>
      </c>
      <c r="O1822">
        <v>-1.1614090000000001E-2</v>
      </c>
      <c r="P1822">
        <v>-0.97932540000000001</v>
      </c>
      <c r="Q1822">
        <v>0.2014483</v>
      </c>
      <c r="R1822">
        <v>1.844935E-2</v>
      </c>
      <c r="S1822">
        <v>-3.0984039999999999</v>
      </c>
      <c r="T1822">
        <v>-0.16738649999999999</v>
      </c>
      <c r="U1822">
        <v>-5.1177979999999998E-2</v>
      </c>
      <c r="V1822">
        <v>2.9970480000000001E-2</v>
      </c>
      <c r="W1822">
        <v>0.21126039999999999</v>
      </c>
      <c r="X1822">
        <v>0.97697029999999996</v>
      </c>
      <c r="Y1822">
        <v>-4.903803E-3</v>
      </c>
      <c r="Z1822">
        <v>3.53178E-4</v>
      </c>
      <c r="AA1822">
        <v>0.99998790000000004</v>
      </c>
      <c r="AB1822">
        <v>27</v>
      </c>
      <c r="AC1822">
        <v>-20.4511</v>
      </c>
      <c r="AD1822">
        <v>-1.1203807190670001</v>
      </c>
      <c r="AE1822">
        <v>-0.339600000000018</v>
      </c>
      <c r="AF1822">
        <v>-0.10173891287092</v>
      </c>
      <c r="AG1822">
        <v>-1.1203807190670001</v>
      </c>
      <c r="AH1822">
        <v>20.3924794073092</v>
      </c>
      <c r="AI1822">
        <v>93.144679794394406</v>
      </c>
      <c r="AJ1822">
        <v>90.285848613108996</v>
      </c>
      <c r="AK1822">
        <v>20.423486973080301</v>
      </c>
      <c r="AL1822">
        <v>77.803775820520002</v>
      </c>
      <c r="AM1822">
        <v>88.242890647032795</v>
      </c>
      <c r="AN1822">
        <v>1.0000000766808299</v>
      </c>
    </row>
    <row r="1823" spans="1:40" x14ac:dyDescent="0.25">
      <c r="A1823" t="str">
        <f>"20190303162249249"</f>
        <v>20190303162249249</v>
      </c>
      <c r="B1823" t="str">
        <f>"1551601369236328"</f>
        <v>1551601369236328</v>
      </c>
      <c r="C1823" t="s">
        <v>40</v>
      </c>
      <c r="D1823">
        <v>5.8441150000000004</v>
      </c>
      <c r="E1823">
        <v>0.47762159999999898</v>
      </c>
      <c r="F1823" t="s">
        <v>47</v>
      </c>
      <c r="G1823">
        <v>-267.23919999999998</v>
      </c>
      <c r="H1823" s="1">
        <v>2.3155449999999999E-6</v>
      </c>
      <c r="I1823">
        <v>283.404</v>
      </c>
      <c r="J1823">
        <v>-247.00980000000001</v>
      </c>
      <c r="K1823">
        <v>1.120403</v>
      </c>
      <c r="L1823">
        <v>284.0421</v>
      </c>
      <c r="M1823">
        <v>-0.9998861</v>
      </c>
      <c r="N1823">
        <v>-1.0055730000000001E-2</v>
      </c>
      <c r="O1823">
        <v>-1.125932E-2</v>
      </c>
      <c r="P1823">
        <v>-0.97941219999999996</v>
      </c>
      <c r="Q1823">
        <v>0.2008499</v>
      </c>
      <c r="R1823">
        <v>2.0280550000000001E-2</v>
      </c>
      <c r="S1823">
        <v>-3.100006</v>
      </c>
      <c r="T1823">
        <v>-0.16928989999999999</v>
      </c>
      <c r="U1823">
        <v>-9.6862790000000004E-2</v>
      </c>
      <c r="V1823">
        <v>3.1444899999999998E-2</v>
      </c>
      <c r="W1823">
        <v>0.21066470000000001</v>
      </c>
      <c r="X1823">
        <v>0.97705249999999999</v>
      </c>
      <c r="Y1823">
        <v>-1.995036E-2</v>
      </c>
      <c r="Z1823">
        <v>-1.4353639999999999E-4</v>
      </c>
      <c r="AA1823">
        <v>0.99980100000000005</v>
      </c>
      <c r="AB1823">
        <v>27</v>
      </c>
      <c r="AC1823">
        <v>-20.229399999999899</v>
      </c>
      <c r="AD1823">
        <v>-1.1204006844550001</v>
      </c>
      <c r="AE1823">
        <v>-0.63810000000000799</v>
      </c>
      <c r="AF1823">
        <v>-0.40902532806488001</v>
      </c>
      <c r="AG1823">
        <v>-1.1204006844550001</v>
      </c>
      <c r="AH1823">
        <v>20.173482401001699</v>
      </c>
      <c r="AI1823">
        <v>93.178191972764694</v>
      </c>
      <c r="AJ1823">
        <v>91.161535424027505</v>
      </c>
      <c r="AK1823">
        <v>20.208710785110799</v>
      </c>
      <c r="AL1823">
        <v>77.8386917121599</v>
      </c>
      <c r="AM1823">
        <v>88.156661585246994</v>
      </c>
      <c r="AN1823">
        <v>0.99999999265917405</v>
      </c>
    </row>
    <row r="1824" spans="1:40" x14ac:dyDescent="0.25">
      <c r="A1824" t="str">
        <f>"20190303162249290"</f>
        <v>20190303162249290</v>
      </c>
      <c r="B1824" t="str">
        <f>"1551601369287079"</f>
        <v>1551601369287079</v>
      </c>
      <c r="C1824" t="s">
        <v>40</v>
      </c>
      <c r="D1824">
        <v>5.5651089999999996</v>
      </c>
      <c r="E1824">
        <v>0.47492259999999997</v>
      </c>
      <c r="F1824" t="s">
        <v>47</v>
      </c>
      <c r="G1824">
        <v>-266.86040000000003</v>
      </c>
      <c r="H1824" s="1">
        <v>2.1139869999999999E-6</v>
      </c>
      <c r="I1824">
        <v>283.31479999999999</v>
      </c>
      <c r="J1824">
        <v>-247.52459999999999</v>
      </c>
      <c r="K1824">
        <v>1.1204240000000001</v>
      </c>
      <c r="L1824">
        <v>284.03699999999998</v>
      </c>
      <c r="M1824">
        <v>-0.99989240000000001</v>
      </c>
      <c r="N1824">
        <v>-1.0060619999999999E-2</v>
      </c>
      <c r="O1824">
        <v>-1.068406E-2</v>
      </c>
      <c r="P1824">
        <v>-0.97971019999999998</v>
      </c>
      <c r="Q1824">
        <v>0.19879630000000001</v>
      </c>
      <c r="R1824">
        <v>2.545888E-2</v>
      </c>
      <c r="S1824">
        <v>-3.1012879999999998</v>
      </c>
      <c r="T1824">
        <v>-0.17504159999999999</v>
      </c>
      <c r="U1824">
        <v>-0.11361690000000001</v>
      </c>
      <c r="V1824">
        <v>3.6045540000000001E-2</v>
      </c>
      <c r="W1824">
        <v>0.20861879999999999</v>
      </c>
      <c r="X1824">
        <v>0.97733250000000005</v>
      </c>
      <c r="Y1824">
        <v>-2.5894279999999999E-2</v>
      </c>
      <c r="Z1824">
        <v>-3.654423E-4</v>
      </c>
      <c r="AA1824">
        <v>0.99966460000000001</v>
      </c>
      <c r="AB1824">
        <v>27</v>
      </c>
      <c r="AC1824">
        <v>-19.335799999999999</v>
      </c>
      <c r="AD1824">
        <v>-1.120421886013</v>
      </c>
      <c r="AE1824">
        <v>-0.72220000000004303</v>
      </c>
      <c r="AF1824">
        <v>-0.51384058366543695</v>
      </c>
      <c r="AG1824">
        <v>-1.120421886013</v>
      </c>
      <c r="AH1824">
        <v>19.277774332777302</v>
      </c>
      <c r="AI1824">
        <v>93.325103434684195</v>
      </c>
      <c r="AJ1824">
        <v>91.526832247411207</v>
      </c>
      <c r="AK1824">
        <v>19.317141625343201</v>
      </c>
      <c r="AL1824">
        <v>77.958576716981497</v>
      </c>
      <c r="AM1824">
        <v>87.887800053263405</v>
      </c>
      <c r="AN1824">
        <v>0.99999995011178899</v>
      </c>
    </row>
    <row r="1825" spans="1:40" x14ac:dyDescent="0.25">
      <c r="A1825" t="str">
        <f>"20190303162249314"</f>
        <v>20190303162249314</v>
      </c>
      <c r="B1825" t="str">
        <f>"1551601369306600"</f>
        <v>1551601369306600</v>
      </c>
      <c r="C1825" t="s">
        <v>40</v>
      </c>
      <c r="D1825">
        <v>5.7899379999999896</v>
      </c>
      <c r="E1825">
        <v>0.47446300000000002</v>
      </c>
      <c r="F1825" t="s">
        <v>47</v>
      </c>
      <c r="G1825">
        <v>-265.7158</v>
      </c>
      <c r="H1825" s="1">
        <v>1.50487E-6</v>
      </c>
      <c r="I1825">
        <v>283.33359999999999</v>
      </c>
      <c r="J1825">
        <v>-247.81059999999999</v>
      </c>
      <c r="K1825">
        <v>1.120431</v>
      </c>
      <c r="L1825">
        <v>284.03429999999997</v>
      </c>
      <c r="M1825">
        <v>-0.99989530000000004</v>
      </c>
      <c r="N1825">
        <v>-1.006436E-2</v>
      </c>
      <c r="O1825">
        <v>-1.0398859999999999E-2</v>
      </c>
      <c r="P1825">
        <v>-0.97992270000000004</v>
      </c>
      <c r="Q1825">
        <v>0.19743530000000001</v>
      </c>
      <c r="R1825">
        <v>2.776387E-2</v>
      </c>
      <c r="S1825">
        <v>-3.10405</v>
      </c>
      <c r="T1825">
        <v>-0.1911834</v>
      </c>
      <c r="U1825">
        <v>-0.1200256</v>
      </c>
      <c r="V1825">
        <v>3.8064960000000002E-2</v>
      </c>
      <c r="W1825">
        <v>0.20726339999999999</v>
      </c>
      <c r="X1825">
        <v>0.97754439999999998</v>
      </c>
      <c r="Y1825">
        <v>-2.8196519999999999E-2</v>
      </c>
      <c r="Z1825">
        <v>-4.7424020000000003E-4</v>
      </c>
      <c r="AA1825">
        <v>0.99960230000000005</v>
      </c>
      <c r="AB1825">
        <v>27</v>
      </c>
      <c r="AC1825">
        <v>-17.905200000000001</v>
      </c>
      <c r="AD1825">
        <v>-1.12042949513</v>
      </c>
      <c r="AE1825">
        <v>-0.700699999999983</v>
      </c>
      <c r="AF1825">
        <v>-0.51245545502297796</v>
      </c>
      <c r="AG1825">
        <v>-1.12042949513</v>
      </c>
      <c r="AH1825">
        <v>17.841762256169002</v>
      </c>
      <c r="AI1825">
        <v>93.591872387493197</v>
      </c>
      <c r="AJ1825">
        <v>91.645211063334102</v>
      </c>
      <c r="AK1825">
        <v>17.884251542980401</v>
      </c>
      <c r="AL1825">
        <v>78.037972163019205</v>
      </c>
      <c r="AM1825">
        <v>87.770065231701295</v>
      </c>
      <c r="AN1825">
        <v>1.0000000560653499</v>
      </c>
    </row>
    <row r="1826" spans="1:40" x14ac:dyDescent="0.25">
      <c r="A1826" t="str">
        <f>"20190303162249335"</f>
        <v>20190303162249335</v>
      </c>
      <c r="B1826" t="str">
        <f>"1551601369326119"</f>
        <v>1551601369326119</v>
      </c>
      <c r="C1826" t="s">
        <v>40</v>
      </c>
      <c r="D1826">
        <v>5.7877559999999999</v>
      </c>
      <c r="E1826">
        <v>0.47401589999999999</v>
      </c>
      <c r="F1826" t="s">
        <v>47</v>
      </c>
      <c r="G1826">
        <v>-265.55259999999998</v>
      </c>
      <c r="H1826" s="1">
        <v>1.4180119999999999E-6</v>
      </c>
      <c r="I1826">
        <v>283.36590000000001</v>
      </c>
      <c r="J1826">
        <v>-248.07380000000001</v>
      </c>
      <c r="K1826">
        <v>1.1204339999999999</v>
      </c>
      <c r="L1826">
        <v>284.03190000000001</v>
      </c>
      <c r="M1826">
        <v>-0.99989779999999995</v>
      </c>
      <c r="N1826">
        <v>-1.0068280000000001E-2</v>
      </c>
      <c r="O1826">
        <v>-1.0152120000000001E-2</v>
      </c>
      <c r="P1826">
        <v>-0.98004199999999997</v>
      </c>
      <c r="Q1826">
        <v>0.1967071</v>
      </c>
      <c r="R1826">
        <v>2.8707770000000001E-2</v>
      </c>
      <c r="S1826">
        <v>-3.1042939999999999</v>
      </c>
      <c r="T1826">
        <v>-0.19604070000000001</v>
      </c>
      <c r="U1826">
        <v>-0.1169434</v>
      </c>
      <c r="V1826">
        <v>3.8763069999999997E-2</v>
      </c>
      <c r="W1826">
        <v>0.2065408</v>
      </c>
      <c r="X1826">
        <v>0.97766980000000003</v>
      </c>
      <c r="Y1826">
        <v>-2.7448340000000002E-2</v>
      </c>
      <c r="Z1826">
        <v>-4.6580690000000001E-4</v>
      </c>
      <c r="AA1826">
        <v>0.99962309999999999</v>
      </c>
      <c r="AB1826">
        <v>27</v>
      </c>
      <c r="AC1826">
        <v>-17.4787999999999</v>
      </c>
      <c r="AD1826">
        <v>-1.1204325819880001</v>
      </c>
      <c r="AE1826">
        <v>-0.66599999999999604</v>
      </c>
      <c r="AF1826">
        <v>-0.48651356761570203</v>
      </c>
      <c r="AG1826">
        <v>-1.1204325819880001</v>
      </c>
      <c r="AH1826">
        <v>17.413211664379599</v>
      </c>
      <c r="AI1826">
        <v>93.6801221673893</v>
      </c>
      <c r="AJ1826">
        <v>91.600389684111406</v>
      </c>
      <c r="AK1826">
        <v>17.456001978996799</v>
      </c>
      <c r="AL1826">
        <v>78.080288586039302</v>
      </c>
      <c r="AM1826">
        <v>87.729501691828602</v>
      </c>
      <c r="AN1826">
        <v>0.99999995774625094</v>
      </c>
    </row>
    <row r="1827" spans="1:40" x14ac:dyDescent="0.25">
      <c r="A1827" t="str">
        <f>"20190303162249356"</f>
        <v>20190303162249356</v>
      </c>
      <c r="B1827" t="str">
        <f>"1551601369346616"</f>
        <v>1551601369346616</v>
      </c>
      <c r="C1827" t="s">
        <v>40</v>
      </c>
      <c r="D1827">
        <v>5.7313260000000001</v>
      </c>
      <c r="E1827">
        <v>0.4732672</v>
      </c>
      <c r="F1827" t="s">
        <v>47</v>
      </c>
      <c r="G1827">
        <v>-265.52910000000003</v>
      </c>
      <c r="H1827" s="1">
        <v>1.4054900000000001E-6</v>
      </c>
      <c r="I1827">
        <v>283.37079999999997</v>
      </c>
      <c r="J1827">
        <v>-248.33009999999999</v>
      </c>
      <c r="K1827">
        <v>1.120439</v>
      </c>
      <c r="L1827">
        <v>284.02949999999998</v>
      </c>
      <c r="M1827">
        <v>-0.99990009999999996</v>
      </c>
      <c r="N1827">
        <v>-1.0072569999999999E-2</v>
      </c>
      <c r="O1827">
        <v>-9.9204879999999999E-3</v>
      </c>
      <c r="P1827">
        <v>-0.98018179999999999</v>
      </c>
      <c r="Q1827">
        <v>0.19603470000000001</v>
      </c>
      <c r="R1827">
        <v>2.8529430000000001E-2</v>
      </c>
      <c r="S1827">
        <v>-3.1045379999999998</v>
      </c>
      <c r="T1827">
        <v>-0.1992766</v>
      </c>
      <c r="U1827">
        <v>-0.1175842</v>
      </c>
      <c r="V1827">
        <v>3.8355130000000001E-2</v>
      </c>
      <c r="W1827">
        <v>0.20587539999999999</v>
      </c>
      <c r="X1827">
        <v>0.97782619999999998</v>
      </c>
      <c r="Y1827">
        <v>-2.7880249999999999E-2</v>
      </c>
      <c r="Z1827">
        <v>-4.9814059999999999E-4</v>
      </c>
      <c r="AA1827">
        <v>0.99961109999999997</v>
      </c>
      <c r="AB1827">
        <v>28</v>
      </c>
      <c r="AC1827">
        <v>-17.199000000000002</v>
      </c>
      <c r="AD1827">
        <v>-1.12043759451</v>
      </c>
      <c r="AE1827">
        <v>-0.65870000000001006</v>
      </c>
      <c r="AF1827">
        <v>-0.48597702524895697</v>
      </c>
      <c r="AG1827">
        <v>-1.12043759451</v>
      </c>
      <c r="AH1827">
        <v>17.132087507627201</v>
      </c>
      <c r="AI1827">
        <v>93.740311919939899</v>
      </c>
      <c r="AJ1827">
        <v>91.624843888435393</v>
      </c>
      <c r="AK1827">
        <v>17.175563351496201</v>
      </c>
      <c r="AL1827">
        <v>78.119250313141407</v>
      </c>
      <c r="AM1827">
        <v>87.753730624716496</v>
      </c>
      <c r="AN1827">
        <v>0.99999993686445598</v>
      </c>
    </row>
    <row r="1828" spans="1:40" x14ac:dyDescent="0.25">
      <c r="A1828" t="str">
        <f>"20190303162249380"</f>
        <v>20190303162249380</v>
      </c>
      <c r="B1828" t="str">
        <f>"1551601369376871"</f>
        <v>1551601369376871</v>
      </c>
      <c r="C1828" t="s">
        <v>40</v>
      </c>
      <c r="D1828">
        <v>5.6770430000000003</v>
      </c>
      <c r="E1828">
        <v>0.4722749</v>
      </c>
      <c r="F1828" t="s">
        <v>47</v>
      </c>
      <c r="G1828">
        <v>-265.4941</v>
      </c>
      <c r="H1828" s="1">
        <v>1.386922E-6</v>
      </c>
      <c r="I1828">
        <v>283.346</v>
      </c>
      <c r="J1828">
        <v>-248.62989999999999</v>
      </c>
      <c r="K1828">
        <v>1.1204400000000001</v>
      </c>
      <c r="L1828">
        <v>284.02679999999998</v>
      </c>
      <c r="M1828">
        <v>-0.99990279999999998</v>
      </c>
      <c r="N1828">
        <v>-1.007807E-2</v>
      </c>
      <c r="O1828">
        <v>-9.6564040000000004E-3</v>
      </c>
      <c r="P1828">
        <v>-0.98038409999999998</v>
      </c>
      <c r="Q1828">
        <v>0.19508880000000001</v>
      </c>
      <c r="R1828">
        <v>2.8067430000000001E-2</v>
      </c>
      <c r="S1828">
        <v>-3.1047669999999998</v>
      </c>
      <c r="T1828">
        <v>-0.20267379999999999</v>
      </c>
      <c r="U1828">
        <v>-0.12362670000000001</v>
      </c>
      <c r="V1828">
        <v>3.7633960000000001E-2</v>
      </c>
      <c r="W1828">
        <v>0.20493739999999999</v>
      </c>
      <c r="X1828">
        <v>0.97805129999999996</v>
      </c>
      <c r="Y1828">
        <v>-3.007659E-2</v>
      </c>
      <c r="Z1828">
        <v>-5.9985300000000002E-4</v>
      </c>
      <c r="AA1828">
        <v>0.99954739999999997</v>
      </c>
      <c r="AB1828">
        <v>28</v>
      </c>
      <c r="AC1828">
        <v>-16.8642</v>
      </c>
      <c r="AD1828">
        <v>-1.120438613078</v>
      </c>
      <c r="AE1828">
        <v>-0.68079999999997598</v>
      </c>
      <c r="AF1828">
        <v>-0.515640093938176</v>
      </c>
      <c r="AG1828">
        <v>-1.120438613078</v>
      </c>
      <c r="AH1828">
        <v>16.7959691715972</v>
      </c>
      <c r="AI1828">
        <v>93.814685125186301</v>
      </c>
      <c r="AJ1828">
        <v>91.758441224430001</v>
      </c>
      <c r="AK1828">
        <v>16.841194963701199</v>
      </c>
      <c r="AL1828">
        <v>78.174165460025904</v>
      </c>
      <c r="AM1828">
        <v>87.796430686253501</v>
      </c>
      <c r="AN1828">
        <v>0.99999999914786497</v>
      </c>
    </row>
    <row r="1829" spans="1:40" x14ac:dyDescent="0.25">
      <c r="A1829" t="str">
        <f>"20190303162249402"</f>
        <v>20190303162249402</v>
      </c>
      <c r="B1829" t="str">
        <f>"1551601369396391"</f>
        <v>1551601369396391</v>
      </c>
      <c r="C1829" t="s">
        <v>40</v>
      </c>
      <c r="D1829">
        <v>5.735646</v>
      </c>
      <c r="E1829">
        <v>0.47181519999999999</v>
      </c>
      <c r="F1829" t="s">
        <v>47</v>
      </c>
      <c r="G1829">
        <v>-265.61739999999998</v>
      </c>
      <c r="H1829" s="1">
        <v>1.4525339999999999E-6</v>
      </c>
      <c r="I1829">
        <v>283.30110000000002</v>
      </c>
      <c r="J1829">
        <v>-248.89429999999999</v>
      </c>
      <c r="K1829">
        <v>1.120439</v>
      </c>
      <c r="L1829">
        <v>284.02449999999999</v>
      </c>
      <c r="M1829">
        <v>-0.99990480000000004</v>
      </c>
      <c r="N1829">
        <v>-1.008305E-2</v>
      </c>
      <c r="O1829">
        <v>-9.4249499999999996E-3</v>
      </c>
      <c r="P1829">
        <v>-0.98055879999999995</v>
      </c>
      <c r="Q1829">
        <v>0.19430829999999999</v>
      </c>
      <c r="R1829">
        <v>2.736413E-2</v>
      </c>
      <c r="S1829">
        <v>-3.104568</v>
      </c>
      <c r="T1829">
        <v>-0.20476649999999999</v>
      </c>
      <c r="U1829">
        <v>-0.13262939999999901</v>
      </c>
      <c r="V1829">
        <v>3.6703989999999999E-2</v>
      </c>
      <c r="W1829">
        <v>0.20416490000000001</v>
      </c>
      <c r="X1829">
        <v>0.97824820000000001</v>
      </c>
      <c r="Y1829">
        <v>-3.3194689999999999E-2</v>
      </c>
      <c r="Z1829">
        <v>-7.3492749999999997E-4</v>
      </c>
      <c r="AA1829">
        <v>0.99944869999999997</v>
      </c>
      <c r="AB1829">
        <v>28</v>
      </c>
      <c r="AC1829">
        <v>-16.723099999999899</v>
      </c>
      <c r="AD1829">
        <v>-1.120437547466</v>
      </c>
      <c r="AE1829">
        <v>-0.72339999999996896</v>
      </c>
      <c r="AF1829">
        <v>-0.56322194519579005</v>
      </c>
      <c r="AG1829">
        <v>-1.120437547466</v>
      </c>
      <c r="AH1829">
        <v>16.654554202772999</v>
      </c>
      <c r="AI1829">
        <v>93.846590061097004</v>
      </c>
      <c r="AJ1829">
        <v>91.936884438806999</v>
      </c>
      <c r="AK1829">
        <v>16.701699762312401</v>
      </c>
      <c r="AL1829">
        <v>78.219382716155295</v>
      </c>
      <c r="AM1829">
        <v>87.851263391769294</v>
      </c>
      <c r="AN1829">
        <v>1.0000000150385799</v>
      </c>
    </row>
    <row r="1830" spans="1:40" x14ac:dyDescent="0.25">
      <c r="A1830" t="str">
        <f>"20190303162249426"</f>
        <v>20190303162249426</v>
      </c>
      <c r="B1830" t="str">
        <f>"1551601369415911"</f>
        <v>1551601369415911</v>
      </c>
      <c r="C1830" t="s">
        <v>40</v>
      </c>
      <c r="D1830">
        <v>5.668526</v>
      </c>
      <c r="E1830">
        <v>0.47136990000000001</v>
      </c>
      <c r="F1830" t="s">
        <v>47</v>
      </c>
      <c r="G1830">
        <v>-265.70549999999997</v>
      </c>
      <c r="H1830" s="1">
        <v>1.4994030000000001E-6</v>
      </c>
      <c r="I1830">
        <v>283.27109999999999</v>
      </c>
      <c r="J1830">
        <v>-249.19030000000001</v>
      </c>
      <c r="K1830">
        <v>1.1204379999999901</v>
      </c>
      <c r="L1830">
        <v>284.02199999999999</v>
      </c>
      <c r="M1830">
        <v>-0.99990710000000005</v>
      </c>
      <c r="N1830">
        <v>-1.008912E-2</v>
      </c>
      <c r="O1830">
        <v>-9.1664229999999999E-3</v>
      </c>
      <c r="P1830">
        <v>-0.98060360000000002</v>
      </c>
      <c r="Q1830">
        <v>0.19416939999999999</v>
      </c>
      <c r="R1830">
        <v>2.6737190000000001E-2</v>
      </c>
      <c r="S1830">
        <v>-3.104355</v>
      </c>
      <c r="T1830">
        <v>-0.20689949999999999</v>
      </c>
      <c r="U1830">
        <v>-0.13912959999999999</v>
      </c>
      <c r="V1830">
        <v>3.5823870000000001E-2</v>
      </c>
      <c r="W1830">
        <v>0.20403279999999999</v>
      </c>
      <c r="X1830">
        <v>0.97830839999999997</v>
      </c>
      <c r="Y1830">
        <v>-3.5537029999999997E-2</v>
      </c>
      <c r="Z1830">
        <v>-8.4437719999999996E-4</v>
      </c>
      <c r="AA1830">
        <v>0.99936800000000003</v>
      </c>
      <c r="AB1830">
        <v>28</v>
      </c>
      <c r="AC1830">
        <v>-16.515199999999901</v>
      </c>
      <c r="AD1830">
        <v>-1.1204365005969901</v>
      </c>
      <c r="AE1830">
        <v>-0.75090000000000101</v>
      </c>
      <c r="AF1830">
        <v>-0.59673454977101603</v>
      </c>
      <c r="AG1830">
        <v>-1.1204365005969901</v>
      </c>
      <c r="AH1830">
        <v>16.445851357718698</v>
      </c>
      <c r="AI1830">
        <v>93.894916138446803</v>
      </c>
      <c r="AJ1830">
        <v>92.078054666870898</v>
      </c>
      <c r="AK1830">
        <v>16.494771806694899</v>
      </c>
      <c r="AL1830">
        <v>78.227114405373698</v>
      </c>
      <c r="AM1830">
        <v>87.902870019214504</v>
      </c>
      <c r="AN1830">
        <v>1.0000000293240801</v>
      </c>
    </row>
    <row r="1831" spans="1:40" x14ac:dyDescent="0.25">
      <c r="A1831" t="str">
        <f>"20190303162249449"</f>
        <v>20190303162249449</v>
      </c>
      <c r="B1831" t="str">
        <f>"1551601369436408"</f>
        <v>1551601369436408</v>
      </c>
      <c r="C1831" t="s">
        <v>40</v>
      </c>
      <c r="D1831">
        <v>5.6250039999999997</v>
      </c>
      <c r="E1831">
        <v>0.4709662</v>
      </c>
      <c r="F1831" t="s">
        <v>47</v>
      </c>
      <c r="G1831">
        <v>-266.01029999999997</v>
      </c>
      <c r="H1831" s="1">
        <v>1.6615910000000001E-6</v>
      </c>
      <c r="I1831">
        <v>283.23360000000002</v>
      </c>
      <c r="J1831">
        <v>-249.471</v>
      </c>
      <c r="K1831">
        <v>1.1204400000000001</v>
      </c>
      <c r="L1831">
        <v>284.0197</v>
      </c>
      <c r="M1831">
        <v>-0.9999093</v>
      </c>
      <c r="N1831">
        <v>-1.009534E-2</v>
      </c>
      <c r="O1831">
        <v>-8.9206440000000001E-3</v>
      </c>
      <c r="P1831">
        <v>-0.9806338</v>
      </c>
      <c r="Q1831">
        <v>0.19409499999999999</v>
      </c>
      <c r="R1831">
        <v>2.6166809999999999E-2</v>
      </c>
      <c r="S1831">
        <v>-3.1042329999999998</v>
      </c>
      <c r="T1831">
        <v>-0.20678379999999999</v>
      </c>
      <c r="U1831">
        <v>-0.14550779999999999</v>
      </c>
      <c r="V1831">
        <v>3.5013059999999999E-2</v>
      </c>
      <c r="W1831">
        <v>0.20396520000000001</v>
      </c>
      <c r="X1831">
        <v>0.97835179999999999</v>
      </c>
      <c r="Y1831">
        <v>-3.7827239999999998E-2</v>
      </c>
      <c r="Z1831">
        <v>-9.4582650000000004E-4</v>
      </c>
      <c r="AA1831">
        <v>0.9992839</v>
      </c>
      <c r="AB1831">
        <v>28</v>
      </c>
      <c r="AC1831">
        <v>-16.539299999999901</v>
      </c>
      <c r="AD1831">
        <v>-1.120438338409</v>
      </c>
      <c r="AE1831">
        <v>-0.78609999999997604</v>
      </c>
      <c r="AF1831">
        <v>-0.63560960294042501</v>
      </c>
      <c r="AG1831">
        <v>-1.120438338409</v>
      </c>
      <c r="AH1831">
        <v>16.4702390430907</v>
      </c>
      <c r="AI1831">
        <v>93.888838626293094</v>
      </c>
      <c r="AJ1831">
        <v>92.210027721558802</v>
      </c>
      <c r="AK1831">
        <v>16.520537393622401</v>
      </c>
      <c r="AL1831">
        <v>78.231070220179703</v>
      </c>
      <c r="AM1831">
        <v>87.950384744601706</v>
      </c>
      <c r="AN1831">
        <v>0.99999998087242103</v>
      </c>
    </row>
    <row r="1832" spans="1:40" x14ac:dyDescent="0.25">
      <c r="A1832" t="str">
        <f>"20190303162249469"</f>
        <v>20190303162249469</v>
      </c>
      <c r="B1832" t="str">
        <f>"1551601369466664"</f>
        <v>1551601369466664</v>
      </c>
      <c r="C1832" t="s">
        <v>40</v>
      </c>
      <c r="D1832">
        <v>5.4888669999999999</v>
      </c>
      <c r="E1832">
        <v>0.45479439999999999</v>
      </c>
      <c r="F1832" t="s">
        <v>47</v>
      </c>
      <c r="G1832">
        <v>-266.3974</v>
      </c>
      <c r="H1832" s="1">
        <v>1.867602E-6</v>
      </c>
      <c r="I1832">
        <v>283.19310000000002</v>
      </c>
      <c r="J1832">
        <v>-249.72710000000001</v>
      </c>
      <c r="K1832">
        <v>1.1204400000000001</v>
      </c>
      <c r="L1832">
        <v>284.01760000000002</v>
      </c>
      <c r="M1832">
        <v>-0.9999112</v>
      </c>
      <c r="N1832">
        <v>-1.0101300000000001E-2</v>
      </c>
      <c r="O1832">
        <v>-8.6953659999999995E-3</v>
      </c>
      <c r="P1832">
        <v>-0.98068440000000001</v>
      </c>
      <c r="Q1832">
        <v>0.19389690000000001</v>
      </c>
      <c r="R1832">
        <v>2.5739080000000001E-2</v>
      </c>
      <c r="S1832">
        <v>-3.1039729999999999</v>
      </c>
      <c r="T1832">
        <v>-0.20546590000000001</v>
      </c>
      <c r="U1832">
        <v>-0.15158079999999999</v>
      </c>
      <c r="V1832">
        <v>3.436521E-2</v>
      </c>
      <c r="W1832">
        <v>0.2037737</v>
      </c>
      <c r="X1832">
        <v>0.97841469999999997</v>
      </c>
      <c r="Y1832">
        <v>-4.0001929999999998E-2</v>
      </c>
      <c r="Z1832">
        <v>-1.0372669999999999E-3</v>
      </c>
      <c r="AA1832">
        <v>0.99919910000000001</v>
      </c>
      <c r="AB1832">
        <v>28</v>
      </c>
      <c r="AC1832">
        <v>-16.670299999999902</v>
      </c>
      <c r="AD1832">
        <v>-1.1204381323979999</v>
      </c>
      <c r="AE1832">
        <v>-0.82450000000000001</v>
      </c>
      <c r="AF1832">
        <v>-0.67645869423318705</v>
      </c>
      <c r="AG1832">
        <v>-1.1204381323979999</v>
      </c>
      <c r="AH1832">
        <v>16.602024365603</v>
      </c>
      <c r="AI1832">
        <v>93.857734124096197</v>
      </c>
      <c r="AJ1832">
        <v>92.333257672387205</v>
      </c>
      <c r="AK1832">
        <v>16.653533889526599</v>
      </c>
      <c r="AL1832">
        <v>78.242278051102502</v>
      </c>
      <c r="AM1832">
        <v>87.988406740342697</v>
      </c>
      <c r="AN1832">
        <v>1.0000000068230599</v>
      </c>
    </row>
    <row r="1833" spans="1:40" x14ac:dyDescent="0.25">
      <c r="A1833" t="str">
        <f>"20190303162249492"</f>
        <v>20190303162249492</v>
      </c>
      <c r="B1833" t="str">
        <f>"1551601369486183"</f>
        <v>1551601369486183</v>
      </c>
      <c r="C1833" t="s">
        <v>40</v>
      </c>
      <c r="D1833">
        <v>5.4726839999999903</v>
      </c>
      <c r="E1833">
        <v>0.45392700000000002</v>
      </c>
      <c r="F1833" t="s">
        <v>47</v>
      </c>
      <c r="G1833">
        <v>-265.45429999999999</v>
      </c>
      <c r="H1833" s="1">
        <v>1.365704E-6</v>
      </c>
      <c r="I1833">
        <v>282.58890000000002</v>
      </c>
      <c r="J1833">
        <v>-250.00370000000001</v>
      </c>
      <c r="K1833">
        <v>1.120439</v>
      </c>
      <c r="L1833">
        <v>284.01549999999997</v>
      </c>
      <c r="M1833">
        <v>-0.99991319999999995</v>
      </c>
      <c r="N1833">
        <v>-1.0107949999999999E-2</v>
      </c>
      <c r="O1833">
        <v>-8.4500670000000003E-3</v>
      </c>
      <c r="P1833">
        <v>-0.98075270000000003</v>
      </c>
      <c r="Q1833">
        <v>0.19354360000000001</v>
      </c>
      <c r="R1833">
        <v>2.578824E-2</v>
      </c>
      <c r="S1833">
        <v>-3.1103209999999999</v>
      </c>
      <c r="T1833">
        <v>-0.22158630000000001</v>
      </c>
      <c r="U1833">
        <v>-0.28256229999999999</v>
      </c>
      <c r="V1833">
        <v>3.4174309999999999E-2</v>
      </c>
      <c r="W1833">
        <v>0.20342779999999999</v>
      </c>
      <c r="X1833">
        <v>0.97849330000000001</v>
      </c>
      <c r="Y1833">
        <v>-8.183551E-2</v>
      </c>
      <c r="Z1833">
        <v>-2.8056829999999998E-3</v>
      </c>
      <c r="AA1833">
        <v>0.99664189999999997</v>
      </c>
      <c r="AB1833">
        <v>28</v>
      </c>
      <c r="AC1833">
        <v>-15.4505999999999</v>
      </c>
      <c r="AD1833">
        <v>-1.1204376342960001</v>
      </c>
      <c r="AE1833">
        <v>-1.4265999999999499</v>
      </c>
      <c r="AF1833">
        <v>-1.2892611623335199</v>
      </c>
      <c r="AG1833">
        <v>-1.1204376342960001</v>
      </c>
      <c r="AH1833">
        <v>15.381897633853001</v>
      </c>
      <c r="AI1833">
        <v>94.1516354880698</v>
      </c>
      <c r="AJ1833">
        <v>94.791149130716306</v>
      </c>
      <c r="AK1833">
        <v>15.4764449940993</v>
      </c>
      <c r="AL1833">
        <v>78.262519935453696</v>
      </c>
      <c r="AM1833">
        <v>87.999732669392401</v>
      </c>
      <c r="AN1833">
        <v>0.99999994571085105</v>
      </c>
    </row>
    <row r="1834" spans="1:40" x14ac:dyDescent="0.25">
      <c r="A1834" t="str">
        <f>"20190303162249514"</f>
        <v>20190303162249514</v>
      </c>
      <c r="B1834" t="str">
        <f>"1551601369506680"</f>
        <v>1551601369506680</v>
      </c>
      <c r="C1834" t="s">
        <v>40</v>
      </c>
      <c r="D1834">
        <v>5.4377309999999897</v>
      </c>
      <c r="E1834">
        <v>0.45418999999999998</v>
      </c>
      <c r="F1834" t="s">
        <v>47</v>
      </c>
      <c r="G1834">
        <v>-266.25850000000003</v>
      </c>
      <c r="H1834" s="1">
        <v>1.7936719999999999E-6</v>
      </c>
      <c r="I1834">
        <v>282.50240000000002</v>
      </c>
      <c r="J1834">
        <v>-250.28450000000001</v>
      </c>
      <c r="K1834">
        <v>1.1204419999999999</v>
      </c>
      <c r="L1834">
        <v>284.01339999999999</v>
      </c>
      <c r="M1834">
        <v>-0.9999152</v>
      </c>
      <c r="N1834">
        <v>-1.011481E-2</v>
      </c>
      <c r="O1834">
        <v>-8.2003579999999996E-3</v>
      </c>
      <c r="P1834">
        <v>-0.98064240000000003</v>
      </c>
      <c r="Q1834">
        <v>0.1940568</v>
      </c>
      <c r="R1834">
        <v>2.6123710000000001E-2</v>
      </c>
      <c r="S1834">
        <v>-3.1087950000000002</v>
      </c>
      <c r="T1834">
        <v>-0.21428849999999999</v>
      </c>
      <c r="U1834">
        <v>-0.28939819999999999</v>
      </c>
      <c r="V1834">
        <v>3.4264549999999998E-2</v>
      </c>
      <c r="W1834">
        <v>0.20394689999999999</v>
      </c>
      <c r="X1834">
        <v>0.97838210000000003</v>
      </c>
      <c r="Y1834">
        <v>-8.4307190000000004E-2</v>
      </c>
      <c r="Z1834">
        <v>-2.8432240000000001E-3</v>
      </c>
      <c r="AA1834">
        <v>0.99643579999999998</v>
      </c>
      <c r="AB1834">
        <v>28</v>
      </c>
      <c r="AC1834">
        <v>-15.974</v>
      </c>
      <c r="AD1834">
        <v>-1.1204402063279999</v>
      </c>
      <c r="AE1834">
        <v>-1.5109999999999599</v>
      </c>
      <c r="AF1834">
        <v>-1.3732537084568801</v>
      </c>
      <c r="AG1834">
        <v>-1.1204402063279999</v>
      </c>
      <c r="AH1834">
        <v>15.908282264451399</v>
      </c>
      <c r="AI1834">
        <v>94.013882236908799</v>
      </c>
      <c r="AJ1834">
        <v>94.933723981582403</v>
      </c>
      <c r="AK1834">
        <v>16.006706613454401</v>
      </c>
      <c r="AL1834">
        <v>78.232141062429307</v>
      </c>
      <c r="AM1834">
        <v>87.994227352986599</v>
      </c>
      <c r="AN1834">
        <v>0.99999996550336001</v>
      </c>
    </row>
    <row r="1835" spans="1:40" x14ac:dyDescent="0.25">
      <c r="A1835" t="str">
        <f>"20190303162249535"</f>
        <v>20190303162249535</v>
      </c>
      <c r="B1835" t="str">
        <f>"1551601369526199"</f>
        <v>1551601369526199</v>
      </c>
      <c r="C1835" t="s">
        <v>40</v>
      </c>
      <c r="D1835">
        <v>5.3519809999999897</v>
      </c>
      <c r="E1835">
        <v>0.45447609999999999</v>
      </c>
      <c r="F1835" t="s">
        <v>47</v>
      </c>
      <c r="G1835">
        <v>-267.26409999999998</v>
      </c>
      <c r="H1835" s="1">
        <v>2.3288130000000002E-6</v>
      </c>
      <c r="I1835">
        <v>282.44830000000002</v>
      </c>
      <c r="J1835">
        <v>-250.55449999999999</v>
      </c>
      <c r="K1835">
        <v>1.1204379999999901</v>
      </c>
      <c r="L1835">
        <v>284.01150000000001</v>
      </c>
      <c r="M1835">
        <v>-0.9999171</v>
      </c>
      <c r="N1835">
        <v>-1.01215E-2</v>
      </c>
      <c r="O1835">
        <v>-7.9593509999999999E-3</v>
      </c>
      <c r="P1835">
        <v>-0.98053000000000001</v>
      </c>
      <c r="Q1835">
        <v>0.1944872</v>
      </c>
      <c r="R1835">
        <v>2.712972E-2</v>
      </c>
      <c r="S1835">
        <v>-3.1074220000000001</v>
      </c>
      <c r="T1835">
        <v>-0.20504990000000001</v>
      </c>
      <c r="U1835">
        <v>-0.28643800000000003</v>
      </c>
      <c r="V1835">
        <v>3.5033889999999998E-2</v>
      </c>
      <c r="W1835">
        <v>0.20438239999999999</v>
      </c>
      <c r="X1835">
        <v>0.97826400000000002</v>
      </c>
      <c r="Y1835">
        <v>-8.3664450000000001E-2</v>
      </c>
      <c r="Z1835">
        <v>-2.7332559999999999E-3</v>
      </c>
      <c r="AA1835">
        <v>0.99649019999999999</v>
      </c>
      <c r="AB1835">
        <v>28</v>
      </c>
      <c r="AC1835">
        <v>-16.709599999999899</v>
      </c>
      <c r="AD1835">
        <v>-1.1204356711869901</v>
      </c>
      <c r="AE1835">
        <v>-1.5631999999999899</v>
      </c>
      <c r="AF1835">
        <v>-1.4238000017710899</v>
      </c>
      <c r="AG1835">
        <v>-1.1204356711869901</v>
      </c>
      <c r="AH1835">
        <v>16.647313740317099</v>
      </c>
      <c r="AI1835">
        <v>93.836480746156298</v>
      </c>
      <c r="AJ1835">
        <v>94.8884576312268</v>
      </c>
      <c r="AK1835">
        <v>16.745615465155701</v>
      </c>
      <c r="AL1835">
        <v>78.206652227368707</v>
      </c>
      <c r="AM1835">
        <v>87.948982519826203</v>
      </c>
      <c r="AN1835">
        <v>0.99999999628714598</v>
      </c>
    </row>
    <row r="1836" spans="1:40" x14ac:dyDescent="0.25">
      <c r="A1836" t="str">
        <f>"20190303162249557"</f>
        <v>20190303162249557</v>
      </c>
      <c r="B1836" t="str">
        <f>"1551601369546696"</f>
        <v>1551601369546696</v>
      </c>
      <c r="C1836" t="s">
        <v>40</v>
      </c>
      <c r="D1836">
        <v>5.37737</v>
      </c>
      <c r="E1836">
        <v>0.45467249999999998</v>
      </c>
      <c r="F1836" t="s">
        <v>47</v>
      </c>
      <c r="G1836">
        <v>-267.85539999999997</v>
      </c>
      <c r="H1836" s="1">
        <v>2.6434570000000001E-6</v>
      </c>
      <c r="I1836">
        <v>282.44330000000002</v>
      </c>
      <c r="J1836">
        <v>-250.82939999999999</v>
      </c>
      <c r="K1836">
        <v>1.1204400000000001</v>
      </c>
      <c r="L1836">
        <v>284.00959999999998</v>
      </c>
      <c r="M1836">
        <v>-0.99991890000000005</v>
      </c>
      <c r="N1836">
        <v>-1.0128430000000001E-2</v>
      </c>
      <c r="O1836">
        <v>-7.7141730000000004E-3</v>
      </c>
      <c r="P1836">
        <v>-0.98082210000000003</v>
      </c>
      <c r="Q1836">
        <v>0.19291179999999999</v>
      </c>
      <c r="R1836">
        <v>2.7806129999999998E-2</v>
      </c>
      <c r="S1836">
        <v>-3.1072690000000001</v>
      </c>
      <c r="T1836">
        <v>-0.20123260000000001</v>
      </c>
      <c r="U1836">
        <v>-0.28164670000000003</v>
      </c>
      <c r="V1836">
        <v>3.5471370000000002E-2</v>
      </c>
      <c r="W1836">
        <v>0.2028162</v>
      </c>
      <c r="X1836">
        <v>0.97857419999999995</v>
      </c>
      <c r="Y1836">
        <v>-8.239863E-2</v>
      </c>
      <c r="Z1836">
        <v>-2.6584849999999999E-3</v>
      </c>
      <c r="AA1836">
        <v>0.99659589999999998</v>
      </c>
      <c r="AB1836">
        <v>28</v>
      </c>
      <c r="AC1836">
        <v>-17.0259999999999</v>
      </c>
      <c r="AD1836">
        <v>-1.1204373565429999</v>
      </c>
      <c r="AE1836">
        <v>-1.5662999999999501</v>
      </c>
      <c r="AF1836">
        <v>-1.4287696063413999</v>
      </c>
      <c r="AG1836">
        <v>-1.1204373565429999</v>
      </c>
      <c r="AH1836">
        <v>16.964725464854101</v>
      </c>
      <c r="AI1836">
        <v>93.765327431327805</v>
      </c>
      <c r="AJ1836">
        <v>94.814091307560801</v>
      </c>
      <c r="AK1836">
        <v>17.061614007936399</v>
      </c>
      <c r="AL1836">
        <v>78.298309298878493</v>
      </c>
      <c r="AM1836">
        <v>87.924050749253595</v>
      </c>
      <c r="AN1836">
        <v>1.0000000469888699</v>
      </c>
    </row>
    <row r="1837" spans="1:40" x14ac:dyDescent="0.25">
      <c r="A1837" t="str">
        <f>"20190303162249581"</f>
        <v>20190303162249581</v>
      </c>
      <c r="B1837" t="str">
        <f>"1551601369566215"</f>
        <v>1551601369566215</v>
      </c>
      <c r="C1837" t="s">
        <v>40</v>
      </c>
      <c r="D1837">
        <v>5.3747699999999998</v>
      </c>
      <c r="E1837">
        <v>0.45469549999999997</v>
      </c>
      <c r="F1837" t="s">
        <v>47</v>
      </c>
      <c r="G1837">
        <v>-267.8879</v>
      </c>
      <c r="H1837" s="1">
        <v>2.6607490000000001E-6</v>
      </c>
      <c r="I1837">
        <v>282.48480000000001</v>
      </c>
      <c r="J1837">
        <v>-251.1242</v>
      </c>
      <c r="K1837">
        <v>1.1204369999999999</v>
      </c>
      <c r="L1837">
        <v>284.00760000000002</v>
      </c>
      <c r="M1837">
        <v>-0.99992099999999995</v>
      </c>
      <c r="N1837">
        <v>-1.013594E-2</v>
      </c>
      <c r="O1837">
        <v>-7.4514719999999998E-3</v>
      </c>
      <c r="P1837">
        <v>-0.98109150000000001</v>
      </c>
      <c r="Q1837">
        <v>0.19154760000000001</v>
      </c>
      <c r="R1837">
        <v>2.773977E-2</v>
      </c>
      <c r="S1837">
        <v>-3.1066739999999999</v>
      </c>
      <c r="T1837">
        <v>-0.2040534</v>
      </c>
      <c r="U1837">
        <v>-0.27767940000000002</v>
      </c>
      <c r="V1837">
        <v>3.5148970000000002E-2</v>
      </c>
      <c r="W1837">
        <v>0.2014628</v>
      </c>
      <c r="X1837">
        <v>0.97886530000000005</v>
      </c>
      <c r="Y1837">
        <v>-8.1412230000000002E-2</v>
      </c>
      <c r="Z1837">
        <v>-2.6668600000000001E-3</v>
      </c>
      <c r="AA1837">
        <v>0.99667689999999998</v>
      </c>
      <c r="AB1837">
        <v>28</v>
      </c>
      <c r="AC1837">
        <v>-16.7637</v>
      </c>
      <c r="AD1837">
        <v>-1.1204343392509899</v>
      </c>
      <c r="AE1837">
        <v>-1.5228000000000099</v>
      </c>
      <c r="AF1837">
        <v>-1.39167111734591</v>
      </c>
      <c r="AG1837">
        <v>-1.1204343392509899</v>
      </c>
      <c r="AH1837">
        <v>16.700588343246601</v>
      </c>
      <c r="AI1837">
        <v>93.824976483047195</v>
      </c>
      <c r="AJ1837">
        <v>94.763489809080994</v>
      </c>
      <c r="AK1837">
        <v>16.795885586000299</v>
      </c>
      <c r="AL1837">
        <v>78.377487275199201</v>
      </c>
      <c r="AM1837">
        <v>87.9435140341389</v>
      </c>
      <c r="AN1837">
        <v>0.99999999270999496</v>
      </c>
    </row>
    <row r="1838" spans="1:40" x14ac:dyDescent="0.25">
      <c r="A1838" t="str">
        <f>"20190303162249604"</f>
        <v>20190303162249604</v>
      </c>
      <c r="B1838" t="str">
        <f>"1551601369596472"</f>
        <v>1551601369596472</v>
      </c>
      <c r="C1838" t="s">
        <v>40</v>
      </c>
      <c r="D1838">
        <v>5.3807689999999999</v>
      </c>
      <c r="E1838">
        <v>0.45445419999999997</v>
      </c>
      <c r="F1838" t="s">
        <v>47</v>
      </c>
      <c r="G1838">
        <v>-267.9298</v>
      </c>
      <c r="H1838" s="1">
        <v>2.6830570000000001E-6</v>
      </c>
      <c r="I1838">
        <v>282.51569999999998</v>
      </c>
      <c r="J1838">
        <v>-251.40440000000001</v>
      </c>
      <c r="K1838">
        <v>1.1204320000000001</v>
      </c>
      <c r="L1838">
        <v>284.00569999999999</v>
      </c>
      <c r="M1838">
        <v>-0.99992270000000005</v>
      </c>
      <c r="N1838">
        <v>-1.014294E-2</v>
      </c>
      <c r="O1838">
        <v>-7.2015239999999999E-3</v>
      </c>
      <c r="P1838">
        <v>-0.98114539999999995</v>
      </c>
      <c r="Q1838">
        <v>0.1912856</v>
      </c>
      <c r="R1838">
        <v>2.7633950000000001E-2</v>
      </c>
      <c r="S1838">
        <v>-3.1060639999999999</v>
      </c>
      <c r="T1838">
        <v>-0.2070825</v>
      </c>
      <c r="U1838">
        <v>-0.27572629999999998</v>
      </c>
      <c r="V1838">
        <v>3.4798530000000001E-2</v>
      </c>
      <c r="W1838">
        <v>0.20120779999999999</v>
      </c>
      <c r="X1838">
        <v>0.97893030000000003</v>
      </c>
      <c r="Y1838">
        <v>-8.1052150000000003E-2</v>
      </c>
      <c r="Z1838">
        <v>-2.7002319999999999E-3</v>
      </c>
      <c r="AA1838">
        <v>0.99670619999999999</v>
      </c>
      <c r="AB1838">
        <v>28</v>
      </c>
      <c r="AC1838">
        <v>-16.525399999999902</v>
      </c>
      <c r="AD1838">
        <v>-1.120429316943</v>
      </c>
      <c r="AE1838">
        <v>-1.49</v>
      </c>
      <c r="AF1838">
        <v>-1.36472427021554</v>
      </c>
      <c r="AG1838">
        <v>-1.120429316943</v>
      </c>
      <c r="AH1838">
        <v>16.460644519931598</v>
      </c>
      <c r="AI1838">
        <v>93.880680878100193</v>
      </c>
      <c r="AJ1838">
        <v>94.739456921637696</v>
      </c>
      <c r="AK1838">
        <v>16.555079347424901</v>
      </c>
      <c r="AL1838">
        <v>78.392403513067705</v>
      </c>
      <c r="AM1838">
        <v>87.964135210243498</v>
      </c>
      <c r="AN1838">
        <v>1.0000000243645399</v>
      </c>
    </row>
    <row r="1839" spans="1:40" x14ac:dyDescent="0.25">
      <c r="A1839" t="str">
        <f>"20190303162249626"</f>
        <v>20190303162249626</v>
      </c>
      <c r="B1839" t="str">
        <f>"1551601369615993"</f>
        <v>1551601369615993</v>
      </c>
      <c r="C1839" t="s">
        <v>40</v>
      </c>
      <c r="D1839">
        <v>5.2977619999999996</v>
      </c>
      <c r="E1839">
        <v>0.45413540000000002</v>
      </c>
      <c r="F1839" t="s">
        <v>47</v>
      </c>
      <c r="G1839">
        <v>-268.30020000000002</v>
      </c>
      <c r="H1839" s="1">
        <v>2.8801519999999999E-6</v>
      </c>
      <c r="I1839">
        <v>282.50330000000002</v>
      </c>
      <c r="J1839">
        <v>-251.6874</v>
      </c>
      <c r="K1839">
        <v>1.120444</v>
      </c>
      <c r="L1839">
        <v>284.00400000000002</v>
      </c>
      <c r="M1839">
        <v>-0.99992440000000005</v>
      </c>
      <c r="N1839">
        <v>-1.015011E-2</v>
      </c>
      <c r="O1839">
        <v>-6.9496699999999998E-3</v>
      </c>
      <c r="P1839">
        <v>-0.98126760000000002</v>
      </c>
      <c r="Q1839">
        <v>0.19067229999999999</v>
      </c>
      <c r="R1839">
        <v>2.7536930000000001E-2</v>
      </c>
      <c r="S1839">
        <v>-3.105591</v>
      </c>
      <c r="T1839">
        <v>-0.2059443</v>
      </c>
      <c r="U1839">
        <v>-0.276153599999999</v>
      </c>
      <c r="V1839">
        <v>3.4455220000000002E-2</v>
      </c>
      <c r="W1839">
        <v>0.20060339999999999</v>
      </c>
      <c r="X1839">
        <v>0.9790664</v>
      </c>
      <c r="Y1839">
        <v>-8.1453079999999997E-2</v>
      </c>
      <c r="Z1839">
        <v>-2.7181380000000002E-3</v>
      </c>
      <c r="AA1839">
        <v>0.99667349999999999</v>
      </c>
      <c r="AB1839">
        <v>28</v>
      </c>
      <c r="AC1839">
        <v>-16.6128</v>
      </c>
      <c r="AD1839">
        <v>-1.120441119848</v>
      </c>
      <c r="AE1839">
        <v>-1.5006999999999899</v>
      </c>
      <c r="AF1839">
        <v>-1.3789824580107</v>
      </c>
      <c r="AG1839">
        <v>-1.120441119848</v>
      </c>
      <c r="AH1839">
        <v>16.548164434250499</v>
      </c>
      <c r="AI1839">
        <v>93.860125068956904</v>
      </c>
      <c r="AJ1839">
        <v>94.763534255744005</v>
      </c>
      <c r="AK1839">
        <v>16.643278735439701</v>
      </c>
      <c r="AL1839">
        <v>78.427752992565601</v>
      </c>
      <c r="AM1839">
        <v>87.984483665021202</v>
      </c>
      <c r="AN1839">
        <v>0.99999995094288296</v>
      </c>
    </row>
    <row r="1840" spans="1:40" x14ac:dyDescent="0.25">
      <c r="A1840" t="str">
        <f>"20190303162249649"</f>
        <v>20190303162249649</v>
      </c>
      <c r="B1840" t="str">
        <f>"1551601369636488"</f>
        <v>1551601369636488</v>
      </c>
      <c r="C1840" t="s">
        <v>40</v>
      </c>
      <c r="D1840">
        <v>5.3876759999999999</v>
      </c>
      <c r="E1840">
        <v>0.4542388</v>
      </c>
      <c r="F1840" t="s">
        <v>47</v>
      </c>
      <c r="G1840">
        <v>-268.41899999999998</v>
      </c>
      <c r="H1840" s="1">
        <v>2.9433829999999998E-6</v>
      </c>
      <c r="I1840">
        <v>282.50760000000002</v>
      </c>
      <c r="J1840">
        <v>-251.96119999999999</v>
      </c>
      <c r="K1840">
        <v>1.120485</v>
      </c>
      <c r="L1840">
        <v>284.00229999999999</v>
      </c>
      <c r="M1840">
        <v>-0.99992610000000004</v>
      </c>
      <c r="N1840">
        <v>-1.015718E-2</v>
      </c>
      <c r="O1840">
        <v>-6.7058029999999998E-3</v>
      </c>
      <c r="P1840">
        <v>-0.98169410000000001</v>
      </c>
      <c r="Q1840">
        <v>0.1885298</v>
      </c>
      <c r="R1840">
        <v>2.7083670000000001E-2</v>
      </c>
      <c r="S1840">
        <v>-3.1054529999999998</v>
      </c>
      <c r="T1840">
        <v>-0.2079587</v>
      </c>
      <c r="U1840">
        <v>-0.2777405</v>
      </c>
      <c r="V1840">
        <v>3.376465E-2</v>
      </c>
      <c r="W1840">
        <v>0.1984727</v>
      </c>
      <c r="X1840">
        <v>0.97952470000000003</v>
      </c>
      <c r="Y1840">
        <v>-8.2199480000000005E-2</v>
      </c>
      <c r="Z1840">
        <v>-2.782858E-3</v>
      </c>
      <c r="AA1840">
        <v>0.99661200000000005</v>
      </c>
      <c r="AB1840">
        <v>28</v>
      </c>
      <c r="AC1840">
        <v>-16.457799999999999</v>
      </c>
      <c r="AD1840">
        <v>-1.120482056617</v>
      </c>
      <c r="AE1840">
        <v>-1.4946999999999599</v>
      </c>
      <c r="AF1840">
        <v>-1.37796310024265</v>
      </c>
      <c r="AG1840">
        <v>-1.120482056617</v>
      </c>
      <c r="AH1840">
        <v>16.392094933455599</v>
      </c>
      <c r="AI1840">
        <v>93.896670546640607</v>
      </c>
      <c r="AJ1840">
        <v>94.805138320304806</v>
      </c>
      <c r="AK1840">
        <v>16.488027130383198</v>
      </c>
      <c r="AL1840">
        <v>78.552339710721299</v>
      </c>
      <c r="AM1840">
        <v>88.025770804233602</v>
      </c>
      <c r="AN1840">
        <v>1.0000000510725</v>
      </c>
    </row>
    <row r="1841" spans="1:40" x14ac:dyDescent="0.25">
      <c r="A1841" t="str">
        <f>"20190303162249671"</f>
        <v>20190303162249671</v>
      </c>
      <c r="B1841" t="str">
        <f>"1551601369666744"</f>
        <v>1551601369666744</v>
      </c>
      <c r="C1841" t="s">
        <v>40</v>
      </c>
      <c r="D1841">
        <v>5.2822680000000002</v>
      </c>
      <c r="E1841">
        <v>0.45412089999999999</v>
      </c>
      <c r="F1841" t="s">
        <v>47</v>
      </c>
      <c r="G1841">
        <v>-268.34879999999998</v>
      </c>
      <c r="H1841" s="1">
        <v>2.906029E-6</v>
      </c>
      <c r="I1841">
        <v>282.5403</v>
      </c>
      <c r="J1841">
        <v>-252.24870000000001</v>
      </c>
      <c r="K1841">
        <v>1.1204989999999999</v>
      </c>
      <c r="L1841">
        <v>284.00069999999999</v>
      </c>
      <c r="M1841">
        <v>-0.99992760000000003</v>
      </c>
      <c r="N1841">
        <v>-1.016457E-2</v>
      </c>
      <c r="O1841">
        <v>-6.4489430000000004E-3</v>
      </c>
      <c r="P1841">
        <v>-0.98102149999999999</v>
      </c>
      <c r="Q1841">
        <v>0.1920664</v>
      </c>
      <c r="R1841">
        <v>2.6602460000000001E-2</v>
      </c>
      <c r="S1841">
        <v>-3.1043400000000001</v>
      </c>
      <c r="T1841">
        <v>-0.212256</v>
      </c>
      <c r="U1841">
        <v>-0.276947</v>
      </c>
      <c r="V1841">
        <v>3.3029040000000003E-2</v>
      </c>
      <c r="W1841">
        <v>0.20200969999999999</v>
      </c>
      <c r="X1841">
        <v>0.97882639999999999</v>
      </c>
      <c r="Y1841">
        <v>-8.2226160000000006E-2</v>
      </c>
      <c r="Z1841">
        <v>-2.8473740000000002E-3</v>
      </c>
      <c r="AA1841">
        <v>0.99660959999999998</v>
      </c>
      <c r="AB1841">
        <v>28</v>
      </c>
      <c r="AC1841">
        <v>-16.100099999999902</v>
      </c>
      <c r="AD1841">
        <v>-1.12049609397099</v>
      </c>
      <c r="AE1841">
        <v>-1.4603999999999899</v>
      </c>
      <c r="AF1841">
        <v>-1.3500499750702899</v>
      </c>
      <c r="AG1841">
        <v>-1.12049609397099</v>
      </c>
      <c r="AH1841">
        <v>16.0321648426163</v>
      </c>
      <c r="AI1841">
        <v>93.983875380435606</v>
      </c>
      <c r="AJ1841">
        <v>94.813454852289894</v>
      </c>
      <c r="AK1841">
        <v>16.1278782228975</v>
      </c>
      <c r="AL1841">
        <v>78.345494272478206</v>
      </c>
      <c r="AM1841">
        <v>88.067372488169596</v>
      </c>
      <c r="AN1841">
        <v>0.99999997885718495</v>
      </c>
    </row>
    <row r="1842" spans="1:40" x14ac:dyDescent="0.25">
      <c r="A1842" t="str">
        <f>"20190303162249692"</f>
        <v>20190303162249692</v>
      </c>
      <c r="B1842" t="str">
        <f>"1551601369686264"</f>
        <v>1551601369686264</v>
      </c>
      <c r="C1842" t="s">
        <v>40</v>
      </c>
      <c r="D1842">
        <v>5.3530620000000004</v>
      </c>
      <c r="E1842">
        <v>0.4564395</v>
      </c>
      <c r="F1842" t="s">
        <v>47</v>
      </c>
      <c r="G1842">
        <v>-269.83699999999999</v>
      </c>
      <c r="H1842" s="1">
        <v>3.6979950000000001E-6</v>
      </c>
      <c r="I1842">
        <v>282.4178</v>
      </c>
      <c r="J1842">
        <v>-252.511</v>
      </c>
      <c r="K1842">
        <v>1.120495</v>
      </c>
      <c r="L1842">
        <v>283.99919999999997</v>
      </c>
      <c r="M1842">
        <v>-0.99992899999999996</v>
      </c>
      <c r="N1842">
        <v>-1.017122E-2</v>
      </c>
      <c r="O1842">
        <v>-6.2141239999999997E-3</v>
      </c>
      <c r="P1842">
        <v>-0.98067649999999995</v>
      </c>
      <c r="Q1842">
        <v>0.19389390000000001</v>
      </c>
      <c r="R1842">
        <v>2.605294E-2</v>
      </c>
      <c r="S1842">
        <v>-3.104355</v>
      </c>
      <c r="T1842">
        <v>-0.19776869999999999</v>
      </c>
      <c r="U1842">
        <v>-0.27938839999999998</v>
      </c>
      <c r="V1842">
        <v>3.2248600000000002E-2</v>
      </c>
      <c r="W1842">
        <v>0.20384050000000001</v>
      </c>
      <c r="X1842">
        <v>0.97847280000000003</v>
      </c>
      <c r="Y1842">
        <v>-8.3259899999999998E-2</v>
      </c>
      <c r="Z1842">
        <v>-2.73726E-3</v>
      </c>
      <c r="AA1842">
        <v>0.99652410000000002</v>
      </c>
      <c r="AB1842">
        <v>28</v>
      </c>
      <c r="AC1842">
        <v>-17.325999999999901</v>
      </c>
      <c r="AD1842">
        <v>-1.120491302005</v>
      </c>
      <c r="AE1842">
        <v>-1.5813999999999699</v>
      </c>
      <c r="AF1842">
        <v>-1.4676106366792101</v>
      </c>
      <c r="AG1842">
        <v>-1.120491302005</v>
      </c>
      <c r="AH1842">
        <v>17.263885894847199</v>
      </c>
      <c r="AI1842">
        <v>93.700194744886304</v>
      </c>
      <c r="AJ1842">
        <v>94.859057127324206</v>
      </c>
      <c r="AK1842">
        <v>17.362348283831501</v>
      </c>
      <c r="AL1842">
        <v>78.238368211190306</v>
      </c>
      <c r="AM1842">
        <v>88.1123235158272</v>
      </c>
      <c r="AN1842">
        <v>0.999999970991024</v>
      </c>
    </row>
    <row r="1843" spans="1:40" x14ac:dyDescent="0.25">
      <c r="A1843" t="str">
        <f>"20190303162249715"</f>
        <v>20190303162249715</v>
      </c>
      <c r="B1843" t="str">
        <f>"1551601369706759"</f>
        <v>1551601369706759</v>
      </c>
      <c r="C1843" t="s">
        <v>40</v>
      </c>
      <c r="D1843">
        <v>5.3398669999999999</v>
      </c>
      <c r="E1843">
        <v>0.4801241</v>
      </c>
      <c r="F1843" t="s">
        <v>49</v>
      </c>
      <c r="G1843">
        <v>-280.96370000000002</v>
      </c>
      <c r="H1843" s="1">
        <v>8.6045269999999992E-6</v>
      </c>
      <c r="I1843">
        <v>281.56920000000002</v>
      </c>
      <c r="J1843">
        <v>-252.7998</v>
      </c>
      <c r="K1843">
        <v>1.120487</v>
      </c>
      <c r="L1843">
        <v>283.99770000000001</v>
      </c>
      <c r="M1843">
        <v>-0.99993050000000006</v>
      </c>
      <c r="N1843">
        <v>-1.017848E-2</v>
      </c>
      <c r="O1843">
        <v>-5.9536719999999897E-3</v>
      </c>
      <c r="P1843">
        <v>-0.98054859999999999</v>
      </c>
      <c r="Q1843">
        <v>0.19452520000000001</v>
      </c>
      <c r="R1843">
        <v>2.6161139999999999E-2</v>
      </c>
      <c r="S1843">
        <v>-3.090179</v>
      </c>
      <c r="T1843">
        <v>-0.1216935</v>
      </c>
      <c r="U1843">
        <v>-0.26391599999999998</v>
      </c>
      <c r="V1843">
        <v>3.2101709999999999E-2</v>
      </c>
      <c r="W1843">
        <v>0.20447770000000001</v>
      </c>
      <c r="X1843">
        <v>0.97834469999999996</v>
      </c>
      <c r="Y1843">
        <v>-7.9086939999999994E-2</v>
      </c>
      <c r="Z1843">
        <v>-1.783801E-3</v>
      </c>
      <c r="AA1843">
        <v>0.99686609999999998</v>
      </c>
      <c r="AB1843">
        <v>28</v>
      </c>
      <c r="AC1843">
        <v>-28.163900000000002</v>
      </c>
      <c r="AD1843">
        <v>-1.120478395473</v>
      </c>
      <c r="AE1843">
        <v>-2.4284999999999801</v>
      </c>
      <c r="AF1843">
        <v>-2.2572233223579699</v>
      </c>
      <c r="AG1843">
        <v>-1.120478395473</v>
      </c>
      <c r="AH1843">
        <v>28.133659195234198</v>
      </c>
      <c r="AI1843">
        <v>92.273414147632707</v>
      </c>
      <c r="AJ1843">
        <v>94.587136344964193</v>
      </c>
      <c r="AK1843">
        <v>28.246297256017598</v>
      </c>
      <c r="AL1843">
        <v>78.201074190853802</v>
      </c>
      <c r="AM1843">
        <v>88.120669702757397</v>
      </c>
      <c r="AN1843">
        <v>1.0000000008001499</v>
      </c>
    </row>
    <row r="1844" spans="1:40" x14ac:dyDescent="0.25">
      <c r="A1844" t="str">
        <f>"20190303162249736"</f>
        <v>20190303162249736</v>
      </c>
      <c r="B1844" t="str">
        <f>"1551601369726279"</f>
        <v>1551601369726279</v>
      </c>
      <c r="C1844" t="s">
        <v>40</v>
      </c>
      <c r="D1844">
        <v>5.3977459999999997</v>
      </c>
      <c r="E1844">
        <v>0.48548799999999998</v>
      </c>
      <c r="F1844" t="s">
        <v>49</v>
      </c>
      <c r="G1844">
        <v>-282.14839999999998</v>
      </c>
      <c r="H1844" s="1">
        <v>7.7238549999999993E-6</v>
      </c>
      <c r="I1844">
        <v>283.28870000000001</v>
      </c>
      <c r="J1844">
        <v>-253.0641</v>
      </c>
      <c r="K1844">
        <v>1.120468</v>
      </c>
      <c r="L1844">
        <v>283.99639999999999</v>
      </c>
      <c r="M1844">
        <v>-0.99993180000000004</v>
      </c>
      <c r="N1844">
        <v>-1.018517E-2</v>
      </c>
      <c r="O1844">
        <v>-5.712885E-3</v>
      </c>
      <c r="P1844">
        <v>-0.98049160000000002</v>
      </c>
      <c r="Q1844">
        <v>0.1947064</v>
      </c>
      <c r="R1844">
        <v>2.6940229999999999E-2</v>
      </c>
      <c r="S1844">
        <v>-3.0848689999999999</v>
      </c>
      <c r="T1844">
        <v>-0.117775</v>
      </c>
      <c r="U1844">
        <v>-7.4523930000000002E-2</v>
      </c>
      <c r="V1844">
        <v>3.2645559999999997E-2</v>
      </c>
      <c r="W1844">
        <v>0.20466429999999999</v>
      </c>
      <c r="X1844">
        <v>0.97828769999999998</v>
      </c>
      <c r="Y1844">
        <v>-1.842417E-2</v>
      </c>
      <c r="Z1844">
        <v>-2.8558149999999998E-4</v>
      </c>
      <c r="AA1844">
        <v>0.9998302</v>
      </c>
      <c r="AB1844">
        <v>28</v>
      </c>
      <c r="AC1844">
        <v>-29.084299999999899</v>
      </c>
      <c r="AD1844">
        <v>-1.120460276145</v>
      </c>
      <c r="AE1844">
        <v>-0.70769999999998801</v>
      </c>
      <c r="AF1844">
        <v>-0.54072253361702105</v>
      </c>
      <c r="AG1844">
        <v>-1.120460276145</v>
      </c>
      <c r="AH1844">
        <v>29.0447874470313</v>
      </c>
      <c r="AI1844">
        <v>92.208820493873304</v>
      </c>
      <c r="AJ1844">
        <v>91.066543890005093</v>
      </c>
      <c r="AK1844">
        <v>29.071420500759999</v>
      </c>
      <c r="AL1844">
        <v>78.190151992498002</v>
      </c>
      <c r="AM1844">
        <v>88.088743237890498</v>
      </c>
      <c r="AN1844">
        <v>1.0000000161267399</v>
      </c>
    </row>
    <row r="1845" spans="1:40" x14ac:dyDescent="0.25">
      <c r="A1845" t="str">
        <f>"20190303162249759"</f>
        <v>20190303162249759</v>
      </c>
      <c r="B1845" t="str">
        <f>"1551601369746775"</f>
        <v>1551601369746775</v>
      </c>
      <c r="C1845" t="s">
        <v>40</v>
      </c>
      <c r="D1845">
        <v>5.3468269999999896</v>
      </c>
      <c r="E1845">
        <v>0.48582809999999998</v>
      </c>
      <c r="F1845" t="s">
        <v>49</v>
      </c>
      <c r="G1845">
        <v>-281.32819999999998</v>
      </c>
      <c r="H1845" s="1">
        <v>7.9969380000000002E-6</v>
      </c>
      <c r="I1845">
        <v>283.72739999999999</v>
      </c>
      <c r="J1845">
        <v>-253.3612</v>
      </c>
      <c r="K1845">
        <v>1.1204620000000001</v>
      </c>
      <c r="L1845">
        <v>283.995</v>
      </c>
      <c r="M1845">
        <v>-0.99993330000000002</v>
      </c>
      <c r="N1845">
        <v>-1.0192700000000001E-2</v>
      </c>
      <c r="O1845">
        <v>-5.4407469999999897E-3</v>
      </c>
      <c r="P1845">
        <v>-0.98050990000000005</v>
      </c>
      <c r="Q1845">
        <v>0.1945364</v>
      </c>
      <c r="R1845">
        <v>2.7496389999999999E-2</v>
      </c>
      <c r="S1845">
        <v>-3.0848080000000002</v>
      </c>
      <c r="T1845">
        <v>-0.1222898</v>
      </c>
      <c r="U1845">
        <v>-2.9357910000000001E-2</v>
      </c>
      <c r="V1845">
        <v>3.2935979999999997E-2</v>
      </c>
      <c r="W1845">
        <v>0.2045015</v>
      </c>
      <c r="X1845">
        <v>0.97831199999999996</v>
      </c>
      <c r="Y1845">
        <v>-4.0739130000000002E-3</v>
      </c>
      <c r="Z1845" s="1">
        <v>5.866304E-5</v>
      </c>
      <c r="AA1845">
        <v>0.99999170000000004</v>
      </c>
      <c r="AB1845">
        <v>28</v>
      </c>
      <c r="AC1845">
        <v>-27.966999999999899</v>
      </c>
      <c r="AD1845">
        <v>-1.120454003062</v>
      </c>
      <c r="AE1845">
        <v>-0.26760000000001499</v>
      </c>
      <c r="AF1845">
        <v>-0.115241814943655</v>
      </c>
      <c r="AG1845">
        <v>-1.120454003062</v>
      </c>
      <c r="AH1845">
        <v>27.923227166741199</v>
      </c>
      <c r="AI1845">
        <v>92.297811693855294</v>
      </c>
      <c r="AJ1845">
        <v>90.236463790232705</v>
      </c>
      <c r="AK1845">
        <v>27.945935540867499</v>
      </c>
      <c r="AL1845">
        <v>78.199681173821702</v>
      </c>
      <c r="AM1845">
        <v>88.071801037195897</v>
      </c>
      <c r="AN1845">
        <v>1.0000000058123999</v>
      </c>
    </row>
    <row r="1846" spans="1:40" x14ac:dyDescent="0.25">
      <c r="A1846" t="str">
        <f>"20190303162249782"</f>
        <v>20190303162249782</v>
      </c>
      <c r="B1846" t="str">
        <f>"1551601369776056"</f>
        <v>1551601369776056</v>
      </c>
      <c r="C1846" t="s">
        <v>40</v>
      </c>
      <c r="D1846">
        <v>5.3515470000000001</v>
      </c>
      <c r="E1846">
        <v>0.48584270000000002</v>
      </c>
      <c r="F1846" t="s">
        <v>47</v>
      </c>
      <c r="G1846">
        <v>-278.37</v>
      </c>
      <c r="H1846" s="1">
        <v>2.9534380000000002E-6</v>
      </c>
      <c r="I1846">
        <v>283.78989999999999</v>
      </c>
      <c r="J1846">
        <v>-253.64850000000001</v>
      </c>
      <c r="K1846">
        <v>1.120457</v>
      </c>
      <c r="L1846">
        <v>283.99369999999999</v>
      </c>
      <c r="M1846">
        <v>-0.99993460000000001</v>
      </c>
      <c r="N1846">
        <v>-1.0200010000000001E-2</v>
      </c>
      <c r="O1846">
        <v>-5.1760039999999997E-3</v>
      </c>
      <c r="P1846">
        <v>-0.98032450000000004</v>
      </c>
      <c r="Q1846">
        <v>0.19544149999999999</v>
      </c>
      <c r="R1846">
        <v>2.7686309999999999E-2</v>
      </c>
      <c r="S1846">
        <v>-3.0877840000000001</v>
      </c>
      <c r="T1846">
        <v>-0.13834060000000001</v>
      </c>
      <c r="U1846">
        <v>-2.5329589999999999E-2</v>
      </c>
      <c r="V1846">
        <v>3.2866819999999998E-2</v>
      </c>
      <c r="W1846">
        <v>0.20541200000000001</v>
      </c>
      <c r="X1846">
        <v>0.97812350000000003</v>
      </c>
      <c r="Y1846">
        <v>-3.026047E-3</v>
      </c>
      <c r="Z1846" s="1">
        <v>9.5805100000000002E-5</v>
      </c>
      <c r="AA1846">
        <v>0.99999539999999998</v>
      </c>
      <c r="AB1846">
        <v>28</v>
      </c>
      <c r="AC1846">
        <v>-24.721499999999899</v>
      </c>
      <c r="AD1846">
        <v>-1.1204540465620001</v>
      </c>
      <c r="AE1846">
        <v>-0.20380000000000101</v>
      </c>
      <c r="AF1846">
        <v>-7.5676589380635303E-2</v>
      </c>
      <c r="AG1846">
        <v>-1.1204540465620001</v>
      </c>
      <c r="AH1846">
        <v>24.671547379585299</v>
      </c>
      <c r="AI1846">
        <v>92.600278952909704</v>
      </c>
      <c r="AJ1846">
        <v>90.175746397834303</v>
      </c>
      <c r="AK1846">
        <v>24.697092831338601</v>
      </c>
      <c r="AL1846">
        <v>78.146381197522004</v>
      </c>
      <c r="AM1846">
        <v>88.075476346704093</v>
      </c>
      <c r="AN1846">
        <v>0.99999994942657899</v>
      </c>
    </row>
    <row r="1847" spans="1:40" x14ac:dyDescent="0.25">
      <c r="A1847" t="str">
        <f>"20190303162249818"</f>
        <v>20190303162249818</v>
      </c>
      <c r="B1847" t="str">
        <f>"1551601369806312"</f>
        <v>1551601369806312</v>
      </c>
      <c r="C1847" t="s">
        <v>40</v>
      </c>
      <c r="D1847">
        <v>5.3555270000000004</v>
      </c>
      <c r="E1847">
        <v>0.48514740000000001</v>
      </c>
      <c r="F1847" t="s">
        <v>47</v>
      </c>
      <c r="G1847">
        <v>-278.19220000000001</v>
      </c>
      <c r="H1847" s="1">
        <v>2.8585510000000002E-6</v>
      </c>
      <c r="I1847">
        <v>283.79629999999997</v>
      </c>
      <c r="J1847">
        <v>-254.08690000000001</v>
      </c>
      <c r="K1847">
        <v>1.1204590000000001</v>
      </c>
      <c r="L1847">
        <v>283.99189999999999</v>
      </c>
      <c r="M1847">
        <v>-0.99993639999999995</v>
      </c>
      <c r="N1847">
        <v>-1.021123E-2</v>
      </c>
      <c r="O1847">
        <v>-4.7685920000000003E-3</v>
      </c>
      <c r="P1847">
        <v>-0.98024999999999995</v>
      </c>
      <c r="Q1847">
        <v>0.19597410000000001</v>
      </c>
      <c r="R1847">
        <v>2.6534869999999999E-2</v>
      </c>
      <c r="S1847">
        <v>-3.0890499999999999</v>
      </c>
      <c r="T1847">
        <v>-0.14101949999999999</v>
      </c>
      <c r="U1847">
        <v>-2.4841309999999998E-2</v>
      </c>
      <c r="V1847">
        <v>3.1316829999999997E-2</v>
      </c>
      <c r="W1847">
        <v>0.2059561</v>
      </c>
      <c r="X1847">
        <v>0.97806000000000004</v>
      </c>
      <c r="Y1847">
        <v>-3.2715140000000001E-3</v>
      </c>
      <c r="Z1847" s="1">
        <v>7.7551109999999998E-5</v>
      </c>
      <c r="AA1847">
        <v>0.99999459999999996</v>
      </c>
      <c r="AB1847">
        <v>28</v>
      </c>
      <c r="AC1847">
        <v>-24.1053</v>
      </c>
      <c r="AD1847">
        <v>-1.120456141449</v>
      </c>
      <c r="AE1847">
        <v>-0.19560000000001301</v>
      </c>
      <c r="AF1847">
        <v>-8.0469583836396102E-2</v>
      </c>
      <c r="AG1847">
        <v>-1.120456141449</v>
      </c>
      <c r="AH1847">
        <v>24.053992214751801</v>
      </c>
      <c r="AI1847">
        <v>92.666945178126596</v>
      </c>
      <c r="AJ1847">
        <v>90.191675057187794</v>
      </c>
      <c r="AK1847">
        <v>24.080208445654598</v>
      </c>
      <c r="AL1847">
        <v>78.114526182188001</v>
      </c>
      <c r="AM1847">
        <v>88.166053860323601</v>
      </c>
      <c r="AN1847">
        <v>1.00000001128422</v>
      </c>
    </row>
    <row r="1848" spans="1:40" x14ac:dyDescent="0.25">
      <c r="A1848" t="str">
        <f>"20190303162249838"</f>
        <v>20190303162249838</v>
      </c>
      <c r="B1848" t="str">
        <f>"1551601369826808"</f>
        <v>1551601369826808</v>
      </c>
      <c r="C1848" t="s">
        <v>40</v>
      </c>
      <c r="D1848">
        <v>5.418698</v>
      </c>
      <c r="E1848">
        <v>0.48488920000000002</v>
      </c>
      <c r="F1848" t="s">
        <v>47</v>
      </c>
      <c r="G1848">
        <v>-278.11739999999998</v>
      </c>
      <c r="H1848" s="1">
        <v>2.8214670000000002E-6</v>
      </c>
      <c r="I1848">
        <v>283.73320000000001</v>
      </c>
      <c r="J1848">
        <v>-254.35640000000001</v>
      </c>
      <c r="K1848">
        <v>1.1204559999999999</v>
      </c>
      <c r="L1848">
        <v>283.99090000000001</v>
      </c>
      <c r="M1848">
        <v>-0.99993759999999998</v>
      </c>
      <c r="N1848">
        <v>-1.021815E-2</v>
      </c>
      <c r="O1848">
        <v>-4.5173280000000001E-3</v>
      </c>
      <c r="P1848">
        <v>-0.98022960000000003</v>
      </c>
      <c r="Q1848">
        <v>0.19620879999999999</v>
      </c>
      <c r="R1848">
        <v>2.5542200000000001E-2</v>
      </c>
      <c r="S1848">
        <v>-3.0901640000000001</v>
      </c>
      <c r="T1848">
        <v>-0.144083399999999</v>
      </c>
      <c r="U1848">
        <v>-3.3264160000000001E-2</v>
      </c>
      <c r="V1848">
        <v>3.007839E-2</v>
      </c>
      <c r="W1848">
        <v>0.20619779999999999</v>
      </c>
      <c r="X1848">
        <v>0.97804789999999997</v>
      </c>
      <c r="Y1848">
        <v>-6.2412179999999998E-3</v>
      </c>
      <c r="Z1848" s="1">
        <v>-1.2964180000000001E-5</v>
      </c>
      <c r="AA1848">
        <v>0.99998050000000005</v>
      </c>
      <c r="AB1848">
        <v>28</v>
      </c>
      <c r="AC1848">
        <v>-23.7609999999999</v>
      </c>
      <c r="AD1848">
        <v>-1.1204531785330001</v>
      </c>
      <c r="AE1848">
        <v>-0.25769999999999899</v>
      </c>
      <c r="AF1848">
        <v>-0.15002198623528901</v>
      </c>
      <c r="AG1848">
        <v>-1.1204531785330001</v>
      </c>
      <c r="AH1848">
        <v>23.709207957115801</v>
      </c>
      <c r="AI1848">
        <v>92.705625122536603</v>
      </c>
      <c r="AJ1848">
        <v>90.362538974124902</v>
      </c>
      <c r="AK1848">
        <v>23.736142565197898</v>
      </c>
      <c r="AL1848">
        <v>78.100373510791798</v>
      </c>
      <c r="AM1848">
        <v>88.238509787540195</v>
      </c>
      <c r="AN1848">
        <v>0.99999996848212003</v>
      </c>
    </row>
    <row r="1849" spans="1:40" x14ac:dyDescent="0.25">
      <c r="A1849" t="str">
        <f>"20190303162249860"</f>
        <v>20190303162249860</v>
      </c>
      <c r="B1849" t="str">
        <f>"1551601369846328"</f>
        <v>1551601369846328</v>
      </c>
      <c r="C1849" t="s">
        <v>40</v>
      </c>
      <c r="D1849">
        <v>5.4191919999999998</v>
      </c>
      <c r="E1849">
        <v>0.48469570000000001</v>
      </c>
      <c r="F1849" t="s">
        <v>47</v>
      </c>
      <c r="G1849">
        <v>-277.93340000000001</v>
      </c>
      <c r="H1849" s="1">
        <v>2.7249610000000002E-6</v>
      </c>
      <c r="I1849">
        <v>283.70179999999999</v>
      </c>
      <c r="J1849">
        <v>-254.63319999999999</v>
      </c>
      <c r="K1849">
        <v>1.120455</v>
      </c>
      <c r="L1849">
        <v>283.98989999999998</v>
      </c>
      <c r="M1849">
        <v>-0.99993880000000002</v>
      </c>
      <c r="N1849">
        <v>-1.022524E-2</v>
      </c>
      <c r="O1849">
        <v>-4.2589139999999999E-3</v>
      </c>
      <c r="P1849">
        <v>-0.98017549999999998</v>
      </c>
      <c r="Q1849">
        <v>0.19656709999999999</v>
      </c>
      <c r="R1849">
        <v>2.4847919999999999E-2</v>
      </c>
      <c r="S1849">
        <v>-3.090881</v>
      </c>
      <c r="T1849">
        <v>-0.14688809999999999</v>
      </c>
      <c r="U1849">
        <v>-3.7902829999999998E-2</v>
      </c>
      <c r="V1849">
        <v>2.9130980000000001E-2</v>
      </c>
      <c r="W1849">
        <v>0.2065632</v>
      </c>
      <c r="X1849">
        <v>0.97799950000000002</v>
      </c>
      <c r="Y1849">
        <v>-7.9949359999999994E-3</v>
      </c>
      <c r="Z1849" s="1">
        <v>-7.2019230000000005E-5</v>
      </c>
      <c r="AA1849">
        <v>0.99996810000000003</v>
      </c>
      <c r="AB1849">
        <v>28</v>
      </c>
      <c r="AC1849">
        <v>-23.3002</v>
      </c>
      <c r="AD1849">
        <v>-1.120452275039</v>
      </c>
      <c r="AE1849">
        <v>-0.28809999999998498</v>
      </c>
      <c r="AF1849">
        <v>-0.18842301829342001</v>
      </c>
      <c r="AG1849">
        <v>-1.120452275039</v>
      </c>
      <c r="AH1849">
        <v>23.2474659449067</v>
      </c>
      <c r="AI1849">
        <v>92.759244544029698</v>
      </c>
      <c r="AJ1849">
        <v>90.464377809769104</v>
      </c>
      <c r="AK1849">
        <v>23.275214056890199</v>
      </c>
      <c r="AL1849">
        <v>78.078977334518498</v>
      </c>
      <c r="AM1849">
        <v>88.293875555672201</v>
      </c>
      <c r="AN1849">
        <v>0.999999995795125</v>
      </c>
    </row>
    <row r="1850" spans="1:40" x14ac:dyDescent="0.25">
      <c r="A1850" t="str">
        <f>"20190303162249884"</f>
        <v>20190303162249884</v>
      </c>
      <c r="B1850" t="str">
        <f>"1551601369876584"</f>
        <v>1551601369876584</v>
      </c>
      <c r="C1850" t="s">
        <v>40</v>
      </c>
      <c r="D1850">
        <v>5.4776550000000004</v>
      </c>
      <c r="E1850">
        <v>0.48462559999999899</v>
      </c>
      <c r="F1850" t="s">
        <v>47</v>
      </c>
      <c r="G1850">
        <v>-277.46660000000003</v>
      </c>
      <c r="H1850" s="1">
        <v>2.4772230000000002E-6</v>
      </c>
      <c r="I1850">
        <v>283.6859</v>
      </c>
      <c r="J1850">
        <v>-254.92660000000001</v>
      </c>
      <c r="K1850">
        <v>1.1204540000000001</v>
      </c>
      <c r="L1850">
        <v>283.9889</v>
      </c>
      <c r="M1850">
        <v>-0.99993969999999999</v>
      </c>
      <c r="N1850">
        <v>-1.0232659999999999E-2</v>
      </c>
      <c r="O1850">
        <v>-3.9852409999999996E-3</v>
      </c>
      <c r="P1850">
        <v>-0.9800508</v>
      </c>
      <c r="Q1850">
        <v>0.19725329999999999</v>
      </c>
      <c r="R1850">
        <v>2.432496E-2</v>
      </c>
      <c r="S1850">
        <v>-3.0921479999999999</v>
      </c>
      <c r="T1850">
        <v>-0.15173439999999999</v>
      </c>
      <c r="U1850">
        <v>-4.1168209999999997E-2</v>
      </c>
      <c r="V1850">
        <v>2.834035E-2</v>
      </c>
      <c r="W1850">
        <v>0.20725589999999999</v>
      </c>
      <c r="X1850">
        <v>0.97787619999999997</v>
      </c>
      <c r="Y1850">
        <v>-9.3168629999999999E-3</v>
      </c>
      <c r="Z1850">
        <v>-1.214803E-4</v>
      </c>
      <c r="AA1850">
        <v>0.99995659999999997</v>
      </c>
      <c r="AB1850">
        <v>28</v>
      </c>
      <c r="AC1850">
        <v>-22.54</v>
      </c>
      <c r="AD1850">
        <v>-1.120451522777</v>
      </c>
      <c r="AE1850">
        <v>-0.30299999999999699</v>
      </c>
      <c r="AF1850">
        <v>-0.21264021221113899</v>
      </c>
      <c r="AG1850">
        <v>-1.120451522777</v>
      </c>
      <c r="AH1850">
        <v>22.485476293775498</v>
      </c>
      <c r="AI1850">
        <v>92.852562419142501</v>
      </c>
      <c r="AJ1850">
        <v>90.541817455196096</v>
      </c>
      <c r="AK1850">
        <v>22.5143792193496</v>
      </c>
      <c r="AL1850">
        <v>78.038411018303606</v>
      </c>
      <c r="AM1850">
        <v>88.339945227068299</v>
      </c>
      <c r="AN1850">
        <v>1.0000000230246799</v>
      </c>
    </row>
    <row r="1851" spans="1:40" x14ac:dyDescent="0.25">
      <c r="A1851" t="str">
        <f>"20190303162249904"</f>
        <v>20190303162249904</v>
      </c>
      <c r="B1851" t="str">
        <f>"1551601369896104"</f>
        <v>1551601369896104</v>
      </c>
      <c r="C1851" t="s">
        <v>40</v>
      </c>
      <c r="D1851">
        <v>5.3573559999999896</v>
      </c>
      <c r="E1851">
        <v>0.4845991</v>
      </c>
      <c r="F1851" t="s">
        <v>47</v>
      </c>
      <c r="G1851">
        <v>-277.81900000000002</v>
      </c>
      <c r="H1851" s="1">
        <v>2.6653679999999999E-6</v>
      </c>
      <c r="I1851">
        <v>283.67180000000002</v>
      </c>
      <c r="J1851">
        <v>-255.19929999999999</v>
      </c>
      <c r="K1851">
        <v>1.1204510000000001</v>
      </c>
      <c r="L1851">
        <v>283.98809999999997</v>
      </c>
      <c r="M1851">
        <v>-0.99994079999999996</v>
      </c>
      <c r="N1851">
        <v>-1.023964E-2</v>
      </c>
      <c r="O1851">
        <v>-3.731355E-3</v>
      </c>
      <c r="P1851">
        <v>-0.98008620000000002</v>
      </c>
      <c r="Q1851">
        <v>0.1971311</v>
      </c>
      <c r="R1851">
        <v>2.3888980000000001E-2</v>
      </c>
      <c r="S1851">
        <v>-3.09259</v>
      </c>
      <c r="T1851">
        <v>-0.15136469999999999</v>
      </c>
      <c r="U1851">
        <v>-4.2846679999999998E-2</v>
      </c>
      <c r="V1851">
        <v>2.765606E-2</v>
      </c>
      <c r="W1851">
        <v>0.20714070000000001</v>
      </c>
      <c r="X1851">
        <v>0.97792020000000002</v>
      </c>
      <c r="Y1851">
        <v>-1.011017E-2</v>
      </c>
      <c r="Z1851">
        <v>-1.5474129999999901E-4</v>
      </c>
      <c r="AA1851">
        <v>0.99994890000000003</v>
      </c>
      <c r="AB1851">
        <v>28</v>
      </c>
      <c r="AC1851">
        <v>-22.619700000000002</v>
      </c>
      <c r="AD1851">
        <v>-1.120448334632</v>
      </c>
      <c r="AE1851">
        <v>-0.31629999999995501</v>
      </c>
      <c r="AF1851">
        <v>-0.23132378469213299</v>
      </c>
      <c r="AG1851">
        <v>-1.120448334632</v>
      </c>
      <c r="AH1851">
        <v>22.565366452266201</v>
      </c>
      <c r="AI1851">
        <v>92.842449543006794</v>
      </c>
      <c r="AJ1851">
        <v>90.587334238238199</v>
      </c>
      <c r="AK1851">
        <v>22.594350583475599</v>
      </c>
      <c r="AL1851">
        <v>78.045157898943899</v>
      </c>
      <c r="AM1851">
        <v>88.380079194459796</v>
      </c>
      <c r="AN1851">
        <v>1.0000000224096199</v>
      </c>
    </row>
    <row r="1852" spans="1:40" x14ac:dyDescent="0.25">
      <c r="A1852" t="str">
        <f>"20190303162249927"</f>
        <v>20190303162249927</v>
      </c>
      <c r="B1852" t="str">
        <f>"1551601369916600"</f>
        <v>1551601369916600</v>
      </c>
      <c r="C1852" t="s">
        <v>40</v>
      </c>
      <c r="D1852">
        <v>5.3589120000000001</v>
      </c>
      <c r="E1852">
        <v>0.48455239999999999</v>
      </c>
      <c r="F1852" t="s">
        <v>47</v>
      </c>
      <c r="G1852">
        <v>-277.76580000000001</v>
      </c>
      <c r="H1852" s="1">
        <v>2.63734E-6</v>
      </c>
      <c r="I1852">
        <v>283.66609999999997</v>
      </c>
      <c r="J1852">
        <v>-255.47399999999999</v>
      </c>
      <c r="K1852">
        <v>1.1204529999999999</v>
      </c>
      <c r="L1852">
        <v>283.9873</v>
      </c>
      <c r="M1852">
        <v>-0.99994150000000004</v>
      </c>
      <c r="N1852">
        <v>-1.0246679999999999E-2</v>
      </c>
      <c r="O1852">
        <v>-3.4756840000000002E-3</v>
      </c>
      <c r="P1852">
        <v>-0.97996190000000005</v>
      </c>
      <c r="Q1852">
        <v>0.19785739999999999</v>
      </c>
      <c r="R1852">
        <v>2.296279E-2</v>
      </c>
      <c r="S1852">
        <v>-3.092911</v>
      </c>
      <c r="T1852">
        <v>-0.1535656</v>
      </c>
      <c r="U1852">
        <v>-4.4128420000000002E-2</v>
      </c>
      <c r="V1852">
        <v>2.6479619999999999E-2</v>
      </c>
      <c r="W1852">
        <v>0.20787349999999999</v>
      </c>
      <c r="X1852">
        <v>0.97779720000000003</v>
      </c>
      <c r="Y1852">
        <v>-1.077723E-2</v>
      </c>
      <c r="Z1852">
        <v>-1.8577360000000001E-4</v>
      </c>
      <c r="AA1852">
        <v>0.99994190000000005</v>
      </c>
      <c r="AB1852">
        <v>28</v>
      </c>
      <c r="AC1852">
        <v>-22.291799999999899</v>
      </c>
      <c r="AD1852">
        <v>-1.12045036266</v>
      </c>
      <c r="AE1852">
        <v>-0.32120000000003301</v>
      </c>
      <c r="AF1852">
        <v>-0.24310071030965</v>
      </c>
      <c r="AG1852">
        <v>-1.12045036266</v>
      </c>
      <c r="AH1852">
        <v>22.236615786183201</v>
      </c>
      <c r="AI1852">
        <v>92.884386886258795</v>
      </c>
      <c r="AJ1852">
        <v>90.626358343415703</v>
      </c>
      <c r="AK1852">
        <v>22.2661534305517</v>
      </c>
      <c r="AL1852">
        <v>78.002236601635303</v>
      </c>
      <c r="AM1852">
        <v>88.448758344352598</v>
      </c>
      <c r="AN1852">
        <v>0.99999996330271601</v>
      </c>
    </row>
    <row r="1853" spans="1:40" x14ac:dyDescent="0.25">
      <c r="A1853" t="str">
        <f>"20190303162249948"</f>
        <v>20190303162249948</v>
      </c>
      <c r="B1853" t="str">
        <f>"1551601369936120"</f>
        <v>1551601369936120</v>
      </c>
      <c r="C1853" t="s">
        <v>40</v>
      </c>
      <c r="D1853">
        <v>5.4179789999999999</v>
      </c>
      <c r="E1853">
        <v>0.48443839999999999</v>
      </c>
      <c r="F1853" t="s">
        <v>47</v>
      </c>
      <c r="G1853">
        <v>-278.17619999999999</v>
      </c>
      <c r="H1853" s="1">
        <v>2.8566790000000002E-6</v>
      </c>
      <c r="I1853">
        <v>283.64370000000002</v>
      </c>
      <c r="J1853">
        <v>-255.75370000000001</v>
      </c>
      <c r="K1853">
        <v>1.120455</v>
      </c>
      <c r="L1853">
        <v>283.98660000000001</v>
      </c>
      <c r="M1853">
        <v>-0.9999422</v>
      </c>
      <c r="N1853">
        <v>-1.025385E-2</v>
      </c>
      <c r="O1853">
        <v>-3.214892E-3</v>
      </c>
      <c r="P1853">
        <v>-0.9798192</v>
      </c>
      <c r="Q1853">
        <v>0.19860430000000001</v>
      </c>
      <c r="R1853">
        <v>2.2602779999999999E-2</v>
      </c>
      <c r="S1853">
        <v>-3.0932620000000002</v>
      </c>
      <c r="T1853">
        <v>-0.15266589999999999</v>
      </c>
      <c r="U1853">
        <v>-4.6813960000000002E-2</v>
      </c>
      <c r="V1853">
        <v>2.5864080000000001E-2</v>
      </c>
      <c r="W1853">
        <v>0.20862629999999999</v>
      </c>
      <c r="X1853">
        <v>0.97765340000000001</v>
      </c>
      <c r="Y1853">
        <v>-1.1902630000000001E-2</v>
      </c>
      <c r="Z1853">
        <v>-2.289878E-4</v>
      </c>
      <c r="AA1853">
        <v>0.99992910000000002</v>
      </c>
      <c r="AB1853">
        <v>28</v>
      </c>
      <c r="AC1853">
        <v>-22.4224999999999</v>
      </c>
      <c r="AD1853">
        <v>-1.120452143321</v>
      </c>
      <c r="AE1853">
        <v>-0.34289999999998599</v>
      </c>
      <c r="AF1853">
        <v>-0.27013415040375399</v>
      </c>
      <c r="AG1853">
        <v>-1.120452143321</v>
      </c>
      <c r="AH1853">
        <v>22.367647598532301</v>
      </c>
      <c r="AI1853">
        <v>92.8674850159383</v>
      </c>
      <c r="AJ1853">
        <v>90.691927670568006</v>
      </c>
      <c r="AK1853">
        <v>22.397322263092398</v>
      </c>
      <c r="AL1853">
        <v>77.958138271538004</v>
      </c>
      <c r="AM1853">
        <v>88.484578428748407</v>
      </c>
      <c r="AN1853">
        <v>1.0000000271087399</v>
      </c>
    </row>
    <row r="1854" spans="1:40" x14ac:dyDescent="0.25">
      <c r="A1854" t="str">
        <f>"20190303162249971"</f>
        <v>20190303162249971</v>
      </c>
      <c r="B1854" t="str">
        <f>"1551601369966375"</f>
        <v>1551601369966375</v>
      </c>
      <c r="C1854" t="s">
        <v>40</v>
      </c>
      <c r="D1854">
        <v>5.357996</v>
      </c>
      <c r="E1854">
        <v>0.48454930000000002</v>
      </c>
      <c r="F1854" t="s">
        <v>47</v>
      </c>
      <c r="G1854">
        <v>-278.2398</v>
      </c>
      <c r="H1854" s="1">
        <v>2.891372E-6</v>
      </c>
      <c r="I1854">
        <v>283.62490000000003</v>
      </c>
      <c r="J1854">
        <v>-256.04640000000001</v>
      </c>
      <c r="K1854">
        <v>1.1204559999999999</v>
      </c>
      <c r="L1854">
        <v>283.98599999999999</v>
      </c>
      <c r="M1854">
        <v>-0.99994309999999997</v>
      </c>
      <c r="N1854">
        <v>-1.0261320000000001E-2</v>
      </c>
      <c r="O1854">
        <v>-2.9415880000000002E-3</v>
      </c>
      <c r="P1854">
        <v>-0.97973549999999998</v>
      </c>
      <c r="Q1854">
        <v>0.19901160000000001</v>
      </c>
      <c r="R1854">
        <v>2.2652789999999999E-2</v>
      </c>
      <c r="S1854">
        <v>-3.0942080000000001</v>
      </c>
      <c r="T1854">
        <v>-0.15417999999999901</v>
      </c>
      <c r="U1854">
        <v>-4.977417E-2</v>
      </c>
      <c r="V1854">
        <v>2.5646309999999999E-2</v>
      </c>
      <c r="W1854">
        <v>0.2090399</v>
      </c>
      <c r="X1854">
        <v>0.97757079999999996</v>
      </c>
      <c r="Y1854">
        <v>-1.3125390000000001E-2</v>
      </c>
      <c r="Z1854">
        <v>-2.778794E-4</v>
      </c>
      <c r="AA1854">
        <v>0.99991379999999996</v>
      </c>
      <c r="AB1854">
        <v>28</v>
      </c>
      <c r="AC1854">
        <v>-22.1934</v>
      </c>
      <c r="AD1854">
        <v>-1.1204531086279901</v>
      </c>
      <c r="AE1854">
        <v>-0.36109999999996401</v>
      </c>
      <c r="AF1854">
        <v>-0.29505931111744799</v>
      </c>
      <c r="AG1854">
        <v>-1.1204531086279901</v>
      </c>
      <c r="AH1854">
        <v>22.1379554359944</v>
      </c>
      <c r="AI1854">
        <v>92.897142684575797</v>
      </c>
      <c r="AJ1854">
        <v>90.763604947256198</v>
      </c>
      <c r="AK1854">
        <v>22.1682553677953</v>
      </c>
      <c r="AL1854">
        <v>77.933906627760706</v>
      </c>
      <c r="AM1854">
        <v>88.497205168107598</v>
      </c>
      <c r="AN1854">
        <v>1.00000004101063</v>
      </c>
    </row>
    <row r="1855" spans="1:40" x14ac:dyDescent="0.25">
      <c r="A1855" t="str">
        <f>"20190303162249994"</f>
        <v>20190303162249994</v>
      </c>
      <c r="B1855" t="str">
        <f>"1551601369985896"</f>
        <v>1551601369985896</v>
      </c>
      <c r="C1855" t="s">
        <v>40</v>
      </c>
      <c r="D1855">
        <v>5.1739670000000002</v>
      </c>
      <c r="E1855">
        <v>0.48461110000000002</v>
      </c>
      <c r="F1855" t="s">
        <v>47</v>
      </c>
      <c r="G1855">
        <v>-278.81130000000002</v>
      </c>
      <c r="H1855" s="1">
        <v>3.1954060000000001E-6</v>
      </c>
      <c r="I1855">
        <v>283.62650000000002</v>
      </c>
      <c r="J1855">
        <v>-256.33640000000003</v>
      </c>
      <c r="K1855">
        <v>1.1204590000000001</v>
      </c>
      <c r="L1855">
        <v>283.98540000000003</v>
      </c>
      <c r="M1855">
        <v>-0.9999439</v>
      </c>
      <c r="N1855">
        <v>-1.0268670000000001E-2</v>
      </c>
      <c r="O1855">
        <v>-2.6707829999999999E-3</v>
      </c>
      <c r="P1855">
        <v>-0.97965590000000002</v>
      </c>
      <c r="Q1855">
        <v>0.19933619999999999</v>
      </c>
      <c r="R1855">
        <v>2.3230239999999999E-2</v>
      </c>
      <c r="S1855">
        <v>-3.0941160000000001</v>
      </c>
      <c r="T1855">
        <v>-0.1522876</v>
      </c>
      <c r="U1855">
        <v>-4.8858640000000002E-2</v>
      </c>
      <c r="V1855">
        <v>2.595838E-2</v>
      </c>
      <c r="W1855">
        <v>0.2093709</v>
      </c>
      <c r="X1855">
        <v>0.97749169999999996</v>
      </c>
      <c r="Y1855">
        <v>-1.3101059999999999E-2</v>
      </c>
      <c r="Z1855">
        <v>-2.8556049999999998E-4</v>
      </c>
      <c r="AA1855">
        <v>0.99991410000000003</v>
      </c>
      <c r="AB1855">
        <v>28</v>
      </c>
      <c r="AC1855">
        <v>-22.474899999999899</v>
      </c>
      <c r="AD1855">
        <v>-1.1204558045940001</v>
      </c>
      <c r="AE1855">
        <v>-0.35890000000000499</v>
      </c>
      <c r="AF1855">
        <v>-0.29812920808976001</v>
      </c>
      <c r="AG1855">
        <v>-1.1204558045940001</v>
      </c>
      <c r="AH1855">
        <v>22.4200700958203</v>
      </c>
      <c r="AI1855">
        <v>92.860756545203003</v>
      </c>
      <c r="AJ1855">
        <v>90.761841448843796</v>
      </c>
      <c r="AK1855">
        <v>22.450029962925701</v>
      </c>
      <c r="AL1855">
        <v>77.914512278788607</v>
      </c>
      <c r="AM1855">
        <v>88.478804336203893</v>
      </c>
      <c r="AN1855">
        <v>1.0000000174139601</v>
      </c>
    </row>
    <row r="1856" spans="1:40" x14ac:dyDescent="0.25">
      <c r="A1856" t="str">
        <f>"20190303162250017"</f>
        <v>20190303162250017</v>
      </c>
      <c r="B1856" t="str">
        <f>"1551601370006392"</f>
        <v>1551601370006392</v>
      </c>
      <c r="C1856" t="s">
        <v>40</v>
      </c>
      <c r="D1856">
        <v>5.240564</v>
      </c>
      <c r="E1856">
        <v>0.48464930000000001</v>
      </c>
      <c r="F1856" t="s">
        <v>47</v>
      </c>
      <c r="G1856">
        <v>-279.16230000000002</v>
      </c>
      <c r="H1856" s="1">
        <v>3.3815659999999999E-6</v>
      </c>
      <c r="I1856">
        <v>283.64069999999998</v>
      </c>
      <c r="J1856">
        <v>-256.6198</v>
      </c>
      <c r="K1856">
        <v>1.120463</v>
      </c>
      <c r="L1856">
        <v>283.98489999999998</v>
      </c>
      <c r="M1856">
        <v>-0.99994430000000001</v>
      </c>
      <c r="N1856">
        <v>-1.027573E-2</v>
      </c>
      <c r="O1856">
        <v>-2.4061759999999999E-3</v>
      </c>
      <c r="P1856">
        <v>-0.97970159999999995</v>
      </c>
      <c r="Q1856">
        <v>0.19905419999999999</v>
      </c>
      <c r="R1856">
        <v>2.3712799999999999E-2</v>
      </c>
      <c r="S1856">
        <v>-3.0942989999999999</v>
      </c>
      <c r="T1856">
        <v>-0.15188979999999999</v>
      </c>
      <c r="U1856">
        <v>-4.6722409999999999E-2</v>
      </c>
      <c r="V1856">
        <v>2.6181989999999999E-2</v>
      </c>
      <c r="W1856">
        <v>0.20909630000000001</v>
      </c>
      <c r="X1856">
        <v>0.97754450000000004</v>
      </c>
      <c r="Y1856">
        <v>-1.267507E-2</v>
      </c>
      <c r="Z1856">
        <v>-2.8274069999999999E-4</v>
      </c>
      <c r="AA1856">
        <v>0.99991969999999997</v>
      </c>
      <c r="AB1856">
        <v>29</v>
      </c>
      <c r="AC1856">
        <v>-22.5425</v>
      </c>
      <c r="AD1856">
        <v>-1.1204596184340001</v>
      </c>
      <c r="AE1856">
        <v>-0.34420000000000001</v>
      </c>
      <c r="AF1856">
        <v>-0.28924050893017</v>
      </c>
      <c r="AG1856">
        <v>-1.1204596184340001</v>
      </c>
      <c r="AH1856">
        <v>22.487719588374699</v>
      </c>
      <c r="AI1856">
        <v>92.852190703643203</v>
      </c>
      <c r="AJ1856">
        <v>90.736906495751299</v>
      </c>
      <c r="AK1856">
        <v>22.517473706300201</v>
      </c>
      <c r="AL1856">
        <v>77.930601671089406</v>
      </c>
      <c r="AM1856">
        <v>88.465789560956594</v>
      </c>
      <c r="AN1856">
        <v>1.00000000437715</v>
      </c>
    </row>
    <row r="1857" spans="1:40" x14ac:dyDescent="0.25">
      <c r="A1857" t="str">
        <f>"20190303162250039"</f>
        <v>20190303162250039</v>
      </c>
      <c r="B1857" t="str">
        <f>"1551601370025913"</f>
        <v>1551601370025913</v>
      </c>
      <c r="C1857" t="s">
        <v>40</v>
      </c>
      <c r="D1857">
        <v>5.2331909999999997</v>
      </c>
      <c r="E1857">
        <v>0.48468440000000002</v>
      </c>
      <c r="F1857" t="s">
        <v>47</v>
      </c>
      <c r="G1857">
        <v>-279.09050000000002</v>
      </c>
      <c r="H1857" s="1">
        <v>3.342655E-6</v>
      </c>
      <c r="I1857">
        <v>283.65649999999999</v>
      </c>
      <c r="J1857">
        <v>-256.91039999999998</v>
      </c>
      <c r="K1857">
        <v>1.1204559999999999</v>
      </c>
      <c r="L1857">
        <v>283.9846</v>
      </c>
      <c r="M1857">
        <v>-0.99994479999999997</v>
      </c>
      <c r="N1857">
        <v>-1.0282980000000001E-2</v>
      </c>
      <c r="O1857">
        <v>-2.1351310000000002E-3</v>
      </c>
      <c r="P1857">
        <v>-0.97967459999999995</v>
      </c>
      <c r="Q1857">
        <v>0.1990866</v>
      </c>
      <c r="R1857">
        <v>2.4536760000000001E-2</v>
      </c>
      <c r="S1857">
        <v>-3.0945740000000002</v>
      </c>
      <c r="T1857">
        <v>-0.15430529999999901</v>
      </c>
      <c r="U1857">
        <v>-4.5227049999999998E-2</v>
      </c>
      <c r="V1857">
        <v>2.6740529999999998E-2</v>
      </c>
      <c r="W1857">
        <v>0.2091355</v>
      </c>
      <c r="X1857">
        <v>0.97752099999999997</v>
      </c>
      <c r="Y1857">
        <v>-1.246134E-2</v>
      </c>
      <c r="Z1857">
        <v>-2.9014649999999998E-4</v>
      </c>
      <c r="AA1857">
        <v>0.99992230000000004</v>
      </c>
      <c r="AB1857">
        <v>29</v>
      </c>
      <c r="AC1857">
        <v>-22.180099999999999</v>
      </c>
      <c r="AD1857">
        <v>-1.120452657345</v>
      </c>
      <c r="AE1857">
        <v>-0.328100000000006</v>
      </c>
      <c r="AF1857">
        <v>-0.28002489342666897</v>
      </c>
      <c r="AG1857">
        <v>-1.120452657345</v>
      </c>
      <c r="AH1857">
        <v>22.124303823450902</v>
      </c>
      <c r="AI1857">
        <v>92.898951365311305</v>
      </c>
      <c r="AJ1857">
        <v>90.7251476935201</v>
      </c>
      <c r="AK1857">
        <v>22.154427272458602</v>
      </c>
      <c r="AL1857">
        <v>77.928304958063094</v>
      </c>
      <c r="AM1857">
        <v>88.433038768340097</v>
      </c>
      <c r="AN1857">
        <v>1.00000000937296</v>
      </c>
    </row>
    <row r="1858" spans="1:40" x14ac:dyDescent="0.25">
      <c r="A1858" t="str">
        <f>"20190303162250084"</f>
        <v>20190303162250084</v>
      </c>
      <c r="B1858" t="str">
        <f>"1551601370076665"</f>
        <v>1551601370076665</v>
      </c>
      <c r="C1858" t="s">
        <v>40</v>
      </c>
      <c r="D1858">
        <v>5.4219489999999997</v>
      </c>
      <c r="E1858">
        <v>0.48474089999999997</v>
      </c>
      <c r="F1858" t="s">
        <v>47</v>
      </c>
      <c r="G1858">
        <v>-279.23869999999999</v>
      </c>
      <c r="H1858" s="1">
        <v>3.4206389999999999E-6</v>
      </c>
      <c r="I1858">
        <v>283.67680000000001</v>
      </c>
      <c r="J1858">
        <v>-257.48680000000002</v>
      </c>
      <c r="K1858">
        <v>1.120441</v>
      </c>
      <c r="L1858">
        <v>283.98390000000001</v>
      </c>
      <c r="M1858">
        <v>-0.99994570000000005</v>
      </c>
      <c r="N1858">
        <v>-1.029743E-2</v>
      </c>
      <c r="O1858">
        <v>-1.598403E-3</v>
      </c>
      <c r="P1858">
        <v>-0.98013090000000003</v>
      </c>
      <c r="Q1858">
        <v>0.19672819999999999</v>
      </c>
      <c r="R1858">
        <v>2.5324739999999998E-2</v>
      </c>
      <c r="S1858">
        <v>-3.094849</v>
      </c>
      <c r="T1858">
        <v>-0.1553023</v>
      </c>
      <c r="U1858">
        <v>-4.2663569999999998E-2</v>
      </c>
      <c r="V1858">
        <v>2.700286E-2</v>
      </c>
      <c r="W1858">
        <v>0.20679549999999999</v>
      </c>
      <c r="X1858">
        <v>0.97801150000000003</v>
      </c>
      <c r="Y1858">
        <v>-1.21685E-2</v>
      </c>
      <c r="Z1858">
        <v>-3.041071E-4</v>
      </c>
      <c r="AA1858">
        <v>0.99992590000000003</v>
      </c>
      <c r="AB1858">
        <v>29</v>
      </c>
      <c r="AC1858">
        <v>-21.7518999999999</v>
      </c>
      <c r="AD1858">
        <v>-1.120437579361</v>
      </c>
      <c r="AE1858">
        <v>-0.30709999999999099</v>
      </c>
      <c r="AF1858">
        <v>-0.27160895441029198</v>
      </c>
      <c r="AG1858">
        <v>-1.120437579361</v>
      </c>
      <c r="AH1858">
        <v>21.694812449610101</v>
      </c>
      <c r="AI1858">
        <v>92.956206369229605</v>
      </c>
      <c r="AJ1858">
        <v>90.717279018645797</v>
      </c>
      <c r="AK1858">
        <v>21.725423793728801</v>
      </c>
      <c r="AL1858">
        <v>78.0653740242781</v>
      </c>
      <c r="AM1858">
        <v>88.418467516425906</v>
      </c>
      <c r="AN1858">
        <v>1.00000001370033</v>
      </c>
    </row>
    <row r="1859" spans="1:40" x14ac:dyDescent="0.25">
      <c r="A1859" t="str">
        <f>"20190303162250127"</f>
        <v>20190303162250127</v>
      </c>
      <c r="B1859" t="str">
        <f>"1551601370116680"</f>
        <v>1551601370116680</v>
      </c>
      <c r="C1859" t="s">
        <v>40</v>
      </c>
      <c r="D1859">
        <v>5.4276869999999997</v>
      </c>
      <c r="E1859">
        <v>0.48482130000000001</v>
      </c>
      <c r="F1859" t="s">
        <v>47</v>
      </c>
      <c r="G1859">
        <v>-278.46800000000002</v>
      </c>
      <c r="H1859" s="1">
        <v>3.0089480000000002E-6</v>
      </c>
      <c r="I1859">
        <v>283.7131</v>
      </c>
      <c r="J1859">
        <v>-258.04129999999998</v>
      </c>
      <c r="K1859">
        <v>1.120433</v>
      </c>
      <c r="L1859">
        <v>283.9837</v>
      </c>
      <c r="M1859">
        <v>-0.99994620000000001</v>
      </c>
      <c r="N1859">
        <v>-1.0311259999999999E-2</v>
      </c>
      <c r="O1859">
        <v>-1.082419E-3</v>
      </c>
      <c r="P1859">
        <v>-0.98067150000000003</v>
      </c>
      <c r="Q1859">
        <v>0.19386629999999999</v>
      </c>
      <c r="R1859">
        <v>2.6444180000000001E-2</v>
      </c>
      <c r="S1859">
        <v>-3.0950319999999998</v>
      </c>
      <c r="T1859">
        <v>-0.1652807</v>
      </c>
      <c r="U1859">
        <v>-3.9947509999999999E-2</v>
      </c>
      <c r="V1859">
        <v>2.7615979999999998E-2</v>
      </c>
      <c r="W1859">
        <v>0.203953</v>
      </c>
      <c r="X1859">
        <v>0.97859110000000005</v>
      </c>
      <c r="Y1859">
        <v>-1.1804449999999999E-2</v>
      </c>
      <c r="Z1859">
        <v>-3.2926279999999998E-4</v>
      </c>
      <c r="AA1859">
        <v>0.99993030000000005</v>
      </c>
      <c r="AB1859">
        <v>29</v>
      </c>
      <c r="AC1859">
        <v>-20.4267</v>
      </c>
      <c r="AD1859">
        <v>-1.1204299910519999</v>
      </c>
      <c r="AE1859">
        <v>-0.27060000000000101</v>
      </c>
      <c r="AF1859">
        <v>-0.24774317258683701</v>
      </c>
      <c r="AG1859">
        <v>-1.1204299910519999</v>
      </c>
      <c r="AH1859">
        <v>20.3657181917775</v>
      </c>
      <c r="AI1859">
        <v>93.148748506482207</v>
      </c>
      <c r="AJ1859">
        <v>90.696952493659097</v>
      </c>
      <c r="AK1859">
        <v>20.398019940948</v>
      </c>
      <c r="AL1859">
        <v>78.231784523146104</v>
      </c>
      <c r="AM1859">
        <v>88.383533968600702</v>
      </c>
      <c r="AN1859">
        <v>1.0000000047797799</v>
      </c>
    </row>
    <row r="1860" spans="1:40" x14ac:dyDescent="0.25">
      <c r="A1860" t="str">
        <f>"20190303162250149"</f>
        <v>20190303162250149</v>
      </c>
      <c r="B1860" t="str">
        <f>"1551601370145960"</f>
        <v>1551601370145960</v>
      </c>
      <c r="C1860" t="s">
        <v>40</v>
      </c>
      <c r="D1860">
        <v>5.1804489999999896</v>
      </c>
      <c r="E1860">
        <v>0.4848807</v>
      </c>
      <c r="F1860" t="s">
        <v>47</v>
      </c>
      <c r="G1860">
        <v>-277.74349999999998</v>
      </c>
      <c r="H1860" s="1">
        <v>2.6216719999999999E-6</v>
      </c>
      <c r="I1860">
        <v>283.75209999999998</v>
      </c>
      <c r="J1860">
        <v>-258.3349</v>
      </c>
      <c r="K1860">
        <v>1.1204209999999999</v>
      </c>
      <c r="L1860">
        <v>283.9837</v>
      </c>
      <c r="M1860">
        <v>-0.99994649999999996</v>
      </c>
      <c r="N1860">
        <v>-1.0318600000000001E-2</v>
      </c>
      <c r="O1860">
        <v>-8.0911109999999998E-4</v>
      </c>
      <c r="P1860">
        <v>-0.98093430000000004</v>
      </c>
      <c r="Q1860">
        <v>0.1923762</v>
      </c>
      <c r="R1860">
        <v>2.755409E-2</v>
      </c>
      <c r="S1860">
        <v>-3.09491</v>
      </c>
      <c r="T1860">
        <v>-0.17600250000000001</v>
      </c>
      <c r="U1860">
        <v>-3.6376949999999998E-2</v>
      </c>
      <c r="V1860">
        <v>2.845731E-2</v>
      </c>
      <c r="W1860">
        <v>0.2024725</v>
      </c>
      <c r="X1860">
        <v>0.97887440000000003</v>
      </c>
      <c r="Y1860">
        <v>-1.092391E-2</v>
      </c>
      <c r="Z1860">
        <v>-3.2913730000000001E-4</v>
      </c>
      <c r="AA1860">
        <v>0.9999403</v>
      </c>
      <c r="AB1860">
        <v>29</v>
      </c>
      <c r="AC1860">
        <v>-19.4085999999999</v>
      </c>
      <c r="AD1860">
        <v>-1.120418378328</v>
      </c>
      <c r="AE1860">
        <v>-0.23160000000001399</v>
      </c>
      <c r="AF1860">
        <v>-0.21517839244592099</v>
      </c>
      <c r="AG1860">
        <v>-1.120418378328</v>
      </c>
      <c r="AH1860">
        <v>19.344324983791701</v>
      </c>
      <c r="AI1860">
        <v>93.314648892538202</v>
      </c>
      <c r="AJ1860">
        <v>90.637308630749899</v>
      </c>
      <c r="AK1860">
        <v>19.377939729538301</v>
      </c>
      <c r="AL1860">
        <v>78.318418665202998</v>
      </c>
      <c r="AM1860">
        <v>88.334796928309302</v>
      </c>
      <c r="AN1860">
        <v>1.00000001136202</v>
      </c>
    </row>
    <row r="1861" spans="1:40" x14ac:dyDescent="0.25">
      <c r="A1861" t="str">
        <f>"20190303162250173"</f>
        <v>20190303162250173</v>
      </c>
      <c r="B1861" t="str">
        <f>"1551601370166456"</f>
        <v>1551601370166456</v>
      </c>
      <c r="C1861" t="s">
        <v>40</v>
      </c>
      <c r="D1861">
        <v>5.4861199999999997</v>
      </c>
      <c r="E1861">
        <v>0.48489579999999999</v>
      </c>
      <c r="F1861" t="s">
        <v>47</v>
      </c>
      <c r="G1861">
        <v>-277.43290000000002</v>
      </c>
      <c r="H1861" s="1">
        <v>2.4552429999999999E-6</v>
      </c>
      <c r="I1861">
        <v>283.77839999999998</v>
      </c>
      <c r="J1861">
        <v>-258.62580000000003</v>
      </c>
      <c r="K1861">
        <v>1.120417</v>
      </c>
      <c r="L1861">
        <v>283.9837</v>
      </c>
      <c r="M1861">
        <v>-0.99994669999999997</v>
      </c>
      <c r="N1861">
        <v>-1.0325839999999999E-2</v>
      </c>
      <c r="O1861">
        <v>-5.3830600000000001E-4</v>
      </c>
      <c r="P1861">
        <v>-0.98120209999999997</v>
      </c>
      <c r="Q1861">
        <v>0.19093570000000001</v>
      </c>
      <c r="R1861">
        <v>2.804448E-2</v>
      </c>
      <c r="S1861">
        <v>-3.094849</v>
      </c>
      <c r="T1861">
        <v>-0.1815648</v>
      </c>
      <c r="U1861">
        <v>-3.3264160000000001E-2</v>
      </c>
      <c r="V1861">
        <v>2.8681760000000001E-2</v>
      </c>
      <c r="W1861">
        <v>0.20104150000000001</v>
      </c>
      <c r="X1861">
        <v>0.9791628</v>
      </c>
      <c r="Y1861">
        <v>-1.018933E-2</v>
      </c>
      <c r="Z1861">
        <v>-3.25287E-4</v>
      </c>
      <c r="AA1861">
        <v>0.99994799999999995</v>
      </c>
      <c r="AB1861">
        <v>29</v>
      </c>
      <c r="AC1861">
        <v>-18.807099999999899</v>
      </c>
      <c r="AD1861">
        <v>-1.120414544757</v>
      </c>
      <c r="AE1861">
        <v>-0.20530000000002199</v>
      </c>
      <c r="AF1861">
        <v>-0.19448529881270701</v>
      </c>
      <c r="AG1861">
        <v>-1.120414544757</v>
      </c>
      <c r="AH1861">
        <v>18.740703765974899</v>
      </c>
      <c r="AI1861">
        <v>93.421176801406702</v>
      </c>
      <c r="AJ1861">
        <v>90.594576753185606</v>
      </c>
      <c r="AK1861">
        <v>18.7751732595889</v>
      </c>
      <c r="AL1861">
        <v>78.402130968227397</v>
      </c>
      <c r="AM1861">
        <v>88.322164580991597</v>
      </c>
      <c r="AN1861">
        <v>1.00000005849139</v>
      </c>
    </row>
    <row r="1862" spans="1:40" x14ac:dyDescent="0.25">
      <c r="A1862" t="str">
        <f>"20190303162250195"</f>
        <v>20190303162250195</v>
      </c>
      <c r="B1862" t="str">
        <f>"1551601370185976"</f>
        <v>1551601370185976</v>
      </c>
      <c r="C1862" t="s">
        <v>40</v>
      </c>
      <c r="D1862">
        <v>5.4870039999999998</v>
      </c>
      <c r="E1862">
        <v>0.48494090000000001</v>
      </c>
      <c r="F1862" t="s">
        <v>47</v>
      </c>
      <c r="G1862">
        <v>-277.23540000000003</v>
      </c>
      <c r="H1862" s="1">
        <v>2.3495469999999999E-6</v>
      </c>
      <c r="I1862">
        <v>283.7921</v>
      </c>
      <c r="J1862">
        <v>-258.91390000000001</v>
      </c>
      <c r="K1862">
        <v>1.120412</v>
      </c>
      <c r="L1862">
        <v>283.98390000000001</v>
      </c>
      <c r="M1862">
        <v>-0.99994669999999997</v>
      </c>
      <c r="N1862">
        <v>-1.03328E-2</v>
      </c>
      <c r="O1862">
        <v>-2.6976609999999999E-4</v>
      </c>
      <c r="P1862">
        <v>-0.98136140000000005</v>
      </c>
      <c r="Q1862">
        <v>0.189998</v>
      </c>
      <c r="R1862">
        <v>2.8821340000000001E-2</v>
      </c>
      <c r="S1862">
        <v>-3.0946349999999998</v>
      </c>
      <c r="T1862">
        <v>-0.1863166</v>
      </c>
      <c r="U1862">
        <v>-3.1860350000000003E-2</v>
      </c>
      <c r="V1862">
        <v>2.9194540000000001E-2</v>
      </c>
      <c r="W1862">
        <v>0.2001124</v>
      </c>
      <c r="X1862">
        <v>0.97933789999999998</v>
      </c>
      <c r="Y1862">
        <v>-1.000415E-2</v>
      </c>
      <c r="Z1862">
        <v>-3.391779E-4</v>
      </c>
      <c r="AA1862">
        <v>0.99994989999999995</v>
      </c>
      <c r="AB1862">
        <v>29</v>
      </c>
      <c r="AC1862">
        <v>-18.3215</v>
      </c>
      <c r="AD1862">
        <v>-1.1204096504529999</v>
      </c>
      <c r="AE1862">
        <v>-0.1918</v>
      </c>
      <c r="AF1862">
        <v>-0.18616110797350699</v>
      </c>
      <c r="AG1862">
        <v>-1.1204096504529999</v>
      </c>
      <c r="AH1862">
        <v>18.253297507783198</v>
      </c>
      <c r="AI1862">
        <v>93.512295738556602</v>
      </c>
      <c r="AJ1862">
        <v>90.584325982688398</v>
      </c>
      <c r="AK1862">
        <v>18.2885987339269</v>
      </c>
      <c r="AL1862">
        <v>78.456468140824896</v>
      </c>
      <c r="AM1862">
        <v>88.292490575823606</v>
      </c>
      <c r="AN1862">
        <v>1.0000000080879901</v>
      </c>
    </row>
    <row r="1863" spans="1:40" x14ac:dyDescent="0.25">
      <c r="A1863" t="str">
        <f>"20190303162250218"</f>
        <v>20190303162250218</v>
      </c>
      <c r="B1863" t="str">
        <f>"1551601370206472"</f>
        <v>1551601370206472</v>
      </c>
      <c r="C1863" t="s">
        <v>40</v>
      </c>
      <c r="D1863">
        <v>5.6040219999999996</v>
      </c>
      <c r="E1863">
        <v>0.4849523</v>
      </c>
      <c r="F1863" t="s">
        <v>47</v>
      </c>
      <c r="G1863">
        <v>-277.21800000000002</v>
      </c>
      <c r="H1863" s="1">
        <v>2.3395670000000002E-6</v>
      </c>
      <c r="I1863">
        <v>283.80829999999997</v>
      </c>
      <c r="J1863">
        <v>-259.20490000000001</v>
      </c>
      <c r="K1863">
        <v>1.1204130000000001</v>
      </c>
      <c r="L1863">
        <v>283.98410000000001</v>
      </c>
      <c r="M1863">
        <v>-0.99994669999999997</v>
      </c>
      <c r="N1863">
        <v>-1.033979E-2</v>
      </c>
      <c r="O1863" s="1">
        <v>1.337732E-6</v>
      </c>
      <c r="P1863">
        <v>-0.9814716</v>
      </c>
      <c r="Q1863">
        <v>0.18914510000000001</v>
      </c>
      <c r="R1863">
        <v>3.0623210000000001E-2</v>
      </c>
      <c r="S1863">
        <v>-3.0945130000000001</v>
      </c>
      <c r="T1863">
        <v>-0.18941839999999999</v>
      </c>
      <c r="U1863">
        <v>-2.9693600000000001E-2</v>
      </c>
      <c r="V1863">
        <v>3.0730070000000002E-2</v>
      </c>
      <c r="W1863">
        <v>0.19926669999999999</v>
      </c>
      <c r="X1863">
        <v>0.97946330000000004</v>
      </c>
      <c r="Y1863">
        <v>-9.5755059999999993E-3</v>
      </c>
      <c r="Z1863">
        <v>-3.4241160000000003E-4</v>
      </c>
      <c r="AA1863">
        <v>0.99995409999999996</v>
      </c>
      <c r="AB1863">
        <v>29</v>
      </c>
      <c r="AC1863">
        <v>-18.013100000000001</v>
      </c>
      <c r="AD1863">
        <v>-1.120410660433</v>
      </c>
      <c r="AE1863">
        <v>-0.17580000000003701</v>
      </c>
      <c r="AF1863">
        <v>-0.17514655355911499</v>
      </c>
      <c r="AG1863">
        <v>-1.120410660433</v>
      </c>
      <c r="AH1863">
        <v>17.943685643121398</v>
      </c>
      <c r="AI1863">
        <v>93.572762277573503</v>
      </c>
      <c r="AJ1863">
        <v>90.559240717454202</v>
      </c>
      <c r="AK1863">
        <v>17.979484164524699</v>
      </c>
      <c r="AL1863">
        <v>78.505918552412197</v>
      </c>
      <c r="AM1863">
        <v>88.202968974553698</v>
      </c>
      <c r="AN1863">
        <v>0.99999995548899101</v>
      </c>
    </row>
    <row r="1864" spans="1:40" x14ac:dyDescent="0.25">
      <c r="A1864" t="str">
        <f>"20190303162250241"</f>
        <v>20190303162250241</v>
      </c>
      <c r="B1864" t="str">
        <f>"1551601370225992"</f>
        <v>1551601370225992</v>
      </c>
      <c r="C1864" t="s">
        <v>40</v>
      </c>
      <c r="D1864">
        <v>5.486453</v>
      </c>
      <c r="E1864">
        <v>0.47775909999999999</v>
      </c>
      <c r="F1864" t="s">
        <v>47</v>
      </c>
      <c r="G1864">
        <v>-277.21319999999997</v>
      </c>
      <c r="H1864" s="1">
        <v>2.335679E-6</v>
      </c>
      <c r="I1864">
        <v>283.83969999999999</v>
      </c>
      <c r="J1864">
        <v>-259.51029999999997</v>
      </c>
      <c r="K1864">
        <v>1.120411</v>
      </c>
      <c r="L1864">
        <v>283.98439999999999</v>
      </c>
      <c r="M1864">
        <v>-0.99994649999999996</v>
      </c>
      <c r="N1864">
        <v>-1.034737E-2</v>
      </c>
      <c r="O1864">
        <v>2.8549389999999998E-4</v>
      </c>
      <c r="P1864">
        <v>-0.98156469999999996</v>
      </c>
      <c r="Q1864">
        <v>0.18840950000000001</v>
      </c>
      <c r="R1864">
        <v>3.2139180000000003E-2</v>
      </c>
      <c r="S1864">
        <v>-3.0945429999999998</v>
      </c>
      <c r="T1864">
        <v>-0.1925309</v>
      </c>
      <c r="U1864">
        <v>-2.4810789999999999E-2</v>
      </c>
      <c r="V1864">
        <v>3.1967160000000001E-2</v>
      </c>
      <c r="W1864">
        <v>0.19853860000000001</v>
      </c>
      <c r="X1864">
        <v>0.97957159999999999</v>
      </c>
      <c r="Y1864">
        <v>-8.2837659999999997E-3</v>
      </c>
      <c r="Z1864">
        <v>-3.1514029999999999E-4</v>
      </c>
      <c r="AA1864">
        <v>0.99996569999999996</v>
      </c>
      <c r="AB1864">
        <v>29</v>
      </c>
      <c r="AC1864">
        <v>-17.7029</v>
      </c>
      <c r="AD1864">
        <v>-1.1204086643210001</v>
      </c>
      <c r="AE1864">
        <v>-0.1447</v>
      </c>
      <c r="AF1864">
        <v>-0.14915691604293099</v>
      </c>
      <c r="AG1864">
        <v>-1.1204086643210001</v>
      </c>
      <c r="AH1864">
        <v>17.632235568964301</v>
      </c>
      <c r="AI1864">
        <v>93.635739114123794</v>
      </c>
      <c r="AJ1864">
        <v>90.484672399986707</v>
      </c>
      <c r="AK1864">
        <v>17.668426486819399</v>
      </c>
      <c r="AL1864">
        <v>78.548486629691098</v>
      </c>
      <c r="AM1864">
        <v>88.130883362852501</v>
      </c>
      <c r="AN1864">
        <v>0.999999997267492</v>
      </c>
    </row>
    <row r="1865" spans="1:40" x14ac:dyDescent="0.25">
      <c r="A1865" t="str">
        <f>"20190303162250265"</f>
        <v>20190303162250265</v>
      </c>
      <c r="B1865" t="str">
        <f>"1551601370256249"</f>
        <v>1551601370256249</v>
      </c>
      <c r="C1865" t="s">
        <v>40</v>
      </c>
      <c r="D1865">
        <v>5.5557559999999997</v>
      </c>
      <c r="E1865">
        <v>0.47722870000000001</v>
      </c>
      <c r="F1865" t="s">
        <v>47</v>
      </c>
      <c r="G1865">
        <v>-271.81779999999998</v>
      </c>
      <c r="H1865" s="1">
        <v>-5.2834459999999999E-7</v>
      </c>
      <c r="I1865">
        <v>283.67649999999998</v>
      </c>
      <c r="J1865">
        <v>-259.79790000000003</v>
      </c>
      <c r="K1865">
        <v>1.1204069999999999</v>
      </c>
      <c r="L1865">
        <v>283.98480000000001</v>
      </c>
      <c r="M1865">
        <v>-0.99994620000000001</v>
      </c>
      <c r="N1865">
        <v>-1.03547E-2</v>
      </c>
      <c r="O1865">
        <v>5.5331919999999999E-4</v>
      </c>
      <c r="P1865">
        <v>-0.98154929999999996</v>
      </c>
      <c r="Q1865">
        <v>0.18824070000000001</v>
      </c>
      <c r="R1865">
        <v>3.3563549999999998E-2</v>
      </c>
      <c r="S1865">
        <v>-3.1133419999999998</v>
      </c>
      <c r="T1865">
        <v>-0.28342070000000003</v>
      </c>
      <c r="U1865">
        <v>-7.7880859999999996E-2</v>
      </c>
      <c r="V1865">
        <v>3.3128659999999997E-2</v>
      </c>
      <c r="W1865">
        <v>0.19837689999999999</v>
      </c>
      <c r="X1865">
        <v>0.97956580000000004</v>
      </c>
      <c r="Y1865">
        <v>-2.544159E-2</v>
      </c>
      <c r="Z1865">
        <v>-1.332047E-3</v>
      </c>
      <c r="AA1865">
        <v>0.99967539999999999</v>
      </c>
      <c r="AB1865">
        <v>29</v>
      </c>
      <c r="AC1865">
        <v>-12.0198999999999</v>
      </c>
      <c r="AD1865">
        <v>-1.1204075283446</v>
      </c>
      <c r="AE1865">
        <v>-0.30830000000003099</v>
      </c>
      <c r="AF1865">
        <v>-0.31224000291292803</v>
      </c>
      <c r="AG1865">
        <v>-1.1204075283446</v>
      </c>
      <c r="AH1865">
        <v>11.9162598909093</v>
      </c>
      <c r="AI1865">
        <v>95.369521831320995</v>
      </c>
      <c r="AJ1865">
        <v>91.5009694184088</v>
      </c>
      <c r="AK1865">
        <v>11.972888399909399</v>
      </c>
      <c r="AL1865">
        <v>78.5579397520425</v>
      </c>
      <c r="AM1865">
        <v>88.063009941235194</v>
      </c>
      <c r="AN1865">
        <v>1.00000002954832</v>
      </c>
    </row>
    <row r="1866" spans="1:40" x14ac:dyDescent="0.25">
      <c r="A1866" t="str">
        <f>"20190303162250285"</f>
        <v>20190303162250285</v>
      </c>
      <c r="B1866" t="str">
        <f>"1551601370276744"</f>
        <v>1551601370276744</v>
      </c>
      <c r="C1866" t="s">
        <v>40</v>
      </c>
      <c r="D1866">
        <v>5.5391550000000001</v>
      </c>
      <c r="E1866">
        <v>0.47721930000000001</v>
      </c>
      <c r="F1866" t="s">
        <v>42</v>
      </c>
      <c r="G1866">
        <v>-260.77289999999999</v>
      </c>
      <c r="H1866">
        <v>1.0295570000000001</v>
      </c>
      <c r="I1866">
        <v>283.96039999999999</v>
      </c>
      <c r="J1866">
        <v>-260.08730000000003</v>
      </c>
      <c r="K1866">
        <v>1.120412</v>
      </c>
      <c r="L1866">
        <v>283.98520000000002</v>
      </c>
      <c r="M1866">
        <v>-0.99994609999999995</v>
      </c>
      <c r="N1866">
        <v>-1.0362100000000001E-2</v>
      </c>
      <c r="O1866">
        <v>8.2239569999999998E-4</v>
      </c>
      <c r="P1866">
        <v>-0.98152600000000001</v>
      </c>
      <c r="Q1866">
        <v>0.1882258</v>
      </c>
      <c r="R1866">
        <v>3.4325250000000002E-2</v>
      </c>
      <c r="S1866">
        <v>-3.1146850000000001</v>
      </c>
      <c r="T1866">
        <v>-0.29019010000000001</v>
      </c>
      <c r="U1866">
        <v>-7.8277589999999994E-2</v>
      </c>
      <c r="V1866">
        <v>3.3626450000000002E-2</v>
      </c>
      <c r="W1866">
        <v>0.1983685</v>
      </c>
      <c r="X1866">
        <v>0.97955049999999999</v>
      </c>
      <c r="Y1866">
        <v>-2.581897E-2</v>
      </c>
      <c r="Z1866">
        <v>-1.4020230000000001E-3</v>
      </c>
      <c r="AA1866">
        <v>0.99966569999999999</v>
      </c>
      <c r="AB1866">
        <v>29</v>
      </c>
      <c r="AC1866">
        <v>-0.68559999999996502</v>
      </c>
      <c r="AD1866">
        <v>-9.0855000000000102E-2</v>
      </c>
      <c r="AE1866">
        <v>-2.4800000000027401E-2</v>
      </c>
      <c r="AF1866">
        <v>-2.49266839743424E-2</v>
      </c>
      <c r="AG1866">
        <v>-9.0855000000000102E-2</v>
      </c>
      <c r="AH1866">
        <v>0.67376270112458603</v>
      </c>
      <c r="AI1866">
        <v>97.674660556305795</v>
      </c>
      <c r="AJ1866">
        <v>92.118761874698805</v>
      </c>
      <c r="AK1866">
        <v>0.680317681694115</v>
      </c>
      <c r="AL1866">
        <v>78.558430348128795</v>
      </c>
      <c r="AM1866">
        <v>88.033896789545395</v>
      </c>
      <c r="AN1866">
        <v>0.99999999099105097</v>
      </c>
    </row>
    <row r="1867" spans="1:40" x14ac:dyDescent="0.25">
      <c r="A1867" t="str">
        <f>"20190303162250317"</f>
        <v>20190303162250317</v>
      </c>
      <c r="B1867" t="str">
        <f>"1551601370306024"</f>
        <v>1551601370306024</v>
      </c>
      <c r="C1867" t="s">
        <v>40</v>
      </c>
      <c r="D1867">
        <v>5.4867410000000003</v>
      </c>
      <c r="E1867">
        <v>0.47748879999999999</v>
      </c>
      <c r="F1867" t="s">
        <v>42</v>
      </c>
      <c r="G1867">
        <v>-261.03309999999999</v>
      </c>
      <c r="H1867">
        <v>1.031266</v>
      </c>
      <c r="I1867">
        <v>283.96210000000002</v>
      </c>
      <c r="J1867">
        <v>-260.4975</v>
      </c>
      <c r="K1867">
        <v>1.120414</v>
      </c>
      <c r="L1867">
        <v>283.98599999999999</v>
      </c>
      <c r="M1867">
        <v>-0.99994559999999999</v>
      </c>
      <c r="N1867">
        <v>-1.037252E-2</v>
      </c>
      <c r="O1867">
        <v>1.2039900000000001E-3</v>
      </c>
      <c r="P1867">
        <v>-0.98123939999999998</v>
      </c>
      <c r="Q1867">
        <v>0.189584</v>
      </c>
      <c r="R1867">
        <v>3.5032260000000003E-2</v>
      </c>
      <c r="S1867">
        <v>-3.1154790000000001</v>
      </c>
      <c r="T1867">
        <v>-0.29370669999999999</v>
      </c>
      <c r="U1867">
        <v>-7.6538090000000003E-2</v>
      </c>
      <c r="V1867">
        <v>3.3960249999999997E-2</v>
      </c>
      <c r="W1867">
        <v>0.19973389999999999</v>
      </c>
      <c r="X1867">
        <v>0.97926150000000001</v>
      </c>
      <c r="Y1867">
        <v>-2.5632930000000002E-2</v>
      </c>
      <c r="Z1867">
        <v>-1.439461E-3</v>
      </c>
      <c r="AA1867">
        <v>0.99967039999999996</v>
      </c>
      <c r="AB1867">
        <v>29</v>
      </c>
      <c r="AC1867">
        <v>-0.53559999999998797</v>
      </c>
      <c r="AD1867">
        <v>-8.9148000000000005E-2</v>
      </c>
      <c r="AE1867">
        <v>-2.3899999999969099E-2</v>
      </c>
      <c r="AF1867">
        <v>-2.3884493883721901E-2</v>
      </c>
      <c r="AG1867">
        <v>-8.9148000000000005E-2</v>
      </c>
      <c r="AH1867">
        <v>0.52116128830707997</v>
      </c>
      <c r="AI1867">
        <v>99.696880535124194</v>
      </c>
      <c r="AJ1867">
        <v>92.623993462334198</v>
      </c>
      <c r="AK1867">
        <v>0.52927017994780101</v>
      </c>
      <c r="AL1867">
        <v>78.478601421244505</v>
      </c>
      <c r="AM1867">
        <v>88.013809877138996</v>
      </c>
      <c r="AN1867">
        <v>1.00000000738576</v>
      </c>
    </row>
    <row r="1868" spans="1:40" x14ac:dyDescent="0.25">
      <c r="A1868" t="str">
        <f>"20190303162250340"</f>
        <v>20190303162250340</v>
      </c>
      <c r="B1868" t="str">
        <f>"1551601370336280"</f>
        <v>1551601370336280</v>
      </c>
      <c r="C1868" t="s">
        <v>40</v>
      </c>
      <c r="D1868">
        <v>5.4011589999999998</v>
      </c>
      <c r="E1868">
        <v>0.47719650000000002</v>
      </c>
      <c r="F1868" t="s">
        <v>47</v>
      </c>
      <c r="G1868">
        <v>-272.8417</v>
      </c>
      <c r="H1868" s="1">
        <v>1.566731E-8</v>
      </c>
      <c r="I1868">
        <v>283.69580000000002</v>
      </c>
      <c r="J1868">
        <v>-260.79320000000001</v>
      </c>
      <c r="K1868">
        <v>1.1204149999999999</v>
      </c>
      <c r="L1868">
        <v>283.98660000000001</v>
      </c>
      <c r="M1868">
        <v>-0.99994499999999997</v>
      </c>
      <c r="N1868">
        <v>-1.038014E-2</v>
      </c>
      <c r="O1868">
        <v>1.478727E-3</v>
      </c>
      <c r="P1868">
        <v>-0.98111210000000004</v>
      </c>
      <c r="Q1868">
        <v>0.19017310000000001</v>
      </c>
      <c r="R1868">
        <v>3.5400029999999999E-2</v>
      </c>
      <c r="S1868">
        <v>-3.114563</v>
      </c>
      <c r="T1868">
        <v>-0.28269179999999999</v>
      </c>
      <c r="U1868">
        <v>-7.3211670000000006E-2</v>
      </c>
      <c r="V1868">
        <v>3.4058989999999997E-2</v>
      </c>
      <c r="W1868">
        <v>0.2003287</v>
      </c>
      <c r="X1868">
        <v>0.97913660000000002</v>
      </c>
      <c r="Y1868">
        <v>-2.4859490000000001E-2</v>
      </c>
      <c r="Z1868">
        <v>-1.3736530000000001E-3</v>
      </c>
      <c r="AA1868">
        <v>0.99968999999999997</v>
      </c>
      <c r="AB1868">
        <v>29</v>
      </c>
      <c r="AC1868">
        <v>-12.048499999999899</v>
      </c>
      <c r="AD1868">
        <v>-1.12041498433269</v>
      </c>
      <c r="AE1868">
        <v>-0.29079999999999001</v>
      </c>
      <c r="AF1868">
        <v>-0.30597271831050799</v>
      </c>
      <c r="AG1868">
        <v>-1.12041498433269</v>
      </c>
      <c r="AH1868">
        <v>11.9448237573311</v>
      </c>
      <c r="AI1868">
        <v>95.356872811564898</v>
      </c>
      <c r="AJ1868">
        <v>91.467339571996504</v>
      </c>
      <c r="AK1868">
        <v>12.001156762377899</v>
      </c>
      <c r="AL1868">
        <v>78.443819327076397</v>
      </c>
      <c r="AM1868">
        <v>88.007785748911104</v>
      </c>
      <c r="AN1868">
        <v>1.00000004215153</v>
      </c>
    </row>
    <row r="1869" spans="1:40" x14ac:dyDescent="0.25">
      <c r="A1869" t="str">
        <f>"20190303162250363"</f>
        <v>20190303162250363</v>
      </c>
      <c r="B1869" t="str">
        <f>"1551601370356776"</f>
        <v>1551601370356776</v>
      </c>
      <c r="C1869" t="s">
        <v>40</v>
      </c>
      <c r="D1869">
        <v>5.5471009999999996</v>
      </c>
      <c r="E1869">
        <v>0.47713460000000002</v>
      </c>
      <c r="F1869" t="s">
        <v>47</v>
      </c>
      <c r="G1869">
        <v>-273.21230000000003</v>
      </c>
      <c r="H1869" s="1">
        <v>2.1327899999999999E-7</v>
      </c>
      <c r="I1869">
        <v>283.68700000000001</v>
      </c>
      <c r="J1869">
        <v>-261.09129999999999</v>
      </c>
      <c r="K1869">
        <v>1.1204149999999999</v>
      </c>
      <c r="L1869">
        <v>283.98739999999998</v>
      </c>
      <c r="M1869">
        <v>-0.99994459999999996</v>
      </c>
      <c r="N1869">
        <v>-1.038766E-2</v>
      </c>
      <c r="O1869">
        <v>1.755436E-3</v>
      </c>
      <c r="P1869">
        <v>-0.981097</v>
      </c>
      <c r="Q1869">
        <v>0.19018660000000001</v>
      </c>
      <c r="R1869">
        <v>3.574799E-2</v>
      </c>
      <c r="S1869">
        <v>-3.1149290000000001</v>
      </c>
      <c r="T1869">
        <v>-0.28101920000000002</v>
      </c>
      <c r="U1869">
        <v>-7.5134279999999998E-2</v>
      </c>
      <c r="V1869">
        <v>3.4135869999999999E-2</v>
      </c>
      <c r="W1869">
        <v>0.20034969999999999</v>
      </c>
      <c r="X1869">
        <v>0.97912960000000004</v>
      </c>
      <c r="Y1869">
        <v>-2.5746499999999999E-2</v>
      </c>
      <c r="Z1869">
        <v>-1.4327389999999999E-3</v>
      </c>
      <c r="AA1869">
        <v>0.99966750000000004</v>
      </c>
      <c r="AB1869">
        <v>29</v>
      </c>
      <c r="AC1869">
        <v>-12.121</v>
      </c>
      <c r="AD1869">
        <v>-1.1204147867209999</v>
      </c>
      <c r="AE1869">
        <v>-0.30039999999996703</v>
      </c>
      <c r="AF1869">
        <v>-0.31895472413732201</v>
      </c>
      <c r="AG1869">
        <v>-1.1204147867209999</v>
      </c>
      <c r="AH1869">
        <v>12.017832020775399</v>
      </c>
      <c r="AI1869">
        <v>95.324388951640998</v>
      </c>
      <c r="AJ1869">
        <v>91.520280076293702</v>
      </c>
      <c r="AK1869">
        <v>12.074160338919199</v>
      </c>
      <c r="AL1869">
        <v>78.442590920222202</v>
      </c>
      <c r="AM1869">
        <v>88.003278175735602</v>
      </c>
      <c r="AN1869">
        <v>1.00000001675345</v>
      </c>
    </row>
    <row r="1870" spans="1:40" x14ac:dyDescent="0.25">
      <c r="A1870" t="str">
        <f>"20190303162250386"</f>
        <v>20190303162250386</v>
      </c>
      <c r="B1870" t="str">
        <f>"1551601370376296"</f>
        <v>1551601370376296</v>
      </c>
      <c r="C1870" t="s">
        <v>40</v>
      </c>
      <c r="D1870">
        <v>5.6078460000000003</v>
      </c>
      <c r="E1870">
        <v>0.47688390000000003</v>
      </c>
      <c r="F1870" t="s">
        <v>42</v>
      </c>
      <c r="G1870">
        <v>-262.08120000000002</v>
      </c>
      <c r="H1870">
        <v>1.031406</v>
      </c>
      <c r="I1870">
        <v>283.96370000000002</v>
      </c>
      <c r="J1870">
        <v>-261.38170000000002</v>
      </c>
      <c r="K1870">
        <v>1.120412</v>
      </c>
      <c r="L1870">
        <v>283.98820000000001</v>
      </c>
      <c r="M1870">
        <v>-0.99994400000000006</v>
      </c>
      <c r="N1870">
        <v>-1.0394860000000001E-2</v>
      </c>
      <c r="O1870">
        <v>2.0250490000000001E-3</v>
      </c>
      <c r="P1870">
        <v>-0.98095330000000003</v>
      </c>
      <c r="Q1870">
        <v>0.19083600000000001</v>
      </c>
      <c r="R1870">
        <v>3.6231039999999999E-2</v>
      </c>
      <c r="S1870">
        <v>-3.1148380000000002</v>
      </c>
      <c r="T1870">
        <v>-0.28013959999999999</v>
      </c>
      <c r="U1870">
        <v>-7.5042719999999993E-2</v>
      </c>
      <c r="V1870">
        <v>3.4355379999999998E-2</v>
      </c>
      <c r="W1870">
        <v>0.20100460000000001</v>
      </c>
      <c r="X1870">
        <v>0.97898770000000002</v>
      </c>
      <c r="Y1870">
        <v>-2.5986160000000001E-2</v>
      </c>
      <c r="Z1870">
        <v>-1.462152E-3</v>
      </c>
      <c r="AA1870">
        <v>0.99966120000000003</v>
      </c>
      <c r="AB1870">
        <v>29</v>
      </c>
      <c r="AC1870">
        <v>-0.69950000000000001</v>
      </c>
      <c r="AD1870">
        <v>-8.9006000000000099E-2</v>
      </c>
      <c r="AE1870">
        <v>-2.4499999999988999E-2</v>
      </c>
      <c r="AF1870">
        <v>-2.5504126608404398E-2</v>
      </c>
      <c r="AG1870">
        <v>-8.9006000000000099E-2</v>
      </c>
      <c r="AH1870">
        <v>0.68831831246847097</v>
      </c>
      <c r="AI1870">
        <v>97.362998400192097</v>
      </c>
      <c r="AJ1870">
        <v>92.121998795663302</v>
      </c>
      <c r="AK1870">
        <v>0.69451755038263896</v>
      </c>
      <c r="AL1870">
        <v>78.404288894134396</v>
      </c>
      <c r="AM1870">
        <v>87.990157754551305</v>
      </c>
      <c r="AN1870">
        <v>1.0000000290536899</v>
      </c>
    </row>
    <row r="1871" spans="1:40" x14ac:dyDescent="0.25">
      <c r="A1871" t="str">
        <f>"20190303162250406"</f>
        <v>20190303162250406</v>
      </c>
      <c r="B1871" t="str">
        <f>"1551601370396791"</f>
        <v>1551601370396791</v>
      </c>
      <c r="C1871" t="s">
        <v>40</v>
      </c>
      <c r="D1871">
        <v>5.6043139999999996</v>
      </c>
      <c r="E1871">
        <v>0.47667490000000001</v>
      </c>
      <c r="F1871" t="s">
        <v>47</v>
      </c>
      <c r="G1871">
        <v>-273.95030000000003</v>
      </c>
      <c r="H1871" s="1">
        <v>6.0611709999999999E-7</v>
      </c>
      <c r="I1871">
        <v>283.68329999999997</v>
      </c>
      <c r="J1871">
        <v>-261.65199999999999</v>
      </c>
      <c r="K1871">
        <v>1.120404</v>
      </c>
      <c r="L1871">
        <v>283.98899999999998</v>
      </c>
      <c r="M1871">
        <v>-0.99994340000000004</v>
      </c>
      <c r="N1871">
        <v>-1.040135E-2</v>
      </c>
      <c r="O1871">
        <v>2.276307E-3</v>
      </c>
      <c r="P1871">
        <v>-0.9809059</v>
      </c>
      <c r="Q1871">
        <v>0.19098689999999999</v>
      </c>
      <c r="R1871">
        <v>3.6712839999999997E-2</v>
      </c>
      <c r="S1871">
        <v>-3.1150820000000001</v>
      </c>
      <c r="T1871">
        <v>-0.2776902</v>
      </c>
      <c r="U1871">
        <v>-7.5561519999999993E-2</v>
      </c>
      <c r="V1871">
        <v>3.4591049999999998E-2</v>
      </c>
      <c r="W1871">
        <v>0.20116110000000001</v>
      </c>
      <c r="X1871">
        <v>0.97894720000000002</v>
      </c>
      <c r="Y1871">
        <v>-2.6401299999999999E-2</v>
      </c>
      <c r="Z1871">
        <v>-1.490744E-3</v>
      </c>
      <c r="AA1871">
        <v>0.99965029999999999</v>
      </c>
      <c r="AB1871">
        <v>29</v>
      </c>
      <c r="AC1871">
        <v>-12.298299999999999</v>
      </c>
      <c r="AD1871">
        <v>-1.1204033938828999</v>
      </c>
      <c r="AE1871">
        <v>-0.30570000000005798</v>
      </c>
      <c r="AF1871">
        <v>-0.330950357351462</v>
      </c>
      <c r="AG1871">
        <v>-1.1204033938828999</v>
      </c>
      <c r="AH1871">
        <v>12.196409068624</v>
      </c>
      <c r="AI1871">
        <v>95.246732471263897</v>
      </c>
      <c r="AJ1871">
        <v>91.554343303609102</v>
      </c>
      <c r="AK1871">
        <v>12.2522335136607</v>
      </c>
      <c r="AL1871">
        <v>78.395134492104106</v>
      </c>
      <c r="AM1871">
        <v>87.976298473489393</v>
      </c>
      <c r="AN1871">
        <v>0.999999974640575</v>
      </c>
    </row>
    <row r="1872" spans="1:40" x14ac:dyDescent="0.25">
      <c r="A1872" t="str">
        <f>"20190303162250420"</f>
        <v>20190303162250420</v>
      </c>
      <c r="B1872" t="str">
        <f>"1551601370416312"</f>
        <v>1551601370416312</v>
      </c>
      <c r="C1872" t="s">
        <v>40</v>
      </c>
      <c r="D1872">
        <v>5.6012810000000002</v>
      </c>
      <c r="E1872">
        <v>0.47645169999999998</v>
      </c>
      <c r="F1872" t="s">
        <v>47</v>
      </c>
      <c r="G1872">
        <v>-274.25420000000003</v>
      </c>
      <c r="H1872" s="1">
        <v>7.678944E-7</v>
      </c>
      <c r="I1872">
        <v>283.68259999999998</v>
      </c>
      <c r="J1872">
        <v>-261.83659999999998</v>
      </c>
      <c r="K1872">
        <v>1.120403</v>
      </c>
      <c r="L1872">
        <v>283.9896</v>
      </c>
      <c r="M1872">
        <v>-0.99994280000000002</v>
      </c>
      <c r="N1872">
        <v>-1.04058E-2</v>
      </c>
      <c r="O1872">
        <v>2.4478249999999998E-3</v>
      </c>
      <c r="P1872">
        <v>-0.98095319999999997</v>
      </c>
      <c r="Q1872">
        <v>0.19065869999999999</v>
      </c>
      <c r="R1872">
        <v>3.7148479999999998E-2</v>
      </c>
      <c r="S1872">
        <v>-3.1151430000000002</v>
      </c>
      <c r="T1872">
        <v>-0.27695249999999999</v>
      </c>
      <c r="U1872">
        <v>-7.5744629999999993E-2</v>
      </c>
      <c r="V1872">
        <v>3.4858090000000001E-2</v>
      </c>
      <c r="W1872">
        <v>0.2008373</v>
      </c>
      <c r="X1872">
        <v>0.97900419999999999</v>
      </c>
      <c r="Y1872">
        <v>-2.6630109999999999E-2</v>
      </c>
      <c r="Z1872">
        <v>-1.5118989999999999E-3</v>
      </c>
      <c r="AA1872">
        <v>0.99964419999999998</v>
      </c>
      <c r="AB1872">
        <v>29</v>
      </c>
      <c r="AC1872">
        <v>-12.4176</v>
      </c>
      <c r="AD1872">
        <v>-1.1204022321056</v>
      </c>
      <c r="AE1872">
        <v>-0.30700000000001598</v>
      </c>
      <c r="AF1872">
        <v>-0.33467395551942403</v>
      </c>
      <c r="AG1872">
        <v>-1.1204022321056</v>
      </c>
      <c r="AH1872">
        <v>12.3166042351782</v>
      </c>
      <c r="AI1872">
        <v>95.195801702778496</v>
      </c>
      <c r="AJ1872">
        <v>91.556491343355802</v>
      </c>
      <c r="AK1872">
        <v>12.3719864089894</v>
      </c>
      <c r="AL1872">
        <v>78.414073275604494</v>
      </c>
      <c r="AM1872">
        <v>87.960807441712802</v>
      </c>
      <c r="AN1872">
        <v>0.99999996556368798</v>
      </c>
    </row>
    <row r="1873" spans="1:40" x14ac:dyDescent="0.25">
      <c r="A1873" t="str">
        <f>"20190303162250441"</f>
        <v>20190303162250441</v>
      </c>
      <c r="B1873" t="str">
        <f>"1551601370436808"</f>
        <v>1551601370436808</v>
      </c>
      <c r="C1873" t="s">
        <v>40</v>
      </c>
      <c r="D1873">
        <v>5.6030749999999996</v>
      </c>
      <c r="E1873">
        <v>0.47625200000000001</v>
      </c>
      <c r="F1873" t="s">
        <v>47</v>
      </c>
      <c r="G1873">
        <v>-274.26429999999999</v>
      </c>
      <c r="H1873" s="1">
        <v>7.731069E-7</v>
      </c>
      <c r="I1873">
        <v>283.68579999999997</v>
      </c>
      <c r="J1873">
        <v>-262.11059999999998</v>
      </c>
      <c r="K1873">
        <v>1.1204069999999999</v>
      </c>
      <c r="L1873">
        <v>283.99059999999997</v>
      </c>
      <c r="M1873">
        <v>-0.9999422</v>
      </c>
      <c r="N1873">
        <v>-1.041249E-2</v>
      </c>
      <c r="O1873">
        <v>2.7022410000000002E-3</v>
      </c>
      <c r="P1873">
        <v>-0.98104259999999999</v>
      </c>
      <c r="Q1873">
        <v>0.19007679999999999</v>
      </c>
      <c r="R1873">
        <v>3.7771289999999999E-2</v>
      </c>
      <c r="S1873">
        <v>-3.115723</v>
      </c>
      <c r="T1873">
        <v>-0.28089509999999901</v>
      </c>
      <c r="U1873">
        <v>-7.6171879999999997E-2</v>
      </c>
      <c r="V1873">
        <v>3.5230989999999997E-2</v>
      </c>
      <c r="W1873">
        <v>0.2002632</v>
      </c>
      <c r="X1873">
        <v>0.97910850000000005</v>
      </c>
      <c r="Y1873">
        <v>-2.701102E-2</v>
      </c>
      <c r="Z1873">
        <v>-1.570908E-3</v>
      </c>
      <c r="AA1873">
        <v>0.99963389999999996</v>
      </c>
      <c r="AB1873">
        <v>29</v>
      </c>
      <c r="AC1873">
        <v>-12.153700000000001</v>
      </c>
      <c r="AD1873">
        <v>-1.1204062268931001</v>
      </c>
      <c r="AE1873">
        <v>-0.30480000000000002</v>
      </c>
      <c r="AF1873">
        <v>-0.33479944147617602</v>
      </c>
      <c r="AG1873">
        <v>-1.1204062268931001</v>
      </c>
      <c r="AH1873">
        <v>12.0504871888919</v>
      </c>
      <c r="AI1873">
        <v>95.309824731091197</v>
      </c>
      <c r="AJ1873">
        <v>91.591442843047005</v>
      </c>
      <c r="AK1873">
        <v>12.107090578207499</v>
      </c>
      <c r="AL1873">
        <v>78.447649486509206</v>
      </c>
      <c r="AM1873">
        <v>87.939230924425601</v>
      </c>
      <c r="AN1873">
        <v>1.00000001335143</v>
      </c>
    </row>
    <row r="1874" spans="1:40" x14ac:dyDescent="0.25">
      <c r="A1874" t="str">
        <f>"20190303162250465"</f>
        <v>20190303162250465</v>
      </c>
      <c r="B1874" t="str">
        <f>"1551601370456328"</f>
        <v>1551601370456328</v>
      </c>
      <c r="C1874" t="s">
        <v>40</v>
      </c>
      <c r="D1874">
        <v>5.6007499999999997</v>
      </c>
      <c r="E1874">
        <v>0.47606500000000002</v>
      </c>
      <c r="F1874" t="s">
        <v>47</v>
      </c>
      <c r="G1874">
        <v>-274.36070000000001</v>
      </c>
      <c r="H1874" s="1">
        <v>8.2410959999999996E-7</v>
      </c>
      <c r="I1874">
        <v>283.69380000000001</v>
      </c>
      <c r="J1874">
        <v>-262.4042</v>
      </c>
      <c r="K1874">
        <v>1.1204019999999999</v>
      </c>
      <c r="L1874">
        <v>283.99160000000001</v>
      </c>
      <c r="M1874">
        <v>-0.99994150000000004</v>
      </c>
      <c r="N1874">
        <v>-1.0419670000000001E-2</v>
      </c>
      <c r="O1874">
        <v>2.975073E-3</v>
      </c>
      <c r="P1874">
        <v>-0.98102520000000004</v>
      </c>
      <c r="Q1874">
        <v>0.1901101</v>
      </c>
      <c r="R1874">
        <v>3.8051340000000003E-2</v>
      </c>
      <c r="S1874">
        <v>-3.1160890000000001</v>
      </c>
      <c r="T1874">
        <v>-0.28499950000000002</v>
      </c>
      <c r="U1874">
        <v>-7.5500490000000003E-2</v>
      </c>
      <c r="V1874">
        <v>3.5243480000000001E-2</v>
      </c>
      <c r="W1874">
        <v>0.20030339999999999</v>
      </c>
      <c r="X1874">
        <v>0.97909979999999996</v>
      </c>
      <c r="Y1874">
        <v>-2.7060850000000001E-2</v>
      </c>
      <c r="Z1874">
        <v>-1.6166380000000001E-3</v>
      </c>
      <c r="AA1874">
        <v>0.99963250000000003</v>
      </c>
      <c r="AB1874">
        <v>29</v>
      </c>
      <c r="AC1874">
        <v>-11.9565</v>
      </c>
      <c r="AD1874">
        <v>-1.1204011758904</v>
      </c>
      <c r="AE1874">
        <v>-0.29779999999999501</v>
      </c>
      <c r="AF1874">
        <v>-0.330472023500403</v>
      </c>
      <c r="AG1874">
        <v>-1.1204011758904</v>
      </c>
      <c r="AH1874">
        <v>11.8515582400806</v>
      </c>
      <c r="AI1874">
        <v>95.398388851897494</v>
      </c>
      <c r="AJ1874">
        <v>91.597236976208407</v>
      </c>
      <c r="AK1874">
        <v>11.908985820432999</v>
      </c>
      <c r="AL1874">
        <v>78.445298249016702</v>
      </c>
      <c r="AM1874">
        <v>87.938482674029004</v>
      </c>
      <c r="AN1874">
        <v>0.99999998664705503</v>
      </c>
    </row>
    <row r="1875" spans="1:40" x14ac:dyDescent="0.25">
      <c r="A1875" t="str">
        <f>"20190303162250486"</f>
        <v>20190303162250486</v>
      </c>
      <c r="B1875" t="str">
        <f>"1551601370476825"</f>
        <v>1551601370476825</v>
      </c>
      <c r="C1875" t="s">
        <v>40</v>
      </c>
      <c r="D1875">
        <v>5.3400699999999999</v>
      </c>
      <c r="E1875">
        <v>0.47601450000000001</v>
      </c>
      <c r="F1875" t="s">
        <v>42</v>
      </c>
      <c r="G1875">
        <v>-263.38330000000002</v>
      </c>
      <c r="H1875">
        <v>1.0306919999999999</v>
      </c>
      <c r="I1875">
        <v>283.96800000000002</v>
      </c>
      <c r="J1875">
        <v>-262.6934</v>
      </c>
      <c r="K1875">
        <v>1.1203890000000001</v>
      </c>
      <c r="L1875">
        <v>283.99279999999999</v>
      </c>
      <c r="M1875">
        <v>-0.99994059999999996</v>
      </c>
      <c r="N1875">
        <v>-1.0426609999999999E-2</v>
      </c>
      <c r="O1875">
        <v>3.2443319999999999E-3</v>
      </c>
      <c r="P1875">
        <v>-0.98121449999999999</v>
      </c>
      <c r="Q1875">
        <v>0.18912180000000001</v>
      </c>
      <c r="R1875">
        <v>3.8094990000000002E-2</v>
      </c>
      <c r="S1875">
        <v>-3.1163020000000001</v>
      </c>
      <c r="T1875">
        <v>-0.28551710000000002</v>
      </c>
      <c r="U1875">
        <v>-7.5592039999999999E-2</v>
      </c>
      <c r="V1875">
        <v>3.5021950000000003E-2</v>
      </c>
      <c r="W1875">
        <v>0.1993241</v>
      </c>
      <c r="X1875">
        <v>0.97930759999999994</v>
      </c>
      <c r="Y1875">
        <v>-2.7354989999999999E-2</v>
      </c>
      <c r="Z1875">
        <v>-1.656128E-3</v>
      </c>
      <c r="AA1875">
        <v>0.99962439999999997</v>
      </c>
      <c r="AB1875">
        <v>29</v>
      </c>
      <c r="AC1875">
        <v>-0.68990000000002205</v>
      </c>
      <c r="AD1875">
        <v>-8.9696999999999902E-2</v>
      </c>
      <c r="AE1875">
        <v>-2.4799999999970599E-2</v>
      </c>
      <c r="AF1875">
        <v>-2.65893746939183E-2</v>
      </c>
      <c r="AG1875">
        <v>-8.9696999999999902E-2</v>
      </c>
      <c r="AH1875">
        <v>0.67836379856598805</v>
      </c>
      <c r="AI1875">
        <v>97.5265563437178</v>
      </c>
      <c r="AJ1875">
        <v>92.244635520636294</v>
      </c>
      <c r="AK1875">
        <v>0.68478463027472403</v>
      </c>
      <c r="AL1875">
        <v>78.502563021859999</v>
      </c>
      <c r="AM1875">
        <v>87.951863998729607</v>
      </c>
      <c r="AN1875">
        <v>1.00000000462018</v>
      </c>
    </row>
    <row r="1876" spans="1:40" x14ac:dyDescent="0.25">
      <c r="A1876" t="str">
        <f>"20190303162250507"</f>
        <v>20190303162250507</v>
      </c>
      <c r="B1876" t="str">
        <f>"1551601370496345"</f>
        <v>1551601370496345</v>
      </c>
      <c r="C1876" t="s">
        <v>40</v>
      </c>
      <c r="D1876">
        <v>5.5395599999999998</v>
      </c>
      <c r="E1876">
        <v>0.47595150000000003</v>
      </c>
      <c r="F1876" t="s">
        <v>47</v>
      </c>
      <c r="G1876">
        <v>-274.76350000000002</v>
      </c>
      <c r="H1876" s="1">
        <v>1.038167E-6</v>
      </c>
      <c r="I1876">
        <v>283.70060000000001</v>
      </c>
      <c r="J1876">
        <v>-262.96469999999999</v>
      </c>
      <c r="K1876">
        <v>1.120385</v>
      </c>
      <c r="L1876">
        <v>283.99400000000003</v>
      </c>
      <c r="M1876">
        <v>-0.99993960000000004</v>
      </c>
      <c r="N1876">
        <v>-1.0433049999999999E-2</v>
      </c>
      <c r="O1876">
        <v>3.497263E-3</v>
      </c>
      <c r="P1876">
        <v>-0.9816414</v>
      </c>
      <c r="Q1876">
        <v>0.18697730000000001</v>
      </c>
      <c r="R1876">
        <v>3.768055E-2</v>
      </c>
      <c r="S1876">
        <v>-3.1161500000000002</v>
      </c>
      <c r="T1876">
        <v>-0.28925089999999998</v>
      </c>
      <c r="U1876">
        <v>-7.5439450000000005E-2</v>
      </c>
      <c r="V1876">
        <v>3.4356999999999999E-2</v>
      </c>
      <c r="W1876">
        <v>0.19719100000000001</v>
      </c>
      <c r="X1876">
        <v>0.97976289999999999</v>
      </c>
      <c r="Y1876">
        <v>-2.7554780000000001E-2</v>
      </c>
      <c r="Z1876">
        <v>-1.707514E-3</v>
      </c>
      <c r="AA1876">
        <v>0.99961880000000003</v>
      </c>
      <c r="AB1876">
        <v>29</v>
      </c>
      <c r="AC1876">
        <v>-11.7988</v>
      </c>
      <c r="AD1876">
        <v>-1.120383961833</v>
      </c>
      <c r="AE1876">
        <v>-0.29340000000001898</v>
      </c>
      <c r="AF1876">
        <v>-0.331675113413819</v>
      </c>
      <c r="AG1876">
        <v>-1.120383961833</v>
      </c>
      <c r="AH1876">
        <v>11.692337992781701</v>
      </c>
      <c r="AI1876">
        <v>95.471300885677394</v>
      </c>
      <c r="AJ1876">
        <v>91.624866589834696</v>
      </c>
      <c r="AK1876">
        <v>11.750576000360001</v>
      </c>
      <c r="AL1876">
        <v>78.627255976447401</v>
      </c>
      <c r="AM1876">
        <v>87.991652042884994</v>
      </c>
      <c r="AN1876">
        <v>1.0000000170732</v>
      </c>
    </row>
    <row r="1877" spans="1:40" x14ac:dyDescent="0.25">
      <c r="A1877" t="str">
        <f>"20190303162250530"</f>
        <v>20190303162250530</v>
      </c>
      <c r="B1877" t="str">
        <f>"1551601370516840"</f>
        <v>1551601370516840</v>
      </c>
      <c r="C1877" t="s">
        <v>40</v>
      </c>
      <c r="D1877">
        <v>5.5616029999999999</v>
      </c>
      <c r="E1877">
        <v>0.4778464</v>
      </c>
      <c r="F1877" t="s">
        <v>42</v>
      </c>
      <c r="G1877">
        <v>-263.90789999999998</v>
      </c>
      <c r="H1877">
        <v>1.0308630000000001</v>
      </c>
      <c r="I1877">
        <v>283.97059999999999</v>
      </c>
      <c r="J1877">
        <v>-263.26780000000002</v>
      </c>
      <c r="K1877">
        <v>1.1203780000000001</v>
      </c>
      <c r="L1877">
        <v>283.99529999999999</v>
      </c>
      <c r="M1877">
        <v>-0.99993840000000001</v>
      </c>
      <c r="N1877">
        <v>-1.044018E-2</v>
      </c>
      <c r="O1877">
        <v>3.7799349999999999E-3</v>
      </c>
      <c r="P1877">
        <v>-0.9819947</v>
      </c>
      <c r="Q1877">
        <v>0.18507109999999999</v>
      </c>
      <c r="R1877">
        <v>3.7886879999999998E-2</v>
      </c>
      <c r="S1877">
        <v>-3.1154480000000002</v>
      </c>
      <c r="T1877">
        <v>-0.29576520000000001</v>
      </c>
      <c r="U1877">
        <v>-7.7392580000000002E-2</v>
      </c>
      <c r="V1877">
        <v>3.4283910000000001E-2</v>
      </c>
      <c r="W1877">
        <v>0.19529550000000001</v>
      </c>
      <c r="X1877">
        <v>0.98014500000000004</v>
      </c>
      <c r="Y1877">
        <v>-2.845723E-2</v>
      </c>
      <c r="Z1877">
        <v>-1.815117E-3</v>
      </c>
      <c r="AA1877">
        <v>0.99959339999999997</v>
      </c>
      <c r="AB1877">
        <v>29</v>
      </c>
      <c r="AC1877">
        <v>-0.64009999999996103</v>
      </c>
      <c r="AD1877">
        <v>-8.9515000000000206E-2</v>
      </c>
      <c r="AE1877">
        <v>-2.4699999999995701E-2</v>
      </c>
      <c r="AF1877">
        <v>-2.6600055343452202E-2</v>
      </c>
      <c r="AG1877">
        <v>-8.9515000000000206E-2</v>
      </c>
      <c r="AH1877">
        <v>0.62774370330040996</v>
      </c>
      <c r="AI1877">
        <v>98.108371906903201</v>
      </c>
      <c r="AJ1877">
        <v>92.4264037881116</v>
      </c>
      <c r="AK1877">
        <v>0.63465160143388</v>
      </c>
      <c r="AL1877">
        <v>78.738013264370693</v>
      </c>
      <c r="AM1877">
        <v>87.996701685456401</v>
      </c>
      <c r="AN1877">
        <v>0.99999996991506801</v>
      </c>
    </row>
    <row r="1878" spans="1:40" x14ac:dyDescent="0.25">
      <c r="A1878" t="str">
        <f>"20190303162250552"</f>
        <v>20190303162250552</v>
      </c>
      <c r="B1878" t="str">
        <f>"1551601370546121"</f>
        <v>1551601370546121</v>
      </c>
      <c r="C1878" t="s">
        <v>40</v>
      </c>
      <c r="D1878">
        <v>5.5054860000000003</v>
      </c>
      <c r="E1878">
        <v>0.47547099999999998</v>
      </c>
      <c r="F1878" t="s">
        <v>49</v>
      </c>
      <c r="G1878">
        <v>-280.22489999999999</v>
      </c>
      <c r="H1878" s="1">
        <v>8.5024789999999995E-6</v>
      </c>
      <c r="I1878">
        <v>283.64859999999999</v>
      </c>
      <c r="J1878">
        <v>-263.56319999999999</v>
      </c>
      <c r="K1878">
        <v>1.120379</v>
      </c>
      <c r="L1878">
        <v>283.99669999999998</v>
      </c>
      <c r="M1878">
        <v>-0.99993739999999998</v>
      </c>
      <c r="N1878">
        <v>-1.0447089999999999E-2</v>
      </c>
      <c r="O1878">
        <v>4.0553350000000002E-3</v>
      </c>
      <c r="P1878">
        <v>-0.9821183</v>
      </c>
      <c r="Q1878">
        <v>0.18441769999999999</v>
      </c>
      <c r="R1878">
        <v>3.7870399999999999E-2</v>
      </c>
      <c r="S1878">
        <v>-3.0960390000000002</v>
      </c>
      <c r="T1878">
        <v>-0.20455770000000001</v>
      </c>
      <c r="U1878">
        <v>-6.3293459999999996E-2</v>
      </c>
      <c r="V1878">
        <v>3.3996350000000002E-2</v>
      </c>
      <c r="W1878">
        <v>0.19465060000000001</v>
      </c>
      <c r="X1878">
        <v>0.98028329999999997</v>
      </c>
      <c r="Y1878">
        <v>-2.4425700000000002E-2</v>
      </c>
      <c r="Z1878">
        <v>-1.1590140000000001E-3</v>
      </c>
      <c r="AA1878">
        <v>0.99970099999999995</v>
      </c>
      <c r="AB1878">
        <v>29</v>
      </c>
      <c r="AC1878">
        <v>-16.6616999999999</v>
      </c>
      <c r="AD1878">
        <v>-1.120370497521</v>
      </c>
      <c r="AE1878">
        <v>-0.34809999999998797</v>
      </c>
      <c r="AF1878">
        <v>-0.41379939979404301</v>
      </c>
      <c r="AG1878">
        <v>-1.120370497521</v>
      </c>
      <c r="AH1878">
        <v>16.585193628509199</v>
      </c>
      <c r="AI1878">
        <v>93.8634003985877</v>
      </c>
      <c r="AJ1878">
        <v>91.429229102785499</v>
      </c>
      <c r="AK1878">
        <v>16.6281420396305</v>
      </c>
      <c r="AL1878">
        <v>78.775686405820096</v>
      </c>
      <c r="AM1878">
        <v>88.013771082743403</v>
      </c>
      <c r="AN1878">
        <v>0.99999997807628505</v>
      </c>
    </row>
    <row r="1879" spans="1:40" x14ac:dyDescent="0.25">
      <c r="A1879" t="str">
        <f>"20190303162250566"</f>
        <v>20190303162250566</v>
      </c>
      <c r="B1879" t="str">
        <f>"1551601370556857"</f>
        <v>1551601370556857</v>
      </c>
      <c r="C1879" t="s">
        <v>40</v>
      </c>
      <c r="D1879">
        <v>5.4454099999999999</v>
      </c>
      <c r="E1879">
        <v>0.47528720000000002</v>
      </c>
      <c r="F1879" t="s">
        <v>49</v>
      </c>
      <c r="G1879">
        <v>-283.35489999999999</v>
      </c>
      <c r="H1879" s="1">
        <v>7.1522119999999901E-6</v>
      </c>
      <c r="I1879">
        <v>283.4658</v>
      </c>
      <c r="J1879">
        <v>-263.73320000000001</v>
      </c>
      <c r="K1879">
        <v>1.1203799999999999</v>
      </c>
      <c r="L1879">
        <v>283.99759999999998</v>
      </c>
      <c r="M1879">
        <v>-0.99993659999999995</v>
      </c>
      <c r="N1879">
        <v>-1.045106E-2</v>
      </c>
      <c r="O1879">
        <v>4.2141610000000001E-3</v>
      </c>
      <c r="P1879">
        <v>-0.98208740000000005</v>
      </c>
      <c r="Q1879">
        <v>0.18448680000000001</v>
      </c>
      <c r="R1879">
        <v>3.8329059999999998E-2</v>
      </c>
      <c r="S1879">
        <v>-3.0907290000000001</v>
      </c>
      <c r="T1879">
        <v>-0.1749598</v>
      </c>
      <c r="U1879">
        <v>-8.2916260000000006E-2</v>
      </c>
      <c r="V1879">
        <v>3.4299320000000001E-2</v>
      </c>
      <c r="W1879">
        <v>0.19472310000000001</v>
      </c>
      <c r="X1879">
        <v>0.98025830000000003</v>
      </c>
      <c r="Y1879">
        <v>-3.0967209999999998E-2</v>
      </c>
      <c r="Z1879">
        <v>-1.231961E-3</v>
      </c>
      <c r="AA1879">
        <v>0.99951959999999995</v>
      </c>
      <c r="AB1879">
        <v>29</v>
      </c>
      <c r="AC1879">
        <v>-19.621699999999901</v>
      </c>
      <c r="AD1879">
        <v>-1.1203728477879999</v>
      </c>
      <c r="AE1879">
        <v>-0.53179999999997496</v>
      </c>
      <c r="AF1879">
        <v>-0.61249336835561596</v>
      </c>
      <c r="AG1879">
        <v>-1.1203728477879999</v>
      </c>
      <c r="AH1879">
        <v>19.555575124555599</v>
      </c>
      <c r="AI1879">
        <v>93.277386588914297</v>
      </c>
      <c r="AJ1879">
        <v>91.793954726682799</v>
      </c>
      <c r="AK1879">
        <v>19.597216687491098</v>
      </c>
      <c r="AL1879">
        <v>78.771450901753099</v>
      </c>
      <c r="AM1879">
        <v>87.996033433016606</v>
      </c>
      <c r="AN1879">
        <v>0.99999993187247804</v>
      </c>
    </row>
    <row r="1880" spans="1:40" x14ac:dyDescent="0.25">
      <c r="A1880" t="str">
        <f>"20190303162250579"</f>
        <v>20190303162250579</v>
      </c>
      <c r="B1880" t="str">
        <f>"1551601370566616"</f>
        <v>1551601370566616</v>
      </c>
      <c r="C1880" t="s">
        <v>40</v>
      </c>
      <c r="D1880">
        <v>5.4454370000000001</v>
      </c>
      <c r="E1880">
        <v>0.47523260000000001</v>
      </c>
      <c r="F1880" t="s">
        <v>49</v>
      </c>
      <c r="G1880">
        <v>-283.94619999999998</v>
      </c>
      <c r="H1880" s="1">
        <v>6.8920040000000004E-6</v>
      </c>
      <c r="I1880">
        <v>283.45620000000002</v>
      </c>
      <c r="J1880">
        <v>-263.90800000000002</v>
      </c>
      <c r="K1880">
        <v>1.120377</v>
      </c>
      <c r="L1880">
        <v>283.99849999999998</v>
      </c>
      <c r="M1880">
        <v>-0.99993580000000004</v>
      </c>
      <c r="N1880">
        <v>-1.045512E-2</v>
      </c>
      <c r="O1880">
        <v>4.3774570000000004E-3</v>
      </c>
      <c r="P1880">
        <v>-0.98203969999999896</v>
      </c>
      <c r="Q1880">
        <v>0.18467620000000001</v>
      </c>
      <c r="R1880">
        <v>3.8640189999999998E-2</v>
      </c>
      <c r="S1880">
        <v>-3.0900880000000002</v>
      </c>
      <c r="T1880">
        <v>-0.17127870000000001</v>
      </c>
      <c r="U1880">
        <v>-8.2763669999999998E-2</v>
      </c>
      <c r="V1880">
        <v>3.4450550000000003E-2</v>
      </c>
      <c r="W1880">
        <v>0.1949158</v>
      </c>
      <c r="X1880">
        <v>0.98021480000000005</v>
      </c>
      <c r="Y1880">
        <v>-3.1088749999999998E-2</v>
      </c>
      <c r="Z1880">
        <v>-1.2201639999999999E-3</v>
      </c>
      <c r="AA1880">
        <v>0.99951590000000001</v>
      </c>
      <c r="AB1880">
        <v>29</v>
      </c>
      <c r="AC1880">
        <v>-20.0381999999999</v>
      </c>
      <c r="AD1880">
        <v>-1.120370107996</v>
      </c>
      <c r="AE1880">
        <v>-0.54229999999995404</v>
      </c>
      <c r="AF1880">
        <v>-0.62805401852402398</v>
      </c>
      <c r="AG1880">
        <v>-1.120370107996</v>
      </c>
      <c r="AH1880">
        <v>19.973240921076702</v>
      </c>
      <c r="AI1880">
        <v>93.208976742399102</v>
      </c>
      <c r="AJ1880">
        <v>91.801059299867504</v>
      </c>
      <c r="AK1880">
        <v>20.014495594954401</v>
      </c>
      <c r="AL1880">
        <v>78.760195456142895</v>
      </c>
      <c r="AM1880">
        <v>87.987115694694097</v>
      </c>
      <c r="AN1880">
        <v>1.0000000318119899</v>
      </c>
    </row>
    <row r="1881" spans="1:40" x14ac:dyDescent="0.25">
      <c r="A1881" t="str">
        <f>"20190303162250597"</f>
        <v>20190303162250597</v>
      </c>
      <c r="B1881" t="str">
        <f>"1551601370586136"</f>
        <v>1551601370586136</v>
      </c>
      <c r="C1881" t="s">
        <v>40</v>
      </c>
      <c r="D1881">
        <v>5.3827389999999999</v>
      </c>
      <c r="E1881">
        <v>0.47523660000000001</v>
      </c>
      <c r="F1881" t="s">
        <v>49</v>
      </c>
      <c r="G1881">
        <v>-284.50599999999997</v>
      </c>
      <c r="H1881" s="1">
        <v>6.6443080000000003E-6</v>
      </c>
      <c r="I1881">
        <v>283.45359999999999</v>
      </c>
      <c r="J1881">
        <v>-264.14609999999999</v>
      </c>
      <c r="K1881">
        <v>1.1203749999999999</v>
      </c>
      <c r="L1881">
        <v>283.99979999999999</v>
      </c>
      <c r="M1881">
        <v>-0.99993469999999995</v>
      </c>
      <c r="N1881">
        <v>-1.046067E-2</v>
      </c>
      <c r="O1881">
        <v>4.5999910000000003E-3</v>
      </c>
      <c r="P1881">
        <v>-0.98196450000000002</v>
      </c>
      <c r="Q1881">
        <v>0.18494969999999999</v>
      </c>
      <c r="R1881">
        <v>3.9239929999999999E-2</v>
      </c>
      <c r="S1881">
        <v>-3.0896910000000002</v>
      </c>
      <c r="T1881">
        <v>-0.1680555</v>
      </c>
      <c r="U1881">
        <v>-8.1726069999999998E-2</v>
      </c>
      <c r="V1881">
        <v>3.4832410000000001E-2</v>
      </c>
      <c r="W1881">
        <v>0.19519359999999999</v>
      </c>
      <c r="X1881">
        <v>0.98014599999999996</v>
      </c>
      <c r="Y1881">
        <v>-3.0981310000000001E-2</v>
      </c>
      <c r="Z1881">
        <v>-1.2059180000000001E-3</v>
      </c>
      <c r="AA1881">
        <v>0.99951920000000005</v>
      </c>
      <c r="AB1881">
        <v>29</v>
      </c>
      <c r="AC1881">
        <v>-20.3598999999999</v>
      </c>
      <c r="AD1881">
        <v>-1.1203683556920001</v>
      </c>
      <c r="AE1881">
        <v>-0.54619999999999802</v>
      </c>
      <c r="AF1881">
        <v>-0.63792439199425</v>
      </c>
      <c r="AG1881">
        <v>-1.1203683556920001</v>
      </c>
      <c r="AH1881">
        <v>20.295758504244599</v>
      </c>
      <c r="AI1881">
        <v>93.158083702266694</v>
      </c>
      <c r="AJ1881">
        <v>91.800294676417494</v>
      </c>
      <c r="AK1881">
        <v>20.3366660503868</v>
      </c>
      <c r="AL1881">
        <v>78.743966727290001</v>
      </c>
      <c r="AM1881">
        <v>87.964680217950104</v>
      </c>
      <c r="AN1881">
        <v>1.0000000097916799</v>
      </c>
    </row>
    <row r="1882" spans="1:40" x14ac:dyDescent="0.25">
      <c r="A1882" t="str">
        <f>"20190303162250611"</f>
        <v>20190303162250611</v>
      </c>
      <c r="B1882" t="str">
        <f>"1551601370606633"</f>
        <v>1551601370606633</v>
      </c>
      <c r="C1882" t="s">
        <v>40</v>
      </c>
      <c r="D1882">
        <v>5.3189919999999997</v>
      </c>
      <c r="E1882">
        <v>0.47545460000000001</v>
      </c>
      <c r="F1882" t="s">
        <v>49</v>
      </c>
      <c r="G1882">
        <v>-285.2328</v>
      </c>
      <c r="H1882" s="1">
        <v>6.321286E-6</v>
      </c>
      <c r="I1882">
        <v>283.45690000000002</v>
      </c>
      <c r="J1882">
        <v>-264.32569999999998</v>
      </c>
      <c r="K1882">
        <v>1.1203669999999999</v>
      </c>
      <c r="L1882">
        <v>284.00080000000003</v>
      </c>
      <c r="M1882">
        <v>-0.99993379999999998</v>
      </c>
      <c r="N1882">
        <v>-1.0464859999999999E-2</v>
      </c>
      <c r="O1882">
        <v>4.7679929999999999E-3</v>
      </c>
      <c r="P1882">
        <v>-0.98191949999999995</v>
      </c>
      <c r="Q1882">
        <v>0.18506329999999999</v>
      </c>
      <c r="R1882">
        <v>3.9820990000000001E-2</v>
      </c>
      <c r="S1882">
        <v>-3.0892029999999999</v>
      </c>
      <c r="T1882">
        <v>-0.16413369999999999</v>
      </c>
      <c r="U1882">
        <v>-7.9528810000000005E-2</v>
      </c>
      <c r="V1882">
        <v>3.5248830000000002E-2</v>
      </c>
      <c r="W1882">
        <v>0.19531100000000001</v>
      </c>
      <c r="X1882">
        <v>0.98010770000000003</v>
      </c>
      <c r="Y1882">
        <v>-3.0446259999999999E-2</v>
      </c>
      <c r="Z1882">
        <v>-1.1708479999999999E-3</v>
      </c>
      <c r="AA1882">
        <v>0.99953570000000003</v>
      </c>
      <c r="AB1882">
        <v>29</v>
      </c>
      <c r="AC1882">
        <v>-20.9071</v>
      </c>
      <c r="AD1882">
        <v>-1.1203606787139999</v>
      </c>
      <c r="AE1882">
        <v>-0.54390000000000704</v>
      </c>
      <c r="AF1882">
        <v>-0.64174259017208801</v>
      </c>
      <c r="AG1882">
        <v>-1.1203606787139999</v>
      </c>
      <c r="AH1882">
        <v>20.844451849948602</v>
      </c>
      <c r="AI1882">
        <v>93.075154851205099</v>
      </c>
      <c r="AJ1882">
        <v>91.763420385260901</v>
      </c>
      <c r="AK1882">
        <v>20.8844012250118</v>
      </c>
      <c r="AL1882">
        <v>78.737107916071693</v>
      </c>
      <c r="AM1882">
        <v>87.940288472278596</v>
      </c>
      <c r="AN1882">
        <v>0.999999985168329</v>
      </c>
    </row>
    <row r="1883" spans="1:40" x14ac:dyDescent="0.25">
      <c r="A1883" t="str">
        <f>"20190303162250631"</f>
        <v>20190303162250631</v>
      </c>
      <c r="B1883" t="str">
        <f>"1551601370626152"</f>
        <v>1551601370626152</v>
      </c>
      <c r="C1883" t="s">
        <v>40</v>
      </c>
      <c r="D1883">
        <v>5.3175369999999997</v>
      </c>
      <c r="E1883">
        <v>0.47567989999999999</v>
      </c>
      <c r="F1883" t="s">
        <v>49</v>
      </c>
      <c r="G1883">
        <v>-286.06909999999999</v>
      </c>
      <c r="H1883" s="1">
        <v>5.9488609999999999E-6</v>
      </c>
      <c r="I1883">
        <v>283.46449999999999</v>
      </c>
      <c r="J1883">
        <v>-264.59390000000002</v>
      </c>
      <c r="K1883">
        <v>1.120363</v>
      </c>
      <c r="L1883">
        <v>284.00229999999999</v>
      </c>
      <c r="M1883">
        <v>-0.99993259999999995</v>
      </c>
      <c r="N1883">
        <v>-1.0471100000000001E-2</v>
      </c>
      <c r="O1883">
        <v>5.018537E-3</v>
      </c>
      <c r="P1883">
        <v>-0.98187000000000002</v>
      </c>
      <c r="Q1883">
        <v>0.1850514</v>
      </c>
      <c r="R1883">
        <v>4.1079329999999997E-2</v>
      </c>
      <c r="S1883">
        <v>-3.0883180000000001</v>
      </c>
      <c r="T1883">
        <v>-0.159130299999999</v>
      </c>
      <c r="U1883">
        <v>-7.6171879999999997E-2</v>
      </c>
      <c r="V1883">
        <v>3.6261330000000001E-2</v>
      </c>
      <c r="W1883">
        <v>0.19530400000000001</v>
      </c>
      <c r="X1883">
        <v>0.98007219999999995</v>
      </c>
      <c r="Y1883">
        <v>-2.96225E-2</v>
      </c>
      <c r="Z1883">
        <v>-1.123658E-3</v>
      </c>
      <c r="AA1883">
        <v>0.99956049999999996</v>
      </c>
      <c r="AB1883">
        <v>29</v>
      </c>
      <c r="AC1883">
        <v>-21.475199999999901</v>
      </c>
      <c r="AD1883">
        <v>-1.120357051139</v>
      </c>
      <c r="AE1883">
        <v>-0.53780000000000405</v>
      </c>
      <c r="AF1883">
        <v>-0.64382203460074805</v>
      </c>
      <c r="AG1883">
        <v>-1.120357051139</v>
      </c>
      <c r="AH1883">
        <v>21.4139847429546</v>
      </c>
      <c r="AI1883">
        <v>92.993573755786301</v>
      </c>
      <c r="AJ1883">
        <v>91.722107162652705</v>
      </c>
      <c r="AK1883">
        <v>21.452935680362501</v>
      </c>
      <c r="AL1883">
        <v>78.737517337470806</v>
      </c>
      <c r="AM1883">
        <v>87.881101077285905</v>
      </c>
      <c r="AN1883">
        <v>1.0000000268411</v>
      </c>
    </row>
    <row r="1884" spans="1:40" x14ac:dyDescent="0.25">
      <c r="A1884" t="str">
        <f>"20190303162250645"</f>
        <v>20190303162250645</v>
      </c>
      <c r="B1884" t="str">
        <f>"1551601370636888"</f>
        <v>1551601370636888</v>
      </c>
      <c r="C1884" t="s">
        <v>40</v>
      </c>
      <c r="D1884">
        <v>5.3752019999999998</v>
      </c>
      <c r="E1884">
        <v>0.47583449999999999</v>
      </c>
      <c r="F1884" t="s">
        <v>49</v>
      </c>
      <c r="G1884">
        <v>-286.87889999999999</v>
      </c>
      <c r="H1884" s="1">
        <v>5.5839040000000001E-6</v>
      </c>
      <c r="I1884">
        <v>283.49290000000002</v>
      </c>
      <c r="J1884">
        <v>-264.7792</v>
      </c>
      <c r="K1884">
        <v>1.120358</v>
      </c>
      <c r="L1884">
        <v>284.0034</v>
      </c>
      <c r="M1884">
        <v>-0.99993180000000004</v>
      </c>
      <c r="N1884">
        <v>-1.0475409999999999E-2</v>
      </c>
      <c r="O1884">
        <v>5.1915449999999997E-3</v>
      </c>
      <c r="P1884">
        <v>-0.98193109999999995</v>
      </c>
      <c r="Q1884">
        <v>0.18462870000000001</v>
      </c>
      <c r="R1884">
        <v>4.1516740000000003E-2</v>
      </c>
      <c r="S1884">
        <v>-3.0876160000000001</v>
      </c>
      <c r="T1884">
        <v>-0.15522739999999999</v>
      </c>
      <c r="U1884">
        <v>-7.0587159999999996E-2</v>
      </c>
      <c r="V1884">
        <v>3.6528430000000001E-2</v>
      </c>
      <c r="W1884">
        <v>0.19488630000000001</v>
      </c>
      <c r="X1884">
        <v>0.98014540000000006</v>
      </c>
      <c r="Y1884">
        <v>-2.7998749999999999E-2</v>
      </c>
      <c r="Z1884">
        <v>-1.056511E-3</v>
      </c>
      <c r="AA1884">
        <v>0.99960740000000003</v>
      </c>
      <c r="AB1884">
        <v>29</v>
      </c>
      <c r="AC1884">
        <v>-22.099699999999899</v>
      </c>
      <c r="AD1884">
        <v>-1.1203524160959999</v>
      </c>
      <c r="AE1884">
        <v>-0.51049999999997897</v>
      </c>
      <c r="AF1884">
        <v>-0.62362910083831202</v>
      </c>
      <c r="AG1884">
        <v>-1.1203524160959999</v>
      </c>
      <c r="AH1884">
        <v>22.040138325742699</v>
      </c>
      <c r="AI1884">
        <v>92.908813280152501</v>
      </c>
      <c r="AJ1884">
        <v>91.620760442849999</v>
      </c>
      <c r="AK1884">
        <v>22.077404743527701</v>
      </c>
      <c r="AL1884">
        <v>78.761918373990994</v>
      </c>
      <c r="AM1884">
        <v>87.865666970297895</v>
      </c>
      <c r="AN1884">
        <v>1.0000000006335501</v>
      </c>
    </row>
    <row r="1885" spans="1:40" x14ac:dyDescent="0.25">
      <c r="A1885" t="str">
        <f>"20190303162250665"</f>
        <v>20190303162250665</v>
      </c>
      <c r="B1885" t="str">
        <f>"1551601370656408"</f>
        <v>1551601370656408</v>
      </c>
      <c r="C1885" t="s">
        <v>40</v>
      </c>
      <c r="D1885">
        <v>5.3732759999999997</v>
      </c>
      <c r="E1885">
        <v>0.476078</v>
      </c>
      <c r="F1885" t="s">
        <v>49</v>
      </c>
      <c r="G1885">
        <v>-287.096</v>
      </c>
      <c r="H1885" s="1">
        <v>5.4839059999999999E-6</v>
      </c>
      <c r="I1885">
        <v>283.51080000000002</v>
      </c>
      <c r="J1885">
        <v>-265.04039999999998</v>
      </c>
      <c r="K1885">
        <v>1.1203529999999999</v>
      </c>
      <c r="L1885">
        <v>284.005</v>
      </c>
      <c r="M1885">
        <v>-0.9999304</v>
      </c>
      <c r="N1885">
        <v>-1.048148E-2</v>
      </c>
      <c r="O1885">
        <v>5.4357729999999996E-3</v>
      </c>
      <c r="P1885">
        <v>-0.98198980000000002</v>
      </c>
      <c r="Q1885">
        <v>0.18427760000000001</v>
      </c>
      <c r="R1885">
        <v>4.1688160000000002E-2</v>
      </c>
      <c r="S1885">
        <v>-3.08725</v>
      </c>
      <c r="T1885">
        <v>-0.1549864</v>
      </c>
      <c r="U1885">
        <v>-6.8145750000000005E-2</v>
      </c>
      <c r="V1885">
        <v>3.6459430000000001E-2</v>
      </c>
      <c r="W1885">
        <v>0.19454160000000001</v>
      </c>
      <c r="X1885">
        <v>0.98021639999999999</v>
      </c>
      <c r="Y1885">
        <v>-2.745626E-2</v>
      </c>
      <c r="Z1885">
        <v>-1.0484299999999999E-3</v>
      </c>
      <c r="AA1885">
        <v>0.99962249999999997</v>
      </c>
      <c r="AB1885">
        <v>29</v>
      </c>
      <c r="AC1885">
        <v>-22.055599999999998</v>
      </c>
      <c r="AD1885">
        <v>-1.120347516094</v>
      </c>
      <c r="AE1885">
        <v>-0.49419999999997699</v>
      </c>
      <c r="AF1885">
        <v>-0.61250885163533597</v>
      </c>
      <c r="AG1885">
        <v>-1.120347516094</v>
      </c>
      <c r="AH1885">
        <v>21.995860492097801</v>
      </c>
      <c r="AI1885">
        <v>92.9146825423976</v>
      </c>
      <c r="AJ1885">
        <v>91.595077642649699</v>
      </c>
      <c r="AK1885">
        <v>22.032889607084599</v>
      </c>
      <c r="AL1885">
        <v>78.7820531262375</v>
      </c>
      <c r="AM1885">
        <v>87.869849040733598</v>
      </c>
      <c r="AN1885">
        <v>0.99999995749772097</v>
      </c>
    </row>
    <row r="1886" spans="1:40" x14ac:dyDescent="0.25">
      <c r="A1886" t="str">
        <f>"20190303162250688"</f>
        <v>20190303162250688</v>
      </c>
      <c r="B1886" t="str">
        <f>"1551601370675928"</f>
        <v>1551601370675928</v>
      </c>
      <c r="C1886" t="s">
        <v>40</v>
      </c>
      <c r="D1886">
        <v>5.0816980000000003</v>
      </c>
      <c r="E1886">
        <v>0.4762652</v>
      </c>
      <c r="F1886" t="s">
        <v>49</v>
      </c>
      <c r="G1886">
        <v>-287.77030000000002</v>
      </c>
      <c r="H1886" s="1">
        <v>5.1826150000000004E-6</v>
      </c>
      <c r="I1886">
        <v>283.52179999999998</v>
      </c>
      <c r="J1886">
        <v>-265.33589999999998</v>
      </c>
      <c r="K1886">
        <v>1.1203479999999999</v>
      </c>
      <c r="L1886">
        <v>284.00689999999997</v>
      </c>
      <c r="M1886">
        <v>-0.9999287</v>
      </c>
      <c r="N1886">
        <v>-1.0488330000000001E-2</v>
      </c>
      <c r="O1886">
        <v>5.7138010000000001E-3</v>
      </c>
      <c r="P1886">
        <v>-0.98211970000000004</v>
      </c>
      <c r="Q1886">
        <v>0.18360489999999999</v>
      </c>
      <c r="R1886">
        <v>4.1597420000000003E-2</v>
      </c>
      <c r="S1886">
        <v>-3.0863649999999998</v>
      </c>
      <c r="T1886">
        <v>-0.1521257</v>
      </c>
      <c r="U1886">
        <v>-6.5612790000000004E-2</v>
      </c>
      <c r="V1886">
        <v>3.6095170000000003E-2</v>
      </c>
      <c r="W1886">
        <v>0.19387789999999999</v>
      </c>
      <c r="X1886">
        <v>0.98036140000000005</v>
      </c>
      <c r="Y1886">
        <v>-2.6922669999999999E-2</v>
      </c>
      <c r="Z1886">
        <v>-1.0258750000000001E-3</v>
      </c>
      <c r="AA1886">
        <v>0.999637</v>
      </c>
      <c r="AB1886">
        <v>29</v>
      </c>
      <c r="AC1886">
        <v>-22.4344</v>
      </c>
      <c r="AD1886">
        <v>-1.1203428173850001</v>
      </c>
      <c r="AE1886">
        <v>-0.48509999999998799</v>
      </c>
      <c r="AF1886">
        <v>-0.61175989135972297</v>
      </c>
      <c r="AG1886">
        <v>-1.1203428173850001</v>
      </c>
      <c r="AH1886">
        <v>22.3754864599535</v>
      </c>
      <c r="AI1886">
        <v>92.865342609921498</v>
      </c>
      <c r="AJ1886">
        <v>91.566112544869299</v>
      </c>
      <c r="AK1886">
        <v>22.411867671229601</v>
      </c>
      <c r="AL1886">
        <v>78.820818773392304</v>
      </c>
      <c r="AM1886">
        <v>87.8914233386527</v>
      </c>
      <c r="AN1886">
        <v>0.99999998800784895</v>
      </c>
    </row>
    <row r="1887" spans="1:40" x14ac:dyDescent="0.25">
      <c r="A1887" t="str">
        <f>"20190303162250707"</f>
        <v>20190303162250707</v>
      </c>
      <c r="B1887" t="str">
        <f>"1551601370696160"</f>
        <v>1551601370696160</v>
      </c>
      <c r="C1887" t="s">
        <v>40</v>
      </c>
      <c r="D1887">
        <v>5.3198759999999998</v>
      </c>
      <c r="E1887">
        <v>0.47639989999999999</v>
      </c>
      <c r="F1887" t="s">
        <v>49</v>
      </c>
      <c r="G1887">
        <v>-288.17989999999998</v>
      </c>
      <c r="H1887" s="1">
        <v>4.9991479999999998E-6</v>
      </c>
      <c r="I1887">
        <v>283.53059999999999</v>
      </c>
      <c r="J1887">
        <v>-265.60649999999998</v>
      </c>
      <c r="K1887">
        <v>1.1203449999999999</v>
      </c>
      <c r="L1887">
        <v>284.00880000000001</v>
      </c>
      <c r="M1887">
        <v>-0.99992709999999996</v>
      </c>
      <c r="N1887">
        <v>-1.049459E-2</v>
      </c>
      <c r="O1887">
        <v>5.9696649999999999E-3</v>
      </c>
      <c r="P1887">
        <v>-0.98220870000000005</v>
      </c>
      <c r="Q1887">
        <v>0.18309429999999999</v>
      </c>
      <c r="R1887">
        <v>4.1743509999999998E-2</v>
      </c>
      <c r="S1887">
        <v>-3.0856319999999999</v>
      </c>
      <c r="T1887">
        <v>-0.1513292</v>
      </c>
      <c r="U1887">
        <v>-6.4331050000000001E-2</v>
      </c>
      <c r="V1887">
        <v>3.5989899999999998E-2</v>
      </c>
      <c r="W1887">
        <v>0.19337399999999999</v>
      </c>
      <c r="X1887">
        <v>0.98046480000000003</v>
      </c>
      <c r="Y1887">
        <v>-2.676889E-2</v>
      </c>
      <c r="Z1887">
        <v>-1.026489E-3</v>
      </c>
      <c r="AA1887">
        <v>0.99964109999999995</v>
      </c>
      <c r="AB1887">
        <v>29</v>
      </c>
      <c r="AC1887">
        <v>-22.5733999999999</v>
      </c>
      <c r="AD1887">
        <v>-1.1203400008519999</v>
      </c>
      <c r="AE1887">
        <v>-0.478200000000015</v>
      </c>
      <c r="AF1887">
        <v>-0.61144907018274597</v>
      </c>
      <c r="AG1887">
        <v>-1.1203400008519999</v>
      </c>
      <c r="AH1887">
        <v>22.514708751593801</v>
      </c>
      <c r="AI1887">
        <v>92.847660697334405</v>
      </c>
      <c r="AJ1887">
        <v>91.555642686792098</v>
      </c>
      <c r="AK1887">
        <v>22.550856787537601</v>
      </c>
      <c r="AL1887">
        <v>78.850247174748901</v>
      </c>
      <c r="AM1887">
        <v>87.897788908406497</v>
      </c>
      <c r="AN1887">
        <v>1.0000000004085201</v>
      </c>
    </row>
    <row r="1888" spans="1:40" x14ac:dyDescent="0.25">
      <c r="A1888" t="str">
        <f>"20190303162250721"</f>
        <v>20190303162250721</v>
      </c>
      <c r="B1888" t="str">
        <f>"1551601370717633"</f>
        <v>1551601370717633</v>
      </c>
      <c r="C1888" t="s">
        <v>40</v>
      </c>
      <c r="D1888">
        <v>5.2595679999999998</v>
      </c>
      <c r="E1888">
        <v>0.47649279999999999</v>
      </c>
      <c r="F1888" t="s">
        <v>49</v>
      </c>
      <c r="G1888">
        <v>-288.60169999999999</v>
      </c>
      <c r="H1888" s="1">
        <v>4.8102449999999999E-6</v>
      </c>
      <c r="I1888">
        <v>283.53969999999998</v>
      </c>
      <c r="J1888">
        <v>-265.78480000000002</v>
      </c>
      <c r="K1888">
        <v>1.120344</v>
      </c>
      <c r="L1888">
        <v>284.00990000000002</v>
      </c>
      <c r="M1888">
        <v>-0.99992610000000004</v>
      </c>
      <c r="N1888">
        <v>-1.049869E-2</v>
      </c>
      <c r="O1888">
        <v>6.1386919999999899E-3</v>
      </c>
      <c r="P1888">
        <v>-0.98218519999999998</v>
      </c>
      <c r="Q1888">
        <v>0.1831245</v>
      </c>
      <c r="R1888">
        <v>4.216292E-2</v>
      </c>
      <c r="S1888">
        <v>-3.084991</v>
      </c>
      <c r="T1888">
        <v>-0.1503031</v>
      </c>
      <c r="U1888">
        <v>-6.2927250000000004E-2</v>
      </c>
      <c r="V1888">
        <v>3.6243869999999997E-2</v>
      </c>
      <c r="W1888">
        <v>0.1934082</v>
      </c>
      <c r="X1888">
        <v>0.98044869999999995</v>
      </c>
      <c r="Y1888">
        <v>-2.6488330000000001E-2</v>
      </c>
      <c r="Z1888">
        <v>-1.018445E-3</v>
      </c>
      <c r="AA1888">
        <v>0.9996486</v>
      </c>
      <c r="AB1888">
        <v>29</v>
      </c>
      <c r="AC1888">
        <v>-22.816899999999901</v>
      </c>
      <c r="AD1888">
        <v>-1.1203391897549999</v>
      </c>
      <c r="AE1888">
        <v>-0.47020000000003298</v>
      </c>
      <c r="AF1888">
        <v>-0.60879762369441504</v>
      </c>
      <c r="AG1888">
        <v>-1.1203391897549999</v>
      </c>
      <c r="AH1888">
        <v>22.758736887432899</v>
      </c>
      <c r="AI1888">
        <v>92.817205262213207</v>
      </c>
      <c r="AJ1888">
        <v>91.532300239104003</v>
      </c>
      <c r="AK1888">
        <v>22.794426931996298</v>
      </c>
      <c r="AL1888">
        <v>78.848249968933203</v>
      </c>
      <c r="AM1888">
        <v>87.882932949926001</v>
      </c>
      <c r="AN1888">
        <v>1.00000000163575</v>
      </c>
    </row>
    <row r="1889" spans="1:40" x14ac:dyDescent="0.25">
      <c r="A1889" t="str">
        <f>"20190303162250742"</f>
        <v>20190303162250742</v>
      </c>
      <c r="B1889" t="str">
        <f>"1551601370736177"</f>
        <v>1551601370736177</v>
      </c>
      <c r="C1889" t="s">
        <v>40</v>
      </c>
      <c r="D1889">
        <v>5.324141</v>
      </c>
      <c r="E1889">
        <v>0.47650330000000002</v>
      </c>
      <c r="F1889" t="s">
        <v>49</v>
      </c>
      <c r="G1889">
        <v>-289.1327</v>
      </c>
      <c r="H1889" s="1">
        <v>4.5725309999999996E-6</v>
      </c>
      <c r="I1889">
        <v>283.5505</v>
      </c>
      <c r="J1889">
        <v>-266.0564</v>
      </c>
      <c r="K1889">
        <v>1.120347</v>
      </c>
      <c r="L1889">
        <v>284.01190000000003</v>
      </c>
      <c r="M1889">
        <v>-0.99992440000000005</v>
      </c>
      <c r="N1889">
        <v>-1.0504950000000001E-2</v>
      </c>
      <c r="O1889">
        <v>6.3971770000000004E-3</v>
      </c>
      <c r="P1889">
        <v>-0.98210090000000005</v>
      </c>
      <c r="Q1889">
        <v>0.18342020000000001</v>
      </c>
      <c r="R1889">
        <v>4.2840290000000003E-2</v>
      </c>
      <c r="S1889">
        <v>-3.084625</v>
      </c>
      <c r="T1889">
        <v>-0.14801449999999999</v>
      </c>
      <c r="U1889">
        <v>-6.0699459999999997E-2</v>
      </c>
      <c r="V1889">
        <v>3.6668699999999999E-2</v>
      </c>
      <c r="W1889">
        <v>0.19370850000000001</v>
      </c>
      <c r="X1889">
        <v>0.98037359999999896</v>
      </c>
      <c r="Y1889">
        <v>-2.6029159999999999E-2</v>
      </c>
      <c r="Z1889">
        <v>-1.0005070000000001E-3</v>
      </c>
      <c r="AA1889">
        <v>0.99966069999999996</v>
      </c>
      <c r="AB1889">
        <v>29</v>
      </c>
      <c r="AC1889">
        <v>-23.0763</v>
      </c>
      <c r="AD1889">
        <v>-1.1203424274689999</v>
      </c>
      <c r="AE1889">
        <v>-0.46140000000002601</v>
      </c>
      <c r="AF1889">
        <v>-0.60759032339349495</v>
      </c>
      <c r="AG1889">
        <v>-1.1203424274689999</v>
      </c>
      <c r="AH1889">
        <v>23.018641477878599</v>
      </c>
      <c r="AI1889">
        <v>92.785480658303797</v>
      </c>
      <c r="AJ1889">
        <v>91.512004073609802</v>
      </c>
      <c r="AK1889">
        <v>23.0538974718589</v>
      </c>
      <c r="AL1889">
        <v>78.830712212736699</v>
      </c>
      <c r="AM1889">
        <v>87.857976953256298</v>
      </c>
      <c r="AN1889">
        <v>0.99999998605444895</v>
      </c>
    </row>
    <row r="1890" spans="1:40" x14ac:dyDescent="0.25">
      <c r="A1890" t="str">
        <f>"20190303162250754"</f>
        <v>20190303162250754</v>
      </c>
      <c r="B1890" t="str">
        <f>"1551601370745937"</f>
        <v>1551601370745937</v>
      </c>
      <c r="C1890" t="s">
        <v>40</v>
      </c>
      <c r="D1890">
        <v>5.2620620000000002</v>
      </c>
      <c r="E1890">
        <v>0.4764795</v>
      </c>
      <c r="F1890" t="s">
        <v>49</v>
      </c>
      <c r="G1890">
        <v>-289.99900000000002</v>
      </c>
      <c r="H1890" s="1">
        <v>2.2982179999999999E-6</v>
      </c>
      <c r="I1890">
        <v>283.5566</v>
      </c>
      <c r="J1890">
        <v>-266.2199</v>
      </c>
      <c r="K1890">
        <v>1.120349</v>
      </c>
      <c r="L1890">
        <v>284.01310000000001</v>
      </c>
      <c r="M1890">
        <v>-0.99992329999999996</v>
      </c>
      <c r="N1890">
        <v>-1.0508709999999999E-2</v>
      </c>
      <c r="O1890">
        <v>6.5532680000000001E-3</v>
      </c>
      <c r="P1890">
        <v>-0.98214469999999998</v>
      </c>
      <c r="Q1890">
        <v>0.1830803</v>
      </c>
      <c r="R1890">
        <v>4.3282500000000002E-2</v>
      </c>
      <c r="S1890">
        <v>-3.0841980000000002</v>
      </c>
      <c r="T1890">
        <v>-0.144318899999999</v>
      </c>
      <c r="U1890">
        <v>-5.8654789999999998E-2</v>
      </c>
      <c r="V1890">
        <v>3.695735E-2</v>
      </c>
      <c r="W1890">
        <v>0.19337260000000001</v>
      </c>
      <c r="X1890">
        <v>0.98042910000000005</v>
      </c>
      <c r="Y1890">
        <v>-2.5527930000000001E-2</v>
      </c>
      <c r="Z1890">
        <v>-9.6874519999999998E-4</v>
      </c>
      <c r="AA1890">
        <v>0.9996737</v>
      </c>
      <c r="AB1890">
        <v>30</v>
      </c>
      <c r="AC1890">
        <v>-23.7791</v>
      </c>
      <c r="AD1890">
        <v>-1.1203467017819999</v>
      </c>
      <c r="AE1890">
        <v>-0.45650000000000501</v>
      </c>
      <c r="AF1890">
        <v>-0.61097387721168905</v>
      </c>
      <c r="AG1890">
        <v>-1.1203467017819999</v>
      </c>
      <c r="AH1890">
        <v>23.722956761593601</v>
      </c>
      <c r="AI1890">
        <v>92.702961894105002</v>
      </c>
      <c r="AJ1890">
        <v>91.475300408507806</v>
      </c>
      <c r="AK1890">
        <v>23.7572545409454</v>
      </c>
      <c r="AL1890">
        <v>78.850329087031696</v>
      </c>
      <c r="AM1890">
        <v>87.841253284672504</v>
      </c>
      <c r="AN1890">
        <v>1.0000000141382901</v>
      </c>
    </row>
    <row r="1891" spans="1:40" x14ac:dyDescent="0.25">
      <c r="A1891" t="str">
        <f>"20190303162250768"</f>
        <v>20190303162250768</v>
      </c>
      <c r="B1891" t="str">
        <f>"1551601370756672"</f>
        <v>1551601370756672</v>
      </c>
      <c r="C1891" t="s">
        <v>40</v>
      </c>
      <c r="D1891">
        <v>5.201009</v>
      </c>
      <c r="E1891">
        <v>0.47647129999999999</v>
      </c>
      <c r="F1891" t="s">
        <v>49</v>
      </c>
      <c r="G1891">
        <v>-290.21690000000001</v>
      </c>
      <c r="H1891" s="1">
        <v>2.3359820000000001E-6</v>
      </c>
      <c r="I1891">
        <v>283.56670000000003</v>
      </c>
      <c r="J1891">
        <v>-266.39890000000003</v>
      </c>
      <c r="K1891">
        <v>1.120349</v>
      </c>
      <c r="L1891">
        <v>284.0145</v>
      </c>
      <c r="M1891">
        <v>-0.99992219999999998</v>
      </c>
      <c r="N1891">
        <v>-1.0512820000000001E-2</v>
      </c>
      <c r="O1891">
        <v>6.7243169999999996E-3</v>
      </c>
      <c r="P1891">
        <v>-0.98204380000000002</v>
      </c>
      <c r="Q1891">
        <v>0.1835532</v>
      </c>
      <c r="R1891">
        <v>4.356848E-2</v>
      </c>
      <c r="S1891">
        <v>-3.083923</v>
      </c>
      <c r="T1891">
        <v>-0.1439791</v>
      </c>
      <c r="U1891">
        <v>-5.7373050000000002E-2</v>
      </c>
      <c r="V1891">
        <v>3.7076579999999998E-2</v>
      </c>
      <c r="W1891">
        <v>0.1938484</v>
      </c>
      <c r="X1891">
        <v>0.98033060000000005</v>
      </c>
      <c r="Y1891">
        <v>-2.5285660000000001E-2</v>
      </c>
      <c r="Z1891">
        <v>-9.6598539999999996E-4</v>
      </c>
      <c r="AA1891">
        <v>0.99967980000000001</v>
      </c>
      <c r="AB1891">
        <v>30</v>
      </c>
      <c r="AC1891">
        <v>-23.817999999999898</v>
      </c>
      <c r="AD1891">
        <v>-1.120346664018</v>
      </c>
      <c r="AE1891">
        <v>-0.447799999999972</v>
      </c>
      <c r="AF1891">
        <v>-0.60661679749326503</v>
      </c>
      <c r="AG1891">
        <v>-1.120346664018</v>
      </c>
      <c r="AH1891">
        <v>23.7618941924766</v>
      </c>
      <c r="AI1891">
        <v>92.698554721871403</v>
      </c>
      <c r="AJ1891">
        <v>91.462384872552704</v>
      </c>
      <c r="AK1891">
        <v>23.7960243780559</v>
      </c>
      <c r="AL1891">
        <v>78.822541595815395</v>
      </c>
      <c r="AM1891">
        <v>87.8340780675925</v>
      </c>
      <c r="AN1891">
        <v>0.99999998013170799</v>
      </c>
    </row>
    <row r="1892" spans="1:40" x14ac:dyDescent="0.25">
      <c r="A1892" t="str">
        <f>"20190303162250785"</f>
        <v>20190303162250785</v>
      </c>
      <c r="B1892" t="str">
        <f>"1551601370776193"</f>
        <v>1551601370776193</v>
      </c>
      <c r="C1892" t="s">
        <v>40</v>
      </c>
      <c r="D1892">
        <v>5.1434689999999996</v>
      </c>
      <c r="E1892">
        <v>0.4764581</v>
      </c>
      <c r="F1892" t="s">
        <v>49</v>
      </c>
      <c r="G1892">
        <v>-290.82859999999999</v>
      </c>
      <c r="H1892" s="1">
        <v>2.4443189999999999E-6</v>
      </c>
      <c r="I1892">
        <v>283.56869999999998</v>
      </c>
      <c r="J1892">
        <v>-266.63170000000002</v>
      </c>
      <c r="K1892">
        <v>1.120355</v>
      </c>
      <c r="L1892">
        <v>284.01620000000003</v>
      </c>
      <c r="M1892">
        <v>-0.99992060000000005</v>
      </c>
      <c r="N1892">
        <v>-1.051814E-2</v>
      </c>
      <c r="O1892">
        <v>6.9467390000000004E-3</v>
      </c>
      <c r="P1892">
        <v>-0.98197310000000004</v>
      </c>
      <c r="Q1892">
        <v>0.1839607</v>
      </c>
      <c r="R1892">
        <v>4.344638E-2</v>
      </c>
      <c r="S1892">
        <v>-3.0837400000000001</v>
      </c>
      <c r="T1892">
        <v>-0.14142060000000001</v>
      </c>
      <c r="U1892">
        <v>-5.6274409999999997E-2</v>
      </c>
      <c r="V1892">
        <v>3.6737180000000001E-2</v>
      </c>
      <c r="W1892">
        <v>0.1942605</v>
      </c>
      <c r="X1892">
        <v>0.98026179999999996</v>
      </c>
      <c r="Y1892">
        <v>-2.5154409999999999E-2</v>
      </c>
      <c r="Z1892">
        <v>-9.5418480000000001E-4</v>
      </c>
      <c r="AA1892">
        <v>0.99968310000000005</v>
      </c>
      <c r="AB1892">
        <v>30</v>
      </c>
      <c r="AC1892">
        <v>-24.1968999999999</v>
      </c>
      <c r="AD1892">
        <v>-1.1203525556809999</v>
      </c>
      <c r="AE1892">
        <v>-0.44750000000004703</v>
      </c>
      <c r="AF1892">
        <v>-0.61427159837887502</v>
      </c>
      <c r="AG1892">
        <v>-1.1203525556809999</v>
      </c>
      <c r="AH1892">
        <v>24.141469788332799</v>
      </c>
      <c r="AI1892">
        <v>92.656206322168103</v>
      </c>
      <c r="AJ1892">
        <v>91.457557383156697</v>
      </c>
      <c r="AK1892">
        <v>24.175257661224201</v>
      </c>
      <c r="AL1892">
        <v>78.798472460233498</v>
      </c>
      <c r="AM1892">
        <v>87.853735864581495</v>
      </c>
      <c r="AN1892">
        <v>0.99999997939692098</v>
      </c>
    </row>
    <row r="1893" spans="1:40" x14ac:dyDescent="0.25">
      <c r="A1893" t="str">
        <f>"20190303162250799"</f>
        <v>20190303162250799</v>
      </c>
      <c r="B1893" t="str">
        <f>"1551601370785953"</f>
        <v>1551601370785953</v>
      </c>
      <c r="C1893" t="s">
        <v>40</v>
      </c>
      <c r="D1893">
        <v>5.3197570000000001</v>
      </c>
      <c r="E1893">
        <v>0.47643920000000001</v>
      </c>
      <c r="F1893" t="s">
        <v>49</v>
      </c>
      <c r="G1893">
        <v>-291.69630000000001</v>
      </c>
      <c r="H1893" s="1">
        <v>2.5995319999999999E-6</v>
      </c>
      <c r="I1893">
        <v>283.55380000000002</v>
      </c>
      <c r="J1893">
        <v>-266.81970000000001</v>
      </c>
      <c r="K1893">
        <v>1.1203540000000001</v>
      </c>
      <c r="L1893">
        <v>284.01780000000002</v>
      </c>
      <c r="M1893">
        <v>-0.99991929999999996</v>
      </c>
      <c r="N1893">
        <v>-1.0522419999999999E-2</v>
      </c>
      <c r="O1893">
        <v>7.1266050000000003E-3</v>
      </c>
      <c r="P1893">
        <v>-0.98195770000000004</v>
      </c>
      <c r="Q1893">
        <v>0.18397269999999999</v>
      </c>
      <c r="R1893">
        <v>4.3741719999999998E-2</v>
      </c>
      <c r="S1893">
        <v>-3.0833740000000001</v>
      </c>
      <c r="T1893">
        <v>-0.13782230000000001</v>
      </c>
      <c r="U1893">
        <v>-5.6884770000000001E-2</v>
      </c>
      <c r="V1893">
        <v>3.6856229999999997E-2</v>
      </c>
      <c r="W1893">
        <v>0.19427639999999999</v>
      </c>
      <c r="X1893">
        <v>0.98025419999999996</v>
      </c>
      <c r="Y1893">
        <v>-2.5535390000000002E-2</v>
      </c>
      <c r="Z1893">
        <v>-9.4821939999999996E-4</v>
      </c>
      <c r="AA1893">
        <v>0.99967349999999999</v>
      </c>
      <c r="AB1893">
        <v>30</v>
      </c>
      <c r="AC1893">
        <v>-24.8766</v>
      </c>
      <c r="AD1893">
        <v>-1.120351400468</v>
      </c>
      <c r="AE1893">
        <v>-0.46399999999999803</v>
      </c>
      <c r="AF1893">
        <v>-0.63998610741000495</v>
      </c>
      <c r="AG1893">
        <v>-1.120351400468</v>
      </c>
      <c r="AH1893">
        <v>24.822332307123499</v>
      </c>
      <c r="AI1893">
        <v>92.583423204862996</v>
      </c>
      <c r="AJ1893">
        <v>91.476911218630903</v>
      </c>
      <c r="AK1893">
        <v>24.8558433903072</v>
      </c>
      <c r="AL1893">
        <v>78.797543986078793</v>
      </c>
      <c r="AM1893">
        <v>87.846770568344098</v>
      </c>
      <c r="AN1893">
        <v>0.99999999895220604</v>
      </c>
    </row>
    <row r="1894" spans="1:40" x14ac:dyDescent="0.25">
      <c r="A1894" t="str">
        <f>"20190303162250814"</f>
        <v>20190303162250814</v>
      </c>
      <c r="B1894" t="str">
        <f>"1551601370806503"</f>
        <v>1551601370806503</v>
      </c>
      <c r="C1894" t="s">
        <v>40</v>
      </c>
      <c r="D1894">
        <v>5.2603479999999996</v>
      </c>
      <c r="E1894">
        <v>0.47643790000000003</v>
      </c>
      <c r="F1894" t="s">
        <v>49</v>
      </c>
      <c r="G1894">
        <v>-292.1019</v>
      </c>
      <c r="H1894" s="1">
        <v>2.6713350000000001E-6</v>
      </c>
      <c r="I1894">
        <v>283.55560000000003</v>
      </c>
      <c r="J1894">
        <v>-267.00459999999998</v>
      </c>
      <c r="K1894">
        <v>1.1203559999999999</v>
      </c>
      <c r="L1894">
        <v>284.01920000000001</v>
      </c>
      <c r="M1894">
        <v>-0.99991790000000003</v>
      </c>
      <c r="N1894">
        <v>-1.052661E-2</v>
      </c>
      <c r="O1894">
        <v>7.3039659999999899E-3</v>
      </c>
      <c r="P1894">
        <v>-0.98201329999999998</v>
      </c>
      <c r="Q1894">
        <v>0.1836603</v>
      </c>
      <c r="R1894">
        <v>4.3805789999999997E-2</v>
      </c>
      <c r="S1894">
        <v>-3.083221</v>
      </c>
      <c r="T1894">
        <v>-0.1366291</v>
      </c>
      <c r="U1894">
        <v>-5.6365970000000001E-2</v>
      </c>
      <c r="V1894">
        <v>3.674562E-2</v>
      </c>
      <c r="W1894">
        <v>0.19396910000000001</v>
      </c>
      <c r="X1894">
        <v>0.98031919999999995</v>
      </c>
      <c r="Y1894">
        <v>-2.554594E-2</v>
      </c>
      <c r="Z1894">
        <v>-9.4687739999999997E-4</v>
      </c>
      <c r="AA1894">
        <v>0.99967320000000004</v>
      </c>
      <c r="AB1894">
        <v>30</v>
      </c>
      <c r="AC1894">
        <v>-25.097300000000001</v>
      </c>
      <c r="AD1894">
        <v>-1.12035332866499</v>
      </c>
      <c r="AE1894">
        <v>-0.46359999999998502</v>
      </c>
      <c r="AF1894">
        <v>-0.64562148584235601</v>
      </c>
      <c r="AG1894">
        <v>-1.12035332866499</v>
      </c>
      <c r="AH1894">
        <v>25.0433556748028</v>
      </c>
      <c r="AI1894">
        <v>92.560657920398398</v>
      </c>
      <c r="AJ1894">
        <v>91.476766733012397</v>
      </c>
      <c r="AK1894">
        <v>25.0767159360772</v>
      </c>
      <c r="AL1894">
        <v>78.815492341510094</v>
      </c>
      <c r="AM1894">
        <v>87.853368823208399</v>
      </c>
      <c r="AN1894">
        <v>0.99999999311631704</v>
      </c>
    </row>
    <row r="1895" spans="1:40" x14ac:dyDescent="0.25">
      <c r="A1895" t="str">
        <f>"20190303162250831"</f>
        <v>20190303162250831</v>
      </c>
      <c r="B1895" t="str">
        <f>"1551601370826023"</f>
        <v>1551601370826023</v>
      </c>
      <c r="C1895" t="s">
        <v>40</v>
      </c>
      <c r="D1895">
        <v>5.2656839999999896</v>
      </c>
      <c r="E1895">
        <v>0.47640009999999999</v>
      </c>
      <c r="F1895" t="s">
        <v>49</v>
      </c>
      <c r="G1895">
        <v>-292.5138</v>
      </c>
      <c r="H1895" s="1">
        <v>2.7445269999999998E-6</v>
      </c>
      <c r="I1895">
        <v>283.55410000000001</v>
      </c>
      <c r="J1895">
        <v>-267.24700000000001</v>
      </c>
      <c r="K1895">
        <v>1.120358</v>
      </c>
      <c r="L1895">
        <v>284.0213</v>
      </c>
      <c r="M1895">
        <v>-0.99991609999999997</v>
      </c>
      <c r="N1895">
        <v>-1.0532059999999999E-2</v>
      </c>
      <c r="O1895">
        <v>7.5363940000000001E-3</v>
      </c>
      <c r="P1895">
        <v>-0.98205719999999996</v>
      </c>
      <c r="Q1895">
        <v>0.1832425</v>
      </c>
      <c r="R1895">
        <v>4.4560629999999997E-2</v>
      </c>
      <c r="S1895">
        <v>-3.0827640000000001</v>
      </c>
      <c r="T1895">
        <v>-0.13539370000000001</v>
      </c>
      <c r="U1895">
        <v>-5.621338E-2</v>
      </c>
      <c r="V1895">
        <v>3.7271449999999998E-2</v>
      </c>
      <c r="W1895">
        <v>0.19355700000000001</v>
      </c>
      <c r="X1895">
        <v>0.98038080000000005</v>
      </c>
      <c r="Y1895">
        <v>-2.5731790000000001E-2</v>
      </c>
      <c r="Z1895">
        <v>-9.5181849999999995E-4</v>
      </c>
      <c r="AA1895">
        <v>0.99966840000000001</v>
      </c>
      <c r="AB1895">
        <v>30</v>
      </c>
      <c r="AC1895">
        <v>-25.2667999999999</v>
      </c>
      <c r="AD1895">
        <v>-1.1203552554730001</v>
      </c>
      <c r="AE1895">
        <v>-0.46719999999999101</v>
      </c>
      <c r="AF1895">
        <v>-0.65632787793498404</v>
      </c>
      <c r="AG1895">
        <v>-1.1203552554730001</v>
      </c>
      <c r="AH1895">
        <v>25.213006201877</v>
      </c>
      <c r="AI1895">
        <v>92.543438599485896</v>
      </c>
      <c r="AJ1895">
        <v>91.491148119586398</v>
      </c>
      <c r="AK1895">
        <v>25.246418437428101</v>
      </c>
      <c r="AL1895">
        <v>78.839560055366505</v>
      </c>
      <c r="AM1895">
        <v>87.822816552880298</v>
      </c>
      <c r="AN1895">
        <v>0.999999993121371</v>
      </c>
    </row>
    <row r="1896" spans="1:40" x14ac:dyDescent="0.25">
      <c r="A1896" t="str">
        <f>"20190303162250867"</f>
        <v>20190303162250867</v>
      </c>
      <c r="B1896" t="str">
        <f>"1551601370856279"</f>
        <v>1551601370856279</v>
      </c>
      <c r="C1896" t="s">
        <v>40</v>
      </c>
      <c r="D1896">
        <v>5.2452269999999999</v>
      </c>
      <c r="E1896">
        <v>0.47723120000000002</v>
      </c>
      <c r="F1896" t="s">
        <v>49</v>
      </c>
      <c r="G1896">
        <v>-292.82990000000001</v>
      </c>
      <c r="H1896" s="1">
        <v>2.799123E-6</v>
      </c>
      <c r="I1896">
        <v>283.57089999999999</v>
      </c>
      <c r="J1896">
        <v>-267.69380000000001</v>
      </c>
      <c r="K1896">
        <v>1.120358</v>
      </c>
      <c r="L1896">
        <v>284.02510000000001</v>
      </c>
      <c r="M1896">
        <v>-0.99991269999999999</v>
      </c>
      <c r="N1896">
        <v>-1.054192E-2</v>
      </c>
      <c r="O1896">
        <v>7.9648949999999996E-3</v>
      </c>
      <c r="P1896">
        <v>-0.98183880000000001</v>
      </c>
      <c r="Q1896">
        <v>0.18402869999999999</v>
      </c>
      <c r="R1896">
        <v>4.6107019999999999E-2</v>
      </c>
      <c r="S1896">
        <v>-3.0824579999999999</v>
      </c>
      <c r="T1896">
        <v>-0.13499029999999901</v>
      </c>
      <c r="U1896">
        <v>-5.4260250000000003E-2</v>
      </c>
      <c r="V1896">
        <v>3.8399170000000003E-2</v>
      </c>
      <c r="W1896">
        <v>0.19434979999999999</v>
      </c>
      <c r="X1896">
        <v>0.98018039999999995</v>
      </c>
      <c r="Y1896">
        <v>-2.552898E-2</v>
      </c>
      <c r="Z1896">
        <v>-9.5802840000000001E-4</v>
      </c>
      <c r="AA1896">
        <v>0.99967360000000005</v>
      </c>
      <c r="AB1896">
        <v>30</v>
      </c>
      <c r="AC1896">
        <v>-25.136099999999999</v>
      </c>
      <c r="AD1896">
        <v>-1.1203552008769999</v>
      </c>
      <c r="AE1896">
        <v>-0.45420000000001398</v>
      </c>
      <c r="AF1896">
        <v>-0.65310606325975196</v>
      </c>
      <c r="AG1896">
        <v>-1.1203552008769999</v>
      </c>
      <c r="AH1896">
        <v>25.081872744650401</v>
      </c>
      <c r="AI1896">
        <v>92.556718014841707</v>
      </c>
      <c r="AJ1896">
        <v>91.4915858756668</v>
      </c>
      <c r="AK1896">
        <v>25.115375443836001</v>
      </c>
      <c r="AL1896">
        <v>78.793256530440502</v>
      </c>
      <c r="AM1896">
        <v>87.756549826100297</v>
      </c>
      <c r="AN1896">
        <v>0.999999978780444</v>
      </c>
    </row>
    <row r="1897" spans="1:40" x14ac:dyDescent="0.25">
      <c r="A1897" t="str">
        <f>"20190303162250888"</f>
        <v>20190303162250888</v>
      </c>
      <c r="B1897" t="str">
        <f>"1551601370876775"</f>
        <v>1551601370876775</v>
      </c>
      <c r="C1897" t="s">
        <v>40</v>
      </c>
      <c r="D1897">
        <v>5.2436449999999999</v>
      </c>
      <c r="E1897">
        <v>0.50839239999999997</v>
      </c>
      <c r="F1897" t="s">
        <v>49</v>
      </c>
      <c r="G1897">
        <v>-294.12860000000001</v>
      </c>
      <c r="H1897" s="1">
        <v>3.021722E-6</v>
      </c>
      <c r="I1897">
        <v>283.65969999999999</v>
      </c>
      <c r="J1897">
        <v>-267.98559999999998</v>
      </c>
      <c r="K1897">
        <v>1.1203459999999901</v>
      </c>
      <c r="L1897">
        <v>284.02780000000001</v>
      </c>
      <c r="M1897">
        <v>-0.99991050000000004</v>
      </c>
      <c r="N1897">
        <v>-1.0548299999999899E-2</v>
      </c>
      <c r="O1897">
        <v>8.2442269999999998E-3</v>
      </c>
      <c r="P1897">
        <v>-0.9817631</v>
      </c>
      <c r="Q1897">
        <v>0.1840955</v>
      </c>
      <c r="R1897">
        <v>4.7439120000000001E-2</v>
      </c>
      <c r="S1897">
        <v>-3.0819700000000001</v>
      </c>
      <c r="T1897">
        <v>-0.1306195</v>
      </c>
      <c r="U1897">
        <v>-4.2602540000000001E-2</v>
      </c>
      <c r="V1897">
        <v>3.945792E-2</v>
      </c>
      <c r="W1897">
        <v>0.19442190000000001</v>
      </c>
      <c r="X1897">
        <v>0.98012410000000005</v>
      </c>
      <c r="Y1897">
        <v>-2.2036380000000001E-2</v>
      </c>
      <c r="Z1897">
        <v>-8.4533899999999996E-4</v>
      </c>
      <c r="AA1897">
        <v>0.9997568</v>
      </c>
      <c r="AB1897">
        <v>30</v>
      </c>
      <c r="AC1897">
        <v>-26.143000000000001</v>
      </c>
      <c r="AD1897">
        <v>-1.1203429782779999</v>
      </c>
      <c r="AE1897">
        <v>-0.36810000000002602</v>
      </c>
      <c r="AF1897">
        <v>-0.58255862361314503</v>
      </c>
      <c r="AG1897">
        <v>-1.1203429782779999</v>
      </c>
      <c r="AH1897">
        <v>26.091169624551299</v>
      </c>
      <c r="AI1897">
        <v>92.458132454716903</v>
      </c>
      <c r="AJ1897">
        <v>91.279076634346296</v>
      </c>
      <c r="AK1897">
        <v>26.121708889657899</v>
      </c>
      <c r="AL1897">
        <v>78.789045721511499</v>
      </c>
      <c r="AM1897">
        <v>87.694626511093304</v>
      </c>
      <c r="AN1897">
        <v>1.00000002702557</v>
      </c>
    </row>
    <row r="1898" spans="1:40" x14ac:dyDescent="0.25">
      <c r="A1898" t="str">
        <f>"20190303162250908"</f>
        <v>20190303162250908</v>
      </c>
      <c r="B1898" t="str">
        <f>"1551601370896295"</f>
        <v>1551601370896295</v>
      </c>
      <c r="C1898" t="s">
        <v>40</v>
      </c>
      <c r="D1898">
        <v>5.1264669999999999</v>
      </c>
      <c r="E1898">
        <v>0.50870470000000001</v>
      </c>
      <c r="F1898" t="s">
        <v>49</v>
      </c>
      <c r="G1898">
        <v>-300.8073</v>
      </c>
      <c r="H1898" s="1">
        <v>3.6767279999999998E-6</v>
      </c>
      <c r="I1898">
        <v>286.27109999999999</v>
      </c>
      <c r="J1898">
        <v>-268.27300000000002</v>
      </c>
      <c r="K1898">
        <v>1.1203419999999999</v>
      </c>
      <c r="L1898">
        <v>284.03050000000002</v>
      </c>
      <c r="M1898">
        <v>-0.99990809999999997</v>
      </c>
      <c r="N1898">
        <v>-1.05545E-2</v>
      </c>
      <c r="O1898">
        <v>8.5192099999999993E-3</v>
      </c>
      <c r="P1898">
        <v>-0.98188640000000005</v>
      </c>
      <c r="Q1898">
        <v>0.1831526</v>
      </c>
      <c r="R1898">
        <v>4.852509E-2</v>
      </c>
      <c r="S1898">
        <v>-3.0652469999999998</v>
      </c>
      <c r="T1898">
        <v>-0.1046296</v>
      </c>
      <c r="U1898">
        <v>0.2095032</v>
      </c>
      <c r="V1898">
        <v>4.0272370000000002E-2</v>
      </c>
      <c r="W1898">
        <v>0.19348589999999999</v>
      </c>
      <c r="X1898">
        <v>0.98027620000000004</v>
      </c>
      <c r="Y1898">
        <v>5.9643540000000002E-2</v>
      </c>
      <c r="Z1898">
        <v>1.1311629999999999E-3</v>
      </c>
      <c r="AA1898">
        <v>0.99821910000000003</v>
      </c>
      <c r="AB1898">
        <v>30</v>
      </c>
      <c r="AC1898">
        <v>-32.534300000000002</v>
      </c>
      <c r="AD1898">
        <v>-1.1203383232719999</v>
      </c>
      <c r="AE1898">
        <v>2.2405999999999699</v>
      </c>
      <c r="AF1898">
        <v>1.9610223092969601</v>
      </c>
      <c r="AG1898">
        <v>-1.1203383232719999</v>
      </c>
      <c r="AH1898">
        <v>32.513835170809401</v>
      </c>
      <c r="AI1898">
        <v>91.969899042434307</v>
      </c>
      <c r="AJ1898">
        <v>86.548473738405704</v>
      </c>
      <c r="AK1898">
        <v>32.592180718244599</v>
      </c>
      <c r="AL1898">
        <v>78.8437128399421</v>
      </c>
      <c r="AM1898">
        <v>87.647458959444904</v>
      </c>
      <c r="AN1898">
        <v>1.0000000427853299</v>
      </c>
    </row>
    <row r="1899" spans="1:40" x14ac:dyDescent="0.25">
      <c r="A1899" t="str">
        <f>"20190303162250932"</f>
        <v>20190303162250932</v>
      </c>
      <c r="B1899" t="str">
        <f>"1551601370926551"</f>
        <v>1551601370926551</v>
      </c>
      <c r="C1899" t="s">
        <v>40</v>
      </c>
      <c r="D1899">
        <v>5.141648</v>
      </c>
      <c r="E1899">
        <v>0.509544</v>
      </c>
      <c r="F1899" t="s">
        <v>49</v>
      </c>
      <c r="G1899">
        <v>-299.64670000000001</v>
      </c>
      <c r="H1899" s="1">
        <v>3.7759460000000001E-6</v>
      </c>
      <c r="I1899">
        <v>286.22890000000001</v>
      </c>
      <c r="J1899">
        <v>-268.57990000000001</v>
      </c>
      <c r="K1899">
        <v>1.1203399999999999</v>
      </c>
      <c r="L1899">
        <v>284.03339999999997</v>
      </c>
      <c r="M1899">
        <v>-0.99990540000000006</v>
      </c>
      <c r="N1899">
        <v>-1.056111E-2</v>
      </c>
      <c r="O1899">
        <v>8.8132599999999998E-3</v>
      </c>
      <c r="P1899">
        <v>-0.98206839999999995</v>
      </c>
      <c r="Q1899">
        <v>0.18211160000000001</v>
      </c>
      <c r="R1899">
        <v>4.8756170000000001E-2</v>
      </c>
      <c r="S1899">
        <v>-3.0651250000000001</v>
      </c>
      <c r="T1899">
        <v>-0.10945390000000001</v>
      </c>
      <c r="U1899">
        <v>0.21478269999999999</v>
      </c>
      <c r="V1899">
        <v>4.0212329999999998E-2</v>
      </c>
      <c r="W1899">
        <v>0.19245370000000001</v>
      </c>
      <c r="X1899">
        <v>0.98048179999999996</v>
      </c>
      <c r="Y1899">
        <v>6.1059309999999999E-2</v>
      </c>
      <c r="Z1899">
        <v>1.1902289999999999E-3</v>
      </c>
      <c r="AA1899">
        <v>0.99813339999999995</v>
      </c>
      <c r="AB1899">
        <v>30</v>
      </c>
      <c r="AC1899">
        <v>-31.066800000000001</v>
      </c>
      <c r="AD1899">
        <v>-1.12033622405399</v>
      </c>
      <c r="AE1899">
        <v>2.1955000000000302</v>
      </c>
      <c r="AF1899">
        <v>1.91911629901463</v>
      </c>
      <c r="AG1899">
        <v>-1.12033622405399</v>
      </c>
      <c r="AH1899">
        <v>31.044771424317801</v>
      </c>
      <c r="AI1899">
        <v>92.062845040707401</v>
      </c>
      <c r="AJ1899">
        <v>86.462608195100302</v>
      </c>
      <c r="AK1899">
        <v>31.124202695205099</v>
      </c>
      <c r="AL1899">
        <v>78.903986025717202</v>
      </c>
      <c r="AM1899">
        <v>87.651454334523393</v>
      </c>
      <c r="AN1899">
        <v>1.0000000091294701</v>
      </c>
    </row>
    <row r="1900" spans="1:40" x14ac:dyDescent="0.25">
      <c r="A1900" t="str">
        <f>"20190303162250952"</f>
        <v>20190303162250952</v>
      </c>
      <c r="B1900" t="str">
        <f>"1551601370946070"</f>
        <v>1551601370946070</v>
      </c>
      <c r="C1900" t="s">
        <v>40</v>
      </c>
      <c r="D1900">
        <v>5.1671559999999896</v>
      </c>
      <c r="E1900">
        <v>0.50885709999999995</v>
      </c>
      <c r="F1900" t="s">
        <v>49</v>
      </c>
      <c r="G1900">
        <v>-296.10300000000001</v>
      </c>
      <c r="H1900" s="1">
        <v>3.164953E-6</v>
      </c>
      <c r="I1900">
        <v>286.02749999999997</v>
      </c>
      <c r="J1900">
        <v>-268.85550000000001</v>
      </c>
      <c r="K1900">
        <v>1.1203350000000001</v>
      </c>
      <c r="L1900">
        <v>284.03609999999998</v>
      </c>
      <c r="M1900">
        <v>-0.99990310000000004</v>
      </c>
      <c r="N1900">
        <v>-1.056692E-2</v>
      </c>
      <c r="O1900">
        <v>9.0770380000000008E-3</v>
      </c>
      <c r="P1900">
        <v>-0.98217779999999999</v>
      </c>
      <c r="Q1900">
        <v>0.1815464</v>
      </c>
      <c r="R1900">
        <v>4.8660910000000002E-2</v>
      </c>
      <c r="S1900">
        <v>-3.0668639999999998</v>
      </c>
      <c r="T1900">
        <v>-0.1248378</v>
      </c>
      <c r="U1900">
        <v>0.22219849999999999</v>
      </c>
      <c r="V1900">
        <v>3.9856839999999998E-2</v>
      </c>
      <c r="W1900">
        <v>0.19189539999999999</v>
      </c>
      <c r="X1900">
        <v>0.98060570000000002</v>
      </c>
      <c r="Y1900">
        <v>6.3143679999999994E-2</v>
      </c>
      <c r="Z1900">
        <v>1.3441270000000001E-3</v>
      </c>
      <c r="AA1900">
        <v>0.99800350000000004</v>
      </c>
      <c r="AB1900">
        <v>30</v>
      </c>
      <c r="AC1900">
        <v>-27.247499999999999</v>
      </c>
      <c r="AD1900">
        <v>-1.120331835047</v>
      </c>
      <c r="AE1900">
        <v>1.9913999999999901</v>
      </c>
      <c r="AF1900">
        <v>1.7410498065081601</v>
      </c>
      <c r="AG1900">
        <v>-1.120331835047</v>
      </c>
      <c r="AH1900">
        <v>27.2186830462873</v>
      </c>
      <c r="AI1900">
        <v>92.352184937317006</v>
      </c>
      <c r="AJ1900">
        <v>86.340047459372698</v>
      </c>
      <c r="AK1900">
        <v>27.297309475910101</v>
      </c>
      <c r="AL1900">
        <v>78.9365814442763</v>
      </c>
      <c r="AM1900">
        <v>87.672487092739601</v>
      </c>
      <c r="AN1900">
        <v>0.99999997555421705</v>
      </c>
    </row>
    <row r="1901" spans="1:40" x14ac:dyDescent="0.25">
      <c r="A1901" t="str">
        <f>"20190303162250976"</f>
        <v>20190303162250976</v>
      </c>
      <c r="B1901" t="str">
        <f>"1551601370966567"</f>
        <v>1551601370966567</v>
      </c>
      <c r="C1901" t="s">
        <v>40</v>
      </c>
      <c r="D1901">
        <v>5.2950189999999999</v>
      </c>
      <c r="E1901">
        <v>0.50900970000000001</v>
      </c>
      <c r="F1901" t="s">
        <v>49</v>
      </c>
      <c r="G1901">
        <v>-296.70069999999998</v>
      </c>
      <c r="H1901" s="1">
        <v>3.2731009999999999E-6</v>
      </c>
      <c r="I1901">
        <v>286.00310000000002</v>
      </c>
      <c r="J1901">
        <v>-269.16160000000002</v>
      </c>
      <c r="K1901">
        <v>1.120339</v>
      </c>
      <c r="L1901">
        <v>284.03919999999999</v>
      </c>
      <c r="M1901">
        <v>-0.99990020000000002</v>
      </c>
      <c r="N1901">
        <v>-1.0573310000000001E-2</v>
      </c>
      <c r="O1901">
        <v>9.3700190000000003E-3</v>
      </c>
      <c r="P1901">
        <v>-0.98216709999999996</v>
      </c>
      <c r="Q1901">
        <v>0.18146000000000001</v>
      </c>
      <c r="R1901">
        <v>4.9194670000000003E-2</v>
      </c>
      <c r="S1901">
        <v>-3.0664669999999998</v>
      </c>
      <c r="T1901">
        <v>-0.1233776</v>
      </c>
      <c r="U1901">
        <v>0.2166138</v>
      </c>
      <c r="V1901">
        <v>4.0102939999999997E-2</v>
      </c>
      <c r="W1901">
        <v>0.1918155</v>
      </c>
      <c r="X1901">
        <v>0.98061129999999996</v>
      </c>
      <c r="Y1901">
        <v>6.1055560000000002E-2</v>
      </c>
      <c r="Z1901">
        <v>1.2721900000000001E-3</v>
      </c>
      <c r="AA1901">
        <v>0.99813350000000001</v>
      </c>
      <c r="AB1901">
        <v>30</v>
      </c>
      <c r="AC1901">
        <v>-27.539099999999902</v>
      </c>
      <c r="AD1901">
        <v>-1.120335726899</v>
      </c>
      <c r="AE1901">
        <v>1.96390000000002</v>
      </c>
      <c r="AF1901">
        <v>1.7029533408695401</v>
      </c>
      <c r="AG1901">
        <v>-1.120335726899</v>
      </c>
      <c r="AH1901">
        <v>27.510993518130501</v>
      </c>
      <c r="AI1901">
        <v>92.327528996045999</v>
      </c>
      <c r="AJ1901">
        <v>86.457863212840095</v>
      </c>
      <c r="AK1901">
        <v>27.586409091738702</v>
      </c>
      <c r="AL1901">
        <v>78.941246043813095</v>
      </c>
      <c r="AM1901">
        <v>87.658144944882807</v>
      </c>
      <c r="AN1901">
        <v>0.99999997676229102</v>
      </c>
    </row>
    <row r="1902" spans="1:40" x14ac:dyDescent="0.25">
      <c r="A1902" t="str">
        <f>"20190303162250998"</f>
        <v>20190303162250998</v>
      </c>
      <c r="B1902" t="str">
        <f>"1551601370986087"</f>
        <v>1551601370986087</v>
      </c>
      <c r="C1902" t="s">
        <v>40</v>
      </c>
      <c r="D1902">
        <v>5.1669960000000001</v>
      </c>
      <c r="E1902">
        <v>0.50918439999999998</v>
      </c>
      <c r="F1902" t="s">
        <v>49</v>
      </c>
      <c r="G1902">
        <v>-296.37299999999999</v>
      </c>
      <c r="H1902" s="1">
        <v>3.2165940000000001E-6</v>
      </c>
      <c r="I1902">
        <v>285.98469999999998</v>
      </c>
      <c r="J1902">
        <v>-269.46699999999998</v>
      </c>
      <c r="K1902">
        <v>1.1203369999999999</v>
      </c>
      <c r="L1902">
        <v>284.04239999999999</v>
      </c>
      <c r="M1902">
        <v>-0.99989740000000005</v>
      </c>
      <c r="N1902">
        <v>-1.057992E-2</v>
      </c>
      <c r="O1902">
        <v>9.6623999999999998E-3</v>
      </c>
      <c r="P1902">
        <v>-0.98210509999999995</v>
      </c>
      <c r="Q1902">
        <v>0.1815938</v>
      </c>
      <c r="R1902">
        <v>4.993504E-2</v>
      </c>
      <c r="S1902">
        <v>-3.0668030000000002</v>
      </c>
      <c r="T1902">
        <v>-0.12626469999999901</v>
      </c>
      <c r="U1902">
        <v>0.21926880000000001</v>
      </c>
      <c r="V1902">
        <v>4.0556670000000003E-2</v>
      </c>
      <c r="W1902">
        <v>0.19195490000000001</v>
      </c>
      <c r="X1902">
        <v>0.98056540000000003</v>
      </c>
      <c r="Y1902">
        <v>6.1612970000000003E-2</v>
      </c>
      <c r="Z1902">
        <v>1.2976999999999999E-3</v>
      </c>
      <c r="AA1902">
        <v>0.99809930000000002</v>
      </c>
      <c r="AB1902">
        <v>30</v>
      </c>
      <c r="AC1902">
        <v>-26.905999999999999</v>
      </c>
      <c r="AD1902">
        <v>-1.1203337834060001</v>
      </c>
      <c r="AE1902">
        <v>1.9422999999999799</v>
      </c>
      <c r="AF1902">
        <v>1.67932174959798</v>
      </c>
      <c r="AG1902">
        <v>-1.1203337834060001</v>
      </c>
      <c r="AH1902">
        <v>26.877154386576098</v>
      </c>
      <c r="AI1902">
        <v>92.382266468629297</v>
      </c>
      <c r="AJ1902">
        <v>86.424728209837795</v>
      </c>
      <c r="AK1902">
        <v>26.952860650490599</v>
      </c>
      <c r="AL1902">
        <v>78.933108214657494</v>
      </c>
      <c r="AM1902">
        <v>87.631568152606107</v>
      </c>
      <c r="AN1902">
        <v>1.00000001539632</v>
      </c>
    </row>
    <row r="1903" spans="1:40" x14ac:dyDescent="0.25">
      <c r="A1903" t="str">
        <f>"20190303162251032"</f>
        <v>20190303162251032</v>
      </c>
      <c r="B1903" t="str">
        <f>"1551601371026103"</f>
        <v>1551601371026103</v>
      </c>
      <c r="C1903" t="s">
        <v>40</v>
      </c>
      <c r="D1903">
        <v>5.2119790000000004</v>
      </c>
      <c r="E1903">
        <v>0.52250470000000004</v>
      </c>
      <c r="F1903" t="s">
        <v>49</v>
      </c>
      <c r="G1903">
        <v>-296.86219999999997</v>
      </c>
      <c r="H1903" s="1">
        <v>3.2995189999999998E-6</v>
      </c>
      <c r="I1903">
        <v>286.02870000000001</v>
      </c>
      <c r="J1903">
        <v>-269.91660000000002</v>
      </c>
      <c r="K1903">
        <v>1.120323</v>
      </c>
      <c r="L1903">
        <v>284.04719999999998</v>
      </c>
      <c r="M1903">
        <v>-0.99989309999999998</v>
      </c>
      <c r="N1903">
        <v>-1.0589950000000001E-2</v>
      </c>
      <c r="O1903">
        <v>1.00921E-2</v>
      </c>
      <c r="P1903">
        <v>-0.98211910000000002</v>
      </c>
      <c r="Q1903">
        <v>0.18114</v>
      </c>
      <c r="R1903">
        <v>5.1289950000000001E-2</v>
      </c>
      <c r="S1903">
        <v>-3.0665589999999998</v>
      </c>
      <c r="T1903">
        <v>-0.12540750000000001</v>
      </c>
      <c r="U1903">
        <v>0.2223511</v>
      </c>
      <c r="V1903">
        <v>4.1489310000000001E-2</v>
      </c>
      <c r="W1903">
        <v>0.19151080000000001</v>
      </c>
      <c r="X1903">
        <v>0.98061319999999996</v>
      </c>
      <c r="Y1903">
        <v>6.2188010000000002E-2</v>
      </c>
      <c r="Z1903">
        <v>1.2940499999999999E-3</v>
      </c>
      <c r="AA1903">
        <v>0.99806360000000005</v>
      </c>
      <c r="AB1903">
        <v>30</v>
      </c>
      <c r="AC1903">
        <v>-26.945599999999899</v>
      </c>
      <c r="AD1903">
        <v>-1.1203197004809999</v>
      </c>
      <c r="AE1903">
        <v>1.98150000000004</v>
      </c>
      <c r="AF1903">
        <v>1.7065120634342601</v>
      </c>
      <c r="AG1903">
        <v>-1.1203197004809999</v>
      </c>
      <c r="AH1903">
        <v>26.917944663239702</v>
      </c>
      <c r="AI1903">
        <v>92.378494422136299</v>
      </c>
      <c r="AJ1903">
        <v>86.372484494788793</v>
      </c>
      <c r="AK1903">
        <v>26.995241146305101</v>
      </c>
      <c r="AL1903">
        <v>78.959034085556198</v>
      </c>
      <c r="AM1903">
        <v>87.577285898465504</v>
      </c>
      <c r="AN1903">
        <v>0.99999999868757705</v>
      </c>
    </row>
    <row r="1904" spans="1:40" x14ac:dyDescent="0.25">
      <c r="A1904" t="str">
        <f>"20190303162251056"</f>
        <v>20190303162251056</v>
      </c>
      <c r="B1904" t="str">
        <f>"1551601371046599"</f>
        <v>1551601371046599</v>
      </c>
      <c r="C1904" t="s">
        <v>40</v>
      </c>
      <c r="D1904">
        <v>5.1997770000000001</v>
      </c>
      <c r="E1904">
        <v>0.52421859999999998</v>
      </c>
      <c r="F1904" t="s">
        <v>42</v>
      </c>
      <c r="G1904">
        <v>-270.76249999999999</v>
      </c>
      <c r="H1904">
        <v>1.0087759999999999</v>
      </c>
      <c r="I1904">
        <v>284.1377</v>
      </c>
      <c r="J1904">
        <v>-270.22770000000003</v>
      </c>
      <c r="K1904">
        <v>1.1203320000000001</v>
      </c>
      <c r="L1904">
        <v>284.05070000000001</v>
      </c>
      <c r="M1904">
        <v>-0.99988999999999995</v>
      </c>
      <c r="N1904">
        <v>-1.0596929999999999E-2</v>
      </c>
      <c r="O1904">
        <v>1.038978E-2</v>
      </c>
      <c r="P1904">
        <v>-0.98202959999999995</v>
      </c>
      <c r="Q1904">
        <v>0.18152199999999999</v>
      </c>
      <c r="R1904">
        <v>5.1654169999999999E-2</v>
      </c>
      <c r="S1904">
        <v>-3.1129150000000001</v>
      </c>
      <c r="T1904">
        <v>-0.4104235</v>
      </c>
      <c r="U1904">
        <v>0.33294679999999999</v>
      </c>
      <c r="V1904">
        <v>4.1562290000000002E-2</v>
      </c>
      <c r="W1904">
        <v>0.19189870000000001</v>
      </c>
      <c r="X1904">
        <v>0.98053429999999997</v>
      </c>
      <c r="Y1904">
        <v>9.520692E-2</v>
      </c>
      <c r="Z1904">
        <v>5.4894050000000002E-3</v>
      </c>
      <c r="AA1904">
        <v>0.99544239999999995</v>
      </c>
      <c r="AB1904">
        <v>30</v>
      </c>
      <c r="AC1904">
        <v>-0.53479999999996097</v>
      </c>
      <c r="AD1904">
        <v>-0.111555999999999</v>
      </c>
      <c r="AE1904">
        <v>8.6999999999989003E-2</v>
      </c>
      <c r="AF1904">
        <v>7.8126775062672807E-2</v>
      </c>
      <c r="AG1904">
        <v>-0.111555999999999</v>
      </c>
      <c r="AH1904">
        <v>0.513891438615388</v>
      </c>
      <c r="AI1904">
        <v>102.11278528859199</v>
      </c>
      <c r="AJ1904">
        <v>81.355532664813197</v>
      </c>
      <c r="AK1904">
        <v>0.53163233987398295</v>
      </c>
      <c r="AL1904">
        <v>78.936389333170794</v>
      </c>
      <c r="AM1904">
        <v>87.572834362010795</v>
      </c>
      <c r="AN1904">
        <v>1.0000000242441101</v>
      </c>
    </row>
    <row r="1905" spans="1:40" x14ac:dyDescent="0.25">
      <c r="A1905" t="str">
        <f>"20190303162251078"</f>
        <v>20190303162251078</v>
      </c>
      <c r="B1905" t="str">
        <f>"1551601371066118"</f>
        <v>1551601371066118</v>
      </c>
      <c r="C1905" t="s">
        <v>40</v>
      </c>
      <c r="D1905">
        <v>5.2148629999999896</v>
      </c>
      <c r="E1905">
        <v>0.52479140000000002</v>
      </c>
      <c r="F1905" t="s">
        <v>42</v>
      </c>
      <c r="G1905">
        <v>-271.01080000000002</v>
      </c>
      <c r="H1905">
        <v>0.96943140000000005</v>
      </c>
      <c r="I1905">
        <v>284.13740000000001</v>
      </c>
      <c r="J1905">
        <v>-270.52190000000002</v>
      </c>
      <c r="K1905">
        <v>1.120336</v>
      </c>
      <c r="L1905">
        <v>284.05410000000001</v>
      </c>
      <c r="M1905">
        <v>-0.99988690000000002</v>
      </c>
      <c r="N1905">
        <v>-1.060348E-2</v>
      </c>
      <c r="O1905">
        <v>1.067132E-2</v>
      </c>
      <c r="P1905">
        <v>-0.9817939</v>
      </c>
      <c r="Q1905">
        <v>0.1827618</v>
      </c>
      <c r="R1905">
        <v>5.1758390000000001E-2</v>
      </c>
      <c r="S1905">
        <v>-3.1487120000000002</v>
      </c>
      <c r="T1905">
        <v>-0.60676839999999999</v>
      </c>
      <c r="U1905">
        <v>0.34802250000000001</v>
      </c>
      <c r="V1905">
        <v>4.1393140000000002E-2</v>
      </c>
      <c r="W1905">
        <v>0.19314249999999999</v>
      </c>
      <c r="X1905">
        <v>0.98029719999999998</v>
      </c>
      <c r="Y1905">
        <v>9.7546090000000002E-2</v>
      </c>
      <c r="Z1905">
        <v>7.8897859999999993E-3</v>
      </c>
      <c r="AA1905">
        <v>0.99519970000000002</v>
      </c>
      <c r="AB1905">
        <v>30</v>
      </c>
      <c r="AC1905">
        <v>-0.488900000000001</v>
      </c>
      <c r="AD1905">
        <v>-0.150904599999999</v>
      </c>
      <c r="AE1905">
        <v>8.3300000000008298E-2</v>
      </c>
      <c r="AF1905">
        <v>7.1461546613767302E-2</v>
      </c>
      <c r="AG1905">
        <v>-0.150904599999999</v>
      </c>
      <c r="AH1905">
        <v>0.44825940240204898</v>
      </c>
      <c r="AI1905">
        <v>108.389266205132</v>
      </c>
      <c r="AJ1905">
        <v>80.942123993312407</v>
      </c>
      <c r="AK1905">
        <v>0.47834657183618901</v>
      </c>
      <c r="AL1905">
        <v>78.863766100821195</v>
      </c>
      <c r="AM1905">
        <v>87.582116719676193</v>
      </c>
      <c r="AN1905">
        <v>1.0000000088365699</v>
      </c>
    </row>
    <row r="1906" spans="1:40" x14ac:dyDescent="0.25">
      <c r="A1906" t="str">
        <f>"20190303162251099"</f>
        <v>20190303162251099</v>
      </c>
      <c r="B1906" t="str">
        <f>"1551601371096375"</f>
        <v>1551601371096375</v>
      </c>
      <c r="C1906" t="s">
        <v>40</v>
      </c>
      <c r="D1906">
        <v>5.2526149999999996</v>
      </c>
      <c r="E1906">
        <v>0.52332309999999904</v>
      </c>
      <c r="F1906" t="s">
        <v>42</v>
      </c>
      <c r="G1906">
        <v>-271.27170000000001</v>
      </c>
      <c r="H1906">
        <v>0.9554241</v>
      </c>
      <c r="I1906">
        <v>284.13749999999999</v>
      </c>
      <c r="J1906">
        <v>-270.81369999999998</v>
      </c>
      <c r="K1906">
        <v>1.120339</v>
      </c>
      <c r="L1906">
        <v>284.0575</v>
      </c>
      <c r="M1906">
        <v>-0.99988379999999999</v>
      </c>
      <c r="N1906">
        <v>-1.060994E-2</v>
      </c>
      <c r="O1906">
        <v>1.095047E-2</v>
      </c>
      <c r="P1906">
        <v>-0.98153250000000003</v>
      </c>
      <c r="Q1906">
        <v>0.18399299999999999</v>
      </c>
      <c r="R1906">
        <v>5.2353030000000002E-2</v>
      </c>
      <c r="S1906">
        <v>-3.1667480000000001</v>
      </c>
      <c r="T1906">
        <v>-0.69653940000000003</v>
      </c>
      <c r="U1906">
        <v>0.35247800000000001</v>
      </c>
      <c r="V1906">
        <v>4.1717459999999998E-2</v>
      </c>
      <c r="W1906">
        <v>0.19437750000000001</v>
      </c>
      <c r="X1906">
        <v>0.98003929999999995</v>
      </c>
      <c r="Y1906">
        <v>9.7548720000000005E-2</v>
      </c>
      <c r="Z1906">
        <v>8.837223E-3</v>
      </c>
      <c r="AA1906">
        <v>0.99519150000000001</v>
      </c>
      <c r="AB1906">
        <v>30</v>
      </c>
      <c r="AC1906">
        <v>-0.458000000000026</v>
      </c>
      <c r="AD1906">
        <v>-0.164914899999999</v>
      </c>
      <c r="AE1906">
        <v>7.9999999999984001E-2</v>
      </c>
      <c r="AF1906">
        <v>6.6600221413926505E-2</v>
      </c>
      <c r="AG1906">
        <v>-0.164914899999999</v>
      </c>
      <c r="AH1906">
        <v>0.40756976098567799</v>
      </c>
      <c r="AI1906">
        <v>111.768479048454</v>
      </c>
      <c r="AJ1906">
        <v>80.719426440777895</v>
      </c>
      <c r="AK1906">
        <v>0.44468598336839499</v>
      </c>
      <c r="AL1906">
        <v>78.791638758050993</v>
      </c>
      <c r="AM1906">
        <v>87.562554596151202</v>
      </c>
      <c r="AN1906">
        <v>0.99999999425979502</v>
      </c>
    </row>
    <row r="1907" spans="1:40" x14ac:dyDescent="0.25">
      <c r="A1907" t="str">
        <f>"20190303162251121"</f>
        <v>20190303162251121</v>
      </c>
      <c r="B1907" t="str">
        <f>"1551601371115895"</f>
        <v>1551601371115895</v>
      </c>
      <c r="C1907" t="s">
        <v>40</v>
      </c>
      <c r="D1907">
        <v>5.2357829999999996</v>
      </c>
      <c r="E1907">
        <v>0.52317479999999905</v>
      </c>
      <c r="F1907" t="s">
        <v>42</v>
      </c>
      <c r="G1907">
        <v>-271.53539999999998</v>
      </c>
      <c r="H1907">
        <v>0.94657670000000005</v>
      </c>
      <c r="I1907">
        <v>284.13529999999997</v>
      </c>
      <c r="J1907">
        <v>-271.10989999999998</v>
      </c>
      <c r="K1907">
        <v>1.1203430000000001</v>
      </c>
      <c r="L1907">
        <v>284.06099999999998</v>
      </c>
      <c r="M1907">
        <v>-0.99988069999999896</v>
      </c>
      <c r="N1907">
        <v>-1.0616459999999999E-2</v>
      </c>
      <c r="O1907">
        <v>1.1233379999999999E-2</v>
      </c>
      <c r="P1907">
        <v>-0.98143570000000002</v>
      </c>
      <c r="Q1907">
        <v>0.18432100000000001</v>
      </c>
      <c r="R1907">
        <v>5.3011330000000002E-2</v>
      </c>
      <c r="S1907">
        <v>-3.1818240000000002</v>
      </c>
      <c r="T1907">
        <v>-0.76618949999999997</v>
      </c>
      <c r="U1907">
        <v>0.34198000000000001</v>
      </c>
      <c r="V1907">
        <v>4.20991E-2</v>
      </c>
      <c r="W1907">
        <v>0.19471040000000001</v>
      </c>
      <c r="X1907">
        <v>0.97995690000000002</v>
      </c>
      <c r="Y1907">
        <v>9.3222920000000001E-2</v>
      </c>
      <c r="Z1907">
        <v>8.9972330000000003E-3</v>
      </c>
      <c r="AA1907">
        <v>0.99560459999999995</v>
      </c>
      <c r="AB1907">
        <v>30</v>
      </c>
      <c r="AC1907">
        <v>-0.42549999999999899</v>
      </c>
      <c r="AD1907">
        <v>-0.17376630000000001</v>
      </c>
      <c r="AE1907">
        <v>7.4299999999993802E-2</v>
      </c>
      <c r="AF1907">
        <v>5.9831992006203802E-2</v>
      </c>
      <c r="AG1907">
        <v>-0.17376630000000001</v>
      </c>
      <c r="AH1907">
        <v>0.36692453654946999</v>
      </c>
      <c r="AI1907">
        <v>115.051469728838</v>
      </c>
      <c r="AJ1907">
        <v>80.738662105749796</v>
      </c>
      <c r="AK1907">
        <v>0.41037569348727698</v>
      </c>
      <c r="AL1907">
        <v>78.7721935322501</v>
      </c>
      <c r="AM1907">
        <v>87.540077029778402</v>
      </c>
      <c r="AN1907">
        <v>0.99999999997329003</v>
      </c>
    </row>
    <row r="1908" spans="1:40" x14ac:dyDescent="0.25">
      <c r="A1908" t="str">
        <f>"20190303162251144"</f>
        <v>20190303162251144</v>
      </c>
      <c r="B1908" t="str">
        <f>"1551601371136391"</f>
        <v>1551601371136391</v>
      </c>
      <c r="C1908" t="s">
        <v>40</v>
      </c>
      <c r="D1908">
        <v>5.2283179999999998</v>
      </c>
      <c r="E1908">
        <v>0.52299309999999999</v>
      </c>
      <c r="F1908" t="s">
        <v>42</v>
      </c>
      <c r="G1908">
        <v>-271.80450000000002</v>
      </c>
      <c r="H1908">
        <v>0.94832349999999999</v>
      </c>
      <c r="I1908">
        <v>284.13569999999999</v>
      </c>
      <c r="J1908">
        <v>-271.40719999999999</v>
      </c>
      <c r="K1908">
        <v>1.120344</v>
      </c>
      <c r="L1908">
        <v>284.06470000000002</v>
      </c>
      <c r="M1908">
        <v>-0.99987729999999997</v>
      </c>
      <c r="N1908">
        <v>-1.062279E-2</v>
      </c>
      <c r="O1908">
        <v>1.151783E-2</v>
      </c>
      <c r="P1908">
        <v>-0.98156759999999998</v>
      </c>
      <c r="Q1908">
        <v>0.1835569</v>
      </c>
      <c r="R1908">
        <v>5.3217510000000003E-2</v>
      </c>
      <c r="S1908">
        <v>-3.186493</v>
      </c>
      <c r="T1908">
        <v>-0.78914890000000004</v>
      </c>
      <c r="U1908">
        <v>0.34164430000000001</v>
      </c>
      <c r="V1908">
        <v>4.2024329999999999E-2</v>
      </c>
      <c r="W1908">
        <v>0.19395409999999999</v>
      </c>
      <c r="X1908">
        <v>0.98011000000000004</v>
      </c>
      <c r="Y1908">
        <v>9.2572810000000005E-2</v>
      </c>
      <c r="Z1908">
        <v>9.0807209999999999E-3</v>
      </c>
      <c r="AA1908">
        <v>0.99566449999999995</v>
      </c>
      <c r="AB1908">
        <v>30</v>
      </c>
      <c r="AC1908">
        <v>-0.39730000000002902</v>
      </c>
      <c r="AD1908">
        <v>-0.17202049999999899</v>
      </c>
      <c r="AE1908">
        <v>7.0999999999969504E-2</v>
      </c>
      <c r="AF1908">
        <v>5.6207990340172098E-2</v>
      </c>
      <c r="AG1908">
        <v>-0.17202049999999899</v>
      </c>
      <c r="AH1908">
        <v>0.33689036747592599</v>
      </c>
      <c r="AI1908">
        <v>116.732147441557</v>
      </c>
      <c r="AJ1908">
        <v>80.527816411350699</v>
      </c>
      <c r="AK1908">
        <v>0.38242059345228102</v>
      </c>
      <c r="AL1908">
        <v>78.816367640154695</v>
      </c>
      <c r="AM1908">
        <v>87.544823723170197</v>
      </c>
      <c r="AN1908">
        <v>0.99999992465937604</v>
      </c>
    </row>
    <row r="1909" spans="1:40" x14ac:dyDescent="0.25">
      <c r="A1909" t="str">
        <f>"20190303162251165"</f>
        <v>20190303162251165</v>
      </c>
      <c r="B1909" t="str">
        <f>"1551601371155911"</f>
        <v>1551601371155911</v>
      </c>
      <c r="C1909" t="s">
        <v>40</v>
      </c>
      <c r="D1909">
        <v>5.2330059999999996</v>
      </c>
      <c r="E1909">
        <v>0.52336519999999997</v>
      </c>
      <c r="F1909" t="s">
        <v>42</v>
      </c>
      <c r="G1909">
        <v>-272.31459999999998</v>
      </c>
      <c r="H1909">
        <v>0.88993449999999996</v>
      </c>
      <c r="I1909">
        <v>284.16129999999998</v>
      </c>
      <c r="J1909">
        <v>-271.69279999999998</v>
      </c>
      <c r="K1909">
        <v>1.1203449999999999</v>
      </c>
      <c r="L1909">
        <v>284.06830000000002</v>
      </c>
      <c r="M1909">
        <v>-0.99987409999999999</v>
      </c>
      <c r="N1909">
        <v>-1.062889E-2</v>
      </c>
      <c r="O1909">
        <v>1.179061E-2</v>
      </c>
      <c r="P1909">
        <v>-0.98151339999999998</v>
      </c>
      <c r="Q1909">
        <v>0.18377260000000001</v>
      </c>
      <c r="R1909">
        <v>5.3469740000000002E-2</v>
      </c>
      <c r="S1909">
        <v>-3.1893919999999998</v>
      </c>
      <c r="T1909">
        <v>-0.80973980000000001</v>
      </c>
      <c r="U1909">
        <v>0.33877560000000001</v>
      </c>
      <c r="V1909">
        <v>4.2009289999999998E-2</v>
      </c>
      <c r="W1909">
        <v>0.1941754</v>
      </c>
      <c r="X1909">
        <v>0.98006689999999996</v>
      </c>
      <c r="Y1909">
        <v>9.1245279999999998E-2</v>
      </c>
      <c r="Z1909">
        <v>9.0504490000000003E-3</v>
      </c>
      <c r="AA1909">
        <v>0.99578730000000004</v>
      </c>
      <c r="AB1909">
        <v>30</v>
      </c>
      <c r="AC1909">
        <v>-0.62180000000000701</v>
      </c>
      <c r="AD1909">
        <v>-0.23041049999999999</v>
      </c>
      <c r="AE1909">
        <v>9.2999999999960795E-2</v>
      </c>
      <c r="AF1909">
        <v>7.5519065311005398E-2</v>
      </c>
      <c r="AG1909">
        <v>-0.23041049999999999</v>
      </c>
      <c r="AH1909">
        <v>0.54910529090788296</v>
      </c>
      <c r="AI1909">
        <v>112.572547361867</v>
      </c>
      <c r="AJ1909">
        <v>82.169173573182803</v>
      </c>
      <c r="AK1909">
        <v>0.60025723505737805</v>
      </c>
      <c r="AL1909">
        <v>78.8034431824412</v>
      </c>
      <c r="AM1909">
        <v>87.545593526752796</v>
      </c>
      <c r="AN1909">
        <v>0.99999999744353696</v>
      </c>
    </row>
    <row r="1910" spans="1:40" x14ac:dyDescent="0.25">
      <c r="A1910" t="str">
        <f>"20190303162251189"</f>
        <v>20190303162251189</v>
      </c>
      <c r="B1910" t="str">
        <f>"1551601371176407"</f>
        <v>1551601371176407</v>
      </c>
      <c r="C1910" t="s">
        <v>40</v>
      </c>
      <c r="D1910">
        <v>5.2725739999999996</v>
      </c>
      <c r="E1910">
        <v>0.52352049999999895</v>
      </c>
      <c r="F1910" t="s">
        <v>42</v>
      </c>
      <c r="G1910">
        <v>-272.58409999999998</v>
      </c>
      <c r="H1910">
        <v>0.89161979999999996</v>
      </c>
      <c r="I1910">
        <v>284.16379999999998</v>
      </c>
      <c r="J1910">
        <v>-272.00689999999997</v>
      </c>
      <c r="K1910">
        <v>1.120344</v>
      </c>
      <c r="L1910">
        <v>284.07229999999998</v>
      </c>
      <c r="M1910">
        <v>-0.99987040000000005</v>
      </c>
      <c r="N1910">
        <v>-1.063567E-2</v>
      </c>
      <c r="O1910">
        <v>1.209056E-2</v>
      </c>
      <c r="P1910">
        <v>-0.98151500000000003</v>
      </c>
      <c r="Q1910">
        <v>0.18386079999999999</v>
      </c>
      <c r="R1910">
        <v>5.3139359999999997E-2</v>
      </c>
      <c r="S1910">
        <v>-3.1912229999999999</v>
      </c>
      <c r="T1910">
        <v>-0.81899759999999999</v>
      </c>
      <c r="U1910">
        <v>0.34069820000000001</v>
      </c>
      <c r="V1910">
        <v>4.1384570000000002E-2</v>
      </c>
      <c r="W1910">
        <v>0.19427079999999999</v>
      </c>
      <c r="X1910">
        <v>0.98007460000000002</v>
      </c>
      <c r="Y1910">
        <v>9.1427410000000001E-2</v>
      </c>
      <c r="Z1910">
        <v>9.0909690000000008E-3</v>
      </c>
      <c r="AA1910">
        <v>0.9957703</v>
      </c>
      <c r="AB1910">
        <v>30</v>
      </c>
      <c r="AC1910">
        <v>-0.57720000000000404</v>
      </c>
      <c r="AD1910">
        <v>-0.22872419999999999</v>
      </c>
      <c r="AE1910">
        <v>9.1499999999996307E-2</v>
      </c>
      <c r="AF1910">
        <v>7.3288200647485896E-2</v>
      </c>
      <c r="AG1910">
        <v>-0.22872419999999999</v>
      </c>
      <c r="AH1910">
        <v>0.50145320547487604</v>
      </c>
      <c r="AI1910">
        <v>114.29098649369</v>
      </c>
      <c r="AJ1910">
        <v>81.684998866107193</v>
      </c>
      <c r="AK1910">
        <v>0.55600470978294303</v>
      </c>
      <c r="AL1910">
        <v>78.7978713581645</v>
      </c>
      <c r="AM1910">
        <v>87.582068324236204</v>
      </c>
      <c r="AN1910">
        <v>1.0000000239659399</v>
      </c>
    </row>
    <row r="1911" spans="1:40" x14ac:dyDescent="0.25">
      <c r="A1911" t="str">
        <f>"20190303162251212"</f>
        <v>20190303162251212</v>
      </c>
      <c r="B1911" t="str">
        <f>"1551601371206663"</f>
        <v>1551601371206663</v>
      </c>
      <c r="C1911" t="s">
        <v>40</v>
      </c>
      <c r="D1911">
        <v>5.2937729999999998</v>
      </c>
      <c r="E1911">
        <v>0.52623299999999995</v>
      </c>
      <c r="F1911" t="s">
        <v>42</v>
      </c>
      <c r="G1911">
        <v>-272.85660000000001</v>
      </c>
      <c r="H1911">
        <v>0.90023639999999905</v>
      </c>
      <c r="I1911">
        <v>284.16300000000001</v>
      </c>
      <c r="J1911">
        <v>-272.32350000000002</v>
      </c>
      <c r="K1911">
        <v>1.120349</v>
      </c>
      <c r="L1911">
        <v>284.07639999999998</v>
      </c>
      <c r="M1911">
        <v>-0.99986679999999994</v>
      </c>
      <c r="N1911">
        <v>-1.0642449999999999E-2</v>
      </c>
      <c r="O1911">
        <v>1.2390079999999999E-2</v>
      </c>
      <c r="P1911">
        <v>-0.98151460000000001</v>
      </c>
      <c r="Q1911">
        <v>0.18408749999999999</v>
      </c>
      <c r="R1911">
        <v>5.2357000000000001E-2</v>
      </c>
      <c r="S1911">
        <v>-3.1929630000000002</v>
      </c>
      <c r="T1911">
        <v>-0.82717129999999905</v>
      </c>
      <c r="U1911">
        <v>0.34091189999999999</v>
      </c>
      <c r="V1911">
        <v>4.0308030000000002E-2</v>
      </c>
      <c r="W1911">
        <v>0.1945047</v>
      </c>
      <c r="X1911">
        <v>0.98007299999999997</v>
      </c>
      <c r="Y1911">
        <v>9.1108599999999998E-2</v>
      </c>
      <c r="Z1911">
        <v>9.0535990000000007E-3</v>
      </c>
      <c r="AA1911">
        <v>0.99579980000000001</v>
      </c>
      <c r="AB1911">
        <v>30</v>
      </c>
      <c r="AC1911">
        <v>-0.53309999999999003</v>
      </c>
      <c r="AD1911">
        <v>-0.22011259999999999</v>
      </c>
      <c r="AE1911">
        <v>8.6600000000032595E-2</v>
      </c>
      <c r="AF1911">
        <v>6.8594516043332499E-2</v>
      </c>
      <c r="AG1911">
        <v>-0.22011259999999999</v>
      </c>
      <c r="AH1911">
        <v>0.45805137105779398</v>
      </c>
      <c r="AI1911">
        <v>115.419028803022</v>
      </c>
      <c r="AJ1911">
        <v>81.483081764870207</v>
      </c>
      <c r="AK1911">
        <v>0.51280193334064605</v>
      </c>
      <c r="AL1911">
        <v>78.784208433067903</v>
      </c>
      <c r="AM1911">
        <v>87.644890559455106</v>
      </c>
      <c r="AN1911">
        <v>0.99999995046678403</v>
      </c>
    </row>
    <row r="1912" spans="1:40" x14ac:dyDescent="0.25">
      <c r="A1912" t="str">
        <f>"20190303162251233"</f>
        <v>20190303162251233</v>
      </c>
      <c r="B1912" t="str">
        <f>"1551601371226183"</f>
        <v>1551601371226183</v>
      </c>
      <c r="C1912" t="s">
        <v>40</v>
      </c>
      <c r="D1912">
        <v>5.2878249999999998</v>
      </c>
      <c r="E1912">
        <v>0.52638200000000002</v>
      </c>
      <c r="F1912" t="s">
        <v>42</v>
      </c>
      <c r="G1912">
        <v>-273.11200000000002</v>
      </c>
      <c r="H1912">
        <v>0.86569180000000001</v>
      </c>
      <c r="I1912">
        <v>284.16460000000001</v>
      </c>
      <c r="J1912">
        <v>-272.6164</v>
      </c>
      <c r="K1912">
        <v>1.1203479999999999</v>
      </c>
      <c r="L1912">
        <v>284.08030000000002</v>
      </c>
      <c r="M1912">
        <v>-0.99986319999999995</v>
      </c>
      <c r="N1912">
        <v>-1.0648650000000001E-2</v>
      </c>
      <c r="O1912">
        <v>1.2665940000000001E-2</v>
      </c>
      <c r="P1912">
        <v>-0.98156120000000002</v>
      </c>
      <c r="Q1912">
        <v>0.18403410000000001</v>
      </c>
      <c r="R1912">
        <v>5.1667930000000001E-2</v>
      </c>
      <c r="S1912">
        <v>-3.2330930000000002</v>
      </c>
      <c r="T1912">
        <v>-1.044082</v>
      </c>
      <c r="U1912">
        <v>0.36074830000000002</v>
      </c>
      <c r="V1912">
        <v>3.9346939999999997E-2</v>
      </c>
      <c r="W1912">
        <v>0.19445879999999999</v>
      </c>
      <c r="X1912">
        <v>0.98012120000000003</v>
      </c>
      <c r="Y1912">
        <v>9.4002859999999994E-2</v>
      </c>
      <c r="Z1912">
        <v>1.1429E-2</v>
      </c>
      <c r="AA1912">
        <v>0.99550629999999996</v>
      </c>
      <c r="AB1912">
        <v>30</v>
      </c>
      <c r="AC1912">
        <v>-0.49560000000002402</v>
      </c>
      <c r="AD1912">
        <v>-0.254656199999999</v>
      </c>
      <c r="AE1912">
        <v>8.4299999999984707E-2</v>
      </c>
      <c r="AF1912">
        <v>6.2084642374678603E-2</v>
      </c>
      <c r="AG1912">
        <v>-0.254656199999999</v>
      </c>
      <c r="AH1912">
        <v>0.39521528568165698</v>
      </c>
      <c r="AI1912">
        <v>122.47845718088701</v>
      </c>
      <c r="AJ1912">
        <v>81.072326786353699</v>
      </c>
      <c r="AK1912">
        <v>0.47423560078685101</v>
      </c>
      <c r="AL1912">
        <v>78.786889912276905</v>
      </c>
      <c r="AM1912">
        <v>87.701096881403899</v>
      </c>
      <c r="AN1912">
        <v>0.99999998663712097</v>
      </c>
    </row>
    <row r="1913" spans="1:40" x14ac:dyDescent="0.25">
      <c r="A1913" t="str">
        <f>"20190303162251256"</f>
        <v>20190303162251256</v>
      </c>
      <c r="B1913" t="str">
        <f>"1551601371246679"</f>
        <v>1551601371246679</v>
      </c>
      <c r="C1913" t="s">
        <v>40</v>
      </c>
      <c r="D1913">
        <v>5.2550949999999998</v>
      </c>
      <c r="E1913">
        <v>0.52639250000000004</v>
      </c>
      <c r="F1913" t="s">
        <v>42</v>
      </c>
      <c r="G1913">
        <v>-273.38029999999998</v>
      </c>
      <c r="H1913">
        <v>0.86291469999999904</v>
      </c>
      <c r="I1913">
        <v>284.16550000000001</v>
      </c>
      <c r="J1913">
        <v>-272.91969999999998</v>
      </c>
      <c r="K1913">
        <v>1.120347</v>
      </c>
      <c r="L1913">
        <v>284.08449999999999</v>
      </c>
      <c r="M1913">
        <v>-0.99985950000000001</v>
      </c>
      <c r="N1913">
        <v>-1.0655009999999999E-2</v>
      </c>
      <c r="O1913">
        <v>1.295032E-2</v>
      </c>
      <c r="P1913">
        <v>-0.98158140000000005</v>
      </c>
      <c r="Q1913">
        <v>0.18394869999999999</v>
      </c>
      <c r="R1913">
        <v>5.1583009999999999E-2</v>
      </c>
      <c r="S1913">
        <v>-3.2422179999999998</v>
      </c>
      <c r="T1913">
        <v>-1.09257</v>
      </c>
      <c r="U1913">
        <v>0.3605042</v>
      </c>
      <c r="V1913">
        <v>3.8981719999999997E-2</v>
      </c>
      <c r="W1913">
        <v>0.1943802</v>
      </c>
      <c r="X1913">
        <v>0.98015140000000001</v>
      </c>
      <c r="Y1913">
        <v>9.3042410000000006E-2</v>
      </c>
      <c r="Z1913">
        <v>1.162317E-2</v>
      </c>
      <c r="AA1913">
        <v>0.99559430000000004</v>
      </c>
      <c r="AB1913">
        <v>30</v>
      </c>
      <c r="AC1913">
        <v>-0.46059999999999901</v>
      </c>
      <c r="AD1913">
        <v>-0.2574323</v>
      </c>
      <c r="AE1913">
        <v>8.1000000000017197E-2</v>
      </c>
      <c r="AF1913">
        <v>5.7580678969723499E-2</v>
      </c>
      <c r="AG1913">
        <v>-0.2574323</v>
      </c>
      <c r="AH1913">
        <v>0.35426584451339399</v>
      </c>
      <c r="AI1913">
        <v>125.65005315957001</v>
      </c>
      <c r="AJ1913">
        <v>80.768147411592594</v>
      </c>
      <c r="AK1913">
        <v>0.44169130879234297</v>
      </c>
      <c r="AL1913">
        <v>78.791481136862004</v>
      </c>
      <c r="AM1913">
        <v>87.722482924747496</v>
      </c>
      <c r="AN1913">
        <v>1.00000000178407</v>
      </c>
    </row>
    <row r="1914" spans="1:40" x14ac:dyDescent="0.25">
      <c r="A1914" t="str">
        <f>"20190303162251279"</f>
        <v>20190303162251279</v>
      </c>
      <c r="B1914" t="str">
        <f>"1551601371266199"</f>
        <v>1551601371266199</v>
      </c>
      <c r="C1914" t="s">
        <v>40</v>
      </c>
      <c r="D1914">
        <v>5.2789029999999997</v>
      </c>
      <c r="E1914">
        <v>0.52631019999999995</v>
      </c>
      <c r="F1914" t="s">
        <v>42</v>
      </c>
      <c r="G1914">
        <v>-273.65219999999999</v>
      </c>
      <c r="H1914">
        <v>0.86853789999999997</v>
      </c>
      <c r="I1914">
        <v>284.16629999999998</v>
      </c>
      <c r="J1914">
        <v>-273.22379999999998</v>
      </c>
      <c r="K1914">
        <v>1.1203459999999901</v>
      </c>
      <c r="L1914">
        <v>284.08870000000002</v>
      </c>
      <c r="M1914">
        <v>-0.99985559999999996</v>
      </c>
      <c r="N1914">
        <v>-1.066375E-2</v>
      </c>
      <c r="O1914">
        <v>1.323446E-2</v>
      </c>
      <c r="P1914">
        <v>-0.98159039999999997</v>
      </c>
      <c r="Q1914">
        <v>0.18375340000000001</v>
      </c>
      <c r="R1914">
        <v>5.210654E-2</v>
      </c>
      <c r="S1914">
        <v>-3.2464599999999999</v>
      </c>
      <c r="T1914">
        <v>-1.115998</v>
      </c>
      <c r="U1914">
        <v>0.36108400000000002</v>
      </c>
      <c r="V1914">
        <v>3.9225650000000001E-2</v>
      </c>
      <c r="W1914">
        <v>0.19419320000000001</v>
      </c>
      <c r="X1914">
        <v>0.98017869999999996</v>
      </c>
      <c r="Y1914">
        <v>9.2652949999999998E-2</v>
      </c>
      <c r="Z1914">
        <v>1.16743E-2</v>
      </c>
      <c r="AA1914">
        <v>0.99563000000000001</v>
      </c>
      <c r="AB1914">
        <v>30</v>
      </c>
      <c r="AC1914">
        <v>-0.42840000000001</v>
      </c>
      <c r="AD1914">
        <v>-0.25180809999999898</v>
      </c>
      <c r="AE1914">
        <v>7.75999999999612E-2</v>
      </c>
      <c r="AF1914">
        <v>5.3894544609287297E-2</v>
      </c>
      <c r="AG1914">
        <v>-0.25180809999999898</v>
      </c>
      <c r="AH1914">
        <v>0.32175627369669801</v>
      </c>
      <c r="AI1914">
        <v>127.662834577052</v>
      </c>
      <c r="AJ1914">
        <v>80.491164167064198</v>
      </c>
      <c r="AK1914">
        <v>0.41211532466948703</v>
      </c>
      <c r="AL1914">
        <v>78.802403185212199</v>
      </c>
      <c r="AM1914">
        <v>87.708310162130601</v>
      </c>
      <c r="AN1914">
        <v>0.99999996723892504</v>
      </c>
    </row>
    <row r="1915" spans="1:40" x14ac:dyDescent="0.25">
      <c r="A1915" t="str">
        <f>"20190303162251302"</f>
        <v>20190303162251302</v>
      </c>
      <c r="B1915" t="str">
        <f>"1551601371296457"</f>
        <v>1551601371296457</v>
      </c>
      <c r="C1915" t="s">
        <v>40</v>
      </c>
      <c r="D1915">
        <v>5.2977280000000002</v>
      </c>
      <c r="E1915">
        <v>0.52618350000000003</v>
      </c>
      <c r="F1915" t="s">
        <v>42</v>
      </c>
      <c r="G1915">
        <v>-273.92540000000002</v>
      </c>
      <c r="H1915">
        <v>0.87684229999999996</v>
      </c>
      <c r="I1915">
        <v>284.16719999999998</v>
      </c>
      <c r="J1915">
        <v>-273.53629999999998</v>
      </c>
      <c r="K1915">
        <v>1.120344</v>
      </c>
      <c r="L1915">
        <v>284.09320000000002</v>
      </c>
      <c r="M1915">
        <v>-0.99985170000000001</v>
      </c>
      <c r="N1915">
        <v>-1.0676740000000001E-2</v>
      </c>
      <c r="O1915">
        <v>1.352543E-2</v>
      </c>
      <c r="P1915">
        <v>-0.98170250000000003</v>
      </c>
      <c r="Q1915">
        <v>0.18292620000000001</v>
      </c>
      <c r="R1915">
        <v>5.2901900000000002E-2</v>
      </c>
      <c r="S1915">
        <v>-3.2480470000000001</v>
      </c>
      <c r="T1915">
        <v>-1.127329</v>
      </c>
      <c r="U1915">
        <v>0.3628845</v>
      </c>
      <c r="V1915">
        <v>3.9733280000000003E-2</v>
      </c>
      <c r="W1915">
        <v>0.1933801</v>
      </c>
      <c r="X1915">
        <v>0.98031900000000005</v>
      </c>
      <c r="Y1915">
        <v>9.2776280000000003E-2</v>
      </c>
      <c r="Z1915">
        <v>1.170234E-2</v>
      </c>
      <c r="AA1915">
        <v>0.99561820000000001</v>
      </c>
      <c r="AB1915">
        <v>30</v>
      </c>
      <c r="AC1915">
        <v>-0.38910000000004102</v>
      </c>
      <c r="AD1915">
        <v>-0.24350169999999999</v>
      </c>
      <c r="AE1915">
        <v>7.3999999999955393E-2</v>
      </c>
      <c r="AF1915">
        <v>4.98780602110322E-2</v>
      </c>
      <c r="AG1915">
        <v>-0.24350169999999999</v>
      </c>
      <c r="AH1915">
        <v>0.28307361976047801</v>
      </c>
      <c r="AI1915">
        <v>130.269801123463</v>
      </c>
      <c r="AJ1915">
        <v>80.006960349782901</v>
      </c>
      <c r="AK1915">
        <v>0.37671152490679799</v>
      </c>
      <c r="AL1915">
        <v>78.849890593942604</v>
      </c>
      <c r="AM1915">
        <v>87.679016861003205</v>
      </c>
      <c r="AN1915">
        <v>0.99999996918828304</v>
      </c>
    </row>
    <row r="1916" spans="1:40" x14ac:dyDescent="0.25">
      <c r="A1916" t="str">
        <f>"20190303162251323"</f>
        <v>20190303162251323</v>
      </c>
      <c r="B1916" t="str">
        <f>"1551601371316952"</f>
        <v>1551601371316952</v>
      </c>
      <c r="C1916" t="s">
        <v>40</v>
      </c>
      <c r="D1916">
        <v>5.3029539999999997</v>
      </c>
      <c r="E1916">
        <v>0.52604960000000001</v>
      </c>
      <c r="F1916" t="s">
        <v>42</v>
      </c>
      <c r="G1916">
        <v>-274.19959999999998</v>
      </c>
      <c r="H1916">
        <v>0.88750890000000004</v>
      </c>
      <c r="I1916">
        <v>284.16800000000001</v>
      </c>
      <c r="J1916">
        <v>-273.81819999999999</v>
      </c>
      <c r="K1916">
        <v>1.1203419999999999</v>
      </c>
      <c r="L1916">
        <v>284.09730000000002</v>
      </c>
      <c r="M1916">
        <v>-0.99984779999999995</v>
      </c>
      <c r="N1916">
        <v>-1.069373E-2</v>
      </c>
      <c r="O1916">
        <v>1.378736E-2</v>
      </c>
      <c r="P1916">
        <v>-0.98172459999999995</v>
      </c>
      <c r="Q1916">
        <v>0.1824568</v>
      </c>
      <c r="R1916">
        <v>5.4096190000000002E-2</v>
      </c>
      <c r="S1916">
        <v>-3.2487180000000002</v>
      </c>
      <c r="T1916">
        <v>-1.1402369999999999</v>
      </c>
      <c r="U1916">
        <v>0.36437989999999998</v>
      </c>
      <c r="V1916">
        <v>4.0669589999999999E-2</v>
      </c>
      <c r="W1916">
        <v>0.19292770000000001</v>
      </c>
      <c r="X1916">
        <v>0.98036970000000001</v>
      </c>
      <c r="Y1916">
        <v>9.285206E-2</v>
      </c>
      <c r="Z1916">
        <v>1.174771E-2</v>
      </c>
      <c r="AA1916">
        <v>0.99561060000000001</v>
      </c>
      <c r="AB1916">
        <v>30</v>
      </c>
      <c r="AC1916">
        <v>-0.38139999999998497</v>
      </c>
      <c r="AD1916">
        <v>-0.23283309999999899</v>
      </c>
      <c r="AE1916">
        <v>7.0699999999987995E-2</v>
      </c>
      <c r="AF1916">
        <v>4.8103232877408898E-2</v>
      </c>
      <c r="AG1916">
        <v>-0.23283309999999899</v>
      </c>
      <c r="AH1916">
        <v>0.28107079308292798</v>
      </c>
      <c r="AI1916">
        <v>129.231894483925</v>
      </c>
      <c r="AJ1916">
        <v>80.288330169727999</v>
      </c>
      <c r="AK1916">
        <v>0.36813851223844302</v>
      </c>
      <c r="AL1916">
        <v>78.876308266807797</v>
      </c>
      <c r="AM1916">
        <v>87.624507826886898</v>
      </c>
      <c r="AN1916">
        <v>0.99999993082807104</v>
      </c>
    </row>
    <row r="1917" spans="1:40" x14ac:dyDescent="0.25">
      <c r="A1917" t="str">
        <f>"20190303162251345"</f>
        <v>20190303162251345</v>
      </c>
      <c r="B1917" t="str">
        <f>"1551601371336471"</f>
        <v>1551601371336471</v>
      </c>
      <c r="C1917" t="s">
        <v>40</v>
      </c>
      <c r="D1917">
        <v>5.3217889999999999</v>
      </c>
      <c r="E1917">
        <v>0.52600340000000001</v>
      </c>
      <c r="F1917" t="s">
        <v>42</v>
      </c>
      <c r="G1917">
        <v>-274.70780000000002</v>
      </c>
      <c r="H1917">
        <v>0.8062954</v>
      </c>
      <c r="I1917">
        <v>284.19799999999998</v>
      </c>
      <c r="J1917">
        <v>-274.11840000000001</v>
      </c>
      <c r="K1917">
        <v>1.120341</v>
      </c>
      <c r="L1917">
        <v>284.10169999999999</v>
      </c>
      <c r="M1917">
        <v>-0.9998437</v>
      </c>
      <c r="N1917">
        <v>-1.071632E-2</v>
      </c>
      <c r="O1917">
        <v>1.4065660000000001E-2</v>
      </c>
      <c r="P1917">
        <v>-0.98172309999999996</v>
      </c>
      <c r="Q1917">
        <v>0.18224679999999999</v>
      </c>
      <c r="R1917">
        <v>5.4823320000000002E-2</v>
      </c>
      <c r="S1917">
        <v>-3.2488100000000002</v>
      </c>
      <c r="T1917">
        <v>-1.1467889999999901</v>
      </c>
      <c r="U1917">
        <v>0.3673401</v>
      </c>
      <c r="V1917">
        <v>4.112333E-2</v>
      </c>
      <c r="W1917">
        <v>0.19273960000000001</v>
      </c>
      <c r="X1917">
        <v>0.98038780000000003</v>
      </c>
      <c r="Y1917">
        <v>9.3396560000000003E-2</v>
      </c>
      <c r="Z1917">
        <v>1.181244E-2</v>
      </c>
      <c r="AA1917">
        <v>0.99555890000000002</v>
      </c>
      <c r="AB1917">
        <v>30</v>
      </c>
      <c r="AC1917">
        <v>-0.58940000000001103</v>
      </c>
      <c r="AD1917">
        <v>-0.31404559999999898</v>
      </c>
      <c r="AE1917">
        <v>9.6299999999985106E-2</v>
      </c>
      <c r="AF1917">
        <v>6.8937285521396996E-2</v>
      </c>
      <c r="AG1917">
        <v>-0.31404559999999898</v>
      </c>
      <c r="AH1917">
        <v>0.46274021532303899</v>
      </c>
      <c r="AI1917">
        <v>123.871763302416</v>
      </c>
      <c r="AJ1917">
        <v>81.5266108072354</v>
      </c>
      <c r="AK1917">
        <v>0.56347625956346203</v>
      </c>
      <c r="AL1917">
        <v>78.887292076280403</v>
      </c>
      <c r="AM1917">
        <v>87.5980802440844</v>
      </c>
      <c r="AN1917">
        <v>0.999999960033643</v>
      </c>
    </row>
    <row r="1918" spans="1:40" x14ac:dyDescent="0.25">
      <c r="A1918" t="str">
        <f>"20190303162251367"</f>
        <v>20190303162251367</v>
      </c>
      <c r="B1918" t="str">
        <f>"1551601371356967"</f>
        <v>1551601371356967</v>
      </c>
      <c r="C1918" t="s">
        <v>40</v>
      </c>
      <c r="D1918">
        <v>5.298845</v>
      </c>
      <c r="E1918">
        <v>0.52587490000000003</v>
      </c>
      <c r="F1918" t="s">
        <v>42</v>
      </c>
      <c r="G1918">
        <v>-274.98169999999999</v>
      </c>
      <c r="H1918">
        <v>0.81478759999999995</v>
      </c>
      <c r="I1918">
        <v>284.20030000000003</v>
      </c>
      <c r="J1918">
        <v>-274.41879999999998</v>
      </c>
      <c r="K1918">
        <v>1.1203479999999999</v>
      </c>
      <c r="L1918">
        <v>284.10629999999998</v>
      </c>
      <c r="M1918">
        <v>-0.99983960000000005</v>
      </c>
      <c r="N1918">
        <v>-1.074135E-2</v>
      </c>
      <c r="O1918">
        <v>1.434388E-2</v>
      </c>
      <c r="P1918">
        <v>-0.98175630000000003</v>
      </c>
      <c r="Q1918">
        <v>0.18191740000000001</v>
      </c>
      <c r="R1918">
        <v>5.5328759999999998E-2</v>
      </c>
      <c r="S1918">
        <v>-3.2486269999999999</v>
      </c>
      <c r="T1918">
        <v>-1.1498280000000001</v>
      </c>
      <c r="U1918">
        <v>0.37030030000000003</v>
      </c>
      <c r="V1918">
        <v>4.1355179999999998E-2</v>
      </c>
      <c r="W1918">
        <v>0.19243499999999999</v>
      </c>
      <c r="X1918">
        <v>0.98043789999999997</v>
      </c>
      <c r="Y1918">
        <v>9.3975829999999996E-2</v>
      </c>
      <c r="Z1918">
        <v>1.1852069999999999E-2</v>
      </c>
      <c r="AA1918">
        <v>0.9955039</v>
      </c>
      <c r="AB1918">
        <v>30</v>
      </c>
      <c r="AC1918">
        <v>-0.56290000000001295</v>
      </c>
      <c r="AD1918">
        <v>-0.30556039999999901</v>
      </c>
      <c r="AE1918">
        <v>9.4000000000050904E-2</v>
      </c>
      <c r="AF1918">
        <v>6.6773536533136502E-2</v>
      </c>
      <c r="AG1918">
        <v>-0.30556039999999901</v>
      </c>
      <c r="AH1918">
        <v>0.43848792110809398</v>
      </c>
      <c r="AI1918">
        <v>124.563276229151</v>
      </c>
      <c r="AJ1918">
        <v>81.341441437010403</v>
      </c>
      <c r="AK1918">
        <v>0.53860701832319302</v>
      </c>
      <c r="AL1918">
        <v>78.905077515220299</v>
      </c>
      <c r="AM1918">
        <v>87.5846776916854</v>
      </c>
      <c r="AN1918">
        <v>0.99999997794712003</v>
      </c>
    </row>
    <row r="1919" spans="1:40" x14ac:dyDescent="0.25">
      <c r="A1919" t="str">
        <f>"20190303162251389"</f>
        <v>20190303162251389</v>
      </c>
      <c r="B1919" t="str">
        <f>"1551601371386247"</f>
        <v>1551601371386247</v>
      </c>
      <c r="C1919" t="s">
        <v>40</v>
      </c>
      <c r="D1919">
        <v>5.2695889999999999</v>
      </c>
      <c r="E1919">
        <v>0.52572980000000002</v>
      </c>
      <c r="F1919" t="s">
        <v>42</v>
      </c>
      <c r="G1919">
        <v>-275.25580000000002</v>
      </c>
      <c r="H1919">
        <v>0.82345199999999996</v>
      </c>
      <c r="I1919">
        <v>284.20229999999998</v>
      </c>
      <c r="J1919">
        <v>-274.71910000000003</v>
      </c>
      <c r="K1919">
        <v>1.120355</v>
      </c>
      <c r="L1919">
        <v>284.11090000000002</v>
      </c>
      <c r="M1919">
        <v>-0.99983500000000003</v>
      </c>
      <c r="N1919">
        <v>-1.0770099999999999E-2</v>
      </c>
      <c r="O1919">
        <v>1.462286E-2</v>
      </c>
      <c r="P1919">
        <v>-0.9816473</v>
      </c>
      <c r="Q1919">
        <v>0.18246490000000001</v>
      </c>
      <c r="R1919">
        <v>5.5454469999999999E-2</v>
      </c>
      <c r="S1919">
        <v>-3.248291</v>
      </c>
      <c r="T1919">
        <v>-1.152118</v>
      </c>
      <c r="U1919">
        <v>0.37161250000000001</v>
      </c>
      <c r="V1919">
        <v>4.1208660000000001E-2</v>
      </c>
      <c r="W1919">
        <v>0.1930096</v>
      </c>
      <c r="X1919">
        <v>0.98033110000000001</v>
      </c>
      <c r="Y1919">
        <v>9.4094849999999994E-2</v>
      </c>
      <c r="Z1919">
        <v>1.180408E-2</v>
      </c>
      <c r="AA1919">
        <v>0.99549319999999997</v>
      </c>
      <c r="AB1919">
        <v>30</v>
      </c>
      <c r="AC1919">
        <v>-0.53669999999999596</v>
      </c>
      <c r="AD1919">
        <v>-0.29690299999999897</v>
      </c>
      <c r="AE1919">
        <v>9.1399999999964607E-2</v>
      </c>
      <c r="AF1919">
        <v>6.4391317440983004E-2</v>
      </c>
      <c r="AG1919">
        <v>-0.29690299999999897</v>
      </c>
      <c r="AH1919">
        <v>0.41465756766977402</v>
      </c>
      <c r="AI1919">
        <v>125.280919644185</v>
      </c>
      <c r="AJ1919">
        <v>81.173157305388102</v>
      </c>
      <c r="AK1919">
        <v>0.51404137148346196</v>
      </c>
      <c r="AL1919">
        <v>78.871526213190705</v>
      </c>
      <c r="AM1919">
        <v>87.592963123549893</v>
      </c>
      <c r="AN1919">
        <v>0.99999996248918199</v>
      </c>
    </row>
    <row r="1920" spans="1:40" x14ac:dyDescent="0.25">
      <c r="A1920" t="str">
        <f>"20190303162251412"</f>
        <v>20190303162251412</v>
      </c>
      <c r="B1920" t="str">
        <f>"1551601371406743"</f>
        <v>1551601371406743</v>
      </c>
      <c r="C1920" t="s">
        <v>40</v>
      </c>
      <c r="D1920">
        <v>5.305733</v>
      </c>
      <c r="E1920">
        <v>0.52570159999999999</v>
      </c>
      <c r="F1920" t="s">
        <v>42</v>
      </c>
      <c r="G1920">
        <v>-275.53050000000002</v>
      </c>
      <c r="H1920">
        <v>0.83316089999999998</v>
      </c>
      <c r="I1920">
        <v>284.20359999999999</v>
      </c>
      <c r="J1920">
        <v>-275.02940000000001</v>
      </c>
      <c r="K1920">
        <v>1.1203559999999999</v>
      </c>
      <c r="L1920">
        <v>284.1157</v>
      </c>
      <c r="M1920">
        <v>-0.99983040000000001</v>
      </c>
      <c r="N1920">
        <v>-1.0802300000000001E-2</v>
      </c>
      <c r="O1920">
        <v>1.4911000000000001E-2</v>
      </c>
      <c r="P1920">
        <v>-0.9816066</v>
      </c>
      <c r="Q1920">
        <v>0.18273329999999999</v>
      </c>
      <c r="R1920">
        <v>5.5290159999999998E-2</v>
      </c>
      <c r="S1920">
        <v>-3.248901</v>
      </c>
      <c r="T1920">
        <v>-1.149977</v>
      </c>
      <c r="U1920">
        <v>0.37039179999999999</v>
      </c>
      <c r="V1920">
        <v>4.0762189999999997E-2</v>
      </c>
      <c r="W1920">
        <v>0.19330990000000001</v>
      </c>
      <c r="X1920">
        <v>0.98029069999999996</v>
      </c>
      <c r="Y1920">
        <v>9.3490030000000002E-2</v>
      </c>
      <c r="Z1920">
        <v>1.1582240000000001E-2</v>
      </c>
      <c r="AA1920">
        <v>0.99555280000000002</v>
      </c>
      <c r="AB1920">
        <v>30</v>
      </c>
      <c r="AC1920">
        <v>-0.50110000000000798</v>
      </c>
      <c r="AD1920">
        <v>-0.28719509999999898</v>
      </c>
      <c r="AE1920">
        <v>8.78999999999905E-2</v>
      </c>
      <c r="AF1920">
        <v>6.0984012031127702E-2</v>
      </c>
      <c r="AG1920">
        <v>-0.28719509999999898</v>
      </c>
      <c r="AH1920">
        <v>0.38095536217859099</v>
      </c>
      <c r="AI1920">
        <v>126.664124790133</v>
      </c>
      <c r="AJ1920">
        <v>80.905154512643904</v>
      </c>
      <c r="AK1920">
        <v>0.480964721325841</v>
      </c>
      <c r="AL1920">
        <v>78.853991194328998</v>
      </c>
      <c r="AM1920">
        <v>87.618913668885995</v>
      </c>
      <c r="AN1920">
        <v>1.0000000650390399</v>
      </c>
    </row>
    <row r="1921" spans="1:40" x14ac:dyDescent="0.25">
      <c r="A1921" t="str">
        <f>"20190303162251425"</f>
        <v>20190303162251425</v>
      </c>
      <c r="B1921" t="str">
        <f>"1551601371416503"</f>
        <v>1551601371416503</v>
      </c>
      <c r="C1921" t="s">
        <v>40</v>
      </c>
      <c r="D1921">
        <v>5.3310420000000001</v>
      </c>
      <c r="E1921">
        <v>0.52570469999999903</v>
      </c>
      <c r="F1921" t="s">
        <v>42</v>
      </c>
      <c r="G1921">
        <v>-275.80650000000003</v>
      </c>
      <c r="H1921">
        <v>0.84573539999999903</v>
      </c>
      <c r="I1921">
        <v>284.20400000000001</v>
      </c>
      <c r="J1921">
        <v>-275.20260000000002</v>
      </c>
      <c r="K1921">
        <v>1.1203590000000001</v>
      </c>
      <c r="L1921">
        <v>284.11849999999998</v>
      </c>
      <c r="M1921">
        <v>-0.99982800000000005</v>
      </c>
      <c r="N1921">
        <v>-1.082053E-2</v>
      </c>
      <c r="O1921">
        <v>1.507171E-2</v>
      </c>
      <c r="P1921">
        <v>-0.98155159999999997</v>
      </c>
      <c r="Q1921">
        <v>0.1830743</v>
      </c>
      <c r="R1921">
        <v>5.5140410000000001E-2</v>
      </c>
      <c r="S1921">
        <v>-3.2492369999999999</v>
      </c>
      <c r="T1921">
        <v>-1.148293</v>
      </c>
      <c r="U1921">
        <v>0.36834719999999999</v>
      </c>
      <c r="V1921">
        <v>4.0455709999999999E-2</v>
      </c>
      <c r="W1921">
        <v>0.19366829999999999</v>
      </c>
      <c r="X1921">
        <v>0.98023260000000001</v>
      </c>
      <c r="Y1921">
        <v>9.2767589999999997E-2</v>
      </c>
      <c r="Z1921">
        <v>1.1386729999999999E-2</v>
      </c>
      <c r="AA1921">
        <v>0.99562269999999997</v>
      </c>
      <c r="AB1921">
        <v>30</v>
      </c>
      <c r="AC1921">
        <v>-0.60390000000000998</v>
      </c>
      <c r="AD1921">
        <v>-0.27462360000000002</v>
      </c>
      <c r="AE1921">
        <v>8.5500000000024501E-2</v>
      </c>
      <c r="AF1921">
        <v>6.3511928429858894E-2</v>
      </c>
      <c r="AG1921">
        <v>-0.27462360000000002</v>
      </c>
      <c r="AH1921">
        <v>0.50312051513405898</v>
      </c>
      <c r="AI1921">
        <v>118.437439503485</v>
      </c>
      <c r="AJ1921">
        <v>82.805265415163404</v>
      </c>
      <c r="AK1921">
        <v>0.57669934929614797</v>
      </c>
      <c r="AL1921">
        <v>78.833060261315197</v>
      </c>
      <c r="AM1921">
        <v>87.636656133716102</v>
      </c>
      <c r="AN1921">
        <v>1.00000001249962</v>
      </c>
    </row>
    <row r="1922" spans="1:40" x14ac:dyDescent="0.25">
      <c r="A1922" t="str">
        <f>"20190303162251437"</f>
        <v>20190303162251437</v>
      </c>
      <c r="B1922" t="str">
        <f>"1551601371426263"</f>
        <v>1551601371426263</v>
      </c>
      <c r="C1922" t="s">
        <v>40</v>
      </c>
      <c r="D1922">
        <v>5.3080470000000002</v>
      </c>
      <c r="E1922">
        <v>0.52570119999999998</v>
      </c>
      <c r="F1922" t="s">
        <v>42</v>
      </c>
      <c r="G1922">
        <v>-276.06569999999999</v>
      </c>
      <c r="H1922">
        <v>0.8159111</v>
      </c>
      <c r="I1922">
        <v>284.2165</v>
      </c>
      <c r="J1922">
        <v>-275.38299999999998</v>
      </c>
      <c r="K1922">
        <v>1.1203620000000001</v>
      </c>
      <c r="L1922">
        <v>284.12139999999999</v>
      </c>
      <c r="M1922">
        <v>-0.99982519999999997</v>
      </c>
      <c r="N1922">
        <v>-1.083926E-2</v>
      </c>
      <c r="O1922">
        <v>1.52390999999999E-2</v>
      </c>
      <c r="P1922">
        <v>-0.98154470000000005</v>
      </c>
      <c r="Q1922">
        <v>0.18313589999999999</v>
      </c>
      <c r="R1922">
        <v>5.5059320000000002E-2</v>
      </c>
      <c r="S1922">
        <v>-3.2494510000000001</v>
      </c>
      <c r="T1922">
        <v>-1.146169</v>
      </c>
      <c r="U1922">
        <v>0.36849979999999999</v>
      </c>
      <c r="V1922">
        <v>4.0210419999999997E-2</v>
      </c>
      <c r="W1922">
        <v>0.19374830000000001</v>
      </c>
      <c r="X1922">
        <v>0.98022690000000001</v>
      </c>
      <c r="Y1922">
        <v>9.2672439999999995E-2</v>
      </c>
      <c r="Z1922">
        <v>1.129637E-2</v>
      </c>
      <c r="AA1922">
        <v>0.99563259999999998</v>
      </c>
      <c r="AB1922">
        <v>30</v>
      </c>
      <c r="AC1922">
        <v>-0.68270000000001096</v>
      </c>
      <c r="AD1922">
        <v>-0.30445090000000002</v>
      </c>
      <c r="AE1922">
        <v>9.51000000000021E-2</v>
      </c>
      <c r="AF1922">
        <v>7.0860628384426097E-2</v>
      </c>
      <c r="AG1922">
        <v>-0.30445090000000002</v>
      </c>
      <c r="AH1922">
        <v>0.57240190242611699</v>
      </c>
      <c r="AI1922">
        <v>117.827500116181</v>
      </c>
      <c r="AJ1922">
        <v>82.942959644551806</v>
      </c>
      <c r="AK1922">
        <v>0.65219285266467297</v>
      </c>
      <c r="AL1922">
        <v>78.828388286172597</v>
      </c>
      <c r="AM1922">
        <v>87.650955753409605</v>
      </c>
      <c r="AN1922">
        <v>1.00000002855653</v>
      </c>
    </row>
    <row r="1923" spans="1:40" x14ac:dyDescent="0.25">
      <c r="A1923" t="str">
        <f>"20190303162251456"</f>
        <v>20190303162251456</v>
      </c>
      <c r="B1923" t="str">
        <f>"1551601371446760"</f>
        <v>1551601371446760</v>
      </c>
      <c r="C1923" t="s">
        <v>40</v>
      </c>
      <c r="D1923">
        <v>5.3233230000000002</v>
      </c>
      <c r="E1923">
        <v>0.5257018</v>
      </c>
      <c r="F1923" t="s">
        <v>42</v>
      </c>
      <c r="G1923">
        <v>-276.08800000000002</v>
      </c>
      <c r="H1923">
        <v>0.87193009999999904</v>
      </c>
      <c r="I1923">
        <v>284.20150000000001</v>
      </c>
      <c r="J1923">
        <v>-275.62380000000002</v>
      </c>
      <c r="K1923">
        <v>1.1203669999999999</v>
      </c>
      <c r="L1923">
        <v>284.12520000000001</v>
      </c>
      <c r="M1923">
        <v>-0.99982150000000003</v>
      </c>
      <c r="N1923">
        <v>-1.086324E-2</v>
      </c>
      <c r="O1923">
        <v>1.5462429999999999E-2</v>
      </c>
      <c r="P1923">
        <v>-0.98147419999999996</v>
      </c>
      <c r="Q1923">
        <v>0.18365400000000001</v>
      </c>
      <c r="R1923">
        <v>5.458561E-2</v>
      </c>
      <c r="S1923">
        <v>-3.2493289999999999</v>
      </c>
      <c r="T1923">
        <v>-1.1449100000000001</v>
      </c>
      <c r="U1923">
        <v>0.36895749999999999</v>
      </c>
      <c r="V1923">
        <v>3.9518739999999997E-2</v>
      </c>
      <c r="W1923">
        <v>0.1942895</v>
      </c>
      <c r="X1923">
        <v>0.98014789999999996</v>
      </c>
      <c r="Y1923">
        <v>9.2618000000000006E-2</v>
      </c>
      <c r="Z1923">
        <v>1.120378E-2</v>
      </c>
      <c r="AA1923">
        <v>0.99563869999999999</v>
      </c>
      <c r="AB1923">
        <v>30</v>
      </c>
      <c r="AC1923">
        <v>-0.46419999999994799</v>
      </c>
      <c r="AD1923">
        <v>-0.24843689999999999</v>
      </c>
      <c r="AE1923">
        <v>7.6300000000003296E-2</v>
      </c>
      <c r="AF1923">
        <v>5.40409273351442E-2</v>
      </c>
      <c r="AG1923">
        <v>-0.24843689999999999</v>
      </c>
      <c r="AH1923">
        <v>0.36384810891984898</v>
      </c>
      <c r="AI1923">
        <v>124.034891569405</v>
      </c>
      <c r="AJ1923">
        <v>81.551844214601701</v>
      </c>
      <c r="AK1923">
        <v>0.44387696659480103</v>
      </c>
      <c r="AL1923">
        <v>78.7967791074703</v>
      </c>
      <c r="AM1923">
        <v>87.691132881609306</v>
      </c>
      <c r="AN1923">
        <v>1.00000002324792</v>
      </c>
    </row>
    <row r="1924" spans="1:40" x14ac:dyDescent="0.25">
      <c r="A1924" t="str">
        <f>"20190303162251472"</f>
        <v>20190303162251472</v>
      </c>
      <c r="B1924" t="str">
        <f>"1551601371466279"</f>
        <v>1551601371466279</v>
      </c>
      <c r="C1924" t="s">
        <v>40</v>
      </c>
      <c r="D1924">
        <v>5.3342530000000004</v>
      </c>
      <c r="E1924">
        <v>0.52570459999999997</v>
      </c>
      <c r="F1924" t="s">
        <v>42</v>
      </c>
      <c r="G1924">
        <v>-276.35579999999999</v>
      </c>
      <c r="H1924">
        <v>0.86323919999999998</v>
      </c>
      <c r="I1924">
        <v>284.20859999999999</v>
      </c>
      <c r="J1924">
        <v>-275.82850000000002</v>
      </c>
      <c r="K1924">
        <v>1.1203689999999999</v>
      </c>
      <c r="L1924">
        <v>284.12860000000001</v>
      </c>
      <c r="M1924">
        <v>-0.9998184</v>
      </c>
      <c r="N1924">
        <v>-1.088255E-2</v>
      </c>
      <c r="O1924">
        <v>1.5652349999999999E-2</v>
      </c>
      <c r="P1924">
        <v>-0.98145499999999997</v>
      </c>
      <c r="Q1924">
        <v>0.1836777</v>
      </c>
      <c r="R1924">
        <v>5.485259E-2</v>
      </c>
      <c r="S1924">
        <v>-3.249695</v>
      </c>
      <c r="T1924">
        <v>-1.1414879999999901</v>
      </c>
      <c r="U1924">
        <v>0.368927</v>
      </c>
      <c r="V1924">
        <v>3.9599750000000003E-2</v>
      </c>
      <c r="W1924">
        <v>0.19433159999999999</v>
      </c>
      <c r="X1924">
        <v>0.98013629999999996</v>
      </c>
      <c r="Y1924">
        <v>9.2455570000000001E-2</v>
      </c>
      <c r="Z1924">
        <v>1.108308E-2</v>
      </c>
      <c r="AA1924">
        <v>0.99565510000000002</v>
      </c>
      <c r="AB1924">
        <v>30</v>
      </c>
      <c r="AC1924">
        <v>-0.52729999999996802</v>
      </c>
      <c r="AD1924">
        <v>-0.25712980000000002</v>
      </c>
      <c r="AE1924">
        <v>7.9999999999984001E-2</v>
      </c>
      <c r="AF1924">
        <v>5.8206789579584903E-2</v>
      </c>
      <c r="AG1924">
        <v>-0.25712980000000002</v>
      </c>
      <c r="AH1924">
        <v>0.42881499824159203</v>
      </c>
      <c r="AI1924">
        <v>120.717928312582</v>
      </c>
      <c r="AJ1924">
        <v>82.269989579173298</v>
      </c>
      <c r="AK1924">
        <v>0.50337467866206598</v>
      </c>
      <c r="AL1924">
        <v>78.794320262595093</v>
      </c>
      <c r="AM1924">
        <v>87.686377689726996</v>
      </c>
      <c r="AN1924">
        <v>1.00000003876815</v>
      </c>
    </row>
    <row r="1925" spans="1:40" x14ac:dyDescent="0.25">
      <c r="A1925" t="str">
        <f>"20190303162251491"</f>
        <v>20190303162251491</v>
      </c>
      <c r="B1925" t="str">
        <f>"1551601371486775"</f>
        <v>1551601371486775</v>
      </c>
      <c r="C1925" t="s">
        <v>40</v>
      </c>
      <c r="D1925">
        <v>5.3571650000000002</v>
      </c>
      <c r="E1925">
        <v>0.52569219999999905</v>
      </c>
      <c r="F1925" t="s">
        <v>42</v>
      </c>
      <c r="G1925">
        <v>-276.6191</v>
      </c>
      <c r="H1925">
        <v>0.84309730000000005</v>
      </c>
      <c r="I1925">
        <v>284.21899999999999</v>
      </c>
      <c r="J1925">
        <v>-276.09699999999998</v>
      </c>
      <c r="K1925">
        <v>1.120371</v>
      </c>
      <c r="L1925">
        <v>284.13310000000001</v>
      </c>
      <c r="M1925">
        <v>-0.99981410000000004</v>
      </c>
      <c r="N1925">
        <v>-1.090642E-2</v>
      </c>
      <c r="O1925">
        <v>1.5901249999999999E-2</v>
      </c>
      <c r="P1925">
        <v>-0.98144120000000001</v>
      </c>
      <c r="Q1925">
        <v>0.1837077</v>
      </c>
      <c r="R1925">
        <v>5.4999050000000001E-2</v>
      </c>
      <c r="S1925">
        <v>-3.2492369999999999</v>
      </c>
      <c r="T1925">
        <v>-1.1393709999999999</v>
      </c>
      <c r="U1925">
        <v>0.37030030000000003</v>
      </c>
      <c r="V1925">
        <v>3.9502099999999998E-2</v>
      </c>
      <c r="W1925">
        <v>0.1943849</v>
      </c>
      <c r="X1925">
        <v>0.98012960000000005</v>
      </c>
      <c r="Y1925">
        <v>9.2655870000000001E-2</v>
      </c>
      <c r="Z1925">
        <v>1.1020810000000001E-2</v>
      </c>
      <c r="AA1925">
        <v>0.9956372</v>
      </c>
      <c r="AB1925">
        <v>30</v>
      </c>
      <c r="AC1925">
        <v>-0.52210000000002299</v>
      </c>
      <c r="AD1925">
        <v>-0.27727370000000001</v>
      </c>
      <c r="AE1925">
        <v>8.5899999999980894E-2</v>
      </c>
      <c r="AF1925">
        <v>6.0871042594224899E-2</v>
      </c>
      <c r="AG1925">
        <v>-0.27727370000000001</v>
      </c>
      <c r="AH1925">
        <v>0.41063665287574802</v>
      </c>
      <c r="AI1925">
        <v>123.74015773869699</v>
      </c>
      <c r="AJ1925">
        <v>81.568118202907399</v>
      </c>
      <c r="AK1925">
        <v>0.49920782167670003</v>
      </c>
      <c r="AL1925">
        <v>78.791206238369696</v>
      </c>
      <c r="AM1925">
        <v>87.692060971584397</v>
      </c>
      <c r="AN1925">
        <v>0.999999969024289</v>
      </c>
    </row>
    <row r="1926" spans="1:40" x14ac:dyDescent="0.25">
      <c r="A1926" t="str">
        <f>"20190303162251513"</f>
        <v>20190303162251513</v>
      </c>
      <c r="B1926" t="str">
        <f>"1551601371506296"</f>
        <v>1551601371506296</v>
      </c>
      <c r="C1926" t="s">
        <v>40</v>
      </c>
      <c r="D1926">
        <v>5.3556419999999996</v>
      </c>
      <c r="E1926">
        <v>0.52565039999999996</v>
      </c>
      <c r="F1926" t="s">
        <v>42</v>
      </c>
      <c r="G1926">
        <v>-276.89030000000002</v>
      </c>
      <c r="H1926">
        <v>0.84226129999999999</v>
      </c>
      <c r="I1926">
        <v>284.22370000000001</v>
      </c>
      <c r="J1926">
        <v>-276.39179999999999</v>
      </c>
      <c r="K1926">
        <v>1.1203749999999999</v>
      </c>
      <c r="L1926">
        <v>284.13810000000001</v>
      </c>
      <c r="M1926">
        <v>-0.99980950000000002</v>
      </c>
      <c r="N1926">
        <v>-1.093064E-2</v>
      </c>
      <c r="O1926">
        <v>1.6174879999999999E-2</v>
      </c>
      <c r="P1926">
        <v>-0.98151509999999997</v>
      </c>
      <c r="Q1926">
        <v>0.1832934</v>
      </c>
      <c r="R1926">
        <v>5.5062729999999997E-2</v>
      </c>
      <c r="S1926">
        <v>-3.2492070000000002</v>
      </c>
      <c r="T1926">
        <v>-1.139035</v>
      </c>
      <c r="U1926">
        <v>0.37039179999999999</v>
      </c>
      <c r="V1926">
        <v>3.9295459999999997E-2</v>
      </c>
      <c r="W1926">
        <v>0.1939958</v>
      </c>
      <c r="X1926">
        <v>0.98021499999999995</v>
      </c>
      <c r="Y1926">
        <v>9.2442449999999995E-2</v>
      </c>
      <c r="Z1926">
        <v>1.0892199999999999E-2</v>
      </c>
      <c r="AA1926">
        <v>0.9956585</v>
      </c>
      <c r="AB1926">
        <v>30</v>
      </c>
      <c r="AC1926">
        <v>-0.49850000000003503</v>
      </c>
      <c r="AD1926">
        <v>-0.27811369999999902</v>
      </c>
      <c r="AE1926">
        <v>8.5599999999999399E-2</v>
      </c>
      <c r="AF1926">
        <v>5.95276271266219E-2</v>
      </c>
      <c r="AG1926">
        <v>-0.27811369999999902</v>
      </c>
      <c r="AH1926">
        <v>0.38378600912403199</v>
      </c>
      <c r="AI1926">
        <v>125.606282556634</v>
      </c>
      <c r="AJ1926">
        <v>81.183319568573694</v>
      </c>
      <c r="AK1926">
        <v>0.47768448720716</v>
      </c>
      <c r="AL1926">
        <v>78.8139327167424</v>
      </c>
      <c r="AM1926">
        <v>87.7043209227174</v>
      </c>
      <c r="AN1926">
        <v>0.999999974909625</v>
      </c>
    </row>
    <row r="1927" spans="1:40" x14ac:dyDescent="0.25">
      <c r="A1927" t="str">
        <f>"20190303162251535"</f>
        <v>20190303162251535</v>
      </c>
      <c r="B1927" t="str">
        <f>"1551601371526791"</f>
        <v>1551601371526791</v>
      </c>
      <c r="C1927" t="s">
        <v>40</v>
      </c>
      <c r="D1927">
        <v>5.4462299999999999</v>
      </c>
      <c r="E1927">
        <v>0.52568729999999997</v>
      </c>
      <c r="F1927" t="s">
        <v>42</v>
      </c>
      <c r="G1927">
        <v>-277.16469999999998</v>
      </c>
      <c r="H1927">
        <v>0.84904849999999998</v>
      </c>
      <c r="I1927">
        <v>284.22649999999999</v>
      </c>
      <c r="J1927">
        <v>-276.7022</v>
      </c>
      <c r="K1927">
        <v>1.120376</v>
      </c>
      <c r="L1927">
        <v>284.14339999999999</v>
      </c>
      <c r="M1927">
        <v>-0.99980460000000004</v>
      </c>
      <c r="N1927">
        <v>-1.0953859999999999E-2</v>
      </c>
      <c r="O1927">
        <v>1.6462999999999998E-2</v>
      </c>
      <c r="P1927">
        <v>-0.98145479999999996</v>
      </c>
      <c r="Q1927">
        <v>0.18364900000000001</v>
      </c>
      <c r="R1927">
        <v>5.4950440000000003E-2</v>
      </c>
      <c r="S1927">
        <v>-3.2486570000000001</v>
      </c>
      <c r="T1927">
        <v>-1.140482</v>
      </c>
      <c r="U1927">
        <v>0.37094120000000003</v>
      </c>
      <c r="V1927">
        <v>3.8901289999999998E-2</v>
      </c>
      <c r="W1927">
        <v>0.19437370000000001</v>
      </c>
      <c r="X1927">
        <v>0.98015589999999997</v>
      </c>
      <c r="Y1927">
        <v>9.2349130000000001E-2</v>
      </c>
      <c r="Z1927">
        <v>1.079627E-2</v>
      </c>
      <c r="AA1927">
        <v>0.9956682</v>
      </c>
      <c r="AB1927">
        <v>30</v>
      </c>
      <c r="AC1927">
        <v>-0.46249999999997699</v>
      </c>
      <c r="AD1927">
        <v>-0.271327499999999</v>
      </c>
      <c r="AE1927">
        <v>8.31000000000017E-2</v>
      </c>
      <c r="AF1927">
        <v>5.66027891620631E-2</v>
      </c>
      <c r="AG1927">
        <v>-0.271327499999999</v>
      </c>
      <c r="AH1927">
        <v>0.347836783515662</v>
      </c>
      <c r="AI1927">
        <v>127.593225979145</v>
      </c>
      <c r="AJ1927">
        <v>80.757386048856503</v>
      </c>
      <c r="AK1927">
        <v>0.44476163949209502</v>
      </c>
      <c r="AL1927">
        <v>78.791860973090905</v>
      </c>
      <c r="AM1927">
        <v>87.727187558978599</v>
      </c>
      <c r="AN1927">
        <v>1.00000001696008</v>
      </c>
    </row>
    <row r="1928" spans="1:40" x14ac:dyDescent="0.25">
      <c r="A1928" t="str">
        <f>"20190303162251557"</f>
        <v>20190303162251557</v>
      </c>
      <c r="B1928" t="str">
        <f>"1551601371546312"</f>
        <v>1551601371546312</v>
      </c>
      <c r="C1928" t="s">
        <v>40</v>
      </c>
      <c r="D1928">
        <v>5.5396839999999896</v>
      </c>
      <c r="E1928">
        <v>0.52514479999999997</v>
      </c>
      <c r="F1928" t="s">
        <v>42</v>
      </c>
      <c r="G1928">
        <v>-277.44139999999999</v>
      </c>
      <c r="H1928">
        <v>0.86140810000000001</v>
      </c>
      <c r="I1928">
        <v>284.22820000000002</v>
      </c>
      <c r="J1928">
        <v>-276.99160000000001</v>
      </c>
      <c r="K1928">
        <v>1.1203780000000001</v>
      </c>
      <c r="L1928">
        <v>284.14839999999998</v>
      </c>
      <c r="M1928">
        <v>-0.99979980000000002</v>
      </c>
      <c r="N1928">
        <v>-1.0973500000000001E-2</v>
      </c>
      <c r="O1928">
        <v>1.6731880000000001E-2</v>
      </c>
      <c r="P1928">
        <v>-0.98129379999999999</v>
      </c>
      <c r="Q1928">
        <v>0.18444260000000001</v>
      </c>
      <c r="R1928">
        <v>5.5165550000000001E-2</v>
      </c>
      <c r="S1928">
        <v>-3.24884</v>
      </c>
      <c r="T1928">
        <v>-1.1380159999999999</v>
      </c>
      <c r="U1928">
        <v>0.37115480000000001</v>
      </c>
      <c r="V1928">
        <v>3.8855319999999999E-2</v>
      </c>
      <c r="W1928">
        <v>0.19518469999999999</v>
      </c>
      <c r="X1928">
        <v>0.97999650000000005</v>
      </c>
      <c r="Y1928">
        <v>9.2184130000000003E-2</v>
      </c>
      <c r="Z1928">
        <v>1.0659109999999999E-2</v>
      </c>
      <c r="AA1928">
        <v>0.99568489999999998</v>
      </c>
      <c r="AB1928">
        <v>30</v>
      </c>
      <c r="AC1928">
        <v>-0.44979999999998199</v>
      </c>
      <c r="AD1928">
        <v>-0.25896989999999998</v>
      </c>
      <c r="AE1928">
        <v>7.9800000000034205E-2</v>
      </c>
      <c r="AF1928">
        <v>5.4687599134402597E-2</v>
      </c>
      <c r="AG1928">
        <v>-0.25896989999999998</v>
      </c>
      <c r="AH1928">
        <v>0.34136799028638098</v>
      </c>
      <c r="AI1928">
        <v>126.83587088553401</v>
      </c>
      <c r="AJ1928">
        <v>80.898477141233101</v>
      </c>
      <c r="AK1928">
        <v>0.43195861769069699</v>
      </c>
      <c r="AL1928">
        <v>78.744486223796002</v>
      </c>
      <c r="AM1928">
        <v>87.7295016915849</v>
      </c>
      <c r="AN1928">
        <v>0.99999997150931996</v>
      </c>
    </row>
    <row r="1929" spans="1:40" x14ac:dyDescent="0.25">
      <c r="A1929" t="str">
        <f>"20190303162251571"</f>
        <v>20190303162251571</v>
      </c>
      <c r="B1929" t="str">
        <f>"1551601371566808"</f>
        <v>1551601371566808</v>
      </c>
      <c r="C1929" t="s">
        <v>40</v>
      </c>
      <c r="D1929">
        <v>5.6600210000000004</v>
      </c>
      <c r="E1929">
        <v>0.48649029999999999</v>
      </c>
      <c r="F1929" t="s">
        <v>42</v>
      </c>
      <c r="G1929">
        <v>-277.71699999999998</v>
      </c>
      <c r="H1929">
        <v>0.87047180000000002</v>
      </c>
      <c r="I1929">
        <v>284.23070000000001</v>
      </c>
      <c r="J1929">
        <v>-277.1814</v>
      </c>
      <c r="K1929">
        <v>1.120382</v>
      </c>
      <c r="L1929">
        <v>284.15179999999998</v>
      </c>
      <c r="M1929">
        <v>-0.99979680000000004</v>
      </c>
      <c r="N1929">
        <v>-1.0985409999999999E-2</v>
      </c>
      <c r="O1929">
        <v>1.6908010000000001E-2</v>
      </c>
      <c r="P1929">
        <v>-0.98133809999999999</v>
      </c>
      <c r="Q1929">
        <v>0.18418689999999999</v>
      </c>
      <c r="R1929">
        <v>5.5235869999999999E-2</v>
      </c>
      <c r="S1929">
        <v>-3.2467350000000001</v>
      </c>
      <c r="T1929">
        <v>-1.118468</v>
      </c>
      <c r="U1929">
        <v>0.36804199999999998</v>
      </c>
      <c r="V1929">
        <v>3.8751870000000001E-2</v>
      </c>
      <c r="W1929">
        <v>0.19494149999999999</v>
      </c>
      <c r="X1929">
        <v>0.98004899999999995</v>
      </c>
      <c r="Y1929">
        <v>9.1343079999999993E-2</v>
      </c>
      <c r="Z1929">
        <v>1.0302199999999999E-2</v>
      </c>
      <c r="AA1929">
        <v>0.99576620000000005</v>
      </c>
      <c r="AB1929">
        <v>30</v>
      </c>
      <c r="AC1929">
        <v>-0.53559999999998797</v>
      </c>
      <c r="AD1929">
        <v>-0.249910199999999</v>
      </c>
      <c r="AE1929">
        <v>7.8900000000032805E-2</v>
      </c>
      <c r="AF1929">
        <v>5.7565590097840499E-2</v>
      </c>
      <c r="AG1929">
        <v>-0.249910199999999</v>
      </c>
      <c r="AH1929">
        <v>0.44255375130741698</v>
      </c>
      <c r="AI1929">
        <v>119.24807203533901</v>
      </c>
      <c r="AJ1929">
        <v>82.588809831908506</v>
      </c>
      <c r="AK1929">
        <v>0.51149069202051001</v>
      </c>
      <c r="AL1929">
        <v>78.758693441995703</v>
      </c>
      <c r="AM1929">
        <v>87.735661636151406</v>
      </c>
      <c r="AN1929">
        <v>0.99999996912587197</v>
      </c>
    </row>
    <row r="1930" spans="1:40" x14ac:dyDescent="0.25">
      <c r="A1930" t="str">
        <f>"20190303162251591"</f>
        <v>20190303162251591</v>
      </c>
      <c r="B1930" t="str">
        <f>"1551601371586327"</f>
        <v>1551601371586327</v>
      </c>
      <c r="C1930" t="s">
        <v>40</v>
      </c>
      <c r="D1930">
        <v>5.6025809999999998</v>
      </c>
      <c r="E1930">
        <v>0.48523899999999998</v>
      </c>
      <c r="F1930" t="s">
        <v>49</v>
      </c>
      <c r="G1930">
        <v>-294.40609999999998</v>
      </c>
      <c r="H1930" s="1">
        <v>2.9990820000000001E-6</v>
      </c>
      <c r="I1930">
        <v>284.48180000000002</v>
      </c>
      <c r="J1930">
        <v>-277.4495</v>
      </c>
      <c r="K1930">
        <v>1.120384</v>
      </c>
      <c r="L1930">
        <v>284.15660000000003</v>
      </c>
      <c r="M1930">
        <v>-0.99979240000000003</v>
      </c>
      <c r="N1930">
        <v>-1.100105E-2</v>
      </c>
      <c r="O1930">
        <v>1.7156649999999999E-2</v>
      </c>
      <c r="P1930">
        <v>-0.98134980000000005</v>
      </c>
      <c r="Q1930">
        <v>0.18399989999999999</v>
      </c>
      <c r="R1930">
        <v>5.5647919999999997E-2</v>
      </c>
      <c r="S1930">
        <v>-3.0914920000000001</v>
      </c>
      <c r="T1930">
        <v>-0.2010856</v>
      </c>
      <c r="U1930">
        <v>5.9234620000000002E-2</v>
      </c>
      <c r="V1930">
        <v>3.8919450000000001E-2</v>
      </c>
      <c r="W1930">
        <v>0.19477030000000001</v>
      </c>
      <c r="X1930">
        <v>0.98007639999999996</v>
      </c>
      <c r="Y1930">
        <v>2.0196810000000002E-3</v>
      </c>
      <c r="Z1930">
        <v>-8.4927189999999995E-4</v>
      </c>
      <c r="AA1930">
        <v>0.99999760000000004</v>
      </c>
      <c r="AB1930">
        <v>30</v>
      </c>
      <c r="AC1930">
        <v>-16.956599999999899</v>
      </c>
      <c r="AD1930">
        <v>-1.120381000918</v>
      </c>
      <c r="AE1930">
        <v>0.32519999999999499</v>
      </c>
      <c r="AF1930">
        <v>3.4067430404137997E-2</v>
      </c>
      <c r="AG1930">
        <v>-1.120381000918</v>
      </c>
      <c r="AH1930">
        <v>16.8859915274803</v>
      </c>
      <c r="AI1930">
        <v>93.795988043854194</v>
      </c>
      <c r="AJ1930">
        <v>89.884406116777399</v>
      </c>
      <c r="AK1930">
        <v>16.9231534899134</v>
      </c>
      <c r="AL1930">
        <v>78.768694203097795</v>
      </c>
      <c r="AM1930">
        <v>87.725943418222997</v>
      </c>
      <c r="AN1930">
        <v>0.99999997159367504</v>
      </c>
    </row>
    <row r="1931" spans="1:40" x14ac:dyDescent="0.25">
      <c r="A1931" t="str">
        <f>"20190303162251613"</f>
        <v>20190303162251613</v>
      </c>
      <c r="B1931" t="str">
        <f>"1551601371606824"</f>
        <v>1551601371606824</v>
      </c>
      <c r="C1931" t="s">
        <v>40</v>
      </c>
      <c r="D1931">
        <v>5.4690560000000001</v>
      </c>
      <c r="E1931">
        <v>0.4844117</v>
      </c>
      <c r="F1931" t="s">
        <v>49</v>
      </c>
      <c r="G1931">
        <v>-306.88380000000001</v>
      </c>
      <c r="H1931" s="1">
        <v>2.7417080000000002E-6</v>
      </c>
      <c r="I1931">
        <v>284.63720000000001</v>
      </c>
      <c r="J1931">
        <v>-277.76459999999997</v>
      </c>
      <c r="K1931">
        <v>1.1203860000000001</v>
      </c>
      <c r="L1931">
        <v>284.16230000000002</v>
      </c>
      <c r="M1931">
        <v>-0.99978710000000004</v>
      </c>
      <c r="N1931">
        <v>-1.1017620000000001E-2</v>
      </c>
      <c r="O1931">
        <v>1.7447839999999999E-2</v>
      </c>
      <c r="P1931">
        <v>-0.98123159999999998</v>
      </c>
      <c r="Q1931">
        <v>0.18446709999999999</v>
      </c>
      <c r="R1931">
        <v>5.6183240000000002E-2</v>
      </c>
      <c r="S1931">
        <v>-3.076111</v>
      </c>
      <c r="T1931">
        <v>-0.1170884</v>
      </c>
      <c r="U1931">
        <v>5.0231930000000001E-2</v>
      </c>
      <c r="V1931">
        <v>3.9171079999999997E-2</v>
      </c>
      <c r="W1931">
        <v>0.1952525</v>
      </c>
      <c r="X1931">
        <v>0.97997049999999997</v>
      </c>
      <c r="Y1931">
        <v>-1.1141300000000001E-3</v>
      </c>
      <c r="Z1931">
        <v>-4.9894179999999998E-4</v>
      </c>
      <c r="AA1931">
        <v>0.99999919999999998</v>
      </c>
      <c r="AB1931">
        <v>30</v>
      </c>
      <c r="AC1931">
        <v>-29.119199999999999</v>
      </c>
      <c r="AD1931">
        <v>-1.1203832582919999</v>
      </c>
      <c r="AE1931">
        <v>0.474899999999991</v>
      </c>
      <c r="AF1931">
        <v>-3.32211001959219E-2</v>
      </c>
      <c r="AG1931">
        <v>-1.1203832582919999</v>
      </c>
      <c r="AH1931">
        <v>29.0800151315558</v>
      </c>
      <c r="AI1931">
        <v>92.206376302692803</v>
      </c>
      <c r="AJ1931">
        <v>90.065454849158499</v>
      </c>
      <c r="AK1931">
        <v>29.101608930409199</v>
      </c>
      <c r="AL1931">
        <v>78.740526218042206</v>
      </c>
      <c r="AM1931">
        <v>87.711009238516894</v>
      </c>
      <c r="AN1931">
        <v>1.0000000465674299</v>
      </c>
    </row>
    <row r="1932" spans="1:40" x14ac:dyDescent="0.25">
      <c r="A1932" t="str">
        <f>"20190303162251627"</f>
        <v>20190303162251627</v>
      </c>
      <c r="B1932" t="str">
        <f>"1551601371616583"</f>
        <v>1551601371616583</v>
      </c>
      <c r="C1932" t="s">
        <v>40</v>
      </c>
      <c r="D1932">
        <v>5.5200399999999998</v>
      </c>
      <c r="E1932">
        <v>0.48427759999999997</v>
      </c>
      <c r="F1932" t="s">
        <v>49</v>
      </c>
      <c r="G1932">
        <v>-310.4323</v>
      </c>
      <c r="H1932" s="1">
        <v>2.4060560000000002E-6</v>
      </c>
      <c r="I1932">
        <v>284.64670000000001</v>
      </c>
      <c r="J1932">
        <v>-277.94929999999999</v>
      </c>
      <c r="K1932">
        <v>1.1203890000000001</v>
      </c>
      <c r="L1932">
        <v>284.16570000000002</v>
      </c>
      <c r="M1932">
        <v>-0.99978420000000001</v>
      </c>
      <c r="N1932">
        <v>-1.1026620000000001E-2</v>
      </c>
      <c r="O1932">
        <v>1.761772E-2</v>
      </c>
      <c r="P1932">
        <v>-0.98114959999999996</v>
      </c>
      <c r="Q1932">
        <v>0.18486259999999999</v>
      </c>
      <c r="R1932">
        <v>5.6315360000000002E-2</v>
      </c>
      <c r="S1932">
        <v>-3.0745849999999999</v>
      </c>
      <c r="T1932">
        <v>-0.1054469</v>
      </c>
      <c r="U1932">
        <v>4.5593259999999997E-2</v>
      </c>
      <c r="V1932">
        <v>3.9137810000000002E-2</v>
      </c>
      <c r="W1932">
        <v>0.1956561</v>
      </c>
      <c r="X1932">
        <v>0.97989130000000002</v>
      </c>
      <c r="Y1932">
        <v>-2.7847729999999999E-3</v>
      </c>
      <c r="Z1932">
        <v>-4.7283239999999999E-4</v>
      </c>
      <c r="AA1932">
        <v>0.999996</v>
      </c>
      <c r="AB1932">
        <v>30</v>
      </c>
      <c r="AC1932">
        <v>-32.482999999999997</v>
      </c>
      <c r="AD1932">
        <v>-1.1203865939440001</v>
      </c>
      <c r="AE1932">
        <v>0.48099999999999399</v>
      </c>
      <c r="AF1932">
        <v>-9.1277170139725E-2</v>
      </c>
      <c r="AG1932">
        <v>-1.1203865939440001</v>
      </c>
      <c r="AH1932">
        <v>32.447839037298202</v>
      </c>
      <c r="AI1932">
        <v>91.977563941216204</v>
      </c>
      <c r="AJ1932">
        <v>90.161175072833899</v>
      </c>
      <c r="AK1932">
        <v>32.467304412779498</v>
      </c>
      <c r="AL1932">
        <v>78.716946544628797</v>
      </c>
      <c r="AM1932">
        <v>87.712766674943794</v>
      </c>
      <c r="AN1932">
        <v>1.00000001872724</v>
      </c>
    </row>
    <row r="1933" spans="1:40" x14ac:dyDescent="0.25">
      <c r="A1933" t="str">
        <f>"20190303162251645"</f>
        <v>20190303162251645</v>
      </c>
      <c r="B1933" t="str">
        <f>"1551601371636104"</f>
        <v>1551601371636104</v>
      </c>
      <c r="C1933" t="s">
        <v>40</v>
      </c>
      <c r="D1933">
        <v>5.5702280000000002</v>
      </c>
      <c r="E1933">
        <v>0.48482330000000001</v>
      </c>
      <c r="F1933" t="s">
        <v>49</v>
      </c>
      <c r="G1933">
        <v>-311.1234</v>
      </c>
      <c r="H1933" s="1">
        <v>2.7117459999999998E-6</v>
      </c>
      <c r="I1933">
        <v>284.65530000000001</v>
      </c>
      <c r="J1933">
        <v>-278.20209999999997</v>
      </c>
      <c r="K1933">
        <v>1.1203970000000001</v>
      </c>
      <c r="L1933">
        <v>284.17039999999997</v>
      </c>
      <c r="M1933">
        <v>-0.9997798</v>
      </c>
      <c r="N1933">
        <v>-1.1038060000000001E-2</v>
      </c>
      <c r="O1933">
        <v>1.7850040000000001E-2</v>
      </c>
      <c r="P1933">
        <v>-0.98086629999999997</v>
      </c>
      <c r="Q1933">
        <v>0.18626780000000001</v>
      </c>
      <c r="R1933">
        <v>5.6618389999999998E-2</v>
      </c>
      <c r="S1933">
        <v>-3.0746150000000001</v>
      </c>
      <c r="T1933">
        <v>-0.10383879999999999</v>
      </c>
      <c r="U1933">
        <v>4.5379639999999999E-2</v>
      </c>
      <c r="V1933">
        <v>3.9218160000000002E-2</v>
      </c>
      <c r="W1933">
        <v>0.19706950000000001</v>
      </c>
      <c r="X1933">
        <v>0.97960480000000005</v>
      </c>
      <c r="Y1933">
        <v>-3.086746E-3</v>
      </c>
      <c r="Z1933">
        <v>-4.7474870000000001E-4</v>
      </c>
      <c r="AA1933">
        <v>0.99999510000000003</v>
      </c>
      <c r="AB1933">
        <v>30</v>
      </c>
      <c r="AC1933">
        <v>-32.921300000000002</v>
      </c>
      <c r="AD1933">
        <v>-1.1203942882539999</v>
      </c>
      <c r="AE1933">
        <v>0.48490000000003802</v>
      </c>
      <c r="AF1933">
        <v>-0.102740587939192</v>
      </c>
      <c r="AG1933">
        <v>-1.1203942882539999</v>
      </c>
      <c r="AH1933">
        <v>32.886628792422997</v>
      </c>
      <c r="AI1933">
        <v>91.951210422267096</v>
      </c>
      <c r="AJ1933">
        <v>90.178996240690793</v>
      </c>
      <c r="AK1933">
        <v>32.905868660775198</v>
      </c>
      <c r="AL1933">
        <v>78.634356645838494</v>
      </c>
      <c r="AM1933">
        <v>87.707406390759402</v>
      </c>
      <c r="AN1933">
        <v>1.0000000080435301</v>
      </c>
    </row>
    <row r="1934" spans="1:40" x14ac:dyDescent="0.25">
      <c r="A1934" t="str">
        <f>"20190303162251659"</f>
        <v>20190303162251659</v>
      </c>
      <c r="B1934" t="str">
        <f>"1551601371646840"</f>
        <v>1551601371646840</v>
      </c>
      <c r="C1934" t="s">
        <v>40</v>
      </c>
      <c r="D1934">
        <v>5.569299</v>
      </c>
      <c r="E1934">
        <v>0.48504890000000001</v>
      </c>
      <c r="F1934" t="s">
        <v>49</v>
      </c>
      <c r="G1934">
        <v>-313.40809999999999</v>
      </c>
      <c r="H1934" s="1">
        <v>3.7166239999999999E-6</v>
      </c>
      <c r="I1934">
        <v>284.75049999999999</v>
      </c>
      <c r="J1934">
        <v>-278.3922</v>
      </c>
      <c r="K1934">
        <v>1.120404</v>
      </c>
      <c r="L1934">
        <v>284.17399999999998</v>
      </c>
      <c r="M1934">
        <v>-0.99977660000000002</v>
      </c>
      <c r="N1934">
        <v>-1.104604E-2</v>
      </c>
      <c r="O1934">
        <v>1.802343E-2</v>
      </c>
      <c r="P1934">
        <v>-0.98072170000000003</v>
      </c>
      <c r="Q1934">
        <v>0.18707389999999999</v>
      </c>
      <c r="R1934">
        <v>5.6466080000000002E-2</v>
      </c>
      <c r="S1934">
        <v>-3.0742189999999998</v>
      </c>
      <c r="T1934">
        <v>-9.7833630000000005E-2</v>
      </c>
      <c r="U1934">
        <v>5.0659179999999998E-2</v>
      </c>
      <c r="V1934">
        <v>3.8898309999999998E-2</v>
      </c>
      <c r="W1934">
        <v>0.1978819</v>
      </c>
      <c r="X1934">
        <v>0.97945369999999998</v>
      </c>
      <c r="Y1934">
        <v>-1.54334E-3</v>
      </c>
      <c r="Z1934">
        <v>-4.0736199999999998E-4</v>
      </c>
      <c r="AA1934">
        <v>0.99999870000000002</v>
      </c>
      <c r="AB1934">
        <v>30</v>
      </c>
      <c r="AC1934">
        <v>-35.015899999999903</v>
      </c>
      <c r="AD1934">
        <v>-1.1204002833760001</v>
      </c>
      <c r="AE1934">
        <v>0.57649999999995305</v>
      </c>
      <c r="AF1934">
        <v>-5.4682780081016E-2</v>
      </c>
      <c r="AG1934">
        <v>-1.1204002833760001</v>
      </c>
      <c r="AH1934">
        <v>34.984794847049798</v>
      </c>
      <c r="AI1934">
        <v>91.834288201208693</v>
      </c>
      <c r="AJ1934">
        <v>90.089555761949995</v>
      </c>
      <c r="AK1934">
        <v>35.002773568555703</v>
      </c>
      <c r="AL1934">
        <v>78.586873711060207</v>
      </c>
      <c r="AM1934">
        <v>87.725733870186502</v>
      </c>
      <c r="AN1934">
        <v>0.99999993765607598</v>
      </c>
    </row>
    <row r="1935" spans="1:40" x14ac:dyDescent="0.25">
      <c r="A1935" t="str">
        <f>"20190303162251681"</f>
        <v>20190303162251681</v>
      </c>
      <c r="B1935" t="str">
        <f>"1551601371676121"</f>
        <v>1551601371676121</v>
      </c>
      <c r="C1935" t="s">
        <v>40</v>
      </c>
      <c r="D1935">
        <v>5.5655250000000001</v>
      </c>
      <c r="E1935">
        <v>0.48559720000000001</v>
      </c>
      <c r="F1935" t="s">
        <v>49</v>
      </c>
      <c r="G1935">
        <v>-314.47539999999998</v>
      </c>
      <c r="H1935" s="1">
        <v>4.1873830000000001E-6</v>
      </c>
      <c r="I1935">
        <v>284.77969999999999</v>
      </c>
      <c r="J1935">
        <v>-278.6918</v>
      </c>
      <c r="K1935">
        <v>1.120404</v>
      </c>
      <c r="L1935">
        <v>284.17970000000003</v>
      </c>
      <c r="M1935">
        <v>-0.99977169999999904</v>
      </c>
      <c r="N1935">
        <v>-1.105774E-2</v>
      </c>
      <c r="O1935">
        <v>1.8293460000000001E-2</v>
      </c>
      <c r="P1935">
        <v>-0.98055219999999998</v>
      </c>
      <c r="Q1935">
        <v>0.1877896</v>
      </c>
      <c r="R1935">
        <v>5.7034380000000003E-2</v>
      </c>
      <c r="S1935">
        <v>-3.0741879999999999</v>
      </c>
      <c r="T1935">
        <v>-9.5454929999999993E-2</v>
      </c>
      <c r="U1935">
        <v>5.160522E-2</v>
      </c>
      <c r="V1935">
        <v>3.9204000000000003E-2</v>
      </c>
      <c r="W1935">
        <v>0.19860729999999999</v>
      </c>
      <c r="X1935">
        <v>0.97929469999999996</v>
      </c>
      <c r="Y1935">
        <v>-1.50592E-3</v>
      </c>
      <c r="Z1935">
        <v>-3.9723889999999999E-4</v>
      </c>
      <c r="AA1935">
        <v>0.99999879999999997</v>
      </c>
      <c r="AB1935">
        <v>30</v>
      </c>
      <c r="AC1935">
        <v>-35.7835999999999</v>
      </c>
      <c r="AD1935">
        <v>-1.1203998126170001</v>
      </c>
      <c r="AE1935">
        <v>0.59999999999996501</v>
      </c>
      <c r="AF1935">
        <v>-5.4692569659826398E-2</v>
      </c>
      <c r="AG1935">
        <v>-1.1203998126170001</v>
      </c>
      <c r="AH1935">
        <v>35.753547127641802</v>
      </c>
      <c r="AI1935">
        <v>91.794873807155597</v>
      </c>
      <c r="AJ1935">
        <v>90.087645876275801</v>
      </c>
      <c r="AK1935">
        <v>35.771139473405</v>
      </c>
      <c r="AL1935">
        <v>78.544470014341499</v>
      </c>
      <c r="AM1935">
        <v>87.707508336877794</v>
      </c>
      <c r="AN1935">
        <v>0.99999996133868896</v>
      </c>
    </row>
    <row r="1936" spans="1:40" x14ac:dyDescent="0.25">
      <c r="A1936" t="str">
        <f>"20190303162251704"</f>
        <v>20190303162251704</v>
      </c>
      <c r="B1936" t="str">
        <f>"1551601371696616"</f>
        <v>1551601371696616</v>
      </c>
      <c r="C1936" t="s">
        <v>40</v>
      </c>
      <c r="D1936">
        <v>5.5634779999999999</v>
      </c>
      <c r="E1936">
        <v>0.48589130000000003</v>
      </c>
      <c r="F1936" t="s">
        <v>49</v>
      </c>
      <c r="G1936">
        <v>-315.7704</v>
      </c>
      <c r="H1936" s="1">
        <v>4.7538439999999996E-6</v>
      </c>
      <c r="I1936">
        <v>284.86880000000002</v>
      </c>
      <c r="J1936">
        <v>-278.99709999999999</v>
      </c>
      <c r="K1936">
        <v>1.1204160000000001</v>
      </c>
      <c r="L1936">
        <v>284.18549999999999</v>
      </c>
      <c r="M1936">
        <v>-0.99976659999999995</v>
      </c>
      <c r="N1936">
        <v>-1.10689E-2</v>
      </c>
      <c r="O1936">
        <v>1.8560719999999999E-2</v>
      </c>
      <c r="P1936">
        <v>-0.98042669999999998</v>
      </c>
      <c r="Q1936">
        <v>0.18831790000000001</v>
      </c>
      <c r="R1936">
        <v>5.7446410000000003E-2</v>
      </c>
      <c r="S1936">
        <v>-3.0739749999999999</v>
      </c>
      <c r="T1936">
        <v>-9.2886090000000004E-2</v>
      </c>
      <c r="U1936">
        <v>5.7128909999999998E-2</v>
      </c>
      <c r="V1936">
        <v>3.9353880000000001E-2</v>
      </c>
      <c r="W1936">
        <v>0.19914570000000001</v>
      </c>
      <c r="X1936">
        <v>0.97917940000000003</v>
      </c>
      <c r="Y1936" s="1">
        <v>2.3030870000000001E-5</v>
      </c>
      <c r="Z1936">
        <v>-3.5472470000000002E-4</v>
      </c>
      <c r="AA1936">
        <v>0.99999990000000005</v>
      </c>
      <c r="AB1936">
        <v>30</v>
      </c>
      <c r="AC1936">
        <v>-36.773299999999999</v>
      </c>
      <c r="AD1936">
        <v>-1.1204112461560001</v>
      </c>
      <c r="AE1936">
        <v>0.68330000000003099</v>
      </c>
      <c r="AF1936">
        <v>6.0107199403824896E-4</v>
      </c>
      <c r="AG1936">
        <v>-1.1204112461560001</v>
      </c>
      <c r="AH1936">
        <v>36.745548562068997</v>
      </c>
      <c r="AI1936">
        <v>91.746468761985895</v>
      </c>
      <c r="AJ1936">
        <v>89.999062773865504</v>
      </c>
      <c r="AK1936">
        <v>36.762625869885497</v>
      </c>
      <c r="AL1936">
        <v>78.512993856184806</v>
      </c>
      <c r="AM1936">
        <v>87.698482679959994</v>
      </c>
      <c r="AN1936">
        <v>1.0000000175419499</v>
      </c>
    </row>
    <row r="1937" spans="1:40" x14ac:dyDescent="0.25">
      <c r="A1937" t="str">
        <f>"20190303162251724"</f>
        <v>20190303162251724</v>
      </c>
      <c r="B1937" t="str">
        <f>"1551601371716135"</f>
        <v>1551601371716135</v>
      </c>
      <c r="C1937" t="s">
        <v>40</v>
      </c>
      <c r="D1937">
        <v>5.6202269999999999</v>
      </c>
      <c r="E1937">
        <v>0.48617329999999997</v>
      </c>
      <c r="F1937" t="s">
        <v>49</v>
      </c>
      <c r="G1937">
        <v>-316.55009999999999</v>
      </c>
      <c r="H1937" s="1">
        <v>5.094475E-6</v>
      </c>
      <c r="I1937">
        <v>284.92779999999999</v>
      </c>
      <c r="J1937">
        <v>-279.28210000000001</v>
      </c>
      <c r="K1937">
        <v>1.120433</v>
      </c>
      <c r="L1937">
        <v>284.19110000000001</v>
      </c>
      <c r="M1937">
        <v>-0.99976189999999998</v>
      </c>
      <c r="N1937">
        <v>-1.107843E-2</v>
      </c>
      <c r="O1937">
        <v>1.8800540000000001E-2</v>
      </c>
      <c r="P1937">
        <v>-0.98031230000000003</v>
      </c>
      <c r="Q1937">
        <v>0.1888531</v>
      </c>
      <c r="R1937">
        <v>5.7636930000000003E-2</v>
      </c>
      <c r="S1937">
        <v>-3.073944</v>
      </c>
      <c r="T1937">
        <v>-9.1712470000000004E-2</v>
      </c>
      <c r="U1937">
        <v>6.0760500000000002E-2</v>
      </c>
      <c r="V1937">
        <v>3.9307870000000002E-2</v>
      </c>
      <c r="W1937">
        <v>0.19969000000000001</v>
      </c>
      <c r="X1937">
        <v>0.97907040000000001</v>
      </c>
      <c r="Y1937">
        <v>9.6364509999999999E-4</v>
      </c>
      <c r="Z1937">
        <v>-3.3272489999999999E-4</v>
      </c>
      <c r="AA1937">
        <v>0.99999950000000004</v>
      </c>
      <c r="AB1937">
        <v>31</v>
      </c>
      <c r="AC1937">
        <v>-37.267999999999901</v>
      </c>
      <c r="AD1937">
        <v>-1.1204279055249999</v>
      </c>
      <c r="AE1937">
        <v>0.73669999999998403</v>
      </c>
      <c r="AF1937">
        <v>3.5835889726137403E-2</v>
      </c>
      <c r="AG1937">
        <v>-1.1204279055249999</v>
      </c>
      <c r="AH1937">
        <v>37.241615805901802</v>
      </c>
      <c r="AI1937">
        <v>91.723244310426395</v>
      </c>
      <c r="AJ1937">
        <v>89.944866930226993</v>
      </c>
      <c r="AK1937">
        <v>37.258483473389902</v>
      </c>
      <c r="AL1937">
        <v>78.481168641617501</v>
      </c>
      <c r="AM1937">
        <v>87.700914921738899</v>
      </c>
      <c r="AN1937">
        <v>1.0000000264500399</v>
      </c>
    </row>
    <row r="1938" spans="1:40" x14ac:dyDescent="0.25">
      <c r="A1938" t="str">
        <f>"20190303162251738"</f>
        <v>20190303162251738</v>
      </c>
      <c r="B1938" t="str">
        <f>"1551601371726871"</f>
        <v>1551601371726871</v>
      </c>
      <c r="C1938" t="s">
        <v>40</v>
      </c>
      <c r="D1938">
        <v>5.5637169999999996</v>
      </c>
      <c r="E1938">
        <v>0.4861993</v>
      </c>
      <c r="F1938" t="s">
        <v>49</v>
      </c>
      <c r="G1938">
        <v>-316.38040000000001</v>
      </c>
      <c r="H1938" s="1">
        <v>5.0162289999999997E-6</v>
      </c>
      <c r="I1938">
        <v>284.96179999999998</v>
      </c>
      <c r="J1938">
        <v>-279.47140000000002</v>
      </c>
      <c r="K1938">
        <v>1.120441</v>
      </c>
      <c r="L1938">
        <v>284.19479999999999</v>
      </c>
      <c r="M1938">
        <v>-0.99975890000000001</v>
      </c>
      <c r="N1938">
        <v>-1.108423E-2</v>
      </c>
      <c r="O1938">
        <v>1.8955050000000001E-2</v>
      </c>
      <c r="P1938">
        <v>-0.98029809999999995</v>
      </c>
      <c r="Q1938">
        <v>0.18878200000000001</v>
      </c>
      <c r="R1938">
        <v>5.8109939999999999E-2</v>
      </c>
      <c r="S1938">
        <v>-3.0743710000000002</v>
      </c>
      <c r="T1938">
        <v>-9.2850920000000003E-2</v>
      </c>
      <c r="U1938">
        <v>6.3873289999999999E-2</v>
      </c>
      <c r="V1938">
        <v>3.9626830000000002E-2</v>
      </c>
      <c r="W1938">
        <v>0.19962460000000001</v>
      </c>
      <c r="X1938">
        <v>0.97907080000000002</v>
      </c>
      <c r="Y1938">
        <v>1.818037E-3</v>
      </c>
      <c r="Z1938">
        <v>-3.246263E-4</v>
      </c>
      <c r="AA1938">
        <v>0.99999830000000001</v>
      </c>
      <c r="AB1938">
        <v>31</v>
      </c>
      <c r="AC1938">
        <v>-36.908999999999899</v>
      </c>
      <c r="AD1938">
        <v>-1.1204359837710001</v>
      </c>
      <c r="AE1938">
        <v>0.76699999999999502</v>
      </c>
      <c r="AF1938">
        <v>6.7145414301239603E-2</v>
      </c>
      <c r="AG1938">
        <v>-1.1204359837710001</v>
      </c>
      <c r="AH1938">
        <v>36.882933353444201</v>
      </c>
      <c r="AI1938">
        <v>91.740002879861095</v>
      </c>
      <c r="AJ1938">
        <v>89.8956930956072</v>
      </c>
      <c r="AK1938">
        <v>36.900008916733299</v>
      </c>
      <c r="AL1938">
        <v>78.484991877459393</v>
      </c>
      <c r="AM1938">
        <v>87.682280421952399</v>
      </c>
      <c r="AN1938">
        <v>0.99999994899682298</v>
      </c>
    </row>
    <row r="1939" spans="1:40" x14ac:dyDescent="0.25">
      <c r="A1939" t="str">
        <f>"20190303162251759"</f>
        <v>20190303162251759</v>
      </c>
      <c r="B1939" t="str">
        <f>"1551601371746392"</f>
        <v>1551601371746392</v>
      </c>
      <c r="C1939" t="s">
        <v>40</v>
      </c>
      <c r="D1939">
        <v>5.6236050000000004</v>
      </c>
      <c r="E1939">
        <v>0.48633389999999999</v>
      </c>
      <c r="F1939" t="s">
        <v>49</v>
      </c>
      <c r="G1939">
        <v>-316.14589999999998</v>
      </c>
      <c r="H1939" s="1">
        <v>4.9111240000000001E-6</v>
      </c>
      <c r="I1939">
        <v>284.97460000000001</v>
      </c>
      <c r="J1939">
        <v>-279.74579999999997</v>
      </c>
      <c r="K1939">
        <v>1.1204499999999999</v>
      </c>
      <c r="L1939">
        <v>284.2002</v>
      </c>
      <c r="M1939">
        <v>-0.9997547</v>
      </c>
      <c r="N1939">
        <v>-1.109212E-2</v>
      </c>
      <c r="O1939">
        <v>1.9170960000000001E-2</v>
      </c>
      <c r="P1939">
        <v>-0.98026009999999997</v>
      </c>
      <c r="Q1939">
        <v>0.1888396</v>
      </c>
      <c r="R1939">
        <v>5.8562839999999998E-2</v>
      </c>
      <c r="S1939">
        <v>-3.0744929999999999</v>
      </c>
      <c r="T1939">
        <v>-9.3928220000000007E-2</v>
      </c>
      <c r="U1939">
        <v>6.536865E-2</v>
      </c>
      <c r="V1939">
        <v>3.9864520000000001E-2</v>
      </c>
      <c r="W1939">
        <v>0.19969049999999999</v>
      </c>
      <c r="X1939">
        <v>0.97904780000000002</v>
      </c>
      <c r="Y1939">
        <v>2.087378E-3</v>
      </c>
      <c r="Z1939">
        <v>-3.293541E-4</v>
      </c>
      <c r="AA1939">
        <v>0.99999780000000005</v>
      </c>
      <c r="AB1939">
        <v>31</v>
      </c>
      <c r="AC1939">
        <v>-36.400100000000002</v>
      </c>
      <c r="AD1939">
        <v>-1.120445088876</v>
      </c>
      <c r="AE1939">
        <v>0.77440000000001397</v>
      </c>
      <c r="AF1939">
        <v>7.6317599569128897E-2</v>
      </c>
      <c r="AG1939">
        <v>-1.120445088876</v>
      </c>
      <c r="AH1939">
        <v>36.373808144413999</v>
      </c>
      <c r="AI1939">
        <v>91.764355831080806</v>
      </c>
      <c r="AJ1939">
        <v>89.8797852035717</v>
      </c>
      <c r="AK1939">
        <v>36.391140961775697</v>
      </c>
      <c r="AL1939">
        <v>78.481139507217804</v>
      </c>
      <c r="AM1939">
        <v>87.668338839286307</v>
      </c>
      <c r="AN1939">
        <v>1.0000000352149501</v>
      </c>
    </row>
    <row r="1940" spans="1:40" x14ac:dyDescent="0.25">
      <c r="A1940" t="str">
        <f>"20190303162251780"</f>
        <v>20190303162251780</v>
      </c>
      <c r="B1940" t="str">
        <f>"1551601371776648"</f>
        <v>1551601371776648</v>
      </c>
      <c r="C1940" t="s">
        <v>40</v>
      </c>
      <c r="D1940">
        <v>5.6303419999999997</v>
      </c>
      <c r="E1940">
        <v>0.48625119999999999</v>
      </c>
      <c r="F1940" t="s">
        <v>49</v>
      </c>
      <c r="G1940">
        <v>-315.83960000000002</v>
      </c>
      <c r="H1940" s="1">
        <v>4.773924E-6</v>
      </c>
      <c r="I1940">
        <v>284.99009999999998</v>
      </c>
      <c r="J1940">
        <v>-280.03870000000001</v>
      </c>
      <c r="K1940">
        <v>1.120458</v>
      </c>
      <c r="L1940">
        <v>284.20609999999999</v>
      </c>
      <c r="M1940">
        <v>-0.99975049999999999</v>
      </c>
      <c r="N1940">
        <v>-1.1099940000000001E-2</v>
      </c>
      <c r="O1940">
        <v>1.9384140000000001E-2</v>
      </c>
      <c r="P1940">
        <v>-0.98022450000000005</v>
      </c>
      <c r="Q1940">
        <v>0.18914130000000001</v>
      </c>
      <c r="R1940">
        <v>5.8184399999999997E-2</v>
      </c>
      <c r="S1940">
        <v>-3.0747990000000001</v>
      </c>
      <c r="T1940">
        <v>-9.5449809999999996E-2</v>
      </c>
      <c r="U1940">
        <v>6.7291260000000006E-2</v>
      </c>
      <c r="V1940">
        <v>3.9271970000000003E-2</v>
      </c>
      <c r="W1940">
        <v>0.20000119999999999</v>
      </c>
      <c r="X1940">
        <v>0.97900830000000005</v>
      </c>
      <c r="Y1940">
        <v>2.4969409999999999E-3</v>
      </c>
      <c r="Z1940">
        <v>-3.3371920000000002E-4</v>
      </c>
      <c r="AA1940">
        <v>0.99999680000000002</v>
      </c>
      <c r="AB1940">
        <v>31</v>
      </c>
      <c r="AC1940">
        <v>-35.800899999999999</v>
      </c>
      <c r="AD1940">
        <v>-1.1204532260760001</v>
      </c>
      <c r="AE1940">
        <v>0.78399999999999104</v>
      </c>
      <c r="AF1940">
        <v>8.9752398933624702E-2</v>
      </c>
      <c r="AG1940">
        <v>-1.1204532260760001</v>
      </c>
      <c r="AH1940">
        <v>35.774346854619402</v>
      </c>
      <c r="AI1940">
        <v>91.793912841291004</v>
      </c>
      <c r="AJ1940">
        <v>89.856253899151795</v>
      </c>
      <c r="AK1940">
        <v>35.792001394160003</v>
      </c>
      <c r="AL1940">
        <v>78.462970906144193</v>
      </c>
      <c r="AM1940">
        <v>87.702866887787906</v>
      </c>
      <c r="AN1940">
        <v>1.000000009549</v>
      </c>
    </row>
    <row r="1941" spans="1:40" x14ac:dyDescent="0.25">
      <c r="A1941" t="str">
        <f>"20190303162251802"</f>
        <v>20190303162251802</v>
      </c>
      <c r="B1941" t="str">
        <f>"1551601371796167"</f>
        <v>1551601371796167</v>
      </c>
      <c r="C1941" t="s">
        <v>40</v>
      </c>
      <c r="D1941">
        <v>5.5763920000000002</v>
      </c>
      <c r="E1941">
        <v>0.48613630000000002</v>
      </c>
      <c r="F1941" t="s">
        <v>49</v>
      </c>
      <c r="G1941">
        <v>-315.60980000000001</v>
      </c>
      <c r="H1941" s="1">
        <v>4.6750280000000001E-6</v>
      </c>
      <c r="I1941">
        <v>284.95580000000001</v>
      </c>
      <c r="J1941">
        <v>-280.34800000000001</v>
      </c>
      <c r="K1941">
        <v>1.1204719999999999</v>
      </c>
      <c r="L1941">
        <v>284.21230000000003</v>
      </c>
      <c r="M1941">
        <v>-0.99974660000000004</v>
      </c>
      <c r="N1941">
        <v>-1.1104620000000001E-2</v>
      </c>
      <c r="O1941">
        <v>1.9584879999999999E-2</v>
      </c>
      <c r="P1941">
        <v>-0.98019529999999999</v>
      </c>
      <c r="Q1941">
        <v>0.1896603</v>
      </c>
      <c r="R1941">
        <v>5.6975699999999997E-2</v>
      </c>
      <c r="S1941">
        <v>-3.0754090000000001</v>
      </c>
      <c r="T1941">
        <v>-9.687221E-2</v>
      </c>
      <c r="U1941">
        <v>6.4819340000000003E-2</v>
      </c>
      <c r="V1941">
        <v>3.7859070000000002E-2</v>
      </c>
      <c r="W1941">
        <v>0.2005258</v>
      </c>
      <c r="X1941">
        <v>0.97895659999999896</v>
      </c>
      <c r="Y1941">
        <v>1.4892659999999999E-3</v>
      </c>
      <c r="Z1941">
        <v>-3.6744929999999999E-4</v>
      </c>
      <c r="AA1941">
        <v>0.99999879999999997</v>
      </c>
      <c r="AB1941">
        <v>31</v>
      </c>
      <c r="AC1941">
        <v>-35.261799999999901</v>
      </c>
      <c r="AD1941">
        <v>-1.1204673249720001</v>
      </c>
      <c r="AE1941">
        <v>0.74349999999998295</v>
      </c>
      <c r="AF1941">
        <v>5.2663571708424201E-2</v>
      </c>
      <c r="AG1941">
        <v>-1.1204673249720001</v>
      </c>
      <c r="AH1941">
        <v>35.234038372517297</v>
      </c>
      <c r="AI1941">
        <v>91.821430423819393</v>
      </c>
      <c r="AJ1941">
        <v>89.914361274343406</v>
      </c>
      <c r="AK1941">
        <v>35.251889034690599</v>
      </c>
      <c r="AL1941">
        <v>78.432291529585299</v>
      </c>
      <c r="AM1941">
        <v>87.785310909869395</v>
      </c>
      <c r="AN1941">
        <v>0.99999996516523104</v>
      </c>
    </row>
    <row r="1942" spans="1:40" x14ac:dyDescent="0.25">
      <c r="A1942" t="str">
        <f>"20190303162251825"</f>
        <v>20190303162251825</v>
      </c>
      <c r="B1942" t="str">
        <f>"1551601371816663"</f>
        <v>1551601371816663</v>
      </c>
      <c r="C1942" t="s">
        <v>40</v>
      </c>
      <c r="D1942">
        <v>5.637734</v>
      </c>
      <c r="E1942">
        <v>0.48596600000000001</v>
      </c>
      <c r="F1942" t="s">
        <v>49</v>
      </c>
      <c r="G1942">
        <v>-315.76319999999998</v>
      </c>
      <c r="H1942" s="1">
        <v>4.7476330000000004E-6</v>
      </c>
      <c r="I1942">
        <v>284.90309999999999</v>
      </c>
      <c r="J1942">
        <v>-280.65390000000002</v>
      </c>
      <c r="K1942">
        <v>1.1204989999999999</v>
      </c>
      <c r="L1942">
        <v>284.21850000000001</v>
      </c>
      <c r="M1942">
        <v>-0.9997433</v>
      </c>
      <c r="N1942">
        <v>-1.1104889999999999E-2</v>
      </c>
      <c r="O1942">
        <v>1.9749320000000001E-2</v>
      </c>
      <c r="P1942">
        <v>-0.98015300000000005</v>
      </c>
      <c r="Q1942">
        <v>0.1905173</v>
      </c>
      <c r="R1942">
        <v>5.4800660000000001E-2</v>
      </c>
      <c r="S1942">
        <v>-3.075958</v>
      </c>
      <c r="T1942">
        <v>-9.7317459999999995E-2</v>
      </c>
      <c r="U1942">
        <v>5.9997559999999998E-2</v>
      </c>
      <c r="V1942">
        <v>3.5512879999999997E-2</v>
      </c>
      <c r="W1942">
        <v>0.2013857</v>
      </c>
      <c r="X1942">
        <v>0.97886799999999996</v>
      </c>
      <c r="Y1942">
        <v>-2.4464480000000003E-4</v>
      </c>
      <c r="Z1942">
        <v>-4.104968E-4</v>
      </c>
      <c r="AA1942">
        <v>0.99999990000000005</v>
      </c>
      <c r="AB1942">
        <v>31</v>
      </c>
      <c r="AC1942">
        <v>-35.109299999999898</v>
      </c>
      <c r="AD1942">
        <v>-1.1204942523669901</v>
      </c>
      <c r="AE1942">
        <v>0.684599999999989</v>
      </c>
      <c r="AF1942">
        <v>-8.9519755440595691E-3</v>
      </c>
      <c r="AG1942">
        <v>-1.1204942523669901</v>
      </c>
      <c r="AH1942">
        <v>35.080255963162998</v>
      </c>
      <c r="AI1942">
        <v>91.829455588857499</v>
      </c>
      <c r="AJ1942">
        <v>90.014621056539099</v>
      </c>
      <c r="AK1942">
        <v>35.098147329289198</v>
      </c>
      <c r="AL1942">
        <v>78.381996866536198</v>
      </c>
      <c r="AM1942">
        <v>87.922246783150797</v>
      </c>
      <c r="AN1942">
        <v>0.99999996311719097</v>
      </c>
    </row>
    <row r="1943" spans="1:40" x14ac:dyDescent="0.25">
      <c r="A1943" t="str">
        <f>"20190303162251838"</f>
        <v>20190303162251838</v>
      </c>
      <c r="B1943" t="str">
        <f>"1551601371826424"</f>
        <v>1551601371826424</v>
      </c>
      <c r="C1943" t="s">
        <v>40</v>
      </c>
      <c r="D1943">
        <v>5.518866</v>
      </c>
      <c r="E1943">
        <v>0.4858674</v>
      </c>
      <c r="F1943" t="s">
        <v>49</v>
      </c>
      <c r="G1943">
        <v>-316.69439999999997</v>
      </c>
      <c r="H1943" s="1">
        <v>5.1676229999999999E-6</v>
      </c>
      <c r="I1943">
        <v>284.82299999999998</v>
      </c>
      <c r="J1943">
        <v>-280.8349</v>
      </c>
      <c r="K1943">
        <v>1.120514</v>
      </c>
      <c r="L1943">
        <v>284.22219999999999</v>
      </c>
      <c r="M1943">
        <v>-0.99974169999999996</v>
      </c>
      <c r="N1943">
        <v>-1.1103760000000001E-2</v>
      </c>
      <c r="O1943">
        <v>1.9834060000000001E-2</v>
      </c>
      <c r="P1943">
        <v>-0.98022569999999998</v>
      </c>
      <c r="Q1943">
        <v>0.1902867</v>
      </c>
      <c r="R1943">
        <v>5.4302139999999999E-2</v>
      </c>
      <c r="S1943">
        <v>-3.0764469999999999</v>
      </c>
      <c r="T1943">
        <v>-9.5646140000000004E-2</v>
      </c>
      <c r="U1943">
        <v>5.160522E-2</v>
      </c>
      <c r="V1943">
        <v>3.492257E-2</v>
      </c>
      <c r="W1943">
        <v>0.20115640000000001</v>
      </c>
      <c r="X1943">
        <v>0.97893640000000004</v>
      </c>
      <c r="Y1943">
        <v>-3.0578929999999999E-3</v>
      </c>
      <c r="Z1943">
        <v>-4.6068329999999997E-4</v>
      </c>
      <c r="AA1943">
        <v>0.99999519999999997</v>
      </c>
      <c r="AB1943">
        <v>31</v>
      </c>
      <c r="AC1943">
        <v>-35.859499999999898</v>
      </c>
      <c r="AD1943">
        <v>-1.1205088323770001</v>
      </c>
      <c r="AE1943">
        <v>0.60079999999999201</v>
      </c>
      <c r="AF1943">
        <v>-0.11049361705137301</v>
      </c>
      <c r="AG1943">
        <v>-1.1205088323770001</v>
      </c>
      <c r="AH1943">
        <v>35.8293885495181</v>
      </c>
      <c r="AI1943">
        <v>91.791244755464007</v>
      </c>
      <c r="AJ1943">
        <v>90.1766928799846</v>
      </c>
      <c r="AK1943">
        <v>35.847075650813998</v>
      </c>
      <c r="AL1943">
        <v>78.395409455452594</v>
      </c>
      <c r="AM1943">
        <v>87.956897192432294</v>
      </c>
      <c r="AN1943">
        <v>0.99999997920066197</v>
      </c>
    </row>
    <row r="1944" spans="1:40" x14ac:dyDescent="0.25">
      <c r="A1944" t="str">
        <f>"20190303162251859"</f>
        <v>20190303162251859</v>
      </c>
      <c r="B1944" t="str">
        <f>"1551601371846919"</f>
        <v>1551601371846919</v>
      </c>
      <c r="C1944" t="s">
        <v>40</v>
      </c>
      <c r="D1944">
        <v>5.5733139999999999</v>
      </c>
      <c r="E1944">
        <v>0.48579650000000002</v>
      </c>
      <c r="F1944" t="s">
        <v>49</v>
      </c>
      <c r="G1944">
        <v>-316.3963</v>
      </c>
      <c r="H1944" s="1">
        <v>5.0384610000000001E-6</v>
      </c>
      <c r="I1944">
        <v>284.78800000000001</v>
      </c>
      <c r="J1944">
        <v>-281.12029999999999</v>
      </c>
      <c r="K1944">
        <v>1.120533</v>
      </c>
      <c r="L1944">
        <v>284.22789999999998</v>
      </c>
      <c r="M1944">
        <v>-0.9997395</v>
      </c>
      <c r="N1944">
        <v>-1.110129E-2</v>
      </c>
      <c r="O1944">
        <v>1.9943780000000001E-2</v>
      </c>
      <c r="P1944">
        <v>-0.98035309999999998</v>
      </c>
      <c r="Q1944">
        <v>0.18984000000000001</v>
      </c>
      <c r="R1944">
        <v>5.3557880000000002E-2</v>
      </c>
      <c r="S1944">
        <v>-3.0766300000000002</v>
      </c>
      <c r="T1944">
        <v>-9.6942070000000005E-2</v>
      </c>
      <c r="U1944">
        <v>4.8950199999999902E-2</v>
      </c>
      <c r="V1944">
        <v>3.4056030000000001E-2</v>
      </c>
      <c r="W1944">
        <v>0.20071079999999999</v>
      </c>
      <c r="X1944">
        <v>0.9790584</v>
      </c>
      <c r="Y1944">
        <v>-4.030479E-3</v>
      </c>
      <c r="Z1944">
        <v>-4.9264179999999999E-4</v>
      </c>
      <c r="AA1944">
        <v>0.99999179999999999</v>
      </c>
      <c r="AB1944">
        <v>31</v>
      </c>
      <c r="AC1944">
        <v>-35.276000000000003</v>
      </c>
      <c r="AD1944">
        <v>-1.120527961539</v>
      </c>
      <c r="AE1944">
        <v>0.56010000000003302</v>
      </c>
      <c r="AF1944">
        <v>-0.14344683334821401</v>
      </c>
      <c r="AG1944">
        <v>-1.120527961539</v>
      </c>
      <c r="AH1944">
        <v>35.2446015687445</v>
      </c>
      <c r="AI1944">
        <v>91.820970324008002</v>
      </c>
      <c r="AJ1944">
        <v>90.233194656413403</v>
      </c>
      <c r="AK1944">
        <v>35.2627012528271</v>
      </c>
      <c r="AL1944">
        <v>78.421472184611503</v>
      </c>
      <c r="AM1944">
        <v>88.007799767412905</v>
      </c>
      <c r="AN1944">
        <v>0.99999999451328003</v>
      </c>
    </row>
    <row r="1945" spans="1:40" x14ac:dyDescent="0.25">
      <c r="A1945" t="str">
        <f>"20190303162251874"</f>
        <v>20190303162251874</v>
      </c>
      <c r="B1945" t="str">
        <f>"1551601371866440"</f>
        <v>1551601371866440</v>
      </c>
      <c r="C1945" t="s">
        <v>40</v>
      </c>
      <c r="D1945">
        <v>5.5657040000000002</v>
      </c>
      <c r="E1945">
        <v>0.48568810000000001</v>
      </c>
      <c r="F1945" t="s">
        <v>49</v>
      </c>
      <c r="G1945">
        <v>-315.82010000000002</v>
      </c>
      <c r="H1945" s="1">
        <v>4.7872770000000003E-6</v>
      </c>
      <c r="I1945">
        <v>284.73860000000002</v>
      </c>
      <c r="J1945">
        <v>-281.3091</v>
      </c>
      <c r="K1945">
        <v>1.120549</v>
      </c>
      <c r="L1945">
        <v>284.23180000000002</v>
      </c>
      <c r="M1945">
        <v>-0.99973849999999997</v>
      </c>
      <c r="N1945">
        <v>-1.109946E-2</v>
      </c>
      <c r="O1945">
        <v>1.9996130000000001E-2</v>
      </c>
      <c r="P1945">
        <v>-0.98046</v>
      </c>
      <c r="Q1945">
        <v>0.18943560000000001</v>
      </c>
      <c r="R1945">
        <v>5.3033629999999998E-2</v>
      </c>
      <c r="S1945">
        <v>-3.0768740000000001</v>
      </c>
      <c r="T1945">
        <v>-9.9358559999999999E-2</v>
      </c>
      <c r="U1945">
        <v>4.5288090000000003E-2</v>
      </c>
      <c r="V1945">
        <v>3.3469859999999997E-2</v>
      </c>
      <c r="W1945">
        <v>0.20030719999999999</v>
      </c>
      <c r="X1945">
        <v>0.97916130000000001</v>
      </c>
      <c r="Y1945">
        <v>-5.2726919999999998E-3</v>
      </c>
      <c r="Z1945">
        <v>-5.3791549999999998E-4</v>
      </c>
      <c r="AA1945">
        <v>0.99998589999999998</v>
      </c>
      <c r="AB1945">
        <v>31</v>
      </c>
      <c r="AC1945">
        <v>-34.511000000000003</v>
      </c>
      <c r="AD1945">
        <v>-1.1205442127230001</v>
      </c>
      <c r="AE1945">
        <v>0.50679999999999803</v>
      </c>
      <c r="AF1945">
        <v>-0.18323712408811399</v>
      </c>
      <c r="AG1945">
        <v>-1.1205442127230001</v>
      </c>
      <c r="AH1945">
        <v>34.477893170928802</v>
      </c>
      <c r="AI1945">
        <v>91.861452417840596</v>
      </c>
      <c r="AJ1945">
        <v>90.304502800206095</v>
      </c>
      <c r="AK1945">
        <v>34.496584072662799</v>
      </c>
      <c r="AL1945">
        <v>78.445076513413994</v>
      </c>
      <c r="AM1945">
        <v>88.042268055725799</v>
      </c>
      <c r="AN1945">
        <v>1.0000000286589701</v>
      </c>
    </row>
    <row r="1946" spans="1:40" x14ac:dyDescent="0.25">
      <c r="A1946" t="str">
        <f>"20190303162251905"</f>
        <v>20190303162251905</v>
      </c>
      <c r="B1946" t="str">
        <f>"1551601371896695"</f>
        <v>1551601371896695</v>
      </c>
      <c r="C1946" t="s">
        <v>40</v>
      </c>
      <c r="D1946">
        <v>5.5699370000000004</v>
      </c>
      <c r="E1946">
        <v>0.48561680000000002</v>
      </c>
      <c r="F1946" t="s">
        <v>49</v>
      </c>
      <c r="G1946">
        <v>-315.2903</v>
      </c>
      <c r="H1946" s="1">
        <v>4.5554700000000003E-6</v>
      </c>
      <c r="I1946">
        <v>284.70260000000002</v>
      </c>
      <c r="J1946">
        <v>-281.74250000000001</v>
      </c>
      <c r="K1946">
        <v>1.120587</v>
      </c>
      <c r="L1946">
        <v>284.2405</v>
      </c>
      <c r="M1946">
        <v>-0.99973699999999999</v>
      </c>
      <c r="N1946">
        <v>-1.1095249999999999E-2</v>
      </c>
      <c r="O1946">
        <v>2.007169E-2</v>
      </c>
      <c r="P1946">
        <v>-0.98036730000000005</v>
      </c>
      <c r="Q1946">
        <v>0.18970190000000001</v>
      </c>
      <c r="R1946">
        <v>5.3787010000000003E-2</v>
      </c>
      <c r="S1946">
        <v>-3.0770870000000001</v>
      </c>
      <c r="T1946">
        <v>-0.1014683</v>
      </c>
      <c r="U1946">
        <v>4.263306E-2</v>
      </c>
      <c r="V1946">
        <v>3.4131330000000001E-2</v>
      </c>
      <c r="W1946">
        <v>0.20057159999999999</v>
      </c>
      <c r="X1946">
        <v>0.97908430000000002</v>
      </c>
      <c r="Y1946">
        <v>-6.210803E-3</v>
      </c>
      <c r="Z1946">
        <v>-5.7576929999999995E-4</v>
      </c>
      <c r="AA1946">
        <v>0.9999806</v>
      </c>
      <c r="AB1946">
        <v>31</v>
      </c>
      <c r="AC1946">
        <v>-33.547799999999903</v>
      </c>
      <c r="AD1946">
        <v>-1.1205824445299899</v>
      </c>
      <c r="AE1946">
        <v>0.46210000000001999</v>
      </c>
      <c r="AF1946">
        <v>-0.21116002833249001</v>
      </c>
      <c r="AG1946">
        <v>-1.1205824445299899</v>
      </c>
      <c r="AH1946">
        <v>33.512932111513798</v>
      </c>
      <c r="AI1946">
        <v>91.915065485240603</v>
      </c>
      <c r="AJ1946">
        <v>90.361007454715605</v>
      </c>
      <c r="AK1946">
        <v>33.532326377444903</v>
      </c>
      <c r="AL1946">
        <v>78.429613261062798</v>
      </c>
      <c r="AM1946">
        <v>88.003451223949099</v>
      </c>
      <c r="AN1946">
        <v>0.99999999046030896</v>
      </c>
    </row>
    <row r="1947" spans="1:40" x14ac:dyDescent="0.25">
      <c r="A1947" t="str">
        <f>"20190303162251925"</f>
        <v>20190303162251925</v>
      </c>
      <c r="B1947" t="str">
        <f>"1551601371916216"</f>
        <v>1551601371916216</v>
      </c>
      <c r="C1947" t="s">
        <v>40</v>
      </c>
      <c r="D1947">
        <v>5.276116</v>
      </c>
      <c r="E1947">
        <v>0.4855931</v>
      </c>
      <c r="F1947" t="s">
        <v>49</v>
      </c>
      <c r="G1947">
        <v>-315.78980000000001</v>
      </c>
      <c r="H1947" s="1">
        <v>4.7733819999999998E-6</v>
      </c>
      <c r="I1947">
        <v>284.7439</v>
      </c>
      <c r="J1947">
        <v>-282.02999999999997</v>
      </c>
      <c r="K1947">
        <v>1.1206179999999999</v>
      </c>
      <c r="L1947">
        <v>284.24619999999999</v>
      </c>
      <c r="M1947">
        <v>-0.99973679999999998</v>
      </c>
      <c r="N1947">
        <v>-1.1092690000000001E-2</v>
      </c>
      <c r="O1947">
        <v>2.0084620000000001E-2</v>
      </c>
      <c r="P1947">
        <v>-0.98035589999999995</v>
      </c>
      <c r="Q1947">
        <v>0.18954070000000001</v>
      </c>
      <c r="R1947">
        <v>5.456217E-2</v>
      </c>
      <c r="S1947">
        <v>-3.0771480000000002</v>
      </c>
      <c r="T1947">
        <v>-0.10127659999999999</v>
      </c>
      <c r="U1947">
        <v>4.5501710000000001E-2</v>
      </c>
      <c r="V1947">
        <v>3.4882589999999998E-2</v>
      </c>
      <c r="W1947">
        <v>0.20040949999999999</v>
      </c>
      <c r="X1947">
        <v>0.97909100000000004</v>
      </c>
      <c r="Y1947">
        <v>-5.2926750000000002E-3</v>
      </c>
      <c r="Z1947">
        <v>-5.5443270000000002E-4</v>
      </c>
      <c r="AA1947">
        <v>0.99998580000000004</v>
      </c>
      <c r="AB1947">
        <v>31</v>
      </c>
      <c r="AC1947">
        <v>-33.759799999999998</v>
      </c>
      <c r="AD1947">
        <v>-1.120613226618</v>
      </c>
      <c r="AE1947">
        <v>0.49770000000000802</v>
      </c>
      <c r="AF1947">
        <v>-0.18029623282792601</v>
      </c>
      <c r="AG1947">
        <v>-1.120613226618</v>
      </c>
      <c r="AH1947">
        <v>33.725834170904797</v>
      </c>
      <c r="AI1947">
        <v>91.903047922691002</v>
      </c>
      <c r="AJ1947">
        <v>90.3062967914518</v>
      </c>
      <c r="AK1947">
        <v>33.744928081989102</v>
      </c>
      <c r="AL1947">
        <v>78.439093208387007</v>
      </c>
      <c r="AM1947">
        <v>87.959556162924699</v>
      </c>
      <c r="AN1947">
        <v>0.99999997452817802</v>
      </c>
    </row>
    <row r="1948" spans="1:40" x14ac:dyDescent="0.25">
      <c r="A1948" t="str">
        <f>"20190303162251947"</f>
        <v>20190303162251947</v>
      </c>
      <c r="B1948" t="str">
        <f>"1551601371936712"</f>
        <v>1551601371936712</v>
      </c>
      <c r="C1948" t="s">
        <v>40</v>
      </c>
      <c r="D1948">
        <v>5.4453860000000001</v>
      </c>
      <c r="E1948">
        <v>0.48554019999999998</v>
      </c>
      <c r="F1948" t="s">
        <v>49</v>
      </c>
      <c r="G1948">
        <v>-315.89640000000003</v>
      </c>
      <c r="H1948" s="1">
        <v>4.8172210000000002E-6</v>
      </c>
      <c r="I1948">
        <v>284.78300000000002</v>
      </c>
      <c r="J1948">
        <v>-282.33089999999999</v>
      </c>
      <c r="K1948">
        <v>1.120636</v>
      </c>
      <c r="L1948">
        <v>284.25229999999999</v>
      </c>
      <c r="M1948">
        <v>-0.99973699999999999</v>
      </c>
      <c r="N1948">
        <v>-1.109052E-2</v>
      </c>
      <c r="O1948">
        <v>2.0074160000000001E-2</v>
      </c>
      <c r="P1948">
        <v>-0.98028249999999995</v>
      </c>
      <c r="Q1948">
        <v>0.1899081</v>
      </c>
      <c r="R1948">
        <v>5.4601230000000001E-2</v>
      </c>
      <c r="S1948">
        <v>-3.0770870000000001</v>
      </c>
      <c r="T1948">
        <v>-0.1018186</v>
      </c>
      <c r="U1948">
        <v>4.8767089999999999E-2</v>
      </c>
      <c r="V1948">
        <v>3.4923410000000002E-2</v>
      </c>
      <c r="W1948">
        <v>0.20077619999999999</v>
      </c>
      <c r="X1948">
        <v>0.97901450000000001</v>
      </c>
      <c r="Y1948">
        <v>-4.2216629999999996E-3</v>
      </c>
      <c r="Z1948">
        <v>-5.3459410000000003E-4</v>
      </c>
      <c r="AA1948">
        <v>0.99999090000000002</v>
      </c>
      <c r="AB1948">
        <v>31</v>
      </c>
      <c r="AC1948">
        <v>-33.5655</v>
      </c>
      <c r="AD1948">
        <v>-1.1206311827790001</v>
      </c>
      <c r="AE1948">
        <v>0.53070000000002404</v>
      </c>
      <c r="AF1948">
        <v>-0.14308814506001699</v>
      </c>
      <c r="AG1948">
        <v>-1.1206311827790001</v>
      </c>
      <c r="AH1948">
        <v>33.532022338870803</v>
      </c>
      <c r="AI1948">
        <v>91.914079760380105</v>
      </c>
      <c r="AJ1948">
        <v>90.244491577828398</v>
      </c>
      <c r="AK1948">
        <v>33.5510478316193</v>
      </c>
      <c r="AL1948">
        <v>78.417647936947404</v>
      </c>
      <c r="AM1948">
        <v>87.957010943376602</v>
      </c>
      <c r="AN1948">
        <v>1.00000005913135</v>
      </c>
    </row>
    <row r="1949" spans="1:40" x14ac:dyDescent="0.25">
      <c r="A1949" t="str">
        <f>"20190303162251970"</f>
        <v>20190303162251970</v>
      </c>
      <c r="B1949" t="str">
        <f>"1551601371966967"</f>
        <v>1551601371966967</v>
      </c>
      <c r="C1949" t="s">
        <v>40</v>
      </c>
      <c r="D1949">
        <v>5.5080589999999896</v>
      </c>
      <c r="E1949">
        <v>0.48556120000000003</v>
      </c>
      <c r="F1949" t="s">
        <v>49</v>
      </c>
      <c r="G1949">
        <v>-316.62689999999998</v>
      </c>
      <c r="H1949" s="1">
        <v>5.1388590000000004E-6</v>
      </c>
      <c r="I1949">
        <v>284.80939999999998</v>
      </c>
      <c r="J1949">
        <v>-282.64580000000001</v>
      </c>
      <c r="K1949">
        <v>1.120663</v>
      </c>
      <c r="L1949">
        <v>284.2586</v>
      </c>
      <c r="M1949">
        <v>-0.99973789999999996</v>
      </c>
      <c r="N1949">
        <v>-1.108893E-2</v>
      </c>
      <c r="O1949">
        <v>2.0034980000000001E-2</v>
      </c>
      <c r="P1949">
        <v>-0.98026159999999996</v>
      </c>
      <c r="Q1949">
        <v>0.1900432</v>
      </c>
      <c r="R1949">
        <v>5.4507229999999997E-2</v>
      </c>
      <c r="S1949">
        <v>-3.077026</v>
      </c>
      <c r="T1949">
        <v>-0.1005427</v>
      </c>
      <c r="U1949">
        <v>4.9987789999999997E-2</v>
      </c>
      <c r="V1949">
        <v>3.4858159999999999E-2</v>
      </c>
      <c r="W1949">
        <v>0.20091110000000001</v>
      </c>
      <c r="X1949">
        <v>0.97898909999999995</v>
      </c>
      <c r="Y1949">
        <v>-3.7861150000000001E-3</v>
      </c>
      <c r="Z1949">
        <v>-5.1506849999999999E-4</v>
      </c>
      <c r="AA1949">
        <v>0.99999269999999996</v>
      </c>
      <c r="AB1949">
        <v>31</v>
      </c>
      <c r="AC1949">
        <v>-33.981099999999898</v>
      </c>
      <c r="AD1949">
        <v>-1.1206578611410001</v>
      </c>
      <c r="AE1949">
        <v>0.55079999999998097</v>
      </c>
      <c r="AF1949">
        <v>-0.130021636268494</v>
      </c>
      <c r="AG1949">
        <v>-1.1206578611410001</v>
      </c>
      <c r="AH1949">
        <v>33.9484016533643</v>
      </c>
      <c r="AI1949">
        <v>91.890668913897002</v>
      </c>
      <c r="AJ1949">
        <v>90.219440510163395</v>
      </c>
      <c r="AK1949">
        <v>33.967142277291799</v>
      </c>
      <c r="AL1949">
        <v>78.409757384032901</v>
      </c>
      <c r="AM1949">
        <v>87.960771924016697</v>
      </c>
      <c r="AN1949">
        <v>1.0000000096702999</v>
      </c>
    </row>
    <row r="1950" spans="1:40" x14ac:dyDescent="0.25">
      <c r="A1950" t="str">
        <f>"20190303162251992"</f>
        <v>20190303162251992</v>
      </c>
      <c r="B1950" t="str">
        <f>"1551601371986488"</f>
        <v>1551601371986488</v>
      </c>
      <c r="C1950" t="s">
        <v>40</v>
      </c>
      <c r="D1950">
        <v>5.4493019999999897</v>
      </c>
      <c r="E1950">
        <v>0.48554130000000001</v>
      </c>
      <c r="F1950" t="s">
        <v>49</v>
      </c>
      <c r="G1950">
        <v>-317.24610000000001</v>
      </c>
      <c r="H1950" s="1">
        <v>5.4114749999999997E-6</v>
      </c>
      <c r="I1950">
        <v>284.83210000000003</v>
      </c>
      <c r="J1950">
        <v>-282.95429999999999</v>
      </c>
      <c r="K1950">
        <v>1.120679</v>
      </c>
      <c r="L1950">
        <v>284.2647</v>
      </c>
      <c r="M1950">
        <v>-0.99973909999999999</v>
      </c>
      <c r="N1950">
        <v>-1.108657E-2</v>
      </c>
      <c r="O1950">
        <v>1.9975380000000001E-2</v>
      </c>
      <c r="P1950">
        <v>-0.98037830000000004</v>
      </c>
      <c r="Q1950">
        <v>0.18974730000000001</v>
      </c>
      <c r="R1950">
        <v>5.3427019999999999E-2</v>
      </c>
      <c r="S1950">
        <v>-3.0768740000000001</v>
      </c>
      <c r="T1950">
        <v>-9.9655869999999994E-2</v>
      </c>
      <c r="U1950">
        <v>5.0994869999999998E-2</v>
      </c>
      <c r="V1950">
        <v>3.382566E-2</v>
      </c>
      <c r="W1950">
        <v>0.2006155</v>
      </c>
      <c r="X1950">
        <v>0.97908589999999995</v>
      </c>
      <c r="Y1950">
        <v>-3.3989319999999999E-3</v>
      </c>
      <c r="Z1950">
        <v>-4.9914619999999997E-4</v>
      </c>
      <c r="AA1950">
        <v>0.9999941</v>
      </c>
      <c r="AB1950">
        <v>31</v>
      </c>
      <c r="AC1950">
        <v>-34.291800000000002</v>
      </c>
      <c r="AD1950">
        <v>-1.1206735885250001</v>
      </c>
      <c r="AE1950">
        <v>0.56740000000002</v>
      </c>
      <c r="AF1950">
        <v>-0.117621408344391</v>
      </c>
      <c r="AG1950">
        <v>-1.1206735885250001</v>
      </c>
      <c r="AH1950">
        <v>34.259711817127098</v>
      </c>
      <c r="AI1950">
        <v>91.873530109106198</v>
      </c>
      <c r="AJ1950">
        <v>90.196708712443197</v>
      </c>
      <c r="AK1950">
        <v>34.278237963470602</v>
      </c>
      <c r="AL1950">
        <v>78.427045631617204</v>
      </c>
      <c r="AM1950">
        <v>88.021320672242993</v>
      </c>
      <c r="AN1950">
        <v>0.99999997684674702</v>
      </c>
    </row>
    <row r="1951" spans="1:40" x14ac:dyDescent="0.25">
      <c r="A1951" t="str">
        <f>"20190303162252014"</f>
        <v>20190303162252014</v>
      </c>
      <c r="B1951" t="str">
        <f>"1551601372006008"</f>
        <v>1551601372006008</v>
      </c>
      <c r="C1951" t="s">
        <v>40</v>
      </c>
      <c r="D1951">
        <v>5.5073800000000004</v>
      </c>
      <c r="E1951">
        <v>0.48555009999999998</v>
      </c>
      <c r="F1951" t="s">
        <v>49</v>
      </c>
      <c r="G1951">
        <v>-317.26929999999999</v>
      </c>
      <c r="H1951" s="1">
        <v>5.4240390000000001E-6</v>
      </c>
      <c r="I1951">
        <v>284.80590000000001</v>
      </c>
      <c r="J1951">
        <v>-283.25819999999999</v>
      </c>
      <c r="K1951">
        <v>1.120684</v>
      </c>
      <c r="L1951">
        <v>284.27069999999998</v>
      </c>
      <c r="M1951">
        <v>-0.99974059999999998</v>
      </c>
      <c r="N1951">
        <v>-1.1081199999999999E-2</v>
      </c>
      <c r="O1951">
        <v>1.99031E-2</v>
      </c>
      <c r="P1951">
        <v>-0.9805393</v>
      </c>
      <c r="Q1951">
        <v>0.1892693</v>
      </c>
      <c r="R1951">
        <v>5.2156639999999997E-2</v>
      </c>
      <c r="S1951">
        <v>-3.076813</v>
      </c>
      <c r="T1951">
        <v>-0.1004839</v>
      </c>
      <c r="U1951">
        <v>4.8522950000000002E-2</v>
      </c>
      <c r="V1951">
        <v>3.261638E-2</v>
      </c>
      <c r="W1951">
        <v>0.2001348</v>
      </c>
      <c r="X1951">
        <v>0.97922529999999997</v>
      </c>
      <c r="Y1951">
        <v>-4.1288319999999998E-3</v>
      </c>
      <c r="Z1951">
        <v>-5.1949370000000002E-4</v>
      </c>
      <c r="AA1951">
        <v>0.99999139999999997</v>
      </c>
      <c r="AB1951">
        <v>31</v>
      </c>
      <c r="AC1951">
        <v>-34.011099999999999</v>
      </c>
      <c r="AD1951">
        <v>-1.1206785759610001</v>
      </c>
      <c r="AE1951">
        <v>0.53520000000003098</v>
      </c>
      <c r="AF1951">
        <v>-0.14172002116309099</v>
      </c>
      <c r="AG1951">
        <v>-1.1206785759610001</v>
      </c>
      <c r="AH1951">
        <v>33.978132976700202</v>
      </c>
      <c r="AI1951">
        <v>91.889048069936393</v>
      </c>
      <c r="AJ1951">
        <v>90.238974637151301</v>
      </c>
      <c r="AK1951">
        <v>33.9969046475901</v>
      </c>
      <c r="AL1951">
        <v>78.455157855992397</v>
      </c>
      <c r="AM1951">
        <v>88.092277361823506</v>
      </c>
      <c r="AN1951">
        <v>0.99999997728771695</v>
      </c>
    </row>
    <row r="1952" spans="1:40" x14ac:dyDescent="0.25">
      <c r="A1952" t="str">
        <f>"20190303162252036"</f>
        <v>20190303162252036</v>
      </c>
      <c r="B1952" t="str">
        <f>"1551601372026504"</f>
        <v>1551601372026504</v>
      </c>
      <c r="C1952" t="s">
        <v>40</v>
      </c>
      <c r="D1952">
        <v>5.5119199999999999</v>
      </c>
      <c r="E1952">
        <v>0.48553000000000002</v>
      </c>
      <c r="F1952" t="s">
        <v>49</v>
      </c>
      <c r="G1952">
        <v>-317.07940000000002</v>
      </c>
      <c r="H1952" s="1">
        <v>5.3422640000000004E-6</v>
      </c>
      <c r="I1952">
        <v>284.7783</v>
      </c>
      <c r="J1952">
        <v>-283.55419999999998</v>
      </c>
      <c r="K1952">
        <v>1.120692</v>
      </c>
      <c r="L1952">
        <v>284.2765</v>
      </c>
      <c r="M1952">
        <v>-0.99974220000000003</v>
      </c>
      <c r="N1952">
        <v>-1.107386E-2</v>
      </c>
      <c r="O1952">
        <v>1.982505E-2</v>
      </c>
      <c r="P1952">
        <v>-0.98077630000000005</v>
      </c>
      <c r="Q1952">
        <v>0.18867800000000001</v>
      </c>
      <c r="R1952">
        <v>4.9784580000000002E-2</v>
      </c>
      <c r="S1952">
        <v>-3.0767519999999999</v>
      </c>
      <c r="T1952">
        <v>-0.1019492</v>
      </c>
      <c r="U1952">
        <v>4.6173100000000002E-2</v>
      </c>
      <c r="V1952">
        <v>3.0311850000000001E-2</v>
      </c>
      <c r="W1952">
        <v>0.1995391</v>
      </c>
      <c r="X1952">
        <v>0.97942090000000004</v>
      </c>
      <c r="Y1952">
        <v>-4.8132319999999998E-3</v>
      </c>
      <c r="Z1952">
        <v>-5.4350320000000004E-4</v>
      </c>
      <c r="AA1952">
        <v>0.99998830000000005</v>
      </c>
      <c r="AB1952">
        <v>31</v>
      </c>
      <c r="AC1952">
        <v>-33.525199999999998</v>
      </c>
      <c r="AD1952">
        <v>-1.120686657736</v>
      </c>
      <c r="AE1952">
        <v>0.50180000000000202</v>
      </c>
      <c r="AF1952">
        <v>-0.16279623820821401</v>
      </c>
      <c r="AG1952">
        <v>-1.120686657736</v>
      </c>
      <c r="AH1952">
        <v>33.491143032338499</v>
      </c>
      <c r="AI1952">
        <v>91.916503955360099</v>
      </c>
      <c r="AJ1952">
        <v>90.278505391648693</v>
      </c>
      <c r="AK1952">
        <v>33.5102835382298</v>
      </c>
      <c r="AL1952">
        <v>78.489991610356896</v>
      </c>
      <c r="AM1952">
        <v>88.227333218335801</v>
      </c>
      <c r="AN1952">
        <v>0.99999998001802104</v>
      </c>
    </row>
    <row r="1953" spans="1:40" x14ac:dyDescent="0.25">
      <c r="A1953" t="str">
        <f>"20190303162252059"</f>
        <v>20190303162252059</v>
      </c>
      <c r="B1953" t="str">
        <f>"1551601372046023"</f>
        <v>1551601372046023</v>
      </c>
      <c r="C1953" t="s">
        <v>40</v>
      </c>
      <c r="D1953">
        <v>5.4443799999999998</v>
      </c>
      <c r="E1953">
        <v>0.48553580000000002</v>
      </c>
      <c r="F1953" t="s">
        <v>49</v>
      </c>
      <c r="G1953">
        <v>-316.81009999999998</v>
      </c>
      <c r="H1953" s="1">
        <v>5.228861E-6</v>
      </c>
      <c r="I1953">
        <v>284.70920000000001</v>
      </c>
      <c r="J1953">
        <v>-283.8734</v>
      </c>
      <c r="K1953">
        <v>1.1206910000000001</v>
      </c>
      <c r="L1953">
        <v>284.28269999999998</v>
      </c>
      <c r="M1953">
        <v>-0.99974410000000002</v>
      </c>
      <c r="N1953">
        <v>-1.106528E-2</v>
      </c>
      <c r="O1953">
        <v>1.9735240000000001E-2</v>
      </c>
      <c r="P1953">
        <v>-0.98113700000000004</v>
      </c>
      <c r="Q1953">
        <v>0.1878417</v>
      </c>
      <c r="R1953">
        <v>4.5671570000000002E-2</v>
      </c>
      <c r="S1953">
        <v>-3.076721</v>
      </c>
      <c r="T1953">
        <v>-0.103682</v>
      </c>
      <c r="U1953">
        <v>4.0039060000000001E-2</v>
      </c>
      <c r="V1953">
        <v>2.6277499999999999E-2</v>
      </c>
      <c r="W1953">
        <v>0.19869700000000001</v>
      </c>
      <c r="X1953">
        <v>0.97970860000000004</v>
      </c>
      <c r="Y1953">
        <v>-6.7147519999999896E-3</v>
      </c>
      <c r="Z1953">
        <v>-5.9670540000000003E-4</v>
      </c>
      <c r="AA1953">
        <v>0.99997729999999996</v>
      </c>
      <c r="AB1953">
        <v>31</v>
      </c>
      <c r="AC1953">
        <v>-32.936699999999902</v>
      </c>
      <c r="AD1953">
        <v>-1.1206857711389999</v>
      </c>
      <c r="AE1953">
        <v>0.42650000000003202</v>
      </c>
      <c r="AF1953">
        <v>-0.22337792327318701</v>
      </c>
      <c r="AG1953">
        <v>-1.1206857711389999</v>
      </c>
      <c r="AH1953">
        <v>32.900618427383897</v>
      </c>
      <c r="AI1953">
        <v>91.950852996216199</v>
      </c>
      <c r="AJ1953">
        <v>90.389002280141199</v>
      </c>
      <c r="AK1953">
        <v>32.920457578814897</v>
      </c>
      <c r="AL1953">
        <v>78.539226205127406</v>
      </c>
      <c r="AM1953">
        <v>88.463595238114294</v>
      </c>
      <c r="AN1953">
        <v>0.99999997286460396</v>
      </c>
    </row>
    <row r="1954" spans="1:40" x14ac:dyDescent="0.25">
      <c r="A1954" t="str">
        <f>"20190303162252083"</f>
        <v>20190303162252083</v>
      </c>
      <c r="B1954" t="str">
        <f>"1551601372076280"</f>
        <v>1551601372076280</v>
      </c>
      <c r="C1954" t="s">
        <v>40</v>
      </c>
      <c r="D1954">
        <v>5.1303970000000003</v>
      </c>
      <c r="E1954">
        <v>0.48557450000000002</v>
      </c>
      <c r="F1954" t="s">
        <v>49</v>
      </c>
      <c r="G1954">
        <v>-316.39170000000001</v>
      </c>
      <c r="H1954" s="1">
        <v>5.0536479999999998E-6</v>
      </c>
      <c r="I1954">
        <v>284.59100000000001</v>
      </c>
      <c r="J1954">
        <v>-284.19080000000002</v>
      </c>
      <c r="K1954">
        <v>1.1206959999999999</v>
      </c>
      <c r="L1954">
        <v>284.28879999999998</v>
      </c>
      <c r="M1954">
        <v>-0.99974609999999997</v>
      </c>
      <c r="N1954">
        <v>-1.105706E-2</v>
      </c>
      <c r="O1954">
        <v>1.9642079999999999E-2</v>
      </c>
      <c r="P1954">
        <v>-0.98152059999999997</v>
      </c>
      <c r="Q1954">
        <v>0.18695210000000001</v>
      </c>
      <c r="R1954">
        <v>4.082235E-2</v>
      </c>
      <c r="S1954">
        <v>-3.0765989999999999</v>
      </c>
      <c r="T1954">
        <v>-0.1060295</v>
      </c>
      <c r="U1954">
        <v>2.9174800000000001E-2</v>
      </c>
      <c r="V1954">
        <v>2.1511260000000001E-2</v>
      </c>
      <c r="W1954">
        <v>0.19780300000000001</v>
      </c>
      <c r="X1954">
        <v>0.98000569999999998</v>
      </c>
      <c r="Y1954">
        <v>-1.01485E-2</v>
      </c>
      <c r="Z1954">
        <v>-6.9045809999999995E-4</v>
      </c>
      <c r="AA1954">
        <v>0.99994830000000001</v>
      </c>
      <c r="AB1954">
        <v>31</v>
      </c>
      <c r="AC1954">
        <v>-32.200899999999898</v>
      </c>
      <c r="AD1954">
        <v>-1.1206909463519901</v>
      </c>
      <c r="AE1954">
        <v>0.302200000000027</v>
      </c>
      <c r="AF1954">
        <v>-0.32998985753173699</v>
      </c>
      <c r="AG1954">
        <v>-1.1206909463519901</v>
      </c>
      <c r="AH1954">
        <v>32.161670541364302</v>
      </c>
      <c r="AI1954">
        <v>91.995590252111498</v>
      </c>
      <c r="AJ1954">
        <v>90.587853875909602</v>
      </c>
      <c r="AK1954">
        <v>32.182881995162802</v>
      </c>
      <c r="AL1954">
        <v>78.591485840212897</v>
      </c>
      <c r="AM1954">
        <v>88.742551677511898</v>
      </c>
      <c r="AN1954">
        <v>0.99999996657413803</v>
      </c>
    </row>
    <row r="1955" spans="1:40" x14ac:dyDescent="0.25">
      <c r="A1955" t="str">
        <f>"20190303162252106"</f>
        <v>20190303162252106</v>
      </c>
      <c r="B1955" t="str">
        <f>"1551601372096775"</f>
        <v>1551601372096775</v>
      </c>
      <c r="C1955" t="s">
        <v>40</v>
      </c>
      <c r="D1955">
        <v>5.5076499999999999</v>
      </c>
      <c r="E1955">
        <v>0.48559020000000003</v>
      </c>
      <c r="F1955" t="s">
        <v>49</v>
      </c>
      <c r="G1955">
        <v>-315.81240000000003</v>
      </c>
      <c r="H1955" s="1">
        <v>4.8091810000000002E-6</v>
      </c>
      <c r="I1955">
        <v>284.44909999999999</v>
      </c>
      <c r="J1955">
        <v>-284.50709999999998</v>
      </c>
      <c r="K1955">
        <v>1.120695</v>
      </c>
      <c r="L1955">
        <v>284.29489999999998</v>
      </c>
      <c r="M1955">
        <v>-0.99974790000000002</v>
      </c>
      <c r="N1955">
        <v>-1.1049750000000001E-2</v>
      </c>
      <c r="O1955">
        <v>1.9549629999999998E-2</v>
      </c>
      <c r="P1955">
        <v>-0.98163270000000002</v>
      </c>
      <c r="Q1955">
        <v>0.18757579999999999</v>
      </c>
      <c r="R1955">
        <v>3.4825839999999997E-2</v>
      </c>
      <c r="S1955">
        <v>-3.0765989999999999</v>
      </c>
      <c r="T1955">
        <v>-0.1090367</v>
      </c>
      <c r="U1955">
        <v>1.5594480000000001E-2</v>
      </c>
      <c r="V1955">
        <v>1.560311E-2</v>
      </c>
      <c r="W1955">
        <v>0.1984185</v>
      </c>
      <c r="X1955">
        <v>0.97999320000000001</v>
      </c>
      <c r="Y1955">
        <v>-1.446514E-2</v>
      </c>
      <c r="Z1955">
        <v>-8.1279710000000001E-4</v>
      </c>
      <c r="AA1955">
        <v>0.99989499999999998</v>
      </c>
      <c r="AB1955">
        <v>31</v>
      </c>
      <c r="AC1955">
        <v>-31.305299999999999</v>
      </c>
      <c r="AD1955">
        <v>-1.1206901908189999</v>
      </c>
      <c r="AE1955">
        <v>0.154200000000003</v>
      </c>
      <c r="AF1955">
        <v>-0.45728780244565898</v>
      </c>
      <c r="AG1955">
        <v>-1.1206901908189999</v>
      </c>
      <c r="AH1955">
        <v>31.2622680064433</v>
      </c>
      <c r="AI1955">
        <v>92.052841286403606</v>
      </c>
      <c r="AJ1955">
        <v>90.838032374420493</v>
      </c>
      <c r="AK1955">
        <v>31.285690971189201</v>
      </c>
      <c r="AL1955">
        <v>78.555507739078095</v>
      </c>
      <c r="AM1955">
        <v>89.087833650563496</v>
      </c>
      <c r="AN1955">
        <v>1.0000000151150801</v>
      </c>
    </row>
    <row r="1956" spans="1:40" x14ac:dyDescent="0.25">
      <c r="A1956" t="str">
        <f>"20190303162252127"</f>
        <v>20190303162252127</v>
      </c>
      <c r="B1956" t="str">
        <f>"1551601372116297"</f>
        <v>1551601372116297</v>
      </c>
      <c r="C1956" t="s">
        <v>40</v>
      </c>
      <c r="D1956">
        <v>5.5679299999999996</v>
      </c>
      <c r="E1956">
        <v>0.48564020000000002</v>
      </c>
      <c r="F1956" t="s">
        <v>49</v>
      </c>
      <c r="G1956">
        <v>-316.6859</v>
      </c>
      <c r="H1956" s="1">
        <v>5.2124439999999998E-6</v>
      </c>
      <c r="I1956">
        <v>284.26679999999999</v>
      </c>
      <c r="J1956">
        <v>-284.79759999999999</v>
      </c>
      <c r="K1956">
        <v>1.1206940000000001</v>
      </c>
      <c r="L1956">
        <v>284.3005</v>
      </c>
      <c r="M1956">
        <v>-0.99974960000000002</v>
      </c>
      <c r="N1956">
        <v>-1.104392E-2</v>
      </c>
      <c r="O1956">
        <v>1.9465E-2</v>
      </c>
      <c r="P1956">
        <v>-0.98177519999999996</v>
      </c>
      <c r="Q1956">
        <v>0.18789700000000001</v>
      </c>
      <c r="R1956">
        <v>2.8501370000000002E-2</v>
      </c>
      <c r="S1956">
        <v>-3.0766909999999998</v>
      </c>
      <c r="T1956">
        <v>-0.107152</v>
      </c>
      <c r="U1956">
        <v>-2.6855469999999999E-3</v>
      </c>
      <c r="V1956">
        <v>9.3592060000000001E-3</v>
      </c>
      <c r="W1956">
        <v>0.19873350000000001</v>
      </c>
      <c r="X1956">
        <v>0.98000889999999996</v>
      </c>
      <c r="Y1956">
        <v>-2.0317160000000001E-2</v>
      </c>
      <c r="Z1956">
        <v>-9.2865479999999995E-4</v>
      </c>
      <c r="AA1956">
        <v>0.99979320000000005</v>
      </c>
      <c r="AB1956">
        <v>31</v>
      </c>
      <c r="AC1956">
        <v>-31.888300000000001</v>
      </c>
      <c r="AD1956">
        <v>-1.1206887875560001</v>
      </c>
      <c r="AE1956">
        <v>-3.3700000000010201E-2</v>
      </c>
      <c r="AF1956">
        <v>-0.65362988713857295</v>
      </c>
      <c r="AG1956">
        <v>-1.1206887875560001</v>
      </c>
      <c r="AH1956">
        <v>31.842272844113602</v>
      </c>
      <c r="AI1956">
        <v>92.015268769516894</v>
      </c>
      <c r="AJ1956">
        <v>91.175951709552393</v>
      </c>
      <c r="AK1956">
        <v>31.868691772127899</v>
      </c>
      <c r="AL1956">
        <v>78.537092918425401</v>
      </c>
      <c r="AM1956">
        <v>89.452834865448807</v>
      </c>
      <c r="AN1956">
        <v>1.0000000214192</v>
      </c>
    </row>
    <row r="1957" spans="1:40" x14ac:dyDescent="0.25">
      <c r="A1957" t="str">
        <f>"20190303162252149"</f>
        <v>20190303162252149</v>
      </c>
      <c r="B1957" t="str">
        <f>"1551601372136792"</f>
        <v>1551601372136792</v>
      </c>
      <c r="C1957" t="s">
        <v>40</v>
      </c>
      <c r="D1957">
        <v>5.6250229999999997</v>
      </c>
      <c r="E1957">
        <v>0.48579499999999998</v>
      </c>
      <c r="F1957" t="s">
        <v>49</v>
      </c>
      <c r="G1957">
        <v>-317.38690000000003</v>
      </c>
      <c r="H1957" s="1">
        <v>5.5393499999999997E-6</v>
      </c>
      <c r="I1957">
        <v>284.08359999999999</v>
      </c>
      <c r="J1957">
        <v>-285.10169999999999</v>
      </c>
      <c r="K1957">
        <v>1.120687</v>
      </c>
      <c r="L1957">
        <v>284.30630000000002</v>
      </c>
      <c r="M1957">
        <v>-0.99975130000000001</v>
      </c>
      <c r="N1957">
        <v>-1.1038859999999999E-2</v>
      </c>
      <c r="O1957">
        <v>1.9377510000000001E-2</v>
      </c>
      <c r="P1957">
        <v>-0.98231380000000001</v>
      </c>
      <c r="Q1957">
        <v>0.18587709999999999</v>
      </c>
      <c r="R1957">
        <v>2.2567770000000001E-2</v>
      </c>
      <c r="S1957">
        <v>-3.0765380000000002</v>
      </c>
      <c r="T1957">
        <v>-0.1057968</v>
      </c>
      <c r="U1957">
        <v>-2.0477289999999999E-2</v>
      </c>
      <c r="V1957">
        <v>3.5015480000000002E-3</v>
      </c>
      <c r="W1957">
        <v>0.19671279999999999</v>
      </c>
      <c r="X1957">
        <v>0.98045490000000002</v>
      </c>
      <c r="Y1957">
        <v>-2.6007240000000001E-2</v>
      </c>
      <c r="Z1957">
        <v>-1.042903E-3</v>
      </c>
      <c r="AA1957">
        <v>0.99966120000000003</v>
      </c>
      <c r="AB1957">
        <v>31</v>
      </c>
      <c r="AC1957">
        <v>-32.285200000000003</v>
      </c>
      <c r="AD1957">
        <v>-1.12068146065</v>
      </c>
      <c r="AE1957">
        <v>-0.22270000000003101</v>
      </c>
      <c r="AF1957">
        <v>-0.84728222806250697</v>
      </c>
      <c r="AG1957">
        <v>-1.12068146065</v>
      </c>
      <c r="AH1957">
        <v>32.2359818471799</v>
      </c>
      <c r="AI1957">
        <v>91.990394695905394</v>
      </c>
      <c r="AJ1957">
        <v>91.505600839539298</v>
      </c>
      <c r="AK1957">
        <v>32.266582399782401</v>
      </c>
      <c r="AL1957">
        <v>78.655201985499204</v>
      </c>
      <c r="AM1957">
        <v>89.795377564828797</v>
      </c>
      <c r="AN1957">
        <v>0.99999999872812295</v>
      </c>
    </row>
    <row r="1958" spans="1:40" x14ac:dyDescent="0.25">
      <c r="A1958" t="str">
        <f>"20190303162252171"</f>
        <v>20190303162252171</v>
      </c>
      <c r="B1958" t="str">
        <f>"1551601372166072"</f>
        <v>1551601372166072</v>
      </c>
      <c r="C1958" t="s">
        <v>40</v>
      </c>
      <c r="D1958">
        <v>5.6112080000000004</v>
      </c>
      <c r="E1958">
        <v>0.48606700000000003</v>
      </c>
      <c r="F1958" t="s">
        <v>49</v>
      </c>
      <c r="G1958">
        <v>-315.83089999999999</v>
      </c>
      <c r="H1958" s="1">
        <v>4.8605509999999998E-6</v>
      </c>
      <c r="I1958">
        <v>283.95510000000002</v>
      </c>
      <c r="J1958">
        <v>-285.42599999999999</v>
      </c>
      <c r="K1958">
        <v>1.120679</v>
      </c>
      <c r="L1958">
        <v>284.31240000000003</v>
      </c>
      <c r="M1958">
        <v>-0.99975320000000001</v>
      </c>
      <c r="N1958">
        <v>-1.103462E-2</v>
      </c>
      <c r="O1958">
        <v>1.9284889999999999E-2</v>
      </c>
      <c r="P1958">
        <v>-0.98286070000000003</v>
      </c>
      <c r="Q1958">
        <v>0.18347189999999999</v>
      </c>
      <c r="R1958">
        <v>1.7983470000000001E-2</v>
      </c>
      <c r="S1958">
        <v>-3.07605</v>
      </c>
      <c r="T1958">
        <v>-0.1121823</v>
      </c>
      <c r="U1958">
        <v>-3.515625E-2</v>
      </c>
      <c r="V1958">
        <v>-1.0017470000000001E-3</v>
      </c>
      <c r="W1958">
        <v>0.1943078</v>
      </c>
      <c r="X1958">
        <v>0.98094009999999998</v>
      </c>
      <c r="Y1958">
        <v>-3.0678150000000001E-2</v>
      </c>
      <c r="Z1958">
        <v>-1.218837E-3</v>
      </c>
      <c r="AA1958">
        <v>0.99952859999999999</v>
      </c>
      <c r="AB1958">
        <v>31</v>
      </c>
      <c r="AC1958">
        <v>-30.404900000000001</v>
      </c>
      <c r="AD1958">
        <v>-1.1206741394490001</v>
      </c>
      <c r="AE1958">
        <v>-0.357300000000009</v>
      </c>
      <c r="AF1958">
        <v>-0.94234432649924205</v>
      </c>
      <c r="AG1958">
        <v>-1.1206741394490001</v>
      </c>
      <c r="AH1958">
        <v>30.351126536917999</v>
      </c>
      <c r="AI1958">
        <v>92.113590665798796</v>
      </c>
      <c r="AJ1958">
        <v>91.778352888235602</v>
      </c>
      <c r="AK1958">
        <v>30.386424689596598</v>
      </c>
      <c r="AL1958">
        <v>78.795709985675103</v>
      </c>
      <c r="AM1958">
        <v>90.058511070439096</v>
      </c>
      <c r="AN1958">
        <v>1.00000000221295</v>
      </c>
    </row>
    <row r="1959" spans="1:40" x14ac:dyDescent="0.25">
      <c r="A1959" t="str">
        <f>"20190303162252195"</f>
        <v>20190303162252195</v>
      </c>
      <c r="B1959" t="str">
        <f>"1551601372186568"</f>
        <v>1551601372186568</v>
      </c>
      <c r="C1959" t="s">
        <v>40</v>
      </c>
      <c r="D1959">
        <v>5.6175810000000004</v>
      </c>
      <c r="E1959">
        <v>0.48630299999999999</v>
      </c>
      <c r="F1959" t="s">
        <v>49</v>
      </c>
      <c r="G1959">
        <v>-314.2405</v>
      </c>
      <c r="H1959" s="1">
        <v>4.1607720000000001E-6</v>
      </c>
      <c r="I1959">
        <v>283.89240000000001</v>
      </c>
      <c r="J1959">
        <v>-285.73349999999999</v>
      </c>
      <c r="K1959">
        <v>1.120673</v>
      </c>
      <c r="L1959">
        <v>284.31819999999999</v>
      </c>
      <c r="M1959">
        <v>-0.99975480000000005</v>
      </c>
      <c r="N1959">
        <v>-1.1031630000000001E-2</v>
      </c>
      <c r="O1959">
        <v>1.9197570000000001E-2</v>
      </c>
      <c r="P1959">
        <v>-0.98313669999999997</v>
      </c>
      <c r="Q1959">
        <v>0.18227869999999999</v>
      </c>
      <c r="R1959">
        <v>1.472244E-2</v>
      </c>
      <c r="S1959">
        <v>-3.0754389999999998</v>
      </c>
      <c r="T1959">
        <v>-0.1196123</v>
      </c>
      <c r="U1959">
        <v>-4.483032E-2</v>
      </c>
      <c r="V1959">
        <v>-4.1820290000000003E-3</v>
      </c>
      <c r="W1959">
        <v>0.1931139</v>
      </c>
      <c r="X1959">
        <v>0.98116740000000002</v>
      </c>
      <c r="Y1959">
        <v>-3.3729170000000003E-2</v>
      </c>
      <c r="Z1959">
        <v>-1.376373E-3</v>
      </c>
      <c r="AA1959">
        <v>0.99943009999999999</v>
      </c>
      <c r="AB1959">
        <v>31</v>
      </c>
      <c r="AC1959">
        <v>-28.507000000000001</v>
      </c>
      <c r="AD1959">
        <v>-1.120668839228</v>
      </c>
      <c r="AE1959">
        <v>-0.42579999999998103</v>
      </c>
      <c r="AF1959">
        <v>-0.97151889001149405</v>
      </c>
      <c r="AG1959">
        <v>-1.120668839228</v>
      </c>
      <c r="AH1959">
        <v>28.449613668088599</v>
      </c>
      <c r="AI1959">
        <v>92.254479357290506</v>
      </c>
      <c r="AJ1959">
        <v>91.955819527987799</v>
      </c>
      <c r="AK1959">
        <v>28.488247848268198</v>
      </c>
      <c r="AL1959">
        <v>78.865435733597593</v>
      </c>
      <c r="AM1959">
        <v>90.244210274910799</v>
      </c>
      <c r="AN1959">
        <v>0.99999996728126295</v>
      </c>
    </row>
    <row r="1960" spans="1:40" x14ac:dyDescent="0.25">
      <c r="A1960" t="str">
        <f>"20190303162252217"</f>
        <v>20190303162252217</v>
      </c>
      <c r="B1960" t="str">
        <f>"1551601372206674"</f>
        <v>1551601372206674</v>
      </c>
      <c r="C1960" t="s">
        <v>40</v>
      </c>
      <c r="D1960">
        <v>5.6131970000000004</v>
      </c>
      <c r="E1960">
        <v>0.4865157</v>
      </c>
      <c r="F1960" t="s">
        <v>49</v>
      </c>
      <c r="G1960">
        <v>-313.72930000000002</v>
      </c>
      <c r="H1960" s="1">
        <v>3.9368640000000002E-6</v>
      </c>
      <c r="I1960">
        <v>283.86070000000001</v>
      </c>
      <c r="J1960">
        <v>-286.04169999999999</v>
      </c>
      <c r="K1960">
        <v>1.1206689999999999</v>
      </c>
      <c r="L1960">
        <v>284.32400000000001</v>
      </c>
      <c r="M1960">
        <v>-0.9997566</v>
      </c>
      <c r="N1960">
        <v>-1.1029590000000001E-2</v>
      </c>
      <c r="O1960">
        <v>1.9109890000000001E-2</v>
      </c>
      <c r="P1960">
        <v>-0.98316899999999996</v>
      </c>
      <c r="Q1960">
        <v>0.18231269999999999</v>
      </c>
      <c r="R1960">
        <v>1.188007E-2</v>
      </c>
      <c r="S1960">
        <v>-3.075043</v>
      </c>
      <c r="T1960">
        <v>-0.1230932</v>
      </c>
      <c r="U1960">
        <v>-5.026245E-2</v>
      </c>
      <c r="V1960">
        <v>-6.9385790000000003E-3</v>
      </c>
      <c r="W1960">
        <v>0.19314529999999999</v>
      </c>
      <c r="X1960">
        <v>0.98114559999999995</v>
      </c>
      <c r="Y1960">
        <v>-3.5404430000000001E-2</v>
      </c>
      <c r="Z1960">
        <v>-1.457547E-3</v>
      </c>
      <c r="AA1960">
        <v>0.99937200000000004</v>
      </c>
      <c r="AB1960">
        <v>31</v>
      </c>
      <c r="AC1960">
        <v>-27.6876</v>
      </c>
      <c r="AD1960">
        <v>-1.120665063136</v>
      </c>
      <c r="AE1960">
        <v>-0.46330000000000299</v>
      </c>
      <c r="AF1960">
        <v>-0.99073192126837795</v>
      </c>
      <c r="AG1960">
        <v>-1.120665063136</v>
      </c>
      <c r="AH1960">
        <v>27.628439473954899</v>
      </c>
      <c r="AI1960">
        <v>92.321268410977893</v>
      </c>
      <c r="AJ1960">
        <v>92.053697085711704</v>
      </c>
      <c r="AK1960">
        <v>27.6689014543322</v>
      </c>
      <c r="AL1960">
        <v>78.863602151278798</v>
      </c>
      <c r="AM1960">
        <v>90.405184169681704</v>
      </c>
      <c r="AN1960">
        <v>0.99999996959499404</v>
      </c>
    </row>
    <row r="1961" spans="1:40" x14ac:dyDescent="0.25">
      <c r="A1961" t="str">
        <f>"20190303162252238"</f>
        <v>20190303162252238</v>
      </c>
      <c r="B1961" t="str">
        <f>"1551601372226194"</f>
        <v>1551601372226194</v>
      </c>
      <c r="C1961" t="s">
        <v>40</v>
      </c>
      <c r="D1961">
        <v>5.7115929999999997</v>
      </c>
      <c r="E1961">
        <v>0.4865815</v>
      </c>
      <c r="F1961" t="s">
        <v>49</v>
      </c>
      <c r="G1961">
        <v>-314.10210000000001</v>
      </c>
      <c r="H1961" s="1">
        <v>4.1049479999999999E-6</v>
      </c>
      <c r="I1961">
        <v>283.82889999999998</v>
      </c>
      <c r="J1961">
        <v>-286.34789999999998</v>
      </c>
      <c r="K1961">
        <v>1.120657</v>
      </c>
      <c r="L1961">
        <v>284.3297</v>
      </c>
      <c r="M1961">
        <v>-0.99975820000000004</v>
      </c>
      <c r="N1961">
        <v>-1.1026090000000001E-2</v>
      </c>
      <c r="O1961">
        <v>1.902276E-2</v>
      </c>
      <c r="P1961">
        <v>-0.98321899999999995</v>
      </c>
      <c r="Q1961">
        <v>0.18222469999999999</v>
      </c>
      <c r="R1961">
        <v>8.6316469999999992E-3</v>
      </c>
      <c r="S1961">
        <v>-3.0748289999999998</v>
      </c>
      <c r="T1961">
        <v>-0.1228011</v>
      </c>
      <c r="U1961">
        <v>-5.4260250000000003E-2</v>
      </c>
      <c r="V1961">
        <v>-1.01023E-2</v>
      </c>
      <c r="W1961">
        <v>0.19305310000000001</v>
      </c>
      <c r="X1961">
        <v>0.98113629999999996</v>
      </c>
      <c r="Y1961">
        <v>-3.6616419999999997E-2</v>
      </c>
      <c r="Z1961">
        <v>-1.48251E-3</v>
      </c>
      <c r="AA1961">
        <v>0.99932829999999995</v>
      </c>
      <c r="AB1961">
        <v>31</v>
      </c>
      <c r="AC1961">
        <v>-27.754200000000001</v>
      </c>
      <c r="AD1961">
        <v>-1.1206528950520001</v>
      </c>
      <c r="AE1961">
        <v>-0.500800000000026</v>
      </c>
      <c r="AF1961">
        <v>-1.0270290912117599</v>
      </c>
      <c r="AG1961">
        <v>-1.1206528950520001</v>
      </c>
      <c r="AH1961">
        <v>27.694512650188699</v>
      </c>
      <c r="AI1961">
        <v>92.315608066420197</v>
      </c>
      <c r="AJ1961">
        <v>92.123795435546199</v>
      </c>
      <c r="AK1961">
        <v>27.736198055913299</v>
      </c>
      <c r="AL1961">
        <v>78.868986468266499</v>
      </c>
      <c r="AM1961">
        <v>90.589926903619997</v>
      </c>
      <c r="AN1961">
        <v>0.99999999753129498</v>
      </c>
    </row>
    <row r="1962" spans="1:40" x14ac:dyDescent="0.25">
      <c r="A1962" t="str">
        <f>"20190303162252261"</f>
        <v>20190303162252261</v>
      </c>
      <c r="B1962" t="str">
        <f>"1551601372256450"</f>
        <v>1551601372256450</v>
      </c>
      <c r="C1962" t="s">
        <v>40</v>
      </c>
      <c r="D1962">
        <v>5.5909610000000001</v>
      </c>
      <c r="E1962">
        <v>0.44665319999999997</v>
      </c>
      <c r="F1962" t="s">
        <v>49</v>
      </c>
      <c r="G1962">
        <v>-314.2765</v>
      </c>
      <c r="H1962" s="1">
        <v>4.1862109999999999E-6</v>
      </c>
      <c r="I1962">
        <v>283.78359999999998</v>
      </c>
      <c r="J1962">
        <v>-286.66140000000001</v>
      </c>
      <c r="K1962">
        <v>1.1206469999999999</v>
      </c>
      <c r="L1962">
        <v>284.3356</v>
      </c>
      <c r="M1962">
        <v>-0.99976019999999999</v>
      </c>
      <c r="N1962">
        <v>-1.1019569999999999E-2</v>
      </c>
      <c r="O1962">
        <v>1.8933269999999999E-2</v>
      </c>
      <c r="P1962">
        <v>-0.98338740000000002</v>
      </c>
      <c r="Q1962">
        <v>0.1814587</v>
      </c>
      <c r="R1962">
        <v>4.744931E-3</v>
      </c>
      <c r="S1962">
        <v>-3.0745849999999999</v>
      </c>
      <c r="T1962">
        <v>-0.1233701</v>
      </c>
      <c r="U1962">
        <v>-6.011963E-2</v>
      </c>
      <c r="V1962">
        <v>-1.390371E-2</v>
      </c>
      <c r="W1962">
        <v>0.19228100000000001</v>
      </c>
      <c r="X1962">
        <v>0.98124140000000004</v>
      </c>
      <c r="Y1962">
        <v>-3.8429869999999998E-2</v>
      </c>
      <c r="Z1962">
        <v>-1.5332779999999999E-3</v>
      </c>
      <c r="AA1962">
        <v>0.99926009999999998</v>
      </c>
      <c r="AB1962">
        <v>31</v>
      </c>
      <c r="AC1962">
        <v>-27.615099999999899</v>
      </c>
      <c r="AD1962">
        <v>-1.1206428137890001</v>
      </c>
      <c r="AE1962">
        <v>-0.55200000000002003</v>
      </c>
      <c r="AF1962">
        <v>-1.0730105111338399</v>
      </c>
      <c r="AG1962">
        <v>-1.1206428137890001</v>
      </c>
      <c r="AH1962">
        <v>27.5543391885302</v>
      </c>
      <c r="AI1962">
        <v>92.327190210780003</v>
      </c>
      <c r="AJ1962">
        <v>92.230063472016994</v>
      </c>
      <c r="AK1962">
        <v>27.597985433536099</v>
      </c>
      <c r="AL1962">
        <v>78.914069124735306</v>
      </c>
      <c r="AM1962">
        <v>90.811798803980096</v>
      </c>
      <c r="AN1962">
        <v>0.99999999059336198</v>
      </c>
    </row>
    <row r="1963" spans="1:40" x14ac:dyDescent="0.25">
      <c r="A1963" t="str">
        <f>"20190303162252284"</f>
        <v>20190303162252284</v>
      </c>
      <c r="B1963" t="str">
        <f>"1551601372276945"</f>
        <v>1551601372276945</v>
      </c>
      <c r="C1963" t="s">
        <v>40</v>
      </c>
      <c r="D1963">
        <v>5.6991969999999998</v>
      </c>
      <c r="E1963">
        <v>0.44608900000000001</v>
      </c>
      <c r="F1963" t="s">
        <v>49</v>
      </c>
      <c r="G1963">
        <v>-301.50209999999998</v>
      </c>
      <c r="H1963" s="1">
        <v>3.8834129999999997E-6</v>
      </c>
      <c r="I1963">
        <v>282.49720000000002</v>
      </c>
      <c r="J1963">
        <v>-286.97379999999998</v>
      </c>
      <c r="K1963">
        <v>1.120644</v>
      </c>
      <c r="L1963">
        <v>284.34140000000002</v>
      </c>
      <c r="M1963">
        <v>-0.99976189999999998</v>
      </c>
      <c r="N1963">
        <v>-1.1011409999999999E-2</v>
      </c>
      <c r="O1963">
        <v>1.8843849999999999E-2</v>
      </c>
      <c r="P1963">
        <v>-0.98357269999999997</v>
      </c>
      <c r="Q1963">
        <v>0.18051200000000001</v>
      </c>
      <c r="R1963">
        <v>5.358839E-4</v>
      </c>
      <c r="S1963">
        <v>-3.0957029999999999</v>
      </c>
      <c r="T1963">
        <v>-0.23376140000000001</v>
      </c>
      <c r="U1963">
        <v>-0.38348389999999999</v>
      </c>
      <c r="V1963">
        <v>-1.8027729999999999E-2</v>
      </c>
      <c r="W1963">
        <v>0.19132730000000001</v>
      </c>
      <c r="X1963">
        <v>0.98136069999999997</v>
      </c>
      <c r="Y1963">
        <v>-0.14112369999999999</v>
      </c>
      <c r="Z1963">
        <v>-7.291161E-3</v>
      </c>
      <c r="AA1963">
        <v>0.98996510000000004</v>
      </c>
      <c r="AB1963">
        <v>31</v>
      </c>
      <c r="AC1963">
        <v>-14.5283</v>
      </c>
      <c r="AD1963">
        <v>-1.1206401165869999</v>
      </c>
      <c r="AE1963">
        <v>-1.8442000000000001</v>
      </c>
      <c r="AF1963">
        <v>-2.1053305141062602</v>
      </c>
      <c r="AG1963">
        <v>-1.1206401165869999</v>
      </c>
      <c r="AH1963">
        <v>14.4066088609895</v>
      </c>
      <c r="AI1963">
        <v>94.401321204285793</v>
      </c>
      <c r="AJ1963">
        <v>98.314149245512496</v>
      </c>
      <c r="AK1963">
        <v>14.6026925502824</v>
      </c>
      <c r="AL1963">
        <v>78.969745722094203</v>
      </c>
      <c r="AM1963">
        <v>91.052412917227599</v>
      </c>
      <c r="AN1963">
        <v>0.999999979139366</v>
      </c>
    </row>
    <row r="1964" spans="1:40" x14ac:dyDescent="0.25">
      <c r="A1964" t="str">
        <f>"20190303162252306"</f>
        <v>20190303162252306</v>
      </c>
      <c r="B1964" t="str">
        <f>"1551601372296466"</f>
        <v>1551601372296466</v>
      </c>
      <c r="C1964" t="s">
        <v>40</v>
      </c>
      <c r="D1964">
        <v>5.3139989999999999</v>
      </c>
      <c r="E1964">
        <v>0.44646229999999998</v>
      </c>
      <c r="F1964" t="s">
        <v>49</v>
      </c>
      <c r="G1964">
        <v>-302.7192</v>
      </c>
      <c r="H1964" s="1">
        <v>3.6839509999999999E-6</v>
      </c>
      <c r="I1964">
        <v>282.30919999999998</v>
      </c>
      <c r="J1964">
        <v>-287.28230000000002</v>
      </c>
      <c r="K1964">
        <v>1.1206400000000001</v>
      </c>
      <c r="L1964">
        <v>284.34699999999998</v>
      </c>
      <c r="M1964">
        <v>-0.99976359999999997</v>
      </c>
      <c r="N1964">
        <v>-1.1003260000000001E-2</v>
      </c>
      <c r="O1964">
        <v>1.875568E-2</v>
      </c>
      <c r="P1964">
        <v>-0.98374439999999996</v>
      </c>
      <c r="Q1964">
        <v>0.17955460000000001</v>
      </c>
      <c r="R1964">
        <v>-2.719469E-3</v>
      </c>
      <c r="S1964">
        <v>-3.0906980000000002</v>
      </c>
      <c r="T1964">
        <v>-0.219972</v>
      </c>
      <c r="U1964">
        <v>-0.39889530000000001</v>
      </c>
      <c r="V1964">
        <v>-2.1198760000000001E-2</v>
      </c>
      <c r="W1964">
        <v>0.19036259999999999</v>
      </c>
      <c r="X1964">
        <v>0.98148489999999999</v>
      </c>
      <c r="Y1964">
        <v>-0.14612720000000001</v>
      </c>
      <c r="Z1964">
        <v>-7.1034009999999996E-3</v>
      </c>
      <c r="AA1964">
        <v>0.98924029999999996</v>
      </c>
      <c r="AB1964">
        <v>31</v>
      </c>
      <c r="AC1964">
        <v>-15.4368999999999</v>
      </c>
      <c r="AD1964">
        <v>-1.1206363160489901</v>
      </c>
      <c r="AE1964">
        <v>-2.0377999999999998</v>
      </c>
      <c r="AF1964">
        <v>-2.31499753221504</v>
      </c>
      <c r="AG1964">
        <v>-1.1206363160489901</v>
      </c>
      <c r="AH1964">
        <v>15.316625801457601</v>
      </c>
      <c r="AI1964">
        <v>94.137743590965499</v>
      </c>
      <c r="AJ1964">
        <v>98.594790987663899</v>
      </c>
      <c r="AK1964">
        <v>15.531067744005499</v>
      </c>
      <c r="AL1964">
        <v>79.026053661819105</v>
      </c>
      <c r="AM1964">
        <v>91.237319759743201</v>
      </c>
      <c r="AN1964">
        <v>0.99999995791615204</v>
      </c>
    </row>
    <row r="1965" spans="1:40" x14ac:dyDescent="0.25">
      <c r="A1965" t="str">
        <f>"20190303162252328"</f>
        <v>20190303162252328</v>
      </c>
      <c r="B1965" t="str">
        <f>"1551601372316962"</f>
        <v>1551601372316962</v>
      </c>
      <c r="C1965" t="s">
        <v>40</v>
      </c>
      <c r="D1965">
        <v>5.563218</v>
      </c>
      <c r="E1965">
        <v>0.44686910000000002</v>
      </c>
      <c r="F1965" t="s">
        <v>49</v>
      </c>
      <c r="G1965">
        <v>-303.1764</v>
      </c>
      <c r="H1965" s="1">
        <v>3.6074279999999999E-6</v>
      </c>
      <c r="I1965">
        <v>282.25700000000001</v>
      </c>
      <c r="J1965">
        <v>-287.58929999999998</v>
      </c>
      <c r="K1965">
        <v>1.1206389999999999</v>
      </c>
      <c r="L1965">
        <v>284.35270000000003</v>
      </c>
      <c r="M1965">
        <v>-0.99976529999999997</v>
      </c>
      <c r="N1965">
        <v>-1.0995690000000001E-2</v>
      </c>
      <c r="O1965">
        <v>1.866839E-2</v>
      </c>
      <c r="P1965">
        <v>-0.98389899999999997</v>
      </c>
      <c r="Q1965">
        <v>0.17864389999999999</v>
      </c>
      <c r="R1965">
        <v>-5.3885309999999898E-3</v>
      </c>
      <c r="S1965">
        <v>-3.0881959999999999</v>
      </c>
      <c r="T1965">
        <v>-0.2177385</v>
      </c>
      <c r="U1965">
        <v>-0.4060974</v>
      </c>
      <c r="V1965">
        <v>-2.3784050000000001E-2</v>
      </c>
      <c r="W1965">
        <v>0.18944549999999999</v>
      </c>
      <c r="X1965">
        <v>0.98160309999999995</v>
      </c>
      <c r="Y1965">
        <v>-0.14841260000000001</v>
      </c>
      <c r="Z1965">
        <v>-7.1290779999999996E-3</v>
      </c>
      <c r="AA1965">
        <v>0.9888998</v>
      </c>
      <c r="AB1965">
        <v>31</v>
      </c>
      <c r="AC1965">
        <v>-15.5871</v>
      </c>
      <c r="AD1965">
        <v>-1.1206353925719901</v>
      </c>
      <c r="AE1965">
        <v>-2.0957000000000199</v>
      </c>
      <c r="AF1965">
        <v>-2.3742838606105101</v>
      </c>
      <c r="AG1965">
        <v>-1.1206353925719901</v>
      </c>
      <c r="AH1965">
        <v>15.4667311644729</v>
      </c>
      <c r="AI1965">
        <v>94.096282330422497</v>
      </c>
      <c r="AJ1965">
        <v>98.727295623744595</v>
      </c>
      <c r="AK1965">
        <v>15.687983313604001</v>
      </c>
      <c r="AL1965">
        <v>79.079573593004895</v>
      </c>
      <c r="AM1965">
        <v>91.387993885476902</v>
      </c>
      <c r="AN1965">
        <v>0.99999996221712995</v>
      </c>
    </row>
    <row r="1966" spans="1:40" x14ac:dyDescent="0.25">
      <c r="A1966" t="str">
        <f>"20190303162252351"</f>
        <v>20190303162252351</v>
      </c>
      <c r="B1966" t="str">
        <f>"1551601372346243"</f>
        <v>1551601372346243</v>
      </c>
      <c r="C1966" t="s">
        <v>40</v>
      </c>
      <c r="D1966">
        <v>5.6162219999999996</v>
      </c>
      <c r="E1966">
        <v>0.44863920000000002</v>
      </c>
      <c r="F1966" t="s">
        <v>49</v>
      </c>
      <c r="G1966">
        <v>-302.82560000000001</v>
      </c>
      <c r="H1966" s="1">
        <v>3.6637909999999999E-6</v>
      </c>
      <c r="I1966">
        <v>282.32400000000001</v>
      </c>
      <c r="J1966">
        <v>-287.899</v>
      </c>
      <c r="K1966">
        <v>1.1206320000000001</v>
      </c>
      <c r="L1966">
        <v>284.35829999999999</v>
      </c>
      <c r="M1966">
        <v>-0.99976710000000002</v>
      </c>
      <c r="N1966">
        <v>-1.0988929999999999E-2</v>
      </c>
      <c r="O1966">
        <v>1.8579740000000001E-2</v>
      </c>
      <c r="P1966">
        <v>-0.98394060000000005</v>
      </c>
      <c r="Q1966">
        <v>0.1783583</v>
      </c>
      <c r="R1966">
        <v>-7.0303989999999997E-3</v>
      </c>
      <c r="S1966">
        <v>-3.0880740000000002</v>
      </c>
      <c r="T1966">
        <v>-0.22712969999999999</v>
      </c>
      <c r="U1966">
        <v>-0.41116330000000001</v>
      </c>
      <c r="V1966">
        <v>-2.5339449999999999E-2</v>
      </c>
      <c r="W1966">
        <v>0.18915290000000001</v>
      </c>
      <c r="X1966">
        <v>0.98162070000000001</v>
      </c>
      <c r="Y1966">
        <v>-0.14988219999999999</v>
      </c>
      <c r="Z1966">
        <v>-7.464966E-3</v>
      </c>
      <c r="AA1966">
        <v>0.98867570000000005</v>
      </c>
      <c r="AB1966">
        <v>31</v>
      </c>
      <c r="AC1966">
        <v>-14.926600000000001</v>
      </c>
      <c r="AD1966">
        <v>-1.1206283362089999</v>
      </c>
      <c r="AE1966">
        <v>-2.0342999999999698</v>
      </c>
      <c r="AF1966">
        <v>-2.2985784204541</v>
      </c>
      <c r="AG1966">
        <v>-1.1206283362089999</v>
      </c>
      <c r="AH1966">
        <v>14.804302761837899</v>
      </c>
      <c r="AI1966">
        <v>94.277752030937904</v>
      </c>
      <c r="AJ1966">
        <v>98.825515531484498</v>
      </c>
      <c r="AK1966">
        <v>15.023536563907101</v>
      </c>
      <c r="AL1966">
        <v>79.096648037812699</v>
      </c>
      <c r="AM1966">
        <v>91.478698632809895</v>
      </c>
      <c r="AN1966">
        <v>1.0000000529866</v>
      </c>
    </row>
    <row r="1967" spans="1:40" x14ac:dyDescent="0.25">
      <c r="A1967" t="str">
        <f>"20190303162252372"</f>
        <v>20190303162252372</v>
      </c>
      <c r="B1967" t="str">
        <f>"1551601372366738"</f>
        <v>1551601372366738</v>
      </c>
      <c r="C1967" t="s">
        <v>40</v>
      </c>
      <c r="D1967">
        <v>5.6941499999999996</v>
      </c>
      <c r="E1967">
        <v>0.4497681</v>
      </c>
      <c r="F1967" t="s">
        <v>49</v>
      </c>
      <c r="G1967">
        <v>-302.7672</v>
      </c>
      <c r="H1967" s="1">
        <v>3.6651759999999998E-6</v>
      </c>
      <c r="I1967">
        <v>282.42660000000001</v>
      </c>
      <c r="J1967">
        <v>-288.20620000000002</v>
      </c>
      <c r="K1967">
        <v>1.120619</v>
      </c>
      <c r="L1967">
        <v>284.36399999999998</v>
      </c>
      <c r="M1967">
        <v>-0.99976860000000001</v>
      </c>
      <c r="N1967">
        <v>-1.098325E-2</v>
      </c>
      <c r="O1967">
        <v>1.8492450000000001E-2</v>
      </c>
      <c r="P1967">
        <v>-0.98395500000000002</v>
      </c>
      <c r="Q1967">
        <v>0.17821919999999999</v>
      </c>
      <c r="R1967">
        <v>-8.4016639999999997E-3</v>
      </c>
      <c r="S1967">
        <v>-3.0883180000000001</v>
      </c>
      <c r="T1967">
        <v>-0.2327688</v>
      </c>
      <c r="U1967">
        <v>-0.40124510000000002</v>
      </c>
      <c r="V1967">
        <v>-2.6625510000000002E-2</v>
      </c>
      <c r="W1967">
        <v>0.18900819999999999</v>
      </c>
      <c r="X1967">
        <v>0.98161449999999995</v>
      </c>
      <c r="Y1967">
        <v>-0.14665049999999999</v>
      </c>
      <c r="Z1967">
        <v>-7.4901869999999997E-3</v>
      </c>
      <c r="AA1967">
        <v>0.98916000000000004</v>
      </c>
      <c r="AB1967">
        <v>31</v>
      </c>
      <c r="AC1967">
        <v>-14.5609999999999</v>
      </c>
      <c r="AD1967">
        <v>-1.120615334824</v>
      </c>
      <c r="AE1967">
        <v>-1.93740000000002</v>
      </c>
      <c r="AF1967">
        <v>-2.1935872098877098</v>
      </c>
      <c r="AG1967">
        <v>-1.120615334824</v>
      </c>
      <c r="AH1967">
        <v>14.4386499980419</v>
      </c>
      <c r="AI1967">
        <v>94.387805811123698</v>
      </c>
      <c r="AJ1967">
        <v>98.638584194636294</v>
      </c>
      <c r="AK1967">
        <v>14.6472597212578</v>
      </c>
      <c r="AL1967">
        <v>79.105090693593098</v>
      </c>
      <c r="AM1967">
        <v>91.553721337084198</v>
      </c>
      <c r="AN1967">
        <v>1.00000002203012</v>
      </c>
    </row>
    <row r="1968" spans="1:40" x14ac:dyDescent="0.25">
      <c r="A1968" t="str">
        <f>"20190303162252395"</f>
        <v>20190303162252395</v>
      </c>
      <c r="B1968" t="str">
        <f>"1551601372386258"</f>
        <v>1551601372386258</v>
      </c>
      <c r="C1968" t="s">
        <v>40</v>
      </c>
      <c r="D1968">
        <v>5.6253739999999999</v>
      </c>
      <c r="E1968">
        <v>0.45091409999999998</v>
      </c>
      <c r="F1968" t="s">
        <v>49</v>
      </c>
      <c r="G1968">
        <v>-303.31020000000001</v>
      </c>
      <c r="H1968" s="1">
        <v>3.568954E-6</v>
      </c>
      <c r="I1968">
        <v>282.4255</v>
      </c>
      <c r="J1968">
        <v>-288.51409999999998</v>
      </c>
      <c r="K1968">
        <v>1.120611</v>
      </c>
      <c r="L1968">
        <v>284.36959999999999</v>
      </c>
      <c r="M1968">
        <v>-0.99977050000000001</v>
      </c>
      <c r="N1968">
        <v>-1.097865E-2</v>
      </c>
      <c r="O1968">
        <v>1.840462E-2</v>
      </c>
      <c r="P1968">
        <v>-0.98401890000000003</v>
      </c>
      <c r="Q1968">
        <v>0.17792450000000001</v>
      </c>
      <c r="R1968">
        <v>-7.0708519999999999E-3</v>
      </c>
      <c r="S1968">
        <v>-3.0870669999999998</v>
      </c>
      <c r="T1968">
        <v>-0.22903989999999999</v>
      </c>
      <c r="U1968">
        <v>-0.3962097</v>
      </c>
      <c r="V1968">
        <v>-2.5209639999999998E-2</v>
      </c>
      <c r="W1968">
        <v>0.18870990000000001</v>
      </c>
      <c r="X1968">
        <v>0.98170919999999895</v>
      </c>
      <c r="Y1968">
        <v>-0.1450477</v>
      </c>
      <c r="Z1968">
        <v>-7.309739E-3</v>
      </c>
      <c r="AA1968">
        <v>0.98939759999999999</v>
      </c>
      <c r="AB1968">
        <v>31</v>
      </c>
      <c r="AC1968">
        <v>-14.796099999999999</v>
      </c>
      <c r="AD1968">
        <v>-1.1206074310459999</v>
      </c>
      <c r="AE1968">
        <v>-1.9440999999999899</v>
      </c>
      <c r="AF1968">
        <v>-2.2036777660858999</v>
      </c>
      <c r="AG1968">
        <v>-1.1206074310459999</v>
      </c>
      <c r="AH1968">
        <v>14.675062734924101</v>
      </c>
      <c r="AI1968">
        <v>94.3184760686391</v>
      </c>
      <c r="AJ1968">
        <v>98.539999592544106</v>
      </c>
      <c r="AK1968">
        <v>14.8818487757811</v>
      </c>
      <c r="AL1968">
        <v>79.122494470982502</v>
      </c>
      <c r="AM1968">
        <v>91.470994268522901</v>
      </c>
      <c r="AN1968">
        <v>0.99999995283578802</v>
      </c>
    </row>
    <row r="1969" spans="1:40" x14ac:dyDescent="0.25">
      <c r="A1969" t="str">
        <f>"20190303162252417"</f>
        <v>20190303162252417</v>
      </c>
      <c r="B1969" t="str">
        <f>"1551601372406264"</f>
        <v>1551601372406264</v>
      </c>
      <c r="C1969" t="s">
        <v>40</v>
      </c>
      <c r="D1969">
        <v>5.6475109999999997</v>
      </c>
      <c r="E1969">
        <v>0.4517544</v>
      </c>
      <c r="F1969" t="s">
        <v>49</v>
      </c>
      <c r="G1969">
        <v>-303.9513</v>
      </c>
      <c r="H1969" s="1">
        <v>3.453045E-6</v>
      </c>
      <c r="I1969">
        <v>282.45060000000001</v>
      </c>
      <c r="J1969">
        <v>-288.81909999999999</v>
      </c>
      <c r="K1969">
        <v>1.1206130000000001</v>
      </c>
      <c r="L1969">
        <v>284.37509999999997</v>
      </c>
      <c r="M1969">
        <v>-0.99977210000000005</v>
      </c>
      <c r="N1969">
        <v>-1.097509E-2</v>
      </c>
      <c r="O1969">
        <v>1.831779E-2</v>
      </c>
      <c r="P1969">
        <v>-0.98393370000000002</v>
      </c>
      <c r="Q1969">
        <v>0.1784791</v>
      </c>
      <c r="R1969">
        <v>-4.4855479999999998E-3</v>
      </c>
      <c r="S1969">
        <v>-3.0864560000000001</v>
      </c>
      <c r="T1969">
        <v>-0.2240511</v>
      </c>
      <c r="U1969">
        <v>-0.38366699999999998</v>
      </c>
      <c r="V1969">
        <v>-2.2537450000000001E-2</v>
      </c>
      <c r="W1969">
        <v>0.18926100000000001</v>
      </c>
      <c r="X1969">
        <v>0.98166810000000004</v>
      </c>
      <c r="Y1969">
        <v>-0.1410595</v>
      </c>
      <c r="Z1969">
        <v>-6.9950530000000002E-3</v>
      </c>
      <c r="AA1969">
        <v>0.98997639999999998</v>
      </c>
      <c r="AB1969">
        <v>31</v>
      </c>
      <c r="AC1969">
        <v>-15.132199999999999</v>
      </c>
      <c r="AD1969">
        <v>-1.1206095469549999</v>
      </c>
      <c r="AE1969">
        <v>-1.9244999999999599</v>
      </c>
      <c r="AF1969">
        <v>-2.18956553910045</v>
      </c>
      <c r="AG1969">
        <v>-1.1206095469549999</v>
      </c>
      <c r="AH1969">
        <v>15.013381842597999</v>
      </c>
      <c r="AI1969">
        <v>94.224160017396002</v>
      </c>
      <c r="AJ1969">
        <v>98.2975710454661</v>
      </c>
      <c r="AK1969">
        <v>15.213533362056101</v>
      </c>
      <c r="AL1969">
        <v>79.090339412021393</v>
      </c>
      <c r="AM1969">
        <v>91.3151837804065</v>
      </c>
      <c r="AN1969">
        <v>0.99999996066555497</v>
      </c>
    </row>
    <row r="1970" spans="1:40" x14ac:dyDescent="0.25">
      <c r="A1970" t="str">
        <f>"20190303162252439"</f>
        <v>20190303162252439</v>
      </c>
      <c r="B1970" t="str">
        <f>"1551601372426760"</f>
        <v>1551601372426760</v>
      </c>
      <c r="C1970" t="s">
        <v>40</v>
      </c>
      <c r="D1970">
        <v>5.6205189999999998</v>
      </c>
      <c r="E1970">
        <v>0.45208789999999999</v>
      </c>
      <c r="F1970" t="s">
        <v>49</v>
      </c>
      <c r="G1970">
        <v>-304.72190000000001</v>
      </c>
      <c r="H1970" s="1">
        <v>3.314775E-6</v>
      </c>
      <c r="I1970">
        <v>282.46859999999998</v>
      </c>
      <c r="J1970">
        <v>-289.13369999999998</v>
      </c>
      <c r="K1970">
        <v>1.1206069999999999</v>
      </c>
      <c r="L1970">
        <v>284.38080000000002</v>
      </c>
      <c r="M1970">
        <v>-0.99977369999999999</v>
      </c>
      <c r="N1970">
        <v>-1.097241E-2</v>
      </c>
      <c r="O1970">
        <v>1.822793E-2</v>
      </c>
      <c r="P1970">
        <v>-0.98386200000000001</v>
      </c>
      <c r="Q1970">
        <v>0.178923</v>
      </c>
      <c r="R1970">
        <v>-1.531995E-3</v>
      </c>
      <c r="S1970">
        <v>-3.0867610000000001</v>
      </c>
      <c r="T1970">
        <v>-0.21751239999999999</v>
      </c>
      <c r="U1970">
        <v>-0.3700562</v>
      </c>
      <c r="V1970">
        <v>-1.949538E-2</v>
      </c>
      <c r="W1970">
        <v>0.1897025</v>
      </c>
      <c r="X1970">
        <v>0.98164799999999997</v>
      </c>
      <c r="Y1970">
        <v>-0.13669339999999999</v>
      </c>
      <c r="Z1970">
        <v>-6.6263090000000004E-3</v>
      </c>
      <c r="AA1970">
        <v>0.99059120000000001</v>
      </c>
      <c r="AB1970">
        <v>31</v>
      </c>
      <c r="AC1970">
        <v>-15.588200000000001</v>
      </c>
      <c r="AD1970">
        <v>-1.1206036852250001</v>
      </c>
      <c r="AE1970">
        <v>-1.9122000000000401</v>
      </c>
      <c r="AF1970">
        <v>-2.18491598927787</v>
      </c>
      <c r="AG1970">
        <v>-1.1206036852250001</v>
      </c>
      <c r="AH1970">
        <v>15.471980341523199</v>
      </c>
      <c r="AI1970">
        <v>94.102022540723397</v>
      </c>
      <c r="AJ1970">
        <v>98.038021400462895</v>
      </c>
      <c r="AK1970">
        <v>15.665624347214001</v>
      </c>
      <c r="AL1970">
        <v>79.064576516923097</v>
      </c>
      <c r="AM1970">
        <v>91.137735904354301</v>
      </c>
      <c r="AN1970">
        <v>0.99999995212579595</v>
      </c>
    </row>
    <row r="1971" spans="1:40" x14ac:dyDescent="0.25">
      <c r="A1971" t="str">
        <f>"20190303162252462"</f>
        <v>20190303162252462</v>
      </c>
      <c r="B1971" t="str">
        <f>"1551601372456041"</f>
        <v>1551601372456041</v>
      </c>
      <c r="C1971" t="s">
        <v>40</v>
      </c>
      <c r="D1971">
        <v>5.586163</v>
      </c>
      <c r="E1971">
        <v>0.45273069999999999</v>
      </c>
      <c r="F1971" t="s">
        <v>49</v>
      </c>
      <c r="G1971">
        <v>-305.28800000000001</v>
      </c>
      <c r="H1971" s="1">
        <v>3.2108639999999999E-6</v>
      </c>
      <c r="I1971">
        <v>282.50850000000003</v>
      </c>
      <c r="J1971">
        <v>-289.45389999999998</v>
      </c>
      <c r="K1971">
        <v>1.120611</v>
      </c>
      <c r="L1971">
        <v>284.38650000000001</v>
      </c>
      <c r="M1971">
        <v>-0.99977539999999998</v>
      </c>
      <c r="N1971">
        <v>-1.0970769999999999E-2</v>
      </c>
      <c r="O1971">
        <v>1.8136559999999999E-2</v>
      </c>
      <c r="P1971">
        <v>-0.98396530000000004</v>
      </c>
      <c r="Q1971">
        <v>0.178357399999999</v>
      </c>
      <c r="R1971">
        <v>1.1627880000000001E-3</v>
      </c>
      <c r="S1971">
        <v>-3.0876160000000001</v>
      </c>
      <c r="T1971">
        <v>-0.21418390000000001</v>
      </c>
      <c r="U1971">
        <v>-0.35784909999999998</v>
      </c>
      <c r="V1971">
        <v>-1.671251E-2</v>
      </c>
      <c r="W1971">
        <v>0.18913740000000001</v>
      </c>
      <c r="X1971">
        <v>0.98180840000000003</v>
      </c>
      <c r="Y1971">
        <v>-0.13272989999999901</v>
      </c>
      <c r="Z1971">
        <v>-6.368996E-3</v>
      </c>
      <c r="AA1971">
        <v>0.99113180000000001</v>
      </c>
      <c r="AB1971">
        <v>31</v>
      </c>
      <c r="AC1971">
        <v>-15.834099999999999</v>
      </c>
      <c r="AD1971">
        <v>-1.120607789136</v>
      </c>
      <c r="AE1971">
        <v>-1.8779999999999799</v>
      </c>
      <c r="AF1971">
        <v>-2.1542442605687602</v>
      </c>
      <c r="AG1971">
        <v>-1.120607789136</v>
      </c>
      <c r="AH1971">
        <v>15.7197900848297</v>
      </c>
      <c r="AI1971">
        <v>94.039882851845306</v>
      </c>
      <c r="AJ1971">
        <v>97.803223019450698</v>
      </c>
      <c r="AK1971">
        <v>15.906235584272499</v>
      </c>
      <c r="AL1971">
        <v>79.097551854025198</v>
      </c>
      <c r="AM1971">
        <v>90.975204346182494</v>
      </c>
      <c r="AN1971">
        <v>0.99999999918991</v>
      </c>
    </row>
    <row r="1972" spans="1:40" x14ac:dyDescent="0.25">
      <c r="A1972" t="str">
        <f>"20190303162252485"</f>
        <v>20190303162252485</v>
      </c>
      <c r="B1972" t="str">
        <f>"1551601372476536"</f>
        <v>1551601372476536</v>
      </c>
      <c r="C1972" t="s">
        <v>40</v>
      </c>
      <c r="D1972">
        <v>5.7451829999999999</v>
      </c>
      <c r="E1972">
        <v>0.45309199999999999</v>
      </c>
      <c r="F1972" t="s">
        <v>49</v>
      </c>
      <c r="G1972">
        <v>-305.8365</v>
      </c>
      <c r="H1972" s="1">
        <v>3.1091430000000001E-6</v>
      </c>
      <c r="I1972">
        <v>282.55919999999998</v>
      </c>
      <c r="J1972">
        <v>-289.7672</v>
      </c>
      <c r="K1972">
        <v>1.1206210000000001</v>
      </c>
      <c r="L1972">
        <v>284.39210000000003</v>
      </c>
      <c r="M1972">
        <v>-0.99977700000000003</v>
      </c>
      <c r="N1972">
        <v>-1.097015E-2</v>
      </c>
      <c r="O1972">
        <v>1.804704E-2</v>
      </c>
      <c r="P1972">
        <v>-0.98403609999999997</v>
      </c>
      <c r="Q1972">
        <v>0.1779434</v>
      </c>
      <c r="R1972">
        <v>2.9988969999999999E-3</v>
      </c>
      <c r="S1972">
        <v>-3.0875849999999998</v>
      </c>
      <c r="T1972">
        <v>-0.21119879999999999</v>
      </c>
      <c r="U1972">
        <v>-0.3443909</v>
      </c>
      <c r="V1972">
        <v>-1.4789999999999999E-2</v>
      </c>
      <c r="W1972">
        <v>0.18872439999999999</v>
      </c>
      <c r="X1972">
        <v>0.98191870000000003</v>
      </c>
      <c r="Y1972">
        <v>-0.12839790000000001</v>
      </c>
      <c r="Z1972">
        <v>-6.1124959999999898E-3</v>
      </c>
      <c r="AA1972">
        <v>0.99170389999999997</v>
      </c>
      <c r="AB1972">
        <v>31</v>
      </c>
      <c r="AC1972">
        <v>-16.069299999999998</v>
      </c>
      <c r="AD1972">
        <v>-1.1206178908569999</v>
      </c>
      <c r="AE1972">
        <v>-1.8329000000000499</v>
      </c>
      <c r="AF1972">
        <v>-2.1124807427700301</v>
      </c>
      <c r="AG1972">
        <v>-1.1206178908569999</v>
      </c>
      <c r="AH1972">
        <v>15.9569969627538</v>
      </c>
      <c r="AI1972">
        <v>93.982502567401099</v>
      </c>
      <c r="AJ1972">
        <v>97.541298688743495</v>
      </c>
      <c r="AK1972">
        <v>16.135182410348399</v>
      </c>
      <c r="AL1972">
        <v>79.121648871808105</v>
      </c>
      <c r="AM1972">
        <v>90.862943645893907</v>
      </c>
      <c r="AN1972">
        <v>0.99999998833252401</v>
      </c>
    </row>
    <row r="1973" spans="1:40" x14ac:dyDescent="0.25">
      <c r="A1973" t="str">
        <f>"20190303162252507"</f>
        <v>20190303162252507</v>
      </c>
      <c r="B1973" t="str">
        <f>"1551601372496056"</f>
        <v>1551601372496056</v>
      </c>
      <c r="C1973" t="s">
        <v>40</v>
      </c>
      <c r="D1973">
        <v>5.7471540000000001</v>
      </c>
      <c r="E1973">
        <v>0.45320589999999999</v>
      </c>
      <c r="F1973" t="s">
        <v>49</v>
      </c>
      <c r="G1973">
        <v>-305.8947</v>
      </c>
      <c r="H1973" s="1">
        <v>3.0917439999999999E-6</v>
      </c>
      <c r="I1973">
        <v>282.64010000000002</v>
      </c>
      <c r="J1973">
        <v>-290.0779</v>
      </c>
      <c r="K1973">
        <v>1.1206229999999999</v>
      </c>
      <c r="L1973">
        <v>284.39760000000001</v>
      </c>
      <c r="M1973">
        <v>-0.99977859999999996</v>
      </c>
      <c r="N1973">
        <v>-1.0970290000000001E-2</v>
      </c>
      <c r="O1973">
        <v>1.7957999999999998E-2</v>
      </c>
      <c r="P1973">
        <v>-0.98392429999999997</v>
      </c>
      <c r="Q1973">
        <v>0.17854790000000001</v>
      </c>
      <c r="R1973">
        <v>3.703914E-3</v>
      </c>
      <c r="S1973">
        <v>-3.08847</v>
      </c>
      <c r="T1973">
        <v>-0.21460219999999999</v>
      </c>
      <c r="U1973">
        <v>-0.33551029999999998</v>
      </c>
      <c r="V1973">
        <v>-1.399565E-2</v>
      </c>
      <c r="W1973">
        <v>0.189328</v>
      </c>
      <c r="X1973">
        <v>0.98181410000000002</v>
      </c>
      <c r="Y1973">
        <v>-0.12545709999999999</v>
      </c>
      <c r="Z1973">
        <v>-6.0785830000000002E-3</v>
      </c>
      <c r="AA1973">
        <v>0.99208039999999997</v>
      </c>
      <c r="AB1973">
        <v>31</v>
      </c>
      <c r="AC1973">
        <v>-15.816800000000001</v>
      </c>
      <c r="AD1973">
        <v>-1.120619908256</v>
      </c>
      <c r="AE1973">
        <v>-1.7574999999999901</v>
      </c>
      <c r="AF1973">
        <v>-2.0312000297666901</v>
      </c>
      <c r="AG1973">
        <v>-1.120619908256</v>
      </c>
      <c r="AH1973">
        <v>15.7048137432459</v>
      </c>
      <c r="AI1973">
        <v>94.047831583517194</v>
      </c>
      <c r="AJ1973">
        <v>97.369504861066602</v>
      </c>
      <c r="AK1973">
        <v>15.8752240062857</v>
      </c>
      <c r="AL1973">
        <v>79.086429776571407</v>
      </c>
      <c r="AM1973">
        <v>90.816689603335107</v>
      </c>
      <c r="AN1973">
        <v>0.99999994838086503</v>
      </c>
    </row>
    <row r="1974" spans="1:40" x14ac:dyDescent="0.25">
      <c r="A1974" t="str">
        <f>"20190303162252551"</f>
        <v>20190303162252551</v>
      </c>
      <c r="B1974" t="str">
        <f>"1551601372546809"</f>
        <v>1551601372546809</v>
      </c>
      <c r="C1974" t="s">
        <v>40</v>
      </c>
      <c r="D1974">
        <v>5.635688</v>
      </c>
      <c r="E1974">
        <v>0.45286880000000002</v>
      </c>
      <c r="F1974" t="s">
        <v>49</v>
      </c>
      <c r="G1974">
        <v>-306.47399999999999</v>
      </c>
      <c r="H1974" s="1">
        <v>2.9901139999999999E-6</v>
      </c>
      <c r="I1974">
        <v>282.62720000000002</v>
      </c>
      <c r="J1974">
        <v>-290.70030000000003</v>
      </c>
      <c r="K1974">
        <v>1.12063</v>
      </c>
      <c r="L1974">
        <v>284.40859999999998</v>
      </c>
      <c r="M1974">
        <v>-0.99978180000000005</v>
      </c>
      <c r="N1974">
        <v>-1.097246E-2</v>
      </c>
      <c r="O1974">
        <v>1.7780899999999999E-2</v>
      </c>
      <c r="P1974">
        <v>-0.9836568</v>
      </c>
      <c r="Q1974">
        <v>0.180007</v>
      </c>
      <c r="R1974">
        <v>4.1280300000000004E-3</v>
      </c>
      <c r="S1974">
        <v>-3.088562</v>
      </c>
      <c r="T1974">
        <v>-0.21109269999999999</v>
      </c>
      <c r="U1974">
        <v>-0.33349610000000002</v>
      </c>
      <c r="V1974">
        <v>-1.339301E-2</v>
      </c>
      <c r="W1974">
        <v>0.1907867</v>
      </c>
      <c r="X1974">
        <v>0.98154010000000003</v>
      </c>
      <c r="Y1974">
        <v>-0.12465279999999999</v>
      </c>
      <c r="Z1974">
        <v>-5.9456090000000001E-3</v>
      </c>
      <c r="AA1974">
        <v>0.99218260000000003</v>
      </c>
      <c r="AB1974">
        <v>31</v>
      </c>
      <c r="AC1974">
        <v>-15.7736999999999</v>
      </c>
      <c r="AD1974">
        <v>-1.1206270098860001</v>
      </c>
      <c r="AE1974">
        <v>-1.7813999999999599</v>
      </c>
      <c r="AF1974">
        <v>-2.0513823272641898</v>
      </c>
      <c r="AG1974">
        <v>-1.1206270098860001</v>
      </c>
      <c r="AH1974">
        <v>15.6614772623811</v>
      </c>
      <c r="AI1974">
        <v>94.058168027612297</v>
      </c>
      <c r="AJ1974">
        <v>97.462273084429896</v>
      </c>
      <c r="AK1974">
        <v>15.834956406254401</v>
      </c>
      <c r="AL1974">
        <v>79.001300811345601</v>
      </c>
      <c r="AM1974">
        <v>90.781746288261104</v>
      </c>
      <c r="AN1974">
        <v>0.99999995276087805</v>
      </c>
    </row>
    <row r="1975" spans="1:40" x14ac:dyDescent="0.25">
      <c r="A1975" t="str">
        <f>"20190303162252573"</f>
        <v>20190303162252573</v>
      </c>
      <c r="B1975" t="str">
        <f>"1551601372566329"</f>
        <v>1551601372566329</v>
      </c>
      <c r="C1975" t="s">
        <v>40</v>
      </c>
      <c r="D1975">
        <v>5.4273170000000004</v>
      </c>
      <c r="E1975">
        <v>0.45282139999999999</v>
      </c>
      <c r="F1975" t="s">
        <v>49</v>
      </c>
      <c r="G1975">
        <v>-307.74200000000002</v>
      </c>
      <c r="H1975" s="1">
        <v>2.7726290000000001E-6</v>
      </c>
      <c r="I1975">
        <v>282.5421</v>
      </c>
      <c r="J1975">
        <v>-291.01029999999997</v>
      </c>
      <c r="K1975">
        <v>1.120633</v>
      </c>
      <c r="L1975">
        <v>284.41410000000002</v>
      </c>
      <c r="M1975">
        <v>-0.99978330000000004</v>
      </c>
      <c r="N1975">
        <v>-1.097441E-2</v>
      </c>
      <c r="O1975">
        <v>1.7692969999999999E-2</v>
      </c>
      <c r="P1975">
        <v>-0.98350970000000004</v>
      </c>
      <c r="Q1975">
        <v>0.18076429999999999</v>
      </c>
      <c r="R1975">
        <v>5.7592229999999999E-3</v>
      </c>
      <c r="S1975">
        <v>-3.088409</v>
      </c>
      <c r="T1975">
        <v>-0.20308689999999999</v>
      </c>
      <c r="U1975">
        <v>-0.33825680000000002</v>
      </c>
      <c r="V1975">
        <v>-1.1673080000000001E-2</v>
      </c>
      <c r="W1975">
        <v>0.19154450000000001</v>
      </c>
      <c r="X1975">
        <v>0.98141449999999997</v>
      </c>
      <c r="Y1975">
        <v>-0.12610450000000001</v>
      </c>
      <c r="Z1975">
        <v>-5.7898910000000001E-3</v>
      </c>
      <c r="AA1975">
        <v>0.99199999999999999</v>
      </c>
      <c r="AB1975">
        <v>31</v>
      </c>
      <c r="AC1975">
        <v>-16.7317</v>
      </c>
      <c r="AD1975">
        <v>-1.120630227371</v>
      </c>
      <c r="AE1975">
        <v>-1.8720000000000101</v>
      </c>
      <c r="AF1975">
        <v>-2.1581965618229999</v>
      </c>
      <c r="AG1975">
        <v>-1.120630227371</v>
      </c>
      <c r="AH1975">
        <v>16.6223140816616</v>
      </c>
      <c r="AI1975">
        <v>93.824877885378001</v>
      </c>
      <c r="AJ1975">
        <v>97.397745454500296</v>
      </c>
      <c r="AK1975">
        <v>16.799254445818999</v>
      </c>
      <c r="AL1975">
        <v>78.957066684387698</v>
      </c>
      <c r="AM1975">
        <v>90.681451803737602</v>
      </c>
      <c r="AN1975">
        <v>0.99999998854359295</v>
      </c>
    </row>
    <row r="1976" spans="1:40" x14ac:dyDescent="0.25">
      <c r="A1976" t="str">
        <f>"20190303162252587"</f>
        <v>20190303162252587</v>
      </c>
      <c r="B1976" t="str">
        <f>"1551601372576089"</f>
        <v>1551601372576089</v>
      </c>
      <c r="C1976" t="s">
        <v>40</v>
      </c>
      <c r="D1976">
        <v>10.715059999999999</v>
      </c>
      <c r="E1976">
        <v>0.45282139999999999</v>
      </c>
      <c r="F1976" t="s">
        <v>49</v>
      </c>
      <c r="G1976">
        <v>-308.37979999999999</v>
      </c>
      <c r="H1976" s="1">
        <v>2.66109E-6</v>
      </c>
      <c r="I1976">
        <v>282.52379999999999</v>
      </c>
      <c r="J1976">
        <v>-291.19740000000002</v>
      </c>
      <c r="K1976">
        <v>1.1206339999999999</v>
      </c>
      <c r="L1976">
        <v>284.41730000000001</v>
      </c>
      <c r="M1976">
        <v>-0.99978420000000001</v>
      </c>
      <c r="N1976">
        <v>-1.0975810000000001E-2</v>
      </c>
      <c r="O1976">
        <v>1.7639849999999999E-2</v>
      </c>
      <c r="P1976">
        <v>-0.98343340000000001</v>
      </c>
      <c r="Q1976">
        <v>0.1811325</v>
      </c>
      <c r="R1976">
        <v>7.0859340000000003E-3</v>
      </c>
      <c r="S1976">
        <v>-3.0889280000000001</v>
      </c>
      <c r="T1976">
        <v>-0.19928899999999999</v>
      </c>
      <c r="U1976">
        <v>-0.33615109999999998</v>
      </c>
      <c r="V1976">
        <v>-1.0293190000000001E-2</v>
      </c>
      <c r="W1976">
        <v>0.19191369999999999</v>
      </c>
      <c r="X1976">
        <v>0.98135779999999995</v>
      </c>
      <c r="Y1976">
        <v>-0.1253793</v>
      </c>
      <c r="Z1976">
        <v>-5.6603859999999999E-3</v>
      </c>
      <c r="AA1976">
        <v>0.99209270000000005</v>
      </c>
      <c r="AB1976">
        <v>31</v>
      </c>
      <c r="AC1976">
        <v>-17.182399999999902</v>
      </c>
      <c r="AD1976">
        <v>-1.12063133891</v>
      </c>
      <c r="AE1976">
        <v>-1.89350000000001</v>
      </c>
      <c r="AF1976">
        <v>-2.1871269847676</v>
      </c>
      <c r="AG1976">
        <v>-1.12063133891</v>
      </c>
      <c r="AH1976">
        <v>17.0745659704696</v>
      </c>
      <c r="AI1976">
        <v>93.724683340584406</v>
      </c>
      <c r="AJ1976">
        <v>97.299421051334306</v>
      </c>
      <c r="AK1976">
        <v>17.250511358367401</v>
      </c>
      <c r="AL1976">
        <v>78.935513066039107</v>
      </c>
      <c r="AM1976">
        <v>90.600937516508594</v>
      </c>
      <c r="AN1976">
        <v>0.99999997481445202</v>
      </c>
    </row>
    <row r="1977" spans="1:40" x14ac:dyDescent="0.25">
      <c r="A1977" t="str">
        <f>"20190303162252607"</f>
        <v>20190303162252607</v>
      </c>
      <c r="B1977" t="str">
        <f>"1551601372596587"</f>
        <v>1551601372596587</v>
      </c>
      <c r="C1977" t="s">
        <v>40</v>
      </c>
      <c r="D1977">
        <v>5.6210339999999999</v>
      </c>
      <c r="E1977">
        <v>0.47390480000000001</v>
      </c>
      <c r="F1977" t="s">
        <v>49</v>
      </c>
      <c r="G1977">
        <v>-308.71550000000002</v>
      </c>
      <c r="H1977" s="1">
        <v>2.6011209999999999E-6</v>
      </c>
      <c r="I1977">
        <v>282.52879999999999</v>
      </c>
      <c r="J1977">
        <v>-291.47329999999999</v>
      </c>
      <c r="K1977">
        <v>1.12063</v>
      </c>
      <c r="L1977">
        <v>284.4221</v>
      </c>
      <c r="M1977">
        <v>-0.99978560000000005</v>
      </c>
      <c r="N1977">
        <v>-1.097803E-2</v>
      </c>
      <c r="O1977">
        <v>1.7560989999999999E-2</v>
      </c>
      <c r="P1977">
        <v>-0.98344869999999995</v>
      </c>
      <c r="Q1977">
        <v>0.18092279999999999</v>
      </c>
      <c r="R1977">
        <v>9.7849540000000002E-3</v>
      </c>
      <c r="S1977">
        <v>-3.0893549999999999</v>
      </c>
      <c r="T1977">
        <v>-0.19762669999999999</v>
      </c>
      <c r="U1977">
        <v>-0.33303829999999901</v>
      </c>
      <c r="V1977">
        <v>-7.517124E-3</v>
      </c>
      <c r="W1977">
        <v>0.1917073</v>
      </c>
      <c r="X1977">
        <v>0.98142339999999995</v>
      </c>
      <c r="Y1977">
        <v>-0.124306</v>
      </c>
      <c r="Z1977">
        <v>-5.5727469999999899E-3</v>
      </c>
      <c r="AA1977">
        <v>0.99222829999999995</v>
      </c>
      <c r="AB1977">
        <v>31</v>
      </c>
      <c r="AC1977">
        <v>-17.2422</v>
      </c>
      <c r="AD1977">
        <v>-1.1206273988789901</v>
      </c>
      <c r="AE1977">
        <v>-1.89330000000001</v>
      </c>
      <c r="AF1977">
        <v>-2.1866895208357202</v>
      </c>
      <c r="AG1977">
        <v>-1.1206273988789901</v>
      </c>
      <c r="AH1977">
        <v>17.134773431253102</v>
      </c>
      <c r="AI1977">
        <v>93.711840795870501</v>
      </c>
      <c r="AJ1977">
        <v>97.272608474458096</v>
      </c>
      <c r="AK1977">
        <v>17.310051339266099</v>
      </c>
      <c r="AL1977">
        <v>78.947563415848606</v>
      </c>
      <c r="AM1977">
        <v>90.4388432729654</v>
      </c>
      <c r="AN1977">
        <v>1.0000000430470299</v>
      </c>
    </row>
    <row r="1978" spans="1:40" x14ac:dyDescent="0.25">
      <c r="A1978" t="str">
        <f>"20190303162252628"</f>
        <v>20190303162252628</v>
      </c>
      <c r="B1978" t="str">
        <f>"1551601372616104"</f>
        <v>1551601372616104</v>
      </c>
      <c r="C1978" t="s">
        <v>40</v>
      </c>
      <c r="D1978">
        <v>5.5846519999999904</v>
      </c>
      <c r="E1978">
        <v>0.50408450000000005</v>
      </c>
      <c r="F1978" t="s">
        <v>49</v>
      </c>
      <c r="G1978">
        <v>-306.44929999999999</v>
      </c>
      <c r="H1978" s="1">
        <v>2.9038410000000001E-6</v>
      </c>
      <c r="I1978">
        <v>283.66410000000002</v>
      </c>
      <c r="J1978">
        <v>-291.77960000000002</v>
      </c>
      <c r="K1978">
        <v>1.120627</v>
      </c>
      <c r="L1978">
        <v>284.42739999999998</v>
      </c>
      <c r="M1978">
        <v>-0.99978719999999999</v>
      </c>
      <c r="N1978">
        <v>-1.098088E-2</v>
      </c>
      <c r="O1978">
        <v>1.7473530000000001E-2</v>
      </c>
      <c r="P1978">
        <v>-0.98347839999999997</v>
      </c>
      <c r="Q1978">
        <v>0.18055589999999999</v>
      </c>
      <c r="R1978">
        <v>1.3051719999999999E-2</v>
      </c>
      <c r="S1978">
        <v>-3.0946349999999998</v>
      </c>
      <c r="T1978">
        <v>-0.23156499999999999</v>
      </c>
      <c r="U1978">
        <v>-0.1566467</v>
      </c>
      <c r="V1978">
        <v>-4.1652529999999998E-3</v>
      </c>
      <c r="W1978">
        <v>0.1913446</v>
      </c>
      <c r="X1978">
        <v>0.98151409999999994</v>
      </c>
      <c r="Y1978">
        <v>-6.7746319999999999E-2</v>
      </c>
      <c r="Z1978">
        <v>-4.0157350000000003E-3</v>
      </c>
      <c r="AA1978">
        <v>0.99769450000000004</v>
      </c>
      <c r="AB1978">
        <v>31</v>
      </c>
      <c r="AC1978">
        <v>-14.669699999999899</v>
      </c>
      <c r="AD1978">
        <v>-1.1206240961589999</v>
      </c>
      <c r="AE1978">
        <v>-0.76329999999995801</v>
      </c>
      <c r="AF1978">
        <v>-1.0136312383368999</v>
      </c>
      <c r="AG1978">
        <v>-1.1206240961589999</v>
      </c>
      <c r="AH1978">
        <v>14.5693320472295</v>
      </c>
      <c r="AI1978">
        <v>94.387773937880198</v>
      </c>
      <c r="AJ1978">
        <v>93.979822692518596</v>
      </c>
      <c r="AK1978">
        <v>14.647480430253299</v>
      </c>
      <c r="AL1978">
        <v>78.968736268915805</v>
      </c>
      <c r="AM1978">
        <v>90.243144734135697</v>
      </c>
      <c r="AN1978">
        <v>1.0000000168902601</v>
      </c>
    </row>
    <row r="1979" spans="1:40" x14ac:dyDescent="0.25">
      <c r="A1979" t="str">
        <f>"20190303162252652"</f>
        <v>20190303162252652</v>
      </c>
      <c r="B1979" t="str">
        <f>"1551601372646361"</f>
        <v>1551601372646361</v>
      </c>
      <c r="C1979" t="s">
        <v>40</v>
      </c>
      <c r="D1979">
        <v>5.5828179999999996</v>
      </c>
      <c r="E1979">
        <v>0.50474509999999995</v>
      </c>
      <c r="F1979" t="s">
        <v>42</v>
      </c>
      <c r="G1979">
        <v>-292.66739999999999</v>
      </c>
      <c r="H1979">
        <v>0.95831999999999995</v>
      </c>
      <c r="I1979">
        <v>284.45620000000002</v>
      </c>
      <c r="J1979">
        <v>-292.10950000000003</v>
      </c>
      <c r="K1979">
        <v>1.1206210000000001</v>
      </c>
      <c r="L1979">
        <v>284.43310000000002</v>
      </c>
      <c r="M1979">
        <v>-0.99978860000000003</v>
      </c>
      <c r="N1979">
        <v>-1.0984259999999999E-2</v>
      </c>
      <c r="O1979">
        <v>1.7379760000000001E-2</v>
      </c>
      <c r="P1979">
        <v>-0.98349410000000004</v>
      </c>
      <c r="Q1979">
        <v>0.18013299999999999</v>
      </c>
      <c r="R1979">
        <v>1.7081120000000002E-2</v>
      </c>
      <c r="S1979">
        <v>-3.154938</v>
      </c>
      <c r="T1979">
        <v>-0.57681059999999995</v>
      </c>
      <c r="U1979">
        <v>0.1019287</v>
      </c>
      <c r="V1979" s="1">
        <v>-4.4494869999999998E-5</v>
      </c>
      <c r="W1979">
        <v>0.1909266</v>
      </c>
      <c r="X1979">
        <v>0.98160429999999999</v>
      </c>
      <c r="Y1979">
        <v>1.49065E-2</v>
      </c>
      <c r="Z1979">
        <v>-1.527116E-3</v>
      </c>
      <c r="AA1979">
        <v>0.99988770000000005</v>
      </c>
      <c r="AB1979">
        <v>31</v>
      </c>
      <c r="AC1979">
        <v>-0.55789999999996098</v>
      </c>
      <c r="AD1979">
        <v>-0.162300999999999</v>
      </c>
      <c r="AE1979">
        <v>2.3099999999999399E-2</v>
      </c>
      <c r="AF1979">
        <v>1.2355857831926701E-2</v>
      </c>
      <c r="AG1979">
        <v>-0.162300999999999</v>
      </c>
      <c r="AH1979">
        <v>0.51472967013659698</v>
      </c>
      <c r="AI1979">
        <v>107.496012617209</v>
      </c>
      <c r="AJ1979">
        <v>88.624904258930798</v>
      </c>
      <c r="AK1979">
        <v>0.53985267911041501</v>
      </c>
      <c r="AL1979">
        <v>78.993135388497706</v>
      </c>
      <c r="AM1979">
        <v>90.002597144551203</v>
      </c>
      <c r="AN1979">
        <v>0.99999998517292099</v>
      </c>
    </row>
    <row r="1980" spans="1:40" x14ac:dyDescent="0.25">
      <c r="A1980" t="str">
        <f>"20190303162252673"</f>
        <v>20190303162252673</v>
      </c>
      <c r="B1980" t="str">
        <f>"1551601372666857"</f>
        <v>1551601372666857</v>
      </c>
      <c r="C1980" t="s">
        <v>40</v>
      </c>
      <c r="D1980">
        <v>5.5938780000000001</v>
      </c>
      <c r="E1980">
        <v>0.50388159999999904</v>
      </c>
      <c r="F1980" t="s">
        <v>42</v>
      </c>
      <c r="G1980">
        <v>-292.94560000000001</v>
      </c>
      <c r="H1980">
        <v>0.95368109999999995</v>
      </c>
      <c r="I1980">
        <v>284.46480000000003</v>
      </c>
      <c r="J1980">
        <v>-292.4135</v>
      </c>
      <c r="K1980">
        <v>1.1206179999999999</v>
      </c>
      <c r="L1980">
        <v>284.4384</v>
      </c>
      <c r="M1980">
        <v>-0.99979010000000001</v>
      </c>
      <c r="N1980">
        <v>-1.098761E-2</v>
      </c>
      <c r="O1980">
        <v>1.7292720000000001E-2</v>
      </c>
      <c r="P1980">
        <v>-0.98349350000000002</v>
      </c>
      <c r="Q1980">
        <v>0.17965919999999999</v>
      </c>
      <c r="R1980">
        <v>2.1520729999999998E-2</v>
      </c>
      <c r="S1980">
        <v>-3.1640009999999998</v>
      </c>
      <c r="T1980">
        <v>-0.63182590000000005</v>
      </c>
      <c r="U1980">
        <v>0.11883539999999999</v>
      </c>
      <c r="V1980">
        <v>4.4800980000000001E-3</v>
      </c>
      <c r="W1980">
        <v>0.1904576</v>
      </c>
      <c r="X1980">
        <v>0.98168520000000004</v>
      </c>
      <c r="Y1980">
        <v>2.0130180000000001E-2</v>
      </c>
      <c r="Z1980">
        <v>-1.1283109999999999E-3</v>
      </c>
      <c r="AA1980">
        <v>0.99979669999999998</v>
      </c>
      <c r="AB1980">
        <v>31</v>
      </c>
      <c r="AC1980">
        <v>-0.53210000000001401</v>
      </c>
      <c r="AD1980">
        <v>-0.1669369</v>
      </c>
      <c r="AE1980">
        <v>2.64000000000237E-2</v>
      </c>
      <c r="AF1980">
        <v>1.5656762306144201E-2</v>
      </c>
      <c r="AG1980">
        <v>-0.1669369</v>
      </c>
      <c r="AH1980">
        <v>0.48486949179942201</v>
      </c>
      <c r="AI1980">
        <v>108.989010531745</v>
      </c>
      <c r="AJ1980">
        <v>88.150523337934899</v>
      </c>
      <c r="AK1980">
        <v>0.51304140852893299</v>
      </c>
      <c r="AL1980">
        <v>79.020509594171401</v>
      </c>
      <c r="AM1980">
        <v>89.738522160485701</v>
      </c>
      <c r="AN1980">
        <v>1.0000000002874401</v>
      </c>
    </row>
    <row r="1981" spans="1:40" x14ac:dyDescent="0.25">
      <c r="A1981" t="str">
        <f>"20190303162252697"</f>
        <v>20190303162252697</v>
      </c>
      <c r="B1981" t="str">
        <f>"1551601372686377"</f>
        <v>1551601372686377</v>
      </c>
      <c r="C1981" t="s">
        <v>40</v>
      </c>
      <c r="D1981">
        <v>5.6265130000000001</v>
      </c>
      <c r="E1981">
        <v>0.50325779999999998</v>
      </c>
      <c r="F1981" t="s">
        <v>42</v>
      </c>
      <c r="G1981">
        <v>-293.22680000000003</v>
      </c>
      <c r="H1981">
        <v>0.95468560000000002</v>
      </c>
      <c r="I1981">
        <v>284.47000000000003</v>
      </c>
      <c r="J1981">
        <v>-292.73110000000003</v>
      </c>
      <c r="K1981">
        <v>1.120614</v>
      </c>
      <c r="L1981">
        <v>284.44380000000001</v>
      </c>
      <c r="M1981">
        <v>-0.99979169999999995</v>
      </c>
      <c r="N1981">
        <v>-1.099138E-2</v>
      </c>
      <c r="O1981">
        <v>1.7202450000000001E-2</v>
      </c>
      <c r="P1981">
        <v>-0.98359510000000006</v>
      </c>
      <c r="Q1981">
        <v>0.1785012</v>
      </c>
      <c r="R1981">
        <v>2.604064E-2</v>
      </c>
      <c r="S1981">
        <v>-3.1657099999999998</v>
      </c>
      <c r="T1981">
        <v>-0.64596180000000003</v>
      </c>
      <c r="U1981">
        <v>0.12231450000000001</v>
      </c>
      <c r="V1981">
        <v>9.0864180000000006E-3</v>
      </c>
      <c r="W1981">
        <v>0.189306</v>
      </c>
      <c r="X1981">
        <v>0.98187610000000003</v>
      </c>
      <c r="Y1981">
        <v>2.126724E-2</v>
      </c>
      <c r="Z1981">
        <v>-1.020408E-3</v>
      </c>
      <c r="AA1981">
        <v>0.99977329999999998</v>
      </c>
      <c r="AB1981">
        <v>31</v>
      </c>
      <c r="AC1981">
        <v>-0.49569999999999897</v>
      </c>
      <c r="AD1981">
        <v>-0.165928399999999</v>
      </c>
      <c r="AE1981">
        <v>2.6200000000017099E-2</v>
      </c>
      <c r="AF1981">
        <v>1.58925843340691E-2</v>
      </c>
      <c r="AG1981">
        <v>-0.165928399999999</v>
      </c>
      <c r="AH1981">
        <v>0.44621879133026898</v>
      </c>
      <c r="AI1981">
        <v>110.38600887912401</v>
      </c>
      <c r="AJ1981">
        <v>87.9602085499628</v>
      </c>
      <c r="AK1981">
        <v>0.476336034643215</v>
      </c>
      <c r="AL1981">
        <v>79.087714070877993</v>
      </c>
      <c r="AM1981">
        <v>89.469792022195094</v>
      </c>
      <c r="AN1981">
        <v>1.0000000001896401</v>
      </c>
    </row>
    <row r="1982" spans="1:40" x14ac:dyDescent="0.25">
      <c r="A1982" t="str">
        <f>"20190303162252719"</f>
        <v>20190303162252719</v>
      </c>
      <c r="B1982" t="str">
        <f>"1551601372706873"</f>
        <v>1551601372706873</v>
      </c>
      <c r="C1982" t="s">
        <v>40</v>
      </c>
      <c r="D1982">
        <v>5.5920839999999998</v>
      </c>
      <c r="E1982">
        <v>0.50294209999999995</v>
      </c>
      <c r="F1982" t="s">
        <v>42</v>
      </c>
      <c r="G1982">
        <v>-293.50959999999998</v>
      </c>
      <c r="H1982">
        <v>0.95855440000000003</v>
      </c>
      <c r="I1982">
        <v>284.4753</v>
      </c>
      <c r="J1982">
        <v>-293.04829999999998</v>
      </c>
      <c r="K1982">
        <v>1.120611</v>
      </c>
      <c r="L1982">
        <v>284.44920000000002</v>
      </c>
      <c r="M1982">
        <v>-0.99979320000000005</v>
      </c>
      <c r="N1982">
        <v>-1.0995329999999999E-2</v>
      </c>
      <c r="O1982">
        <v>1.711201E-2</v>
      </c>
      <c r="P1982">
        <v>-0.98368900000000004</v>
      </c>
      <c r="Q1982">
        <v>0.17721039999999999</v>
      </c>
      <c r="R1982">
        <v>3.0862759999999999E-2</v>
      </c>
      <c r="S1982">
        <v>-3.1662599999999999</v>
      </c>
      <c r="T1982">
        <v>-0.65917239999999999</v>
      </c>
      <c r="U1982">
        <v>0.12783810000000001</v>
      </c>
      <c r="V1982">
        <v>1.3995479999999999E-2</v>
      </c>
      <c r="W1982">
        <v>0.18802189999999999</v>
      </c>
      <c r="X1982">
        <v>0.98206510000000002</v>
      </c>
      <c r="Y1982">
        <v>2.3045860000000001E-2</v>
      </c>
      <c r="Z1982">
        <v>-8.3595890000000002E-4</v>
      </c>
      <c r="AA1982">
        <v>0.99973400000000001</v>
      </c>
      <c r="AB1982">
        <v>31</v>
      </c>
      <c r="AC1982">
        <v>-0.46129999999999399</v>
      </c>
      <c r="AD1982">
        <v>-0.1620566</v>
      </c>
      <c r="AE1982">
        <v>2.6099999999985302E-2</v>
      </c>
      <c r="AF1982">
        <v>1.6208009165997801E-2</v>
      </c>
      <c r="AG1982">
        <v>-0.1620566</v>
      </c>
      <c r="AH1982">
        <v>0.41110467842151699</v>
      </c>
      <c r="AI1982">
        <v>111.499078139753</v>
      </c>
      <c r="AJ1982">
        <v>87.742254319005895</v>
      </c>
      <c r="AK1982">
        <v>0.44219011497855099</v>
      </c>
      <c r="AL1982">
        <v>79.162632831097994</v>
      </c>
      <c r="AM1982">
        <v>89.183529017244297</v>
      </c>
      <c r="AN1982">
        <v>0.99999998448902505</v>
      </c>
    </row>
    <row r="1983" spans="1:40" x14ac:dyDescent="0.25">
      <c r="A1983" t="str">
        <f>"20190303162252741"</f>
        <v>20190303162252741</v>
      </c>
      <c r="B1983" t="str">
        <f>"1551601372736152"</f>
        <v>1551601372736152</v>
      </c>
      <c r="C1983" t="s">
        <v>40</v>
      </c>
      <c r="D1983">
        <v>5.6847699999999897</v>
      </c>
      <c r="E1983">
        <v>0.50311049999999902</v>
      </c>
      <c r="F1983" t="s">
        <v>42</v>
      </c>
      <c r="G1983">
        <v>-293.79309999999998</v>
      </c>
      <c r="H1983">
        <v>0.96370919999999904</v>
      </c>
      <c r="I1983">
        <v>284.48099999999999</v>
      </c>
      <c r="J1983">
        <v>-293.35860000000002</v>
      </c>
      <c r="K1983">
        <v>1.120608</v>
      </c>
      <c r="L1983">
        <v>284.4545</v>
      </c>
      <c r="M1983">
        <v>-0.99979470000000004</v>
      </c>
      <c r="N1983">
        <v>-1.099935E-2</v>
      </c>
      <c r="O1983">
        <v>1.702354E-2</v>
      </c>
      <c r="P1983">
        <v>-0.98368180000000005</v>
      </c>
      <c r="Q1983">
        <v>0.17615999999999901</v>
      </c>
      <c r="R1983">
        <v>3.6578090000000001E-2</v>
      </c>
      <c r="S1983">
        <v>-3.1657099999999998</v>
      </c>
      <c r="T1983">
        <v>-0.66697600000000001</v>
      </c>
      <c r="U1983">
        <v>0.13470460000000001</v>
      </c>
      <c r="V1983">
        <v>1.9797220000000001E-2</v>
      </c>
      <c r="W1983">
        <v>0.1869779</v>
      </c>
      <c r="X1983">
        <v>0.98216460000000005</v>
      </c>
      <c r="Y1983">
        <v>2.5249549999999999E-2</v>
      </c>
      <c r="Z1983">
        <v>-5.9006849999999997E-4</v>
      </c>
      <c r="AA1983">
        <v>0.99968100000000004</v>
      </c>
      <c r="AB1983">
        <v>31</v>
      </c>
      <c r="AC1983">
        <v>-0.43449999999995698</v>
      </c>
      <c r="AD1983">
        <v>-0.1568988</v>
      </c>
      <c r="AE1983">
        <v>2.6499999999998601E-2</v>
      </c>
      <c r="AF1983">
        <v>1.6903081823340001E-2</v>
      </c>
      <c r="AG1983">
        <v>-0.1568988</v>
      </c>
      <c r="AH1983">
        <v>0.38488697853639497</v>
      </c>
      <c r="AI1983">
        <v>112.158928522686</v>
      </c>
      <c r="AJ1983">
        <v>87.485357029335205</v>
      </c>
      <c r="AK1983">
        <v>0.41598189126864898</v>
      </c>
      <c r="AL1983">
        <v>79.223529643724206</v>
      </c>
      <c r="AM1983">
        <v>88.845261201282796</v>
      </c>
      <c r="AN1983">
        <v>0.99999998325064898</v>
      </c>
    </row>
    <row r="1984" spans="1:40" x14ac:dyDescent="0.25">
      <c r="A1984" t="str">
        <f>"20190303162252754"</f>
        <v>20190303162252754</v>
      </c>
      <c r="B1984" t="str">
        <f>"1551601372746890"</f>
        <v>1551601372746890</v>
      </c>
      <c r="C1984" t="s">
        <v>40</v>
      </c>
      <c r="D1984">
        <v>5.6604109999999999</v>
      </c>
      <c r="E1984">
        <v>0.50311049999999902</v>
      </c>
      <c r="F1984" t="s">
        <v>42</v>
      </c>
      <c r="G1984">
        <v>-294.07650000000001</v>
      </c>
      <c r="H1984">
        <v>0.96851679999999996</v>
      </c>
      <c r="I1984">
        <v>284.48820000000001</v>
      </c>
      <c r="J1984">
        <v>-293.54640000000001</v>
      </c>
      <c r="K1984">
        <v>1.1206039999999999</v>
      </c>
      <c r="L1984">
        <v>284.45760000000001</v>
      </c>
      <c r="M1984">
        <v>-0.99979549999999995</v>
      </c>
      <c r="N1984">
        <v>-1.100187E-2</v>
      </c>
      <c r="O1984">
        <v>1.697036E-2</v>
      </c>
      <c r="P1984">
        <v>-0.98365349999999996</v>
      </c>
      <c r="Q1984">
        <v>0.17557110000000001</v>
      </c>
      <c r="R1984">
        <v>4.000828E-2</v>
      </c>
      <c r="S1984">
        <v>-3.1643680000000001</v>
      </c>
      <c r="T1984">
        <v>-0.67058399999999996</v>
      </c>
      <c r="U1984">
        <v>0.14727779999999999</v>
      </c>
      <c r="V1984">
        <v>2.3279830000000001E-2</v>
      </c>
      <c r="W1984">
        <v>0.18639240000000001</v>
      </c>
      <c r="X1984">
        <v>0.9821995</v>
      </c>
      <c r="Y1984">
        <v>2.9189329999999999E-2</v>
      </c>
      <c r="Z1984">
        <v>-1.49975499999999E-4</v>
      </c>
      <c r="AA1984">
        <v>0.99957390000000002</v>
      </c>
      <c r="AB1984">
        <v>31</v>
      </c>
      <c r="AC1984">
        <v>-0.53010000000000401</v>
      </c>
      <c r="AD1984">
        <v>-0.15208720000000001</v>
      </c>
      <c r="AE1984">
        <v>3.0599999999992598E-2</v>
      </c>
      <c r="AF1984">
        <v>1.9961427851116001E-2</v>
      </c>
      <c r="AG1984">
        <v>-0.15208720000000001</v>
      </c>
      <c r="AH1984">
        <v>0.49031739961834597</v>
      </c>
      <c r="AI1984">
        <v>107.21948383726</v>
      </c>
      <c r="AJ1984">
        <v>87.668705339886102</v>
      </c>
      <c r="AK1984">
        <v>0.51375103637286401</v>
      </c>
      <c r="AL1984">
        <v>79.257676463977504</v>
      </c>
      <c r="AM1984">
        <v>88.642244961126394</v>
      </c>
      <c r="AN1984">
        <v>0.99999996753141895</v>
      </c>
    </row>
    <row r="1985" spans="1:40" x14ac:dyDescent="0.25">
      <c r="A1985" t="str">
        <f>"20190303162252774"</f>
        <v>20190303162252774</v>
      </c>
      <c r="B1985" t="str">
        <f>"1551601372766409"</f>
        <v>1551601372766409</v>
      </c>
      <c r="C1985" t="s">
        <v>40</v>
      </c>
      <c r="D1985">
        <v>5.5798389999999998</v>
      </c>
      <c r="E1985">
        <v>0.52110219999999996</v>
      </c>
      <c r="F1985" t="s">
        <v>42</v>
      </c>
      <c r="G1985">
        <v>-294.34879999999998</v>
      </c>
      <c r="H1985">
        <v>0.95000870000000004</v>
      </c>
      <c r="I1985">
        <v>284.49689999999998</v>
      </c>
      <c r="J1985">
        <v>-293.82569999999998</v>
      </c>
      <c r="K1985">
        <v>1.120587</v>
      </c>
      <c r="L1985">
        <v>284.46230000000003</v>
      </c>
      <c r="M1985">
        <v>-0.99979669999999998</v>
      </c>
      <c r="N1985">
        <v>-1.10057E-2</v>
      </c>
      <c r="O1985">
        <v>1.6890820000000001E-2</v>
      </c>
      <c r="P1985">
        <v>-0.983595</v>
      </c>
      <c r="Q1985">
        <v>0.17416770000000001</v>
      </c>
      <c r="R1985">
        <v>4.6974740000000001E-2</v>
      </c>
      <c r="S1985">
        <v>-3.1636350000000002</v>
      </c>
      <c r="T1985">
        <v>-0.67257270000000002</v>
      </c>
      <c r="U1985">
        <v>0.15438840000000001</v>
      </c>
      <c r="V1985">
        <v>3.0324750000000001E-2</v>
      </c>
      <c r="W1985">
        <v>0.1849942</v>
      </c>
      <c r="X1985">
        <v>0.98227160000000002</v>
      </c>
      <c r="Y1985">
        <v>3.146413E-2</v>
      </c>
      <c r="Z1985">
        <v>1.1613939999999999E-4</v>
      </c>
      <c r="AA1985">
        <v>0.99950490000000003</v>
      </c>
      <c r="AB1985">
        <v>31</v>
      </c>
      <c r="AC1985">
        <v>-0.52309999999999901</v>
      </c>
      <c r="AD1985">
        <v>-0.17057829999999999</v>
      </c>
      <c r="AE1985">
        <v>3.4599999999954799E-2</v>
      </c>
      <c r="AF1985">
        <v>2.3292870671807599E-2</v>
      </c>
      <c r="AG1985">
        <v>-0.17057829999999999</v>
      </c>
      <c r="AH1985">
        <v>0.47348128648636201</v>
      </c>
      <c r="AI1985">
        <v>109.790198577693</v>
      </c>
      <c r="AJ1985">
        <v>87.183609669179603</v>
      </c>
      <c r="AK1985">
        <v>0.50380953038604104</v>
      </c>
      <c r="AL1985">
        <v>79.339205434652698</v>
      </c>
      <c r="AM1985">
        <v>88.231722756814605</v>
      </c>
      <c r="AN1985">
        <v>0.99999997033137999</v>
      </c>
    </row>
    <row r="1986" spans="1:40" x14ac:dyDescent="0.25">
      <c r="A1986" t="str">
        <f>"20190303162252788"</f>
        <v>20190303162252788</v>
      </c>
      <c r="B1986" t="str">
        <f>"1551601372776168"</f>
        <v>1551601372776168</v>
      </c>
      <c r="C1986" t="s">
        <v>40</v>
      </c>
      <c r="D1986">
        <v>5.5762099999999997</v>
      </c>
      <c r="E1986">
        <v>0.52156380000000002</v>
      </c>
      <c r="F1986" t="s">
        <v>42</v>
      </c>
      <c r="G1986">
        <v>-294.60559999999998</v>
      </c>
      <c r="H1986">
        <v>0.90039669999999905</v>
      </c>
      <c r="I1986">
        <v>284.5385</v>
      </c>
      <c r="J1986">
        <v>-294.02589999999998</v>
      </c>
      <c r="K1986">
        <v>1.1205860000000001</v>
      </c>
      <c r="L1986">
        <v>284.46570000000003</v>
      </c>
      <c r="M1986">
        <v>-0.99979779999999996</v>
      </c>
      <c r="N1986">
        <v>-1.1008510000000001E-2</v>
      </c>
      <c r="O1986">
        <v>1.683347E-2</v>
      </c>
      <c r="P1986">
        <v>-0.98361189999999998</v>
      </c>
      <c r="Q1986">
        <v>0.17302619999999999</v>
      </c>
      <c r="R1986">
        <v>5.0693189999999999E-2</v>
      </c>
      <c r="S1986">
        <v>-3.194855</v>
      </c>
      <c r="T1986">
        <v>-0.90203199999999994</v>
      </c>
      <c r="U1986">
        <v>0.31127929999999998</v>
      </c>
      <c r="V1986">
        <v>3.409914E-2</v>
      </c>
      <c r="W1986">
        <v>0.1838572</v>
      </c>
      <c r="X1986">
        <v>0.98236129999999999</v>
      </c>
      <c r="Y1986">
        <v>7.7675069999999999E-2</v>
      </c>
      <c r="Z1986">
        <v>6.6995680000000004E-3</v>
      </c>
      <c r="AA1986">
        <v>0.99695619999999996</v>
      </c>
      <c r="AB1986">
        <v>31</v>
      </c>
      <c r="AC1986">
        <v>-0.57970000000000199</v>
      </c>
      <c r="AD1986">
        <v>-0.2201893</v>
      </c>
      <c r="AE1986">
        <v>7.2799999999972401E-2</v>
      </c>
      <c r="AF1986">
        <v>5.5191676713016197E-2</v>
      </c>
      <c r="AG1986">
        <v>-0.2201893</v>
      </c>
      <c r="AH1986">
        <v>0.50860462753858404</v>
      </c>
      <c r="AI1986">
        <v>113.287116778306</v>
      </c>
      <c r="AJ1986">
        <v>83.806732433068305</v>
      </c>
      <c r="AK1986">
        <v>0.55696329876083095</v>
      </c>
      <c r="AL1986">
        <v>79.405487741525903</v>
      </c>
      <c r="AM1986">
        <v>88.011981233404398</v>
      </c>
      <c r="AN1986">
        <v>0.99999997253913397</v>
      </c>
    </row>
    <row r="1987" spans="1:40" x14ac:dyDescent="0.25">
      <c r="A1987" t="str">
        <f>"20190303162252802"</f>
        <v>20190303162252802</v>
      </c>
      <c r="B1987" t="str">
        <f>"1551601372796666"</f>
        <v>1551601372796666</v>
      </c>
      <c r="C1987" t="s">
        <v>40</v>
      </c>
      <c r="D1987">
        <v>5.5535480000000002</v>
      </c>
      <c r="E1987">
        <v>0.52155149999999995</v>
      </c>
      <c r="F1987" t="s">
        <v>42</v>
      </c>
      <c r="G1987">
        <v>-294.87459999999999</v>
      </c>
      <c r="H1987">
        <v>0.86924169999999901</v>
      </c>
      <c r="I1987">
        <v>284.55110000000002</v>
      </c>
      <c r="J1987">
        <v>-294.22550000000001</v>
      </c>
      <c r="K1987">
        <v>1.120582</v>
      </c>
      <c r="L1987">
        <v>284.46899999999999</v>
      </c>
      <c r="M1987">
        <v>-0.99979870000000004</v>
      </c>
      <c r="N1987">
        <v>-1.101135E-2</v>
      </c>
      <c r="O1987">
        <v>1.677677E-2</v>
      </c>
      <c r="P1987">
        <v>-0.9835353</v>
      </c>
      <c r="Q1987">
        <v>0.1725216</v>
      </c>
      <c r="R1987">
        <v>5.3805999999999903E-2</v>
      </c>
      <c r="S1987">
        <v>-3.2001650000000001</v>
      </c>
      <c r="T1987">
        <v>-0.94771519999999998</v>
      </c>
      <c r="U1987">
        <v>0.32150269999999997</v>
      </c>
      <c r="V1987">
        <v>3.7268700000000002E-2</v>
      </c>
      <c r="W1987">
        <v>0.1833553</v>
      </c>
      <c r="X1987">
        <v>0.98233999999999999</v>
      </c>
      <c r="Y1987">
        <v>8.0365770000000003E-2</v>
      </c>
      <c r="Z1987">
        <v>7.4049169999999996E-3</v>
      </c>
      <c r="AA1987">
        <v>0.99673800000000001</v>
      </c>
      <c r="AB1987">
        <v>31</v>
      </c>
      <c r="AC1987">
        <v>-0.64909999999997503</v>
      </c>
      <c r="AD1987">
        <v>-0.25134030000000002</v>
      </c>
      <c r="AE1987">
        <v>8.2100000000025306E-2</v>
      </c>
      <c r="AF1987">
        <v>6.2042201365914498E-2</v>
      </c>
      <c r="AG1987">
        <v>-0.25134030000000002</v>
      </c>
      <c r="AH1987">
        <v>0.56674898794740902</v>
      </c>
      <c r="AI1987">
        <v>113.789979981624</v>
      </c>
      <c r="AJ1987">
        <v>83.752688007961098</v>
      </c>
      <c r="AK1987">
        <v>0.62307752045297804</v>
      </c>
      <c r="AL1987">
        <v>79.434742098355301</v>
      </c>
      <c r="AM1987">
        <v>87.827314773546206</v>
      </c>
      <c r="AN1987">
        <v>0.99999999881888901</v>
      </c>
    </row>
    <row r="1988" spans="1:40" x14ac:dyDescent="0.25">
      <c r="A1988" t="str">
        <f>"20190303162252820"</f>
        <v>20190303162252820</v>
      </c>
      <c r="B1988" t="str">
        <f>"1551601372816185"</f>
        <v>1551601372816185</v>
      </c>
      <c r="C1988" t="s">
        <v>40</v>
      </c>
      <c r="D1988">
        <v>5.5677490000000001</v>
      </c>
      <c r="E1988">
        <v>0.52150200000000002</v>
      </c>
      <c r="F1988" t="s">
        <v>42</v>
      </c>
      <c r="G1988">
        <v>-294.8947</v>
      </c>
      <c r="H1988">
        <v>0.9163036</v>
      </c>
      <c r="I1988">
        <v>284.5376</v>
      </c>
      <c r="J1988">
        <v>-294.46800000000002</v>
      </c>
      <c r="K1988">
        <v>1.1205830000000001</v>
      </c>
      <c r="L1988">
        <v>284.47309999999999</v>
      </c>
      <c r="M1988">
        <v>-0.99979980000000002</v>
      </c>
      <c r="N1988">
        <v>-1.101484E-2</v>
      </c>
      <c r="O1988">
        <v>1.670773E-2</v>
      </c>
      <c r="P1988">
        <v>-0.98331179999999996</v>
      </c>
      <c r="Q1988">
        <v>0.17220360000000001</v>
      </c>
      <c r="R1988">
        <v>5.8683520000000003E-2</v>
      </c>
      <c r="S1988">
        <v>-3.2038570000000002</v>
      </c>
      <c r="T1988">
        <v>-0.97797350000000005</v>
      </c>
      <c r="U1988">
        <v>0.32757570000000003</v>
      </c>
      <c r="V1988">
        <v>4.2216999999999998E-2</v>
      </c>
      <c r="W1988">
        <v>0.1830398</v>
      </c>
      <c r="X1988">
        <v>0.98219869999999998</v>
      </c>
      <c r="Y1988">
        <v>8.1943409999999994E-2</v>
      </c>
      <c r="Z1988">
        <v>7.8677239999999996E-3</v>
      </c>
      <c r="AA1988">
        <v>0.99660590000000004</v>
      </c>
      <c r="AB1988">
        <v>31</v>
      </c>
      <c r="AC1988">
        <v>-0.42669999999998198</v>
      </c>
      <c r="AD1988">
        <v>-0.204279399999999</v>
      </c>
      <c r="AE1988">
        <v>6.4500000000009494E-2</v>
      </c>
      <c r="AF1988">
        <v>4.6861021452985201E-2</v>
      </c>
      <c r="AG1988">
        <v>-0.204279399999999</v>
      </c>
      <c r="AH1988">
        <v>0.34942169953673402</v>
      </c>
      <c r="AI1988">
        <v>120.089456351199</v>
      </c>
      <c r="AJ1988">
        <v>82.361626197975696</v>
      </c>
      <c r="AK1988">
        <v>0.40745742440544203</v>
      </c>
      <c r="AL1988">
        <v>79.453130818148395</v>
      </c>
      <c r="AM1988">
        <v>87.538819803495102</v>
      </c>
      <c r="AN1988">
        <v>1.0000000648773599</v>
      </c>
    </row>
    <row r="1989" spans="1:40" x14ac:dyDescent="0.25">
      <c r="A1989" t="str">
        <f>"20190303162252842"</f>
        <v>20190303162252842</v>
      </c>
      <c r="B1989" t="str">
        <f>"1551601372836681"</f>
        <v>1551601372836681</v>
      </c>
      <c r="C1989" t="s">
        <v>40</v>
      </c>
      <c r="D1989">
        <v>5.5718009999999998</v>
      </c>
      <c r="E1989">
        <v>0.52095599999999997</v>
      </c>
      <c r="F1989" t="s">
        <v>42</v>
      </c>
      <c r="G1989">
        <v>-295.17090000000002</v>
      </c>
      <c r="H1989">
        <v>0.90452120000000003</v>
      </c>
      <c r="I1989">
        <v>284.54829999999998</v>
      </c>
      <c r="J1989">
        <v>-294.78160000000003</v>
      </c>
      <c r="K1989">
        <v>1.120581</v>
      </c>
      <c r="L1989">
        <v>284.47829999999999</v>
      </c>
      <c r="M1989">
        <v>-0.9998011</v>
      </c>
      <c r="N1989">
        <v>-1.101941E-2</v>
      </c>
      <c r="O1989">
        <v>1.661907E-2</v>
      </c>
      <c r="P1989">
        <v>-0.98303249999999998</v>
      </c>
      <c r="Q1989">
        <v>0.17248929999999901</v>
      </c>
      <c r="R1989">
        <v>6.2405309999999999E-2</v>
      </c>
      <c r="S1989">
        <v>-3.2029420000000002</v>
      </c>
      <c r="T1989">
        <v>-0.98450119999999997</v>
      </c>
      <c r="U1989">
        <v>0.34133909999999901</v>
      </c>
      <c r="V1989">
        <v>4.603003E-2</v>
      </c>
      <c r="W1989">
        <v>0.18332850000000001</v>
      </c>
      <c r="X1989">
        <v>0.98197350000000005</v>
      </c>
      <c r="Y1989">
        <v>8.6057519999999998E-2</v>
      </c>
      <c r="Z1989">
        <v>8.5800010000000003E-3</v>
      </c>
      <c r="AA1989">
        <v>0.99625330000000001</v>
      </c>
      <c r="AB1989">
        <v>32</v>
      </c>
      <c r="AC1989">
        <v>-0.38929999999999099</v>
      </c>
      <c r="AD1989">
        <v>-0.2160598</v>
      </c>
      <c r="AE1989">
        <v>6.9999999999993096E-2</v>
      </c>
      <c r="AF1989">
        <v>4.8922860474521997E-2</v>
      </c>
      <c r="AG1989">
        <v>-0.2160598</v>
      </c>
      <c r="AH1989">
        <v>0.300691368577576</v>
      </c>
      <c r="AI1989">
        <v>125.344937706503</v>
      </c>
      <c r="AJ1989">
        <v>80.758880186079907</v>
      </c>
      <c r="AK1989">
        <v>0.37348438065079198</v>
      </c>
      <c r="AL1989">
        <v>79.436304421073004</v>
      </c>
      <c r="AM1989">
        <v>87.316223548782304</v>
      </c>
      <c r="AN1989">
        <v>1.0000000286381501</v>
      </c>
    </row>
    <row r="1990" spans="1:40" x14ac:dyDescent="0.25">
      <c r="A1990" t="str">
        <f>"20190303162252864"</f>
        <v>20190303162252864</v>
      </c>
      <c r="B1990" t="str">
        <f>"1551601372856201"</f>
        <v>1551601372856201</v>
      </c>
      <c r="C1990" t="s">
        <v>40</v>
      </c>
      <c r="D1990">
        <v>5.5535920000000001</v>
      </c>
      <c r="E1990">
        <v>0.52029510000000001</v>
      </c>
      <c r="F1990" t="s">
        <v>42</v>
      </c>
      <c r="G1990">
        <v>-295.45690000000002</v>
      </c>
      <c r="H1990">
        <v>0.91316410000000003</v>
      </c>
      <c r="I1990">
        <v>284.55200000000002</v>
      </c>
      <c r="J1990">
        <v>-295.09429999999998</v>
      </c>
      <c r="K1990">
        <v>1.1205719999999999</v>
      </c>
      <c r="L1990">
        <v>284.48340000000002</v>
      </c>
      <c r="M1990">
        <v>-0.99980259999999999</v>
      </c>
      <c r="N1990">
        <v>-1.1024010000000001E-2</v>
      </c>
      <c r="O1990">
        <v>1.6530119999999999E-2</v>
      </c>
      <c r="P1990">
        <v>-0.98292579999999996</v>
      </c>
      <c r="Q1990">
        <v>0.17239189999999999</v>
      </c>
      <c r="R1990">
        <v>6.4328120000000003E-2</v>
      </c>
      <c r="S1990">
        <v>-3.2021790000000001</v>
      </c>
      <c r="T1990">
        <v>-0.98360380000000003</v>
      </c>
      <c r="U1990">
        <v>0.34945680000000001</v>
      </c>
      <c r="V1990">
        <v>4.804191E-2</v>
      </c>
      <c r="W1990">
        <v>0.1832348</v>
      </c>
      <c r="X1990">
        <v>0.98189459999999995</v>
      </c>
      <c r="Y1990">
        <v>8.8551039999999998E-2</v>
      </c>
      <c r="Z1990">
        <v>8.9872849999999994E-3</v>
      </c>
      <c r="AA1990">
        <v>0.99603109999999995</v>
      </c>
      <c r="AB1990">
        <v>32</v>
      </c>
      <c r="AC1990">
        <v>-0.362600000000043</v>
      </c>
      <c r="AD1990">
        <v>-0.20740790000000001</v>
      </c>
      <c r="AE1990">
        <v>6.8600000000003505E-2</v>
      </c>
      <c r="AF1990">
        <v>4.7570019711888498E-2</v>
      </c>
      <c r="AG1990">
        <v>-0.20740790000000001</v>
      </c>
      <c r="AH1990">
        <v>0.27638118289908598</v>
      </c>
      <c r="AI1990">
        <v>126.485399773654</v>
      </c>
      <c r="AJ1990">
        <v>80.234083782800695</v>
      </c>
      <c r="AK1990">
        <v>0.34880868971184997</v>
      </c>
      <c r="AL1990">
        <v>79.441765359068995</v>
      </c>
      <c r="AM1990">
        <v>87.198879262455904</v>
      </c>
      <c r="AN1990">
        <v>1.0000000112783201</v>
      </c>
    </row>
    <row r="1991" spans="1:40" x14ac:dyDescent="0.25">
      <c r="A1991" t="str">
        <f>"20190303162252886"</f>
        <v>20190303162252886</v>
      </c>
      <c r="B1991" t="str">
        <f>"1551601372876697"</f>
        <v>1551601372876697</v>
      </c>
      <c r="C1991" t="s">
        <v>40</v>
      </c>
      <c r="D1991">
        <v>5.5664850000000001</v>
      </c>
      <c r="E1991">
        <v>0.52066950000000001</v>
      </c>
      <c r="F1991" t="s">
        <v>42</v>
      </c>
      <c r="G1991">
        <v>-295.99329999999998</v>
      </c>
      <c r="H1991">
        <v>0.84502149999999998</v>
      </c>
      <c r="I1991">
        <v>284.58179999999999</v>
      </c>
      <c r="J1991">
        <v>-295.4024</v>
      </c>
      <c r="K1991">
        <v>1.12056</v>
      </c>
      <c r="L1991">
        <v>284.48840000000001</v>
      </c>
      <c r="M1991">
        <v>-0.99980400000000003</v>
      </c>
      <c r="N1991">
        <v>-1.102859E-2</v>
      </c>
      <c r="O1991">
        <v>1.6442180000000001E-2</v>
      </c>
      <c r="P1991">
        <v>-0.98303499999999999</v>
      </c>
      <c r="Q1991">
        <v>0.1709917</v>
      </c>
      <c r="R1991">
        <v>6.6362489999999996E-2</v>
      </c>
      <c r="S1991">
        <v>-3.201263</v>
      </c>
      <c r="T1991">
        <v>-0.98115180000000002</v>
      </c>
      <c r="U1991">
        <v>0.35034179999999998</v>
      </c>
      <c r="V1991">
        <v>5.016114E-2</v>
      </c>
      <c r="W1991">
        <v>0.18184139999999999</v>
      </c>
      <c r="X1991">
        <v>0.98204760000000002</v>
      </c>
      <c r="Y1991">
        <v>8.8934319999999997E-2</v>
      </c>
      <c r="Z1991">
        <v>9.0546150000000002E-3</v>
      </c>
      <c r="AA1991">
        <v>0.9959964</v>
      </c>
      <c r="AB1991">
        <v>32</v>
      </c>
      <c r="AC1991">
        <v>-0.590899999999976</v>
      </c>
      <c r="AD1991">
        <v>-0.27553850000000002</v>
      </c>
      <c r="AE1991">
        <v>9.3399999999974101E-2</v>
      </c>
      <c r="AF1991">
        <v>6.9027672935673301E-2</v>
      </c>
      <c r="AG1991">
        <v>-0.27553850000000002</v>
      </c>
      <c r="AH1991">
        <v>0.48868666554442802</v>
      </c>
      <c r="AI1991">
        <v>119.17430386431801</v>
      </c>
      <c r="AJ1991">
        <v>81.960080401938697</v>
      </c>
      <c r="AK1991">
        <v>0.565244143440776</v>
      </c>
      <c r="AL1991">
        <v>79.522965041823497</v>
      </c>
      <c r="AM1991">
        <v>87.075980729316697</v>
      </c>
      <c r="AN1991">
        <v>0.99999996169290895</v>
      </c>
    </row>
    <row r="1992" spans="1:40" x14ac:dyDescent="0.25">
      <c r="A1992" t="str">
        <f>"20190303162252919"</f>
        <v>20190303162252919</v>
      </c>
      <c r="B1992" t="str">
        <f>"1551601372916713"</f>
        <v>1551601372916713</v>
      </c>
      <c r="C1992" t="s">
        <v>40</v>
      </c>
      <c r="D1992">
        <v>5.5019710000000002</v>
      </c>
      <c r="E1992">
        <v>0.52698970000000001</v>
      </c>
      <c r="F1992" t="s">
        <v>42</v>
      </c>
      <c r="G1992">
        <v>-296.27710000000002</v>
      </c>
      <c r="H1992">
        <v>0.84813819999999995</v>
      </c>
      <c r="I1992">
        <v>284.58760000000001</v>
      </c>
      <c r="J1992">
        <v>-295.88040000000001</v>
      </c>
      <c r="K1992">
        <v>1.120557</v>
      </c>
      <c r="L1992">
        <v>284.49610000000001</v>
      </c>
      <c r="M1992">
        <v>-0.99980630000000004</v>
      </c>
      <c r="N1992">
        <v>-1.103586E-2</v>
      </c>
      <c r="O1992">
        <v>1.6306359999999999E-2</v>
      </c>
      <c r="P1992">
        <v>-0.98336270000000003</v>
      </c>
      <c r="Q1992">
        <v>0.1707195</v>
      </c>
      <c r="R1992">
        <v>6.2072500000000003E-2</v>
      </c>
      <c r="S1992">
        <v>-3.200745</v>
      </c>
      <c r="T1992">
        <v>-0.99691560000000001</v>
      </c>
      <c r="U1992">
        <v>0.36154170000000002</v>
      </c>
      <c r="V1992">
        <v>4.5999930000000001E-2</v>
      </c>
      <c r="W1992">
        <v>0.1815784</v>
      </c>
      <c r="X1992">
        <v>0.98229999999999995</v>
      </c>
      <c r="Y1992">
        <v>9.2254909999999996E-2</v>
      </c>
      <c r="Z1992">
        <v>9.7459049999999992E-3</v>
      </c>
      <c r="AA1992">
        <v>0.99568769999999995</v>
      </c>
      <c r="AB1992">
        <v>32</v>
      </c>
      <c r="AC1992">
        <v>-0.39670000000000899</v>
      </c>
      <c r="AD1992">
        <v>-0.27241880000000002</v>
      </c>
      <c r="AE1992">
        <v>9.1499999999996307E-2</v>
      </c>
      <c r="AF1992">
        <v>5.8724590372445998E-2</v>
      </c>
      <c r="AG1992">
        <v>-0.27241880000000002</v>
      </c>
      <c r="AH1992">
        <v>0.27500502362172102</v>
      </c>
      <c r="AI1992">
        <v>134.09075659099801</v>
      </c>
      <c r="AJ1992">
        <v>77.946096138929406</v>
      </c>
      <c r="AK1992">
        <v>0.39152055262148699</v>
      </c>
      <c r="AL1992">
        <v>79.538289341483093</v>
      </c>
      <c r="AM1992">
        <v>87.318866121665195</v>
      </c>
      <c r="AN1992">
        <v>0.999999999453282</v>
      </c>
    </row>
    <row r="1993" spans="1:40" x14ac:dyDescent="0.25">
      <c r="A1993" t="str">
        <f>"20190303162252942"</f>
        <v>20190303162252942</v>
      </c>
      <c r="B1993" t="str">
        <f>"1551601372936233"</f>
        <v>1551601372936233</v>
      </c>
      <c r="C1993" t="s">
        <v>40</v>
      </c>
      <c r="D1993">
        <v>5.4766879999999896</v>
      </c>
      <c r="E1993">
        <v>0.52658919999999998</v>
      </c>
      <c r="F1993" t="s">
        <v>42</v>
      </c>
      <c r="G1993">
        <v>-296.56959999999998</v>
      </c>
      <c r="H1993">
        <v>0.87263630000000003</v>
      </c>
      <c r="I1993">
        <v>284.58159999999998</v>
      </c>
      <c r="J1993">
        <v>-296.19639999999998</v>
      </c>
      <c r="K1993">
        <v>1.120557</v>
      </c>
      <c r="L1993">
        <v>284.50119999999998</v>
      </c>
      <c r="M1993">
        <v>-0.99980760000000002</v>
      </c>
      <c r="N1993">
        <v>-1.1040680000000001E-2</v>
      </c>
      <c r="O1993">
        <v>1.6216040000000001E-2</v>
      </c>
      <c r="P1993">
        <v>-0.98353970000000002</v>
      </c>
      <c r="Q1993">
        <v>0.17086699999999999</v>
      </c>
      <c r="R1993">
        <v>5.8773409999999998E-2</v>
      </c>
      <c r="S1993">
        <v>-3.2270509999999999</v>
      </c>
      <c r="T1993">
        <v>-1.160833</v>
      </c>
      <c r="U1993">
        <v>0.39953610000000001</v>
      </c>
      <c r="V1993">
        <v>4.2787430000000001E-2</v>
      </c>
      <c r="W1993">
        <v>0.18173120000000001</v>
      </c>
      <c r="X1993">
        <v>0.98241690000000004</v>
      </c>
      <c r="Y1993">
        <v>0.1012401</v>
      </c>
      <c r="Z1993">
        <v>1.2710849999999999E-2</v>
      </c>
      <c r="AA1993">
        <v>0.99478080000000002</v>
      </c>
      <c r="AB1993">
        <v>32</v>
      </c>
      <c r="AC1993">
        <v>-0.37319999999999698</v>
      </c>
      <c r="AD1993">
        <v>-0.24792069999999899</v>
      </c>
      <c r="AE1993">
        <v>8.0399999999997293E-2</v>
      </c>
      <c r="AF1993">
        <v>5.2286277984355201E-2</v>
      </c>
      <c r="AG1993">
        <v>-0.24792069999999899</v>
      </c>
      <c r="AH1993">
        <v>0.263378735918949</v>
      </c>
      <c r="AI1993">
        <v>132.71600463527</v>
      </c>
      <c r="AJ1993">
        <v>78.771557640583694</v>
      </c>
      <c r="AK1993">
        <v>0.36546803812127099</v>
      </c>
      <c r="AL1993">
        <v>79.529386209549301</v>
      </c>
      <c r="AM1993">
        <v>87.506159735269193</v>
      </c>
      <c r="AN1993">
        <v>0.99999997931252704</v>
      </c>
    </row>
    <row r="1994" spans="1:40" x14ac:dyDescent="0.25">
      <c r="A1994" t="str">
        <f>"20190303162252966"</f>
        <v>20190303162252966</v>
      </c>
      <c r="B1994" t="str">
        <f>"1551601372956729"</f>
        <v>1551601372956729</v>
      </c>
      <c r="C1994" t="s">
        <v>40</v>
      </c>
      <c r="D1994">
        <v>5.4442550000000001</v>
      </c>
      <c r="E1994">
        <v>0.52637060000000002</v>
      </c>
      <c r="F1994" t="s">
        <v>42</v>
      </c>
      <c r="G1994">
        <v>-296.8571</v>
      </c>
      <c r="H1994">
        <v>0.88431979999999999</v>
      </c>
      <c r="I1994">
        <v>284.57990000000001</v>
      </c>
      <c r="J1994">
        <v>-296.53140000000002</v>
      </c>
      <c r="K1994">
        <v>1.1205499999999999</v>
      </c>
      <c r="L1994">
        <v>284.50650000000002</v>
      </c>
      <c r="M1994">
        <v>-0.99980910000000001</v>
      </c>
      <c r="N1994">
        <v>-1.104582E-2</v>
      </c>
      <c r="O1994">
        <v>1.6121170000000001E-2</v>
      </c>
      <c r="P1994">
        <v>-0.98372740000000003</v>
      </c>
      <c r="Q1994">
        <v>0.1707186</v>
      </c>
      <c r="R1994">
        <v>5.5997020000000002E-2</v>
      </c>
      <c r="S1994">
        <v>-3.2277529999999999</v>
      </c>
      <c r="T1994">
        <v>-1.1540969999999999</v>
      </c>
      <c r="U1994">
        <v>0.38400269999999997</v>
      </c>
      <c r="V1994">
        <v>4.0101480000000002E-2</v>
      </c>
      <c r="W1994">
        <v>0.1815891</v>
      </c>
      <c r="X1994">
        <v>0.98255650000000005</v>
      </c>
      <c r="Y1994">
        <v>9.6915769999999998E-2</v>
      </c>
      <c r="Z1994">
        <v>1.1905890000000001E-2</v>
      </c>
      <c r="AA1994">
        <v>0.99522140000000003</v>
      </c>
      <c r="AB1994">
        <v>32</v>
      </c>
      <c r="AC1994">
        <v>-0.325699999999983</v>
      </c>
      <c r="AD1994">
        <v>-0.236230199999999</v>
      </c>
      <c r="AE1994">
        <v>7.3399999999992305E-2</v>
      </c>
      <c r="AF1994">
        <v>4.5407121510172802E-2</v>
      </c>
      <c r="AG1994">
        <v>-0.236230199999999</v>
      </c>
      <c r="AH1994">
        <v>0.21780195030074501</v>
      </c>
      <c r="AI1994">
        <v>136.71635218678799</v>
      </c>
      <c r="AJ1994">
        <v>78.223715235798196</v>
      </c>
      <c r="AK1994">
        <v>0.324506091823694</v>
      </c>
      <c r="AL1994">
        <v>79.537665947999201</v>
      </c>
      <c r="AM1994">
        <v>87.662861042533393</v>
      </c>
      <c r="AN1994">
        <v>1.0000000028146201</v>
      </c>
    </row>
    <row r="1995" spans="1:40" x14ac:dyDescent="0.25">
      <c r="A1995" t="str">
        <f>"20190303162252987"</f>
        <v>20190303162252987</v>
      </c>
      <c r="B1995" t="str">
        <f>"1551601372976250"</f>
        <v>1551601372976250</v>
      </c>
      <c r="C1995" t="s">
        <v>40</v>
      </c>
      <c r="D1995">
        <v>5.6195899999999996</v>
      </c>
      <c r="E1995">
        <v>0.5263198</v>
      </c>
      <c r="F1995" t="s">
        <v>42</v>
      </c>
      <c r="G1995">
        <v>-297.39499999999998</v>
      </c>
      <c r="H1995">
        <v>0.81370929999999997</v>
      </c>
      <c r="I1995">
        <v>284.60610000000003</v>
      </c>
      <c r="J1995">
        <v>-296.8347</v>
      </c>
      <c r="K1995">
        <v>1.1205350000000001</v>
      </c>
      <c r="L1995">
        <v>284.51130000000001</v>
      </c>
      <c r="M1995">
        <v>-0.99981039999999999</v>
      </c>
      <c r="N1995">
        <v>-1.1050529999999999E-2</v>
      </c>
      <c r="O1995">
        <v>1.6034899999999901E-2</v>
      </c>
      <c r="P1995">
        <v>-0.98416749999999997</v>
      </c>
      <c r="Q1995">
        <v>0.16881769999999999</v>
      </c>
      <c r="R1995">
        <v>5.3991949999999997E-2</v>
      </c>
      <c r="S1995">
        <v>-3.227509</v>
      </c>
      <c r="T1995">
        <v>-1.1467229999999999</v>
      </c>
      <c r="U1995">
        <v>0.3710022</v>
      </c>
      <c r="V1995">
        <v>3.8174960000000001E-2</v>
      </c>
      <c r="W1995">
        <v>0.1796972</v>
      </c>
      <c r="X1995">
        <v>0.98298099999999999</v>
      </c>
      <c r="Y1995">
        <v>9.3333020000000003E-2</v>
      </c>
      <c r="Z1995">
        <v>1.1234320000000001E-2</v>
      </c>
      <c r="AA1995">
        <v>0.9955716</v>
      </c>
      <c r="AB1995">
        <v>32</v>
      </c>
      <c r="AC1995">
        <v>-0.56029999999998303</v>
      </c>
      <c r="AD1995">
        <v>-0.30682569999999998</v>
      </c>
      <c r="AE1995">
        <v>9.4800000000020604E-2</v>
      </c>
      <c r="AF1995">
        <v>6.6435050076475294E-2</v>
      </c>
      <c r="AG1995">
        <v>-0.30682569999999998</v>
      </c>
      <c r="AH1995">
        <v>0.43494757871758399</v>
      </c>
      <c r="AI1995">
        <v>124.889749365261</v>
      </c>
      <c r="AJ1995">
        <v>81.315611643576204</v>
      </c>
      <c r="AK1995">
        <v>0.53640937938429301</v>
      </c>
      <c r="AL1995">
        <v>79.647877237535297</v>
      </c>
      <c r="AM1995">
        <v>87.775984017709206</v>
      </c>
      <c r="AN1995">
        <v>1.00000002880992</v>
      </c>
    </row>
    <row r="1996" spans="1:40" x14ac:dyDescent="0.25">
      <c r="A1996" t="str">
        <f>"20190303162253008"</f>
        <v>20190303162253008</v>
      </c>
      <c r="B1996" t="str">
        <f>"1551601372996745"</f>
        <v>1551601372996745</v>
      </c>
      <c r="C1996" t="s">
        <v>40</v>
      </c>
      <c r="D1996">
        <v>5.4445579999999998</v>
      </c>
      <c r="E1996">
        <v>0.52733090000000005</v>
      </c>
      <c r="F1996" t="s">
        <v>42</v>
      </c>
      <c r="G1996">
        <v>-297.68040000000002</v>
      </c>
      <c r="H1996">
        <v>0.81887809999999905</v>
      </c>
      <c r="I1996">
        <v>284.60610000000003</v>
      </c>
      <c r="J1996">
        <v>-297.13529999999997</v>
      </c>
      <c r="K1996">
        <v>1.120519</v>
      </c>
      <c r="L1996">
        <v>284.51609999999999</v>
      </c>
      <c r="M1996">
        <v>-0.99981169999999997</v>
      </c>
      <c r="N1996">
        <v>-1.105518E-2</v>
      </c>
      <c r="O1996">
        <v>1.5949229999999998E-2</v>
      </c>
      <c r="P1996">
        <v>-0.9848344</v>
      </c>
      <c r="Q1996">
        <v>0.1653269</v>
      </c>
      <c r="R1996">
        <v>5.2615750000000003E-2</v>
      </c>
      <c r="S1996">
        <v>-3.2258</v>
      </c>
      <c r="T1996">
        <v>-1.1505669999999999</v>
      </c>
      <c r="U1996">
        <v>0.36126710000000001</v>
      </c>
      <c r="V1996">
        <v>3.6873309999999999E-2</v>
      </c>
      <c r="W1996">
        <v>0.17621789999999901</v>
      </c>
      <c r="X1996">
        <v>0.98366030000000004</v>
      </c>
      <c r="Y1996">
        <v>9.0637839999999997E-2</v>
      </c>
      <c r="Z1996">
        <v>1.0823040000000001E-2</v>
      </c>
      <c r="AA1996">
        <v>0.99582510000000002</v>
      </c>
      <c r="AB1996">
        <v>32</v>
      </c>
      <c r="AC1996">
        <v>-0.54510000000004699</v>
      </c>
      <c r="AD1996">
        <v>-0.30164089999999999</v>
      </c>
      <c r="AE1996">
        <v>9.0000000000031805E-2</v>
      </c>
      <c r="AF1996">
        <v>6.2625926525845907E-2</v>
      </c>
      <c r="AG1996">
        <v>-0.30164089999999999</v>
      </c>
      <c r="AH1996">
        <v>0.42097708036294101</v>
      </c>
      <c r="AI1996">
        <v>125.32620669823299</v>
      </c>
      <c r="AJ1996">
        <v>81.538547159792998</v>
      </c>
      <c r="AK1996">
        <v>0.521661711664693</v>
      </c>
      <c r="AL1996">
        <v>79.850459722856499</v>
      </c>
      <c r="AM1996">
        <v>87.853226056787904</v>
      </c>
      <c r="AN1996">
        <v>0.999999987533428</v>
      </c>
    </row>
    <row r="1997" spans="1:40" x14ac:dyDescent="0.25">
      <c r="A1997" t="str">
        <f>"20190303162253031"</f>
        <v>20190303162253031</v>
      </c>
      <c r="B1997" t="str">
        <f>"1551601373026025"</f>
        <v>1551601373026025</v>
      </c>
      <c r="C1997" t="s">
        <v>40</v>
      </c>
      <c r="D1997">
        <v>5.4608629999999998</v>
      </c>
      <c r="E1997">
        <v>0.52692569999999905</v>
      </c>
      <c r="F1997" t="s">
        <v>42</v>
      </c>
      <c r="G1997">
        <v>-297.96879999999999</v>
      </c>
      <c r="H1997">
        <v>0.83153099999999902</v>
      </c>
      <c r="I1997">
        <v>284.6105</v>
      </c>
      <c r="J1997">
        <v>-297.4545</v>
      </c>
      <c r="K1997">
        <v>1.1204989999999999</v>
      </c>
      <c r="L1997">
        <v>284.52109999999999</v>
      </c>
      <c r="M1997">
        <v>-0.99981310000000001</v>
      </c>
      <c r="N1997">
        <v>-1.106011E-2</v>
      </c>
      <c r="O1997">
        <v>1.585872E-2</v>
      </c>
      <c r="P1997">
        <v>-0.98584839999999996</v>
      </c>
      <c r="Q1997">
        <v>0.15944330000000001</v>
      </c>
      <c r="R1997">
        <v>5.1781180000000003E-2</v>
      </c>
      <c r="S1997">
        <v>-3.2138369999999998</v>
      </c>
      <c r="T1997">
        <v>-1.114322</v>
      </c>
      <c r="U1997">
        <v>0.36370849999999999</v>
      </c>
      <c r="V1997">
        <v>3.6112850000000002E-2</v>
      </c>
      <c r="W1997">
        <v>0.17035049999999999</v>
      </c>
      <c r="X1997">
        <v>0.98472159999999997</v>
      </c>
      <c r="Y1997">
        <v>9.2047039999999997E-2</v>
      </c>
      <c r="Z1997">
        <v>1.082936E-2</v>
      </c>
      <c r="AA1997">
        <v>0.99569580000000002</v>
      </c>
      <c r="AB1997">
        <v>32</v>
      </c>
      <c r="AC1997">
        <v>-0.51429999999999099</v>
      </c>
      <c r="AD1997">
        <v>-0.288968</v>
      </c>
      <c r="AE1997">
        <v>8.9400000000011901E-2</v>
      </c>
      <c r="AF1997">
        <v>6.2178472634822998E-2</v>
      </c>
      <c r="AG1997">
        <v>-0.288968</v>
      </c>
      <c r="AH1997">
        <v>0.39470258271543301</v>
      </c>
      <c r="AI1997">
        <v>125.87434845561199</v>
      </c>
      <c r="AJ1997">
        <v>81.047626010406006</v>
      </c>
      <c r="AK1997">
        <v>0.493111342685841</v>
      </c>
      <c r="AL1997">
        <v>80.191801812904203</v>
      </c>
      <c r="AM1997">
        <v>87.899724103612996</v>
      </c>
      <c r="AN1997">
        <v>1.00000003014596</v>
      </c>
    </row>
    <row r="1998" spans="1:40" x14ac:dyDescent="0.25">
      <c r="A1998" t="str">
        <f>"20190303162253054"</f>
        <v>20190303162253054</v>
      </c>
      <c r="B1998" t="str">
        <f>"1551601373046521"</f>
        <v>1551601373046521</v>
      </c>
      <c r="C1998" t="s">
        <v>40</v>
      </c>
      <c r="D1998">
        <v>5.4073190000000002</v>
      </c>
      <c r="E1998">
        <v>0.52708549999999998</v>
      </c>
      <c r="F1998" t="s">
        <v>42</v>
      </c>
      <c r="G1998">
        <v>-298.25409999999999</v>
      </c>
      <c r="H1998">
        <v>0.8357753</v>
      </c>
      <c r="I1998">
        <v>284.61040000000003</v>
      </c>
      <c r="J1998">
        <v>-297.77659999999997</v>
      </c>
      <c r="K1998">
        <v>1.120492</v>
      </c>
      <c r="L1998">
        <v>284.52609999999999</v>
      </c>
      <c r="M1998">
        <v>-0.9998146</v>
      </c>
      <c r="N1998">
        <v>-1.10651E-2</v>
      </c>
      <c r="O1998">
        <v>1.5766720000000001E-2</v>
      </c>
      <c r="P1998">
        <v>-0.98634569999999999</v>
      </c>
      <c r="Q1998">
        <v>0.15659919999999999</v>
      </c>
      <c r="R1998">
        <v>5.09796E-2</v>
      </c>
      <c r="S1998">
        <v>-3.209076</v>
      </c>
      <c r="T1998">
        <v>-1.1427080000000001</v>
      </c>
      <c r="U1998">
        <v>0.3582458</v>
      </c>
      <c r="V1998">
        <v>3.5394519999999999E-2</v>
      </c>
      <c r="W1998">
        <v>0.1675169</v>
      </c>
      <c r="X1998">
        <v>0.98523360000000004</v>
      </c>
      <c r="Y1998">
        <v>9.0481560000000003E-2</v>
      </c>
      <c r="Z1998">
        <v>1.084107E-2</v>
      </c>
      <c r="AA1998">
        <v>0.99583909999999998</v>
      </c>
      <c r="AB1998">
        <v>32</v>
      </c>
      <c r="AC1998">
        <v>-0.47750000000002002</v>
      </c>
      <c r="AD1998">
        <v>-0.28471669999999899</v>
      </c>
      <c r="AE1998">
        <v>8.4300000000041495E-2</v>
      </c>
      <c r="AF1998">
        <v>5.70800461050728E-2</v>
      </c>
      <c r="AG1998">
        <v>-0.28471669999999899</v>
      </c>
      <c r="AH1998">
        <v>0.35601934184079997</v>
      </c>
      <c r="AI1998">
        <v>128.295964057925</v>
      </c>
      <c r="AJ1998">
        <v>80.891372312195799</v>
      </c>
      <c r="AK1998">
        <v>0.45942518725795101</v>
      </c>
      <c r="AL1998">
        <v>80.356522021214403</v>
      </c>
      <c r="AM1998">
        <v>87.942533772735501</v>
      </c>
      <c r="AN1998">
        <v>0.99999996520029899</v>
      </c>
    </row>
    <row r="1999" spans="1:40" x14ac:dyDescent="0.25">
      <c r="A1999" t="str">
        <f>"20190303162253074"</f>
        <v>20190303162253074</v>
      </c>
      <c r="B1999" t="str">
        <f>"1551601373066041"</f>
        <v>1551601373066041</v>
      </c>
      <c r="C1999" t="s">
        <v>40</v>
      </c>
      <c r="D1999">
        <v>5.4529680000000003</v>
      </c>
      <c r="E1999">
        <v>0.52710389999999996</v>
      </c>
      <c r="F1999" t="s">
        <v>42</v>
      </c>
      <c r="G1999">
        <v>-298.5421</v>
      </c>
      <c r="H1999">
        <v>0.8465338</v>
      </c>
      <c r="I1999">
        <v>284.61189999999999</v>
      </c>
      <c r="J1999">
        <v>-298.0763</v>
      </c>
      <c r="K1999">
        <v>1.120495</v>
      </c>
      <c r="L1999">
        <v>284.53070000000002</v>
      </c>
      <c r="M1999">
        <v>-0.99981589999999998</v>
      </c>
      <c r="N1999">
        <v>-1.106978E-2</v>
      </c>
      <c r="O1999">
        <v>1.5681580000000001E-2</v>
      </c>
      <c r="P1999">
        <v>-0.9861259</v>
      </c>
      <c r="Q1999">
        <v>0.15816559999999999</v>
      </c>
      <c r="R1999">
        <v>5.0394370000000001E-2</v>
      </c>
      <c r="S1999">
        <v>-3.205139</v>
      </c>
      <c r="T1999">
        <v>-1.147017</v>
      </c>
      <c r="U1999">
        <v>0.35772710000000002</v>
      </c>
      <c r="V1999">
        <v>3.48966E-2</v>
      </c>
      <c r="W1999">
        <v>0.16908500000000001</v>
      </c>
      <c r="X1999">
        <v>0.98498350000000001</v>
      </c>
      <c r="Y1999">
        <v>9.0490920000000002E-2</v>
      </c>
      <c r="Z1999">
        <v>1.091955E-2</v>
      </c>
      <c r="AA1999">
        <v>0.99583739999999998</v>
      </c>
      <c r="AB1999">
        <v>32</v>
      </c>
      <c r="AC1999">
        <v>-0.46580000000000099</v>
      </c>
      <c r="AD1999">
        <v>-0.27396120000000002</v>
      </c>
      <c r="AE1999">
        <v>8.1199999999967007E-2</v>
      </c>
      <c r="AF1999">
        <v>5.53147759464006E-2</v>
      </c>
      <c r="AG1999">
        <v>-0.27396120000000002</v>
      </c>
      <c r="AH1999">
        <v>0.34963608901446902</v>
      </c>
      <c r="AI1999">
        <v>127.737552599088</v>
      </c>
      <c r="AJ1999">
        <v>81.009934172704504</v>
      </c>
      <c r="AK1999">
        <v>0.44761574847716701</v>
      </c>
      <c r="AL1999">
        <v>80.265376730690903</v>
      </c>
      <c r="AM1999">
        <v>87.970938622771499</v>
      </c>
      <c r="AN1999">
        <v>1.0000000025944</v>
      </c>
    </row>
    <row r="2000" spans="1:40" x14ac:dyDescent="0.25">
      <c r="A2000" t="str">
        <f>"20190303162253098"</f>
        <v>20190303162253098</v>
      </c>
      <c r="B2000" t="str">
        <f>"1551601373086537"</f>
        <v>1551601373086537</v>
      </c>
      <c r="C2000" t="s">
        <v>40</v>
      </c>
      <c r="D2000">
        <v>5.4662110000000004</v>
      </c>
      <c r="E2000">
        <v>0.52918480000000001</v>
      </c>
      <c r="F2000" t="s">
        <v>42</v>
      </c>
      <c r="G2000">
        <v>-298.82859999999999</v>
      </c>
      <c r="H2000">
        <v>0.85308189999999995</v>
      </c>
      <c r="I2000">
        <v>284.61450000000002</v>
      </c>
      <c r="J2000">
        <v>-298.39940000000001</v>
      </c>
      <c r="K2000">
        <v>1.1205020000000001</v>
      </c>
      <c r="L2000">
        <v>284.53570000000002</v>
      </c>
      <c r="M2000">
        <v>-0.99981719999999996</v>
      </c>
      <c r="N2000">
        <v>-1.1074820000000001E-2</v>
      </c>
      <c r="O2000">
        <v>1.5590059999999999E-2</v>
      </c>
      <c r="P2000">
        <v>-0.98559110000000005</v>
      </c>
      <c r="Q2000">
        <v>0.16136020000000001</v>
      </c>
      <c r="R2000">
        <v>5.0728000000000002E-2</v>
      </c>
      <c r="S2000">
        <v>-3.2068180000000002</v>
      </c>
      <c r="T2000">
        <v>-1.139823</v>
      </c>
      <c r="U2000">
        <v>0.35632320000000001</v>
      </c>
      <c r="V2000">
        <v>3.5328409999999998E-2</v>
      </c>
      <c r="W2000">
        <v>0.1722785</v>
      </c>
      <c r="X2000">
        <v>0.98441460000000003</v>
      </c>
      <c r="Y2000">
        <v>9.0170429999999996E-2</v>
      </c>
      <c r="Z2000">
        <v>1.0827989999999999E-2</v>
      </c>
      <c r="AA2000">
        <v>0.99586750000000002</v>
      </c>
      <c r="AB2000">
        <v>32</v>
      </c>
      <c r="AC2000">
        <v>-0.42919999999997999</v>
      </c>
      <c r="AD2000">
        <v>-0.26742009999999999</v>
      </c>
      <c r="AE2000">
        <v>7.8800000000000994E-2</v>
      </c>
      <c r="AF2000">
        <v>5.2414395250136199E-2</v>
      </c>
      <c r="AG2000">
        <v>-0.26742009999999999</v>
      </c>
      <c r="AH2000">
        <v>0.31287527613506599</v>
      </c>
      <c r="AI2000">
        <v>130.129915226321</v>
      </c>
      <c r="AJ2000">
        <v>80.489841046697407</v>
      </c>
      <c r="AK2000">
        <v>0.41491169799132099</v>
      </c>
      <c r="AL2000">
        <v>80.079678051796407</v>
      </c>
      <c r="AM2000">
        <v>87.944666337489707</v>
      </c>
      <c r="AN2000">
        <v>1.00000004140426</v>
      </c>
    </row>
    <row r="2001" spans="1:40" x14ac:dyDescent="0.25">
      <c r="A2001" t="str">
        <f>"20190303162253122"</f>
        <v>20190303162253122</v>
      </c>
      <c r="B2001" t="str">
        <f>"1551601373116793"</f>
        <v>1551601373116793</v>
      </c>
      <c r="C2001" t="s">
        <v>40</v>
      </c>
      <c r="D2001">
        <v>5.4785760000000003</v>
      </c>
      <c r="E2001">
        <v>0.52945410000000004</v>
      </c>
      <c r="F2001" t="s">
        <v>42</v>
      </c>
      <c r="G2001">
        <v>-299.12180000000001</v>
      </c>
      <c r="H2001">
        <v>0.8761312</v>
      </c>
      <c r="I2001">
        <v>284.62060000000002</v>
      </c>
      <c r="J2001">
        <v>-298.74349999999998</v>
      </c>
      <c r="K2001">
        <v>1.120509</v>
      </c>
      <c r="L2001">
        <v>284.54090000000002</v>
      </c>
      <c r="M2001">
        <v>-0.9998186</v>
      </c>
      <c r="N2001">
        <v>-1.108014E-2</v>
      </c>
      <c r="O2001">
        <v>1.5491980000000001E-2</v>
      </c>
      <c r="P2001">
        <v>-0.98536610000000002</v>
      </c>
      <c r="Q2001">
        <v>0.16268160000000001</v>
      </c>
      <c r="R2001">
        <v>5.0877989999999998E-2</v>
      </c>
      <c r="S2001">
        <v>-3.2018740000000001</v>
      </c>
      <c r="T2001">
        <v>-1.083189</v>
      </c>
      <c r="U2001">
        <v>0.37582399999999999</v>
      </c>
      <c r="V2001">
        <v>3.557838E-2</v>
      </c>
      <c r="W2001">
        <v>0.17360239999999999</v>
      </c>
      <c r="X2001">
        <v>0.98417290000000002</v>
      </c>
      <c r="Y2001">
        <v>9.6487069999999994E-2</v>
      </c>
      <c r="Z2001">
        <v>1.146486E-2</v>
      </c>
      <c r="AA2001">
        <v>0.99526820000000005</v>
      </c>
      <c r="AB2001">
        <v>32</v>
      </c>
      <c r="AC2001">
        <v>-0.37830000000002401</v>
      </c>
      <c r="AD2001">
        <v>-0.24437780000000001</v>
      </c>
      <c r="AE2001">
        <v>7.9700000000002505E-2</v>
      </c>
      <c r="AF2001">
        <v>5.2751634021758503E-2</v>
      </c>
      <c r="AG2001">
        <v>-0.24437780000000001</v>
      </c>
      <c r="AH2001">
        <v>0.27114766156680298</v>
      </c>
      <c r="AI2001">
        <v>131.49870813985299</v>
      </c>
      <c r="AJ2001">
        <v>78.990660931905495</v>
      </c>
      <c r="AK2001">
        <v>0.36881472096155599</v>
      </c>
      <c r="AL2001">
        <v>80.002662871241299</v>
      </c>
      <c r="AM2001">
        <v>87.929628317188303</v>
      </c>
      <c r="AN2001">
        <v>0.99999995575179601</v>
      </c>
    </row>
    <row r="2002" spans="1:40" x14ac:dyDescent="0.25">
      <c r="A2002" t="str">
        <f>"20190303162253145"</f>
        <v>20190303162253145</v>
      </c>
      <c r="B2002" t="str">
        <f>"1551601373136314"</f>
        <v>1551601373136314</v>
      </c>
      <c r="C2002" t="s">
        <v>40</v>
      </c>
      <c r="D2002">
        <v>5.5346409999999997</v>
      </c>
      <c r="E2002">
        <v>0.52924069999999901</v>
      </c>
      <c r="F2002" t="s">
        <v>42</v>
      </c>
      <c r="G2002">
        <v>-299.41370000000001</v>
      </c>
      <c r="H2002">
        <v>0.89543759999999994</v>
      </c>
      <c r="I2002">
        <v>284.62040000000002</v>
      </c>
      <c r="J2002">
        <v>-299.06</v>
      </c>
      <c r="K2002">
        <v>1.1205179999999999</v>
      </c>
      <c r="L2002">
        <v>284.54579999999999</v>
      </c>
      <c r="M2002">
        <v>-0.99982000000000004</v>
      </c>
      <c r="N2002">
        <v>-1.1085019999999999E-2</v>
      </c>
      <c r="O2002">
        <v>1.540213E-2</v>
      </c>
      <c r="P2002">
        <v>-0.98525830000000003</v>
      </c>
      <c r="Q2002">
        <v>0.16306109999999999</v>
      </c>
      <c r="R2002">
        <v>5.1742490000000002E-2</v>
      </c>
      <c r="S2002">
        <v>-3.202515</v>
      </c>
      <c r="T2002">
        <v>-1.075412</v>
      </c>
      <c r="U2002">
        <v>0.37924190000000002</v>
      </c>
      <c r="V2002">
        <v>3.6532879999999997E-2</v>
      </c>
      <c r="W2002">
        <v>0.173986</v>
      </c>
      <c r="X2002">
        <v>0.98407020000000001</v>
      </c>
      <c r="Y2002">
        <v>9.7600220000000001E-2</v>
      </c>
      <c r="Z2002">
        <v>1.1605239999999999E-2</v>
      </c>
      <c r="AA2002">
        <v>0.99515799999999999</v>
      </c>
      <c r="AB2002">
        <v>32</v>
      </c>
      <c r="AC2002">
        <v>-0.35370000000000301</v>
      </c>
      <c r="AD2002">
        <v>-0.22508040000000001</v>
      </c>
      <c r="AE2002">
        <v>7.4600000000032196E-2</v>
      </c>
      <c r="AF2002">
        <v>4.9825429936667998E-2</v>
      </c>
      <c r="AG2002">
        <v>-0.22508040000000001</v>
      </c>
      <c r="AH2002">
        <v>0.255678748731553</v>
      </c>
      <c r="AI2002">
        <v>130.829337771475</v>
      </c>
      <c r="AJ2002">
        <v>78.9726834809493</v>
      </c>
      <c r="AK2002">
        <v>0.34426063162299902</v>
      </c>
      <c r="AL2002">
        <v>79.980344703352799</v>
      </c>
      <c r="AM2002">
        <v>87.873912839263198</v>
      </c>
      <c r="AN2002">
        <v>0.99999996902256605</v>
      </c>
    </row>
    <row r="2003" spans="1:40" x14ac:dyDescent="0.25">
      <c r="A2003" t="str">
        <f>"20190303162253164"</f>
        <v>20190303162253164</v>
      </c>
      <c r="B2003" t="str">
        <f>"1551601373156809"</f>
        <v>1551601373156809</v>
      </c>
      <c r="C2003" t="s">
        <v>40</v>
      </c>
      <c r="D2003">
        <v>5.4546760000000001</v>
      </c>
      <c r="E2003">
        <v>0.51240329999999901</v>
      </c>
      <c r="F2003" t="s">
        <v>42</v>
      </c>
      <c r="G2003">
        <v>-299.95260000000002</v>
      </c>
      <c r="H2003">
        <v>0.82073009999999902</v>
      </c>
      <c r="I2003">
        <v>284.65219999999999</v>
      </c>
      <c r="J2003">
        <v>-299.35379999999998</v>
      </c>
      <c r="K2003">
        <v>1.120522</v>
      </c>
      <c r="L2003">
        <v>284.55020000000002</v>
      </c>
      <c r="M2003">
        <v>-0.99982119999999997</v>
      </c>
      <c r="N2003">
        <v>-1.1089440000000001E-2</v>
      </c>
      <c r="O2003">
        <v>1.5318780000000001E-2</v>
      </c>
      <c r="P2003">
        <v>-0.98505929999999997</v>
      </c>
      <c r="Q2003">
        <v>0.16412570000000001</v>
      </c>
      <c r="R2003">
        <v>5.2163760000000003E-2</v>
      </c>
      <c r="S2003">
        <v>-3.2029109999999998</v>
      </c>
      <c r="T2003">
        <v>-1.0757589999999999</v>
      </c>
      <c r="U2003">
        <v>0.3813782</v>
      </c>
      <c r="V2003">
        <v>3.703911E-2</v>
      </c>
      <c r="W2003">
        <v>0.17505279999999901</v>
      </c>
      <c r="X2003">
        <v>0.98386209999999996</v>
      </c>
      <c r="Y2003">
        <v>9.8279480000000002E-2</v>
      </c>
      <c r="Z2003">
        <v>1.174801E-2</v>
      </c>
      <c r="AA2003">
        <v>0.99508949999999996</v>
      </c>
      <c r="AB2003">
        <v>32</v>
      </c>
      <c r="AC2003">
        <v>-0.59880000000003897</v>
      </c>
      <c r="AD2003">
        <v>-0.2997919</v>
      </c>
      <c r="AE2003">
        <v>0.101999999999975</v>
      </c>
      <c r="AF2003">
        <v>7.46345699781851E-2</v>
      </c>
      <c r="AG2003">
        <v>-0.2997919</v>
      </c>
      <c r="AH2003">
        <v>0.482710370772794</v>
      </c>
      <c r="AI2003">
        <v>121.54021068411799</v>
      </c>
      <c r="AJ2003">
        <v>81.210774139619403</v>
      </c>
      <c r="AK2003">
        <v>0.573109766443608</v>
      </c>
      <c r="AL2003">
        <v>79.9182692972025</v>
      </c>
      <c r="AM2003">
        <v>87.844024114782599</v>
      </c>
      <c r="AN2003">
        <v>1.00000000513692</v>
      </c>
    </row>
    <row r="2004" spans="1:40" x14ac:dyDescent="0.25">
      <c r="A2004" t="str">
        <f>"20190303162253188"</f>
        <v>20190303162253188</v>
      </c>
      <c r="B2004" t="str">
        <f>"1551601373176329"</f>
        <v>1551601373176329</v>
      </c>
      <c r="C2004" t="s">
        <v>40</v>
      </c>
      <c r="D2004">
        <v>5.512321</v>
      </c>
      <c r="E2004">
        <v>0.46978740000000002</v>
      </c>
      <c r="F2004" t="s">
        <v>42</v>
      </c>
      <c r="G2004">
        <v>-300.26560000000001</v>
      </c>
      <c r="H2004">
        <v>0.89151380000000002</v>
      </c>
      <c r="I2004">
        <v>284.62220000000002</v>
      </c>
      <c r="J2004">
        <v>-299.67950000000002</v>
      </c>
      <c r="K2004">
        <v>1.12053</v>
      </c>
      <c r="L2004">
        <v>284.55509999999998</v>
      </c>
      <c r="M2004">
        <v>-0.99982260000000001</v>
      </c>
      <c r="N2004">
        <v>-1.109446E-2</v>
      </c>
      <c r="O2004">
        <v>1.522607E-2</v>
      </c>
      <c r="P2004">
        <v>-0.98484490000000002</v>
      </c>
      <c r="Q2004">
        <v>0.16521910000000001</v>
      </c>
      <c r="R2004">
        <v>5.2759350000000003E-2</v>
      </c>
      <c r="S2004">
        <v>-3.1647639999999999</v>
      </c>
      <c r="T2004">
        <v>-0.79481820000000003</v>
      </c>
      <c r="U2004">
        <v>0.24923709999999999</v>
      </c>
      <c r="V2004">
        <v>3.772913E-2</v>
      </c>
      <c r="W2004">
        <v>0.17614850000000001</v>
      </c>
      <c r="X2004">
        <v>0.98364030000000002</v>
      </c>
      <c r="Y2004">
        <v>6.1757800000000002E-2</v>
      </c>
      <c r="Z2004">
        <v>4.3808040000000003E-3</v>
      </c>
      <c r="AA2004">
        <v>0.99808160000000001</v>
      </c>
      <c r="AB2004">
        <v>32</v>
      </c>
      <c r="AC2004">
        <v>-0.58609999999998696</v>
      </c>
      <c r="AD2004">
        <v>-0.229016199999999</v>
      </c>
      <c r="AE2004">
        <v>6.7100000000039003E-2</v>
      </c>
      <c r="AF2004">
        <v>5.0549503950564997E-2</v>
      </c>
      <c r="AG2004">
        <v>-0.229016199999999</v>
      </c>
      <c r="AH2004">
        <v>0.51016786842865902</v>
      </c>
      <c r="AI2004">
        <v>114.071085378758</v>
      </c>
      <c r="AJ2004">
        <v>84.341371428603395</v>
      </c>
      <c r="AK2004">
        <v>0.561493478313978</v>
      </c>
      <c r="AL2004">
        <v>79.854499474476498</v>
      </c>
      <c r="AM2004">
        <v>87.803403623723597</v>
      </c>
      <c r="AN2004">
        <v>1.0000000105434399</v>
      </c>
    </row>
    <row r="2005" spans="1:40" x14ac:dyDescent="0.25">
      <c r="A2005" t="str">
        <f>"20190303162253210"</f>
        <v>20190303162253210</v>
      </c>
      <c r="B2005" t="str">
        <f>"1551601373196826"</f>
        <v>1551601373196826</v>
      </c>
      <c r="C2005" t="s">
        <v>40</v>
      </c>
      <c r="D2005">
        <v>5.7705250000000001</v>
      </c>
      <c r="E2005">
        <v>0.46707539999999997</v>
      </c>
      <c r="F2005" t="s">
        <v>49</v>
      </c>
      <c r="G2005">
        <v>-319.85320000000002</v>
      </c>
      <c r="H2005" s="1">
        <v>6.6408040000000001E-6</v>
      </c>
      <c r="I2005">
        <v>283.99489999999997</v>
      </c>
      <c r="J2005">
        <v>-300.0034</v>
      </c>
      <c r="K2005">
        <v>1.120536</v>
      </c>
      <c r="L2005">
        <v>284.55990000000003</v>
      </c>
      <c r="M2005">
        <v>-0.99982400000000005</v>
      </c>
      <c r="N2005">
        <v>-1.109946E-2</v>
      </c>
      <c r="O2005">
        <v>1.5134069999999999E-2</v>
      </c>
      <c r="P2005">
        <v>-0.98461779999999999</v>
      </c>
      <c r="Q2005">
        <v>0.16646229999999901</v>
      </c>
      <c r="R2005">
        <v>5.3088620000000003E-2</v>
      </c>
      <c r="S2005">
        <v>-3.079437</v>
      </c>
      <c r="T2005">
        <v>-0.17104359999999999</v>
      </c>
      <c r="U2005">
        <v>-8.5510249999999996E-2</v>
      </c>
      <c r="V2005">
        <v>3.8152249999999999E-2</v>
      </c>
      <c r="W2005">
        <v>0.1773941</v>
      </c>
      <c r="X2005">
        <v>0.9834001</v>
      </c>
      <c r="Y2005">
        <v>-4.2789399999999998E-2</v>
      </c>
      <c r="Z2005">
        <v>-2.0969109999999999E-3</v>
      </c>
      <c r="AA2005">
        <v>0.99908189999999997</v>
      </c>
      <c r="AB2005">
        <v>32</v>
      </c>
      <c r="AC2005">
        <v>-19.849799999999998</v>
      </c>
      <c r="AD2005">
        <v>-1.1205293591959999</v>
      </c>
      <c r="AE2005">
        <v>-0.56500000000005401</v>
      </c>
      <c r="AF2005">
        <v>-0.86261538629137702</v>
      </c>
      <c r="AG2005">
        <v>-1.1205293591959999</v>
      </c>
      <c r="AH2005">
        <v>19.776006941442599</v>
      </c>
      <c r="AI2005">
        <v>93.239897473806394</v>
      </c>
      <c r="AJ2005">
        <v>92.497618013487994</v>
      </c>
      <c r="AK2005">
        <v>19.8265009998605</v>
      </c>
      <c r="AL2005">
        <v>79.781989945771301</v>
      </c>
      <c r="AM2005">
        <v>87.778252046940594</v>
      </c>
      <c r="AN2005">
        <v>1.0000000087874401</v>
      </c>
    </row>
    <row r="2006" spans="1:40" x14ac:dyDescent="0.25">
      <c r="A2006" t="str">
        <f>"20190303162253232"</f>
        <v>20190303162253232</v>
      </c>
      <c r="B2006" t="str">
        <f>"1551601373226106"</f>
        <v>1551601373226106</v>
      </c>
      <c r="C2006" t="s">
        <v>40</v>
      </c>
      <c r="D2006">
        <v>5.4940040000000003</v>
      </c>
      <c r="E2006">
        <v>0.46797260000000002</v>
      </c>
      <c r="F2006" t="s">
        <v>47</v>
      </c>
      <c r="G2006">
        <v>-333.81169999999997</v>
      </c>
      <c r="H2006" s="1">
        <v>5.4488049999999995E-7</v>
      </c>
      <c r="I2006">
        <v>283.39769999999999</v>
      </c>
      <c r="J2006">
        <v>-300.3254</v>
      </c>
      <c r="K2006">
        <v>1.1205350000000001</v>
      </c>
      <c r="L2006">
        <v>284.56470000000002</v>
      </c>
      <c r="M2006">
        <v>-0.99982519999999997</v>
      </c>
      <c r="N2006">
        <v>-1.110443E-2</v>
      </c>
      <c r="O2006">
        <v>1.5042669999999999E-2</v>
      </c>
      <c r="P2006">
        <v>-0.98455709999999996</v>
      </c>
      <c r="Q2006">
        <v>0.16691689999999901</v>
      </c>
      <c r="R2006">
        <v>5.278675E-2</v>
      </c>
      <c r="S2006">
        <v>-3.0697939999999999</v>
      </c>
      <c r="T2006">
        <v>-0.1017444</v>
      </c>
      <c r="U2006">
        <v>-0.10552980000000001</v>
      </c>
      <c r="V2006">
        <v>3.7941589999999997E-2</v>
      </c>
      <c r="W2006">
        <v>0.1778535</v>
      </c>
      <c r="X2006">
        <v>0.98332520000000001</v>
      </c>
      <c r="Y2006">
        <v>-4.934757E-2</v>
      </c>
      <c r="Z2006">
        <v>-1.422839E-3</v>
      </c>
      <c r="AA2006">
        <v>0.99878069999999997</v>
      </c>
      <c r="AB2006">
        <v>32</v>
      </c>
      <c r="AC2006">
        <v>-33.4862999999999</v>
      </c>
      <c r="AD2006">
        <v>-1.1205344551195</v>
      </c>
      <c r="AE2006">
        <v>-1.16700000000003</v>
      </c>
      <c r="AF2006">
        <v>-1.6687560539021999</v>
      </c>
      <c r="AG2006">
        <v>-1.1205344551195</v>
      </c>
      <c r="AH2006">
        <v>33.4275700795068</v>
      </c>
      <c r="AI2006">
        <v>91.917522026636306</v>
      </c>
      <c r="AJ2006">
        <v>92.857921465987403</v>
      </c>
      <c r="AK2006">
        <v>33.4879498574171</v>
      </c>
      <c r="AL2006">
        <v>79.755242237393503</v>
      </c>
      <c r="AM2006">
        <v>87.790339242613598</v>
      </c>
      <c r="AN2006">
        <v>0.99999994033450701</v>
      </c>
    </row>
    <row r="2007" spans="1:40" x14ac:dyDescent="0.25">
      <c r="A2007" t="str">
        <f>"20190303162253255"</f>
        <v>20190303162253255</v>
      </c>
      <c r="B2007" t="str">
        <f>"1551601373246601"</f>
        <v>1551601373246601</v>
      </c>
      <c r="C2007" t="s">
        <v>40</v>
      </c>
      <c r="D2007">
        <v>5.748005</v>
      </c>
      <c r="E2007">
        <v>0.46912120000000002</v>
      </c>
      <c r="F2007" t="s">
        <v>47</v>
      </c>
      <c r="G2007">
        <v>-330.9907</v>
      </c>
      <c r="H2007" s="1">
        <v>-9.6404240000000007E-7</v>
      </c>
      <c r="I2007">
        <v>283.57380000000001</v>
      </c>
      <c r="J2007">
        <v>-300.63600000000002</v>
      </c>
      <c r="K2007">
        <v>1.120528</v>
      </c>
      <c r="L2007">
        <v>284.5693</v>
      </c>
      <c r="M2007">
        <v>-0.99982649999999995</v>
      </c>
      <c r="N2007">
        <v>-1.110922E-2</v>
      </c>
      <c r="O2007">
        <v>1.495467E-2</v>
      </c>
      <c r="P2007">
        <v>-0.98446829999999996</v>
      </c>
      <c r="Q2007">
        <v>0.1674686</v>
      </c>
      <c r="R2007">
        <v>5.2692219999999998E-2</v>
      </c>
      <c r="S2007">
        <v>-3.0713810000000001</v>
      </c>
      <c r="T2007">
        <v>-0.1122311</v>
      </c>
      <c r="U2007">
        <v>-9.9243159999999997E-2</v>
      </c>
      <c r="V2007">
        <v>3.7934879999999997E-2</v>
      </c>
      <c r="W2007">
        <v>0.1784085</v>
      </c>
      <c r="X2007">
        <v>0.98322500000000002</v>
      </c>
      <c r="Y2007">
        <v>-4.7193690000000003E-2</v>
      </c>
      <c r="Z2007">
        <v>-1.50417E-3</v>
      </c>
      <c r="AA2007">
        <v>0.99888460000000001</v>
      </c>
      <c r="AB2007">
        <v>32</v>
      </c>
      <c r="AC2007">
        <v>-30.354700000000001</v>
      </c>
      <c r="AD2007">
        <v>-1.1205289640424001</v>
      </c>
      <c r="AE2007">
        <v>-0.99549999999999195</v>
      </c>
      <c r="AF2007">
        <v>-1.44739096469448</v>
      </c>
      <c r="AG2007">
        <v>-1.1205289640424001</v>
      </c>
      <c r="AH2007">
        <v>30.2951784860069</v>
      </c>
      <c r="AI2007">
        <v>92.115824480707502</v>
      </c>
      <c r="AJ2007">
        <v>92.735299362198305</v>
      </c>
      <c r="AK2007">
        <v>30.350426113367</v>
      </c>
      <c r="AL2007">
        <v>79.722927112943296</v>
      </c>
      <c r="AM2007">
        <v>87.790504713016503</v>
      </c>
      <c r="AN2007">
        <v>1.00000002430893</v>
      </c>
    </row>
    <row r="2008" spans="1:40" x14ac:dyDescent="0.25">
      <c r="A2008" t="str">
        <f>"20190303162253276"</f>
        <v>20190303162253276</v>
      </c>
      <c r="B2008" t="str">
        <f>"1551601373266121"</f>
        <v>1551601373266121</v>
      </c>
      <c r="C2008" t="s">
        <v>40</v>
      </c>
      <c r="D2008">
        <v>5.739859</v>
      </c>
      <c r="E2008">
        <v>0.47023150000000002</v>
      </c>
      <c r="F2008" t="s">
        <v>47</v>
      </c>
      <c r="G2008">
        <v>-329.54770000000002</v>
      </c>
      <c r="H2008" s="1">
        <v>3.5832400000000001E-6</v>
      </c>
      <c r="I2008">
        <v>283.71949999999998</v>
      </c>
      <c r="J2008">
        <v>-300.94439999999997</v>
      </c>
      <c r="K2008">
        <v>1.120528</v>
      </c>
      <c r="L2008">
        <v>284.57380000000001</v>
      </c>
      <c r="M2008">
        <v>-0.99982789999999999</v>
      </c>
      <c r="N2008">
        <v>-1.1113970000000001E-2</v>
      </c>
      <c r="O2008">
        <v>1.486679E-2</v>
      </c>
      <c r="P2008">
        <v>-0.98438749999999997</v>
      </c>
      <c r="Q2008">
        <v>0.16802020000000001</v>
      </c>
      <c r="R2008">
        <v>5.2449790000000003E-2</v>
      </c>
      <c r="S2008">
        <v>-3.0724490000000002</v>
      </c>
      <c r="T2008">
        <v>-0.119078</v>
      </c>
      <c r="U2008">
        <v>-9.0301510000000001E-2</v>
      </c>
      <c r="V2008">
        <v>3.7780090000000002E-2</v>
      </c>
      <c r="W2008">
        <v>0.17896400000000001</v>
      </c>
      <c r="X2008">
        <v>0.98312999999999995</v>
      </c>
      <c r="Y2008">
        <v>-4.4187740000000003E-2</v>
      </c>
      <c r="Z2008">
        <v>-1.5122229999999901E-3</v>
      </c>
      <c r="AA2008">
        <v>0.99902210000000002</v>
      </c>
      <c r="AB2008">
        <v>32</v>
      </c>
      <c r="AC2008">
        <v>-28.603300000000001</v>
      </c>
      <c r="AD2008">
        <v>-1.1205244167599999</v>
      </c>
      <c r="AE2008">
        <v>-0.85430000000002304</v>
      </c>
      <c r="AF2008">
        <v>-1.27751222313637</v>
      </c>
      <c r="AG2008">
        <v>-1.1205244167599999</v>
      </c>
      <c r="AH2008">
        <v>28.543671376400699</v>
      </c>
      <c r="AI2008">
        <v>92.245831065686602</v>
      </c>
      <c r="AJ2008">
        <v>92.5626431325</v>
      </c>
      <c r="AK2008">
        <v>28.594208995752499</v>
      </c>
      <c r="AL2008">
        <v>79.690578678951297</v>
      </c>
      <c r="AM2008">
        <v>87.799299062216207</v>
      </c>
      <c r="AN2008">
        <v>1.0000000226982</v>
      </c>
    </row>
    <row r="2009" spans="1:40" x14ac:dyDescent="0.25">
      <c r="A2009" t="str">
        <f>"20190303162253298"</f>
        <v>20190303162253298</v>
      </c>
      <c r="B2009" t="str">
        <f>"1551601373286617"</f>
        <v>1551601373286617</v>
      </c>
      <c r="C2009" t="s">
        <v>40</v>
      </c>
      <c r="D2009">
        <v>5.7462260000000001</v>
      </c>
      <c r="E2009">
        <v>0.47079260000000001</v>
      </c>
      <c r="F2009" t="s">
        <v>47</v>
      </c>
      <c r="G2009">
        <v>-328.65719999999999</v>
      </c>
      <c r="H2009" s="1">
        <v>3.1043129999999998E-6</v>
      </c>
      <c r="I2009">
        <v>283.83429999999998</v>
      </c>
      <c r="J2009">
        <v>-301.2638</v>
      </c>
      <c r="K2009">
        <v>1.1205259999999999</v>
      </c>
      <c r="L2009">
        <v>284.57839999999999</v>
      </c>
      <c r="M2009">
        <v>-0.99982899999999997</v>
      </c>
      <c r="N2009">
        <v>-1.1118889999999999E-2</v>
      </c>
      <c r="O2009">
        <v>1.4776050000000001E-2</v>
      </c>
      <c r="P2009">
        <v>-0.98446699999999998</v>
      </c>
      <c r="Q2009">
        <v>0.1677553</v>
      </c>
      <c r="R2009">
        <v>5.1796450000000001E-2</v>
      </c>
      <c r="S2009">
        <v>-3.0731809999999999</v>
      </c>
      <c r="T2009">
        <v>-0.1242596</v>
      </c>
      <c r="U2009">
        <v>-8.2000729999999994E-2</v>
      </c>
      <c r="V2009">
        <v>3.7215110000000003E-2</v>
      </c>
      <c r="W2009">
        <v>0.17870459999999999</v>
      </c>
      <c r="X2009">
        <v>0.98319869999999998</v>
      </c>
      <c r="Y2009">
        <v>-4.1392529999999997E-2</v>
      </c>
      <c r="Z2009">
        <v>-1.499514E-3</v>
      </c>
      <c r="AA2009">
        <v>0.99914179999999997</v>
      </c>
      <c r="AB2009">
        <v>32</v>
      </c>
      <c r="AC2009">
        <v>-27.3933999999999</v>
      </c>
      <c r="AD2009">
        <v>-1.1205228956869999</v>
      </c>
      <c r="AE2009">
        <v>-0.74410000000000298</v>
      </c>
      <c r="AF2009">
        <v>-1.1468924548527899</v>
      </c>
      <c r="AG2009">
        <v>-1.1205228956869999</v>
      </c>
      <c r="AH2009">
        <v>27.333712275911001</v>
      </c>
      <c r="AI2009">
        <v>92.345417222742</v>
      </c>
      <c r="AJ2009">
        <v>92.402658450272199</v>
      </c>
      <c r="AK2009">
        <v>27.380700514140401</v>
      </c>
      <c r="AL2009">
        <v>79.705684396247307</v>
      </c>
      <c r="AM2009">
        <v>87.832328999910899</v>
      </c>
      <c r="AN2009">
        <v>0.99999999107758097</v>
      </c>
    </row>
    <row r="2010" spans="1:40" x14ac:dyDescent="0.25">
      <c r="A2010" t="str">
        <f>"20190303162253321"</f>
        <v>20190303162253321</v>
      </c>
      <c r="B2010" t="str">
        <f>"1551601373316873"</f>
        <v>1551601373316873</v>
      </c>
      <c r="C2010" t="s">
        <v>40</v>
      </c>
      <c r="D2010">
        <v>5.7463579999999999</v>
      </c>
      <c r="E2010">
        <v>0.4714701</v>
      </c>
      <c r="F2010" t="s">
        <v>47</v>
      </c>
      <c r="G2010">
        <v>-327.74770000000001</v>
      </c>
      <c r="H2010" s="1">
        <v>2.6179130000000001E-6</v>
      </c>
      <c r="I2010">
        <v>283.89</v>
      </c>
      <c r="J2010">
        <v>-301.58870000000002</v>
      </c>
      <c r="K2010">
        <v>1.120522</v>
      </c>
      <c r="L2010">
        <v>284.5831</v>
      </c>
      <c r="M2010">
        <v>-0.99983040000000001</v>
      </c>
      <c r="N2010">
        <v>-1.1123859999999999E-2</v>
      </c>
      <c r="O2010">
        <v>1.4683689999999999E-2</v>
      </c>
      <c r="P2010">
        <v>-0.98471149999999996</v>
      </c>
      <c r="Q2010">
        <v>0.16655220000000001</v>
      </c>
      <c r="R2010">
        <v>5.1029209999999998E-2</v>
      </c>
      <c r="S2010">
        <v>-3.0737000000000001</v>
      </c>
      <c r="T2010">
        <v>-0.13004669999999999</v>
      </c>
      <c r="U2010">
        <v>-7.9895019999999997E-2</v>
      </c>
      <c r="V2010">
        <v>3.6535539999999998E-2</v>
      </c>
      <c r="W2010">
        <v>0.17750859999999999</v>
      </c>
      <c r="X2010">
        <v>0.9834408</v>
      </c>
      <c r="Y2010">
        <v>-4.0608169999999999E-2</v>
      </c>
      <c r="Z2010">
        <v>-1.5421899999999999E-3</v>
      </c>
      <c r="AA2010">
        <v>0.99917389999999995</v>
      </c>
      <c r="AB2010">
        <v>32</v>
      </c>
      <c r="AC2010">
        <v>-26.158999999999899</v>
      </c>
      <c r="AD2010">
        <v>-1.1205193820870001</v>
      </c>
      <c r="AE2010">
        <v>-0.69310000000001504</v>
      </c>
      <c r="AF2010">
        <v>-1.07518823961985</v>
      </c>
      <c r="AG2010">
        <v>-1.1205193820870001</v>
      </c>
      <c r="AH2010">
        <v>26.098149379638802</v>
      </c>
      <c r="AI2010">
        <v>92.456393016574296</v>
      </c>
      <c r="AJ2010">
        <v>92.359130152992293</v>
      </c>
      <c r="AK2010">
        <v>26.144310939058801</v>
      </c>
      <c r="AL2010">
        <v>79.775323465358198</v>
      </c>
      <c r="AM2010">
        <v>87.872398638542705</v>
      </c>
      <c r="AN2010">
        <v>0.99999997793084505</v>
      </c>
    </row>
    <row r="2011" spans="1:40" x14ac:dyDescent="0.25">
      <c r="A2011" t="str">
        <f>"20190303162253346"</f>
        <v>20190303162253346</v>
      </c>
      <c r="B2011" t="str">
        <f>"1551601373336393"</f>
        <v>1551601373336393</v>
      </c>
      <c r="C2011" t="s">
        <v>40</v>
      </c>
      <c r="D2011">
        <v>5.7458289999999996</v>
      </c>
      <c r="E2011">
        <v>0.47170810000000002</v>
      </c>
      <c r="F2011" t="s">
        <v>47</v>
      </c>
      <c r="G2011">
        <v>-325.8383</v>
      </c>
      <c r="H2011" s="1">
        <v>1.5980199999999999E-6</v>
      </c>
      <c r="I2011">
        <v>283.97609999999997</v>
      </c>
      <c r="J2011">
        <v>-301.92410000000001</v>
      </c>
      <c r="K2011">
        <v>1.12052</v>
      </c>
      <c r="L2011">
        <v>284.58789999999999</v>
      </c>
      <c r="M2011">
        <v>-0.99983169999999999</v>
      </c>
      <c r="N2011">
        <v>-1.112894E-2</v>
      </c>
      <c r="O2011">
        <v>1.458859E-2</v>
      </c>
      <c r="P2011">
        <v>-0.98508289999999998</v>
      </c>
      <c r="Q2011">
        <v>0.16492960000000001</v>
      </c>
      <c r="R2011">
        <v>4.9093619999999998E-2</v>
      </c>
      <c r="S2011">
        <v>-3.0746150000000001</v>
      </c>
      <c r="T2011">
        <v>-0.1420717</v>
      </c>
      <c r="U2011">
        <v>-7.6965329999999998E-2</v>
      </c>
      <c r="V2011">
        <v>3.4688660000000003E-2</v>
      </c>
      <c r="W2011">
        <v>0.175895</v>
      </c>
      <c r="X2011">
        <v>0.98379760000000005</v>
      </c>
      <c r="Y2011">
        <v>-3.9545619999999997E-2</v>
      </c>
      <c r="Z2011">
        <v>-1.64466E-3</v>
      </c>
      <c r="AA2011">
        <v>0.9992164</v>
      </c>
      <c r="AB2011">
        <v>32</v>
      </c>
      <c r="AC2011">
        <v>-23.914199999999902</v>
      </c>
      <c r="AD2011">
        <v>-1.1205184019800001</v>
      </c>
      <c r="AE2011">
        <v>-0.611800000000016</v>
      </c>
      <c r="AF2011">
        <v>-0.95852789455411602</v>
      </c>
      <c r="AG2011">
        <v>-1.1205184019800001</v>
      </c>
      <c r="AH2011">
        <v>23.850400463673601</v>
      </c>
      <c r="AI2011">
        <v>92.687675264163502</v>
      </c>
      <c r="AJ2011">
        <v>92.301431518895996</v>
      </c>
      <c r="AK2011">
        <v>23.8959398118471</v>
      </c>
      <c r="AL2011">
        <v>79.869254592952998</v>
      </c>
      <c r="AM2011">
        <v>87.980589950217905</v>
      </c>
      <c r="AN2011">
        <v>1.0000000359616701</v>
      </c>
    </row>
    <row r="2012" spans="1:40" x14ac:dyDescent="0.25">
      <c r="A2012" t="str">
        <f>"20190303162253366"</f>
        <v>20190303162253366</v>
      </c>
      <c r="B2012" t="str">
        <f>"1551601373356889"</f>
        <v>1551601373356889</v>
      </c>
      <c r="C2012" t="s">
        <v>40</v>
      </c>
      <c r="D2012">
        <v>5.61008</v>
      </c>
      <c r="E2012">
        <v>0.4719545</v>
      </c>
      <c r="F2012" t="s">
        <v>47</v>
      </c>
      <c r="G2012">
        <v>-324.64789999999999</v>
      </c>
      <c r="H2012" s="1">
        <v>9.6393999999999898E-7</v>
      </c>
      <c r="I2012">
        <v>283.99110000000002</v>
      </c>
      <c r="J2012">
        <v>-302.22669999999999</v>
      </c>
      <c r="K2012">
        <v>1.120517</v>
      </c>
      <c r="L2012">
        <v>284.59219999999999</v>
      </c>
      <c r="M2012">
        <v>-0.99983290000000002</v>
      </c>
      <c r="N2012">
        <v>-1.1133509999999999E-2</v>
      </c>
      <c r="O2012">
        <v>1.450304E-2</v>
      </c>
      <c r="P2012">
        <v>-0.98528490000000002</v>
      </c>
      <c r="Q2012">
        <v>0.16423779999999999</v>
      </c>
      <c r="R2012">
        <v>4.7325390000000002E-2</v>
      </c>
      <c r="S2012">
        <v>-3.0748289999999998</v>
      </c>
      <c r="T2012">
        <v>-0.15162100000000001</v>
      </c>
      <c r="U2012">
        <v>-8.0749509999999997E-2</v>
      </c>
      <c r="V2012">
        <v>3.3002129999999998E-2</v>
      </c>
      <c r="W2012">
        <v>0.17520920000000001</v>
      </c>
      <c r="X2012">
        <v>0.98397800000000002</v>
      </c>
      <c r="Y2012">
        <v>-4.067747E-2</v>
      </c>
      <c r="Z2012">
        <v>-1.7820259999999999E-3</v>
      </c>
      <c r="AA2012">
        <v>0.99917069999999997</v>
      </c>
      <c r="AB2012">
        <v>32</v>
      </c>
      <c r="AC2012">
        <v>-22.421199999999999</v>
      </c>
      <c r="AD2012">
        <v>-1.1205160360599999</v>
      </c>
      <c r="AE2012">
        <v>-0.60109999999997399</v>
      </c>
      <c r="AF2012">
        <v>-0.923926549910141</v>
      </c>
      <c r="AG2012">
        <v>-1.1205160360599999</v>
      </c>
      <c r="AH2012">
        <v>22.354331741274901</v>
      </c>
      <c r="AI2012">
        <v>92.867118735902693</v>
      </c>
      <c r="AJ2012">
        <v>92.366743953337405</v>
      </c>
      <c r="AK2012">
        <v>22.4014585251869</v>
      </c>
      <c r="AL2012">
        <v>79.909168073905704</v>
      </c>
      <c r="AM2012">
        <v>88.079048286321395</v>
      </c>
      <c r="AN2012">
        <v>1.0000000544165799</v>
      </c>
    </row>
    <row r="2013" spans="1:40" x14ac:dyDescent="0.25">
      <c r="A2013" t="str">
        <f>"20190303162253389"</f>
        <v>20190303162253389</v>
      </c>
      <c r="B2013" t="str">
        <f>"1551601373376409"</f>
        <v>1551601373376409</v>
      </c>
      <c r="C2013" t="s">
        <v>40</v>
      </c>
      <c r="D2013">
        <v>5.6080439999999996</v>
      </c>
      <c r="E2013">
        <v>0.47216710000000001</v>
      </c>
      <c r="F2013" t="s">
        <v>47</v>
      </c>
      <c r="G2013">
        <v>-324.26280000000003</v>
      </c>
      <c r="H2013" s="1">
        <v>7.5885549999999999E-7</v>
      </c>
      <c r="I2013">
        <v>283.99470000000002</v>
      </c>
      <c r="J2013">
        <v>-302.54880000000003</v>
      </c>
      <c r="K2013">
        <v>1.1205179999999999</v>
      </c>
      <c r="L2013">
        <v>284.59679999999997</v>
      </c>
      <c r="M2013">
        <v>-0.99983420000000001</v>
      </c>
      <c r="N2013">
        <v>-1.113838E-2</v>
      </c>
      <c r="O2013">
        <v>1.441284E-2</v>
      </c>
      <c r="P2013">
        <v>-0.98543650000000005</v>
      </c>
      <c r="Q2013">
        <v>0.1639545</v>
      </c>
      <c r="R2013">
        <v>4.5101179999999998E-2</v>
      </c>
      <c r="S2013">
        <v>-3.0748600000000001</v>
      </c>
      <c r="T2013">
        <v>-0.1563532</v>
      </c>
      <c r="U2013">
        <v>-8.3374019999999993E-2</v>
      </c>
      <c r="V2013">
        <v>3.0865199999999999E-2</v>
      </c>
      <c r="W2013">
        <v>0.1749317</v>
      </c>
      <c r="X2013">
        <v>0.98409659999999999</v>
      </c>
      <c r="Y2013">
        <v>-4.1433820000000003E-2</v>
      </c>
      <c r="Z2013">
        <v>-1.8554019999999999E-3</v>
      </c>
      <c r="AA2013">
        <v>0.99913949999999996</v>
      </c>
      <c r="AB2013">
        <v>32</v>
      </c>
      <c r="AC2013">
        <v>-21.713999999999999</v>
      </c>
      <c r="AD2013">
        <v>-1.1205172411444999</v>
      </c>
      <c r="AE2013">
        <v>-0.60209999999995001</v>
      </c>
      <c r="AF2013">
        <v>-0.91258895994483302</v>
      </c>
      <c r="AG2013">
        <v>-1.1205172411444999</v>
      </c>
      <c r="AH2013">
        <v>21.645469993057901</v>
      </c>
      <c r="AI2013">
        <v>92.960749796354406</v>
      </c>
      <c r="AJ2013">
        <v>92.414202511064801</v>
      </c>
      <c r="AK2013">
        <v>21.6936568774812</v>
      </c>
      <c r="AL2013">
        <v>79.925315885224094</v>
      </c>
      <c r="AM2013">
        <v>88.203564403717095</v>
      </c>
      <c r="AN2013">
        <v>0.99999993918374297</v>
      </c>
    </row>
    <row r="2014" spans="1:40" x14ac:dyDescent="0.25">
      <c r="A2014" t="str">
        <f>"20190303162253411"</f>
        <v>20190303162253411</v>
      </c>
      <c r="B2014" t="str">
        <f>"1551601373406666"</f>
        <v>1551601373406666</v>
      </c>
      <c r="C2014" t="s">
        <v>40</v>
      </c>
      <c r="D2014">
        <v>5.7955019999999999</v>
      </c>
      <c r="E2014">
        <v>0.47248570000000001</v>
      </c>
      <c r="F2014" t="s">
        <v>47</v>
      </c>
      <c r="G2014">
        <v>-324.096</v>
      </c>
      <c r="H2014" s="1">
        <v>6.7069160000000001E-7</v>
      </c>
      <c r="I2014">
        <v>283.98009999999999</v>
      </c>
      <c r="J2014">
        <v>-302.86070000000001</v>
      </c>
      <c r="K2014">
        <v>1.1205149999999999</v>
      </c>
      <c r="L2014">
        <v>284.60120000000001</v>
      </c>
      <c r="M2014">
        <v>-0.99983549999999999</v>
      </c>
      <c r="N2014">
        <v>-1.114306E-2</v>
      </c>
      <c r="O2014">
        <v>1.43261E-2</v>
      </c>
      <c r="P2014">
        <v>-0.98542969999999996</v>
      </c>
      <c r="Q2014">
        <v>0.1641997</v>
      </c>
      <c r="R2014">
        <v>4.4351950000000001E-2</v>
      </c>
      <c r="S2014">
        <v>-3.074951</v>
      </c>
      <c r="T2014">
        <v>-0.159906399999999</v>
      </c>
      <c r="U2014">
        <v>-8.8012699999999999E-2</v>
      </c>
      <c r="V2014">
        <v>3.0201780000000001E-2</v>
      </c>
      <c r="W2014">
        <v>0.17518049999999999</v>
      </c>
      <c r="X2014">
        <v>0.98407299999999998</v>
      </c>
      <c r="Y2014">
        <v>-4.2846719999999998E-2</v>
      </c>
      <c r="Z2014">
        <v>-1.936913E-3</v>
      </c>
      <c r="AA2014">
        <v>0.99907979999999996</v>
      </c>
      <c r="AB2014">
        <v>32</v>
      </c>
      <c r="AC2014">
        <v>-21.235299999999899</v>
      </c>
      <c r="AD2014">
        <v>-1.1205143293083999</v>
      </c>
      <c r="AE2014">
        <v>-0.62110000000001198</v>
      </c>
      <c r="AF2014">
        <v>-0.92270719735458795</v>
      </c>
      <c r="AG2014">
        <v>-1.1205143293083999</v>
      </c>
      <c r="AH2014">
        <v>21.165341430228199</v>
      </c>
      <c r="AI2014">
        <v>93.027596420110797</v>
      </c>
      <c r="AJ2014">
        <v>92.496240107265095</v>
      </c>
      <c r="AK2014">
        <v>21.2150564173742</v>
      </c>
      <c r="AL2014">
        <v>79.910837864423897</v>
      </c>
      <c r="AM2014">
        <v>88.242110566192395</v>
      </c>
      <c r="AN2014">
        <v>1.0000000122121999</v>
      </c>
    </row>
    <row r="2015" spans="1:40" x14ac:dyDescent="0.25">
      <c r="A2015" t="str">
        <f>"20190303162253433"</f>
        <v>20190303162253433</v>
      </c>
      <c r="B2015" t="str">
        <f>"1551601373426460"</f>
        <v>1551601373426460</v>
      </c>
      <c r="C2015" t="s">
        <v>40</v>
      </c>
      <c r="D2015">
        <v>5.6233180000000003</v>
      </c>
      <c r="E2015">
        <v>0.4726147</v>
      </c>
      <c r="F2015" t="s">
        <v>47</v>
      </c>
      <c r="G2015">
        <v>-324.12439999999998</v>
      </c>
      <c r="H2015" s="1">
        <v>6.8530450000000005E-7</v>
      </c>
      <c r="I2015">
        <v>283.99180000000001</v>
      </c>
      <c r="J2015">
        <v>-303.18689999999998</v>
      </c>
      <c r="K2015">
        <v>1.120514</v>
      </c>
      <c r="L2015">
        <v>284.60579999999999</v>
      </c>
      <c r="M2015">
        <v>-0.99983659999999996</v>
      </c>
      <c r="N2015">
        <v>-1.1147860000000001E-2</v>
      </c>
      <c r="O2015">
        <v>1.423602E-2</v>
      </c>
      <c r="P2015">
        <v>-0.98540300000000003</v>
      </c>
      <c r="Q2015">
        <v>0.16457049999999901</v>
      </c>
      <c r="R2015">
        <v>4.3563249999999998E-2</v>
      </c>
      <c r="S2015">
        <v>-3.0753170000000001</v>
      </c>
      <c r="T2015">
        <v>-0.16205700000000001</v>
      </c>
      <c r="U2015">
        <v>-8.8134770000000001E-2</v>
      </c>
      <c r="V2015">
        <v>2.9502569999999999E-2</v>
      </c>
      <c r="W2015">
        <v>0.17555560000000001</v>
      </c>
      <c r="X2015">
        <v>0.98402730000000005</v>
      </c>
      <c r="Y2015">
        <v>-4.2790979999999999E-2</v>
      </c>
      <c r="Z2015">
        <v>-1.9561600000000002E-3</v>
      </c>
      <c r="AA2015">
        <v>0.99908209999999997</v>
      </c>
      <c r="AB2015">
        <v>32</v>
      </c>
      <c r="AC2015">
        <v>-20.9375</v>
      </c>
      <c r="AD2015">
        <v>-1.1205133146955</v>
      </c>
      <c r="AE2015">
        <v>-0.61399999999997501</v>
      </c>
      <c r="AF2015">
        <v>-0.90942052742032697</v>
      </c>
      <c r="AG2015">
        <v>-1.1205133146955</v>
      </c>
      <c r="AH2015">
        <v>20.866923445916299</v>
      </c>
      <c r="AI2015">
        <v>93.070810802892396</v>
      </c>
      <c r="AJ2015">
        <v>92.495480753145998</v>
      </c>
      <c r="AK2015">
        <v>20.916765760552799</v>
      </c>
      <c r="AL2015">
        <v>79.889007269206701</v>
      </c>
      <c r="AM2015">
        <v>88.282703606163196</v>
      </c>
      <c r="AN2015">
        <v>0.99999994873662601</v>
      </c>
    </row>
    <row r="2016" spans="1:40" x14ac:dyDescent="0.25">
      <c r="A2016" t="str">
        <f>"20190303162253446"</f>
        <v>20190303162253446</v>
      </c>
      <c r="B2016" t="str">
        <f>"1551601373436222"</f>
        <v>1551601373436222</v>
      </c>
      <c r="C2016" t="s">
        <v>40</v>
      </c>
      <c r="D2016">
        <v>5.6658660000000003</v>
      </c>
      <c r="E2016">
        <v>0.47276049999999997</v>
      </c>
      <c r="F2016" t="s">
        <v>47</v>
      </c>
      <c r="G2016">
        <v>-324.31569999999999</v>
      </c>
      <c r="H2016" s="1">
        <v>7.8722629999999996E-7</v>
      </c>
      <c r="I2016">
        <v>283.98939999999999</v>
      </c>
      <c r="J2016">
        <v>-303.37580000000003</v>
      </c>
      <c r="K2016">
        <v>1.1205179999999999</v>
      </c>
      <c r="L2016">
        <v>284.60840000000002</v>
      </c>
      <c r="M2016">
        <v>-0.99983719999999998</v>
      </c>
      <c r="N2016">
        <v>-1.115059E-2</v>
      </c>
      <c r="O2016">
        <v>1.4184449999999999E-2</v>
      </c>
      <c r="P2016">
        <v>-0.98531279999999999</v>
      </c>
      <c r="Q2016">
        <v>0.1650962</v>
      </c>
      <c r="R2016">
        <v>4.3609149999999999E-2</v>
      </c>
      <c r="S2016">
        <v>-3.0756230000000002</v>
      </c>
      <c r="T2016">
        <v>-0.1631078</v>
      </c>
      <c r="U2016">
        <v>-8.9721679999999998E-2</v>
      </c>
      <c r="V2016">
        <v>2.960059E-2</v>
      </c>
      <c r="W2016">
        <v>0.1760832</v>
      </c>
      <c r="X2016">
        <v>0.98393010000000003</v>
      </c>
      <c r="Y2016">
        <v>-4.3249889999999999E-2</v>
      </c>
      <c r="Z2016">
        <v>-1.980693E-3</v>
      </c>
      <c r="AA2016">
        <v>0.99906229999999996</v>
      </c>
      <c r="AB2016">
        <v>32</v>
      </c>
      <c r="AC2016">
        <v>-20.939899999999898</v>
      </c>
      <c r="AD2016">
        <v>-1.1205172127737</v>
      </c>
      <c r="AE2016">
        <v>-0.61900000000002797</v>
      </c>
      <c r="AF2016">
        <v>-0.913364076960829</v>
      </c>
      <c r="AG2016">
        <v>-1.1205172127737</v>
      </c>
      <c r="AH2016">
        <v>20.869306569553402</v>
      </c>
      <c r="AI2016">
        <v>93.070446892324995</v>
      </c>
      <c r="AJ2016">
        <v>92.506002382775705</v>
      </c>
      <c r="AK2016">
        <v>20.919315224337801</v>
      </c>
      <c r="AL2016">
        <v>79.858299830712994</v>
      </c>
      <c r="AM2016">
        <v>88.276831347500107</v>
      </c>
      <c r="AN2016">
        <v>0.99999996496829802</v>
      </c>
    </row>
    <row r="2017" spans="1:40" x14ac:dyDescent="0.25">
      <c r="A2017" t="str">
        <f>"20190303162253465"</f>
        <v>20190303162253465</v>
      </c>
      <c r="B2017" t="str">
        <f>"1551601373456716"</f>
        <v>1551601373456716</v>
      </c>
      <c r="C2017" t="s">
        <v>40</v>
      </c>
      <c r="D2017">
        <v>5.6307349999999996</v>
      </c>
      <c r="E2017">
        <v>0.47285709999999997</v>
      </c>
      <c r="F2017" t="s">
        <v>47</v>
      </c>
      <c r="G2017">
        <v>-324.6746</v>
      </c>
      <c r="H2017" s="1">
        <v>9.7771900000000007E-7</v>
      </c>
      <c r="I2017">
        <v>284.00060000000002</v>
      </c>
      <c r="J2017">
        <v>-303.65469999999999</v>
      </c>
      <c r="K2017">
        <v>1.120528</v>
      </c>
      <c r="L2017">
        <v>284.6123</v>
      </c>
      <c r="M2017">
        <v>-0.99983840000000002</v>
      </c>
      <c r="N2017">
        <v>-1.1154570000000001E-2</v>
      </c>
      <c r="O2017">
        <v>1.410814E-2</v>
      </c>
      <c r="P2017">
        <v>-0.98521760000000003</v>
      </c>
      <c r="Q2017">
        <v>0.16571849999999999</v>
      </c>
      <c r="R2017">
        <v>4.3402330000000003E-2</v>
      </c>
      <c r="S2017">
        <v>-3.0757140000000001</v>
      </c>
      <c r="T2017">
        <v>-0.16181110000000001</v>
      </c>
      <c r="U2017">
        <v>-8.7768550000000001E-2</v>
      </c>
      <c r="V2017">
        <v>2.9470349999999999E-2</v>
      </c>
      <c r="W2017">
        <v>0.176708</v>
      </c>
      <c r="X2017">
        <v>0.98382199999999997</v>
      </c>
      <c r="Y2017">
        <v>-4.2541429999999998E-2</v>
      </c>
      <c r="Z2017">
        <v>-1.9398779999999999E-3</v>
      </c>
      <c r="AA2017">
        <v>0.9990928</v>
      </c>
      <c r="AB2017">
        <v>32</v>
      </c>
      <c r="AC2017">
        <v>-21.0199</v>
      </c>
      <c r="AD2017">
        <v>-1.120527022281</v>
      </c>
      <c r="AE2017">
        <v>-0.61169999999998403</v>
      </c>
      <c r="AF2017">
        <v>-0.90563780911787695</v>
      </c>
      <c r="AG2017">
        <v>-1.120527022281</v>
      </c>
      <c r="AH2017">
        <v>20.949694177225499</v>
      </c>
      <c r="AI2017">
        <v>93.058785338136701</v>
      </c>
      <c r="AJ2017">
        <v>92.475307617177094</v>
      </c>
      <c r="AK2017">
        <v>20.999177287890198</v>
      </c>
      <c r="AL2017">
        <v>79.821931226276604</v>
      </c>
      <c r="AM2017">
        <v>88.284220205142901</v>
      </c>
      <c r="AN2017">
        <v>0.99999997323856005</v>
      </c>
    </row>
    <row r="2018" spans="1:40" x14ac:dyDescent="0.25">
      <c r="A2018" t="str">
        <f>"20190303162253488"</f>
        <v>20190303162253488</v>
      </c>
      <c r="B2018" t="str">
        <f>"1551601373476235"</f>
        <v>1551601373476235</v>
      </c>
      <c r="C2018" t="s">
        <v>40</v>
      </c>
      <c r="D2018">
        <v>5.6113339999999896</v>
      </c>
      <c r="E2018">
        <v>0.47304259999999898</v>
      </c>
      <c r="F2018" t="s">
        <v>47</v>
      </c>
      <c r="G2018">
        <v>-324.94040000000001</v>
      </c>
      <c r="H2018" s="1">
        <v>1.118662E-6</v>
      </c>
      <c r="I2018">
        <v>284.01150000000001</v>
      </c>
      <c r="J2018">
        <v>-303.98880000000003</v>
      </c>
      <c r="K2018">
        <v>1.12052</v>
      </c>
      <c r="L2018">
        <v>284.61689999999999</v>
      </c>
      <c r="M2018">
        <v>-0.99983949999999999</v>
      </c>
      <c r="N2018">
        <v>-1.1159280000000001E-2</v>
      </c>
      <c r="O2018">
        <v>1.401722E-2</v>
      </c>
      <c r="P2018">
        <v>-0.98504599999999998</v>
      </c>
      <c r="Q2018">
        <v>0.16664590000000001</v>
      </c>
      <c r="R2018">
        <v>4.3746199999999999E-2</v>
      </c>
      <c r="S2018">
        <v>-3.07605</v>
      </c>
      <c r="T2018">
        <v>-0.16193060000000001</v>
      </c>
      <c r="U2018">
        <v>-8.6822510000000006E-2</v>
      </c>
      <c r="V2018">
        <v>2.9906530000000001E-2</v>
      </c>
      <c r="W2018">
        <v>0.17763809999999999</v>
      </c>
      <c r="X2018">
        <v>0.98364130000000005</v>
      </c>
      <c r="Y2018">
        <v>-4.2141100000000001E-2</v>
      </c>
      <c r="Z2018">
        <v>-1.924554E-3</v>
      </c>
      <c r="AA2018">
        <v>0.99910980000000005</v>
      </c>
      <c r="AB2018">
        <v>32</v>
      </c>
      <c r="AC2018">
        <v>-20.9515999999999</v>
      </c>
      <c r="AD2018">
        <v>-1.120518881338</v>
      </c>
      <c r="AE2018">
        <v>-0.60539999999997396</v>
      </c>
      <c r="AF2018">
        <v>-0.89647996569327004</v>
      </c>
      <c r="AG2018">
        <v>-1.120518881338</v>
      </c>
      <c r="AH2018">
        <v>20.881378643942899</v>
      </c>
      <c r="AI2018">
        <v>93.068790248418694</v>
      </c>
      <c r="AJ2018">
        <v>92.458314487763701</v>
      </c>
      <c r="AK2018">
        <v>20.930628585019601</v>
      </c>
      <c r="AL2018">
        <v>79.767783561102604</v>
      </c>
      <c r="AM2018">
        <v>88.258521423173704</v>
      </c>
      <c r="AN2018">
        <v>0.99999995108696904</v>
      </c>
    </row>
    <row r="2019" spans="1:40" x14ac:dyDescent="0.25">
      <c r="A2019" t="str">
        <f>"20190303162253503"</f>
        <v>20190303162253503</v>
      </c>
      <c r="B2019" t="str">
        <f>"1551601373496733"</f>
        <v>1551601373496733</v>
      </c>
      <c r="C2019" t="s">
        <v>40</v>
      </c>
      <c r="D2019">
        <v>5.6089539999999998</v>
      </c>
      <c r="E2019">
        <v>0.47335369999999999</v>
      </c>
      <c r="F2019" t="s">
        <v>47</v>
      </c>
      <c r="G2019">
        <v>-325.63760000000002</v>
      </c>
      <c r="H2019" s="1">
        <v>1.488991E-6</v>
      </c>
      <c r="I2019">
        <v>284.0274</v>
      </c>
      <c r="J2019">
        <v>-304.19940000000003</v>
      </c>
      <c r="K2019">
        <v>1.1205210000000001</v>
      </c>
      <c r="L2019">
        <v>284.6198</v>
      </c>
      <c r="M2019">
        <v>-0.99984030000000002</v>
      </c>
      <c r="N2019">
        <v>-1.116224E-2</v>
      </c>
      <c r="O2019">
        <v>1.3959630000000001E-2</v>
      </c>
      <c r="P2019">
        <v>-0.98504499999999995</v>
      </c>
      <c r="Q2019">
        <v>0.16664129999999999</v>
      </c>
      <c r="R2019">
        <v>4.378626E-2</v>
      </c>
      <c r="S2019">
        <v>-3.0762019999999999</v>
      </c>
      <c r="T2019">
        <v>-0.1592211</v>
      </c>
      <c r="U2019">
        <v>-8.3770750000000005E-2</v>
      </c>
      <c r="V2019">
        <v>3.0003289999999998E-2</v>
      </c>
      <c r="W2019">
        <v>0.17763670000000001</v>
      </c>
      <c r="X2019">
        <v>0.98363860000000003</v>
      </c>
      <c r="Y2019">
        <v>-4.1096109999999998E-2</v>
      </c>
      <c r="Z2019">
        <v>-1.8584610000000001E-3</v>
      </c>
      <c r="AA2019">
        <v>0.99915350000000003</v>
      </c>
      <c r="AB2019">
        <v>32</v>
      </c>
      <c r="AC2019">
        <v>-21.438199999999899</v>
      </c>
      <c r="AD2019">
        <v>-1.1205195110089901</v>
      </c>
      <c r="AE2019">
        <v>-0.59239999999999704</v>
      </c>
      <c r="AF2019">
        <v>-0.88920289529073504</v>
      </c>
      <c r="AG2019">
        <v>-1.1205195110089901</v>
      </c>
      <c r="AH2019">
        <v>21.369506130870398</v>
      </c>
      <c r="AI2019">
        <v>92.9989901935825</v>
      </c>
      <c r="AJ2019">
        <v>92.382750384920399</v>
      </c>
      <c r="AK2019">
        <v>21.4173303201135</v>
      </c>
      <c r="AL2019">
        <v>79.767865008625606</v>
      </c>
      <c r="AM2019">
        <v>88.252885713007501</v>
      </c>
      <c r="AN2019">
        <v>0.99999994500383504</v>
      </c>
    </row>
    <row r="2020" spans="1:40" x14ac:dyDescent="0.25">
      <c r="A2020" t="str">
        <f>"20190303162253523"</f>
        <v>20190303162253523</v>
      </c>
      <c r="B2020" t="str">
        <f>"1551601373516251"</f>
        <v>1551601373516251</v>
      </c>
      <c r="C2020" t="s">
        <v>40</v>
      </c>
      <c r="D2020">
        <v>5.8655140000000001</v>
      </c>
      <c r="E2020">
        <v>0.47342580000000001</v>
      </c>
      <c r="F2020" t="s">
        <v>47</v>
      </c>
      <c r="G2020">
        <v>-325.91469999999998</v>
      </c>
      <c r="H2020" s="1">
        <v>1.6356860000000001E-6</v>
      </c>
      <c r="I2020">
        <v>284.04520000000002</v>
      </c>
      <c r="J2020">
        <v>-304.47460000000001</v>
      </c>
      <c r="K2020">
        <v>1.1205240000000001</v>
      </c>
      <c r="L2020">
        <v>284.62360000000001</v>
      </c>
      <c r="M2020">
        <v>-0.99984130000000004</v>
      </c>
      <c r="N2020">
        <v>-1.116608E-2</v>
      </c>
      <c r="O2020">
        <v>1.3885399999999999E-2</v>
      </c>
      <c r="P2020">
        <v>-0.98497250000000003</v>
      </c>
      <c r="Q2020">
        <v>0.1670575</v>
      </c>
      <c r="R2020">
        <v>4.3831460000000003E-2</v>
      </c>
      <c r="S2020">
        <v>-3.0760190000000001</v>
      </c>
      <c r="T2020">
        <v>-0.158724</v>
      </c>
      <c r="U2020">
        <v>-8.1390379999999998E-2</v>
      </c>
      <c r="V2020">
        <v>3.01225E-2</v>
      </c>
      <c r="W2020">
        <v>0.17805570000000001</v>
      </c>
      <c r="X2020">
        <v>0.98355930000000003</v>
      </c>
      <c r="Y2020">
        <v>-4.0252789999999997E-2</v>
      </c>
      <c r="Z2020">
        <v>-1.8235879999999999E-3</v>
      </c>
      <c r="AA2020">
        <v>0.99918790000000002</v>
      </c>
      <c r="AB2020">
        <v>32</v>
      </c>
      <c r="AC2020">
        <v>-21.440099999999902</v>
      </c>
      <c r="AD2020">
        <v>-1.1205223643140001</v>
      </c>
      <c r="AE2020">
        <v>-0.57839999999998704</v>
      </c>
      <c r="AF2020">
        <v>-0.87368248762248801</v>
      </c>
      <c r="AG2020">
        <v>-1.1205223643140001</v>
      </c>
      <c r="AH2020">
        <v>21.3716685454932</v>
      </c>
      <c r="AI2020">
        <v>92.998784951858099</v>
      </c>
      <c r="AJ2020">
        <v>92.340971227847007</v>
      </c>
      <c r="AK2020">
        <v>21.418849359303302</v>
      </c>
      <c r="AL2020">
        <v>79.743470221163804</v>
      </c>
      <c r="AM2020">
        <v>88.245807019321902</v>
      </c>
      <c r="AN2020">
        <v>1.00000004696261</v>
      </c>
    </row>
    <row r="2021" spans="1:40" x14ac:dyDescent="0.25">
      <c r="A2021" t="str">
        <f>"20190303162253546"</f>
        <v>20190303162253546</v>
      </c>
      <c r="B2021" t="str">
        <f>"1551601373536748"</f>
        <v>1551601373536748</v>
      </c>
      <c r="C2021" t="s">
        <v>40</v>
      </c>
      <c r="D2021">
        <v>5.7996939999999997</v>
      </c>
      <c r="E2021">
        <v>0.47357060000000001</v>
      </c>
      <c r="F2021" t="s">
        <v>47</v>
      </c>
      <c r="G2021">
        <v>-326.32499999999999</v>
      </c>
      <c r="H2021" s="1">
        <v>1.8537370000000001E-6</v>
      </c>
      <c r="I2021">
        <v>284.05110000000002</v>
      </c>
      <c r="J2021">
        <v>-304.80220000000003</v>
      </c>
      <c r="K2021">
        <v>1.1205270000000001</v>
      </c>
      <c r="L2021">
        <v>284.62810000000002</v>
      </c>
      <c r="M2021">
        <v>-0.99984249999999997</v>
      </c>
      <c r="N2021">
        <v>-1.117461E-2</v>
      </c>
      <c r="O2021">
        <v>1.3796660000000001E-2</v>
      </c>
      <c r="P2021">
        <v>-0.98498030000000003</v>
      </c>
      <c r="Q2021">
        <v>0.1671523</v>
      </c>
      <c r="R2021">
        <v>4.328912E-2</v>
      </c>
      <c r="S2021">
        <v>-3.0761409999999998</v>
      </c>
      <c r="T2021">
        <v>-0.1577498</v>
      </c>
      <c r="U2021">
        <v>-8.0596920000000002E-2</v>
      </c>
      <c r="V2021">
        <v>2.9667499999999999E-2</v>
      </c>
      <c r="W2021">
        <v>0.17815889999999901</v>
      </c>
      <c r="X2021">
        <v>0.98355440000000005</v>
      </c>
      <c r="Y2021">
        <v>-3.9907039999999998E-2</v>
      </c>
      <c r="Z2021">
        <v>-1.7984769999999999E-3</v>
      </c>
      <c r="AA2021">
        <v>0.99920180000000003</v>
      </c>
      <c r="AB2021">
        <v>32</v>
      </c>
      <c r="AC2021">
        <v>-21.522799999999901</v>
      </c>
      <c r="AD2021">
        <v>-1.1205251462629999</v>
      </c>
      <c r="AE2021">
        <v>-0.57699999999999796</v>
      </c>
      <c r="AF2021">
        <v>-0.87154572659808804</v>
      </c>
      <c r="AG2021">
        <v>-1.1205251462629999</v>
      </c>
      <c r="AH2021">
        <v>21.454679425720599</v>
      </c>
      <c r="AI2021">
        <v>92.987241999992094</v>
      </c>
      <c r="AJ2021">
        <v>92.326226829570899</v>
      </c>
      <c r="AK2021">
        <v>21.501591518243501</v>
      </c>
      <c r="AL2021">
        <v>79.737460794389605</v>
      </c>
      <c r="AM2021">
        <v>88.272279298792697</v>
      </c>
      <c r="AN2021">
        <v>1.0000000059824099</v>
      </c>
    </row>
    <row r="2022" spans="1:40" x14ac:dyDescent="0.25">
      <c r="A2022" t="str">
        <f>"20190303162253567"</f>
        <v>20190303162253567</v>
      </c>
      <c r="B2022" t="str">
        <f>"1551601373556268"</f>
        <v>1551601373556268</v>
      </c>
      <c r="C2022" t="s">
        <v>40</v>
      </c>
      <c r="D2022">
        <v>5.6824110000000001</v>
      </c>
      <c r="E2022">
        <v>0.47366079999999999</v>
      </c>
      <c r="F2022" t="s">
        <v>47</v>
      </c>
      <c r="G2022">
        <v>-326.64359999999999</v>
      </c>
      <c r="H2022" s="1">
        <v>2.0233460000000002E-6</v>
      </c>
      <c r="I2022">
        <v>284.05079999999998</v>
      </c>
      <c r="J2022">
        <v>-305.1028</v>
      </c>
      <c r="K2022">
        <v>1.120528</v>
      </c>
      <c r="L2022">
        <v>284.63209999999998</v>
      </c>
      <c r="M2022">
        <v>-0.99984340000000005</v>
      </c>
      <c r="N2022">
        <v>-1.1189549999999999E-2</v>
      </c>
      <c r="O2022">
        <v>1.371504E-2</v>
      </c>
      <c r="P2022">
        <v>-0.98492710000000006</v>
      </c>
      <c r="Q2022">
        <v>0.16752300000000001</v>
      </c>
      <c r="R2022">
        <v>4.3067769999999998E-2</v>
      </c>
      <c r="S2022">
        <v>-3.076111</v>
      </c>
      <c r="T2022">
        <v>-0.15781310000000001</v>
      </c>
      <c r="U2022">
        <v>-8.1298830000000002E-2</v>
      </c>
      <c r="V2022">
        <v>2.9527339999999999E-2</v>
      </c>
      <c r="W2022">
        <v>0.1785436</v>
      </c>
      <c r="X2022">
        <v>0.9834889</v>
      </c>
      <c r="Y2022">
        <v>-4.0053329999999998E-2</v>
      </c>
      <c r="Z2022">
        <v>-1.8005740000000001E-3</v>
      </c>
      <c r="AA2022">
        <v>0.99919590000000003</v>
      </c>
      <c r="AB2022">
        <v>32</v>
      </c>
      <c r="AC2022">
        <v>-21.540799999999901</v>
      </c>
      <c r="AD2022">
        <v>-1.1205259766540001</v>
      </c>
      <c r="AE2022">
        <v>-0.58129999999999804</v>
      </c>
      <c r="AF2022">
        <v>-0.874332548557611</v>
      </c>
      <c r="AG2022">
        <v>-1.1205259766540001</v>
      </c>
      <c r="AH2022">
        <v>21.472738730522</v>
      </c>
      <c r="AI2022">
        <v>92.984724813187</v>
      </c>
      <c r="AJ2022">
        <v>92.331696357009207</v>
      </c>
      <c r="AK2022">
        <v>21.5197245442195</v>
      </c>
      <c r="AL2022">
        <v>79.715060396505294</v>
      </c>
      <c r="AM2022">
        <v>88.280322310646298</v>
      </c>
      <c r="AN2022">
        <v>1.00000004866582</v>
      </c>
    </row>
    <row r="2023" spans="1:40" x14ac:dyDescent="0.25">
      <c r="A2023" t="str">
        <f>"20190303162253589"</f>
        <v>20190303162253589</v>
      </c>
      <c r="B2023" t="str">
        <f>"1551601373586524"</f>
        <v>1551601373586524</v>
      </c>
      <c r="C2023" t="s">
        <v>40</v>
      </c>
      <c r="D2023">
        <v>5.8215510000000004</v>
      </c>
      <c r="E2023">
        <v>0.47383500000000001</v>
      </c>
      <c r="F2023" t="s">
        <v>47</v>
      </c>
      <c r="G2023">
        <v>-327.18849999999998</v>
      </c>
      <c r="H2023" s="1">
        <v>2.3134370000000001E-6</v>
      </c>
      <c r="I2023">
        <v>284.04770000000002</v>
      </c>
      <c r="J2023">
        <v>-305.42970000000003</v>
      </c>
      <c r="K2023">
        <v>1.120533</v>
      </c>
      <c r="L2023">
        <v>284.63650000000001</v>
      </c>
      <c r="M2023">
        <v>-0.99984419999999996</v>
      </c>
      <c r="N2023">
        <v>-1.121961E-2</v>
      </c>
      <c r="O2023">
        <v>1.3626950000000001E-2</v>
      </c>
      <c r="P2023">
        <v>-0.98498540000000001</v>
      </c>
      <c r="Q2023">
        <v>0.16714019999999999</v>
      </c>
      <c r="R2023">
        <v>4.3223310000000001E-2</v>
      </c>
      <c r="S2023">
        <v>-3.0759889999999999</v>
      </c>
      <c r="T2023">
        <v>-0.15606110000000001</v>
      </c>
      <c r="U2023">
        <v>-8.1390379999999998E-2</v>
      </c>
      <c r="V2023">
        <v>2.976873E-2</v>
      </c>
      <c r="W2023">
        <v>0.17819079999999901</v>
      </c>
      <c r="X2023">
        <v>0.98354549999999996</v>
      </c>
      <c r="Y2023">
        <v>-3.99978E-2</v>
      </c>
      <c r="Z2023">
        <v>-1.7764510000000001E-3</v>
      </c>
      <c r="AA2023">
        <v>0.99919820000000004</v>
      </c>
      <c r="AB2023">
        <v>32</v>
      </c>
      <c r="AC2023">
        <v>-21.758799999999901</v>
      </c>
      <c r="AD2023">
        <v>-1.120530686563</v>
      </c>
      <c r="AE2023">
        <v>-0.588799999999992</v>
      </c>
      <c r="AF2023">
        <v>-0.88293022639906904</v>
      </c>
      <c r="AG2023">
        <v>-1.120530686563</v>
      </c>
      <c r="AH2023">
        <v>21.6912716582525</v>
      </c>
      <c r="AI2023">
        <v>92.954722236887307</v>
      </c>
      <c r="AJ2023">
        <v>92.330903652769194</v>
      </c>
      <c r="AK2023">
        <v>21.738132876499002</v>
      </c>
      <c r="AL2023">
        <v>79.735602699972006</v>
      </c>
      <c r="AM2023">
        <v>88.266371967874505</v>
      </c>
      <c r="AN2023">
        <v>0.99999994453034902</v>
      </c>
    </row>
    <row r="2024" spans="1:40" x14ac:dyDescent="0.25">
      <c r="A2024" t="str">
        <f>"20190303162253602"</f>
        <v>20190303162253602</v>
      </c>
      <c r="B2024" t="str">
        <f>"1551601373596284"</f>
        <v>1551601373596284</v>
      </c>
      <c r="C2024" t="s">
        <v>40</v>
      </c>
      <c r="D2024">
        <v>5.6776519999999904</v>
      </c>
      <c r="E2024">
        <v>0.49139690000000003</v>
      </c>
      <c r="F2024" t="s">
        <v>47</v>
      </c>
      <c r="G2024">
        <v>-327.48320000000001</v>
      </c>
      <c r="H2024" s="1">
        <v>2.4693790000000001E-6</v>
      </c>
      <c r="I2024">
        <v>284.06740000000002</v>
      </c>
      <c r="J2024">
        <v>-305.6191</v>
      </c>
      <c r="K2024">
        <v>1.12053799999999</v>
      </c>
      <c r="L2024">
        <v>284.63900000000001</v>
      </c>
      <c r="M2024">
        <v>-0.99984470000000003</v>
      </c>
      <c r="N2024">
        <v>-1.124321E-2</v>
      </c>
      <c r="O2024">
        <v>1.3575429999999999E-2</v>
      </c>
      <c r="P2024">
        <v>-0.98500779999999999</v>
      </c>
      <c r="Q2024">
        <v>0.1669726</v>
      </c>
      <c r="R2024">
        <v>4.336081E-2</v>
      </c>
      <c r="S2024">
        <v>-3.075745</v>
      </c>
      <c r="T2024">
        <v>-0.15627769999999999</v>
      </c>
      <c r="U2024">
        <v>-7.9376219999999997E-2</v>
      </c>
      <c r="V2024">
        <v>2.995656E-2</v>
      </c>
      <c r="W2024">
        <v>0.17804679999999901</v>
      </c>
      <c r="X2024">
        <v>0.98356589999999999</v>
      </c>
      <c r="Y2024">
        <v>-3.9295459999999997E-2</v>
      </c>
      <c r="Z2024">
        <v>-1.755295E-3</v>
      </c>
      <c r="AA2024">
        <v>0.99922610000000001</v>
      </c>
      <c r="AB2024">
        <v>32</v>
      </c>
      <c r="AC2024">
        <v>-21.864100000000001</v>
      </c>
      <c r="AD2024">
        <v>-1.1205355306210001</v>
      </c>
      <c r="AE2024">
        <v>-0.57159999999998901</v>
      </c>
      <c r="AF2024">
        <v>-0.86610728960832895</v>
      </c>
      <c r="AG2024">
        <v>-1.1205355306210001</v>
      </c>
      <c r="AH2024">
        <v>21.797112338064199</v>
      </c>
      <c r="AI2024">
        <v>92.9405271255918</v>
      </c>
      <c r="AJ2024">
        <v>92.275448212119699</v>
      </c>
      <c r="AK2024">
        <v>21.843073226784899</v>
      </c>
      <c r="AL2024">
        <v>79.743987626373894</v>
      </c>
      <c r="AM2024">
        <v>88.255476296973598</v>
      </c>
      <c r="AN2024">
        <v>0.99999996906004096</v>
      </c>
    </row>
    <row r="2025" spans="1:40" x14ac:dyDescent="0.25">
      <c r="A2025" t="str">
        <f>"20190303162253615"</f>
        <v>20190303162253615</v>
      </c>
      <c r="B2025" t="str">
        <f>"1551601373607019"</f>
        <v>1551601373607019</v>
      </c>
      <c r="C2025" t="s">
        <v>40</v>
      </c>
      <c r="D2025">
        <v>5.5483729999999998</v>
      </c>
      <c r="E2025">
        <v>0.49139690000000003</v>
      </c>
      <c r="F2025" t="s">
        <v>47</v>
      </c>
      <c r="G2025">
        <v>-323.18779999999998</v>
      </c>
      <c r="H2025" s="1">
        <v>1.4346979999999999E-7</v>
      </c>
      <c r="I2025">
        <v>284.98590000000002</v>
      </c>
      <c r="J2025">
        <v>-305.80900000000003</v>
      </c>
      <c r="K2025">
        <v>1.1205480000000001</v>
      </c>
      <c r="L2025">
        <v>284.64159999999998</v>
      </c>
      <c r="M2025">
        <v>-0.99984510000000004</v>
      </c>
      <c r="N2025">
        <v>-1.128057E-2</v>
      </c>
      <c r="O2025">
        <v>1.3523469999999999E-2</v>
      </c>
      <c r="P2025">
        <v>-0.9849926</v>
      </c>
      <c r="Q2025">
        <v>0.166966899999999</v>
      </c>
      <c r="R2025">
        <v>4.3726880000000003E-2</v>
      </c>
      <c r="S2025">
        <v>-3.076263</v>
      </c>
      <c r="T2025">
        <v>-0.19620499999999999</v>
      </c>
      <c r="U2025">
        <v>6.0729980000000003E-2</v>
      </c>
      <c r="V2025">
        <v>3.037393E-2</v>
      </c>
      <c r="W2025">
        <v>0.17807779999999901</v>
      </c>
      <c r="X2025">
        <v>0.98354750000000002</v>
      </c>
      <c r="Y2025">
        <v>6.2178700000000003E-3</v>
      </c>
      <c r="Z2025">
        <v>-4.7591460000000001E-4</v>
      </c>
      <c r="AA2025">
        <v>0.9999806</v>
      </c>
      <c r="AB2025">
        <v>32</v>
      </c>
      <c r="AC2025">
        <v>-17.378799999999899</v>
      </c>
      <c r="AD2025">
        <v>-1.1205478565301901</v>
      </c>
      <c r="AE2025">
        <v>0.34430000000003202</v>
      </c>
      <c r="AF2025">
        <v>0.108779854681422</v>
      </c>
      <c r="AG2025">
        <v>-1.1205478565301901</v>
      </c>
      <c r="AH2025">
        <v>17.309931018237499</v>
      </c>
      <c r="AI2025">
        <v>93.703766580700602</v>
      </c>
      <c r="AJ2025">
        <v>89.639943999839602</v>
      </c>
      <c r="AK2025">
        <v>17.346503175329001</v>
      </c>
      <c r="AL2025">
        <v>79.742182741795304</v>
      </c>
      <c r="AM2025">
        <v>88.231152971798906</v>
      </c>
      <c r="AN2025">
        <v>0.99999998161636705</v>
      </c>
    </row>
    <row r="2026" spans="1:40" x14ac:dyDescent="0.25">
      <c r="A2026" t="str">
        <f>"20190303162253629"</f>
        <v>20190303162253629</v>
      </c>
      <c r="B2026" t="str">
        <f>"1551601373626540"</f>
        <v>1551601373626540</v>
      </c>
      <c r="C2026" t="s">
        <v>40</v>
      </c>
      <c r="D2026">
        <v>5.5349589999999997</v>
      </c>
      <c r="E2026">
        <v>0.52347100000000002</v>
      </c>
      <c r="F2026" t="s">
        <v>47</v>
      </c>
      <c r="G2026">
        <v>-323.37580000000003</v>
      </c>
      <c r="H2026" s="1">
        <v>2.4304220000000002E-7</v>
      </c>
      <c r="I2026">
        <v>284.99549999999999</v>
      </c>
      <c r="J2026">
        <v>-306.00549999999998</v>
      </c>
      <c r="K2026">
        <v>1.120563</v>
      </c>
      <c r="L2026">
        <v>284.64420000000001</v>
      </c>
      <c r="M2026">
        <v>-0.99984510000000004</v>
      </c>
      <c r="N2026">
        <v>-1.1332210000000001E-2</v>
      </c>
      <c r="O2026">
        <v>1.3469760000000001E-2</v>
      </c>
      <c r="P2026">
        <v>-0.98507420000000001</v>
      </c>
      <c r="Q2026">
        <v>0.1664349</v>
      </c>
      <c r="R2026">
        <v>4.3914120000000001E-2</v>
      </c>
      <c r="S2026">
        <v>-3.0762330000000002</v>
      </c>
      <c r="T2026">
        <v>-0.1962266</v>
      </c>
      <c r="U2026">
        <v>6.19812E-2</v>
      </c>
      <c r="V2026">
        <v>3.0612609999999998E-2</v>
      </c>
      <c r="W2026">
        <v>0.1775977</v>
      </c>
      <c r="X2026">
        <v>0.98362689999999997</v>
      </c>
      <c r="Y2026">
        <v>6.6771280000000001E-3</v>
      </c>
      <c r="Z2026">
        <v>-4.5508190000000001E-4</v>
      </c>
      <c r="AA2026">
        <v>0.99997760000000002</v>
      </c>
      <c r="AB2026">
        <v>32</v>
      </c>
      <c r="AC2026">
        <v>-17.3703</v>
      </c>
      <c r="AD2026">
        <v>-1.1205627569578001</v>
      </c>
      <c r="AE2026">
        <v>0.35129999999998002</v>
      </c>
      <c r="AF2026">
        <v>0.116793491491254</v>
      </c>
      <c r="AG2026">
        <v>-1.1205627569578001</v>
      </c>
      <c r="AH2026">
        <v>17.301484184387601</v>
      </c>
      <c r="AI2026">
        <v>93.7056076850495</v>
      </c>
      <c r="AJ2026">
        <v>89.613231303023298</v>
      </c>
      <c r="AK2026">
        <v>17.338127251654001</v>
      </c>
      <c r="AL2026">
        <v>79.770135975532398</v>
      </c>
      <c r="AM2026">
        <v>88.217406022396702</v>
      </c>
      <c r="AN2026">
        <v>0.99999997666995499</v>
      </c>
    </row>
    <row r="2027" spans="1:40" x14ac:dyDescent="0.25">
      <c r="A2027" t="str">
        <f>"20190303162253645"</f>
        <v>20190303162253645</v>
      </c>
      <c r="B2027" t="str">
        <f>"1551601373636300"</f>
        <v>1551601373636300</v>
      </c>
      <c r="C2027" t="s">
        <v>40</v>
      </c>
      <c r="D2027">
        <v>5.4854129999999897</v>
      </c>
      <c r="E2027">
        <v>0.52548329999999999</v>
      </c>
      <c r="F2027" t="s">
        <v>42</v>
      </c>
      <c r="G2027">
        <v>-306.86860000000001</v>
      </c>
      <c r="H2027">
        <v>0.93220930000000002</v>
      </c>
      <c r="I2027">
        <v>284.73140000000001</v>
      </c>
      <c r="J2027">
        <v>-306.22879999999998</v>
      </c>
      <c r="K2027">
        <v>1.120576</v>
      </c>
      <c r="L2027">
        <v>284.64710000000002</v>
      </c>
      <c r="M2027">
        <v>-0.99984499999999998</v>
      </c>
      <c r="N2027">
        <v>-1.1410699999999999E-2</v>
      </c>
      <c r="O2027">
        <v>1.341034E-2</v>
      </c>
      <c r="P2027">
        <v>-0.98517860000000002</v>
      </c>
      <c r="Q2027">
        <v>0.1658898</v>
      </c>
      <c r="R2027">
        <v>4.3631969999999999E-2</v>
      </c>
      <c r="S2027">
        <v>-3.1473689999999999</v>
      </c>
      <c r="T2027">
        <v>-0.68694639999999996</v>
      </c>
      <c r="U2027">
        <v>0.31756590000000001</v>
      </c>
      <c r="V2027">
        <v>3.0387330000000001E-2</v>
      </c>
      <c r="W2027">
        <v>0.17713129999999999</v>
      </c>
      <c r="X2027">
        <v>0.98371799999999998</v>
      </c>
      <c r="Y2027">
        <v>8.5224430000000004E-2</v>
      </c>
      <c r="Z2027">
        <v>6.9289909999999998E-3</v>
      </c>
      <c r="AA2027">
        <v>0.99633769999999999</v>
      </c>
      <c r="AB2027">
        <v>32</v>
      </c>
      <c r="AC2027">
        <v>-0.63980000000003601</v>
      </c>
      <c r="AD2027">
        <v>-0.188366699999999</v>
      </c>
      <c r="AE2027">
        <v>8.4299999999984707E-2</v>
      </c>
      <c r="AF2027">
        <v>6.9767649159305806E-2</v>
      </c>
      <c r="AG2027">
        <v>-0.188366699999999</v>
      </c>
      <c r="AH2027">
        <v>0.59055696421466797</v>
      </c>
      <c r="AI2027">
        <v>107.576205565782</v>
      </c>
      <c r="AJ2027">
        <v>83.262378735065496</v>
      </c>
      <c r="AK2027">
        <v>0.62378447120824598</v>
      </c>
      <c r="AL2027">
        <v>79.797289429803001</v>
      </c>
      <c r="AM2027">
        <v>88.230679629863303</v>
      </c>
      <c r="AN2027">
        <v>0.999999995394109</v>
      </c>
    </row>
    <row r="2028" spans="1:40" x14ac:dyDescent="0.25">
      <c r="A2028" t="str">
        <f>"20190303162253659"</f>
        <v>20190303162253659</v>
      </c>
      <c r="B2028" t="str">
        <f>"1551601373656796"</f>
        <v>1551601373656796</v>
      </c>
      <c r="C2028" t="s">
        <v>40</v>
      </c>
      <c r="D2028">
        <v>5.4947609999999996</v>
      </c>
      <c r="E2028">
        <v>0.52742840000000002</v>
      </c>
      <c r="F2028" t="s">
        <v>42</v>
      </c>
      <c r="G2028">
        <v>-307.13839999999999</v>
      </c>
      <c r="H2028">
        <v>0.89389869999999905</v>
      </c>
      <c r="I2028">
        <v>284.7432</v>
      </c>
      <c r="J2028">
        <v>-306.44499999999999</v>
      </c>
      <c r="K2028">
        <v>1.120601</v>
      </c>
      <c r="L2028">
        <v>284.64999999999998</v>
      </c>
      <c r="M2028">
        <v>-0.99984459999999997</v>
      </c>
      <c r="N2028">
        <v>-1.1513890000000001E-2</v>
      </c>
      <c r="O2028">
        <v>1.336175E-2</v>
      </c>
      <c r="P2028">
        <v>-0.98523090000000002</v>
      </c>
      <c r="Q2028">
        <v>0.16552520000000001</v>
      </c>
      <c r="R2028">
        <v>4.384093E-2</v>
      </c>
      <c r="S2028">
        <v>-3.1631469999999999</v>
      </c>
      <c r="T2028">
        <v>-0.78828569999999998</v>
      </c>
      <c r="U2028">
        <v>0.33340449999999999</v>
      </c>
      <c r="V2028">
        <v>3.064184E-2</v>
      </c>
      <c r="W2028">
        <v>0.1768689</v>
      </c>
      <c r="X2028">
        <v>0.98375729999999995</v>
      </c>
      <c r="Y2028">
        <v>8.90682E-2</v>
      </c>
      <c r="Z2028">
        <v>8.3053399999999996E-3</v>
      </c>
      <c r="AA2028">
        <v>0.99599090000000001</v>
      </c>
      <c r="AB2028">
        <v>32</v>
      </c>
      <c r="AC2028">
        <v>-0.69339999999999602</v>
      </c>
      <c r="AD2028">
        <v>-0.2267023</v>
      </c>
      <c r="AE2028">
        <v>9.3200000000024305E-2</v>
      </c>
      <c r="AF2028">
        <v>7.5951507637153498E-2</v>
      </c>
      <c r="AG2028">
        <v>-0.2267023</v>
      </c>
      <c r="AH2028">
        <v>0.62858524293099505</v>
      </c>
      <c r="AI2028">
        <v>109.69993594466099</v>
      </c>
      <c r="AJ2028">
        <v>83.110390963253593</v>
      </c>
      <c r="AK2028">
        <v>0.67251912386806201</v>
      </c>
      <c r="AL2028">
        <v>79.812564849558498</v>
      </c>
      <c r="AM2028">
        <v>88.215941399338107</v>
      </c>
      <c r="AN2028">
        <v>0.99999997772454197</v>
      </c>
    </row>
    <row r="2029" spans="1:40" x14ac:dyDescent="0.25">
      <c r="A2029" t="str">
        <f>"20190303162253673"</f>
        <v>20190303162253673</v>
      </c>
      <c r="B2029" t="str">
        <f>"1551601373666556"</f>
        <v>1551601373666556</v>
      </c>
      <c r="C2029" t="s">
        <v>40</v>
      </c>
      <c r="D2029">
        <v>5.4696099999999896</v>
      </c>
      <c r="E2029">
        <v>0.5277193</v>
      </c>
      <c r="F2029" t="s">
        <v>42</v>
      </c>
      <c r="G2029">
        <v>-307.15089999999998</v>
      </c>
      <c r="H2029">
        <v>0.92228220000000005</v>
      </c>
      <c r="I2029">
        <v>284.7278</v>
      </c>
      <c r="J2029">
        <v>-306.62830000000002</v>
      </c>
      <c r="K2029">
        <v>1.1206210000000001</v>
      </c>
      <c r="L2029">
        <v>284.65230000000003</v>
      </c>
      <c r="M2029">
        <v>-0.99984379999999995</v>
      </c>
      <c r="N2029">
        <v>-1.161774E-2</v>
      </c>
      <c r="O2029">
        <v>1.331828E-2</v>
      </c>
      <c r="P2029">
        <v>-0.98533389999999998</v>
      </c>
      <c r="Q2029">
        <v>0.16498119999999999</v>
      </c>
      <c r="R2029">
        <v>4.3575549999999998E-2</v>
      </c>
      <c r="S2029">
        <v>-3.179535</v>
      </c>
      <c r="T2029">
        <v>-0.89331510000000003</v>
      </c>
      <c r="U2029">
        <v>0.34942630000000002</v>
      </c>
      <c r="V2029">
        <v>3.041806E-2</v>
      </c>
      <c r="W2029">
        <v>0.17642869999999999</v>
      </c>
      <c r="X2029">
        <v>0.98384329999999998</v>
      </c>
      <c r="Y2029">
        <v>9.2757809999999996E-2</v>
      </c>
      <c r="Z2029">
        <v>9.7896540000000001E-3</v>
      </c>
      <c r="AA2029">
        <v>0.99564059999999999</v>
      </c>
      <c r="AB2029">
        <v>32</v>
      </c>
      <c r="AC2029">
        <v>-0.52259999999995399</v>
      </c>
      <c r="AD2029">
        <v>-0.19833879999999901</v>
      </c>
      <c r="AE2029">
        <v>7.5499999999976794E-2</v>
      </c>
      <c r="AF2029">
        <v>6.0058821091792697E-2</v>
      </c>
      <c r="AG2029">
        <v>-0.19833879999999901</v>
      </c>
      <c r="AH2029">
        <v>0.45882258931132203</v>
      </c>
      <c r="AI2029">
        <v>113.201004998733</v>
      </c>
      <c r="AJ2029">
        <v>82.542514131368804</v>
      </c>
      <c r="AK2029">
        <v>0.50345159652018401</v>
      </c>
      <c r="AL2029">
        <v>79.838189570077006</v>
      </c>
      <c r="AM2029">
        <v>88.2291169169754</v>
      </c>
      <c r="AN2029">
        <v>0.999999991756371</v>
      </c>
    </row>
    <row r="2030" spans="1:40" x14ac:dyDescent="0.25">
      <c r="A2030" t="str">
        <f>"20190303162253690"</f>
        <v>20190303162253690</v>
      </c>
      <c r="B2030" t="str">
        <f>"1551601373687052"</f>
        <v>1551601373687052</v>
      </c>
      <c r="C2030" t="s">
        <v>40</v>
      </c>
      <c r="D2030">
        <v>5.4789490000000001</v>
      </c>
      <c r="E2030">
        <v>0.52822279999999999</v>
      </c>
      <c r="F2030" t="s">
        <v>42</v>
      </c>
      <c r="G2030">
        <v>-307.42320000000001</v>
      </c>
      <c r="H2030">
        <v>0.88854270000000002</v>
      </c>
      <c r="I2030">
        <v>284.73989999999998</v>
      </c>
      <c r="J2030">
        <v>-306.8784</v>
      </c>
      <c r="K2030">
        <v>1.120649</v>
      </c>
      <c r="L2030">
        <v>284.65559999999999</v>
      </c>
      <c r="M2030">
        <v>-0.99984280000000003</v>
      </c>
      <c r="N2030">
        <v>-1.177753E-2</v>
      </c>
      <c r="O2030">
        <v>1.32549E-2</v>
      </c>
      <c r="P2030">
        <v>-0.98545050000000001</v>
      </c>
      <c r="Q2030">
        <v>0.1644958</v>
      </c>
      <c r="R2030">
        <v>4.2760729999999997E-2</v>
      </c>
      <c r="S2030">
        <v>-3.1848450000000001</v>
      </c>
      <c r="T2030">
        <v>-0.92992710000000001</v>
      </c>
      <c r="U2030">
        <v>0.35122680000000001</v>
      </c>
      <c r="V2030">
        <v>2.9665460000000001E-2</v>
      </c>
      <c r="W2030">
        <v>0.17610110000000001</v>
      </c>
      <c r="X2030">
        <v>0.98392500000000005</v>
      </c>
      <c r="Y2030">
        <v>9.2937770000000003E-2</v>
      </c>
      <c r="Z2030">
        <v>1.0186550000000001E-2</v>
      </c>
      <c r="AA2030">
        <v>0.99561980000000005</v>
      </c>
      <c r="AB2030">
        <v>32</v>
      </c>
      <c r="AC2030">
        <v>-0.54480000000000905</v>
      </c>
      <c r="AD2030">
        <v>-0.23210629999999999</v>
      </c>
      <c r="AE2030">
        <v>8.4299999999984707E-2</v>
      </c>
      <c r="AF2030">
        <v>6.5465974786031403E-2</v>
      </c>
      <c r="AG2030">
        <v>-0.23210629999999999</v>
      </c>
      <c r="AH2030">
        <v>0.46367592825245801</v>
      </c>
      <c r="AI2030">
        <v>116.36590085336699</v>
      </c>
      <c r="AJ2030">
        <v>81.9635812990104</v>
      </c>
      <c r="AK2030">
        <v>0.52264184179527196</v>
      </c>
      <c r="AL2030">
        <v>79.857258532768299</v>
      </c>
      <c r="AM2030">
        <v>88.273048343861703</v>
      </c>
      <c r="AN2030">
        <v>1.00000002128161</v>
      </c>
    </row>
    <row r="2031" spans="1:40" x14ac:dyDescent="0.25">
      <c r="A2031" t="str">
        <f>"20190303162253705"</f>
        <v>20190303162253705</v>
      </c>
      <c r="B2031" t="str">
        <f>"1551601373696812"</f>
        <v>1551601373696812</v>
      </c>
      <c r="C2031" t="s">
        <v>40</v>
      </c>
      <c r="D2031">
        <v>5.5148739999999998</v>
      </c>
      <c r="E2031">
        <v>0.52833699999999995</v>
      </c>
      <c r="F2031" t="s">
        <v>42</v>
      </c>
      <c r="G2031">
        <v>-307.70260000000002</v>
      </c>
      <c r="H2031">
        <v>0.8707298</v>
      </c>
      <c r="I2031">
        <v>284.74740000000003</v>
      </c>
      <c r="J2031">
        <v>-307.08870000000002</v>
      </c>
      <c r="K2031">
        <v>1.120676</v>
      </c>
      <c r="L2031">
        <v>284.6583</v>
      </c>
      <c r="M2031">
        <v>-0.9998418</v>
      </c>
      <c r="N2031">
        <v>-1.1928630000000001E-2</v>
      </c>
      <c r="O2031">
        <v>1.319795E-2</v>
      </c>
      <c r="P2031">
        <v>-0.98554730000000001</v>
      </c>
      <c r="Q2031">
        <v>0.1640182</v>
      </c>
      <c r="R2031">
        <v>4.2362039999999997E-2</v>
      </c>
      <c r="S2031">
        <v>-3.1903990000000002</v>
      </c>
      <c r="T2031">
        <v>-0.96747760000000005</v>
      </c>
      <c r="U2031">
        <v>0.35400389999999998</v>
      </c>
      <c r="V2031">
        <v>2.9323229999999999E-2</v>
      </c>
      <c r="W2031">
        <v>0.1757734</v>
      </c>
      <c r="X2031">
        <v>0.98399380000000003</v>
      </c>
      <c r="Y2031">
        <v>9.3375689999999997E-2</v>
      </c>
      <c r="Z2031">
        <v>1.0629670000000001E-2</v>
      </c>
      <c r="AA2031">
        <v>0.99557419999999996</v>
      </c>
      <c r="AB2031">
        <v>32</v>
      </c>
      <c r="AC2031">
        <v>-0.613900000000001</v>
      </c>
      <c r="AD2031">
        <v>-0.24994619999999901</v>
      </c>
      <c r="AE2031">
        <v>8.9100000000030294E-2</v>
      </c>
      <c r="AF2031">
        <v>6.9677502759867394E-2</v>
      </c>
      <c r="AG2031">
        <v>-0.24994619999999901</v>
      </c>
      <c r="AH2031">
        <v>0.52912125989641001</v>
      </c>
      <c r="AI2031">
        <v>115.095410061718</v>
      </c>
      <c r="AJ2031">
        <v>82.498151426543103</v>
      </c>
      <c r="AK2031">
        <v>0.58931940826656604</v>
      </c>
      <c r="AL2031">
        <v>79.876331344385306</v>
      </c>
      <c r="AM2031">
        <v>88.293078424855807</v>
      </c>
      <c r="AN2031">
        <v>0.999999969201816</v>
      </c>
    </row>
    <row r="2032" spans="1:40" x14ac:dyDescent="0.25">
      <c r="A2032" t="str">
        <f>"20190303162253718"</f>
        <v>20190303162253718</v>
      </c>
      <c r="B2032" t="str">
        <f>"1551601373706572"</f>
        <v>1551601373706572</v>
      </c>
      <c r="C2032" t="s">
        <v>40</v>
      </c>
      <c r="D2032">
        <v>5.4798410000000004</v>
      </c>
      <c r="E2032">
        <v>0.52842159999999905</v>
      </c>
      <c r="F2032" t="s">
        <v>42</v>
      </c>
      <c r="G2032">
        <v>-307.97919999999999</v>
      </c>
      <c r="H2032">
        <v>0.84691919999999898</v>
      </c>
      <c r="I2032">
        <v>284.75709999999998</v>
      </c>
      <c r="J2032">
        <v>-307.2747</v>
      </c>
      <c r="K2032">
        <v>1.1207</v>
      </c>
      <c r="L2032">
        <v>284.66070000000002</v>
      </c>
      <c r="M2032">
        <v>-0.99984070000000003</v>
      </c>
      <c r="N2032">
        <v>-1.2078200000000001E-2</v>
      </c>
      <c r="O2032">
        <v>1.3144980000000001E-2</v>
      </c>
      <c r="P2032">
        <v>-0.98558590000000001</v>
      </c>
      <c r="Q2032">
        <v>0.16384889999999999</v>
      </c>
      <c r="R2032">
        <v>4.2119999999999998E-2</v>
      </c>
      <c r="S2032">
        <v>-3.192078</v>
      </c>
      <c r="T2032">
        <v>-0.98127710000000001</v>
      </c>
      <c r="U2032">
        <v>0.35437010000000002</v>
      </c>
      <c r="V2032">
        <v>2.9134230000000001E-2</v>
      </c>
      <c r="W2032">
        <v>0.1757514</v>
      </c>
      <c r="X2032">
        <v>0.98400339999999997</v>
      </c>
      <c r="Y2032">
        <v>9.3379299999999998E-2</v>
      </c>
      <c r="Z2032">
        <v>1.078485E-2</v>
      </c>
      <c r="AA2032">
        <v>0.99557220000000002</v>
      </c>
      <c r="AB2032">
        <v>32</v>
      </c>
      <c r="AC2032">
        <v>-0.70449999999999502</v>
      </c>
      <c r="AD2032">
        <v>-0.27378079999999999</v>
      </c>
      <c r="AE2032">
        <v>9.6399999999960004E-2</v>
      </c>
      <c r="AF2032">
        <v>7.5881159415058699E-2</v>
      </c>
      <c r="AG2032">
        <v>-0.27378079999999999</v>
      </c>
      <c r="AH2032">
        <v>0.61459428605172906</v>
      </c>
      <c r="AI2032">
        <v>113.850650995004</v>
      </c>
      <c r="AJ2032">
        <v>82.961570574318401</v>
      </c>
      <c r="AK2032">
        <v>0.67708198414242904</v>
      </c>
      <c r="AL2032">
        <v>79.877612351200895</v>
      </c>
      <c r="AM2032">
        <v>88.304090310486799</v>
      </c>
      <c r="AN2032">
        <v>1.0000000245856</v>
      </c>
    </row>
    <row r="2033" spans="1:40" x14ac:dyDescent="0.25">
      <c r="A2033" t="str">
        <f>"20190303162253735"</f>
        <v>20190303162253735</v>
      </c>
      <c r="B2033" t="str">
        <f>"1551601373727067"</f>
        <v>1551601373727067</v>
      </c>
      <c r="C2033" t="s">
        <v>40</v>
      </c>
      <c r="D2033">
        <v>5.4860100000000003</v>
      </c>
      <c r="E2033">
        <v>0.52851510000000002</v>
      </c>
      <c r="F2033" t="s">
        <v>42</v>
      </c>
      <c r="G2033">
        <v>-307.9991</v>
      </c>
      <c r="H2033">
        <v>0.8961633</v>
      </c>
      <c r="I2033">
        <v>284.74110000000002</v>
      </c>
      <c r="J2033">
        <v>-307.52330000000001</v>
      </c>
      <c r="K2033">
        <v>1.1207339999999999</v>
      </c>
      <c r="L2033">
        <v>284.66390000000001</v>
      </c>
      <c r="M2033">
        <v>-0.99983920000000004</v>
      </c>
      <c r="N2033">
        <v>-1.2292330000000001E-2</v>
      </c>
      <c r="O2033">
        <v>1.307372E-2</v>
      </c>
      <c r="P2033">
        <v>-0.98554679999999995</v>
      </c>
      <c r="Q2033">
        <v>0.16412309999999999</v>
      </c>
      <c r="R2033">
        <v>4.1972240000000001E-2</v>
      </c>
      <c r="S2033">
        <v>-3.1932680000000002</v>
      </c>
      <c r="T2033">
        <v>-0.98982380000000003</v>
      </c>
      <c r="U2033">
        <v>0.35464479999999998</v>
      </c>
      <c r="V2033">
        <v>2.905868E-2</v>
      </c>
      <c r="W2033">
        <v>0.17623529999999901</v>
      </c>
      <c r="X2033">
        <v>0.98391910000000005</v>
      </c>
      <c r="Y2033">
        <v>9.342317E-2</v>
      </c>
      <c r="Z2033">
        <v>1.090562E-2</v>
      </c>
      <c r="AA2033">
        <v>0.99556679999999997</v>
      </c>
      <c r="AB2033">
        <v>32</v>
      </c>
      <c r="AC2033">
        <v>-0.47579999999999201</v>
      </c>
      <c r="AD2033">
        <v>-0.22457070000000001</v>
      </c>
      <c r="AE2033">
        <v>7.7200000000004806E-2</v>
      </c>
      <c r="AF2033">
        <v>5.8314861288097798E-2</v>
      </c>
      <c r="AG2033">
        <v>-0.22457070000000001</v>
      </c>
      <c r="AH2033">
        <v>0.39173929982664801</v>
      </c>
      <c r="AI2033">
        <v>119.554001417698</v>
      </c>
      <c r="AJ2033">
        <v>81.533046366996004</v>
      </c>
      <c r="AK2033">
        <v>0.45529364301976899</v>
      </c>
      <c r="AL2033">
        <v>79.849447480214906</v>
      </c>
      <c r="AM2033">
        <v>88.308340692760098</v>
      </c>
      <c r="AN2033">
        <v>1.00000004159712</v>
      </c>
    </row>
    <row r="2034" spans="1:40" x14ac:dyDescent="0.25">
      <c r="A2034" t="str">
        <f>"20190303162253758"</f>
        <v>20190303162253758</v>
      </c>
      <c r="B2034" t="str">
        <f>"1551601373746588"</f>
        <v>1551601373746588</v>
      </c>
      <c r="C2034" t="s">
        <v>40</v>
      </c>
      <c r="D2034">
        <v>5.4834019999999999</v>
      </c>
      <c r="E2034">
        <v>0.52853269999999997</v>
      </c>
      <c r="F2034" t="s">
        <v>42</v>
      </c>
      <c r="G2034">
        <v>-308.27980000000002</v>
      </c>
      <c r="H2034">
        <v>0.88362529999999995</v>
      </c>
      <c r="I2034">
        <v>284.74829999999997</v>
      </c>
      <c r="J2034">
        <v>-307.84269999999998</v>
      </c>
      <c r="K2034">
        <v>1.120776</v>
      </c>
      <c r="L2034">
        <v>284.66800000000001</v>
      </c>
      <c r="M2034">
        <v>-0.99983659999999996</v>
      </c>
      <c r="N2034">
        <v>-1.2582360000000001E-2</v>
      </c>
      <c r="O2034">
        <v>1.298445E-2</v>
      </c>
      <c r="P2034">
        <v>-0.98558769999999996</v>
      </c>
      <c r="Q2034">
        <v>0.16388159999999999</v>
      </c>
      <c r="R2034">
        <v>4.1953030000000002E-2</v>
      </c>
      <c r="S2034">
        <v>-3.1957399999999998</v>
      </c>
      <c r="T2034">
        <v>-1.0016879999999999</v>
      </c>
      <c r="U2034">
        <v>0.35540769999999999</v>
      </c>
      <c r="V2034">
        <v>2.9127340000000002E-2</v>
      </c>
      <c r="W2034">
        <v>0.176279399999999</v>
      </c>
      <c r="X2034">
        <v>0.98390909999999998</v>
      </c>
      <c r="Y2034">
        <v>9.3561489999999997E-2</v>
      </c>
      <c r="Z2034">
        <v>1.10802E-2</v>
      </c>
      <c r="AA2034">
        <v>0.99555179999999999</v>
      </c>
      <c r="AB2034">
        <v>32</v>
      </c>
      <c r="AC2034">
        <v>-0.43710000000004301</v>
      </c>
      <c r="AD2034">
        <v>-0.23715069999999899</v>
      </c>
      <c r="AE2034">
        <v>8.0299999999965593E-2</v>
      </c>
      <c r="AF2034">
        <v>5.8078979786948502E-2</v>
      </c>
      <c r="AG2034">
        <v>-0.23715069999999899</v>
      </c>
      <c r="AH2034">
        <v>0.34100336260907299</v>
      </c>
      <c r="AI2034">
        <v>124.433644565465</v>
      </c>
      <c r="AJ2034">
        <v>80.334252376208497</v>
      </c>
      <c r="AK2034">
        <v>0.41940066251053698</v>
      </c>
      <c r="AL2034">
        <v>79.846879844315296</v>
      </c>
      <c r="AM2034">
        <v>88.304328738302104</v>
      </c>
      <c r="AN2034">
        <v>0.99999997293132203</v>
      </c>
    </row>
    <row r="2035" spans="1:40" x14ac:dyDescent="0.25">
      <c r="A2035" t="str">
        <f>"20190303162253779"</f>
        <v>20190303162253779</v>
      </c>
      <c r="B2035" t="str">
        <f>"1551601373776844"</f>
        <v>1551601373776844</v>
      </c>
      <c r="C2035" t="s">
        <v>40</v>
      </c>
      <c r="D2035">
        <v>5.6142289999999999</v>
      </c>
      <c r="E2035">
        <v>0.52869339999999998</v>
      </c>
      <c r="F2035" t="s">
        <v>42</v>
      </c>
      <c r="G2035">
        <v>-308.56819999999999</v>
      </c>
      <c r="H2035">
        <v>0.89141930000000003</v>
      </c>
      <c r="I2035">
        <v>284.74939999999998</v>
      </c>
      <c r="J2035">
        <v>-308.15289999999999</v>
      </c>
      <c r="K2035">
        <v>1.1208149999999999</v>
      </c>
      <c r="L2035">
        <v>284.67200000000003</v>
      </c>
      <c r="M2035">
        <v>-0.99983409999999995</v>
      </c>
      <c r="N2035">
        <v>-1.286617E-2</v>
      </c>
      <c r="O2035">
        <v>1.289763E-2</v>
      </c>
      <c r="P2035">
        <v>-0.98568199999999995</v>
      </c>
      <c r="Q2035">
        <v>0.163194799999999</v>
      </c>
      <c r="R2035">
        <v>4.241296E-2</v>
      </c>
      <c r="S2035">
        <v>-3.1966860000000001</v>
      </c>
      <c r="T2035">
        <v>-1.010705</v>
      </c>
      <c r="U2035">
        <v>0.35739140000000003</v>
      </c>
      <c r="V2035">
        <v>2.967063E-2</v>
      </c>
      <c r="W2035">
        <v>0.17587340000000001</v>
      </c>
      <c r="X2035">
        <v>0.9839656</v>
      </c>
      <c r="Y2035">
        <v>9.4121280000000002E-2</v>
      </c>
      <c r="Z2035">
        <v>1.129844E-2</v>
      </c>
      <c r="AA2035">
        <v>0.99549659999999995</v>
      </c>
      <c r="AB2035">
        <v>32</v>
      </c>
      <c r="AC2035">
        <v>-0.415300000000002</v>
      </c>
      <c r="AD2035">
        <v>-0.22939569999999901</v>
      </c>
      <c r="AE2035">
        <v>7.7399999999954602E-2</v>
      </c>
      <c r="AF2035">
        <v>5.5632776401128702E-2</v>
      </c>
      <c r="AG2035">
        <v>-0.22939569999999901</v>
      </c>
      <c r="AH2035">
        <v>0.32147365322469401</v>
      </c>
      <c r="AI2035">
        <v>125.111989855773</v>
      </c>
      <c r="AJ2035">
        <v>80.181892397335105</v>
      </c>
      <c r="AK2035">
        <v>0.39882665746689799</v>
      </c>
      <c r="AL2035">
        <v>79.870511929516596</v>
      </c>
      <c r="AM2035">
        <v>88.272818784672594</v>
      </c>
      <c r="AN2035">
        <v>1.00000005054775</v>
      </c>
    </row>
    <row r="2036" spans="1:40" x14ac:dyDescent="0.25">
      <c r="A2036" t="str">
        <f>"20190303162253802"</f>
        <v>20190303162253802</v>
      </c>
      <c r="B2036" t="str">
        <f>"1551601373796364"</f>
        <v>1551601373796364</v>
      </c>
      <c r="C2036" t="s">
        <v>40</v>
      </c>
      <c r="D2036">
        <v>5.4961769999999897</v>
      </c>
      <c r="E2036">
        <v>0.52879929999999997</v>
      </c>
      <c r="F2036" t="s">
        <v>42</v>
      </c>
      <c r="G2036">
        <v>-308.8553</v>
      </c>
      <c r="H2036">
        <v>0.89692950000000005</v>
      </c>
      <c r="I2036">
        <v>284.7516</v>
      </c>
      <c r="J2036">
        <v>-308.46699999999998</v>
      </c>
      <c r="K2036">
        <v>1.120862</v>
      </c>
      <c r="L2036">
        <v>284.67590000000001</v>
      </c>
      <c r="M2036">
        <v>-0.9998319</v>
      </c>
      <c r="N2036">
        <v>-1.3142020000000001E-2</v>
      </c>
      <c r="O2036">
        <v>1.279952E-2</v>
      </c>
      <c r="P2036">
        <v>-0.98567179999999999</v>
      </c>
      <c r="Q2036">
        <v>0.16298679999999999</v>
      </c>
      <c r="R2036">
        <v>4.3439350000000002E-2</v>
      </c>
      <c r="S2036">
        <v>-3.1968079999999999</v>
      </c>
      <c r="T2036">
        <v>-1.0189809999999999</v>
      </c>
      <c r="U2036">
        <v>0.35949710000000001</v>
      </c>
      <c r="V2036">
        <v>3.079018E-2</v>
      </c>
      <c r="W2036">
        <v>0.1759377</v>
      </c>
      <c r="X2036">
        <v>0.98391969999999995</v>
      </c>
      <c r="Y2036">
        <v>9.4755880000000001E-2</v>
      </c>
      <c r="Z2036">
        <v>1.152864E-2</v>
      </c>
      <c r="AA2036">
        <v>0.99543380000000004</v>
      </c>
      <c r="AB2036">
        <v>32</v>
      </c>
      <c r="AC2036">
        <v>-0.38830000000001502</v>
      </c>
      <c r="AD2036">
        <v>-0.22393250000000001</v>
      </c>
      <c r="AE2036">
        <v>7.5699999999983406E-2</v>
      </c>
      <c r="AF2036">
        <v>5.3561831308835399E-2</v>
      </c>
      <c r="AG2036">
        <v>-0.22393250000000001</v>
      </c>
      <c r="AH2036">
        <v>0.29478619085230101</v>
      </c>
      <c r="AI2036">
        <v>126.774680181172</v>
      </c>
      <c r="AJ2036">
        <v>79.7018625083752</v>
      </c>
      <c r="AK2036">
        <v>0.37405017396950202</v>
      </c>
      <c r="AL2036">
        <v>79.866769375080196</v>
      </c>
      <c r="AM2036">
        <v>88.207605925428496</v>
      </c>
      <c r="AN2036">
        <v>1.0000000427569</v>
      </c>
    </row>
    <row r="2037" spans="1:40" x14ac:dyDescent="0.25">
      <c r="A2037" t="str">
        <f>"20190303162253815"</f>
        <v>20190303162253815</v>
      </c>
      <c r="B2037" t="str">
        <f>"1551601373807101"</f>
        <v>1551601373807101</v>
      </c>
      <c r="C2037" t="s">
        <v>40</v>
      </c>
      <c r="D2037">
        <v>5.5236650000000003</v>
      </c>
      <c r="E2037">
        <v>0.5288678</v>
      </c>
      <c r="F2037" t="s">
        <v>42</v>
      </c>
      <c r="G2037">
        <v>-309.1431</v>
      </c>
      <c r="H2037">
        <v>0.90509090000000003</v>
      </c>
      <c r="I2037">
        <v>284.7527</v>
      </c>
      <c r="J2037">
        <v>-308.66860000000003</v>
      </c>
      <c r="K2037">
        <v>1.1208910000000001</v>
      </c>
      <c r="L2037">
        <v>284.67849999999999</v>
      </c>
      <c r="M2037">
        <v>-0.99983060000000001</v>
      </c>
      <c r="N2037">
        <v>-1.330686E-2</v>
      </c>
      <c r="O2037">
        <v>1.272272E-2</v>
      </c>
      <c r="P2037">
        <v>-0.98562470000000002</v>
      </c>
      <c r="Q2037">
        <v>0.1631582</v>
      </c>
      <c r="R2037">
        <v>4.3862819999999997E-2</v>
      </c>
      <c r="S2037">
        <v>-3.1963200000000001</v>
      </c>
      <c r="T2037">
        <v>-1.0200990000000001</v>
      </c>
      <c r="U2037">
        <v>0.3623962</v>
      </c>
      <c r="V2037">
        <v>3.1285550000000002E-2</v>
      </c>
      <c r="W2037">
        <v>0.1762715</v>
      </c>
      <c r="X2037">
        <v>0.9838443</v>
      </c>
      <c r="Y2037">
        <v>9.5677180000000001E-2</v>
      </c>
      <c r="Z2037">
        <v>1.1723229999999999E-2</v>
      </c>
      <c r="AA2037">
        <v>0.99534339999999999</v>
      </c>
      <c r="AB2037">
        <v>32</v>
      </c>
      <c r="AC2037">
        <v>-0.474499999999977</v>
      </c>
      <c r="AD2037">
        <v>-0.21580009999999999</v>
      </c>
      <c r="AE2037">
        <v>7.4200000000018904E-2</v>
      </c>
      <c r="AF2037">
        <v>5.67072677007944E-2</v>
      </c>
      <c r="AG2037">
        <v>-0.21580009999999999</v>
      </c>
      <c r="AH2037">
        <v>0.39554476562037699</v>
      </c>
      <c r="AI2037">
        <v>118.37149248660199</v>
      </c>
      <c r="AJ2037">
        <v>81.841384647971097</v>
      </c>
      <c r="AK2037">
        <v>0.45413770926865199</v>
      </c>
      <c r="AL2037">
        <v>79.847340133757896</v>
      </c>
      <c r="AM2037">
        <v>88.178648651982996</v>
      </c>
      <c r="AN2037">
        <v>1.00000001699677</v>
      </c>
    </row>
    <row r="2038" spans="1:40" x14ac:dyDescent="0.25">
      <c r="A2038" t="str">
        <f>"20190303162253851"</f>
        <v>20190303162253851</v>
      </c>
      <c r="B2038" t="str">
        <f>"1551601373847116"</f>
        <v>1551601373847116</v>
      </c>
      <c r="C2038" t="s">
        <v>40</v>
      </c>
      <c r="D2038">
        <v>5.4991919999999999</v>
      </c>
      <c r="E2038">
        <v>0.52893610000000002</v>
      </c>
      <c r="F2038" t="s">
        <v>42</v>
      </c>
      <c r="G2038">
        <v>-309.41739999999999</v>
      </c>
      <c r="H2038">
        <v>0.88214409999999899</v>
      </c>
      <c r="I2038">
        <v>284.76420000000002</v>
      </c>
      <c r="J2038">
        <v>-309.18400000000003</v>
      </c>
      <c r="K2038">
        <v>1.120968</v>
      </c>
      <c r="L2038">
        <v>284.6848</v>
      </c>
      <c r="M2038">
        <v>-0.99982859999999996</v>
      </c>
      <c r="N2038">
        <v>-1.368813E-2</v>
      </c>
      <c r="O2038">
        <v>1.24659E-2</v>
      </c>
      <c r="P2038">
        <v>-0.98547479999999998</v>
      </c>
      <c r="Q2038">
        <v>0.16341259999999999</v>
      </c>
      <c r="R2038">
        <v>4.6217630000000003E-2</v>
      </c>
      <c r="S2038">
        <v>-3.196259</v>
      </c>
      <c r="T2038">
        <v>-1.0189649999999999</v>
      </c>
      <c r="U2038">
        <v>0.36364750000000001</v>
      </c>
      <c r="V2038">
        <v>3.3877659999999997E-2</v>
      </c>
      <c r="W2038">
        <v>0.17690320000000001</v>
      </c>
      <c r="X2038">
        <v>0.98364499999999999</v>
      </c>
      <c r="Y2038">
        <v>9.6278970000000005E-2</v>
      </c>
      <c r="Z2038">
        <v>1.19089E-2</v>
      </c>
      <c r="AA2038">
        <v>0.99528309999999998</v>
      </c>
      <c r="AB2038">
        <v>32</v>
      </c>
      <c r="AC2038">
        <v>-0.23339999999996</v>
      </c>
      <c r="AD2038">
        <v>-0.23882390000000001</v>
      </c>
      <c r="AE2038">
        <v>7.9400000000020995E-2</v>
      </c>
      <c r="AF2038">
        <v>3.9456964773029603E-2</v>
      </c>
      <c r="AG2038">
        <v>-0.23882390000000001</v>
      </c>
      <c r="AH2038">
        <v>0.12090889392596101</v>
      </c>
      <c r="AI2038">
        <v>151.962747185756</v>
      </c>
      <c r="AJ2038">
        <v>71.926614201487794</v>
      </c>
      <c r="AK2038">
        <v>0.27057839512922899</v>
      </c>
      <c r="AL2038">
        <v>79.810567956780204</v>
      </c>
      <c r="AM2038">
        <v>88.027459085835304</v>
      </c>
      <c r="AN2038">
        <v>0.99999996202115704</v>
      </c>
    </row>
    <row r="2039" spans="1:40" x14ac:dyDescent="0.25">
      <c r="A2039" t="str">
        <f>"20190303162253868"</f>
        <v>20190303162253868</v>
      </c>
      <c r="B2039" t="str">
        <f>"1551601373856876"</f>
        <v>1551601373856876</v>
      </c>
      <c r="C2039" t="s">
        <v>40</v>
      </c>
      <c r="D2039">
        <v>5.4932910000000001</v>
      </c>
      <c r="E2039">
        <v>0.52893559999999995</v>
      </c>
      <c r="F2039" t="s">
        <v>42</v>
      </c>
      <c r="G2039">
        <v>-309.97800000000001</v>
      </c>
      <c r="H2039">
        <v>0.86791039999999997</v>
      </c>
      <c r="I2039">
        <v>284.77640000000002</v>
      </c>
      <c r="J2039">
        <v>-309.40839999999997</v>
      </c>
      <c r="K2039">
        <v>1.1209929999999999</v>
      </c>
      <c r="L2039">
        <v>284.68740000000003</v>
      </c>
      <c r="M2039">
        <v>-0.99982850000000001</v>
      </c>
      <c r="N2039">
        <v>-1.3833450000000001E-2</v>
      </c>
      <c r="O2039">
        <v>1.232162E-2</v>
      </c>
      <c r="P2039">
        <v>-0.98561500000000002</v>
      </c>
      <c r="Q2039">
        <v>0.16210050000000001</v>
      </c>
      <c r="R2039">
        <v>4.782169E-2</v>
      </c>
      <c r="S2039">
        <v>-3.1958920000000002</v>
      </c>
      <c r="T2039">
        <v>-1.0186230000000001</v>
      </c>
      <c r="U2039">
        <v>0.36810300000000001</v>
      </c>
      <c r="V2039">
        <v>3.5612770000000002E-2</v>
      </c>
      <c r="W2039">
        <v>0.1757387</v>
      </c>
      <c r="X2039">
        <v>0.98379249999999996</v>
      </c>
      <c r="Y2039">
        <v>9.7724259999999993E-2</v>
      </c>
      <c r="Z2039">
        <v>1.219188E-2</v>
      </c>
      <c r="AA2039">
        <v>0.99513879999999999</v>
      </c>
      <c r="AB2039">
        <v>32</v>
      </c>
      <c r="AC2039">
        <v>-0.56960000000003597</v>
      </c>
      <c r="AD2039">
        <v>-0.25308259999999999</v>
      </c>
      <c r="AE2039">
        <v>8.8999999999998594E-2</v>
      </c>
      <c r="AF2039">
        <v>6.8729221193183698E-2</v>
      </c>
      <c r="AG2039">
        <v>-0.25308259999999999</v>
      </c>
      <c r="AH2039">
        <v>0.478450297658155</v>
      </c>
      <c r="AI2039">
        <v>117.63604175449299</v>
      </c>
      <c r="AJ2039">
        <v>81.825403025226706</v>
      </c>
      <c r="AK2039">
        <v>0.545609013486543</v>
      </c>
      <c r="AL2039">
        <v>79.878351481151299</v>
      </c>
      <c r="AM2039">
        <v>87.926828225391603</v>
      </c>
      <c r="AN2039">
        <v>1.0000000215605001</v>
      </c>
    </row>
    <row r="2040" spans="1:40" x14ac:dyDescent="0.25">
      <c r="A2040" t="str">
        <f>"20190303162253892"</f>
        <v>20190303162253892</v>
      </c>
      <c r="B2040" t="str">
        <f>"1551601373886156"</f>
        <v>1551601373886156</v>
      </c>
      <c r="C2040" t="s">
        <v>40</v>
      </c>
      <c r="D2040">
        <v>5.4657749999999998</v>
      </c>
      <c r="E2040">
        <v>0.52894680000000005</v>
      </c>
      <c r="F2040" t="s">
        <v>42</v>
      </c>
      <c r="G2040">
        <v>-310.25319999999999</v>
      </c>
      <c r="H2040">
        <v>0.84999690000000006</v>
      </c>
      <c r="I2040">
        <v>284.78559999999999</v>
      </c>
      <c r="J2040">
        <v>-309.72969999999998</v>
      </c>
      <c r="K2040">
        <v>1.1210290000000001</v>
      </c>
      <c r="L2040">
        <v>284.69110000000001</v>
      </c>
      <c r="M2040">
        <v>-0.99982890000000002</v>
      </c>
      <c r="N2040">
        <v>-1.4015710000000001E-2</v>
      </c>
      <c r="O2040">
        <v>1.2074359999999999E-2</v>
      </c>
      <c r="P2040">
        <v>-0.98580829999999997</v>
      </c>
      <c r="Q2040">
        <v>0.16111979999999901</v>
      </c>
      <c r="R2040">
        <v>4.7143150000000002E-2</v>
      </c>
      <c r="S2040">
        <v>-3.1943359999999998</v>
      </c>
      <c r="T2040">
        <v>-1.0246329999999999</v>
      </c>
      <c r="U2040">
        <v>0.37091059999999998</v>
      </c>
      <c r="V2040">
        <v>3.5160829999999997E-2</v>
      </c>
      <c r="W2040">
        <v>0.1749425</v>
      </c>
      <c r="X2040">
        <v>0.98395060000000001</v>
      </c>
      <c r="Y2040">
        <v>9.8766099999999996E-2</v>
      </c>
      <c r="Z2040">
        <v>1.251557E-2</v>
      </c>
      <c r="AA2040">
        <v>0.99503200000000003</v>
      </c>
      <c r="AB2040">
        <v>32</v>
      </c>
      <c r="AC2040">
        <v>-0.52350000000001196</v>
      </c>
      <c r="AD2040">
        <v>-0.2710321</v>
      </c>
      <c r="AE2040">
        <v>9.4499999999982195E-2</v>
      </c>
      <c r="AF2040">
        <v>7.0000409565265501E-2</v>
      </c>
      <c r="AG2040">
        <v>-0.2710321</v>
      </c>
      <c r="AH2040">
        <v>0.41648828787133602</v>
      </c>
      <c r="AI2040">
        <v>122.69049931744399</v>
      </c>
      <c r="AJ2040">
        <v>80.459300044939596</v>
      </c>
      <c r="AK2040">
        <v>0.50181764666431505</v>
      </c>
      <c r="AL2040">
        <v>79.924687741054498</v>
      </c>
      <c r="AM2040">
        <v>87.953443675441406</v>
      </c>
      <c r="AN2040">
        <v>0.99999997275644903</v>
      </c>
    </row>
    <row r="2041" spans="1:40" x14ac:dyDescent="0.25">
      <c r="A2041" t="str">
        <f>"20190303162253913"</f>
        <v>20190303162253913</v>
      </c>
      <c r="B2041" t="str">
        <f>"1551601373906652"</f>
        <v>1551601373906652</v>
      </c>
      <c r="C2041" t="s">
        <v>40</v>
      </c>
      <c r="D2041">
        <v>5.4746290000000002</v>
      </c>
      <c r="E2041">
        <v>0.52906629999999999</v>
      </c>
      <c r="F2041" t="s">
        <v>42</v>
      </c>
      <c r="G2041">
        <v>-310.53910000000002</v>
      </c>
      <c r="H2041">
        <v>0.86007449999999996</v>
      </c>
      <c r="I2041">
        <v>284.78440000000001</v>
      </c>
      <c r="J2041">
        <v>-310.04349999999999</v>
      </c>
      <c r="K2041">
        <v>1.1210599999999999</v>
      </c>
      <c r="L2041">
        <v>284.69459999999998</v>
      </c>
      <c r="M2041">
        <v>-0.9998302</v>
      </c>
      <c r="N2041">
        <v>-1.416662E-2</v>
      </c>
      <c r="O2041">
        <v>1.178882E-2</v>
      </c>
      <c r="P2041">
        <v>-0.98609009999999997</v>
      </c>
      <c r="Q2041">
        <v>0.15987779999999999</v>
      </c>
      <c r="R2041">
        <v>4.5451810000000002E-2</v>
      </c>
      <c r="S2041">
        <v>-3.1939389999999999</v>
      </c>
      <c r="T2041">
        <v>-1.029677</v>
      </c>
      <c r="U2041">
        <v>0.36685180000000001</v>
      </c>
      <c r="V2041">
        <v>3.3734140000000003E-2</v>
      </c>
      <c r="W2041">
        <v>0.1738555</v>
      </c>
      <c r="X2041">
        <v>0.98419319999999999</v>
      </c>
      <c r="Y2041">
        <v>9.7805939999999994E-2</v>
      </c>
      <c r="Z2041">
        <v>1.2509889999999999E-2</v>
      </c>
      <c r="AA2041">
        <v>0.99512690000000004</v>
      </c>
      <c r="AB2041">
        <v>32</v>
      </c>
      <c r="AC2041">
        <v>-0.49560000000002402</v>
      </c>
      <c r="AD2041">
        <v>-0.26098549999999898</v>
      </c>
      <c r="AE2041">
        <v>8.9800000000025096E-2</v>
      </c>
      <c r="AF2041">
        <v>6.6181142891987302E-2</v>
      </c>
      <c r="AG2041">
        <v>-0.26098549999999898</v>
      </c>
      <c r="AH2041">
        <v>0.39150584363415802</v>
      </c>
      <c r="AI2041">
        <v>123.316702692292</v>
      </c>
      <c r="AJ2041">
        <v>80.4052805508246</v>
      </c>
      <c r="AK2041">
        <v>0.47515281803271803</v>
      </c>
      <c r="AL2041">
        <v>79.987937742337394</v>
      </c>
      <c r="AM2041">
        <v>88.036902245109403</v>
      </c>
      <c r="AN2041">
        <v>0.99999999100401404</v>
      </c>
    </row>
    <row r="2042" spans="1:40" x14ac:dyDescent="0.25">
      <c r="A2042" t="str">
        <f>"20190303162253935"</f>
        <v>20190303162253935</v>
      </c>
      <c r="B2042" t="str">
        <f>"1551601373926820"</f>
        <v>1551601373926820</v>
      </c>
      <c r="C2042" t="s">
        <v>40</v>
      </c>
      <c r="D2042">
        <v>5.3992709999999997</v>
      </c>
      <c r="E2042">
        <v>0.52913809999999994</v>
      </c>
      <c r="F2042" t="s">
        <v>42</v>
      </c>
      <c r="G2042">
        <v>-310.82389999999998</v>
      </c>
      <c r="H2042">
        <v>0.86819769999999896</v>
      </c>
      <c r="I2042">
        <v>284.78300000000002</v>
      </c>
      <c r="J2042">
        <v>-310.35919999999999</v>
      </c>
      <c r="K2042">
        <v>1.121094</v>
      </c>
      <c r="L2042">
        <v>284.69799999999998</v>
      </c>
      <c r="M2042">
        <v>-0.99983219999999995</v>
      </c>
      <c r="N2042">
        <v>-1.429244E-2</v>
      </c>
      <c r="O2042">
        <v>1.146134E-2</v>
      </c>
      <c r="P2042">
        <v>-0.98648979999999997</v>
      </c>
      <c r="Q2042">
        <v>0.15803329999999999</v>
      </c>
      <c r="R2042">
        <v>4.3167799999999999E-2</v>
      </c>
      <c r="S2042">
        <v>-3.193451</v>
      </c>
      <c r="T2042">
        <v>-1.0347090000000001</v>
      </c>
      <c r="U2042">
        <v>0.3611145</v>
      </c>
      <c r="V2042">
        <v>3.175613E-2</v>
      </c>
      <c r="W2042">
        <v>0.172141299999999</v>
      </c>
      <c r="X2042">
        <v>0.98456030000000005</v>
      </c>
      <c r="Y2042">
        <v>9.6395919999999996E-2</v>
      </c>
      <c r="Z2042">
        <v>1.244077E-2</v>
      </c>
      <c r="AA2042">
        <v>0.99526530000000002</v>
      </c>
      <c r="AB2042">
        <v>32</v>
      </c>
      <c r="AC2042">
        <v>-0.46469999999999301</v>
      </c>
      <c r="AD2042">
        <v>-0.25289630000000002</v>
      </c>
      <c r="AE2042">
        <v>8.5000000000036297E-2</v>
      </c>
      <c r="AF2042">
        <v>6.19221040899453E-2</v>
      </c>
      <c r="AG2042">
        <v>-0.25289630000000002</v>
      </c>
      <c r="AH2042">
        <v>0.36192348112376499</v>
      </c>
      <c r="AI2042">
        <v>124.55706266072301</v>
      </c>
      <c r="AJ2042">
        <v>80.291172715442201</v>
      </c>
      <c r="AK2042">
        <v>0.44584693754399601</v>
      </c>
      <c r="AL2042">
        <v>80.087658156737604</v>
      </c>
      <c r="AM2042">
        <v>88.152615274381503</v>
      </c>
      <c r="AN2042">
        <v>1.00000003164717</v>
      </c>
    </row>
    <row r="2043" spans="1:40" x14ac:dyDescent="0.25">
      <c r="A2043" t="str">
        <f>"20190303162253958"</f>
        <v>20190303162253958</v>
      </c>
      <c r="B2043" t="str">
        <f>"1551601373946341"</f>
        <v>1551601373946341</v>
      </c>
      <c r="C2043" t="s">
        <v>40</v>
      </c>
      <c r="D2043">
        <v>5.3806279999999997</v>
      </c>
      <c r="E2043">
        <v>0.52923129999999996</v>
      </c>
      <c r="F2043" t="s">
        <v>42</v>
      </c>
      <c r="G2043">
        <v>-311.10840000000002</v>
      </c>
      <c r="H2043">
        <v>0.87645859999999998</v>
      </c>
      <c r="I2043">
        <v>284.78129999999999</v>
      </c>
      <c r="J2043">
        <v>-310.67430000000002</v>
      </c>
      <c r="K2043">
        <v>1.1211089999999999</v>
      </c>
      <c r="L2043">
        <v>284.7013</v>
      </c>
      <c r="M2043">
        <v>-0.99983489999999997</v>
      </c>
      <c r="N2043">
        <v>-1.4393889999999999E-2</v>
      </c>
      <c r="O2043">
        <v>1.1100509999999999E-2</v>
      </c>
      <c r="P2043">
        <v>-0.98697979999999996</v>
      </c>
      <c r="Q2043">
        <v>0.1556632</v>
      </c>
      <c r="R2043">
        <v>4.0493920000000003E-2</v>
      </c>
      <c r="S2043">
        <v>-3.1926269999999999</v>
      </c>
      <c r="T2043">
        <v>-1.0425059999999999</v>
      </c>
      <c r="U2043">
        <v>0.3539429</v>
      </c>
      <c r="V2043">
        <v>2.9423299999999999E-2</v>
      </c>
      <c r="W2043">
        <v>0.16987869999999999</v>
      </c>
      <c r="X2043">
        <v>0.98502559999999995</v>
      </c>
      <c r="Y2043">
        <v>9.4584719999999997E-2</v>
      </c>
      <c r="Z2043">
        <v>1.2342799999999999E-2</v>
      </c>
      <c r="AA2043">
        <v>0.99544029999999994</v>
      </c>
      <c r="AB2043">
        <v>31</v>
      </c>
      <c r="AC2043">
        <v>-0.43409999999999999</v>
      </c>
      <c r="AD2043">
        <v>-0.24465039999999999</v>
      </c>
      <c r="AE2043">
        <v>7.9999999999984001E-2</v>
      </c>
      <c r="AF2043">
        <v>5.7509484870838901E-2</v>
      </c>
      <c r="AG2043">
        <v>-0.24465039999999999</v>
      </c>
      <c r="AH2043">
        <v>0.33274526772597401</v>
      </c>
      <c r="AI2043">
        <v>125.92359032851</v>
      </c>
      <c r="AJ2043">
        <v>80.194248803303907</v>
      </c>
      <c r="AK2043">
        <v>0.41698989467887498</v>
      </c>
      <c r="AL2043">
        <v>80.219233187908898</v>
      </c>
      <c r="AM2043">
        <v>88.289049764756101</v>
      </c>
      <c r="AN2043">
        <v>0.99999996797596902</v>
      </c>
    </row>
    <row r="2044" spans="1:40" x14ac:dyDescent="0.25">
      <c r="A2044" t="str">
        <f>"20190303162253980"</f>
        <v>20190303162253980</v>
      </c>
      <c r="B2044" t="str">
        <f>"1551601373976597"</f>
        <v>1551601373976597</v>
      </c>
      <c r="C2044" t="s">
        <v>40</v>
      </c>
      <c r="D2044">
        <v>5.3794440000000003</v>
      </c>
      <c r="E2044">
        <v>0.52932360000000001</v>
      </c>
      <c r="F2044" t="s">
        <v>42</v>
      </c>
      <c r="G2044">
        <v>-311.39240000000001</v>
      </c>
      <c r="H2044">
        <v>0.8848355</v>
      </c>
      <c r="I2044">
        <v>284.77969999999999</v>
      </c>
      <c r="J2044">
        <v>-310.98590000000002</v>
      </c>
      <c r="K2044">
        <v>1.121122</v>
      </c>
      <c r="L2044">
        <v>284.70429999999999</v>
      </c>
      <c r="M2044">
        <v>-0.9998378</v>
      </c>
      <c r="N2044">
        <v>-1.447304E-2</v>
      </c>
      <c r="O2044">
        <v>1.072E-2</v>
      </c>
      <c r="P2044">
        <v>-0.98729990000000001</v>
      </c>
      <c r="Q2044">
        <v>0.15410570000000001</v>
      </c>
      <c r="R2044">
        <v>3.8605140000000003E-2</v>
      </c>
      <c r="S2044">
        <v>-3.1909179999999999</v>
      </c>
      <c r="T2044">
        <v>-1.0500290000000001</v>
      </c>
      <c r="U2044">
        <v>0.34808349999999999</v>
      </c>
      <c r="V2044">
        <v>2.789993E-2</v>
      </c>
      <c r="W2044">
        <v>0.16840350000000001</v>
      </c>
      <c r="X2044">
        <v>0.98532330000000001</v>
      </c>
      <c r="Y2044">
        <v>9.3203010000000003E-2</v>
      </c>
      <c r="Z2044">
        <v>1.231846E-2</v>
      </c>
      <c r="AA2044">
        <v>0.99557090000000004</v>
      </c>
      <c r="AB2044">
        <v>31</v>
      </c>
      <c r="AC2044">
        <v>-0.40649999999999398</v>
      </c>
      <c r="AD2044">
        <v>-0.23628649999999901</v>
      </c>
      <c r="AE2044">
        <v>7.5400000000001896E-2</v>
      </c>
      <c r="AF2044">
        <v>5.35470522539492E-2</v>
      </c>
      <c r="AG2044">
        <v>-0.23628649999999901</v>
      </c>
      <c r="AH2044">
        <v>0.307005489599599</v>
      </c>
      <c r="AI2044">
        <v>127.16950327495</v>
      </c>
      <c r="AJ2044">
        <v>80.106154831509102</v>
      </c>
      <c r="AK2044">
        <v>0.39108946231217501</v>
      </c>
      <c r="AL2044">
        <v>80.304992602605793</v>
      </c>
      <c r="AM2044">
        <v>88.378074261004897</v>
      </c>
      <c r="AN2044">
        <v>1.0000000752145599</v>
      </c>
    </row>
    <row r="2045" spans="1:40" x14ac:dyDescent="0.25">
      <c r="A2045" t="str">
        <f>"20190303162254001"</f>
        <v>20190303162254001</v>
      </c>
      <c r="B2045" t="str">
        <f>"1551601373997092"</f>
        <v>1551601373997092</v>
      </c>
      <c r="C2045" t="s">
        <v>40</v>
      </c>
      <c r="D2045">
        <v>5.3602919999999896</v>
      </c>
      <c r="E2045">
        <v>0.52932579999999996</v>
      </c>
      <c r="F2045" t="s">
        <v>42</v>
      </c>
      <c r="G2045">
        <v>-311.67590000000001</v>
      </c>
      <c r="H2045">
        <v>0.89302280000000001</v>
      </c>
      <c r="I2045">
        <v>284.77910000000003</v>
      </c>
      <c r="J2045">
        <v>-311.29180000000002</v>
      </c>
      <c r="K2045">
        <v>1.12114</v>
      </c>
      <c r="L2045">
        <v>284.7072</v>
      </c>
      <c r="M2045">
        <v>-0.99984099999999998</v>
      </c>
      <c r="N2045">
        <v>-1.4534500000000001E-2</v>
      </c>
      <c r="O2045">
        <v>1.033074E-2</v>
      </c>
      <c r="P2045">
        <v>-0.98728050000000001</v>
      </c>
      <c r="Q2045">
        <v>0.1544499</v>
      </c>
      <c r="R2045">
        <v>3.7714699999999997E-2</v>
      </c>
      <c r="S2045">
        <v>-3.1896969999999998</v>
      </c>
      <c r="T2045">
        <v>-1.0544519999999999</v>
      </c>
      <c r="U2045">
        <v>0.34442139999999999</v>
      </c>
      <c r="V2045">
        <v>2.7388340000000001E-2</v>
      </c>
      <c r="W2045">
        <v>0.16880809999999999</v>
      </c>
      <c r="X2045">
        <v>0.98526840000000004</v>
      </c>
      <c r="Y2045">
        <v>9.248104E-2</v>
      </c>
      <c r="Z2045">
        <v>1.237101E-2</v>
      </c>
      <c r="AA2045">
        <v>0.99563760000000001</v>
      </c>
      <c r="AB2045">
        <v>31</v>
      </c>
      <c r="AC2045">
        <v>-0.38409999999998901</v>
      </c>
      <c r="AD2045">
        <v>-0.22811719999999899</v>
      </c>
      <c r="AE2045">
        <v>7.1900000000027803E-2</v>
      </c>
      <c r="AF2045">
        <v>5.0662944783060299E-2</v>
      </c>
      <c r="AG2045">
        <v>-0.22811719999999899</v>
      </c>
      <c r="AH2045">
        <v>0.28701446013861098</v>
      </c>
      <c r="AI2045">
        <v>128.05004699499</v>
      </c>
      <c r="AJ2045">
        <v>79.989438752944295</v>
      </c>
      <c r="AK2045">
        <v>0.37011010691224</v>
      </c>
      <c r="AL2045">
        <v>80.281473859891307</v>
      </c>
      <c r="AM2045">
        <v>88.407710748063806</v>
      </c>
      <c r="AN2045">
        <v>1.0000000579160599</v>
      </c>
    </row>
    <row r="2046" spans="1:40" x14ac:dyDescent="0.25">
      <c r="A2046" t="str">
        <f>"20190303162254025"</f>
        <v>20190303162254025</v>
      </c>
      <c r="B2046" t="str">
        <f>"1551601374016251"</f>
        <v>1551601374016251</v>
      </c>
      <c r="C2046" t="s">
        <v>40</v>
      </c>
      <c r="D2046">
        <v>5.3271670000000002</v>
      </c>
      <c r="E2046">
        <v>0.52929619999999999</v>
      </c>
      <c r="F2046" t="s">
        <v>42</v>
      </c>
      <c r="G2046">
        <v>-311.959</v>
      </c>
      <c r="H2046">
        <v>0.9006208</v>
      </c>
      <c r="I2046">
        <v>284.77890000000002</v>
      </c>
      <c r="J2046">
        <v>-311.59809999999999</v>
      </c>
      <c r="K2046">
        <v>1.1211500000000001</v>
      </c>
      <c r="L2046">
        <v>284.7099</v>
      </c>
      <c r="M2046">
        <v>-0.99984439999999997</v>
      </c>
      <c r="N2046">
        <v>-1.4583E-2</v>
      </c>
      <c r="O2046">
        <v>9.9324300000000008E-3</v>
      </c>
      <c r="P2046">
        <v>-0.98730980000000002</v>
      </c>
      <c r="Q2046">
        <v>0.1541681</v>
      </c>
      <c r="R2046">
        <v>3.8106790000000001E-2</v>
      </c>
      <c r="S2046">
        <v>-3.1905209999999999</v>
      </c>
      <c r="T2046">
        <v>-1.0545639999999901</v>
      </c>
      <c r="U2046">
        <v>0.34198000000000001</v>
      </c>
      <c r="V2046">
        <v>2.8170520000000001E-2</v>
      </c>
      <c r="W2046">
        <v>0.168576</v>
      </c>
      <c r="X2046">
        <v>0.98528610000000005</v>
      </c>
      <c r="Y2046">
        <v>9.2098739999999998E-2</v>
      </c>
      <c r="Z2046">
        <v>1.243053E-2</v>
      </c>
      <c r="AA2046">
        <v>0.99567229999999995</v>
      </c>
      <c r="AB2046">
        <v>31</v>
      </c>
      <c r="AC2046">
        <v>-0.36090000000001499</v>
      </c>
      <c r="AD2046">
        <v>-0.22052920000000001</v>
      </c>
      <c r="AE2046">
        <v>6.9000000000016798E-2</v>
      </c>
      <c r="AF2046">
        <v>4.8089013803643103E-2</v>
      </c>
      <c r="AG2046">
        <v>-0.22052920000000001</v>
      </c>
      <c r="AH2046">
        <v>0.26581568602067002</v>
      </c>
      <c r="AI2046">
        <v>129.227511756864</v>
      </c>
      <c r="AJ2046">
        <v>79.745469229439493</v>
      </c>
      <c r="AK2046">
        <v>0.34871716366689798</v>
      </c>
      <c r="AL2046">
        <v>80.294965703829405</v>
      </c>
      <c r="AM2046">
        <v>88.362290595423701</v>
      </c>
      <c r="AN2046">
        <v>1.0000000724131299</v>
      </c>
    </row>
    <row r="2047" spans="1:40" x14ac:dyDescent="0.25">
      <c r="A2047" t="str">
        <f>"20190303162254046"</f>
        <v>20190303162254046</v>
      </c>
      <c r="B2047" t="str">
        <f>"1551601374036747"</f>
        <v>1551601374036747</v>
      </c>
      <c r="C2047" t="s">
        <v>40</v>
      </c>
      <c r="D2047">
        <v>5.3429029999999997</v>
      </c>
      <c r="E2047">
        <v>0.52932239999999997</v>
      </c>
      <c r="F2047" t="s">
        <v>42</v>
      </c>
      <c r="G2047">
        <v>-312.4873</v>
      </c>
      <c r="H2047">
        <v>0.82644089999999903</v>
      </c>
      <c r="I2047">
        <v>284.80500000000001</v>
      </c>
      <c r="J2047">
        <v>-311.91039999999998</v>
      </c>
      <c r="K2047">
        <v>1.121164</v>
      </c>
      <c r="L2047">
        <v>284.71260000000001</v>
      </c>
      <c r="M2047">
        <v>-0.99984779999999995</v>
      </c>
      <c r="N2047">
        <v>-1.4622710000000001E-2</v>
      </c>
      <c r="O2047">
        <v>9.5215060000000008E-3</v>
      </c>
      <c r="P2047">
        <v>-0.98732330000000001</v>
      </c>
      <c r="Q2047">
        <v>0.15381329999999999</v>
      </c>
      <c r="R2047">
        <v>3.9171739999999997E-2</v>
      </c>
      <c r="S2047">
        <v>-3.1904910000000002</v>
      </c>
      <c r="T2047">
        <v>-1.057455</v>
      </c>
      <c r="U2047">
        <v>0.34115600000000001</v>
      </c>
      <c r="V2047">
        <v>2.963959E-2</v>
      </c>
      <c r="W2047">
        <v>0.16826199999999999</v>
      </c>
      <c r="X2047">
        <v>0.98529659999999997</v>
      </c>
      <c r="Y2047">
        <v>9.2203969999999996E-2</v>
      </c>
      <c r="Z2047">
        <v>1.2607449999999999E-2</v>
      </c>
      <c r="AA2047">
        <v>0.99566030000000005</v>
      </c>
      <c r="AB2047">
        <v>31</v>
      </c>
      <c r="AC2047">
        <v>-0.57690000000002295</v>
      </c>
      <c r="AD2047">
        <v>-0.29472310000000002</v>
      </c>
      <c r="AE2047">
        <v>9.2399999999997803E-2</v>
      </c>
      <c r="AF2047">
        <v>6.9274409105565898E-2</v>
      </c>
      <c r="AG2047">
        <v>-0.29472310000000002</v>
      </c>
      <c r="AH2047">
        <v>0.46055815795098698</v>
      </c>
      <c r="AI2047">
        <v>122.325935912451</v>
      </c>
      <c r="AJ2047">
        <v>81.446035569436205</v>
      </c>
      <c r="AK2047">
        <v>0.55115738794444302</v>
      </c>
      <c r="AL2047">
        <v>80.313216564006098</v>
      </c>
      <c r="AM2047">
        <v>88.276953925277695</v>
      </c>
      <c r="AN2047">
        <v>0.99999999795546402</v>
      </c>
    </row>
    <row r="2048" spans="1:40" x14ac:dyDescent="0.25">
      <c r="A2048" t="str">
        <f>"20190303162254069"</f>
        <v>20190303162254069</v>
      </c>
      <c r="B2048" t="str">
        <f>"1551601374067003"</f>
        <v>1551601374067003</v>
      </c>
      <c r="C2048" t="s">
        <v>40</v>
      </c>
      <c r="D2048">
        <v>5.3330650000000004</v>
      </c>
      <c r="E2048">
        <v>0.52939459999999905</v>
      </c>
      <c r="F2048" t="s">
        <v>42</v>
      </c>
      <c r="G2048">
        <v>-312.7697</v>
      </c>
      <c r="H2048">
        <v>0.83582230000000002</v>
      </c>
      <c r="I2048">
        <v>284.80509999999998</v>
      </c>
      <c r="J2048">
        <v>-312.23050000000001</v>
      </c>
      <c r="K2048">
        <v>1.1211709999999999</v>
      </c>
      <c r="L2048">
        <v>284.71519999999998</v>
      </c>
      <c r="M2048">
        <v>-0.99985119999999905</v>
      </c>
      <c r="N2048">
        <v>-1.4655319999999999E-2</v>
      </c>
      <c r="O2048">
        <v>9.1002370000000006E-3</v>
      </c>
      <c r="P2048">
        <v>-0.98711689999999996</v>
      </c>
      <c r="Q2048">
        <v>0.15467649999999999</v>
      </c>
      <c r="R2048">
        <v>4.0933850000000001E-2</v>
      </c>
      <c r="S2048">
        <v>-3.18988</v>
      </c>
      <c r="T2048">
        <v>-1.0592349999999999</v>
      </c>
      <c r="U2048">
        <v>0.34332279999999998</v>
      </c>
      <c r="V2048">
        <v>3.181784E-2</v>
      </c>
      <c r="W2048">
        <v>0.169156</v>
      </c>
      <c r="X2048">
        <v>0.98507560000000005</v>
      </c>
      <c r="Y2048">
        <v>9.3218430000000005E-2</v>
      </c>
      <c r="Z2048">
        <v>1.293102E-2</v>
      </c>
      <c r="AA2048">
        <v>0.99556169999999999</v>
      </c>
      <c r="AB2048">
        <v>31</v>
      </c>
      <c r="AC2048">
        <v>-0.53919999999999302</v>
      </c>
      <c r="AD2048">
        <v>-0.28534869999999901</v>
      </c>
      <c r="AE2048">
        <v>8.9899999999999994E-2</v>
      </c>
      <c r="AF2048">
        <v>6.6789658886571707E-2</v>
      </c>
      <c r="AG2048">
        <v>-0.28534869999999901</v>
      </c>
      <c r="AH2048">
        <v>0.42436293431778599</v>
      </c>
      <c r="AI2048">
        <v>123.593703749596</v>
      </c>
      <c r="AJ2048">
        <v>81.055699903270806</v>
      </c>
      <c r="AK2048">
        <v>0.51572147439162896</v>
      </c>
      <c r="AL2048">
        <v>80.261249569994604</v>
      </c>
      <c r="AM2048">
        <v>88.149995428205301</v>
      </c>
      <c r="AN2048">
        <v>1.0000000324968099</v>
      </c>
    </row>
    <row r="2049" spans="1:40" x14ac:dyDescent="0.25">
      <c r="A2049" t="str">
        <f>"20190303162254090"</f>
        <v>20190303162254090</v>
      </c>
      <c r="B2049" t="str">
        <f>"1551601374086524"</f>
        <v>1551601374086524</v>
      </c>
      <c r="C2049" t="s">
        <v>40</v>
      </c>
      <c r="D2049">
        <v>5.3378220000000001</v>
      </c>
      <c r="E2049">
        <v>0.52943899999999999</v>
      </c>
      <c r="F2049" t="s">
        <v>42</v>
      </c>
      <c r="G2049">
        <v>-313.053</v>
      </c>
      <c r="H2049">
        <v>0.84859850000000003</v>
      </c>
      <c r="I2049">
        <v>284.80520000000001</v>
      </c>
      <c r="J2049">
        <v>-312.5222</v>
      </c>
      <c r="K2049">
        <v>1.1211770000000001</v>
      </c>
      <c r="L2049">
        <v>284.7174</v>
      </c>
      <c r="M2049">
        <v>-0.99985440000000003</v>
      </c>
      <c r="N2049">
        <v>-1.4679319999999999E-2</v>
      </c>
      <c r="O2049">
        <v>8.7167259999999993E-3</v>
      </c>
      <c r="P2049">
        <v>-0.98701399999999995</v>
      </c>
      <c r="Q2049">
        <v>0.1550473</v>
      </c>
      <c r="R2049">
        <v>4.1999870000000002E-2</v>
      </c>
      <c r="S2049">
        <v>-3.1903990000000002</v>
      </c>
      <c r="T2049">
        <v>-1.0573250000000001</v>
      </c>
      <c r="U2049">
        <v>0.34866329999999901</v>
      </c>
      <c r="V2049">
        <v>3.3262550000000002E-2</v>
      </c>
      <c r="W2049">
        <v>0.16955020000000001</v>
      </c>
      <c r="X2049">
        <v>0.98496010000000001</v>
      </c>
      <c r="Y2049">
        <v>9.5124040000000007E-2</v>
      </c>
      <c r="Z2049">
        <v>1.334784E-2</v>
      </c>
      <c r="AA2049">
        <v>0.99537589999999998</v>
      </c>
      <c r="AB2049">
        <v>31</v>
      </c>
      <c r="AC2049">
        <v>-0.53079999999999905</v>
      </c>
      <c r="AD2049">
        <v>-0.2725785</v>
      </c>
      <c r="AE2049">
        <v>8.7800000000015602E-2</v>
      </c>
      <c r="AF2049">
        <v>6.6181587772406E-2</v>
      </c>
      <c r="AG2049">
        <v>-0.2725785</v>
      </c>
      <c r="AH2049">
        <v>0.42297453927857798</v>
      </c>
      <c r="AI2049">
        <v>122.48433172758899</v>
      </c>
      <c r="AJ2049">
        <v>81.107200340180498</v>
      </c>
      <c r="AK2049">
        <v>0.50752980414971904</v>
      </c>
      <c r="AL2049">
        <v>80.238332553701596</v>
      </c>
      <c r="AM2049">
        <v>88.065830545855306</v>
      </c>
      <c r="AN2049">
        <v>1.00000003307227</v>
      </c>
    </row>
    <row r="2050" spans="1:40" x14ac:dyDescent="0.25">
      <c r="A2050" t="str">
        <f>"20190303162254113"</f>
        <v>20190303162254113</v>
      </c>
      <c r="B2050" t="str">
        <f>"1551601374107019"</f>
        <v>1551601374107019</v>
      </c>
      <c r="C2050" t="s">
        <v>40</v>
      </c>
      <c r="D2050">
        <v>5.3310149999999998</v>
      </c>
      <c r="E2050">
        <v>0.52943370000000001</v>
      </c>
      <c r="F2050" t="s">
        <v>42</v>
      </c>
      <c r="G2050">
        <v>-313.33249999999998</v>
      </c>
      <c r="H2050">
        <v>0.85286519999999999</v>
      </c>
      <c r="I2050">
        <v>284.80689999999998</v>
      </c>
      <c r="J2050">
        <v>-312.84410000000003</v>
      </c>
      <c r="K2050">
        <v>1.1211799999999901</v>
      </c>
      <c r="L2050">
        <v>284.71980000000002</v>
      </c>
      <c r="M2050">
        <v>-0.99985769999999996</v>
      </c>
      <c r="N2050">
        <v>-1.4700649999999999E-2</v>
      </c>
      <c r="O2050">
        <v>8.2949200000000008E-3</v>
      </c>
      <c r="P2050">
        <v>-0.9869677</v>
      </c>
      <c r="Q2050">
        <v>0.1552847</v>
      </c>
      <c r="R2050">
        <v>4.2212359999999997E-2</v>
      </c>
      <c r="S2050">
        <v>-3.1905209999999999</v>
      </c>
      <c r="T2050">
        <v>-1.056538</v>
      </c>
      <c r="U2050">
        <v>0.35058590000000001</v>
      </c>
      <c r="V2050">
        <v>3.3891289999999998E-2</v>
      </c>
      <c r="W2050">
        <v>0.16980819999999999</v>
      </c>
      <c r="X2050">
        <v>0.98489420000000005</v>
      </c>
      <c r="Y2050">
        <v>9.6066970000000002E-2</v>
      </c>
      <c r="Z2050">
        <v>1.3627790000000001E-2</v>
      </c>
      <c r="AA2050">
        <v>0.99528159999999999</v>
      </c>
      <c r="AB2050">
        <v>31</v>
      </c>
      <c r="AC2050">
        <v>-0.48839999999995598</v>
      </c>
      <c r="AD2050">
        <v>-0.26831479999999902</v>
      </c>
      <c r="AE2050">
        <v>8.7099999999963901E-2</v>
      </c>
      <c r="AF2050">
        <v>6.4251208997773604E-2</v>
      </c>
      <c r="AG2050">
        <v>-0.26831479999999902</v>
      </c>
      <c r="AH2050">
        <v>0.37841547010645099</v>
      </c>
      <c r="AI2050">
        <v>124.955223588528</v>
      </c>
      <c r="AJ2050">
        <v>80.363642424177996</v>
      </c>
      <c r="AK2050">
        <v>0.46831540415899298</v>
      </c>
      <c r="AL2050">
        <v>80.223332555141795</v>
      </c>
      <c r="AM2050">
        <v>88.029167022614402</v>
      </c>
      <c r="AN2050">
        <v>1.0000000147593699</v>
      </c>
    </row>
    <row r="2051" spans="1:40" x14ac:dyDescent="0.25">
      <c r="A2051" t="str">
        <f>"20190303162254136"</f>
        <v>20190303162254136</v>
      </c>
      <c r="B2051" t="str">
        <f>"1551601374126540"</f>
        <v>1551601374126540</v>
      </c>
      <c r="C2051" t="s">
        <v>40</v>
      </c>
      <c r="D2051">
        <v>5.3540479999999997</v>
      </c>
      <c r="E2051">
        <v>0.52943439999999997</v>
      </c>
      <c r="F2051" t="s">
        <v>42</v>
      </c>
      <c r="G2051">
        <v>-313.61520000000002</v>
      </c>
      <c r="H2051">
        <v>0.86582369999999897</v>
      </c>
      <c r="I2051">
        <v>284.80459999999999</v>
      </c>
      <c r="J2051">
        <v>-313.15780000000001</v>
      </c>
      <c r="K2051">
        <v>1.121186</v>
      </c>
      <c r="L2051">
        <v>284.72190000000001</v>
      </c>
      <c r="M2051">
        <v>-0.99986079999999999</v>
      </c>
      <c r="N2051">
        <v>-1.471717E-2</v>
      </c>
      <c r="O2051">
        <v>7.8849609999999994E-3</v>
      </c>
      <c r="P2051">
        <v>-0.98698160000000001</v>
      </c>
      <c r="Q2051">
        <v>0.15531529999999999</v>
      </c>
      <c r="R2051">
        <v>4.177231E-2</v>
      </c>
      <c r="S2051">
        <v>-3.1909179999999999</v>
      </c>
      <c r="T2051">
        <v>-1.056765</v>
      </c>
      <c r="U2051">
        <v>0.3501282</v>
      </c>
      <c r="V2051">
        <v>3.3855740000000002E-2</v>
      </c>
      <c r="W2051">
        <v>0.16985520000000001</v>
      </c>
      <c r="X2051">
        <v>0.98488730000000002</v>
      </c>
      <c r="Y2051">
        <v>9.6287150000000002E-2</v>
      </c>
      <c r="Z2051">
        <v>1.379299E-2</v>
      </c>
      <c r="AA2051">
        <v>0.99525799999999998</v>
      </c>
      <c r="AB2051">
        <v>31</v>
      </c>
      <c r="AC2051">
        <v>-0.45740000000000602</v>
      </c>
      <c r="AD2051">
        <v>-0.25536229999999999</v>
      </c>
      <c r="AE2051">
        <v>8.2699999999988394E-2</v>
      </c>
      <c r="AF2051">
        <v>6.0753656452807503E-2</v>
      </c>
      <c r="AG2051">
        <v>-0.25536229999999999</v>
      </c>
      <c r="AH2051">
        <v>0.35184370171239399</v>
      </c>
      <c r="AI2051">
        <v>125.572333496318</v>
      </c>
      <c r="AJ2051">
        <v>80.203210569482493</v>
      </c>
      <c r="AK2051">
        <v>0.43897027401448901</v>
      </c>
      <c r="AL2051">
        <v>80.220599780944895</v>
      </c>
      <c r="AM2051">
        <v>88.031218902439093</v>
      </c>
      <c r="AN2051">
        <v>0.99999999689963803</v>
      </c>
    </row>
    <row r="2052" spans="1:40" x14ac:dyDescent="0.25">
      <c r="A2052" t="str">
        <f>"20190303162254158"</f>
        <v>20190303162254158</v>
      </c>
      <c r="B2052" t="str">
        <f>"1551601374147035"</f>
        <v>1551601374147035</v>
      </c>
      <c r="C2052" t="s">
        <v>40</v>
      </c>
      <c r="D2052">
        <v>5.359178</v>
      </c>
      <c r="E2052">
        <v>0.52944399999999903</v>
      </c>
      <c r="F2052" t="s">
        <v>42</v>
      </c>
      <c r="G2052">
        <v>-313.8965</v>
      </c>
      <c r="H2052">
        <v>0.87637089999999995</v>
      </c>
      <c r="I2052">
        <v>284.80279999999999</v>
      </c>
      <c r="J2052">
        <v>-313.47120000000001</v>
      </c>
      <c r="K2052">
        <v>1.121192</v>
      </c>
      <c r="L2052">
        <v>284.72390000000001</v>
      </c>
      <c r="M2052">
        <v>-0.99986359999999996</v>
      </c>
      <c r="N2052">
        <v>-1.4730200000000001E-2</v>
      </c>
      <c r="O2052">
        <v>7.4755709999999899E-3</v>
      </c>
      <c r="P2052">
        <v>-0.98686370000000001</v>
      </c>
      <c r="Q2052">
        <v>0.15633569999999999</v>
      </c>
      <c r="R2052">
        <v>4.0733819999999997E-2</v>
      </c>
      <c r="S2052">
        <v>-3.1912539999999998</v>
      </c>
      <c r="T2052">
        <v>-1.057709</v>
      </c>
      <c r="U2052">
        <v>0.34863280000000002</v>
      </c>
      <c r="V2052">
        <v>3.3221359999999998E-2</v>
      </c>
      <c r="W2052">
        <v>0.17088510000000001</v>
      </c>
      <c r="X2052">
        <v>0.98473069999999896</v>
      </c>
      <c r="Y2052">
        <v>9.6199389999999996E-2</v>
      </c>
      <c r="Z2052">
        <v>1.3914849999999999E-2</v>
      </c>
      <c r="AA2052">
        <v>0.99526479999999995</v>
      </c>
      <c r="AB2052">
        <v>31</v>
      </c>
      <c r="AC2052">
        <v>-0.42529999999999202</v>
      </c>
      <c r="AD2052">
        <v>-0.24482109999999899</v>
      </c>
      <c r="AE2052">
        <v>7.8899999999975906E-2</v>
      </c>
      <c r="AF2052">
        <v>5.7347404089400103E-2</v>
      </c>
      <c r="AG2052">
        <v>-0.24482109999999899</v>
      </c>
      <c r="AH2052">
        <v>0.32255168968282799</v>
      </c>
      <c r="AI2052">
        <v>126.770553551579</v>
      </c>
      <c r="AJ2052">
        <v>79.918561468942301</v>
      </c>
      <c r="AK2052">
        <v>0.408981281085394</v>
      </c>
      <c r="AL2052">
        <v>80.160715023798005</v>
      </c>
      <c r="AM2052">
        <v>88.067774189422394</v>
      </c>
      <c r="AN2052">
        <v>0.999999963842374</v>
      </c>
    </row>
    <row r="2053" spans="1:40" x14ac:dyDescent="0.25">
      <c r="A2053" t="str">
        <f>"20190303162254181"</f>
        <v>20190303162254181</v>
      </c>
      <c r="B2053" t="str">
        <f>"1551601374176315"</f>
        <v>1551601374176315</v>
      </c>
      <c r="C2053" t="s">
        <v>40</v>
      </c>
      <c r="D2053">
        <v>5.3706639999999997</v>
      </c>
      <c r="E2053">
        <v>0.52945540000000002</v>
      </c>
      <c r="F2053" t="s">
        <v>42</v>
      </c>
      <c r="G2053">
        <v>-314.17770000000002</v>
      </c>
      <c r="H2053">
        <v>0.88785550000000002</v>
      </c>
      <c r="I2053">
        <v>284.80040000000002</v>
      </c>
      <c r="J2053">
        <v>-313.77539999999999</v>
      </c>
      <c r="K2053">
        <v>1.1211990000000001</v>
      </c>
      <c r="L2053">
        <v>284.72579999999999</v>
      </c>
      <c r="M2053">
        <v>-0.99986640000000004</v>
      </c>
      <c r="N2053">
        <v>-1.474E-2</v>
      </c>
      <c r="O2053">
        <v>7.0784899999999998E-3</v>
      </c>
      <c r="P2053">
        <v>-0.98674010000000001</v>
      </c>
      <c r="Q2053">
        <v>0.15739029999999901</v>
      </c>
      <c r="R2053">
        <v>3.9652189999999997E-2</v>
      </c>
      <c r="S2053">
        <v>-3.1927189999999999</v>
      </c>
      <c r="T2053">
        <v>-1.054438</v>
      </c>
      <c r="U2053">
        <v>0.34509279999999998</v>
      </c>
      <c r="V2053">
        <v>3.25318E-2</v>
      </c>
      <c r="W2053">
        <v>0.17194679999999901</v>
      </c>
      <c r="X2053">
        <v>0.98456900000000003</v>
      </c>
      <c r="Y2053">
        <v>9.5506099999999997E-2</v>
      </c>
      <c r="Z2053">
        <v>1.387712E-2</v>
      </c>
      <c r="AA2053">
        <v>0.99533210000000005</v>
      </c>
      <c r="AB2053">
        <v>31</v>
      </c>
      <c r="AC2053">
        <v>-0.40230000000002503</v>
      </c>
      <c r="AD2053">
        <v>-0.23334350000000001</v>
      </c>
      <c r="AE2053">
        <v>7.4600000000032196E-2</v>
      </c>
      <c r="AF2053">
        <v>5.4141096215101499E-2</v>
      </c>
      <c r="AG2053">
        <v>-0.23334350000000001</v>
      </c>
      <c r="AH2053">
        <v>0.30395771068465599</v>
      </c>
      <c r="AI2053">
        <v>127.081561466623</v>
      </c>
      <c r="AJ2053">
        <v>79.900368781502294</v>
      </c>
      <c r="AK2053">
        <v>0.38700224440728997</v>
      </c>
      <c r="AL2053">
        <v>80.098971228981</v>
      </c>
      <c r="AM2053">
        <v>88.107540491375005</v>
      </c>
      <c r="AN2053">
        <v>1.00000006790123</v>
      </c>
    </row>
    <row r="2054" spans="1:40" x14ac:dyDescent="0.25">
      <c r="A2054" t="str">
        <f>"20190303162254205"</f>
        <v>20190303162254205</v>
      </c>
      <c r="B2054" t="str">
        <f>"1551601374196811"</f>
        <v>1551601374196811</v>
      </c>
      <c r="C2054" t="s">
        <v>40</v>
      </c>
      <c r="D2054">
        <v>5.4279840000000004</v>
      </c>
      <c r="E2054">
        <v>0.52941059999999995</v>
      </c>
      <c r="F2054" t="s">
        <v>42</v>
      </c>
      <c r="G2054">
        <v>-314.45760000000001</v>
      </c>
      <c r="H2054">
        <v>0.89660759999999995</v>
      </c>
      <c r="I2054">
        <v>284.79919999999998</v>
      </c>
      <c r="J2054">
        <v>-314.09500000000003</v>
      </c>
      <c r="K2054">
        <v>1.121208</v>
      </c>
      <c r="L2054">
        <v>284.7276</v>
      </c>
      <c r="M2054">
        <v>-0.99986920000000001</v>
      </c>
      <c r="N2054">
        <v>-1.4747700000000001E-2</v>
      </c>
      <c r="O2054">
        <v>6.6606290000000004E-3</v>
      </c>
      <c r="P2054">
        <v>-0.98658880000000004</v>
      </c>
      <c r="Q2054">
        <v>0.15867310000000001</v>
      </c>
      <c r="R2054">
        <v>3.8283690000000002E-2</v>
      </c>
      <c r="S2054">
        <v>-3.1943049999999999</v>
      </c>
      <c r="T2054">
        <v>-1.0516719999999999</v>
      </c>
      <c r="U2054">
        <v>0.34219359999999999</v>
      </c>
      <c r="V2054">
        <v>3.1575989999999998E-2</v>
      </c>
      <c r="W2054">
        <v>0.17323379999999999</v>
      </c>
      <c r="X2054">
        <v>0.98437439999999998</v>
      </c>
      <c r="Y2054">
        <v>9.5011490000000004E-2</v>
      </c>
      <c r="Z2054">
        <v>1.388415E-2</v>
      </c>
      <c r="AA2054">
        <v>0.99537929999999997</v>
      </c>
      <c r="AB2054">
        <v>31</v>
      </c>
      <c r="AC2054">
        <v>-0.36259999999998599</v>
      </c>
      <c r="AD2054">
        <v>-0.22460040000000001</v>
      </c>
      <c r="AE2054">
        <v>7.1599999999989394E-2</v>
      </c>
      <c r="AF2054">
        <v>5.0525170829030602E-2</v>
      </c>
      <c r="AG2054">
        <v>-0.22460040000000001</v>
      </c>
      <c r="AH2054">
        <v>0.26515353871984398</v>
      </c>
      <c r="AI2054">
        <v>129.763376767007</v>
      </c>
      <c r="AJ2054">
        <v>79.211587072219601</v>
      </c>
      <c r="AK2054">
        <v>0.35114745003077902</v>
      </c>
      <c r="AL2054">
        <v>80.024107215950394</v>
      </c>
      <c r="AM2054">
        <v>88.162740894511103</v>
      </c>
      <c r="AN2054">
        <v>0.99999997599113899</v>
      </c>
    </row>
    <row r="2055" spans="1:40" x14ac:dyDescent="0.25">
      <c r="A2055" t="str">
        <f>"20190303162254227"</f>
        <v>20190303162254227</v>
      </c>
      <c r="B2055" t="str">
        <f>"1551601374216332"</f>
        <v>1551601374216332</v>
      </c>
      <c r="C2055" t="s">
        <v>40</v>
      </c>
      <c r="D2055">
        <v>5.3968800000000003</v>
      </c>
      <c r="E2055">
        <v>0.51173630000000003</v>
      </c>
      <c r="F2055" t="s">
        <v>42</v>
      </c>
      <c r="G2055">
        <v>-314.98200000000003</v>
      </c>
      <c r="H2055">
        <v>0.83034830000000004</v>
      </c>
      <c r="I2055">
        <v>284.82209999999998</v>
      </c>
      <c r="J2055">
        <v>-314.39859999999999</v>
      </c>
      <c r="K2055">
        <v>1.1212200000000001</v>
      </c>
      <c r="L2055">
        <v>284.72919999999999</v>
      </c>
      <c r="M2055">
        <v>-0.99987159999999997</v>
      </c>
      <c r="N2055">
        <v>-1.4752919999999999E-2</v>
      </c>
      <c r="O2055">
        <v>6.2641869999999896E-3</v>
      </c>
      <c r="P2055">
        <v>-0.98644620000000005</v>
      </c>
      <c r="Q2055">
        <v>0.15982199999999999</v>
      </c>
      <c r="R2055">
        <v>3.7165910000000003E-2</v>
      </c>
      <c r="S2055">
        <v>-3.1962280000000001</v>
      </c>
      <c r="T2055">
        <v>-1.0481940000000001</v>
      </c>
      <c r="U2055">
        <v>0.33822629999999998</v>
      </c>
      <c r="V2055">
        <v>3.084982E-2</v>
      </c>
      <c r="W2055">
        <v>0.1743847</v>
      </c>
      <c r="X2055">
        <v>0.98419420000000002</v>
      </c>
      <c r="Y2055">
        <v>9.4182399999999999E-2</v>
      </c>
      <c r="Z2055">
        <v>1.3818820000000001E-2</v>
      </c>
      <c r="AA2055">
        <v>0.99545899999999998</v>
      </c>
      <c r="AB2055">
        <v>31</v>
      </c>
      <c r="AC2055">
        <v>-0.58340000000004</v>
      </c>
      <c r="AD2055">
        <v>-0.29087170000000001</v>
      </c>
      <c r="AE2055">
        <v>9.2899999999985994E-2</v>
      </c>
      <c r="AF2055">
        <v>7.1829324323347502E-2</v>
      </c>
      <c r="AG2055">
        <v>-0.29087170000000001</v>
      </c>
      <c r="AH2055">
        <v>0.47002108652885899</v>
      </c>
      <c r="AI2055">
        <v>121.456040892991</v>
      </c>
      <c r="AJ2055">
        <v>81.311197849330497</v>
      </c>
      <c r="AK2055">
        <v>0.55739180068907401</v>
      </c>
      <c r="AL2055">
        <v>79.957146340293306</v>
      </c>
      <c r="AM2055">
        <v>88.204636916585201</v>
      </c>
      <c r="AN2055">
        <v>0.99999997915088101</v>
      </c>
    </row>
    <row r="2056" spans="1:40" x14ac:dyDescent="0.25">
      <c r="A2056" t="str">
        <f>"20190303162254248"</f>
        <v>20190303162254248</v>
      </c>
      <c r="B2056" t="str">
        <f>"1551601374236827"</f>
        <v>1551601374236827</v>
      </c>
      <c r="C2056" t="s">
        <v>40</v>
      </c>
      <c r="D2056">
        <v>5.3947129999999897</v>
      </c>
      <c r="E2056">
        <v>0.47899770000000003</v>
      </c>
      <c r="F2056" t="s">
        <v>42</v>
      </c>
      <c r="G2056">
        <v>-315.28739999999999</v>
      </c>
      <c r="H2056">
        <v>0.90331790000000001</v>
      </c>
      <c r="I2056">
        <v>284.78469999999999</v>
      </c>
      <c r="J2056">
        <v>-314.70100000000002</v>
      </c>
      <c r="K2056">
        <v>1.1212340000000001</v>
      </c>
      <c r="L2056">
        <v>284.73070000000001</v>
      </c>
      <c r="M2056">
        <v>-0.99987389999999998</v>
      </c>
      <c r="N2056">
        <v>-1.4756439999999999E-2</v>
      </c>
      <c r="O2056">
        <v>5.8687130000000002E-3</v>
      </c>
      <c r="P2056">
        <v>-0.98615679999999994</v>
      </c>
      <c r="Q2056">
        <v>0.16192429999999999</v>
      </c>
      <c r="R2056">
        <v>3.5711430000000002E-2</v>
      </c>
      <c r="S2056">
        <v>-3.1593019999999998</v>
      </c>
      <c r="T2056">
        <v>-0.7745552</v>
      </c>
      <c r="U2056">
        <v>0.19692989999999999</v>
      </c>
      <c r="V2056">
        <v>2.9785659999999999E-2</v>
      </c>
      <c r="W2056">
        <v>0.17648459999999999</v>
      </c>
      <c r="X2056">
        <v>0.98385259999999997</v>
      </c>
      <c r="Y2056">
        <v>5.4789669999999999E-2</v>
      </c>
      <c r="Z2056">
        <v>5.6919739999999998E-3</v>
      </c>
      <c r="AA2056">
        <v>0.99848170000000003</v>
      </c>
      <c r="AB2056">
        <v>31</v>
      </c>
      <c r="AC2056">
        <v>-0.58640000000002601</v>
      </c>
      <c r="AD2056">
        <v>-0.2179161</v>
      </c>
      <c r="AE2056">
        <v>5.3999999999973597E-2</v>
      </c>
      <c r="AF2056">
        <v>4.4467939405595902E-2</v>
      </c>
      <c r="AG2056">
        <v>-0.2179161</v>
      </c>
      <c r="AH2056">
        <v>0.516041279572369</v>
      </c>
      <c r="AI2056">
        <v>112.817711364698</v>
      </c>
      <c r="AJ2056">
        <v>85.074915483225993</v>
      </c>
      <c r="AK2056">
        <v>0.561928310816316</v>
      </c>
      <c r="AL2056">
        <v>79.834935443993999</v>
      </c>
      <c r="AM2056">
        <v>88.265927737341002</v>
      </c>
      <c r="AN2056">
        <v>0.99999996905277699</v>
      </c>
    </row>
    <row r="2057" spans="1:40" x14ac:dyDescent="0.25">
      <c r="A2057" t="str">
        <f>"20190303162254270"</f>
        <v>20190303162254270</v>
      </c>
      <c r="B2057" t="str">
        <f>"1551601374267084"</f>
        <v>1551601374267084</v>
      </c>
      <c r="C2057" t="s">
        <v>40</v>
      </c>
      <c r="D2057">
        <v>5.5983580000000002</v>
      </c>
      <c r="E2057">
        <v>0.4702305</v>
      </c>
      <c r="F2057" t="s">
        <v>47</v>
      </c>
      <c r="G2057">
        <v>-341.56439999999998</v>
      </c>
      <c r="H2057" s="1">
        <v>-7.0432199999999899E-7</v>
      </c>
      <c r="I2057">
        <v>284.1728</v>
      </c>
      <c r="J2057">
        <v>-315.00619999999998</v>
      </c>
      <c r="K2057">
        <v>1.1212439999999999</v>
      </c>
      <c r="L2057">
        <v>284.73200000000003</v>
      </c>
      <c r="M2057">
        <v>-0.99987630000000005</v>
      </c>
      <c r="N2057">
        <v>-1.475742E-2</v>
      </c>
      <c r="O2057">
        <v>5.4691480000000001E-3</v>
      </c>
      <c r="P2057">
        <v>-0.98586059999999998</v>
      </c>
      <c r="Q2057">
        <v>0.16405310000000001</v>
      </c>
      <c r="R2057">
        <v>3.4142459999999999E-2</v>
      </c>
      <c r="S2057">
        <v>-3.0654300000000001</v>
      </c>
      <c r="T2057">
        <v>-0.12794610000000001</v>
      </c>
      <c r="U2057">
        <v>-6.3659670000000002E-2</v>
      </c>
      <c r="V2057">
        <v>2.8611129999999999E-2</v>
      </c>
      <c r="W2057">
        <v>0.17860889999999999</v>
      </c>
      <c r="X2057">
        <v>0.98350409999999999</v>
      </c>
      <c r="Y2057">
        <v>-2.619788E-2</v>
      </c>
      <c r="Z2057">
        <v>-8.8735300000000001E-4</v>
      </c>
      <c r="AA2057">
        <v>0.9996564</v>
      </c>
      <c r="AB2057">
        <v>31</v>
      </c>
      <c r="AC2057">
        <v>-26.558199999999999</v>
      </c>
      <c r="AD2057">
        <v>-1.121244704322</v>
      </c>
      <c r="AE2057">
        <v>-0.559200000000032</v>
      </c>
      <c r="AF2057">
        <v>-0.70320532488216703</v>
      </c>
      <c r="AG2057">
        <v>-1.121244704322</v>
      </c>
      <c r="AH2057">
        <v>26.5075181465767</v>
      </c>
      <c r="AI2057">
        <v>92.421266373109106</v>
      </c>
      <c r="AJ2057">
        <v>91.519616031884198</v>
      </c>
      <c r="AK2057">
        <v>26.540538911389898</v>
      </c>
      <c r="AL2057">
        <v>79.7112576177812</v>
      </c>
      <c r="AM2057">
        <v>88.333677722146305</v>
      </c>
      <c r="AN2057">
        <v>1.00000002531794</v>
      </c>
    </row>
    <row r="2058" spans="1:40" x14ac:dyDescent="0.25">
      <c r="A2058" t="str">
        <f>"20190303162254292"</f>
        <v>20190303162254292</v>
      </c>
      <c r="B2058" t="str">
        <f>"1551601374286603"</f>
        <v>1551601374286603</v>
      </c>
      <c r="C2058" t="s">
        <v>40</v>
      </c>
      <c r="D2058">
        <v>5.4516819999999999</v>
      </c>
      <c r="E2058">
        <v>0.47052680000000002</v>
      </c>
      <c r="F2058" t="s">
        <v>47</v>
      </c>
      <c r="G2058">
        <v>-464.55799999999999</v>
      </c>
      <c r="H2058">
        <v>8.0000409999999994E-2</v>
      </c>
      <c r="I2058">
        <v>277.97890000000001</v>
      </c>
      <c r="J2058">
        <v>-315.31200000000001</v>
      </c>
      <c r="K2058">
        <v>1.1212580000000001</v>
      </c>
      <c r="L2058">
        <v>284.73320000000001</v>
      </c>
      <c r="M2058">
        <v>-0.99987839999999995</v>
      </c>
      <c r="N2058">
        <v>-1.4753280000000001E-2</v>
      </c>
      <c r="O2058">
        <v>5.0690869999999999E-3</v>
      </c>
      <c r="P2058">
        <v>-0.98555820000000005</v>
      </c>
      <c r="Q2058">
        <v>0.166132</v>
      </c>
      <c r="R2058">
        <v>3.2792429999999997E-2</v>
      </c>
      <c r="S2058">
        <v>-3.051361</v>
      </c>
      <c r="T2058">
        <v>-2.1244880000000001E-2</v>
      </c>
      <c r="U2058">
        <v>-0.13778689999999999</v>
      </c>
      <c r="V2058">
        <v>2.7655840000000001E-2</v>
      </c>
      <c r="W2058">
        <v>0.18067800000000001</v>
      </c>
      <c r="X2058">
        <v>0.98315339999999996</v>
      </c>
      <c r="Y2058">
        <v>-5.0169859999999997E-2</v>
      </c>
      <c r="Z2058">
        <v>-5.0539349999999999E-4</v>
      </c>
      <c r="AA2058">
        <v>0.99874059999999998</v>
      </c>
      <c r="AB2058">
        <v>31</v>
      </c>
      <c r="AC2058">
        <v>-149.24600000000001</v>
      </c>
      <c r="AD2058">
        <v>-1.0412575900000001</v>
      </c>
      <c r="AE2058">
        <v>-6.7542999999999997</v>
      </c>
      <c r="AF2058">
        <v>-7.5104716150316797</v>
      </c>
      <c r="AG2058">
        <v>-1.0412575900000001</v>
      </c>
      <c r="AH2058">
        <v>149.20259255074299</v>
      </c>
      <c r="AI2058">
        <v>90.399344664862696</v>
      </c>
      <c r="AJ2058">
        <v>92.881688684022706</v>
      </c>
      <c r="AK2058">
        <v>149.39513052677401</v>
      </c>
      <c r="AL2058">
        <v>79.590746094598103</v>
      </c>
      <c r="AM2058">
        <v>88.388710079242301</v>
      </c>
      <c r="AN2058">
        <v>0.99999999655083205</v>
      </c>
    </row>
    <row r="2059" spans="1:40" x14ac:dyDescent="0.25">
      <c r="A2059" t="str">
        <f>"20190303162254313"</f>
        <v>20190303162254313</v>
      </c>
      <c r="B2059" t="str">
        <f>"1551601374307100"</f>
        <v>1551601374307100</v>
      </c>
      <c r="C2059" t="s">
        <v>40</v>
      </c>
      <c r="D2059">
        <v>5.7202529999999996</v>
      </c>
      <c r="E2059">
        <v>0.470335</v>
      </c>
      <c r="F2059" t="s">
        <v>48</v>
      </c>
      <c r="G2059">
        <v>-511.95870000000002</v>
      </c>
      <c r="H2059">
        <v>0.22510910000000001</v>
      </c>
      <c r="I2059">
        <v>275.78530000000001</v>
      </c>
      <c r="J2059">
        <v>-315.6071</v>
      </c>
      <c r="K2059">
        <v>1.1212679999999999</v>
      </c>
      <c r="L2059">
        <v>284.73430000000002</v>
      </c>
      <c r="M2059">
        <v>-0.9998804</v>
      </c>
      <c r="N2059">
        <v>-1.4745309999999999E-2</v>
      </c>
      <c r="O2059">
        <v>4.6825249999999999E-3</v>
      </c>
      <c r="P2059">
        <v>-0.98534460000000001</v>
      </c>
      <c r="Q2059">
        <v>0.16776199999999999</v>
      </c>
      <c r="R2059">
        <v>3.0855629999999998E-2</v>
      </c>
      <c r="S2059">
        <v>-3.0509339999999998</v>
      </c>
      <c r="T2059">
        <v>-1.3902309999999999E-2</v>
      </c>
      <c r="U2059">
        <v>-0.13882449999999999</v>
      </c>
      <c r="V2059">
        <v>2.6100109999999999E-2</v>
      </c>
      <c r="W2059">
        <v>0.18229529999999999</v>
      </c>
      <c r="X2059">
        <v>0.98289729999999997</v>
      </c>
      <c r="Y2059">
        <v>-5.0130500000000001E-2</v>
      </c>
      <c r="Z2059">
        <v>-4.3628429999999999E-4</v>
      </c>
      <c r="AA2059">
        <v>0.99874260000000004</v>
      </c>
      <c r="AB2059">
        <v>31</v>
      </c>
      <c r="AC2059">
        <v>-196.35159999999999</v>
      </c>
      <c r="AD2059">
        <v>-0.89615889999999998</v>
      </c>
      <c r="AE2059">
        <v>-8.9490000000000105</v>
      </c>
      <c r="AF2059">
        <v>-9.8682179042195202</v>
      </c>
      <c r="AG2059">
        <v>-0.89615889999999998</v>
      </c>
      <c r="AH2059">
        <v>196.30345780828301</v>
      </c>
      <c r="AI2059">
        <v>90.261233359884201</v>
      </c>
      <c r="AJ2059">
        <v>92.877848842474506</v>
      </c>
      <c r="AK2059">
        <v>196.55338301048801</v>
      </c>
      <c r="AL2059">
        <v>79.4965162672422</v>
      </c>
      <c r="AM2059">
        <v>88.478910454671805</v>
      </c>
      <c r="AN2059">
        <v>0.99999994724569397</v>
      </c>
    </row>
    <row r="2060" spans="1:40" x14ac:dyDescent="0.25">
      <c r="A2060" t="str">
        <f>"20190303162254350"</f>
        <v>20190303162254350</v>
      </c>
      <c r="B2060" t="str">
        <f>"1551601374336379"</f>
        <v>1551601374336379</v>
      </c>
      <c r="C2060" t="s">
        <v>40</v>
      </c>
      <c r="D2060">
        <v>5.7697909999999997</v>
      </c>
      <c r="E2060">
        <v>0.4704699</v>
      </c>
      <c r="F2060" t="s">
        <v>46</v>
      </c>
      <c r="G2060">
        <v>-476.84440000000001</v>
      </c>
      <c r="H2060">
        <v>8.0000050000000003E-2</v>
      </c>
      <c r="I2060">
        <v>277.04829999999998</v>
      </c>
      <c r="J2060">
        <v>-316.08999999999997</v>
      </c>
      <c r="K2060">
        <v>1.1212819999999999</v>
      </c>
      <c r="L2060">
        <v>284.73579999999998</v>
      </c>
      <c r="M2060">
        <v>-0.99988350000000004</v>
      </c>
      <c r="N2060">
        <v>-1.472832E-2</v>
      </c>
      <c r="O2060">
        <v>4.0543300000000001E-3</v>
      </c>
      <c r="P2060">
        <v>-0.98501839999999996</v>
      </c>
      <c r="Q2060">
        <v>0.1702668</v>
      </c>
      <c r="R2060">
        <v>2.7355819999999999E-2</v>
      </c>
      <c r="S2060">
        <v>-3.0524900000000001</v>
      </c>
      <c r="T2060">
        <v>-1.9712919999999998E-2</v>
      </c>
      <c r="U2060">
        <v>-0.14550779999999999</v>
      </c>
      <c r="V2060">
        <v>2.322012E-2</v>
      </c>
      <c r="W2060">
        <v>0.18477540000000001</v>
      </c>
      <c r="X2060">
        <v>0.98250649999999995</v>
      </c>
      <c r="Y2060">
        <v>-5.1660600000000001E-2</v>
      </c>
      <c r="Z2060">
        <v>-5.1388750000000004E-4</v>
      </c>
      <c r="AA2060">
        <v>0.99866460000000001</v>
      </c>
      <c r="AB2060">
        <v>31</v>
      </c>
      <c r="AC2060">
        <v>-160.7544</v>
      </c>
      <c r="AD2060">
        <v>-1.0412819499999999</v>
      </c>
      <c r="AE2060">
        <v>-7.6875</v>
      </c>
      <c r="AF2060">
        <v>-8.3389096875088295</v>
      </c>
      <c r="AG2060">
        <v>-1.0412819499999999</v>
      </c>
      <c r="AH2060">
        <v>160.715179621576</v>
      </c>
      <c r="AI2060">
        <v>90.370718448837593</v>
      </c>
      <c r="AJ2060">
        <v>92.9702002144179</v>
      </c>
      <c r="AK2060">
        <v>160.93474032560999</v>
      </c>
      <c r="AL2060">
        <v>79.351962766890694</v>
      </c>
      <c r="AM2060">
        <v>88.646149150188407</v>
      </c>
      <c r="AN2060">
        <v>1.0000000724800999</v>
      </c>
    </row>
    <row r="2061" spans="1:40" x14ac:dyDescent="0.25">
      <c r="A2061" t="str">
        <f>"20190303162254371"</f>
        <v>20190303162254371</v>
      </c>
      <c r="B2061" t="str">
        <f>"1551601374366635"</f>
        <v>1551601374366635</v>
      </c>
      <c r="C2061" t="s">
        <v>40</v>
      </c>
      <c r="D2061">
        <v>5.7064510000000004</v>
      </c>
      <c r="E2061">
        <v>0.47073900000000002</v>
      </c>
      <c r="F2061" t="s">
        <v>47</v>
      </c>
      <c r="G2061">
        <v>-446.62950000000001</v>
      </c>
      <c r="H2061">
        <v>8.0001260000000005E-2</v>
      </c>
      <c r="I2061">
        <v>278.1551</v>
      </c>
      <c r="J2061">
        <v>-316.38619999999997</v>
      </c>
      <c r="K2061">
        <v>1.1212789999999999</v>
      </c>
      <c r="L2061">
        <v>284.73660000000001</v>
      </c>
      <c r="M2061">
        <v>-0.99988500000000002</v>
      </c>
      <c r="N2061">
        <v>-1.4716989999999999E-2</v>
      </c>
      <c r="O2061">
        <v>3.6756089999999998E-3</v>
      </c>
      <c r="P2061">
        <v>-0.9849426</v>
      </c>
      <c r="Q2061">
        <v>0.17116700000000001</v>
      </c>
      <c r="R2061">
        <v>2.430206E-2</v>
      </c>
      <c r="S2061">
        <v>-3.0541079999999998</v>
      </c>
      <c r="T2061">
        <v>-2.4361850000000001E-2</v>
      </c>
      <c r="U2061">
        <v>-0.15396119999999999</v>
      </c>
      <c r="V2061">
        <v>2.0541190000000001E-2</v>
      </c>
      <c r="W2061">
        <v>0.18566060000000001</v>
      </c>
      <c r="X2061">
        <v>0.98239920000000003</v>
      </c>
      <c r="Y2061">
        <v>-5.4013289999999999E-2</v>
      </c>
      <c r="Z2061">
        <v>-5.882722E-4</v>
      </c>
      <c r="AA2061">
        <v>0.99853999999999998</v>
      </c>
      <c r="AB2061">
        <v>31</v>
      </c>
      <c r="AC2061">
        <v>-130.2433</v>
      </c>
      <c r="AD2061">
        <v>-1.04127774</v>
      </c>
      <c r="AE2061">
        <v>-6.5815000000000001</v>
      </c>
      <c r="AF2061">
        <v>-7.0597807052606498</v>
      </c>
      <c r="AG2061">
        <v>-1.04127774</v>
      </c>
      <c r="AH2061">
        <v>130.20992482231699</v>
      </c>
      <c r="AI2061">
        <v>90.457507796838598</v>
      </c>
      <c r="AJ2061">
        <v>93.103449906753596</v>
      </c>
      <c r="AK2061">
        <v>130.40532690489101</v>
      </c>
      <c r="AL2061">
        <v>79.300350684495598</v>
      </c>
      <c r="AM2061">
        <v>88.802165124802201</v>
      </c>
      <c r="AN2061">
        <v>0.99999999351980795</v>
      </c>
    </row>
    <row r="2062" spans="1:40" x14ac:dyDescent="0.25">
      <c r="A2062" t="str">
        <f>"20190303162254393"</f>
        <v>20190303162254393</v>
      </c>
      <c r="B2062" t="str">
        <f>"1551601374386155"</f>
        <v>1551601374386155</v>
      </c>
      <c r="C2062" t="s">
        <v>40</v>
      </c>
      <c r="D2062">
        <v>5.7001819999999999</v>
      </c>
      <c r="E2062">
        <v>0.47092400000000001</v>
      </c>
      <c r="F2062" t="s">
        <v>49</v>
      </c>
      <c r="G2062">
        <v>-423.33960000000002</v>
      </c>
      <c r="H2062" s="1">
        <v>3.9397219999999999E-6</v>
      </c>
      <c r="I2062">
        <v>279.12389999999999</v>
      </c>
      <c r="J2062">
        <v>-316.69319999999999</v>
      </c>
      <c r="K2062">
        <v>1.121278</v>
      </c>
      <c r="L2062">
        <v>284.7373</v>
      </c>
      <c r="M2062">
        <v>-0.99988659999999996</v>
      </c>
      <c r="N2062">
        <v>-1.4703280000000001E-2</v>
      </c>
      <c r="O2062">
        <v>3.29094E-3</v>
      </c>
      <c r="P2062">
        <v>-0.98482700000000001</v>
      </c>
      <c r="Q2062">
        <v>0.17217460000000001</v>
      </c>
      <c r="R2062">
        <v>2.1723550000000001E-2</v>
      </c>
      <c r="S2062">
        <v>-3.0553889999999999</v>
      </c>
      <c r="T2062">
        <v>-3.203201E-2</v>
      </c>
      <c r="U2062">
        <v>-0.16033939999999999</v>
      </c>
      <c r="V2062">
        <v>1.834411E-2</v>
      </c>
      <c r="W2062">
        <v>0.18665090000000001</v>
      </c>
      <c r="X2062">
        <v>0.98225499999999999</v>
      </c>
      <c r="Y2062">
        <v>-5.5684560000000001E-2</v>
      </c>
      <c r="Z2062">
        <v>-6.8750799999999998E-4</v>
      </c>
      <c r="AA2062">
        <v>0.99844820000000001</v>
      </c>
      <c r="AB2062">
        <v>31</v>
      </c>
      <c r="AC2062">
        <v>-106.6464</v>
      </c>
      <c r="AD2062">
        <v>-1.121274060278</v>
      </c>
      <c r="AE2062">
        <v>-5.6134000000000102</v>
      </c>
      <c r="AF2062">
        <v>-5.9637169769804403</v>
      </c>
      <c r="AG2062">
        <v>-1.121274060278</v>
      </c>
      <c r="AH2062">
        <v>106.61559396744499</v>
      </c>
      <c r="AI2062">
        <v>90.601615951662893</v>
      </c>
      <c r="AJ2062">
        <v>93.2015964058956</v>
      </c>
      <c r="AK2062">
        <v>106.788145656392</v>
      </c>
      <c r="AL2062">
        <v>79.242601022418199</v>
      </c>
      <c r="AM2062">
        <v>88.930096649571695</v>
      </c>
      <c r="AN2062">
        <v>0.99999997493375004</v>
      </c>
    </row>
    <row r="2063" spans="1:40" x14ac:dyDescent="0.25">
      <c r="A2063" t="str">
        <f>"20190303162254415"</f>
        <v>20190303162254415</v>
      </c>
      <c r="B2063" t="str">
        <f>"1551601374406651"</f>
        <v>1551601374406651</v>
      </c>
      <c r="C2063" t="s">
        <v>40</v>
      </c>
      <c r="D2063">
        <v>5.7589220000000001</v>
      </c>
      <c r="E2063">
        <v>0.47107900000000003</v>
      </c>
      <c r="F2063" t="s">
        <v>49</v>
      </c>
      <c r="G2063">
        <v>-415.61959999999999</v>
      </c>
      <c r="H2063" s="1">
        <v>3.730625E-6</v>
      </c>
      <c r="I2063">
        <v>279.35910000000001</v>
      </c>
      <c r="J2063">
        <v>-316.9837</v>
      </c>
      <c r="K2063">
        <v>1.121281</v>
      </c>
      <c r="L2063">
        <v>284.73779999999999</v>
      </c>
      <c r="M2063">
        <v>-0.99988779999999999</v>
      </c>
      <c r="N2063">
        <v>-1.468676E-2</v>
      </c>
      <c r="O2063">
        <v>2.9396639999999998E-3</v>
      </c>
      <c r="P2063">
        <v>-0.98460270000000005</v>
      </c>
      <c r="Q2063">
        <v>0.17360120000000001</v>
      </c>
      <c r="R2063">
        <v>2.0499119999999999E-2</v>
      </c>
      <c r="S2063">
        <v>-3.055939</v>
      </c>
      <c r="T2063">
        <v>-3.4637330000000001E-2</v>
      </c>
      <c r="U2063">
        <v>-0.1661377</v>
      </c>
      <c r="V2063">
        <v>1.746992E-2</v>
      </c>
      <c r="W2063">
        <v>0.18805659999999999</v>
      </c>
      <c r="X2063">
        <v>0.98200279999999995</v>
      </c>
      <c r="Y2063">
        <v>-5.7212319999999997E-2</v>
      </c>
      <c r="Z2063">
        <v>-7.3463070000000003E-4</v>
      </c>
      <c r="AA2063">
        <v>0.99836179999999997</v>
      </c>
      <c r="AB2063">
        <v>30</v>
      </c>
      <c r="AC2063">
        <v>-98.635900000000007</v>
      </c>
      <c r="AD2063">
        <v>-1.1212772693749999</v>
      </c>
      <c r="AE2063">
        <v>-5.3786999999999798</v>
      </c>
      <c r="AF2063">
        <v>-5.6679341592314803</v>
      </c>
      <c r="AG2063">
        <v>-1.1212772693749999</v>
      </c>
      <c r="AH2063">
        <v>98.606955461206496</v>
      </c>
      <c r="AI2063">
        <v>90.650418944026399</v>
      </c>
      <c r="AJ2063">
        <v>93.289745228295203</v>
      </c>
      <c r="AK2063">
        <v>98.776082153912895</v>
      </c>
      <c r="AL2063">
        <v>79.160608629608902</v>
      </c>
      <c r="AM2063">
        <v>88.980810331513098</v>
      </c>
      <c r="AN2063">
        <v>0.999999991058103</v>
      </c>
    </row>
    <row r="2064" spans="1:40" x14ac:dyDescent="0.25">
      <c r="A2064" t="str">
        <f>"20190303162254436"</f>
        <v>20190303162254436</v>
      </c>
      <c r="B2064" t="str">
        <f>"1551601374426171"</f>
        <v>1551601374426171</v>
      </c>
      <c r="C2064" t="s">
        <v>40</v>
      </c>
      <c r="D2064">
        <v>5.7572549999999998</v>
      </c>
      <c r="E2064">
        <v>0.47131099999999998</v>
      </c>
      <c r="F2064" t="s">
        <v>49</v>
      </c>
      <c r="G2064">
        <v>-413.02659999999997</v>
      </c>
      <c r="H2064" s="1">
        <v>3.2342549999999999E-6</v>
      </c>
      <c r="I2064">
        <v>279.46210000000002</v>
      </c>
      <c r="J2064">
        <v>-317.28039999999999</v>
      </c>
      <c r="K2064">
        <v>1.1212709999999999</v>
      </c>
      <c r="L2064">
        <v>284.73829999999998</v>
      </c>
      <c r="M2064">
        <v>-0.99988920000000003</v>
      </c>
      <c r="N2064">
        <v>-1.46652E-2</v>
      </c>
      <c r="O2064">
        <v>2.5947919999999998E-3</v>
      </c>
      <c r="P2064">
        <v>-0.98424259999999997</v>
      </c>
      <c r="Q2064">
        <v>0.17574389999999901</v>
      </c>
      <c r="R2064">
        <v>1.9518190000000001E-2</v>
      </c>
      <c r="S2064">
        <v>-3.056702</v>
      </c>
      <c r="T2064">
        <v>-3.5686250000000003E-2</v>
      </c>
      <c r="U2064">
        <v>-0.16790769999999999</v>
      </c>
      <c r="V2064">
        <v>1.6833870000000001E-2</v>
      </c>
      <c r="W2064">
        <v>0.19017120000000001</v>
      </c>
      <c r="X2064">
        <v>0.9816066</v>
      </c>
      <c r="Y2064">
        <v>-5.7430479999999999E-2</v>
      </c>
      <c r="Z2064">
        <v>-7.4871050000000004E-4</v>
      </c>
      <c r="AA2064">
        <v>0.99834920000000005</v>
      </c>
      <c r="AB2064">
        <v>30</v>
      </c>
      <c r="AC2064">
        <v>-95.746200000000002</v>
      </c>
      <c r="AD2064">
        <v>-1.1212677657450001</v>
      </c>
      <c r="AE2064">
        <v>-5.2761999999999603</v>
      </c>
      <c r="AF2064">
        <v>-5.5238951280793902</v>
      </c>
      <c r="AG2064">
        <v>-1.1212677657450001</v>
      </c>
      <c r="AH2064">
        <v>95.719097970555694</v>
      </c>
      <c r="AI2064">
        <v>90.670025904344897</v>
      </c>
      <c r="AJ2064">
        <v>93.302843779586595</v>
      </c>
      <c r="AK2064">
        <v>95.884912134732403</v>
      </c>
      <c r="AL2064">
        <v>79.037224497444299</v>
      </c>
      <c r="AM2064">
        <v>89.017513567153003</v>
      </c>
      <c r="AN2064">
        <v>0.99999999082608804</v>
      </c>
    </row>
    <row r="2065" spans="1:40" x14ac:dyDescent="0.25">
      <c r="A2065" t="str">
        <f>"20190303162254451"</f>
        <v>20190303162254451</v>
      </c>
      <c r="B2065" t="str">
        <f>"1551601374446667"</f>
        <v>1551601374446667</v>
      </c>
      <c r="C2065" t="s">
        <v>40</v>
      </c>
      <c r="D2065">
        <v>5.7536930000000002</v>
      </c>
      <c r="E2065">
        <v>0.47161189999999997</v>
      </c>
      <c r="F2065" t="s">
        <v>49</v>
      </c>
      <c r="G2065">
        <v>-413.39229999999998</v>
      </c>
      <c r="H2065" s="1">
        <v>3.3067769999999998E-6</v>
      </c>
      <c r="I2065">
        <v>279.44040000000001</v>
      </c>
      <c r="J2065">
        <v>-317.47410000000002</v>
      </c>
      <c r="K2065">
        <v>1.1212660000000001</v>
      </c>
      <c r="L2065">
        <v>284.73860000000002</v>
      </c>
      <c r="M2065">
        <v>-0.99988999999999995</v>
      </c>
      <c r="N2065">
        <v>-1.464847E-2</v>
      </c>
      <c r="O2065">
        <v>2.3768750000000001E-3</v>
      </c>
      <c r="P2065">
        <v>-0.98412029999999995</v>
      </c>
      <c r="Q2065">
        <v>0.1764511</v>
      </c>
      <c r="R2065">
        <v>1.93025E-2</v>
      </c>
      <c r="S2065">
        <v>-3.0577390000000002</v>
      </c>
      <c r="T2065">
        <v>-3.5672429999999998E-2</v>
      </c>
      <c r="U2065">
        <v>-0.16854859999999999</v>
      </c>
      <c r="V2065">
        <v>1.683629E-2</v>
      </c>
      <c r="W2065">
        <v>0.19085969999999999</v>
      </c>
      <c r="X2065">
        <v>0.98147289999999998</v>
      </c>
      <c r="Y2065">
        <v>-5.7402969999999998E-2</v>
      </c>
      <c r="Z2065">
        <v>-7.4829559999999896E-4</v>
      </c>
      <c r="AA2065">
        <v>0.99835079999999998</v>
      </c>
      <c r="AB2065">
        <v>30</v>
      </c>
      <c r="AC2065">
        <v>-95.918199999999899</v>
      </c>
      <c r="AD2065">
        <v>-1.1212626932230001</v>
      </c>
      <c r="AE2065">
        <v>-5.2981999999999996</v>
      </c>
      <c r="AF2065">
        <v>-5.5254422788836699</v>
      </c>
      <c r="AG2065">
        <v>-1.1212626932230001</v>
      </c>
      <c r="AH2065">
        <v>95.8922705737657</v>
      </c>
      <c r="AI2065">
        <v>90.668816369528002</v>
      </c>
      <c r="AJ2065">
        <v>93.297813684046204</v>
      </c>
      <c r="AK2065">
        <v>96.057874732875405</v>
      </c>
      <c r="AL2065">
        <v>78.997040110426596</v>
      </c>
      <c r="AM2065">
        <v>89.017238523710205</v>
      </c>
      <c r="AN2065">
        <v>0.99999996958973103</v>
      </c>
    </row>
    <row r="2066" spans="1:40" x14ac:dyDescent="0.25">
      <c r="A2066" t="str">
        <f>"20190303162254465"</f>
        <v>20190303162254465</v>
      </c>
      <c r="B2066" t="str">
        <f>"1551601374456428"</f>
        <v>1551601374456428</v>
      </c>
      <c r="C2066" t="s">
        <v>40</v>
      </c>
      <c r="D2066">
        <v>5.8063820000000002</v>
      </c>
      <c r="E2066">
        <v>0.47171800000000003</v>
      </c>
      <c r="F2066" t="s">
        <v>49</v>
      </c>
      <c r="G2066">
        <v>-408.15859999999998</v>
      </c>
      <c r="H2066" s="1">
        <v>5.7818969999999998E-6</v>
      </c>
      <c r="I2066">
        <v>279.78809999999999</v>
      </c>
      <c r="J2066">
        <v>-317.64949999999999</v>
      </c>
      <c r="K2066">
        <v>1.121262</v>
      </c>
      <c r="L2066">
        <v>284.73880000000003</v>
      </c>
      <c r="M2066">
        <v>-0.99989050000000002</v>
      </c>
      <c r="N2066">
        <v>-1.46322999999999E-2</v>
      </c>
      <c r="O2066">
        <v>2.1830119999999998E-3</v>
      </c>
      <c r="P2066">
        <v>-0.9840006</v>
      </c>
      <c r="Q2066">
        <v>0.1770999</v>
      </c>
      <c r="R2066">
        <v>1.9453439999999999E-2</v>
      </c>
      <c r="S2066">
        <v>-3.0584720000000001</v>
      </c>
      <c r="T2066">
        <v>-3.7816170000000003E-2</v>
      </c>
      <c r="U2066">
        <v>-0.16696169999999999</v>
      </c>
      <c r="V2066">
        <v>1.7181229999999999E-2</v>
      </c>
      <c r="W2066">
        <v>0.19149060000000001</v>
      </c>
      <c r="X2066">
        <v>0.98134399999999999</v>
      </c>
      <c r="Y2066">
        <v>-5.6679159999999999E-2</v>
      </c>
      <c r="Z2066">
        <v>-7.6021719999999995E-4</v>
      </c>
      <c r="AA2066">
        <v>0.99839219999999895</v>
      </c>
      <c r="AB2066">
        <v>30</v>
      </c>
      <c r="AC2066">
        <v>-90.509100000000004</v>
      </c>
      <c r="AD2066">
        <v>-1.1212562181029999</v>
      </c>
      <c r="AE2066">
        <v>-4.9507000000000403</v>
      </c>
      <c r="AF2066">
        <v>-5.14750418507922</v>
      </c>
      <c r="AG2066">
        <v>-1.1212562181029999</v>
      </c>
      <c r="AH2066">
        <v>90.484230448978494</v>
      </c>
      <c r="AI2066">
        <v>90.708811616622199</v>
      </c>
      <c r="AJ2066">
        <v>93.255956531256402</v>
      </c>
      <c r="AK2066">
        <v>90.637464520946807</v>
      </c>
      <c r="AL2066">
        <v>78.960212689175293</v>
      </c>
      <c r="AM2066">
        <v>88.996976185688396</v>
      </c>
      <c r="AN2066">
        <v>0.99999994544433501</v>
      </c>
    </row>
    <row r="2067" spans="1:40" x14ac:dyDescent="0.25">
      <c r="A2067" t="str">
        <f>"20190303162254477"</f>
        <v>20190303162254477</v>
      </c>
      <c r="B2067" t="str">
        <f>"1551601374467163"</f>
        <v>1551601374467163</v>
      </c>
      <c r="C2067" t="s">
        <v>40</v>
      </c>
      <c r="D2067">
        <v>5.7460709999999997</v>
      </c>
      <c r="E2067">
        <v>0.4718136</v>
      </c>
      <c r="F2067" t="s">
        <v>49</v>
      </c>
      <c r="G2067">
        <v>-408.20479999999998</v>
      </c>
      <c r="H2067" s="1">
        <v>5.7547460000000001E-6</v>
      </c>
      <c r="I2067">
        <v>279.82049999999998</v>
      </c>
      <c r="J2067">
        <v>-317.8322</v>
      </c>
      <c r="K2067">
        <v>1.1212569999999999</v>
      </c>
      <c r="L2067">
        <v>284.73899999999998</v>
      </c>
      <c r="M2067">
        <v>-0.99989119999999998</v>
      </c>
      <c r="N2067">
        <v>-1.461462E-2</v>
      </c>
      <c r="O2067">
        <v>1.9862170000000002E-3</v>
      </c>
      <c r="P2067">
        <v>-0.98396070000000002</v>
      </c>
      <c r="Q2067">
        <v>0.17729929999999999</v>
      </c>
      <c r="R2067">
        <v>1.9654209999999998E-2</v>
      </c>
      <c r="S2067">
        <v>-3.0588679999999999</v>
      </c>
      <c r="T2067">
        <v>-3.7874940000000003E-2</v>
      </c>
      <c r="U2067">
        <v>-0.1661377</v>
      </c>
      <c r="V2067">
        <v>1.7578549999999998E-2</v>
      </c>
      <c r="W2067">
        <v>0.19167219999999999</v>
      </c>
      <c r="X2067">
        <v>0.98130150000000005</v>
      </c>
      <c r="Y2067">
        <v>-5.6207529999999999E-2</v>
      </c>
      <c r="Z2067">
        <v>-7.5436289999999896E-4</v>
      </c>
      <c r="AA2067">
        <v>0.99841880000000005</v>
      </c>
      <c r="AB2067">
        <v>30</v>
      </c>
      <c r="AC2067">
        <v>-90.372599999999906</v>
      </c>
      <c r="AD2067">
        <v>-1.121251245254</v>
      </c>
      <c r="AE2067">
        <v>-4.9185000000000496</v>
      </c>
      <c r="AF2067">
        <v>-5.0972267527691502</v>
      </c>
      <c r="AG2067">
        <v>-1.121251245254</v>
      </c>
      <c r="AH2067">
        <v>90.348784842267406</v>
      </c>
      <c r="AI2067">
        <v>90.709889856277698</v>
      </c>
      <c r="AJ2067">
        <v>93.229045260482195</v>
      </c>
      <c r="AK2067">
        <v>90.499402469842096</v>
      </c>
      <c r="AL2067">
        <v>78.9496112964747</v>
      </c>
      <c r="AM2067">
        <v>88.973741491804404</v>
      </c>
      <c r="AN2067">
        <v>0.99999993578759405</v>
      </c>
    </row>
    <row r="2068" spans="1:40" x14ac:dyDescent="0.25">
      <c r="A2068" t="str">
        <f>"20190303162254494"</f>
        <v>20190303162254494</v>
      </c>
      <c r="B2068" t="str">
        <f>"1551601374486684"</f>
        <v>1551601374486684</v>
      </c>
      <c r="C2068" t="s">
        <v>40</v>
      </c>
      <c r="D2068">
        <v>5.8036009999999996</v>
      </c>
      <c r="E2068">
        <v>0.4720396</v>
      </c>
      <c r="F2068" t="s">
        <v>49</v>
      </c>
      <c r="G2068">
        <v>-404.0206</v>
      </c>
      <c r="H2068" s="1">
        <v>7.55308E-6</v>
      </c>
      <c r="I2068">
        <v>280.09719999999999</v>
      </c>
      <c r="J2068">
        <v>-318.05009999999999</v>
      </c>
      <c r="K2068">
        <v>1.1212530000000001</v>
      </c>
      <c r="L2068">
        <v>284.73919999999998</v>
      </c>
      <c r="M2068">
        <v>-0.999892</v>
      </c>
      <c r="N2068">
        <v>-1.459355E-2</v>
      </c>
      <c r="O2068">
        <v>1.7549320000000001E-3</v>
      </c>
      <c r="P2068">
        <v>-0.98392219999999997</v>
      </c>
      <c r="Q2068">
        <v>0.17745659999999999</v>
      </c>
      <c r="R2068">
        <v>2.0167549999999999E-2</v>
      </c>
      <c r="S2068">
        <v>-3.0593569999999999</v>
      </c>
      <c r="T2068">
        <v>-3.9800049999999997E-2</v>
      </c>
      <c r="U2068">
        <v>-0.16476440000000001</v>
      </c>
      <c r="V2068">
        <v>1.8322270000000002E-2</v>
      </c>
      <c r="W2068">
        <v>0.19180839999999999</v>
      </c>
      <c r="X2068">
        <v>0.9812613</v>
      </c>
      <c r="Y2068">
        <v>-5.5520510000000002E-2</v>
      </c>
      <c r="Z2068">
        <v>-7.6355619999999896E-4</v>
      </c>
      <c r="AA2068">
        <v>0.99845729999999999</v>
      </c>
      <c r="AB2068">
        <v>30</v>
      </c>
      <c r="AC2068">
        <v>-85.970500000000001</v>
      </c>
      <c r="AD2068">
        <v>-1.1212454469199999</v>
      </c>
      <c r="AE2068">
        <v>-4.6419999999999897</v>
      </c>
      <c r="AF2068">
        <v>-4.7920685375391301</v>
      </c>
      <c r="AG2068">
        <v>-1.1212454469199999</v>
      </c>
      <c r="AH2068">
        <v>85.94764319171</v>
      </c>
      <c r="AI2068">
        <v>90.7462610862422</v>
      </c>
      <c r="AJ2068">
        <v>93.191260497749596</v>
      </c>
      <c r="AK2068">
        <v>86.088434080486095</v>
      </c>
      <c r="AL2068">
        <v>78.941660278561002</v>
      </c>
      <c r="AM2068">
        <v>88.930288227209303</v>
      </c>
      <c r="AN2068">
        <v>0.99999995338309999</v>
      </c>
    </row>
    <row r="2069" spans="1:40" x14ac:dyDescent="0.25">
      <c r="A2069" t="str">
        <f>"20190303162254507"</f>
        <v>20190303162254507</v>
      </c>
      <c r="B2069" t="str">
        <f>"1551601374496444"</f>
        <v>1551601374496444</v>
      </c>
      <c r="C2069" t="s">
        <v>40</v>
      </c>
      <c r="D2069">
        <v>5.7456800000000001</v>
      </c>
      <c r="E2069">
        <v>0.4721301</v>
      </c>
      <c r="F2069" t="s">
        <v>47</v>
      </c>
      <c r="G2069">
        <v>-398.70060000000001</v>
      </c>
      <c r="H2069" s="1">
        <v>3.0932249999999999E-6</v>
      </c>
      <c r="I2069">
        <v>280.47219999999999</v>
      </c>
      <c r="J2069">
        <v>-318.22629999999998</v>
      </c>
      <c r="K2069">
        <v>1.121246</v>
      </c>
      <c r="L2069">
        <v>284.73930000000001</v>
      </c>
      <c r="M2069">
        <v>-0.99989260000000002</v>
      </c>
      <c r="N2069">
        <v>-1.457671E-2</v>
      </c>
      <c r="O2069">
        <v>1.5700039999999901E-3</v>
      </c>
      <c r="P2069">
        <v>-0.98387219999999997</v>
      </c>
      <c r="Q2069">
        <v>0.1777079</v>
      </c>
      <c r="R2069">
        <v>2.0385779999999999E-2</v>
      </c>
      <c r="S2069">
        <v>-3.0599980000000002</v>
      </c>
      <c r="T2069">
        <v>-4.2541860000000001E-2</v>
      </c>
      <c r="U2069">
        <v>-0.16189579999999901</v>
      </c>
      <c r="V2069">
        <v>1.8723799999999999E-2</v>
      </c>
      <c r="W2069">
        <v>0.19204289999999999</v>
      </c>
      <c r="X2069">
        <v>0.98120790000000002</v>
      </c>
      <c r="Y2069">
        <v>-5.4390420000000002E-2</v>
      </c>
      <c r="Z2069">
        <v>-7.7349560000000001E-4</v>
      </c>
      <c r="AA2069">
        <v>0.99851939999999995</v>
      </c>
      <c r="AB2069">
        <v>30</v>
      </c>
      <c r="AC2069">
        <v>-80.474299999999999</v>
      </c>
      <c r="AD2069">
        <v>-1.121242906775</v>
      </c>
      <c r="AE2069">
        <v>-4.2671000000000197</v>
      </c>
      <c r="AF2069">
        <v>-4.3926027977263997</v>
      </c>
      <c r="AG2069">
        <v>-1.121242906775</v>
      </c>
      <c r="AH2069">
        <v>80.451926652925593</v>
      </c>
      <c r="AI2069">
        <v>90.797281144486206</v>
      </c>
      <c r="AJ2069">
        <v>93.125195000206602</v>
      </c>
      <c r="AK2069">
        <v>80.579554771432598</v>
      </c>
      <c r="AL2069">
        <v>78.927970424178994</v>
      </c>
      <c r="AM2069">
        <v>88.906791792230507</v>
      </c>
      <c r="AN2069">
        <v>0.99999999957463004</v>
      </c>
    </row>
    <row r="2070" spans="1:40" x14ac:dyDescent="0.25">
      <c r="A2070" t="str">
        <f>"20190303162254521"</f>
        <v>20190303162254521</v>
      </c>
      <c r="B2070" t="str">
        <f>"1551601374516940"</f>
        <v>1551601374516940</v>
      </c>
      <c r="C2070" t="s">
        <v>40</v>
      </c>
      <c r="D2070">
        <v>5.690048</v>
      </c>
      <c r="E2070">
        <v>0.47233209999999998</v>
      </c>
      <c r="F2070" t="s">
        <v>47</v>
      </c>
      <c r="G2070">
        <v>-396.14800000000002</v>
      </c>
      <c r="H2070" s="1">
        <v>1.734858E-6</v>
      </c>
      <c r="I2070">
        <v>280.65230000000003</v>
      </c>
      <c r="J2070">
        <v>-318.4246</v>
      </c>
      <c r="K2070">
        <v>1.121243</v>
      </c>
      <c r="L2070">
        <v>284.73939999999999</v>
      </c>
      <c r="M2070">
        <v>-0.99989320000000004</v>
      </c>
      <c r="N2070">
        <v>-1.4558160000000001E-2</v>
      </c>
      <c r="O2070">
        <v>1.3643939999999999E-3</v>
      </c>
      <c r="P2070">
        <v>-0.98391329999999999</v>
      </c>
      <c r="Q2070">
        <v>0.17744099999999999</v>
      </c>
      <c r="R2070">
        <v>2.072297E-2</v>
      </c>
      <c r="S2070">
        <v>-3.0605159999999998</v>
      </c>
      <c r="T2070">
        <v>-4.4038889999999997E-2</v>
      </c>
      <c r="U2070">
        <v>-0.16052249999999901</v>
      </c>
      <c r="V2070">
        <v>1.926489E-2</v>
      </c>
      <c r="W2070">
        <v>0.19175829999999999</v>
      </c>
      <c r="X2070">
        <v>0.98125309999999999</v>
      </c>
      <c r="Y2070">
        <v>-5.3728919999999999E-2</v>
      </c>
      <c r="Z2070">
        <v>-7.7747250000000003E-4</v>
      </c>
      <c r="AA2070">
        <v>0.99855519999999998</v>
      </c>
      <c r="AB2070">
        <v>30</v>
      </c>
      <c r="AC2070">
        <v>-77.723399999999998</v>
      </c>
      <c r="AD2070">
        <v>-1.1212412651420001</v>
      </c>
      <c r="AE2070">
        <v>-4.0870999999999604</v>
      </c>
      <c r="AF2070">
        <v>-4.1922827103877101</v>
      </c>
      <c r="AG2070">
        <v>-1.1212412651420001</v>
      </c>
      <c r="AH2070">
        <v>77.701624681954101</v>
      </c>
      <c r="AI2070">
        <v>90.825525240136599</v>
      </c>
      <c r="AJ2070">
        <v>93.088319447263899</v>
      </c>
      <c r="AK2070">
        <v>77.822714515196196</v>
      </c>
      <c r="AL2070">
        <v>78.944585767518902</v>
      </c>
      <c r="AM2070">
        <v>88.875259500212394</v>
      </c>
      <c r="AN2070">
        <v>1.0000000139326</v>
      </c>
    </row>
    <row r="2071" spans="1:40" x14ac:dyDescent="0.25">
      <c r="A2071" t="str">
        <f>"20190303162254538"</f>
        <v>20190303162254538</v>
      </c>
      <c r="B2071" t="str">
        <f>"1551601374526700"</f>
        <v>1551601374526700</v>
      </c>
      <c r="C2071" t="s">
        <v>40</v>
      </c>
      <c r="D2071">
        <v>5.6919870000000001</v>
      </c>
      <c r="E2071">
        <v>0.47244560000000002</v>
      </c>
      <c r="F2071" t="s">
        <v>47</v>
      </c>
      <c r="G2071">
        <v>-388.70830000000001</v>
      </c>
      <c r="H2071" s="1">
        <v>3.0973489999999998E-6</v>
      </c>
      <c r="I2071">
        <v>281.11900000000003</v>
      </c>
      <c r="J2071">
        <v>-318.64620000000002</v>
      </c>
      <c r="K2071">
        <v>1.1212390000000001</v>
      </c>
      <c r="L2071">
        <v>284.73950000000002</v>
      </c>
      <c r="M2071">
        <v>-0.99989380000000005</v>
      </c>
      <c r="N2071">
        <v>-1.453838E-2</v>
      </c>
      <c r="O2071">
        <v>1.1363079999999999E-3</v>
      </c>
      <c r="P2071">
        <v>-0.98387150000000001</v>
      </c>
      <c r="Q2071">
        <v>0.17759810000000001</v>
      </c>
      <c r="R2071">
        <v>2.1360049999999998E-2</v>
      </c>
      <c r="S2071">
        <v>-3.0611570000000001</v>
      </c>
      <c r="T2071">
        <v>-4.8834799999999998E-2</v>
      </c>
      <c r="U2071">
        <v>-0.157684299999999</v>
      </c>
      <c r="V2071">
        <v>2.012748E-2</v>
      </c>
      <c r="W2071">
        <v>0.19189590000000001</v>
      </c>
      <c r="X2071">
        <v>0.98120890000000005</v>
      </c>
      <c r="Y2071">
        <v>-5.2565269999999997E-2</v>
      </c>
      <c r="Z2071">
        <v>-8.0301530000000002E-4</v>
      </c>
      <c r="AA2071">
        <v>0.99861719999999998</v>
      </c>
      <c r="AB2071">
        <v>30</v>
      </c>
      <c r="AC2071">
        <v>-70.062099999999901</v>
      </c>
      <c r="AD2071">
        <v>-1.1212359026509999</v>
      </c>
      <c r="AE2071">
        <v>-3.6204999999999901</v>
      </c>
      <c r="AF2071">
        <v>-3.6991733165021099</v>
      </c>
      <c r="AG2071">
        <v>-1.1212359026509999</v>
      </c>
      <c r="AH2071">
        <v>70.040050089639095</v>
      </c>
      <c r="AI2071">
        <v>90.915864684457304</v>
      </c>
      <c r="AJ2071">
        <v>93.023274208354394</v>
      </c>
      <c r="AK2071">
        <v>70.146629781722694</v>
      </c>
      <c r="AL2071">
        <v>78.936552848878094</v>
      </c>
      <c r="AM2071">
        <v>88.824859878272207</v>
      </c>
      <c r="AN2071">
        <v>1.00000002866358</v>
      </c>
    </row>
    <row r="2072" spans="1:40" x14ac:dyDescent="0.25">
      <c r="A2072" t="str">
        <f>"20190303162254562"</f>
        <v>20190303162254562</v>
      </c>
      <c r="B2072" t="str">
        <f>"1551601374556956"</f>
        <v>1551601374556956</v>
      </c>
      <c r="C2072" t="s">
        <v>40</v>
      </c>
      <c r="D2072">
        <v>5.5723379999999896</v>
      </c>
      <c r="E2072">
        <v>0.4726494</v>
      </c>
      <c r="F2072" t="s">
        <v>47</v>
      </c>
      <c r="G2072">
        <v>-387.39859999999999</v>
      </c>
      <c r="H2072" s="1">
        <v>2.4003569999999998E-6</v>
      </c>
      <c r="I2072">
        <v>281.25940000000003</v>
      </c>
      <c r="J2072">
        <v>-318.96539999999999</v>
      </c>
      <c r="K2072">
        <v>1.121232</v>
      </c>
      <c r="L2072">
        <v>284.73950000000002</v>
      </c>
      <c r="M2072">
        <v>-0.99989450000000002</v>
      </c>
      <c r="N2072">
        <v>-1.4508E-2</v>
      </c>
      <c r="O2072">
        <v>8.0835640000000001E-4</v>
      </c>
      <c r="P2072">
        <v>-0.98377219999999999</v>
      </c>
      <c r="Q2072">
        <v>0.17798789999999901</v>
      </c>
      <c r="R2072">
        <v>2.2639119999999999E-2</v>
      </c>
      <c r="S2072">
        <v>-3.0615540000000001</v>
      </c>
      <c r="T2072">
        <v>-4.9928899999999998E-2</v>
      </c>
      <c r="U2072">
        <v>-0.1549683</v>
      </c>
      <c r="V2072">
        <v>2.1730099999999999E-2</v>
      </c>
      <c r="W2072">
        <v>0.19225490000000001</v>
      </c>
      <c r="X2072">
        <v>0.98110439999999999</v>
      </c>
      <c r="Y2072">
        <v>-5.134731E-2</v>
      </c>
      <c r="Z2072">
        <v>-7.9263049999999996E-4</v>
      </c>
      <c r="AA2072">
        <v>0.99868049999999997</v>
      </c>
      <c r="AB2072">
        <v>30</v>
      </c>
      <c r="AC2072">
        <v>-68.433199999999999</v>
      </c>
      <c r="AD2072">
        <v>-1.121229599643</v>
      </c>
      <c r="AE2072">
        <v>-3.48009999999999</v>
      </c>
      <c r="AF2072">
        <v>-3.5344767311766301</v>
      </c>
      <c r="AG2072">
        <v>-1.121229599643</v>
      </c>
      <c r="AH2072">
        <v>68.412046675394905</v>
      </c>
      <c r="AI2072">
        <v>90.937706622936901</v>
      </c>
      <c r="AJ2072">
        <v>92.957530365730506</v>
      </c>
      <c r="AK2072">
        <v>68.512464646185094</v>
      </c>
      <c r="AL2072">
        <v>78.915593011441601</v>
      </c>
      <c r="AM2072">
        <v>88.731185500281001</v>
      </c>
      <c r="AN2072">
        <v>0.99999999375968995</v>
      </c>
    </row>
    <row r="2073" spans="1:40" x14ac:dyDescent="0.25">
      <c r="A2073" t="str">
        <f>"20190303162254584"</f>
        <v>20190303162254584</v>
      </c>
      <c r="B2073" t="str">
        <f>"1551601374576475"</f>
        <v>1551601374576475</v>
      </c>
      <c r="C2073" t="s">
        <v>40</v>
      </c>
      <c r="D2073">
        <v>5.5720000000000001</v>
      </c>
      <c r="E2073">
        <v>0.47278629999999999</v>
      </c>
      <c r="F2073" t="s">
        <v>47</v>
      </c>
      <c r="G2073">
        <v>-384.41379999999998</v>
      </c>
      <c r="H2073" s="1">
        <v>8.120286E-7</v>
      </c>
      <c r="I2073">
        <v>281.53719999999998</v>
      </c>
      <c r="J2073">
        <v>-319.26350000000002</v>
      </c>
      <c r="K2073">
        <v>1.1212279999999999</v>
      </c>
      <c r="L2073">
        <v>284.73939999999999</v>
      </c>
      <c r="M2073">
        <v>-0.99989519999999998</v>
      </c>
      <c r="N2073">
        <v>-1.4477490000000001E-2</v>
      </c>
      <c r="O2073">
        <v>5.0172400000000005E-4</v>
      </c>
      <c r="P2073">
        <v>-0.98374879999999998</v>
      </c>
      <c r="Q2073">
        <v>0.17802029999999999</v>
      </c>
      <c r="R2073">
        <v>2.3396440000000001E-2</v>
      </c>
      <c r="S2073">
        <v>-3.0624389999999999</v>
      </c>
      <c r="T2073">
        <v>-5.2464249999999997E-2</v>
      </c>
      <c r="U2073">
        <v>-0.14984129999999901</v>
      </c>
      <c r="V2073">
        <v>2.278987E-2</v>
      </c>
      <c r="W2073">
        <v>0.1922577</v>
      </c>
      <c r="X2073">
        <v>0.98107979999999995</v>
      </c>
      <c r="Y2073">
        <v>-4.9358109999999997E-2</v>
      </c>
      <c r="Z2073">
        <v>-7.8140729999999904E-4</v>
      </c>
      <c r="AA2073">
        <v>0.99878080000000002</v>
      </c>
      <c r="AB2073">
        <v>30</v>
      </c>
      <c r="AC2073">
        <v>-65.150299999999902</v>
      </c>
      <c r="AD2073">
        <v>-1.1212271879714</v>
      </c>
      <c r="AE2073">
        <v>-3.2021999999999999</v>
      </c>
      <c r="AF2073">
        <v>-3.2339349723032398</v>
      </c>
      <c r="AG2073">
        <v>-1.1212271879714</v>
      </c>
      <c r="AH2073">
        <v>65.129441519215803</v>
      </c>
      <c r="AI2073">
        <v>90.9850570521495</v>
      </c>
      <c r="AJ2073">
        <v>92.842627949976006</v>
      </c>
      <c r="AK2073">
        <v>65.219319518200194</v>
      </c>
      <c r="AL2073">
        <v>78.915429465247001</v>
      </c>
      <c r="AM2073">
        <v>88.669294202480401</v>
      </c>
      <c r="AN2073">
        <v>0.99999998767597298</v>
      </c>
    </row>
    <row r="2074" spans="1:40" x14ac:dyDescent="0.25">
      <c r="A2074" t="str">
        <f>"20190303162254605"</f>
        <v>20190303162254605</v>
      </c>
      <c r="B2074" t="str">
        <f>"1551601374596972"</f>
        <v>1551601374596972</v>
      </c>
      <c r="C2074" t="s">
        <v>40</v>
      </c>
      <c r="D2074">
        <v>5.5718050000000003</v>
      </c>
      <c r="E2074">
        <v>0.47288530000000001</v>
      </c>
      <c r="F2074" t="s">
        <v>47</v>
      </c>
      <c r="G2074">
        <v>-382.3032</v>
      </c>
      <c r="H2074" s="1">
        <v>-3.111314E-7</v>
      </c>
      <c r="I2074">
        <v>281.72570000000002</v>
      </c>
      <c r="J2074">
        <v>-319.54660000000001</v>
      </c>
      <c r="K2074">
        <v>1.121238</v>
      </c>
      <c r="L2074">
        <v>284.73919999999998</v>
      </c>
      <c r="M2074">
        <v>-0.9998956</v>
      </c>
      <c r="N2074">
        <v>-1.444878E-2</v>
      </c>
      <c r="O2074">
        <v>2.0985280000000001E-4</v>
      </c>
      <c r="P2074">
        <v>-0.98369799999999996</v>
      </c>
      <c r="Q2074">
        <v>0.1782271</v>
      </c>
      <c r="R2074">
        <v>2.3943140000000002E-2</v>
      </c>
      <c r="S2074">
        <v>-3.0628660000000001</v>
      </c>
      <c r="T2074">
        <v>-5.4476379999999998E-2</v>
      </c>
      <c r="U2074">
        <v>-0.14642330000000001</v>
      </c>
      <c r="V2074">
        <v>2.3624019999999999E-2</v>
      </c>
      <c r="W2074">
        <v>0.19243589999999999</v>
      </c>
      <c r="X2074">
        <v>0.98102520000000004</v>
      </c>
      <c r="Y2074">
        <v>-4.7947370000000003E-2</v>
      </c>
      <c r="Z2074">
        <v>-7.7347620000000001E-4</v>
      </c>
      <c r="AA2074">
        <v>0.9988496</v>
      </c>
      <c r="AB2074">
        <v>30</v>
      </c>
      <c r="AC2074">
        <v>-62.756599999999899</v>
      </c>
      <c r="AD2074">
        <v>-1.1212383111313999</v>
      </c>
      <c r="AE2074">
        <v>-3.0134999999999601</v>
      </c>
      <c r="AF2074">
        <v>-3.0257073412623599</v>
      </c>
      <c r="AG2074">
        <v>-1.1212383111313999</v>
      </c>
      <c r="AH2074">
        <v>62.735986250518501</v>
      </c>
      <c r="AI2074">
        <v>91.022711627786506</v>
      </c>
      <c r="AJ2074">
        <v>92.761190873724104</v>
      </c>
      <c r="AK2074">
        <v>62.818914755753099</v>
      </c>
      <c r="AL2074">
        <v>78.905025849273699</v>
      </c>
      <c r="AM2074">
        <v>88.620529734462096</v>
      </c>
      <c r="AN2074">
        <v>1.0000000564824001</v>
      </c>
    </row>
    <row r="2075" spans="1:40" x14ac:dyDescent="0.25">
      <c r="A2075" t="str">
        <f>"20190303162254618"</f>
        <v>20190303162254618</v>
      </c>
      <c r="B2075" t="str">
        <f>"1551601374606731"</f>
        <v>1551601374606731</v>
      </c>
      <c r="C2075" t="s">
        <v>40</v>
      </c>
      <c r="D2075">
        <v>5.57097</v>
      </c>
      <c r="E2075">
        <v>0.47292820000000002</v>
      </c>
      <c r="F2075" t="s">
        <v>47</v>
      </c>
      <c r="G2075">
        <v>-381.32600000000002</v>
      </c>
      <c r="H2075" s="1">
        <v>-8.3114689999999995E-7</v>
      </c>
      <c r="I2075">
        <v>281.83479999999997</v>
      </c>
      <c r="J2075">
        <v>-319.72239999999999</v>
      </c>
      <c r="K2075">
        <v>1.121238</v>
      </c>
      <c r="L2075">
        <v>284.73910000000001</v>
      </c>
      <c r="M2075">
        <v>-0.99989600000000001</v>
      </c>
      <c r="N2075">
        <v>-1.443142E-2</v>
      </c>
      <c r="O2075" s="1">
        <v>2.761738E-5</v>
      </c>
      <c r="P2075">
        <v>-0.98367689999999997</v>
      </c>
      <c r="Q2075">
        <v>0.17837</v>
      </c>
      <c r="R2075">
        <v>2.3760590000000002E-2</v>
      </c>
      <c r="S2075">
        <v>-3.0632929999999998</v>
      </c>
      <c r="T2075">
        <v>-5.5595869999999999E-2</v>
      </c>
      <c r="U2075">
        <v>-0.14401249999999999</v>
      </c>
      <c r="V2075">
        <v>2.362121E-2</v>
      </c>
      <c r="W2075">
        <v>0.19256139999999999</v>
      </c>
      <c r="X2075">
        <v>0.9810006</v>
      </c>
      <c r="Y2075">
        <v>-4.6974160000000001E-2</v>
      </c>
      <c r="Z2075">
        <v>-7.6530719999999997E-4</v>
      </c>
      <c r="AA2075">
        <v>0.9988958</v>
      </c>
      <c r="AB2075">
        <v>30</v>
      </c>
      <c r="AC2075">
        <v>-61.603599999999901</v>
      </c>
      <c r="AD2075">
        <v>-1.1212388311468999</v>
      </c>
      <c r="AE2075">
        <v>-2.9043000000000299</v>
      </c>
      <c r="AF2075">
        <v>-2.90504128273124</v>
      </c>
      <c r="AG2075">
        <v>-1.1212388311468999</v>
      </c>
      <c r="AH2075">
        <v>61.583164254875101</v>
      </c>
      <c r="AI2075">
        <v>91.041905223815206</v>
      </c>
      <c r="AJ2075">
        <v>92.700791833630703</v>
      </c>
      <c r="AK2075">
        <v>61.661840395935101</v>
      </c>
      <c r="AL2075">
        <v>78.897697723952106</v>
      </c>
      <c r="AM2075">
        <v>88.620659179828493</v>
      </c>
      <c r="AN2075">
        <v>1.00000001576609</v>
      </c>
    </row>
    <row r="2076" spans="1:40" x14ac:dyDescent="0.25">
      <c r="A2076" t="str">
        <f>"20190303162254638"</f>
        <v>20190303162254638</v>
      </c>
      <c r="B2076" t="str">
        <f>"1551601374626252"</f>
        <v>1551601374626252</v>
      </c>
      <c r="C2076" t="s">
        <v>40</v>
      </c>
      <c r="D2076">
        <v>5.5197089999999998</v>
      </c>
      <c r="E2076">
        <v>0.47306520000000002</v>
      </c>
      <c r="F2076" t="s">
        <v>47</v>
      </c>
      <c r="G2076">
        <v>-381.13279999999997</v>
      </c>
      <c r="H2076" s="1">
        <v>-9.3400189999999998E-7</v>
      </c>
      <c r="I2076">
        <v>281.84789999999998</v>
      </c>
      <c r="J2076">
        <v>-319.99489999999997</v>
      </c>
      <c r="K2076">
        <v>1.1212359999999999</v>
      </c>
      <c r="L2076">
        <v>284.73880000000003</v>
      </c>
      <c r="M2076">
        <v>-0.99989620000000001</v>
      </c>
      <c r="N2076">
        <v>-1.440339E-2</v>
      </c>
      <c r="O2076">
        <v>-2.5413360000000002E-4</v>
      </c>
      <c r="P2076">
        <v>-0.98353769999999996</v>
      </c>
      <c r="Q2076">
        <v>0.1791275</v>
      </c>
      <c r="R2076">
        <v>2.380933E-2</v>
      </c>
      <c r="S2076">
        <v>-3.0634459999999999</v>
      </c>
      <c r="T2076">
        <v>-5.5932879999999997E-2</v>
      </c>
      <c r="U2076">
        <v>-0.1442261</v>
      </c>
      <c r="V2076">
        <v>2.394686E-2</v>
      </c>
      <c r="W2076">
        <v>0.1932893</v>
      </c>
      <c r="X2076">
        <v>0.98084950000000004</v>
      </c>
      <c r="Y2076">
        <v>-4.6759790000000002E-2</v>
      </c>
      <c r="Z2076">
        <v>-7.6262740000000002E-4</v>
      </c>
      <c r="AA2076">
        <v>0.99890590000000001</v>
      </c>
      <c r="AB2076">
        <v>30</v>
      </c>
      <c r="AC2076">
        <v>-61.137900000000002</v>
      </c>
      <c r="AD2076">
        <v>-1.1212369340018999</v>
      </c>
      <c r="AE2076">
        <v>-2.8909000000000402</v>
      </c>
      <c r="AF2076">
        <v>-2.87439649239596</v>
      </c>
      <c r="AG2076">
        <v>-1.1212369340018999</v>
      </c>
      <c r="AH2076">
        <v>61.1181223910082</v>
      </c>
      <c r="AI2076">
        <v>91.049836463871401</v>
      </c>
      <c r="AJ2076">
        <v>92.6926469431464</v>
      </c>
      <c r="AK2076">
        <v>61.195949310880998</v>
      </c>
      <c r="AL2076">
        <v>78.855193143958502</v>
      </c>
      <c r="AM2076">
        <v>88.601435288811402</v>
      </c>
      <c r="AN2076">
        <v>0.99999997362429904</v>
      </c>
    </row>
    <row r="2077" spans="1:40" x14ac:dyDescent="0.25">
      <c r="A2077" t="str">
        <f>"20190303162254650"</f>
        <v>20190303162254650</v>
      </c>
      <c r="B2077" t="str">
        <f>"1551601374646748"</f>
        <v>1551601374646748</v>
      </c>
      <c r="C2077" t="s">
        <v>40</v>
      </c>
      <c r="D2077">
        <v>5.3958930000000001</v>
      </c>
      <c r="E2077">
        <v>0.47293869999999999</v>
      </c>
      <c r="F2077" t="s">
        <v>47</v>
      </c>
      <c r="G2077">
        <v>-382.62880000000001</v>
      </c>
      <c r="H2077" s="1">
        <v>-1.3785629999999999E-7</v>
      </c>
      <c r="I2077">
        <v>281.80020000000002</v>
      </c>
      <c r="J2077">
        <v>-320.15910000000002</v>
      </c>
      <c r="K2077">
        <v>1.1212359999999999</v>
      </c>
      <c r="L2077">
        <v>284.73860000000002</v>
      </c>
      <c r="M2077">
        <v>-0.99989649999999997</v>
      </c>
      <c r="N2077">
        <v>-1.438437E-2</v>
      </c>
      <c r="O2077">
        <v>-4.2468090000000002E-4</v>
      </c>
      <c r="P2077">
        <v>-0.98344529999999997</v>
      </c>
      <c r="Q2077">
        <v>0.1796624</v>
      </c>
      <c r="R2077">
        <v>2.3604420000000001E-2</v>
      </c>
      <c r="S2077">
        <v>-3.0636899999999998</v>
      </c>
      <c r="T2077">
        <v>-5.4844379999999998E-2</v>
      </c>
      <c r="U2077">
        <v>-0.1437378</v>
      </c>
      <c r="V2077">
        <v>2.3909860000000002E-2</v>
      </c>
      <c r="W2077">
        <v>0.193804</v>
      </c>
      <c r="X2077">
        <v>0.98074890000000003</v>
      </c>
      <c r="Y2077">
        <v>-4.6427349999999999E-2</v>
      </c>
      <c r="Z2077">
        <v>-7.4796719999999995E-4</v>
      </c>
      <c r="AA2077">
        <v>0.99892139999999996</v>
      </c>
      <c r="AB2077">
        <v>30</v>
      </c>
      <c r="AC2077">
        <v>-62.469699999999897</v>
      </c>
      <c r="AD2077">
        <v>-1.1212361378563001</v>
      </c>
      <c r="AE2077">
        <v>-2.9384000000000001</v>
      </c>
      <c r="AF2077">
        <v>-2.9109316224578499</v>
      </c>
      <c r="AG2077">
        <v>-1.1212361378563001</v>
      </c>
      <c r="AH2077">
        <v>62.450868373215499</v>
      </c>
      <c r="AI2077">
        <v>91.027456422537597</v>
      </c>
      <c r="AJ2077">
        <v>92.6687133567047</v>
      </c>
      <c r="AK2077">
        <v>62.528726629895097</v>
      </c>
      <c r="AL2077">
        <v>78.825135363296695</v>
      </c>
      <c r="AM2077">
        <v>88.603452158718994</v>
      </c>
      <c r="AN2077">
        <v>1.00000003833621</v>
      </c>
    </row>
    <row r="2078" spans="1:40" x14ac:dyDescent="0.25">
      <c r="A2078" t="str">
        <f>"20190303162254664"</f>
        <v>20190303162254664</v>
      </c>
      <c r="B2078" t="str">
        <f>"1551601374656508"</f>
        <v>1551601374656508</v>
      </c>
      <c r="C2078" t="s">
        <v>40</v>
      </c>
      <c r="D2078">
        <v>5.4500780000000004</v>
      </c>
      <c r="E2078">
        <v>0.47293869999999999</v>
      </c>
      <c r="F2078" t="s">
        <v>47</v>
      </c>
      <c r="G2078">
        <v>-383.10379999999998</v>
      </c>
      <c r="H2078" s="1">
        <v>1.148988E-7</v>
      </c>
      <c r="I2078">
        <v>281.75119999999998</v>
      </c>
      <c r="J2078">
        <v>-320.33569999999997</v>
      </c>
      <c r="K2078">
        <v>1.1212359999999999</v>
      </c>
      <c r="L2078">
        <v>284.73829999999998</v>
      </c>
      <c r="M2078">
        <v>-0.99989680000000003</v>
      </c>
      <c r="N2078">
        <v>-1.436262E-2</v>
      </c>
      <c r="O2078">
        <v>-6.0808089999999997E-4</v>
      </c>
      <c r="P2078">
        <v>-0.9833809</v>
      </c>
      <c r="Q2078">
        <v>0.1800658</v>
      </c>
      <c r="R2078">
        <v>2.320726E-2</v>
      </c>
      <c r="S2078">
        <v>-3.063965</v>
      </c>
      <c r="T2078">
        <v>-5.4578540000000002E-2</v>
      </c>
      <c r="U2078">
        <v>-0.145416299999999</v>
      </c>
      <c r="V2078">
        <v>2.369286E-2</v>
      </c>
      <c r="W2078">
        <v>0.1941843</v>
      </c>
      <c r="X2078">
        <v>0.98067890000000002</v>
      </c>
      <c r="Y2078">
        <v>-4.678595E-2</v>
      </c>
      <c r="Z2078">
        <v>-7.5057589999999897E-4</v>
      </c>
      <c r="AA2078">
        <v>0.99890460000000003</v>
      </c>
      <c r="AB2078">
        <v>30</v>
      </c>
      <c r="AC2078">
        <v>-62.768099999999997</v>
      </c>
      <c r="AD2078">
        <v>-1.1212358851011901</v>
      </c>
      <c r="AE2078">
        <v>-2.9870999999999901</v>
      </c>
      <c r="AF2078">
        <v>-2.9479888783156398</v>
      </c>
      <c r="AG2078">
        <v>-1.1212358851011901</v>
      </c>
      <c r="AH2078">
        <v>62.749927219106901</v>
      </c>
      <c r="AI2078">
        <v>91.022542910103596</v>
      </c>
      <c r="AJ2078">
        <v>92.689775534811005</v>
      </c>
      <c r="AK2078">
        <v>62.829142715303099</v>
      </c>
      <c r="AL2078">
        <v>78.802923378270904</v>
      </c>
      <c r="AM2078">
        <v>88.616023189926693</v>
      </c>
      <c r="AN2078">
        <v>0.99999999944333895</v>
      </c>
    </row>
    <row r="2079" spans="1:40" x14ac:dyDescent="0.25">
      <c r="A2079" t="str">
        <f>"20190303162254676"</f>
        <v>20190303162254676</v>
      </c>
      <c r="B2079" t="str">
        <f>"1551601374666268"</f>
        <v>1551601374666268</v>
      </c>
      <c r="C2079" t="s">
        <v>40</v>
      </c>
      <c r="D2079">
        <v>5.4615499999999999</v>
      </c>
      <c r="E2079">
        <v>0.45933479999999999</v>
      </c>
      <c r="F2079" t="s">
        <v>47</v>
      </c>
      <c r="G2079">
        <v>-384.8578</v>
      </c>
      <c r="H2079" s="1">
        <v>1.048269E-6</v>
      </c>
      <c r="I2079">
        <v>281.64190000000002</v>
      </c>
      <c r="J2079">
        <v>-320.50450000000001</v>
      </c>
      <c r="K2079">
        <v>1.1212359999999999</v>
      </c>
      <c r="L2079">
        <v>284.738</v>
      </c>
      <c r="M2079">
        <v>-0.99989700000000004</v>
      </c>
      <c r="N2079">
        <v>-1.4339670000000001E-2</v>
      </c>
      <c r="O2079">
        <v>-7.8301740000000003E-4</v>
      </c>
      <c r="P2079">
        <v>-0.98332679999999995</v>
      </c>
      <c r="Q2079">
        <v>0.18038560000000001</v>
      </c>
      <c r="R2079">
        <v>2.301448E-2</v>
      </c>
      <c r="S2079">
        <v>-3.0638730000000001</v>
      </c>
      <c r="T2079">
        <v>-5.3242560000000001E-2</v>
      </c>
      <c r="U2079">
        <v>-0.14703369999999999</v>
      </c>
      <c r="V2079">
        <v>2.3671870000000001E-2</v>
      </c>
      <c r="W2079">
        <v>0.1944813</v>
      </c>
      <c r="X2079">
        <v>0.98062059999999995</v>
      </c>
      <c r="Y2079">
        <v>-4.7139149999999998E-2</v>
      </c>
      <c r="Z2079">
        <v>-7.4517699999999997E-4</v>
      </c>
      <c r="AA2079">
        <v>0.99888809999999995</v>
      </c>
      <c r="AB2079">
        <v>30</v>
      </c>
      <c r="AC2079">
        <v>-64.353299999999905</v>
      </c>
      <c r="AD2079">
        <v>-1.1212349517309901</v>
      </c>
      <c r="AE2079">
        <v>-3.0960999999999701</v>
      </c>
      <c r="AF2079">
        <v>-3.0447819672229599</v>
      </c>
      <c r="AG2079">
        <v>-1.1212349517309901</v>
      </c>
      <c r="AH2079">
        <v>64.336219697999795</v>
      </c>
      <c r="AI2079">
        <v>90.997318884142103</v>
      </c>
      <c r="AJ2079">
        <v>92.709563718176</v>
      </c>
      <c r="AK2079">
        <v>64.417986852075799</v>
      </c>
      <c r="AL2079">
        <v>78.785576355488502</v>
      </c>
      <c r="AM2079">
        <v>88.617166632077996</v>
      </c>
      <c r="AN2079">
        <v>1.0000000473116699</v>
      </c>
    </row>
    <row r="2080" spans="1:40" x14ac:dyDescent="0.25">
      <c r="A2080" t="str">
        <f>"20190303162254689"</f>
        <v>20190303162254689</v>
      </c>
      <c r="B2080" t="str">
        <f>"1551601374677004"</f>
        <v>1551601374677004</v>
      </c>
      <c r="C2080" t="s">
        <v>40</v>
      </c>
      <c r="D2080">
        <v>5.4640750000000002</v>
      </c>
      <c r="E2080">
        <v>0.45812130000000001</v>
      </c>
      <c r="F2080" t="s">
        <v>47</v>
      </c>
      <c r="G2080">
        <v>-358.09230000000002</v>
      </c>
      <c r="H2080" s="1">
        <v>2.7694990000000001E-6</v>
      </c>
      <c r="I2080">
        <v>281.60469999999998</v>
      </c>
      <c r="J2080">
        <v>-320.67840000000001</v>
      </c>
      <c r="K2080">
        <v>1.121235</v>
      </c>
      <c r="L2080">
        <v>284.73770000000002</v>
      </c>
      <c r="M2080">
        <v>-0.99989720000000004</v>
      </c>
      <c r="N2080">
        <v>-1.431579E-2</v>
      </c>
      <c r="O2080">
        <v>-9.6342780000000005E-4</v>
      </c>
      <c r="P2080">
        <v>-0.98327370000000003</v>
      </c>
      <c r="Q2080">
        <v>0.18067</v>
      </c>
      <c r="R2080">
        <v>2.3054660000000001E-2</v>
      </c>
      <c r="S2080">
        <v>-3.0736690000000002</v>
      </c>
      <c r="T2080">
        <v>-9.1686840000000006E-2</v>
      </c>
      <c r="U2080">
        <v>-0.2562256</v>
      </c>
      <c r="V2080">
        <v>2.3889540000000001E-2</v>
      </c>
      <c r="W2080">
        <v>0.19474130000000001</v>
      </c>
      <c r="X2080">
        <v>0.98056359999999998</v>
      </c>
      <c r="Y2080">
        <v>-8.2059439999999997E-2</v>
      </c>
      <c r="Z2080">
        <v>-1.795215E-3</v>
      </c>
      <c r="AA2080">
        <v>0.99662580000000001</v>
      </c>
      <c r="AB2080">
        <v>30</v>
      </c>
      <c r="AC2080">
        <v>-37.413899999999998</v>
      </c>
      <c r="AD2080">
        <v>-1.1212322305010001</v>
      </c>
      <c r="AE2080">
        <v>-3.1330000000000302</v>
      </c>
      <c r="AF2080">
        <v>-3.0941897207773499</v>
      </c>
      <c r="AG2080">
        <v>-1.1212322305010001</v>
      </c>
      <c r="AH2080">
        <v>37.383560937202702</v>
      </c>
      <c r="AI2080">
        <v>91.712086567576904</v>
      </c>
      <c r="AJ2080">
        <v>94.731513689587402</v>
      </c>
      <c r="AK2080">
        <v>37.528146771302602</v>
      </c>
      <c r="AL2080">
        <v>78.770387731874806</v>
      </c>
      <c r="AM2080">
        <v>88.604374976176899</v>
      </c>
      <c r="AN2080">
        <v>0.99999992884602795</v>
      </c>
    </row>
    <row r="2081" spans="1:40" x14ac:dyDescent="0.25">
      <c r="A2081" t="str">
        <f>"20190303162254706"</f>
        <v>20190303162254706</v>
      </c>
      <c r="B2081" t="str">
        <f>"1551601374696524"</f>
        <v>1551601374696524</v>
      </c>
      <c r="C2081" t="s">
        <v>40</v>
      </c>
      <c r="D2081">
        <v>5.4041699999999997</v>
      </c>
      <c r="E2081">
        <v>0.45816030000000002</v>
      </c>
      <c r="F2081" t="s">
        <v>47</v>
      </c>
      <c r="G2081">
        <v>-358.40199999999999</v>
      </c>
      <c r="H2081" s="1">
        <v>2.9343480000000001E-6</v>
      </c>
      <c r="I2081">
        <v>281.4751</v>
      </c>
      <c r="J2081">
        <v>-320.89370000000002</v>
      </c>
      <c r="K2081">
        <v>1.121232</v>
      </c>
      <c r="L2081">
        <v>284.7373</v>
      </c>
      <c r="M2081">
        <v>-0.99989720000000004</v>
      </c>
      <c r="N2081">
        <v>-1.428567E-2</v>
      </c>
      <c r="O2081">
        <v>-1.1868219999999999E-3</v>
      </c>
      <c r="P2081">
        <v>-0.98315140000000001</v>
      </c>
      <c r="Q2081">
        <v>0.18131739999999999</v>
      </c>
      <c r="R2081">
        <v>2.318096E-2</v>
      </c>
      <c r="S2081">
        <v>-3.074036</v>
      </c>
      <c r="T2081">
        <v>-9.1367359999999995E-2</v>
      </c>
      <c r="U2081">
        <v>-0.26586910000000002</v>
      </c>
      <c r="V2081">
        <v>2.4235079999999999E-2</v>
      </c>
      <c r="W2081">
        <v>0.19535730000000001</v>
      </c>
      <c r="X2081">
        <v>0.98043259999999999</v>
      </c>
      <c r="Y2081">
        <v>-8.4929260000000006E-2</v>
      </c>
      <c r="Z2081">
        <v>-1.849233E-3</v>
      </c>
      <c r="AA2081">
        <v>0.99638530000000003</v>
      </c>
      <c r="AB2081">
        <v>30</v>
      </c>
      <c r="AC2081">
        <v>-37.508299999999899</v>
      </c>
      <c r="AD2081">
        <v>-1.1212290656520001</v>
      </c>
      <c r="AE2081">
        <v>-3.2622</v>
      </c>
      <c r="AF2081">
        <v>-3.21482634009288</v>
      </c>
      <c r="AG2081">
        <v>-1.1212290656520001</v>
      </c>
      <c r="AH2081">
        <v>37.478906613645698</v>
      </c>
      <c r="AI2081">
        <v>91.707299247749106</v>
      </c>
      <c r="AJ2081">
        <v>94.902656710709195</v>
      </c>
      <c r="AK2081">
        <v>37.633239349928303</v>
      </c>
      <c r="AL2081">
        <v>78.734402597254999</v>
      </c>
      <c r="AM2081">
        <v>88.584007619833201</v>
      </c>
      <c r="AN2081">
        <v>0.99999994845432605</v>
      </c>
    </row>
    <row r="2082" spans="1:40" x14ac:dyDescent="0.25">
      <c r="A2082" t="str">
        <f>"20190303162254719"</f>
        <v>20190303162254719</v>
      </c>
      <c r="B2082" t="str">
        <f>"1551601374706284"</f>
        <v>1551601374706284</v>
      </c>
      <c r="C2082" t="s">
        <v>40</v>
      </c>
      <c r="D2082">
        <v>5.4035510000000002</v>
      </c>
      <c r="E2082">
        <v>0.45811010000000002</v>
      </c>
      <c r="F2082" t="s">
        <v>47</v>
      </c>
      <c r="G2082">
        <v>-357.35939999999999</v>
      </c>
      <c r="H2082" s="1">
        <v>2.3795260000000001E-6</v>
      </c>
      <c r="I2082">
        <v>281.58699999999999</v>
      </c>
      <c r="J2082">
        <v>-321.0872</v>
      </c>
      <c r="K2082">
        <v>1.1212299999999999</v>
      </c>
      <c r="L2082">
        <v>284.73680000000002</v>
      </c>
      <c r="M2082">
        <v>-0.99989749999999999</v>
      </c>
      <c r="N2082">
        <v>-1.425733E-2</v>
      </c>
      <c r="O2082">
        <v>-1.3875879999999999E-3</v>
      </c>
      <c r="P2082">
        <v>-0.98311289999999996</v>
      </c>
      <c r="Q2082">
        <v>0.1815262</v>
      </c>
      <c r="R2082">
        <v>2.31817E-2</v>
      </c>
      <c r="S2082">
        <v>-3.0750730000000002</v>
      </c>
      <c r="T2082">
        <v>-9.4550729999999999E-2</v>
      </c>
      <c r="U2082">
        <v>-0.26565549999999999</v>
      </c>
      <c r="V2082">
        <v>2.443298E-2</v>
      </c>
      <c r="W2082">
        <v>0.1955383</v>
      </c>
      <c r="X2082">
        <v>0.98039169999999998</v>
      </c>
      <c r="Y2082">
        <v>-8.4628690000000006E-2</v>
      </c>
      <c r="Z2082">
        <v>-1.8801550000000001E-3</v>
      </c>
      <c r="AA2082">
        <v>0.99641080000000004</v>
      </c>
      <c r="AB2082">
        <v>30</v>
      </c>
      <c r="AC2082">
        <v>-36.272199999999998</v>
      </c>
      <c r="AD2082">
        <v>-1.1212276204739999</v>
      </c>
      <c r="AE2082">
        <v>-3.1498000000000199</v>
      </c>
      <c r="AF2082">
        <v>-3.0965243404113001</v>
      </c>
      <c r="AG2082">
        <v>-1.1212276204739999</v>
      </c>
      <c r="AH2082">
        <v>36.242165213276401</v>
      </c>
      <c r="AI2082">
        <v>91.765571788358997</v>
      </c>
      <c r="AJ2082">
        <v>94.883481476739306</v>
      </c>
      <c r="AK2082">
        <v>36.3914846319039</v>
      </c>
      <c r="AL2082">
        <v>78.723829183675505</v>
      </c>
      <c r="AM2082">
        <v>88.572390075498205</v>
      </c>
      <c r="AN2082">
        <v>1.00000004135372</v>
      </c>
    </row>
    <row r="2083" spans="1:40" x14ac:dyDescent="0.25">
      <c r="A2083" t="str">
        <f>"20190303162254739"</f>
        <v>20190303162254739</v>
      </c>
      <c r="B2083" t="str">
        <f>"1551601374726779"</f>
        <v>1551601374726779</v>
      </c>
      <c r="C2083" t="s">
        <v>40</v>
      </c>
      <c r="D2083">
        <v>5.4023309999999896</v>
      </c>
      <c r="E2083">
        <v>0.45837450000000002</v>
      </c>
      <c r="F2083" t="s">
        <v>47</v>
      </c>
      <c r="G2083">
        <v>-357.98750000000001</v>
      </c>
      <c r="H2083" s="1">
        <v>2.7137809999999999E-6</v>
      </c>
      <c r="I2083">
        <v>281.54020000000003</v>
      </c>
      <c r="J2083">
        <v>-321.34649999999999</v>
      </c>
      <c r="K2083">
        <v>1.121227</v>
      </c>
      <c r="L2083">
        <v>284.7362</v>
      </c>
      <c r="M2083">
        <v>-0.99989749999999999</v>
      </c>
      <c r="N2083">
        <v>-1.4218E-2</v>
      </c>
      <c r="O2083">
        <v>-1.6572889999999999E-3</v>
      </c>
      <c r="P2083">
        <v>-0.98298629999999998</v>
      </c>
      <c r="Q2083">
        <v>0.1821787</v>
      </c>
      <c r="R2083">
        <v>2.343802E-2</v>
      </c>
      <c r="S2083">
        <v>-3.0750730000000002</v>
      </c>
      <c r="T2083">
        <v>-9.3437080000000006E-2</v>
      </c>
      <c r="U2083">
        <v>-0.26638790000000001</v>
      </c>
      <c r="V2083">
        <v>2.495439E-2</v>
      </c>
      <c r="W2083">
        <v>0.1961503</v>
      </c>
      <c r="X2083">
        <v>0.98025629999999997</v>
      </c>
      <c r="Y2083">
        <v>-8.4596729999999995E-2</v>
      </c>
      <c r="Z2083">
        <v>-1.858576E-3</v>
      </c>
      <c r="AA2083">
        <v>0.99641349999999995</v>
      </c>
      <c r="AB2083">
        <v>30</v>
      </c>
      <c r="AC2083">
        <v>-36.640999999999998</v>
      </c>
      <c r="AD2083">
        <v>-1.1212242862190001</v>
      </c>
      <c r="AE2083">
        <v>-3.1959999999999602</v>
      </c>
      <c r="AF2083">
        <v>-3.1323538274404901</v>
      </c>
      <c r="AG2083">
        <v>-1.1212242862190001</v>
      </c>
      <c r="AH2083">
        <v>36.612222947748997</v>
      </c>
      <c r="AI2083">
        <v>91.747715162203093</v>
      </c>
      <c r="AJ2083">
        <v>94.890024870858994</v>
      </c>
      <c r="AK2083">
        <v>36.763074593618697</v>
      </c>
      <c r="AL2083">
        <v>78.688071682879993</v>
      </c>
      <c r="AM2083">
        <v>88.541735986354894</v>
      </c>
      <c r="AN2083">
        <v>1.00000003773002</v>
      </c>
    </row>
    <row r="2084" spans="1:40" x14ac:dyDescent="0.25">
      <c r="A2084" t="str">
        <f>"20190303162254755"</f>
        <v>20190303162254755</v>
      </c>
      <c r="B2084" t="str">
        <f>"1551601374746301"</f>
        <v>1551601374746301</v>
      </c>
      <c r="C2084" t="s">
        <v>40</v>
      </c>
      <c r="D2084">
        <v>5.3431490000000004</v>
      </c>
      <c r="E2084">
        <v>0.45867069999999999</v>
      </c>
      <c r="F2084" t="s">
        <v>47</v>
      </c>
      <c r="G2084">
        <v>-359.71140000000003</v>
      </c>
      <c r="H2084" s="1">
        <v>3.6311190000000002E-6</v>
      </c>
      <c r="I2084">
        <v>281.44749999999999</v>
      </c>
      <c r="J2084">
        <v>-321.5446</v>
      </c>
      <c r="K2084">
        <v>1.1212249999999999</v>
      </c>
      <c r="L2084">
        <v>284.73559999999998</v>
      </c>
      <c r="M2084">
        <v>-0.9998977</v>
      </c>
      <c r="N2084">
        <v>-1.418606E-2</v>
      </c>
      <c r="O2084">
        <v>-1.865429E-3</v>
      </c>
      <c r="P2084">
        <v>-0.98294559999999997</v>
      </c>
      <c r="Q2084">
        <v>0.1823719</v>
      </c>
      <c r="R2084">
        <v>2.3643319999999999E-2</v>
      </c>
      <c r="S2084">
        <v>-3.0748899999999999</v>
      </c>
      <c r="T2084">
        <v>-8.9864490000000005E-2</v>
      </c>
      <c r="U2084">
        <v>-0.26358029999999999</v>
      </c>
      <c r="V2084">
        <v>2.5363779999999999E-2</v>
      </c>
      <c r="W2084">
        <v>0.19631170000000001</v>
      </c>
      <c r="X2084">
        <v>0.98021349999999996</v>
      </c>
      <c r="Y2084">
        <v>-8.3495609999999998E-2</v>
      </c>
      <c r="Z2084">
        <v>-1.7831450000000001E-3</v>
      </c>
      <c r="AA2084">
        <v>0.99650660000000002</v>
      </c>
      <c r="AB2084">
        <v>30</v>
      </c>
      <c r="AC2084">
        <v>-38.166800000000002</v>
      </c>
      <c r="AD2084">
        <v>-1.121221368881</v>
      </c>
      <c r="AE2084">
        <v>-3.28809999999998</v>
      </c>
      <c r="AF2084">
        <v>-3.2141362949043799</v>
      </c>
      <c r="AG2084">
        <v>-1.121221368881</v>
      </c>
      <c r="AH2084">
        <v>38.140195385956098</v>
      </c>
      <c r="AI2084">
        <v>91.677916098664994</v>
      </c>
      <c r="AJ2084">
        <v>94.817027000035907</v>
      </c>
      <c r="AK2084">
        <v>38.2918047832583</v>
      </c>
      <c r="AL2084">
        <v>78.678640986881106</v>
      </c>
      <c r="AM2084">
        <v>88.517758288719605</v>
      </c>
      <c r="AN2084">
        <v>1.0000000552375099</v>
      </c>
    </row>
    <row r="2085" spans="1:40" x14ac:dyDescent="0.25">
      <c r="A2085" t="str">
        <f>"20190303162254773"</f>
        <v>20190303162254773</v>
      </c>
      <c r="B2085" t="str">
        <f>"1551601374766795"</f>
        <v>1551601374766795</v>
      </c>
      <c r="C2085" t="s">
        <v>40</v>
      </c>
      <c r="D2085">
        <v>5.4069599999999998</v>
      </c>
      <c r="E2085">
        <v>0.45886549999999998</v>
      </c>
      <c r="F2085" t="s">
        <v>47</v>
      </c>
      <c r="G2085">
        <v>-361.02</v>
      </c>
      <c r="H2085" s="1">
        <v>-9.9397890000000004E-7</v>
      </c>
      <c r="I2085">
        <v>281.38510000000002</v>
      </c>
      <c r="J2085">
        <v>-321.7937</v>
      </c>
      <c r="K2085">
        <v>1.1212150000000001</v>
      </c>
      <c r="L2085">
        <v>284.73489999999998</v>
      </c>
      <c r="M2085">
        <v>-0.9998977</v>
      </c>
      <c r="N2085">
        <v>-1.414464E-2</v>
      </c>
      <c r="O2085">
        <v>-2.1285850000000001E-3</v>
      </c>
      <c r="P2085">
        <v>-0.98283860000000001</v>
      </c>
      <c r="Q2085">
        <v>0.18288389999999999</v>
      </c>
      <c r="R2085">
        <v>2.4119600000000001E-2</v>
      </c>
      <c r="S2085">
        <v>-3.074554</v>
      </c>
      <c r="T2085">
        <v>-8.7327119999999994E-2</v>
      </c>
      <c r="U2085">
        <v>-0.26095580000000002</v>
      </c>
      <c r="V2085">
        <v>2.6097579999999999E-2</v>
      </c>
      <c r="W2085">
        <v>0.19678200000000001</v>
      </c>
      <c r="X2085">
        <v>0.98009990000000002</v>
      </c>
      <c r="Y2085">
        <v>-8.2401210000000003E-2</v>
      </c>
      <c r="Z2085">
        <v>-1.7216289999999999E-3</v>
      </c>
      <c r="AA2085">
        <v>0.99659779999999998</v>
      </c>
      <c r="AB2085">
        <v>30</v>
      </c>
      <c r="AC2085">
        <v>-39.226299999999902</v>
      </c>
      <c r="AD2085">
        <v>-1.1212159939788999</v>
      </c>
      <c r="AE2085">
        <v>-3.3497999999999601</v>
      </c>
      <c r="AF2085">
        <v>-3.2636404414307698</v>
      </c>
      <c r="AG2085">
        <v>-1.1212159939788999</v>
      </c>
      <c r="AH2085">
        <v>39.201546242508797</v>
      </c>
      <c r="AI2085">
        <v>91.632643220563807</v>
      </c>
      <c r="AJ2085">
        <v>94.759062096236406</v>
      </c>
      <c r="AK2085">
        <v>39.353140942492097</v>
      </c>
      <c r="AL2085">
        <v>78.6511583965884</v>
      </c>
      <c r="AM2085">
        <v>88.474718807792399</v>
      </c>
      <c r="AN2085">
        <v>1.0000000265929301</v>
      </c>
    </row>
    <row r="2086" spans="1:40" x14ac:dyDescent="0.25">
      <c r="A2086" t="str">
        <f>"20190303162254796"</f>
        <v>20190303162254796</v>
      </c>
      <c r="B2086" t="str">
        <f>"1551601374786315"</f>
        <v>1551601374786315</v>
      </c>
      <c r="C2086" t="s">
        <v>40</v>
      </c>
      <c r="D2086">
        <v>5.3431629999999997</v>
      </c>
      <c r="E2086">
        <v>0.45915590000000001</v>
      </c>
      <c r="F2086" t="s">
        <v>47</v>
      </c>
      <c r="G2086">
        <v>-361.91800000000001</v>
      </c>
      <c r="H2086" s="1">
        <v>-5.1614729999999997E-7</v>
      </c>
      <c r="I2086">
        <v>281.36450000000002</v>
      </c>
      <c r="J2086">
        <v>-322.08479999999997</v>
      </c>
      <c r="K2086">
        <v>1.121213</v>
      </c>
      <c r="L2086">
        <v>284.73390000000001</v>
      </c>
      <c r="M2086">
        <v>-0.9998977</v>
      </c>
      <c r="N2086">
        <v>-1.4095959999999999E-2</v>
      </c>
      <c r="O2086">
        <v>-2.438309E-3</v>
      </c>
      <c r="P2086">
        <v>-0.98285900000000004</v>
      </c>
      <c r="Q2086">
        <v>0.1827126</v>
      </c>
      <c r="R2086">
        <v>2.458432E-2</v>
      </c>
      <c r="S2086">
        <v>-3.0747070000000001</v>
      </c>
      <c r="T2086">
        <v>-8.5918430000000004E-2</v>
      </c>
      <c r="U2086">
        <v>-0.25827030000000001</v>
      </c>
      <c r="V2086">
        <v>2.686595E-2</v>
      </c>
      <c r="W2086">
        <v>0.19656370000000001</v>
      </c>
      <c r="X2086">
        <v>0.98012290000000002</v>
      </c>
      <c r="Y2086">
        <v>-8.1226099999999996E-2</v>
      </c>
      <c r="Z2086">
        <v>-1.6726519999999999E-3</v>
      </c>
      <c r="AA2086">
        <v>0.99669430000000003</v>
      </c>
      <c r="AB2086">
        <v>30</v>
      </c>
      <c r="AC2086">
        <v>-39.833199999999998</v>
      </c>
      <c r="AD2086">
        <v>-1.1212135161473</v>
      </c>
      <c r="AE2086">
        <v>-3.3693999999999802</v>
      </c>
      <c r="AF2086">
        <v>-3.2696825383691501</v>
      </c>
      <c r="AG2086">
        <v>-1.1212135161473</v>
      </c>
      <c r="AH2086">
        <v>39.809980895358102</v>
      </c>
      <c r="AI2086">
        <v>91.607848310403895</v>
      </c>
      <c r="AJ2086">
        <v>94.695291429765405</v>
      </c>
      <c r="AK2086">
        <v>39.959761292321097</v>
      </c>
      <c r="AL2086">
        <v>78.663914718564598</v>
      </c>
      <c r="AM2086">
        <v>88.429870171062603</v>
      </c>
      <c r="AN2086">
        <v>0.99999998326575101</v>
      </c>
    </row>
    <row r="2087" spans="1:40" x14ac:dyDescent="0.25">
      <c r="A2087" t="str">
        <f>"20190303162254808"</f>
        <v>20190303162254808</v>
      </c>
      <c r="B2087" t="str">
        <f>"1551601374797052"</f>
        <v>1551601374797052</v>
      </c>
      <c r="C2087" t="s">
        <v>40</v>
      </c>
      <c r="D2087">
        <v>5.3419930000000004</v>
      </c>
      <c r="E2087">
        <v>0.45923580000000003</v>
      </c>
      <c r="F2087" t="s">
        <v>47</v>
      </c>
      <c r="G2087">
        <v>-361.95870000000002</v>
      </c>
      <c r="H2087" s="1">
        <v>-4.944458E-7</v>
      </c>
      <c r="I2087">
        <v>281.43060000000003</v>
      </c>
      <c r="J2087">
        <v>-322.27190000000002</v>
      </c>
      <c r="K2087">
        <v>1.121216</v>
      </c>
      <c r="L2087">
        <v>284.73329999999999</v>
      </c>
      <c r="M2087">
        <v>-0.99989749999999999</v>
      </c>
      <c r="N2087">
        <v>-1.406544E-2</v>
      </c>
      <c r="O2087">
        <v>-2.6382480000000002E-3</v>
      </c>
      <c r="P2087">
        <v>-0.98294250000000005</v>
      </c>
      <c r="Q2087">
        <v>0.18226600000000001</v>
      </c>
      <c r="R2087">
        <v>2.4569580000000001E-2</v>
      </c>
      <c r="S2087">
        <v>-3.0747990000000001</v>
      </c>
      <c r="T2087">
        <v>-8.6460110000000007E-2</v>
      </c>
      <c r="U2087">
        <v>-0.25473020000000002</v>
      </c>
      <c r="V2087">
        <v>2.7047979999999999E-2</v>
      </c>
      <c r="W2087">
        <v>0.1960886</v>
      </c>
      <c r="X2087">
        <v>0.980213</v>
      </c>
      <c r="Y2087">
        <v>-7.9885010000000006E-2</v>
      </c>
      <c r="Z2087">
        <v>-1.6469659999999999E-3</v>
      </c>
      <c r="AA2087">
        <v>0.99680270000000004</v>
      </c>
      <c r="AB2087">
        <v>30</v>
      </c>
      <c r="AC2087">
        <v>-39.686799999999998</v>
      </c>
      <c r="AD2087">
        <v>-1.1212164944458001</v>
      </c>
      <c r="AE2087">
        <v>-3.30269999999995</v>
      </c>
      <c r="AF2087">
        <v>-3.1954416007010402</v>
      </c>
      <c r="AG2087">
        <v>-1.1212164944458001</v>
      </c>
      <c r="AH2087">
        <v>39.663935860354499</v>
      </c>
      <c r="AI2087">
        <v>91.613974232194494</v>
      </c>
      <c r="AJ2087">
        <v>94.605966378001</v>
      </c>
      <c r="AK2087">
        <v>39.808237607123701</v>
      </c>
      <c r="AL2087">
        <v>78.691675596702495</v>
      </c>
      <c r="AM2087">
        <v>88.419382378318801</v>
      </c>
      <c r="AN2087">
        <v>0.99999992882051703</v>
      </c>
    </row>
    <row r="2088" spans="1:40" x14ac:dyDescent="0.25">
      <c r="A2088" t="str">
        <f>"20190303162254823"</f>
        <v>20190303162254823</v>
      </c>
      <c r="B2088" t="str">
        <f>"1551601374817548"</f>
        <v>1551601374817548</v>
      </c>
      <c r="C2088" t="s">
        <v>40</v>
      </c>
      <c r="D2088">
        <v>5.2652830000000002</v>
      </c>
      <c r="E2088">
        <v>0.45932479999999998</v>
      </c>
      <c r="F2088" t="s">
        <v>47</v>
      </c>
      <c r="G2088">
        <v>-361.3141</v>
      </c>
      <c r="H2088" s="1">
        <v>-8.3748299999999998E-7</v>
      </c>
      <c r="I2088">
        <v>281.50349999999997</v>
      </c>
      <c r="J2088">
        <v>-322.45890000000003</v>
      </c>
      <c r="K2088">
        <v>1.1212139999999999</v>
      </c>
      <c r="L2088">
        <v>284.73250000000002</v>
      </c>
      <c r="M2088">
        <v>-0.99989760000000005</v>
      </c>
      <c r="N2088">
        <v>-1.403573E-2</v>
      </c>
      <c r="O2088">
        <v>-2.838784E-3</v>
      </c>
      <c r="P2088">
        <v>-0.98299259999999999</v>
      </c>
      <c r="Q2088">
        <v>0.1819954</v>
      </c>
      <c r="R2088">
        <v>2.4570999999999999E-2</v>
      </c>
      <c r="S2088">
        <v>-3.0747990000000001</v>
      </c>
      <c r="T2088">
        <v>-8.8302249999999999E-2</v>
      </c>
      <c r="U2088">
        <v>-0.25436399999999998</v>
      </c>
      <c r="V2088">
        <v>2.7246280000000001E-2</v>
      </c>
      <c r="W2088">
        <v>0.19578980000000001</v>
      </c>
      <c r="X2088">
        <v>0.98026729999999995</v>
      </c>
      <c r="Y2088">
        <v>-7.9565769999999994E-2</v>
      </c>
      <c r="Z2088">
        <v>-1.6582470000000001E-3</v>
      </c>
      <c r="AA2088">
        <v>0.9968283</v>
      </c>
      <c r="AB2088">
        <v>30</v>
      </c>
      <c r="AC2088">
        <v>-38.855199999999897</v>
      </c>
      <c r="AD2088">
        <v>-1.121214837483</v>
      </c>
      <c r="AE2088">
        <v>-3.2290000000000401</v>
      </c>
      <c r="AF2088">
        <v>-3.1160976921644599</v>
      </c>
      <c r="AG2088">
        <v>-1.121214837483</v>
      </c>
      <c r="AH2088">
        <v>38.832097717824603</v>
      </c>
      <c r="AI2088">
        <v>91.648568306416294</v>
      </c>
      <c r="AJ2088">
        <v>94.587892657883003</v>
      </c>
      <c r="AK2088">
        <v>38.973054803358501</v>
      </c>
      <c r="AL2088">
        <v>78.709134718137506</v>
      </c>
      <c r="AM2088">
        <v>88.407888307279407</v>
      </c>
      <c r="AN2088">
        <v>0.99999999250358396</v>
      </c>
    </row>
    <row r="2089" spans="1:40" x14ac:dyDescent="0.25">
      <c r="A2089" t="str">
        <f>"20190303162254839"</f>
        <v>20190303162254839</v>
      </c>
      <c r="B2089" t="str">
        <f>"1551601374826332"</f>
        <v>1551601374826332</v>
      </c>
      <c r="C2089" t="s">
        <v>40</v>
      </c>
      <c r="D2089">
        <v>5.2066299999999996</v>
      </c>
      <c r="E2089">
        <v>0.45940890000000001</v>
      </c>
      <c r="F2089" t="s">
        <v>47</v>
      </c>
      <c r="G2089">
        <v>-360.50099999999998</v>
      </c>
      <c r="H2089" s="1">
        <v>-1.2701619999999999E-6</v>
      </c>
      <c r="I2089">
        <v>281.59140000000002</v>
      </c>
      <c r="J2089">
        <v>-322.67970000000003</v>
      </c>
      <c r="K2089">
        <v>1.1212029999999999</v>
      </c>
      <c r="L2089">
        <v>284.73169999999999</v>
      </c>
      <c r="M2089">
        <v>-0.99989740000000005</v>
      </c>
      <c r="N2089">
        <v>-1.400299E-2</v>
      </c>
      <c r="O2089">
        <v>-3.0762490000000001E-3</v>
      </c>
      <c r="P2089">
        <v>-0.98312630000000001</v>
      </c>
      <c r="Q2089">
        <v>0.1813372</v>
      </c>
      <c r="R2089">
        <v>2.4082139999999998E-2</v>
      </c>
      <c r="S2089">
        <v>-3.0750730000000002</v>
      </c>
      <c r="T2089">
        <v>-9.063148E-2</v>
      </c>
      <c r="U2089">
        <v>-0.25390629999999997</v>
      </c>
      <c r="V2089">
        <v>2.6991500000000002E-2</v>
      </c>
      <c r="W2089">
        <v>0.195101</v>
      </c>
      <c r="X2089">
        <v>0.9804117</v>
      </c>
      <c r="Y2089">
        <v>-7.917254E-2</v>
      </c>
      <c r="Z2089">
        <v>-1.6724750000000001E-3</v>
      </c>
      <c r="AA2089">
        <v>0.99685959999999996</v>
      </c>
      <c r="AB2089">
        <v>30</v>
      </c>
      <c r="AC2089">
        <v>-37.821299999999901</v>
      </c>
      <c r="AD2089">
        <v>-1.121204270162</v>
      </c>
      <c r="AE2089">
        <v>-3.1402999999999599</v>
      </c>
      <c r="AF2089">
        <v>-3.0212890445539302</v>
      </c>
      <c r="AG2089">
        <v>-1.121204270162</v>
      </c>
      <c r="AH2089">
        <v>37.797792528212</v>
      </c>
      <c r="AI2089">
        <v>91.693680219826405</v>
      </c>
      <c r="AJ2089">
        <v>94.570103964285906</v>
      </c>
      <c r="AK2089">
        <v>37.934923309688301</v>
      </c>
      <c r="AL2089">
        <v>78.749376453713595</v>
      </c>
      <c r="AM2089">
        <v>88.423000775618604</v>
      </c>
      <c r="AN2089">
        <v>1.0000000213850599</v>
      </c>
    </row>
    <row r="2090" spans="1:40" x14ac:dyDescent="0.25">
      <c r="A2090" t="str">
        <f>"20190303162254852"</f>
        <v>20190303162254852</v>
      </c>
      <c r="B2090" t="str">
        <f>"1551601374846828"</f>
        <v>1551601374846828</v>
      </c>
      <c r="C2090" t="s">
        <v>40</v>
      </c>
      <c r="D2090">
        <v>5.392328</v>
      </c>
      <c r="E2090">
        <v>0.45946490000000001</v>
      </c>
      <c r="F2090" t="s">
        <v>47</v>
      </c>
      <c r="G2090">
        <v>-359.78719999999998</v>
      </c>
      <c r="H2090" s="1">
        <v>3.6714589999999998E-6</v>
      </c>
      <c r="I2090">
        <v>281.65649999999999</v>
      </c>
      <c r="J2090">
        <v>-322.84140000000002</v>
      </c>
      <c r="K2090">
        <v>1.1212</v>
      </c>
      <c r="L2090">
        <v>284.73099999999999</v>
      </c>
      <c r="M2090">
        <v>-0.99989700000000004</v>
      </c>
      <c r="N2090">
        <v>-1.3980309999999999E-2</v>
      </c>
      <c r="O2090">
        <v>-3.2510730000000002E-3</v>
      </c>
      <c r="P2090">
        <v>-0.98318329999999998</v>
      </c>
      <c r="Q2090">
        <v>0.1810283</v>
      </c>
      <c r="R2090">
        <v>2.4071490000000001E-2</v>
      </c>
      <c r="S2090">
        <v>-3.0748899999999999</v>
      </c>
      <c r="T2090">
        <v>-9.2907669999999998E-2</v>
      </c>
      <c r="U2090">
        <v>-0.25482179999999999</v>
      </c>
      <c r="V2090">
        <v>2.7152889999999999E-2</v>
      </c>
      <c r="W2090">
        <v>0.19477079999999999</v>
      </c>
      <c r="X2090">
        <v>0.98047289999999998</v>
      </c>
      <c r="Y2090">
        <v>-7.9295760000000007E-2</v>
      </c>
      <c r="Z2090">
        <v>-1.6984210000000001E-3</v>
      </c>
      <c r="AA2090">
        <v>0.99684969999999995</v>
      </c>
      <c r="AB2090">
        <v>30</v>
      </c>
      <c r="AC2090">
        <v>-36.945799999999899</v>
      </c>
      <c r="AD2090">
        <v>-1.121196328541</v>
      </c>
      <c r="AE2090">
        <v>-3.0745</v>
      </c>
      <c r="AF2090">
        <v>-2.95165890050562</v>
      </c>
      <c r="AG2090">
        <v>-1.121196328541</v>
      </c>
      <c r="AH2090">
        <v>36.921832026965198</v>
      </c>
      <c r="AI2090">
        <v>91.733824363821299</v>
      </c>
      <c r="AJ2090">
        <v>94.570702186886393</v>
      </c>
      <c r="AK2090">
        <v>37.056592553815598</v>
      </c>
      <c r="AL2090">
        <v>78.768665612597104</v>
      </c>
      <c r="AM2090">
        <v>88.413675216684098</v>
      </c>
      <c r="AN2090">
        <v>1.0000000258012001</v>
      </c>
    </row>
    <row r="2091" spans="1:40" x14ac:dyDescent="0.25">
      <c r="A2091" t="str">
        <f>"20190303162254865"</f>
        <v>20190303162254865</v>
      </c>
      <c r="B2091" t="str">
        <f>"1551601374856588"</f>
        <v>1551601374856588</v>
      </c>
      <c r="C2091" t="s">
        <v>40</v>
      </c>
      <c r="D2091">
        <v>5.2113990000000001</v>
      </c>
      <c r="E2091">
        <v>0.45954469999999997</v>
      </c>
      <c r="F2091" t="s">
        <v>47</v>
      </c>
      <c r="G2091">
        <v>-359.57960000000003</v>
      </c>
      <c r="H2091" s="1">
        <v>3.5609890000000002E-6</v>
      </c>
      <c r="I2091">
        <v>281.68239999999997</v>
      </c>
      <c r="J2091">
        <v>-323.02330000000001</v>
      </c>
      <c r="K2091">
        <v>1.121197</v>
      </c>
      <c r="L2091">
        <v>284.73020000000002</v>
      </c>
      <c r="M2091">
        <v>-0.99989680000000003</v>
      </c>
      <c r="N2091">
        <v>-1.395568E-2</v>
      </c>
      <c r="O2091">
        <v>-3.4480510000000002E-3</v>
      </c>
      <c r="P2091">
        <v>-0.98319699999999999</v>
      </c>
      <c r="Q2091">
        <v>0.1810195</v>
      </c>
      <c r="R2091">
        <v>2.3577210000000001E-2</v>
      </c>
      <c r="S2091">
        <v>-3.0748289999999998</v>
      </c>
      <c r="T2091">
        <v>-9.3839290000000006E-2</v>
      </c>
      <c r="U2091">
        <v>-0.25515749999999998</v>
      </c>
      <c r="V2091">
        <v>2.685247E-2</v>
      </c>
      <c r="W2091">
        <v>0.19473760000000001</v>
      </c>
      <c r="X2091">
        <v>0.98048780000000002</v>
      </c>
      <c r="Y2091">
        <v>-7.9208319999999999E-2</v>
      </c>
      <c r="Z2091">
        <v>-1.70318799999999E-3</v>
      </c>
      <c r="AA2091">
        <v>0.99685659999999998</v>
      </c>
      <c r="AB2091">
        <v>30</v>
      </c>
      <c r="AC2091">
        <v>-36.5563</v>
      </c>
      <c r="AD2091">
        <v>-1.1211934390109899</v>
      </c>
      <c r="AE2091">
        <v>-3.0478000000000498</v>
      </c>
      <c r="AF2091">
        <v>-2.9189947797224498</v>
      </c>
      <c r="AG2091">
        <v>-1.1211934390109899</v>
      </c>
      <c r="AH2091">
        <v>36.532464920277398</v>
      </c>
      <c r="AI2091">
        <v>91.752293535203904</v>
      </c>
      <c r="AJ2091">
        <v>94.568307290503697</v>
      </c>
      <c r="AK2091">
        <v>36.666041488044897</v>
      </c>
      <c r="AL2091">
        <v>78.770605321632701</v>
      </c>
      <c r="AM2091">
        <v>88.431241347425598</v>
      </c>
      <c r="AN2091">
        <v>1.0000000569738401</v>
      </c>
    </row>
    <row r="2092" spans="1:40" x14ac:dyDescent="0.25">
      <c r="A2092" t="str">
        <f>"20190303162254884"</f>
        <v>20190303162254884</v>
      </c>
      <c r="B2092" t="str">
        <f>"1551601374877084"</f>
        <v>1551601374877084</v>
      </c>
      <c r="C2092" t="s">
        <v>40</v>
      </c>
      <c r="D2092">
        <v>5.3940320000000002</v>
      </c>
      <c r="E2092">
        <v>0.4596865</v>
      </c>
      <c r="F2092" t="s">
        <v>47</v>
      </c>
      <c r="G2092">
        <v>-359.80439999999999</v>
      </c>
      <c r="H2092" s="1">
        <v>3.6805939999999998E-6</v>
      </c>
      <c r="I2092">
        <v>281.66550000000001</v>
      </c>
      <c r="J2092">
        <v>-323.27600000000001</v>
      </c>
      <c r="K2092">
        <v>1.1212</v>
      </c>
      <c r="L2092">
        <v>284.72910000000002</v>
      </c>
      <c r="M2092">
        <v>-0.99989620000000001</v>
      </c>
      <c r="N2092">
        <v>-1.3923949999999999E-2</v>
      </c>
      <c r="O2092">
        <v>-3.721865E-3</v>
      </c>
      <c r="P2092">
        <v>-0.98313240000000002</v>
      </c>
      <c r="Q2092">
        <v>0.1813534</v>
      </c>
      <c r="R2092">
        <v>2.370452E-2</v>
      </c>
      <c r="S2092">
        <v>-3.0746769999999999</v>
      </c>
      <c r="T2092">
        <v>-9.3724970000000005E-2</v>
      </c>
      <c r="U2092">
        <v>-0.25619510000000001</v>
      </c>
      <c r="V2092">
        <v>2.7248939999999999E-2</v>
      </c>
      <c r="W2092">
        <v>0.19503970000000001</v>
      </c>
      <c r="X2092">
        <v>0.98041679999999998</v>
      </c>
      <c r="Y2092">
        <v>-7.9273659999999996E-2</v>
      </c>
      <c r="Z2092">
        <v>-1.6974500000000001E-3</v>
      </c>
      <c r="AA2092">
        <v>0.99685140000000005</v>
      </c>
      <c r="AB2092">
        <v>30</v>
      </c>
      <c r="AC2092">
        <v>-36.528399999999898</v>
      </c>
      <c r="AD2092">
        <v>-1.121196319406</v>
      </c>
      <c r="AE2092">
        <v>-3.0636000000000001</v>
      </c>
      <c r="AF2092">
        <v>-2.9248755220018099</v>
      </c>
      <c r="AG2092">
        <v>-1.121196319406</v>
      </c>
      <c r="AH2092">
        <v>36.505398450703602</v>
      </c>
      <c r="AI2092">
        <v>91.753565744052395</v>
      </c>
      <c r="AJ2092">
        <v>94.580851210766497</v>
      </c>
      <c r="AK2092">
        <v>36.639542765303297</v>
      </c>
      <c r="AL2092">
        <v>78.752957754020997</v>
      </c>
      <c r="AM2092">
        <v>88.407975626338597</v>
      </c>
      <c r="AN2092">
        <v>1.00000004551472</v>
      </c>
    </row>
    <row r="2093" spans="1:40" x14ac:dyDescent="0.25">
      <c r="A2093" t="str">
        <f>"20190303162254906"</f>
        <v>20190303162254906</v>
      </c>
      <c r="B2093" t="str">
        <f>"1551601374896604"</f>
        <v>1551601374896604</v>
      </c>
      <c r="C2093" t="s">
        <v>40</v>
      </c>
      <c r="D2093">
        <v>5.3359249999999996</v>
      </c>
      <c r="E2093">
        <v>0.45977299999999899</v>
      </c>
      <c r="F2093" t="s">
        <v>47</v>
      </c>
      <c r="G2093">
        <v>-360.37610000000001</v>
      </c>
      <c r="H2093" s="1">
        <v>-1.3366729999999999E-6</v>
      </c>
      <c r="I2093">
        <v>281.6533</v>
      </c>
      <c r="J2093">
        <v>-323.5634</v>
      </c>
      <c r="K2093">
        <v>1.1212009999999999</v>
      </c>
      <c r="L2093">
        <v>284.7276</v>
      </c>
      <c r="M2093">
        <v>-0.99989550000000005</v>
      </c>
      <c r="N2093">
        <v>-1.3891250000000001E-2</v>
      </c>
      <c r="O2093">
        <v>-4.033811E-3</v>
      </c>
      <c r="P2093">
        <v>-0.98306859999999996</v>
      </c>
      <c r="Q2093">
        <v>0.181621</v>
      </c>
      <c r="R2093">
        <v>2.4295540000000001E-2</v>
      </c>
      <c r="S2093">
        <v>-3.0747680000000002</v>
      </c>
      <c r="T2093">
        <v>-9.2922690000000002E-2</v>
      </c>
      <c r="U2093">
        <v>-0.25491329999999901</v>
      </c>
      <c r="V2093">
        <v>2.814649E-2</v>
      </c>
      <c r="W2093">
        <v>0.195275</v>
      </c>
      <c r="X2093">
        <v>0.98034449999999995</v>
      </c>
      <c r="Y2093">
        <v>-7.8548820000000005E-2</v>
      </c>
      <c r="Z2093">
        <v>-1.6655960000000001E-3</v>
      </c>
      <c r="AA2093">
        <v>0.99690889999999999</v>
      </c>
      <c r="AB2093">
        <v>30</v>
      </c>
      <c r="AC2093">
        <v>-36.8127</v>
      </c>
      <c r="AD2093">
        <v>-1.121202336673</v>
      </c>
      <c r="AE2093">
        <v>-3.0742999999999898</v>
      </c>
      <c r="AF2093">
        <v>-2.92307246149436</v>
      </c>
      <c r="AG2093">
        <v>-1.121202336673</v>
      </c>
      <c r="AH2093">
        <v>36.790910965247697</v>
      </c>
      <c r="AI2093">
        <v>91.740067566061896</v>
      </c>
      <c r="AJ2093">
        <v>94.542661136895205</v>
      </c>
      <c r="AK2093">
        <v>36.923875432404003</v>
      </c>
      <c r="AL2093">
        <v>78.739210597547896</v>
      </c>
      <c r="AM2093">
        <v>88.355443225409104</v>
      </c>
      <c r="AN2093">
        <v>0.99999994460228303</v>
      </c>
    </row>
    <row r="2094" spans="1:40" x14ac:dyDescent="0.25">
      <c r="A2094" t="str">
        <f>"20190303162254928"</f>
        <v>20190303162254928</v>
      </c>
      <c r="B2094" t="str">
        <f>"1551601374917101"</f>
        <v>1551601374917101</v>
      </c>
      <c r="C2094" t="s">
        <v>40</v>
      </c>
      <c r="D2094">
        <v>5.1815280000000001</v>
      </c>
      <c r="E2094">
        <v>0.45972649999999998</v>
      </c>
      <c r="F2094" t="s">
        <v>47</v>
      </c>
      <c r="G2094">
        <v>-360.97390000000001</v>
      </c>
      <c r="H2094" s="1">
        <v>-1.0185329999999999E-6</v>
      </c>
      <c r="I2094">
        <v>281.6592</v>
      </c>
      <c r="J2094">
        <v>-323.85950000000003</v>
      </c>
      <c r="K2094">
        <v>1.1211949999999999</v>
      </c>
      <c r="L2094">
        <v>284.72609999999997</v>
      </c>
      <c r="M2094">
        <v>-0.99989459999999997</v>
      </c>
      <c r="N2094">
        <v>-1.386098E-2</v>
      </c>
      <c r="O2094">
        <v>-4.3551930000000003E-3</v>
      </c>
      <c r="P2094">
        <v>-0.98290659999999996</v>
      </c>
      <c r="Q2094">
        <v>0.18239520000000001</v>
      </c>
      <c r="R2094">
        <v>2.503965E-2</v>
      </c>
      <c r="S2094">
        <v>-3.0748899999999999</v>
      </c>
      <c r="T2094">
        <v>-9.2155219999999996E-2</v>
      </c>
      <c r="U2094">
        <v>-0.25219730000000001</v>
      </c>
      <c r="V2094">
        <v>2.9205720000000001E-2</v>
      </c>
      <c r="W2094">
        <v>0.1960171</v>
      </c>
      <c r="X2094">
        <v>0.98016550000000002</v>
      </c>
      <c r="Y2094">
        <v>-7.7352009999999999E-2</v>
      </c>
      <c r="Z2094">
        <v>-1.6241070000000001E-3</v>
      </c>
      <c r="AA2094">
        <v>0.99700250000000001</v>
      </c>
      <c r="AB2094">
        <v>30</v>
      </c>
      <c r="AC2094">
        <v>-37.114399999999897</v>
      </c>
      <c r="AD2094">
        <v>-1.1211960185330001</v>
      </c>
      <c r="AE2094">
        <v>-3.0668999999999702</v>
      </c>
      <c r="AF2094">
        <v>-2.9025841082197998</v>
      </c>
      <c r="AG2094">
        <v>-1.1211960185330001</v>
      </c>
      <c r="AH2094">
        <v>37.093784136837797</v>
      </c>
      <c r="AI2094">
        <v>91.7260210544259</v>
      </c>
      <c r="AJ2094">
        <v>94.474270607437106</v>
      </c>
      <c r="AK2094">
        <v>37.224063408064197</v>
      </c>
      <c r="AL2094">
        <v>78.695854622732497</v>
      </c>
      <c r="AM2094">
        <v>88.293278504481407</v>
      </c>
      <c r="AN2094">
        <v>1.00000004248168</v>
      </c>
    </row>
    <row r="2095" spans="1:40" x14ac:dyDescent="0.25">
      <c r="A2095" t="str">
        <f>"20190303162254952"</f>
        <v>20190303162254952</v>
      </c>
      <c r="B2095" t="str">
        <f>"1551601374946379"</f>
        <v>1551601374946379</v>
      </c>
      <c r="C2095" t="s">
        <v>40</v>
      </c>
      <c r="D2095">
        <v>5.3804559999999997</v>
      </c>
      <c r="E2095">
        <v>0.46047860000000002</v>
      </c>
      <c r="F2095" t="s">
        <v>47</v>
      </c>
      <c r="G2095">
        <v>-362.18150000000003</v>
      </c>
      <c r="H2095" s="1">
        <v>-3.7587009999999998E-7</v>
      </c>
      <c r="I2095">
        <v>281.60890000000001</v>
      </c>
      <c r="J2095">
        <v>-324.16860000000003</v>
      </c>
      <c r="K2095">
        <v>1.121192</v>
      </c>
      <c r="L2095">
        <v>284.72430000000003</v>
      </c>
      <c r="M2095">
        <v>-0.99989349999999999</v>
      </c>
      <c r="N2095">
        <v>-1.3832809999999999E-2</v>
      </c>
      <c r="O2095">
        <v>-4.6905360000000004E-3</v>
      </c>
      <c r="P2095">
        <v>-0.98290650000000002</v>
      </c>
      <c r="Q2095">
        <v>0.18228849999999999</v>
      </c>
      <c r="R2095">
        <v>2.580965E-2</v>
      </c>
      <c r="S2095">
        <v>-3.0752869999999999</v>
      </c>
      <c r="T2095">
        <v>-8.9974159999999997E-2</v>
      </c>
      <c r="U2095">
        <v>-0.2501526</v>
      </c>
      <c r="V2095">
        <v>3.0305619999999998E-2</v>
      </c>
      <c r="W2095">
        <v>0.19588330000000001</v>
      </c>
      <c r="X2095">
        <v>0.9801588</v>
      </c>
      <c r="Y2095">
        <v>-7.6351279999999994E-2</v>
      </c>
      <c r="Z2095">
        <v>-1.571776E-3</v>
      </c>
      <c r="AA2095">
        <v>0.99707970000000001</v>
      </c>
      <c r="AB2095">
        <v>30</v>
      </c>
      <c r="AC2095">
        <v>-38.012900000000002</v>
      </c>
      <c r="AD2095">
        <v>-1.1211923758700999</v>
      </c>
      <c r="AE2095">
        <v>-3.1154000000000202</v>
      </c>
      <c r="AF2095">
        <v>-2.9345119481589301</v>
      </c>
      <c r="AG2095">
        <v>-1.1211923758700999</v>
      </c>
      <c r="AH2095">
        <v>37.9942631678582</v>
      </c>
      <c r="AI2095">
        <v>91.685264075427</v>
      </c>
      <c r="AJ2095">
        <v>94.416509203083606</v>
      </c>
      <c r="AK2095">
        <v>38.123909379627698</v>
      </c>
      <c r="AL2095">
        <v>78.703671701486201</v>
      </c>
      <c r="AM2095">
        <v>88.229030727877699</v>
      </c>
      <c r="AN2095">
        <v>0.99999998551995695</v>
      </c>
    </row>
    <row r="2096" spans="1:40" x14ac:dyDescent="0.25">
      <c r="A2096" t="str">
        <f>"20190303162254974"</f>
        <v>20190303162254974</v>
      </c>
      <c r="B2096" t="str">
        <f>"1551601374966876"</f>
        <v>1551601374966876</v>
      </c>
      <c r="C2096" t="s">
        <v>40</v>
      </c>
      <c r="D2096">
        <v>5.122179</v>
      </c>
      <c r="E2096">
        <v>0.49664350000000002</v>
      </c>
      <c r="F2096" t="s">
        <v>47</v>
      </c>
      <c r="G2096">
        <v>-363.57499999999999</v>
      </c>
      <c r="H2096" s="1">
        <v>3.6561369999999998E-7</v>
      </c>
      <c r="I2096">
        <v>281.62509999999997</v>
      </c>
      <c r="J2096">
        <v>-324.4579</v>
      </c>
      <c r="K2096">
        <v>1.121192</v>
      </c>
      <c r="L2096">
        <v>284.7226</v>
      </c>
      <c r="M2096">
        <v>-0.99989209999999995</v>
      </c>
      <c r="N2096">
        <v>-1.3809149999999999E-2</v>
      </c>
      <c r="O2096">
        <v>-5.0038649999999997E-3</v>
      </c>
      <c r="P2096">
        <v>-0.9829871</v>
      </c>
      <c r="Q2096">
        <v>0.18184739999999999</v>
      </c>
      <c r="R2096">
        <v>2.5842150000000001E-2</v>
      </c>
      <c r="S2096">
        <v>-3.074738</v>
      </c>
      <c r="T2096">
        <v>-8.7482690000000002E-2</v>
      </c>
      <c r="U2096">
        <v>-0.24182129999999999</v>
      </c>
      <c r="V2096">
        <v>3.0646900000000001E-2</v>
      </c>
      <c r="W2096">
        <v>0.19542039999999999</v>
      </c>
      <c r="X2096">
        <v>0.98024060000000002</v>
      </c>
      <c r="Y2096">
        <v>-7.3372370000000006E-2</v>
      </c>
      <c r="Z2096">
        <v>-1.4764190000000001E-3</v>
      </c>
      <c r="AA2096">
        <v>0.99730350000000001</v>
      </c>
      <c r="AB2096">
        <v>30</v>
      </c>
      <c r="AC2096">
        <v>-39.117099999999901</v>
      </c>
      <c r="AD2096">
        <v>-1.1211916343863</v>
      </c>
      <c r="AE2096">
        <v>-3.0975000000000201</v>
      </c>
      <c r="AF2096">
        <v>-2.8993387872870402</v>
      </c>
      <c r="AG2096">
        <v>-1.1211916343863</v>
      </c>
      <c r="AH2096">
        <v>39.100189097060003</v>
      </c>
      <c r="AI2096">
        <v>91.638002579218295</v>
      </c>
      <c r="AJ2096">
        <v>94.240808369927194</v>
      </c>
      <c r="AK2096">
        <v>39.223564645635399</v>
      </c>
      <c r="AL2096">
        <v>78.730716764215799</v>
      </c>
      <c r="AM2096">
        <v>88.209249617657306</v>
      </c>
      <c r="AN2096">
        <v>0.99999999955206498</v>
      </c>
    </row>
    <row r="2097" spans="1:40" x14ac:dyDescent="0.25">
      <c r="A2097" t="str">
        <f>"20190303162254996"</f>
        <v>20190303162254996</v>
      </c>
      <c r="B2097" t="str">
        <f>"1551601374986396"</f>
        <v>1551601374986396</v>
      </c>
      <c r="C2097" t="s">
        <v>40</v>
      </c>
      <c r="D2097">
        <v>5.1450129999999996</v>
      </c>
      <c r="E2097">
        <v>0.5026891</v>
      </c>
      <c r="F2097" t="s">
        <v>49</v>
      </c>
      <c r="G2097">
        <v>-414.1386</v>
      </c>
      <c r="H2097" s="1">
        <v>2.810245E-6</v>
      </c>
      <c r="I2097">
        <v>286.0992</v>
      </c>
      <c r="J2097">
        <v>-324.74200000000002</v>
      </c>
      <c r="K2097">
        <v>1.121191</v>
      </c>
      <c r="L2097">
        <v>284.72089999999997</v>
      </c>
      <c r="M2097">
        <v>-0.99989099999999997</v>
      </c>
      <c r="N2097">
        <v>-1.378831E-2</v>
      </c>
      <c r="O2097">
        <v>-5.3117290000000003E-3</v>
      </c>
      <c r="P2097">
        <v>-0.98289380000000004</v>
      </c>
      <c r="Q2097">
        <v>0.18240120000000001</v>
      </c>
      <c r="R2097">
        <v>2.5490160000000001E-2</v>
      </c>
      <c r="S2097">
        <v>-3.0577999999999999</v>
      </c>
      <c r="T2097">
        <v>-3.822863E-2</v>
      </c>
      <c r="U2097">
        <v>4.6936039999999998E-2</v>
      </c>
      <c r="V2097">
        <v>3.0596959999999999E-2</v>
      </c>
      <c r="W2097">
        <v>0.19595209999999999</v>
      </c>
      <c r="X2097">
        <v>0.98013600000000001</v>
      </c>
      <c r="Y2097">
        <v>2.065579E-2</v>
      </c>
      <c r="Z2097">
        <v>2.6470029999999998E-4</v>
      </c>
      <c r="AA2097">
        <v>0.99978659999999997</v>
      </c>
      <c r="AB2097">
        <v>30</v>
      </c>
      <c r="AC2097">
        <v>-89.396599999999907</v>
      </c>
      <c r="AD2097">
        <v>-1.121188189755</v>
      </c>
      <c r="AE2097">
        <v>1.3783000000000201</v>
      </c>
      <c r="AF2097">
        <v>1.8528847480524899</v>
      </c>
      <c r="AG2097">
        <v>-1.121188189755</v>
      </c>
      <c r="AH2097">
        <v>89.373962022340294</v>
      </c>
      <c r="AI2097">
        <v>90.718578225816501</v>
      </c>
      <c r="AJ2097">
        <v>88.812324443614898</v>
      </c>
      <c r="AK2097">
        <v>89.400197608378605</v>
      </c>
      <c r="AL2097">
        <v>78.699651887984004</v>
      </c>
      <c r="AM2097">
        <v>88.211975127676197</v>
      </c>
      <c r="AN2097">
        <v>0.99999998897582498</v>
      </c>
    </row>
    <row r="2098" spans="1:40" x14ac:dyDescent="0.25">
      <c r="A2098" t="str">
        <f>"20190303162255018"</f>
        <v>20190303162255018</v>
      </c>
      <c r="B2098" t="str">
        <f>"1551601375006892"</f>
        <v>1551601375006892</v>
      </c>
      <c r="C2098" t="s">
        <v>40</v>
      </c>
      <c r="D2098">
        <v>5.1473599999999999</v>
      </c>
      <c r="E2098">
        <v>0.50479339999999995</v>
      </c>
      <c r="F2098" t="s">
        <v>49</v>
      </c>
      <c r="G2098">
        <v>-401.19130000000001</v>
      </c>
      <c r="H2098" s="1">
        <v>7.3671439999999997E-6</v>
      </c>
      <c r="I2098">
        <v>287.06909999999999</v>
      </c>
      <c r="J2098">
        <v>-325.0385</v>
      </c>
      <c r="K2098">
        <v>1.121189</v>
      </c>
      <c r="L2098">
        <v>284.71890000000002</v>
      </c>
      <c r="M2098">
        <v>-0.99988940000000004</v>
      </c>
      <c r="N2098">
        <v>-1.376875E-2</v>
      </c>
      <c r="O2098">
        <v>-5.6324809999999999E-3</v>
      </c>
      <c r="P2098">
        <v>-0.98288399999999998</v>
      </c>
      <c r="Q2098">
        <v>0.18252599999999999</v>
      </c>
      <c r="R2098">
        <v>2.4968609999999999E-2</v>
      </c>
      <c r="S2098">
        <v>-3.0581360000000002</v>
      </c>
      <c r="T2098">
        <v>-4.4849750000000001E-2</v>
      </c>
      <c r="U2098">
        <v>9.393311E-2</v>
      </c>
      <c r="V2098">
        <v>3.0390750000000001E-2</v>
      </c>
      <c r="W2098">
        <v>0.19605729999999999</v>
      </c>
      <c r="X2098">
        <v>0.98012140000000003</v>
      </c>
      <c r="Y2098">
        <v>3.6323620000000001E-2</v>
      </c>
      <c r="Z2098">
        <v>5.2148709999999998E-4</v>
      </c>
      <c r="AA2098">
        <v>0.99933989999999995</v>
      </c>
      <c r="AB2098">
        <v>30</v>
      </c>
      <c r="AC2098">
        <v>-76.152799999999999</v>
      </c>
      <c r="AD2098">
        <v>-1.121181632856</v>
      </c>
      <c r="AE2098">
        <v>2.3501999999999699</v>
      </c>
      <c r="AF2098">
        <v>2.77853084801683</v>
      </c>
      <c r="AG2098">
        <v>-1.121181632856</v>
      </c>
      <c r="AH2098">
        <v>76.1218685669281</v>
      </c>
      <c r="AI2098">
        <v>90.843273955643397</v>
      </c>
      <c r="AJ2098">
        <v>87.909569892671797</v>
      </c>
      <c r="AK2098">
        <v>76.180812256419998</v>
      </c>
      <c r="AL2098">
        <v>78.693505391558503</v>
      </c>
      <c r="AM2098">
        <v>88.223991444107398</v>
      </c>
      <c r="AN2098">
        <v>1.0000000106533999</v>
      </c>
    </row>
    <row r="2099" spans="1:40" x14ac:dyDescent="0.25">
      <c r="A2099" t="str">
        <f>"20190303162255041"</f>
        <v>20190303162255041</v>
      </c>
      <c r="B2099" t="str">
        <f>"1551601375036379"</f>
        <v>1551601375036379</v>
      </c>
      <c r="C2099" t="s">
        <v>40</v>
      </c>
      <c r="D2099">
        <v>5.0070290000000002</v>
      </c>
      <c r="E2099">
        <v>0.50467269999999997</v>
      </c>
      <c r="F2099" t="s">
        <v>47</v>
      </c>
      <c r="G2099">
        <v>-393.4203</v>
      </c>
      <c r="H2099" s="1">
        <v>2.8335709999999998E-7</v>
      </c>
      <c r="I2099">
        <v>287.1628</v>
      </c>
      <c r="J2099">
        <v>-325.33609999999999</v>
      </c>
      <c r="K2099">
        <v>1.1211850000000001</v>
      </c>
      <c r="L2099">
        <v>284.71690000000001</v>
      </c>
      <c r="M2099">
        <v>-0.99988779999999999</v>
      </c>
      <c r="N2099">
        <v>-1.3751090000000001E-2</v>
      </c>
      <c r="O2099">
        <v>-5.9544359999999996E-3</v>
      </c>
      <c r="P2099">
        <v>-0.98281300000000005</v>
      </c>
      <c r="Q2099">
        <v>0.1830244</v>
      </c>
      <c r="R2099">
        <v>2.4100469999999999E-2</v>
      </c>
      <c r="S2099">
        <v>-3.0587460000000002</v>
      </c>
      <c r="T2099">
        <v>-5.0151229999999998E-2</v>
      </c>
      <c r="U2099">
        <v>0.10931399999999999</v>
      </c>
      <c r="V2099">
        <v>2.98385E-2</v>
      </c>
      <c r="W2099">
        <v>0.19653699999999999</v>
      </c>
      <c r="X2099">
        <v>0.98004230000000003</v>
      </c>
      <c r="Y2099">
        <v>4.1655619999999997E-2</v>
      </c>
      <c r="Z2099">
        <v>6.4364480000000002E-4</v>
      </c>
      <c r="AA2099">
        <v>0.99913180000000001</v>
      </c>
      <c r="AB2099">
        <v>30</v>
      </c>
      <c r="AC2099">
        <v>-68.084199999999996</v>
      </c>
      <c r="AD2099">
        <v>-1.1211847166428901</v>
      </c>
      <c r="AE2099">
        <v>2.4458999999999902</v>
      </c>
      <c r="AF2099">
        <v>2.8505259287133198</v>
      </c>
      <c r="AG2099">
        <v>-1.1211847166428901</v>
      </c>
      <c r="AH2099">
        <v>68.049997274278496</v>
      </c>
      <c r="AI2099">
        <v>90.943087045337904</v>
      </c>
      <c r="AJ2099">
        <v>87.601356555346399</v>
      </c>
      <c r="AK2099">
        <v>68.118901064744193</v>
      </c>
      <c r="AL2099">
        <v>78.665475361979105</v>
      </c>
      <c r="AM2099">
        <v>88.256103683760202</v>
      </c>
      <c r="AN2099">
        <v>1.00000001912026</v>
      </c>
    </row>
    <row r="2100" spans="1:40" x14ac:dyDescent="0.25">
      <c r="A2100" t="str">
        <f>"20190303162255074"</f>
        <v>20190303162255074</v>
      </c>
      <c r="B2100" t="str">
        <f>"1551601375066634"</f>
        <v>1551601375066634</v>
      </c>
      <c r="C2100" t="s">
        <v>40</v>
      </c>
      <c r="D2100">
        <v>5.3871760000000002</v>
      </c>
      <c r="E2100">
        <v>0.50446859999999905</v>
      </c>
      <c r="F2100" t="s">
        <v>47</v>
      </c>
      <c r="G2100">
        <v>-389.2826</v>
      </c>
      <c r="H2100" s="1">
        <v>3.4029320000000001E-6</v>
      </c>
      <c r="I2100">
        <v>286.92169999999999</v>
      </c>
      <c r="J2100">
        <v>-325.77460000000002</v>
      </c>
      <c r="K2100">
        <v>1.1211930000000001</v>
      </c>
      <c r="L2100">
        <v>284.71370000000002</v>
      </c>
      <c r="M2100">
        <v>-0.99988529999999998</v>
      </c>
      <c r="N2100">
        <v>-1.3728300000000001E-2</v>
      </c>
      <c r="O2100">
        <v>-6.4288139999999997E-3</v>
      </c>
      <c r="P2100">
        <v>-0.98277060000000005</v>
      </c>
      <c r="Q2100">
        <v>0.18342220000000001</v>
      </c>
      <c r="R2100">
        <v>2.2771509999999998E-2</v>
      </c>
      <c r="S2100">
        <v>-3.0598749999999999</v>
      </c>
      <c r="T2100">
        <v>-5.3649189999999999E-2</v>
      </c>
      <c r="U2100">
        <v>0.1054993</v>
      </c>
      <c r="V2100">
        <v>2.8975629999999999E-2</v>
      </c>
      <c r="W2100">
        <v>0.196911</v>
      </c>
      <c r="X2100">
        <v>0.97999309999999995</v>
      </c>
      <c r="Y2100">
        <v>4.0871459999999998E-2</v>
      </c>
      <c r="Z2100">
        <v>6.6329750000000004E-4</v>
      </c>
      <c r="AA2100">
        <v>0.99916419999999995</v>
      </c>
      <c r="AB2100">
        <v>29</v>
      </c>
      <c r="AC2100">
        <v>-63.507999999999903</v>
      </c>
      <c r="AD2100">
        <v>-1.1211895970679999</v>
      </c>
      <c r="AE2100">
        <v>2.20799999999997</v>
      </c>
      <c r="AF2100">
        <v>2.61545969015698</v>
      </c>
      <c r="AG2100">
        <v>-1.1211895970679999</v>
      </c>
      <c r="AH2100">
        <v>63.472732254600203</v>
      </c>
      <c r="AI2100">
        <v>91.011116090776696</v>
      </c>
      <c r="AJ2100">
        <v>87.640402925428504</v>
      </c>
      <c r="AK2100">
        <v>63.536489007243503</v>
      </c>
      <c r="AL2100">
        <v>78.643619465672501</v>
      </c>
      <c r="AM2100">
        <v>88.306418918105393</v>
      </c>
      <c r="AN2100">
        <v>1.0000000025512501</v>
      </c>
    </row>
    <row r="2101" spans="1:40" x14ac:dyDescent="0.25">
      <c r="A2101" t="str">
        <f>"20190303162255095"</f>
        <v>20190303162255095</v>
      </c>
      <c r="B2101" t="str">
        <f>"1551601375086154"</f>
        <v>1551601375086154</v>
      </c>
      <c r="C2101" t="s">
        <v>40</v>
      </c>
      <c r="D2101">
        <v>5.1133709999999999</v>
      </c>
      <c r="E2101">
        <v>0.504112</v>
      </c>
      <c r="F2101" t="s">
        <v>47</v>
      </c>
      <c r="G2101">
        <v>-385.50810000000001</v>
      </c>
      <c r="H2101" s="1">
        <v>1.3943280000000001E-6</v>
      </c>
      <c r="I2101">
        <v>286.6748</v>
      </c>
      <c r="J2101">
        <v>-326.06119999999999</v>
      </c>
      <c r="K2101">
        <v>1.121194</v>
      </c>
      <c r="L2101">
        <v>284.7115</v>
      </c>
      <c r="M2101">
        <v>-0.99988319999999997</v>
      </c>
      <c r="N2101">
        <v>-1.371501E-2</v>
      </c>
      <c r="O2101">
        <v>-6.739114E-3</v>
      </c>
      <c r="P2101">
        <v>-0.98276980000000003</v>
      </c>
      <c r="Q2101">
        <v>0.18354899999999999</v>
      </c>
      <c r="R2101">
        <v>2.1749069999999999E-2</v>
      </c>
      <c r="S2101">
        <v>-3.0610050000000002</v>
      </c>
      <c r="T2101">
        <v>-5.7454819999999997E-2</v>
      </c>
      <c r="U2101">
        <v>0.1004944</v>
      </c>
      <c r="V2101">
        <v>2.8258390000000001E-2</v>
      </c>
      <c r="W2101">
        <v>0.19702459999999999</v>
      </c>
      <c r="X2101">
        <v>0.97999119999999995</v>
      </c>
      <c r="Y2101">
        <v>3.9536080000000001E-2</v>
      </c>
      <c r="Z2101">
        <v>6.7620609999999998E-4</v>
      </c>
      <c r="AA2101">
        <v>0.99921789999999999</v>
      </c>
      <c r="AB2101">
        <v>29</v>
      </c>
      <c r="AC2101">
        <v>-59.446899999999999</v>
      </c>
      <c r="AD2101">
        <v>-1.1211926056720001</v>
      </c>
      <c r="AE2101">
        <v>1.9633</v>
      </c>
      <c r="AF2101">
        <v>2.3630728782804802</v>
      </c>
      <c r="AG2101">
        <v>-1.1211926056720001</v>
      </c>
      <c r="AH2101">
        <v>59.411207248601499</v>
      </c>
      <c r="AI2101">
        <v>91.080288488214507</v>
      </c>
      <c r="AJ2101">
        <v>87.722268626735897</v>
      </c>
      <c r="AK2101">
        <v>59.468754258209898</v>
      </c>
      <c r="AL2101">
        <v>78.636980474863194</v>
      </c>
      <c r="AM2101">
        <v>88.3483137787982</v>
      </c>
      <c r="AN2101">
        <v>0.99999999084399604</v>
      </c>
    </row>
    <row r="2102" spans="1:40" x14ac:dyDescent="0.25">
      <c r="A2102" t="str">
        <f>"20190303162255119"</f>
        <v>20190303162255119</v>
      </c>
      <c r="B2102" t="str">
        <f>"1551601375106651"</f>
        <v>1551601375106651</v>
      </c>
      <c r="C2102" t="s">
        <v>40</v>
      </c>
      <c r="D2102">
        <v>5.3287930000000001</v>
      </c>
      <c r="E2102">
        <v>0.50412120000000005</v>
      </c>
      <c r="F2102" t="s">
        <v>47</v>
      </c>
      <c r="G2102">
        <v>-385.1019</v>
      </c>
      <c r="H2102" s="1">
        <v>1.1781960000000001E-6</v>
      </c>
      <c r="I2102">
        <v>286.53480000000002</v>
      </c>
      <c r="J2102">
        <v>-326.36419999999998</v>
      </c>
      <c r="K2102">
        <v>1.1211960000000001</v>
      </c>
      <c r="L2102">
        <v>284.70909999999998</v>
      </c>
      <c r="M2102">
        <v>-0.99988129999999997</v>
      </c>
      <c r="N2102">
        <v>-1.3702310000000001E-2</v>
      </c>
      <c r="O2102">
        <v>-7.0673050000000003E-3</v>
      </c>
      <c r="P2102">
        <v>-0.98269050000000002</v>
      </c>
      <c r="Q2102">
        <v>0.18403249999999999</v>
      </c>
      <c r="R2102">
        <v>2.1259509999999999E-2</v>
      </c>
      <c r="S2102">
        <v>-3.061401</v>
      </c>
      <c r="T2102">
        <v>-5.813658E-2</v>
      </c>
      <c r="U2102">
        <v>9.4543459999999996E-2</v>
      </c>
      <c r="V2102">
        <v>2.8090759999999999E-2</v>
      </c>
      <c r="W2102">
        <v>0.19749439999999999</v>
      </c>
      <c r="X2102">
        <v>0.97990140000000003</v>
      </c>
      <c r="Y2102">
        <v>3.7919660000000001E-2</v>
      </c>
      <c r="Z2102">
        <v>6.5719300000000003E-4</v>
      </c>
      <c r="AA2102">
        <v>0.99928059999999996</v>
      </c>
      <c r="AB2102">
        <v>29</v>
      </c>
      <c r="AC2102">
        <v>-58.737699999999997</v>
      </c>
      <c r="AD2102">
        <v>-1.12119482180399</v>
      </c>
      <c r="AE2102">
        <v>1.8257000000000401</v>
      </c>
      <c r="AF2102">
        <v>2.2399951755234202</v>
      </c>
      <c r="AG2102">
        <v>-1.12119482180399</v>
      </c>
      <c r="AH2102">
        <v>58.7019609538183</v>
      </c>
      <c r="AI2102">
        <v>91.093408447055793</v>
      </c>
      <c r="AJ2102">
        <v>87.814723235265404</v>
      </c>
      <c r="AK2102">
        <v>58.755381677242298</v>
      </c>
      <c r="AL2102">
        <v>78.609522849794701</v>
      </c>
      <c r="AM2102">
        <v>88.357955890475097</v>
      </c>
      <c r="AN2102">
        <v>0.99999994127534697</v>
      </c>
    </row>
    <row r="2103" spans="1:40" x14ac:dyDescent="0.25">
      <c r="A2103" t="str">
        <f>"20190303162255141"</f>
        <v>20190303162255141</v>
      </c>
      <c r="B2103" t="str">
        <f>"1551601375137133"</f>
        <v>1551601375137133</v>
      </c>
      <c r="C2103" t="s">
        <v>40</v>
      </c>
      <c r="D2103">
        <v>5.0648739999999997</v>
      </c>
      <c r="E2103">
        <v>0.50395270000000003</v>
      </c>
      <c r="F2103" t="s">
        <v>47</v>
      </c>
      <c r="G2103">
        <v>-386.11489999999998</v>
      </c>
      <c r="H2103" s="1">
        <v>1.7172569999999999E-6</v>
      </c>
      <c r="I2103">
        <v>286.51069999999999</v>
      </c>
      <c r="J2103">
        <v>-326.65230000000003</v>
      </c>
      <c r="K2103">
        <v>1.1212</v>
      </c>
      <c r="L2103">
        <v>284.70670000000001</v>
      </c>
      <c r="M2103">
        <v>-0.99987910000000002</v>
      </c>
      <c r="N2103">
        <v>-1.369105E-2</v>
      </c>
      <c r="O2103">
        <v>-7.3797649999999999E-3</v>
      </c>
      <c r="P2103">
        <v>-0.98265619999999998</v>
      </c>
      <c r="Q2103">
        <v>0.18425240000000001</v>
      </c>
      <c r="R2103">
        <v>2.092457E-2</v>
      </c>
      <c r="S2103">
        <v>-3.0616150000000002</v>
      </c>
      <c r="T2103">
        <v>-5.7449819999999999E-2</v>
      </c>
      <c r="U2103">
        <v>9.2315670000000002E-2</v>
      </c>
      <c r="V2103">
        <v>2.8062690000000001E-2</v>
      </c>
      <c r="W2103">
        <v>0.19770289999999999</v>
      </c>
      <c r="X2103">
        <v>0.97986019999999896</v>
      </c>
      <c r="Y2103">
        <v>3.7503679999999998E-2</v>
      </c>
      <c r="Z2103">
        <v>6.460239E-4</v>
      </c>
      <c r="AA2103">
        <v>0.99929630000000003</v>
      </c>
      <c r="AB2103">
        <v>29</v>
      </c>
      <c r="AC2103">
        <v>-59.462599999999902</v>
      </c>
      <c r="AD2103">
        <v>-1.121198282743</v>
      </c>
      <c r="AE2103">
        <v>1.8039999999999701</v>
      </c>
      <c r="AF2103">
        <v>2.2420156149963502</v>
      </c>
      <c r="AG2103">
        <v>-1.121198282743</v>
      </c>
      <c r="AH2103">
        <v>59.426557602590101</v>
      </c>
      <c r="AI2103">
        <v>91.080100514993802</v>
      </c>
      <c r="AJ2103">
        <v>87.839398040433693</v>
      </c>
      <c r="AK2103">
        <v>59.479403730207899</v>
      </c>
      <c r="AL2103">
        <v>78.597336862405299</v>
      </c>
      <c r="AM2103">
        <v>88.359526888014599</v>
      </c>
      <c r="AN2103">
        <v>0.99999998139124202</v>
      </c>
    </row>
    <row r="2104" spans="1:40" x14ac:dyDescent="0.25">
      <c r="A2104" t="str">
        <f>"20190303162255164"</f>
        <v>20190303162255164</v>
      </c>
      <c r="B2104" t="str">
        <f>"1551601375156653"</f>
        <v>1551601375156653</v>
      </c>
      <c r="C2104" t="s">
        <v>40</v>
      </c>
      <c r="D2104">
        <v>5.3880549999999996</v>
      </c>
      <c r="E2104">
        <v>0.50398869999999996</v>
      </c>
      <c r="F2104" t="s">
        <v>47</v>
      </c>
      <c r="G2104">
        <v>-385.73180000000002</v>
      </c>
      <c r="H2104" s="1">
        <v>1.513362E-6</v>
      </c>
      <c r="I2104">
        <v>286.45499999999998</v>
      </c>
      <c r="J2104">
        <v>-326.95280000000002</v>
      </c>
      <c r="K2104">
        <v>1.1211990000000001</v>
      </c>
      <c r="L2104">
        <v>284.70409999999998</v>
      </c>
      <c r="M2104">
        <v>-0.99987689999999996</v>
      </c>
      <c r="N2104">
        <v>-1.3680319999999999E-2</v>
      </c>
      <c r="O2104">
        <v>-7.7049919999999999E-3</v>
      </c>
      <c r="P2104">
        <v>-0.982626</v>
      </c>
      <c r="Q2104">
        <v>0.18447459999999999</v>
      </c>
      <c r="R2104">
        <v>2.0386430000000001E-2</v>
      </c>
      <c r="S2104">
        <v>-3.0619200000000002</v>
      </c>
      <c r="T2104">
        <v>-5.8108569999999998E-2</v>
      </c>
      <c r="U2104">
        <v>9.0606690000000004E-2</v>
      </c>
      <c r="V2104">
        <v>2.7844029999999999E-2</v>
      </c>
      <c r="W2104">
        <v>0.1979137</v>
      </c>
      <c r="X2104">
        <v>0.97982389999999997</v>
      </c>
      <c r="Y2104">
        <v>3.7268320000000001E-2</v>
      </c>
      <c r="Z2104">
        <v>6.4935329999999997E-4</v>
      </c>
      <c r="AA2104">
        <v>0.99930509999999995</v>
      </c>
      <c r="AB2104">
        <v>29</v>
      </c>
      <c r="AC2104">
        <v>-58.779000000000003</v>
      </c>
      <c r="AD2104">
        <v>-1.1211974866379999</v>
      </c>
      <c r="AE2104">
        <v>1.7508999999999999</v>
      </c>
      <c r="AF2104">
        <v>2.2029812121713399</v>
      </c>
      <c r="AG2104">
        <v>-1.1211974866379999</v>
      </c>
      <c r="AH2104">
        <v>58.742408601128098</v>
      </c>
      <c r="AI2104">
        <v>91.092685436263693</v>
      </c>
      <c r="AJ2104">
        <v>87.852277344700596</v>
      </c>
      <c r="AK2104">
        <v>58.794394105961402</v>
      </c>
      <c r="AL2104">
        <v>78.585015651396105</v>
      </c>
      <c r="AM2104">
        <v>88.372242019738493</v>
      </c>
      <c r="AN2104">
        <v>0.99999999883277002</v>
      </c>
    </row>
    <row r="2105" spans="1:40" x14ac:dyDescent="0.25">
      <c r="A2105" t="str">
        <f>"20190303162255186"</f>
        <v>20190303162255186</v>
      </c>
      <c r="B2105" t="str">
        <f>"1551601375176173"</f>
        <v>1551601375176173</v>
      </c>
      <c r="C2105" t="s">
        <v>40</v>
      </c>
      <c r="D2105">
        <v>5.0472900000000003</v>
      </c>
      <c r="E2105">
        <v>0.50402590000000003</v>
      </c>
      <c r="F2105" t="s">
        <v>47</v>
      </c>
      <c r="G2105">
        <v>-385.42489999999998</v>
      </c>
      <c r="H2105" s="1">
        <v>1.3500730000000001E-6</v>
      </c>
      <c r="I2105">
        <v>286.41090000000003</v>
      </c>
      <c r="J2105">
        <v>-327.2448</v>
      </c>
      <c r="K2105">
        <v>1.1211960000000001</v>
      </c>
      <c r="L2105">
        <v>284.70150000000001</v>
      </c>
      <c r="M2105">
        <v>-0.99987440000000005</v>
      </c>
      <c r="N2105">
        <v>-1.3670750000000001E-2</v>
      </c>
      <c r="O2105">
        <v>-8.02164E-3</v>
      </c>
      <c r="P2105">
        <v>-0.98260150000000002</v>
      </c>
      <c r="Q2105">
        <v>0.18460989999999999</v>
      </c>
      <c r="R2105">
        <v>2.03401E-2</v>
      </c>
      <c r="S2105">
        <v>-3.0622560000000001</v>
      </c>
      <c r="T2105">
        <v>-5.8718439999999997E-2</v>
      </c>
      <c r="U2105">
        <v>8.9385989999999999E-2</v>
      </c>
      <c r="V2105">
        <v>2.8108729999999998E-2</v>
      </c>
      <c r="W2105">
        <v>0.19803899999999999</v>
      </c>
      <c r="X2105">
        <v>0.97979099999999997</v>
      </c>
      <c r="Y2105">
        <v>3.7183380000000002E-2</v>
      </c>
      <c r="Z2105">
        <v>6.5478550000000002E-4</v>
      </c>
      <c r="AA2105">
        <v>0.99930819999999998</v>
      </c>
      <c r="AB2105">
        <v>29</v>
      </c>
      <c r="AC2105">
        <v>-58.180099999999896</v>
      </c>
      <c r="AD2105">
        <v>-1.12119464992699</v>
      </c>
      <c r="AE2105">
        <v>1.70940000000001</v>
      </c>
      <c r="AF2105">
        <v>2.1752812645704598</v>
      </c>
      <c r="AG2105">
        <v>-1.12119464992699</v>
      </c>
      <c r="AH2105">
        <v>58.142940066243803</v>
      </c>
      <c r="AI2105">
        <v>91.1039494407418</v>
      </c>
      <c r="AJ2105">
        <v>87.857412545155398</v>
      </c>
      <c r="AK2105">
        <v>58.194419024248603</v>
      </c>
      <c r="AL2105">
        <v>78.577691245789097</v>
      </c>
      <c r="AM2105">
        <v>88.356720993026499</v>
      </c>
      <c r="AN2105">
        <v>0.99999997495210602</v>
      </c>
    </row>
    <row r="2106" spans="1:40" x14ac:dyDescent="0.25">
      <c r="A2106" t="str">
        <f>"20190303162255209"</f>
        <v>20190303162255209</v>
      </c>
      <c r="B2106" t="str">
        <f>"1551601375196670"</f>
        <v>1551601375196670</v>
      </c>
      <c r="C2106" t="s">
        <v>40</v>
      </c>
      <c r="D2106">
        <v>5.0924849999999999</v>
      </c>
      <c r="E2106">
        <v>0.50404170000000004</v>
      </c>
      <c r="F2106" t="s">
        <v>47</v>
      </c>
      <c r="G2106">
        <v>-385.67090000000002</v>
      </c>
      <c r="H2106" s="1">
        <v>1.4809699999999999E-6</v>
      </c>
      <c r="I2106">
        <v>286.41039999999998</v>
      </c>
      <c r="J2106">
        <v>-327.54160000000002</v>
      </c>
      <c r="K2106">
        <v>1.121191</v>
      </c>
      <c r="L2106">
        <v>284.69880000000001</v>
      </c>
      <c r="M2106">
        <v>-0.99987179999999998</v>
      </c>
      <c r="N2106">
        <v>-1.366173E-2</v>
      </c>
      <c r="O2106">
        <v>-8.3432950000000006E-3</v>
      </c>
      <c r="P2106">
        <v>-0.98265979999999997</v>
      </c>
      <c r="Q2106">
        <v>0.1842133</v>
      </c>
      <c r="R2106">
        <v>2.1101060000000001E-2</v>
      </c>
      <c r="S2106">
        <v>-3.0623469999999999</v>
      </c>
      <c r="T2106">
        <v>-5.8766369999999998E-2</v>
      </c>
      <c r="U2106">
        <v>8.9569090000000004E-2</v>
      </c>
      <c r="V2106">
        <v>2.918668E-2</v>
      </c>
      <c r="W2106">
        <v>0.1976347</v>
      </c>
      <c r="X2106">
        <v>0.97984119999999997</v>
      </c>
      <c r="Y2106">
        <v>3.7563539999999999E-2</v>
      </c>
      <c r="Z2106">
        <v>6.6311300000000001E-4</v>
      </c>
      <c r="AA2106">
        <v>0.99929400000000002</v>
      </c>
      <c r="AB2106">
        <v>29</v>
      </c>
      <c r="AC2106">
        <v>-58.129300000000001</v>
      </c>
      <c r="AD2106">
        <v>-1.1211895190300001</v>
      </c>
      <c r="AE2106">
        <v>1.71159999999997</v>
      </c>
      <c r="AF2106">
        <v>2.19575944919877</v>
      </c>
      <c r="AG2106">
        <v>-1.1211895190300001</v>
      </c>
      <c r="AH2106">
        <v>58.091402140699998</v>
      </c>
      <c r="AI2106">
        <v>91.104907552273005</v>
      </c>
      <c r="AJ2106">
        <v>87.835344277481198</v>
      </c>
      <c r="AK2106">
        <v>58.143696375177697</v>
      </c>
      <c r="AL2106">
        <v>78.601323961657201</v>
      </c>
      <c r="AM2106">
        <v>88.293826329649093</v>
      </c>
      <c r="AN2106">
        <v>1.0000000570754699</v>
      </c>
    </row>
    <row r="2107" spans="1:40" x14ac:dyDescent="0.25">
      <c r="A2107" t="str">
        <f>"20190303162255231"</f>
        <v>20190303162255231</v>
      </c>
      <c r="B2107" t="str">
        <f>"1551601375226925"</f>
        <v>1551601375226925</v>
      </c>
      <c r="C2107" t="s">
        <v>40</v>
      </c>
      <c r="D2107">
        <v>5.0798310000000004</v>
      </c>
      <c r="E2107">
        <v>0.50426309999999996</v>
      </c>
      <c r="F2107" t="s">
        <v>47</v>
      </c>
      <c r="G2107">
        <v>-384.50790000000001</v>
      </c>
      <c r="H2107" s="1">
        <v>8.6207899999999897E-7</v>
      </c>
      <c r="I2107">
        <v>286.40820000000002</v>
      </c>
      <c r="J2107">
        <v>-327.834</v>
      </c>
      <c r="K2107">
        <v>1.121192</v>
      </c>
      <c r="L2107">
        <v>284.69600000000003</v>
      </c>
      <c r="M2107">
        <v>-0.99986929999999996</v>
      </c>
      <c r="N2107">
        <v>-1.3653419999999999E-2</v>
      </c>
      <c r="O2107">
        <v>-8.6601950000000007E-3</v>
      </c>
      <c r="P2107">
        <v>-0.98263929999999999</v>
      </c>
      <c r="Q2107">
        <v>0.18427379999999999</v>
      </c>
      <c r="R2107">
        <v>2.1527020000000001E-2</v>
      </c>
      <c r="S2107">
        <v>-3.0622250000000002</v>
      </c>
      <c r="T2107">
        <v>-6.0269589999999998E-2</v>
      </c>
      <c r="U2107">
        <v>9.1888429999999993E-2</v>
      </c>
      <c r="V2107">
        <v>2.9923999999999999E-2</v>
      </c>
      <c r="W2107">
        <v>0.197687</v>
      </c>
      <c r="X2107">
        <v>0.97980829999999997</v>
      </c>
      <c r="Y2107">
        <v>3.8636730000000001E-2</v>
      </c>
      <c r="Z2107">
        <v>6.9615309999999995E-4</v>
      </c>
      <c r="AA2107">
        <v>0.99925310000000001</v>
      </c>
      <c r="AB2107">
        <v>29</v>
      </c>
      <c r="AC2107">
        <v>-56.673900000000003</v>
      </c>
      <c r="AD2107">
        <v>-1.121191137921</v>
      </c>
      <c r="AE2107">
        <v>1.7122000000000499</v>
      </c>
      <c r="AF2107">
        <v>2.2021274794997199</v>
      </c>
      <c r="AG2107">
        <v>-1.121191137921</v>
      </c>
      <c r="AH2107">
        <v>56.634799719969799</v>
      </c>
      <c r="AI2107">
        <v>91.133272175918506</v>
      </c>
      <c r="AJ2107">
        <v>87.773293404521098</v>
      </c>
      <c r="AK2107">
        <v>56.6886847115438</v>
      </c>
      <c r="AL2107">
        <v>78.598265847385804</v>
      </c>
      <c r="AM2107">
        <v>88.250692363161605</v>
      </c>
      <c r="AN2107">
        <v>0.99999995024694299</v>
      </c>
    </row>
    <row r="2108" spans="1:40" x14ac:dyDescent="0.25">
      <c r="A2108" t="str">
        <f>"20190303162255254"</f>
        <v>20190303162255254</v>
      </c>
      <c r="B2108" t="str">
        <f>"1551601375246445"</f>
        <v>1551601375246445</v>
      </c>
      <c r="C2108" t="s">
        <v>40</v>
      </c>
      <c r="D2108">
        <v>5.3214399999999999</v>
      </c>
      <c r="E2108">
        <v>0.50427230000000001</v>
      </c>
      <c r="F2108" t="s">
        <v>47</v>
      </c>
      <c r="G2108">
        <v>-383.89690000000002</v>
      </c>
      <c r="H2108" s="1">
        <v>5.369683E-7</v>
      </c>
      <c r="I2108">
        <v>286.4323</v>
      </c>
      <c r="J2108">
        <v>-328.12290000000002</v>
      </c>
      <c r="K2108">
        <v>1.121197</v>
      </c>
      <c r="L2108">
        <v>284.69310000000002</v>
      </c>
      <c r="M2108">
        <v>-0.9998667</v>
      </c>
      <c r="N2108">
        <v>-1.364571E-2</v>
      </c>
      <c r="O2108">
        <v>-8.9735200000000005E-3</v>
      </c>
      <c r="P2108">
        <v>-0.98250029999999999</v>
      </c>
      <c r="Q2108">
        <v>0.18494630000000001</v>
      </c>
      <c r="R2108">
        <v>2.2094610000000001E-2</v>
      </c>
      <c r="S2108">
        <v>-3.062408</v>
      </c>
      <c r="T2108">
        <v>-6.1244489999999999E-2</v>
      </c>
      <c r="U2108">
        <v>9.4848630000000003E-2</v>
      </c>
      <c r="V2108">
        <v>3.0797919999999999E-2</v>
      </c>
      <c r="W2108">
        <v>0.19835069999999999</v>
      </c>
      <c r="X2108">
        <v>0.97964709999999999</v>
      </c>
      <c r="Y2108">
        <v>3.991227E-2</v>
      </c>
      <c r="Z2108">
        <v>7.2838619999999999E-4</v>
      </c>
      <c r="AA2108">
        <v>0.9992029</v>
      </c>
      <c r="AB2108">
        <v>29</v>
      </c>
      <c r="AC2108">
        <v>-55.773999999999901</v>
      </c>
      <c r="AD2108">
        <v>-1.1211964630317</v>
      </c>
      <c r="AE2108">
        <v>1.7391999999999801</v>
      </c>
      <c r="AF2108">
        <v>2.2387618051535201</v>
      </c>
      <c r="AG2108">
        <v>-1.1211964630317</v>
      </c>
      <c r="AH2108">
        <v>55.7336451068945</v>
      </c>
      <c r="AI2108">
        <v>91.151538143883002</v>
      </c>
      <c r="AJ2108">
        <v>87.699725567863993</v>
      </c>
      <c r="AK2108">
        <v>55.789858691613397</v>
      </c>
      <c r="AL2108">
        <v>78.559470718968797</v>
      </c>
      <c r="AM2108">
        <v>88.199341534720006</v>
      </c>
      <c r="AN2108">
        <v>0.99999997630261195</v>
      </c>
    </row>
    <row r="2109" spans="1:40" x14ac:dyDescent="0.25">
      <c r="A2109" t="str">
        <f>"20190303162255274"</f>
        <v>20190303162255274</v>
      </c>
      <c r="B2109" t="str">
        <f>"1551601375266941"</f>
        <v>1551601375266941</v>
      </c>
      <c r="C2109" t="s">
        <v>40</v>
      </c>
      <c r="D2109">
        <v>5.3245120000000004</v>
      </c>
      <c r="E2109">
        <v>0.5042335</v>
      </c>
      <c r="F2109" t="s">
        <v>47</v>
      </c>
      <c r="G2109">
        <v>-385.45190000000002</v>
      </c>
      <c r="H2109" s="1">
        <v>1.364421E-6</v>
      </c>
      <c r="I2109">
        <v>286.49149999999997</v>
      </c>
      <c r="J2109">
        <v>-328.39600000000002</v>
      </c>
      <c r="K2109">
        <v>1.121191</v>
      </c>
      <c r="L2109">
        <v>284.69029999999998</v>
      </c>
      <c r="M2109">
        <v>-0.99986399999999998</v>
      </c>
      <c r="N2109">
        <v>-1.3638809999999999E-2</v>
      </c>
      <c r="O2109">
        <v>-9.2695699999999995E-3</v>
      </c>
      <c r="P2109">
        <v>-0.9825777</v>
      </c>
      <c r="Q2109">
        <v>0.18450620000000001</v>
      </c>
      <c r="R2109">
        <v>2.2324690000000001E-2</v>
      </c>
      <c r="S2109">
        <v>-3.0625610000000001</v>
      </c>
      <c r="T2109">
        <v>-5.9895160000000003E-2</v>
      </c>
      <c r="U2109">
        <v>9.6069340000000003E-2</v>
      </c>
      <c r="V2109">
        <v>3.131983E-2</v>
      </c>
      <c r="W2109">
        <v>0.19790479999999999</v>
      </c>
      <c r="X2109">
        <v>0.97972079999999995</v>
      </c>
      <c r="Y2109">
        <v>4.0604719999999997E-2</v>
      </c>
      <c r="Z2109">
        <v>7.2878389999999997E-4</v>
      </c>
      <c r="AA2109">
        <v>0.99917500000000004</v>
      </c>
      <c r="AB2109">
        <v>29</v>
      </c>
      <c r="AC2109">
        <v>-57.055900000000001</v>
      </c>
      <c r="AD2109">
        <v>-1.1211896355789901</v>
      </c>
      <c r="AE2109">
        <v>1.8011999999999899</v>
      </c>
      <c r="AF2109">
        <v>2.3291569563699301</v>
      </c>
      <c r="AG2109">
        <v>-1.1211896355789901</v>
      </c>
      <c r="AH2109">
        <v>57.014755947724701</v>
      </c>
      <c r="AI2109">
        <v>91.1256320991276</v>
      </c>
      <c r="AJ2109">
        <v>87.660663489766407</v>
      </c>
      <c r="AK2109">
        <v>57.073325066137002</v>
      </c>
      <c r="AL2109">
        <v>78.585536393635394</v>
      </c>
      <c r="AM2109">
        <v>88.168985339592197</v>
      </c>
      <c r="AN2109">
        <v>1.00000004378345</v>
      </c>
    </row>
    <row r="2110" spans="1:40" x14ac:dyDescent="0.25">
      <c r="A2110" t="str">
        <f>"20190303162255297"</f>
        <v>20190303162255297</v>
      </c>
      <c r="B2110" t="str">
        <f>"1551601375286461"</f>
        <v>1551601375286461</v>
      </c>
      <c r="C2110" t="s">
        <v>40</v>
      </c>
      <c r="D2110">
        <v>4.9673769999999999</v>
      </c>
      <c r="E2110">
        <v>0.50415779999999999</v>
      </c>
      <c r="F2110" t="s">
        <v>47</v>
      </c>
      <c r="G2110">
        <v>-383.86450000000002</v>
      </c>
      <c r="H2110" s="1">
        <v>5.197064E-7</v>
      </c>
      <c r="I2110">
        <v>286.4391</v>
      </c>
      <c r="J2110">
        <v>-328.69130000000001</v>
      </c>
      <c r="K2110">
        <v>1.121183</v>
      </c>
      <c r="L2110">
        <v>284.68720000000002</v>
      </c>
      <c r="M2110">
        <v>-0.99986109999999995</v>
      </c>
      <c r="N2110">
        <v>-1.363171E-2</v>
      </c>
      <c r="O2110">
        <v>-9.5896980000000007E-3</v>
      </c>
      <c r="P2110">
        <v>-0.98264600000000002</v>
      </c>
      <c r="Q2110">
        <v>0.18417120000000001</v>
      </c>
      <c r="R2110">
        <v>2.2085009999999999E-2</v>
      </c>
      <c r="S2110">
        <v>-3.0626220000000002</v>
      </c>
      <c r="T2110">
        <v>-6.190503E-2</v>
      </c>
      <c r="U2110">
        <v>9.6557619999999997E-2</v>
      </c>
      <c r="V2110">
        <v>3.1395590000000001E-2</v>
      </c>
      <c r="W2110">
        <v>0.19756360000000001</v>
      </c>
      <c r="X2110">
        <v>0.97978719999999997</v>
      </c>
      <c r="Y2110">
        <v>4.1082229999999997E-2</v>
      </c>
      <c r="Z2110">
        <v>7.5827939999999997E-4</v>
      </c>
      <c r="AA2110">
        <v>0.99915549999999997</v>
      </c>
      <c r="AB2110">
        <v>29</v>
      </c>
      <c r="AC2110">
        <v>-55.173200000000001</v>
      </c>
      <c r="AD2110">
        <v>-1.1211824802935999</v>
      </c>
      <c r="AE2110">
        <v>1.75189999999997</v>
      </c>
      <c r="AF2110">
        <v>2.28002233480295</v>
      </c>
      <c r="AG2110">
        <v>-1.1211824802935999</v>
      </c>
      <c r="AH2110">
        <v>55.131117389029797</v>
      </c>
      <c r="AI2110">
        <v>91.164049105321695</v>
      </c>
      <c r="AJ2110">
        <v>87.631804650459102</v>
      </c>
      <c r="AK2110">
        <v>55.1896335969384</v>
      </c>
      <c r="AL2110">
        <v>78.6054790646523</v>
      </c>
      <c r="AM2110">
        <v>88.164683599383906</v>
      </c>
      <c r="AN2110">
        <v>1.0000000082001199</v>
      </c>
    </row>
    <row r="2111" spans="1:40" x14ac:dyDescent="0.25">
      <c r="A2111" t="str">
        <f>"20190303162255319"</f>
        <v>20190303162255319</v>
      </c>
      <c r="B2111" t="str">
        <f>"1551601375306958"</f>
        <v>1551601375306958</v>
      </c>
      <c r="C2111" t="s">
        <v>40</v>
      </c>
      <c r="D2111">
        <v>4.9309269999999996</v>
      </c>
      <c r="E2111">
        <v>0.50404389999999999</v>
      </c>
      <c r="F2111" t="s">
        <v>47</v>
      </c>
      <c r="G2111">
        <v>-382.61630000000002</v>
      </c>
      <c r="H2111" s="1">
        <v>-1.4451439999999999E-7</v>
      </c>
      <c r="I2111">
        <v>286.35989999999998</v>
      </c>
      <c r="J2111">
        <v>-328.97710000000001</v>
      </c>
      <c r="K2111">
        <v>1.1211819999999999</v>
      </c>
      <c r="L2111">
        <v>284.6841</v>
      </c>
      <c r="M2111">
        <v>-0.99985820000000003</v>
      </c>
      <c r="N2111">
        <v>-1.362493E-2</v>
      </c>
      <c r="O2111">
        <v>-9.899929E-3</v>
      </c>
      <c r="P2111">
        <v>-0.98277099999999995</v>
      </c>
      <c r="Q2111">
        <v>0.1836219</v>
      </c>
      <c r="R2111">
        <v>2.108105E-2</v>
      </c>
      <c r="S2111">
        <v>-3.0627749999999998</v>
      </c>
      <c r="T2111">
        <v>-6.3679810000000003E-2</v>
      </c>
      <c r="U2111">
        <v>9.5001219999999997E-2</v>
      </c>
      <c r="V2111">
        <v>3.0698380000000001E-2</v>
      </c>
      <c r="W2111">
        <v>0.1970092</v>
      </c>
      <c r="X2111">
        <v>0.97992089999999998</v>
      </c>
      <c r="Y2111">
        <v>4.0882809999999999E-2</v>
      </c>
      <c r="Z2111">
        <v>7.7441999999999995E-4</v>
      </c>
      <c r="AA2111">
        <v>0.99916360000000004</v>
      </c>
      <c r="AB2111">
        <v>29</v>
      </c>
      <c r="AC2111">
        <v>-53.639200000000002</v>
      </c>
      <c r="AD2111">
        <v>-1.1211821445143999</v>
      </c>
      <c r="AE2111">
        <v>1.67579999999998</v>
      </c>
      <c r="AF2111">
        <v>2.2058286118013402</v>
      </c>
      <c r="AG2111">
        <v>-1.1211821445143999</v>
      </c>
      <c r="AH2111">
        <v>53.596585233438901</v>
      </c>
      <c r="AI2111">
        <v>91.197377120819198</v>
      </c>
      <c r="AJ2111">
        <v>87.643256865950306</v>
      </c>
      <c r="AK2111">
        <v>53.653673480490603</v>
      </c>
      <c r="AL2111">
        <v>78.637880492649899</v>
      </c>
      <c r="AM2111">
        <v>88.205658685344503</v>
      </c>
      <c r="AN2111">
        <v>0.99999999283803698</v>
      </c>
    </row>
    <row r="2112" spans="1:40" x14ac:dyDescent="0.25">
      <c r="A2112" t="str">
        <f>"20190303162255353"</f>
        <v>20190303162255353</v>
      </c>
      <c r="B2112" t="str">
        <f>"1551601375346973"</f>
        <v>1551601375346973</v>
      </c>
      <c r="C2112" t="s">
        <v>40</v>
      </c>
      <c r="D2112">
        <v>5.2882800000000003</v>
      </c>
      <c r="E2112">
        <v>0.5039418</v>
      </c>
      <c r="F2112" t="s">
        <v>47</v>
      </c>
      <c r="G2112">
        <v>-380.82220000000001</v>
      </c>
      <c r="H2112" s="1">
        <v>-1.0992720000000001E-6</v>
      </c>
      <c r="I2112">
        <v>286.22500000000002</v>
      </c>
      <c r="J2112">
        <v>-329.42360000000002</v>
      </c>
      <c r="K2112">
        <v>1.1211880000000001</v>
      </c>
      <c r="L2112">
        <v>284.67919999999998</v>
      </c>
      <c r="M2112">
        <v>-0.99985349999999995</v>
      </c>
      <c r="N2112">
        <v>-1.361508E-2</v>
      </c>
      <c r="O2112">
        <v>-1.0383939999999999E-2</v>
      </c>
      <c r="P2112">
        <v>-0.98263</v>
      </c>
      <c r="Q2112">
        <v>0.1844779</v>
      </c>
      <c r="R2112">
        <v>2.0155639999999999E-2</v>
      </c>
      <c r="S2112">
        <v>-3.0630190000000002</v>
      </c>
      <c r="T2112">
        <v>-6.623983E-2</v>
      </c>
      <c r="U2112">
        <v>9.1033939999999994E-2</v>
      </c>
      <c r="V2112">
        <v>3.024665E-2</v>
      </c>
      <c r="W2112">
        <v>0.197853</v>
      </c>
      <c r="X2112">
        <v>0.97976490000000005</v>
      </c>
      <c r="Y2112">
        <v>4.0070340000000003E-2</v>
      </c>
      <c r="Z2112">
        <v>7.8917869999999999E-4</v>
      </c>
      <c r="AA2112">
        <v>0.99919650000000004</v>
      </c>
      <c r="AB2112">
        <v>29</v>
      </c>
      <c r="AC2112">
        <v>-51.398599999999902</v>
      </c>
      <c r="AD2112">
        <v>-1.1211890992719999</v>
      </c>
      <c r="AE2112">
        <v>1.54580000000004</v>
      </c>
      <c r="AF2112">
        <v>2.07849791303203</v>
      </c>
      <c r="AG2112">
        <v>-1.1211890992719999</v>
      </c>
      <c r="AH2112">
        <v>51.3553608471111</v>
      </c>
      <c r="AI2112">
        <v>91.249658747592605</v>
      </c>
      <c r="AJ2112">
        <v>87.682341331467697</v>
      </c>
      <c r="AK2112">
        <v>51.4096324272776</v>
      </c>
      <c r="AL2112">
        <v>78.588563266460497</v>
      </c>
      <c r="AM2112">
        <v>88.231764412807806</v>
      </c>
      <c r="AN2112">
        <v>0.99999996435861505</v>
      </c>
    </row>
    <row r="2113" spans="1:40" x14ac:dyDescent="0.25">
      <c r="A2113" t="str">
        <f>"20190303162255376"</f>
        <v>20190303162255376</v>
      </c>
      <c r="B2113" t="str">
        <f>"1551601375366494"</f>
        <v>1551601375366494</v>
      </c>
      <c r="C2113" t="s">
        <v>40</v>
      </c>
      <c r="D2113">
        <v>5.2822360000000002</v>
      </c>
      <c r="E2113">
        <v>0.4885565</v>
      </c>
      <c r="F2113" t="s">
        <v>47</v>
      </c>
      <c r="G2113">
        <v>-382.5213</v>
      </c>
      <c r="H2113" s="1">
        <v>-1.951003E-7</v>
      </c>
      <c r="I2113">
        <v>286.1909</v>
      </c>
      <c r="J2113">
        <v>-329.71719999999999</v>
      </c>
      <c r="K2113">
        <v>1.121183</v>
      </c>
      <c r="L2113">
        <v>284.67579999999998</v>
      </c>
      <c r="M2113">
        <v>-0.99985009999999996</v>
      </c>
      <c r="N2113">
        <v>-1.360925E-2</v>
      </c>
      <c r="O2113">
        <v>-1.070252E-2</v>
      </c>
      <c r="P2113">
        <v>-0.98264879999999999</v>
      </c>
      <c r="Q2113">
        <v>0.18440709999999999</v>
      </c>
      <c r="R2113">
        <v>1.988258E-2</v>
      </c>
      <c r="S2113">
        <v>-3.0633849999999998</v>
      </c>
      <c r="T2113">
        <v>-6.4685229999999996E-2</v>
      </c>
      <c r="U2113">
        <v>8.7219240000000003E-2</v>
      </c>
      <c r="V2113">
        <v>3.0287229999999998E-2</v>
      </c>
      <c r="W2113">
        <v>0.1977768</v>
      </c>
      <c r="X2113">
        <v>0.97977910000000001</v>
      </c>
      <c r="Y2113">
        <v>3.914289E-2</v>
      </c>
      <c r="Z2113">
        <v>7.5990429999999896E-4</v>
      </c>
      <c r="AA2113">
        <v>0.99923329999999999</v>
      </c>
      <c r="AB2113">
        <v>29</v>
      </c>
      <c r="AC2113">
        <v>-52.804099999999998</v>
      </c>
      <c r="AD2113">
        <v>-1.1211831951003</v>
      </c>
      <c r="AE2113">
        <v>1.5151000000000101</v>
      </c>
      <c r="AF2113">
        <v>2.0792658582187999</v>
      </c>
      <c r="AG2113">
        <v>-1.1211831951003</v>
      </c>
      <c r="AH2113">
        <v>52.761091275184398</v>
      </c>
      <c r="AI2113">
        <v>91.216419015766803</v>
      </c>
      <c r="AJ2113">
        <v>87.743194114511098</v>
      </c>
      <c r="AK2113">
        <v>52.813948449386601</v>
      </c>
      <c r="AL2113">
        <v>78.593017998111705</v>
      </c>
      <c r="AM2113">
        <v>88.229419238210497</v>
      </c>
      <c r="AN2113">
        <v>1.00000003185806</v>
      </c>
    </row>
    <row r="2114" spans="1:40" x14ac:dyDescent="0.25">
      <c r="A2114" t="str">
        <f>"20190303162255397"</f>
        <v>20190303162255397</v>
      </c>
      <c r="B2114" t="str">
        <f>"1551601375386991"</f>
        <v>1551601375386991</v>
      </c>
      <c r="C2114" t="s">
        <v>40</v>
      </c>
      <c r="D2114">
        <v>5.2910389999999996</v>
      </c>
      <c r="E2114">
        <v>0.48599949999999997</v>
      </c>
      <c r="F2114" t="s">
        <v>47</v>
      </c>
      <c r="G2114">
        <v>-375.04829999999998</v>
      </c>
      <c r="H2114" s="1">
        <v>1.1496500000000001E-6</v>
      </c>
      <c r="I2114">
        <v>284.14100000000002</v>
      </c>
      <c r="J2114">
        <v>-329.99700000000001</v>
      </c>
      <c r="K2114">
        <v>1.1211819999999999</v>
      </c>
      <c r="L2114">
        <v>284.67239999999998</v>
      </c>
      <c r="M2114">
        <v>-0.99984700000000004</v>
      </c>
      <c r="N2114">
        <v>-1.3604089999999999E-2</v>
      </c>
      <c r="O2114">
        <v>-1.100633E-2</v>
      </c>
      <c r="P2114">
        <v>-0.9826975</v>
      </c>
      <c r="Q2114">
        <v>0.1842048</v>
      </c>
      <c r="R2114">
        <v>1.936007E-2</v>
      </c>
      <c r="S2114">
        <v>-3.0679630000000002</v>
      </c>
      <c r="T2114">
        <v>-7.5880409999999995E-2</v>
      </c>
      <c r="U2114">
        <v>-3.619385E-2</v>
      </c>
      <c r="V2114">
        <v>3.0064199999999999E-2</v>
      </c>
      <c r="W2114">
        <v>0.19756969999999999</v>
      </c>
      <c r="X2114">
        <v>0.97982769999999997</v>
      </c>
      <c r="Y2114">
        <v>-7.8954459999999998E-4</v>
      </c>
      <c r="Z2114">
        <v>1.0730020000000001E-4</v>
      </c>
      <c r="AA2114">
        <v>0.99999970000000005</v>
      </c>
      <c r="AB2114">
        <v>29</v>
      </c>
      <c r="AC2114">
        <v>-45.051299999999998</v>
      </c>
      <c r="AD2114">
        <v>-1.12118085034999</v>
      </c>
      <c r="AE2114">
        <v>-0.53140000000001897</v>
      </c>
      <c r="AF2114">
        <v>-3.5450546273856E-2</v>
      </c>
      <c r="AG2114">
        <v>-1.12118085034999</v>
      </c>
      <c r="AH2114">
        <v>45.026536634709998</v>
      </c>
      <c r="AI2114">
        <v>91.426395274868796</v>
      </c>
      <c r="AJ2114">
        <v>90.045110426318303</v>
      </c>
      <c r="AK2114">
        <v>45.040507374554601</v>
      </c>
      <c r="AL2114">
        <v>78.605122231384698</v>
      </c>
      <c r="AM2114">
        <v>88.242536406278205</v>
      </c>
      <c r="AN2114">
        <v>0.99999998208350904</v>
      </c>
    </row>
    <row r="2115" spans="1:40" x14ac:dyDescent="0.25">
      <c r="A2115" t="str">
        <f>"20190303162255422"</f>
        <v>20190303162255422</v>
      </c>
      <c r="B2115" t="str">
        <f>"1551601375416269"</f>
        <v>1551601375416269</v>
      </c>
      <c r="C2115" t="s">
        <v>40</v>
      </c>
      <c r="D2115">
        <v>5.2148510000000003</v>
      </c>
      <c r="E2115">
        <v>0.48608620000000002</v>
      </c>
      <c r="F2115" t="s">
        <v>47</v>
      </c>
      <c r="G2115">
        <v>-376.0634</v>
      </c>
      <c r="H2115" s="1">
        <v>1.689848E-6</v>
      </c>
      <c r="I2115">
        <v>283.80040000000002</v>
      </c>
      <c r="J2115">
        <v>-330.30040000000002</v>
      </c>
      <c r="K2115">
        <v>1.1211930000000001</v>
      </c>
      <c r="L2115">
        <v>284.6687</v>
      </c>
      <c r="M2115">
        <v>-0.99984340000000005</v>
      </c>
      <c r="N2115">
        <v>-1.3598590000000001E-2</v>
      </c>
      <c r="O2115">
        <v>-1.133576E-2</v>
      </c>
      <c r="P2115">
        <v>-0.98265130000000001</v>
      </c>
      <c r="Q2115">
        <v>0.18444189999999999</v>
      </c>
      <c r="R2115">
        <v>1.9438730000000001E-2</v>
      </c>
      <c r="S2115">
        <v>-3.0679630000000002</v>
      </c>
      <c r="T2115">
        <v>-7.4669239999999998E-2</v>
      </c>
      <c r="U2115">
        <v>-5.807495E-2</v>
      </c>
      <c r="V2115">
        <v>3.0466219999999999E-2</v>
      </c>
      <c r="W2115">
        <v>0.19780110000000001</v>
      </c>
      <c r="X2115">
        <v>0.97976859999999999</v>
      </c>
      <c r="Y2115">
        <v>-7.5872509999999997E-3</v>
      </c>
      <c r="Z2115" s="1">
        <v>-2.2239180000000001E-5</v>
      </c>
      <c r="AA2115">
        <v>0.99997119999999995</v>
      </c>
      <c r="AB2115">
        <v>29</v>
      </c>
      <c r="AC2115">
        <v>-45.762999999999899</v>
      </c>
      <c r="AD2115">
        <v>-1.1211913101519999</v>
      </c>
      <c r="AE2115">
        <v>-0.86829999999997598</v>
      </c>
      <c r="AF2115">
        <v>-0.34922835916605999</v>
      </c>
      <c r="AG2115">
        <v>-1.1211913101519999</v>
      </c>
      <c r="AH2115">
        <v>45.742455930693602</v>
      </c>
      <c r="AI2115">
        <v>91.404052267749293</v>
      </c>
      <c r="AJ2115">
        <v>90.437425623626893</v>
      </c>
      <c r="AK2115">
        <v>45.757527303955698</v>
      </c>
      <c r="AL2115">
        <v>78.5915971399358</v>
      </c>
      <c r="AM2115">
        <v>88.218943190768798</v>
      </c>
      <c r="AN2115">
        <v>0.99999998763412901</v>
      </c>
    </row>
    <row r="2116" spans="1:40" x14ac:dyDescent="0.25">
      <c r="A2116" t="str">
        <f>"20190303162255442"</f>
        <v>20190303162255442</v>
      </c>
      <c r="B2116" t="str">
        <f>"1551601375436765"</f>
        <v>1551601375436765</v>
      </c>
      <c r="C2116" t="s">
        <v>40</v>
      </c>
      <c r="D2116">
        <v>5.2101309999999996</v>
      </c>
      <c r="E2116">
        <v>0.48640369999999999</v>
      </c>
      <c r="F2116" t="s">
        <v>47</v>
      </c>
      <c r="G2116">
        <v>-379.70319999999998</v>
      </c>
      <c r="H2116" s="1">
        <v>3.6267689999999999E-6</v>
      </c>
      <c r="I2116">
        <v>283.7441</v>
      </c>
      <c r="J2116">
        <v>-330.57679999999999</v>
      </c>
      <c r="K2116">
        <v>1.1211990000000001</v>
      </c>
      <c r="L2116">
        <v>284.66520000000003</v>
      </c>
      <c r="M2116">
        <v>-0.9998399</v>
      </c>
      <c r="N2116">
        <v>-1.359366E-2</v>
      </c>
      <c r="O2116">
        <v>-1.1635990000000001E-2</v>
      </c>
      <c r="P2116">
        <v>-0.98255769999999998</v>
      </c>
      <c r="Q2116">
        <v>0.18492980000000001</v>
      </c>
      <c r="R2116">
        <v>1.9522290000000001E-2</v>
      </c>
      <c r="S2116">
        <v>-3.0671689999999998</v>
      </c>
      <c r="T2116">
        <v>-6.9608929999999999E-2</v>
      </c>
      <c r="U2116">
        <v>-5.7403559999999999E-2</v>
      </c>
      <c r="V2116">
        <v>3.0843349999999999E-2</v>
      </c>
      <c r="W2116">
        <v>0.19828290000000001</v>
      </c>
      <c r="X2116">
        <v>0.97965939999999996</v>
      </c>
      <c r="Y2116">
        <v>-7.07348E-3</v>
      </c>
      <c r="Z2116" s="1">
        <v>-2.250167E-5</v>
      </c>
      <c r="AA2116">
        <v>0.99997499999999995</v>
      </c>
      <c r="AB2116">
        <v>29</v>
      </c>
      <c r="AC2116">
        <v>-49.126399999999897</v>
      </c>
      <c r="AD2116">
        <v>-1.121195373231</v>
      </c>
      <c r="AE2116">
        <v>-0.92110000000002401</v>
      </c>
      <c r="AF2116">
        <v>-0.34916870140975298</v>
      </c>
      <c r="AG2116">
        <v>-1.121195373231</v>
      </c>
      <c r="AH2116">
        <v>49.108222198985104</v>
      </c>
      <c r="AI2116">
        <v>91.307866152274698</v>
      </c>
      <c r="AJ2116">
        <v>90.4073769098555</v>
      </c>
      <c r="AK2116">
        <v>49.122260589185998</v>
      </c>
      <c r="AL2116">
        <v>78.563434140365302</v>
      </c>
      <c r="AM2116">
        <v>88.196709762922296</v>
      </c>
      <c r="AN2116">
        <v>0.99999998033999604</v>
      </c>
    </row>
    <row r="2117" spans="1:40" x14ac:dyDescent="0.25">
      <c r="A2117" t="str">
        <f>"20190303162255465"</f>
        <v>20190303162255465</v>
      </c>
      <c r="B2117" t="str">
        <f>"1551601375456285"</f>
        <v>1551601375456285</v>
      </c>
      <c r="C2117" t="s">
        <v>40</v>
      </c>
      <c r="D2117">
        <v>4.9837790000000002</v>
      </c>
      <c r="E2117">
        <v>0.48676249999999999</v>
      </c>
      <c r="F2117" t="s">
        <v>47</v>
      </c>
      <c r="G2117">
        <v>-383.2124</v>
      </c>
      <c r="H2117" s="1">
        <v>1.7270359999999999E-7</v>
      </c>
      <c r="I2117">
        <v>283.72340000000003</v>
      </c>
      <c r="J2117">
        <v>-330.85939999999999</v>
      </c>
      <c r="K2117">
        <v>1.121202</v>
      </c>
      <c r="L2117">
        <v>284.66160000000002</v>
      </c>
      <c r="M2117">
        <v>-0.99983639999999996</v>
      </c>
      <c r="N2117">
        <v>-1.3588569999999999E-2</v>
      </c>
      <c r="O2117">
        <v>-1.194219E-2</v>
      </c>
      <c r="P2117">
        <v>-0.98248500000000005</v>
      </c>
      <c r="Q2117">
        <v>0.18530559999999999</v>
      </c>
      <c r="R2117">
        <v>1.9637180000000001E-2</v>
      </c>
      <c r="S2117">
        <v>-3.066681</v>
      </c>
      <c r="T2117">
        <v>-6.5323829999999999E-2</v>
      </c>
      <c r="U2117">
        <v>-5.487061E-2</v>
      </c>
      <c r="V2117">
        <v>3.1258290000000001E-2</v>
      </c>
      <c r="W2117">
        <v>0.1986522</v>
      </c>
      <c r="X2117">
        <v>0.97957150000000004</v>
      </c>
      <c r="Y2117">
        <v>-5.9451340000000004E-3</v>
      </c>
      <c r="Z2117" s="1">
        <v>-1.1662869999999999E-5</v>
      </c>
      <c r="AA2117">
        <v>0.99998240000000005</v>
      </c>
      <c r="AB2117">
        <v>29</v>
      </c>
      <c r="AC2117">
        <v>-52.353000000000002</v>
      </c>
      <c r="AD2117">
        <v>-1.1212018272963999</v>
      </c>
      <c r="AE2117">
        <v>-0.93819999999999404</v>
      </c>
      <c r="AF2117">
        <v>-0.312722524446298</v>
      </c>
      <c r="AG2117">
        <v>-1.1212018272963999</v>
      </c>
      <c r="AH2117">
        <v>52.336474603146698</v>
      </c>
      <c r="AI2117">
        <v>91.227235157175201</v>
      </c>
      <c r="AJ2117">
        <v>90.342351442454998</v>
      </c>
      <c r="AK2117">
        <v>52.349417024458297</v>
      </c>
      <c r="AL2117">
        <v>78.5418461666209</v>
      </c>
      <c r="AM2117">
        <v>88.172302304347099</v>
      </c>
      <c r="AN2117">
        <v>1.0000000504354001</v>
      </c>
    </row>
    <row r="2118" spans="1:40" x14ac:dyDescent="0.25">
      <c r="A2118" t="str">
        <f>"20190303162255477"</f>
        <v>20190303162255477</v>
      </c>
      <c r="B2118" t="str">
        <f>"1551601375467022"</f>
        <v>1551601375467022</v>
      </c>
      <c r="C2118" t="s">
        <v>40</v>
      </c>
      <c r="D2118">
        <v>5.2101800000000003</v>
      </c>
      <c r="E2118">
        <v>0.48682500000000001</v>
      </c>
      <c r="F2118" t="s">
        <v>47</v>
      </c>
      <c r="G2118">
        <v>-385.70960000000002</v>
      </c>
      <c r="H2118" s="1">
        <v>1.501595E-6</v>
      </c>
      <c r="I2118">
        <v>283.73250000000002</v>
      </c>
      <c r="J2118">
        <v>-331.03730000000002</v>
      </c>
      <c r="K2118">
        <v>1.121194</v>
      </c>
      <c r="L2118">
        <v>284.65929999999997</v>
      </c>
      <c r="M2118">
        <v>-0.99983409999999995</v>
      </c>
      <c r="N2118">
        <v>-1.358551E-2</v>
      </c>
      <c r="O2118">
        <v>-1.2135750000000001E-2</v>
      </c>
      <c r="P2118">
        <v>-0.9824889</v>
      </c>
      <c r="Q2118">
        <v>0.1853041</v>
      </c>
      <c r="R2118">
        <v>1.9453809999999998E-2</v>
      </c>
      <c r="S2118">
        <v>-3.0663450000000001</v>
      </c>
      <c r="T2118">
        <v>-6.2679529999999997E-2</v>
      </c>
      <c r="U2118">
        <v>-5.1940920000000002E-2</v>
      </c>
      <c r="V2118">
        <v>3.1265269999999998E-2</v>
      </c>
      <c r="W2118">
        <v>0.19864789999999999</v>
      </c>
      <c r="X2118">
        <v>0.97957209999999995</v>
      </c>
      <c r="Y2118">
        <v>-4.7988429999999997E-3</v>
      </c>
      <c r="Z2118" s="1">
        <v>1.5009920000000001E-6</v>
      </c>
      <c r="AA2118">
        <v>0.99998849999999995</v>
      </c>
      <c r="AB2118">
        <v>29</v>
      </c>
      <c r="AC2118">
        <v>-54.6723</v>
      </c>
      <c r="AD2118">
        <v>-1.1211924984049999</v>
      </c>
      <c r="AE2118">
        <v>-0.92679999999995699</v>
      </c>
      <c r="AF2118">
        <v>-0.263070553631369</v>
      </c>
      <c r="AG2118">
        <v>-1.1211924984049999</v>
      </c>
      <c r="AH2118">
        <v>54.656541958377403</v>
      </c>
      <c r="AI2118">
        <v>91.1751538552396</v>
      </c>
      <c r="AJ2118">
        <v>90.275771490547001</v>
      </c>
      <c r="AK2118">
        <v>54.668673457315002</v>
      </c>
      <c r="AL2118">
        <v>78.542096988101903</v>
      </c>
      <c r="AM2118">
        <v>88.171895573935501</v>
      </c>
      <c r="AN2118">
        <v>1.00000000219049</v>
      </c>
    </row>
    <row r="2119" spans="1:40" x14ac:dyDescent="0.25">
      <c r="A2119" t="str">
        <f>"20190303162255491"</f>
        <v>20190303162255491</v>
      </c>
      <c r="B2119" t="str">
        <f>"1551601375486542"</f>
        <v>1551601375486542</v>
      </c>
      <c r="C2119" t="s">
        <v>40</v>
      </c>
      <c r="D2119">
        <v>5.2702559999999998</v>
      </c>
      <c r="E2119">
        <v>0.48688999999999999</v>
      </c>
      <c r="F2119" t="s">
        <v>47</v>
      </c>
      <c r="G2119">
        <v>-386.88220000000001</v>
      </c>
      <c r="H2119" s="1">
        <v>2.125568E-6</v>
      </c>
      <c r="I2119">
        <v>283.7088</v>
      </c>
      <c r="J2119">
        <v>-331.20139999999998</v>
      </c>
      <c r="K2119">
        <v>1.1211930000000001</v>
      </c>
      <c r="L2119">
        <v>284.65710000000001</v>
      </c>
      <c r="M2119">
        <v>-0.99983200000000005</v>
      </c>
      <c r="N2119">
        <v>-1.358267E-2</v>
      </c>
      <c r="O2119">
        <v>-1.2313930000000001E-2</v>
      </c>
      <c r="P2119">
        <v>-0.98249200000000003</v>
      </c>
      <c r="Q2119">
        <v>0.18527469999999999</v>
      </c>
      <c r="R2119">
        <v>1.9569240000000002E-2</v>
      </c>
      <c r="S2119">
        <v>-3.0661010000000002</v>
      </c>
      <c r="T2119">
        <v>-6.1557769999999998E-2</v>
      </c>
      <c r="U2119">
        <v>-5.2185059999999998E-2</v>
      </c>
      <c r="V2119">
        <v>3.1556010000000002E-2</v>
      </c>
      <c r="W2119">
        <v>0.19861570000000001</v>
      </c>
      <c r="X2119">
        <v>0.97956929999999998</v>
      </c>
      <c r="Y2119">
        <v>-4.7016389999999996E-3</v>
      </c>
      <c r="Z2119" s="1">
        <v>7.8923489999999997E-7</v>
      </c>
      <c r="AA2119">
        <v>0.99998900000000002</v>
      </c>
      <c r="AB2119">
        <v>29</v>
      </c>
      <c r="AC2119">
        <v>-55.680799999999998</v>
      </c>
      <c r="AD2119">
        <v>-1.1211908744320001</v>
      </c>
      <c r="AE2119">
        <v>-0.94830000000001702</v>
      </c>
      <c r="AF2119">
        <v>-0.26240904351453398</v>
      </c>
      <c r="AG2119">
        <v>-1.1211908744320001</v>
      </c>
      <c r="AH2119">
        <v>55.665692242844301</v>
      </c>
      <c r="AI2119">
        <v>91.153854453203195</v>
      </c>
      <c r="AJ2119">
        <v>90.270091302678793</v>
      </c>
      <c r="AK2119">
        <v>55.677600705832198</v>
      </c>
      <c r="AL2119">
        <v>78.543979346756103</v>
      </c>
      <c r="AM2119">
        <v>88.1549022081076</v>
      </c>
      <c r="AN2119">
        <v>0.99999999577804999</v>
      </c>
    </row>
    <row r="2120" spans="1:40" x14ac:dyDescent="0.25">
      <c r="A2120" t="str">
        <f>"20190303162255505"</f>
        <v>20190303162255505</v>
      </c>
      <c r="B2120" t="str">
        <f>"1551601375496302"</f>
        <v>1551601375496302</v>
      </c>
      <c r="C2120" t="s">
        <v>40</v>
      </c>
      <c r="D2120">
        <v>5.3323029999999996</v>
      </c>
      <c r="E2120">
        <v>0.48697980000000002</v>
      </c>
      <c r="F2120" t="s">
        <v>47</v>
      </c>
      <c r="G2120">
        <v>-387.52850000000001</v>
      </c>
      <c r="H2120" s="1">
        <v>2.4695190000000001E-6</v>
      </c>
      <c r="I2120">
        <v>283.71019999999999</v>
      </c>
      <c r="J2120">
        <v>-331.3766</v>
      </c>
      <c r="K2120">
        <v>1.121194</v>
      </c>
      <c r="L2120">
        <v>284.65469999999999</v>
      </c>
      <c r="M2120">
        <v>-0.99982969999999904</v>
      </c>
      <c r="N2120">
        <v>-1.3579620000000001E-2</v>
      </c>
      <c r="O2120">
        <v>-1.250475E-2</v>
      </c>
      <c r="P2120">
        <v>-0.98256920000000003</v>
      </c>
      <c r="Q2120">
        <v>0.1848543</v>
      </c>
      <c r="R2120">
        <v>1.967323E-2</v>
      </c>
      <c r="S2120">
        <v>-3.0660099999999999</v>
      </c>
      <c r="T2120">
        <v>-6.1028840000000001E-2</v>
      </c>
      <c r="U2120">
        <v>-5.1544189999999997E-2</v>
      </c>
      <c r="V2120">
        <v>3.1848660000000001E-2</v>
      </c>
      <c r="W2120">
        <v>0.1981937</v>
      </c>
      <c r="X2120">
        <v>0.97964530000000005</v>
      </c>
      <c r="Y2120">
        <v>-4.3024789999999997E-3</v>
      </c>
      <c r="Z2120" s="1">
        <v>7.0106390000000003E-6</v>
      </c>
      <c r="AA2120">
        <v>0.99999079999999996</v>
      </c>
      <c r="AB2120">
        <v>29</v>
      </c>
      <c r="AC2120">
        <v>-56.151899999999998</v>
      </c>
      <c r="AD2120">
        <v>-1.1211915304809901</v>
      </c>
      <c r="AE2120">
        <v>-0.944500000000005</v>
      </c>
      <c r="AF2120">
        <v>-0.24209949335692299</v>
      </c>
      <c r="AG2120">
        <v>-1.1211915304809901</v>
      </c>
      <c r="AH2120">
        <v>56.136945972361097</v>
      </c>
      <c r="AI2120">
        <v>91.1441734997303</v>
      </c>
      <c r="AJ2120">
        <v>90.247095615104698</v>
      </c>
      <c r="AK2120">
        <v>56.148663258500598</v>
      </c>
      <c r="AL2120">
        <v>78.568648598241296</v>
      </c>
      <c r="AM2120">
        <v>88.137947155140495</v>
      </c>
      <c r="AN2120">
        <v>0.99999999683778795</v>
      </c>
    </row>
    <row r="2121" spans="1:40" x14ac:dyDescent="0.25">
      <c r="A2121" t="str">
        <f>"20190303162255516"</f>
        <v>20190303162255516</v>
      </c>
      <c r="B2121" t="str">
        <f>"1551601375507038"</f>
        <v>1551601375507038</v>
      </c>
      <c r="C2121" t="s">
        <v>40</v>
      </c>
      <c r="D2121">
        <v>5.2743760000000002</v>
      </c>
      <c r="E2121">
        <v>0.48699320000000001</v>
      </c>
      <c r="F2121" t="s">
        <v>47</v>
      </c>
      <c r="G2121">
        <v>-386.5206</v>
      </c>
      <c r="H2121" s="1">
        <v>1.933156E-6</v>
      </c>
      <c r="I2121">
        <v>283.74689999999998</v>
      </c>
      <c r="J2121">
        <v>-331.53870000000001</v>
      </c>
      <c r="K2121">
        <v>1.1211880000000001</v>
      </c>
      <c r="L2121">
        <v>284.65249999999997</v>
      </c>
      <c r="M2121">
        <v>-0.99982749999999998</v>
      </c>
      <c r="N2121">
        <v>-1.35768E-2</v>
      </c>
      <c r="O2121">
        <v>-1.2680439999999999E-2</v>
      </c>
      <c r="P2121">
        <v>-0.98257039999999995</v>
      </c>
      <c r="Q2121">
        <v>0.18482119999999999</v>
      </c>
      <c r="R2121">
        <v>1.992114E-2</v>
      </c>
      <c r="S2121">
        <v>-3.065979</v>
      </c>
      <c r="T2121">
        <v>-6.2337759999999999E-2</v>
      </c>
      <c r="U2121">
        <v>-5.0476069999999998E-2</v>
      </c>
      <c r="V2121">
        <v>3.226917E-2</v>
      </c>
      <c r="W2121">
        <v>0.19815820000000001</v>
      </c>
      <c r="X2121">
        <v>0.97963880000000003</v>
      </c>
      <c r="Y2121">
        <v>-3.7788259999999999E-3</v>
      </c>
      <c r="Z2121" s="1">
        <v>2.1537110000000002E-5</v>
      </c>
      <c r="AA2121">
        <v>0.99999280000000002</v>
      </c>
      <c r="AB2121">
        <v>29</v>
      </c>
      <c r="AC2121">
        <v>-54.981900000000003</v>
      </c>
      <c r="AD2121">
        <v>-1.1211860668439999</v>
      </c>
      <c r="AE2121">
        <v>-0.90559999999999197</v>
      </c>
      <c r="AF2121">
        <v>-0.20818173517994301</v>
      </c>
      <c r="AG2121">
        <v>-1.1211860668439999</v>
      </c>
      <c r="AH2121">
        <v>54.966112740634401</v>
      </c>
      <c r="AI2121">
        <v>91.168535645500299</v>
      </c>
      <c r="AJ2121">
        <v>90.217004208021606</v>
      </c>
      <c r="AK2121">
        <v>54.977940554803297</v>
      </c>
      <c r="AL2121">
        <v>78.570724661668393</v>
      </c>
      <c r="AM2121">
        <v>88.113366904100801</v>
      </c>
      <c r="AN2121">
        <v>1.0000000750125799</v>
      </c>
    </row>
    <row r="2122" spans="1:40" x14ac:dyDescent="0.25">
      <c r="A2122" t="str">
        <f>"20190303162255532"</f>
        <v>20190303162255532</v>
      </c>
      <c r="B2122" t="str">
        <f>"1551601375526557"</f>
        <v>1551601375526557</v>
      </c>
      <c r="C2122" t="s">
        <v>40</v>
      </c>
      <c r="D2122">
        <v>5.2772309999999996</v>
      </c>
      <c r="E2122">
        <v>0.48693219999999998</v>
      </c>
      <c r="F2122" t="s">
        <v>47</v>
      </c>
      <c r="G2122">
        <v>-387.29770000000002</v>
      </c>
      <c r="H2122" s="1">
        <v>2.3466990000000001E-6</v>
      </c>
      <c r="I2122">
        <v>283.74279999999999</v>
      </c>
      <c r="J2122">
        <v>-331.73480000000001</v>
      </c>
      <c r="K2122">
        <v>1.1211850000000001</v>
      </c>
      <c r="L2122">
        <v>284.64980000000003</v>
      </c>
      <c r="M2122">
        <v>-0.99982479999999996</v>
      </c>
      <c r="N2122">
        <v>-1.3573450000000001E-2</v>
      </c>
      <c r="O2122">
        <v>-1.289355E-2</v>
      </c>
      <c r="P2122">
        <v>-0.98256730000000003</v>
      </c>
      <c r="Q2122">
        <v>0.1847086</v>
      </c>
      <c r="R2122">
        <v>2.1080430000000001E-2</v>
      </c>
      <c r="S2122">
        <v>-3.0658259999999999</v>
      </c>
      <c r="T2122">
        <v>-6.1646699999999999E-2</v>
      </c>
      <c r="U2122">
        <v>-5.0018310000000003E-2</v>
      </c>
      <c r="V2122">
        <v>3.363791E-2</v>
      </c>
      <c r="W2122">
        <v>0.19804269999999999</v>
      </c>
      <c r="X2122">
        <v>0.97961600000000004</v>
      </c>
      <c r="Y2122">
        <v>-3.4173620000000002E-3</v>
      </c>
      <c r="Z2122" s="1">
        <v>2.664393E-5</v>
      </c>
      <c r="AA2122">
        <v>0.99999420000000006</v>
      </c>
      <c r="AB2122">
        <v>29</v>
      </c>
      <c r="AC2122">
        <v>-55.562899999999999</v>
      </c>
      <c r="AD2122">
        <v>-1.1211826533010001</v>
      </c>
      <c r="AE2122">
        <v>-0.907000000000039</v>
      </c>
      <c r="AF2122">
        <v>-0.19037810211588699</v>
      </c>
      <c r="AG2122">
        <v>-1.1211826533010001</v>
      </c>
      <c r="AH2122">
        <v>55.547364427013001</v>
      </c>
      <c r="AI2122">
        <v>91.156309322698903</v>
      </c>
      <c r="AJ2122">
        <v>90.196369695775402</v>
      </c>
      <c r="AK2122">
        <v>55.559004573077203</v>
      </c>
      <c r="AL2122">
        <v>78.577474837884694</v>
      </c>
      <c r="AM2122">
        <v>88.033358662455996</v>
      </c>
      <c r="AN2122">
        <v>0.99999996373422795</v>
      </c>
    </row>
    <row r="2123" spans="1:40" x14ac:dyDescent="0.25">
      <c r="A2123" t="str">
        <f>"20190303162255553"</f>
        <v>20190303162255553</v>
      </c>
      <c r="B2123" t="str">
        <f>"1551601375547053"</f>
        <v>1551601375547053</v>
      </c>
      <c r="C2123" t="s">
        <v>40</v>
      </c>
      <c r="D2123">
        <v>5.2763519999999904</v>
      </c>
      <c r="E2123">
        <v>0.48653049999999998</v>
      </c>
      <c r="F2123" t="s">
        <v>47</v>
      </c>
      <c r="G2123">
        <v>-387.21519999999998</v>
      </c>
      <c r="H2123" s="1">
        <v>2.3027890000000001E-6</v>
      </c>
      <c r="I2123">
        <v>283.79989999999998</v>
      </c>
      <c r="J2123">
        <v>-332.01620000000003</v>
      </c>
      <c r="K2123">
        <v>1.121175</v>
      </c>
      <c r="L2123">
        <v>284.64580000000001</v>
      </c>
      <c r="M2123">
        <v>-0.99982079999999995</v>
      </c>
      <c r="N2123">
        <v>-1.3568719999999999E-2</v>
      </c>
      <c r="O2123">
        <v>-1.319914E-2</v>
      </c>
      <c r="P2123">
        <v>-0.98255360000000003</v>
      </c>
      <c r="Q2123">
        <v>0.18468419999999999</v>
      </c>
      <c r="R2123">
        <v>2.1917740000000002E-2</v>
      </c>
      <c r="S2123">
        <v>-3.0659179999999999</v>
      </c>
      <c r="T2123">
        <v>-6.1957959999999999E-2</v>
      </c>
      <c r="U2123">
        <v>-4.6966550000000003E-2</v>
      </c>
      <c r="V2123">
        <v>3.4775599999999997E-2</v>
      </c>
      <c r="W2123">
        <v>0.1980133</v>
      </c>
      <c r="X2123">
        <v>0.97958230000000002</v>
      </c>
      <c r="Y2123">
        <v>-2.1165490000000001E-3</v>
      </c>
      <c r="Z2123" s="1">
        <v>5.1839219999999998E-5</v>
      </c>
      <c r="AA2123">
        <v>0.99999769999999999</v>
      </c>
      <c r="AB2123">
        <v>29</v>
      </c>
      <c r="AC2123">
        <v>-55.198999999999899</v>
      </c>
      <c r="AD2123">
        <v>-1.1211726972110001</v>
      </c>
      <c r="AE2123">
        <v>-0.84590000000002796</v>
      </c>
      <c r="AF2123">
        <v>-0.117131563778202</v>
      </c>
      <c r="AG2123">
        <v>-1.1211726972110001</v>
      </c>
      <c r="AH2123">
        <v>55.182596225033699</v>
      </c>
      <c r="AI2123">
        <v>91.163944546835793</v>
      </c>
      <c r="AJ2123">
        <v>90.1216168616982</v>
      </c>
      <c r="AK2123">
        <v>55.194109053007701</v>
      </c>
      <c r="AL2123">
        <v>78.579194318052103</v>
      </c>
      <c r="AM2123">
        <v>87.966828608686001</v>
      </c>
      <c r="AN2123">
        <v>1.00000004590276</v>
      </c>
    </row>
    <row r="2124" spans="1:40" x14ac:dyDescent="0.25">
      <c r="A2124" t="str">
        <f>"20190303162255567"</f>
        <v>20190303162255567</v>
      </c>
      <c r="B2124" t="str">
        <f>"1551601375556813"</f>
        <v>1551601375556813</v>
      </c>
      <c r="C2124" t="s">
        <v>40</v>
      </c>
      <c r="D2124">
        <v>5.1005209999999996</v>
      </c>
      <c r="E2124">
        <v>0.4863459</v>
      </c>
      <c r="F2124" t="s">
        <v>47</v>
      </c>
      <c r="G2124">
        <v>-386.43860000000001</v>
      </c>
      <c r="H2124" s="1">
        <v>1.8895179999999999E-6</v>
      </c>
      <c r="I2124">
        <v>283.79489999999998</v>
      </c>
      <c r="J2124">
        <v>-332.18290000000002</v>
      </c>
      <c r="K2124">
        <v>1.121173</v>
      </c>
      <c r="L2124">
        <v>284.64339999999999</v>
      </c>
      <c r="M2124">
        <v>-0.9998186</v>
      </c>
      <c r="N2124">
        <v>-1.356598E-2</v>
      </c>
      <c r="O2124">
        <v>-1.338019E-2</v>
      </c>
      <c r="P2124">
        <v>-0.98259839999999998</v>
      </c>
      <c r="Q2124">
        <v>0.18439420000000001</v>
      </c>
      <c r="R2124">
        <v>2.2348509999999999E-2</v>
      </c>
      <c r="S2124">
        <v>-3.0662539999999998</v>
      </c>
      <c r="T2124">
        <v>-6.3168879999999997E-2</v>
      </c>
      <c r="U2124">
        <v>-4.7943119999999999E-2</v>
      </c>
      <c r="V2124">
        <v>3.5385029999999998E-2</v>
      </c>
      <c r="W2124">
        <v>0.1977216</v>
      </c>
      <c r="X2124">
        <v>0.97961929999999997</v>
      </c>
      <c r="Y2124">
        <v>-2.2521749999999999E-3</v>
      </c>
      <c r="Z2124" s="1">
        <v>5.559948E-5</v>
      </c>
      <c r="AA2124">
        <v>0.99999740000000004</v>
      </c>
      <c r="AB2124">
        <v>29</v>
      </c>
      <c r="AC2124">
        <v>-54.255699999999898</v>
      </c>
      <c r="AD2124">
        <v>-1.1211711104819999</v>
      </c>
      <c r="AE2124">
        <v>-0.84850000000000103</v>
      </c>
      <c r="AF2124">
        <v>-0.122353518097854</v>
      </c>
      <c r="AG2124">
        <v>-1.1211711104819999</v>
      </c>
      <c r="AH2124">
        <v>54.2390405895136</v>
      </c>
      <c r="AI2124">
        <v>91.184185074154897</v>
      </c>
      <c r="AJ2124">
        <v>90.129248751972696</v>
      </c>
      <c r="AK2124">
        <v>54.2507651477219</v>
      </c>
      <c r="AL2124">
        <v>78.596243518030704</v>
      </c>
      <c r="AM2124">
        <v>87.931306767149394</v>
      </c>
      <c r="AN2124">
        <v>0.99999995219357396</v>
      </c>
    </row>
    <row r="2125" spans="1:40" x14ac:dyDescent="0.25">
      <c r="A2125" t="str">
        <f>"20190303162255589"</f>
        <v>20190303162255589</v>
      </c>
      <c r="B2125" t="str">
        <f>"1551601375576333"</f>
        <v>1551601375576333</v>
      </c>
      <c r="C2125" t="s">
        <v>40</v>
      </c>
      <c r="D2125">
        <v>5.3206790000000002</v>
      </c>
      <c r="E2125">
        <v>0.4861143</v>
      </c>
      <c r="F2125" t="s">
        <v>47</v>
      </c>
      <c r="G2125">
        <v>-385.38049999999998</v>
      </c>
      <c r="H2125" s="1">
        <v>1.326419E-6</v>
      </c>
      <c r="I2125">
        <v>283.8048</v>
      </c>
      <c r="J2125">
        <v>-332.459</v>
      </c>
      <c r="K2125">
        <v>1.121175</v>
      </c>
      <c r="L2125">
        <v>284.63940000000002</v>
      </c>
      <c r="M2125">
        <v>-0.9998146</v>
      </c>
      <c r="N2125">
        <v>-1.356162E-2</v>
      </c>
      <c r="O2125">
        <v>-1.368054E-2</v>
      </c>
      <c r="P2125">
        <v>-0.98259719999999995</v>
      </c>
      <c r="Q2125">
        <v>0.1842937</v>
      </c>
      <c r="R2125">
        <v>2.3215E-2</v>
      </c>
      <c r="S2125">
        <v>-3.0663149999999999</v>
      </c>
      <c r="T2125">
        <v>-6.4624550000000003E-2</v>
      </c>
      <c r="U2125">
        <v>-4.8339840000000002E-2</v>
      </c>
      <c r="V2125">
        <v>3.6546830000000002E-2</v>
      </c>
      <c r="W2125">
        <v>0.19761690000000001</v>
      </c>
      <c r="X2125">
        <v>0.97959779999999996</v>
      </c>
      <c r="Y2125">
        <v>-2.080897E-3</v>
      </c>
      <c r="Z2125" s="1">
        <v>6.6693880000000001E-5</v>
      </c>
      <c r="AA2125">
        <v>0.9999979</v>
      </c>
      <c r="AB2125">
        <v>29</v>
      </c>
      <c r="AC2125">
        <v>-52.921499999999902</v>
      </c>
      <c r="AD2125">
        <v>-1.1211736735810001</v>
      </c>
      <c r="AE2125">
        <v>-0.83460000000002299</v>
      </c>
      <c r="AF2125">
        <v>-0.110411165298002</v>
      </c>
      <c r="AG2125">
        <v>-1.1211736735810001</v>
      </c>
      <c r="AH2125">
        <v>52.904226287855202</v>
      </c>
      <c r="AI2125">
        <v>91.214057361139595</v>
      </c>
      <c r="AJ2125">
        <v>90.119576167009996</v>
      </c>
      <c r="AK2125">
        <v>52.916220387971201</v>
      </c>
      <c r="AL2125">
        <v>78.602363453498498</v>
      </c>
      <c r="AM2125">
        <v>87.863400267905703</v>
      </c>
      <c r="AN2125">
        <v>0.99999997985674904</v>
      </c>
    </row>
    <row r="2126" spans="1:40" x14ac:dyDescent="0.25">
      <c r="A2126" t="str">
        <f>"20190303162255604"</f>
        <v>20190303162255604</v>
      </c>
      <c r="B2126" t="str">
        <f>"1551601375596829"</f>
        <v>1551601375596829</v>
      </c>
      <c r="C2126" t="s">
        <v>40</v>
      </c>
      <c r="D2126">
        <v>5.1767320000000003</v>
      </c>
      <c r="E2126">
        <v>0.47487950000000001</v>
      </c>
      <c r="F2126" t="s">
        <v>47</v>
      </c>
      <c r="G2126">
        <v>-385.0478</v>
      </c>
      <c r="H2126" s="1">
        <v>1.149402E-6</v>
      </c>
      <c r="I2126">
        <v>283.8193</v>
      </c>
      <c r="J2126">
        <v>-332.65230000000003</v>
      </c>
      <c r="K2126">
        <v>1.121175</v>
      </c>
      <c r="L2126">
        <v>284.63659999999999</v>
      </c>
      <c r="M2126">
        <v>-0.99981160000000002</v>
      </c>
      <c r="N2126">
        <v>-1.3558550000000001E-2</v>
      </c>
      <c r="O2126">
        <v>-1.38902E-2</v>
      </c>
      <c r="P2126">
        <v>-0.98257369999999999</v>
      </c>
      <c r="Q2126">
        <v>0.18439749999999999</v>
      </c>
      <c r="R2126">
        <v>2.3381550000000001E-2</v>
      </c>
      <c r="S2126">
        <v>-3.0664980000000002</v>
      </c>
      <c r="T2126">
        <v>-6.537664E-2</v>
      </c>
      <c r="U2126">
        <v>-4.7821040000000002E-2</v>
      </c>
      <c r="V2126">
        <v>3.6918939999999997E-2</v>
      </c>
      <c r="W2126">
        <v>0.1977179</v>
      </c>
      <c r="X2126">
        <v>0.97956350000000003</v>
      </c>
      <c r="Y2126">
        <v>-1.701276E-3</v>
      </c>
      <c r="Z2126" s="1">
        <v>7.8068359999999997E-5</v>
      </c>
      <c r="AA2126">
        <v>0.99999859999999896</v>
      </c>
      <c r="AB2126">
        <v>29</v>
      </c>
      <c r="AC2126">
        <v>-52.395499999999899</v>
      </c>
      <c r="AD2126">
        <v>-1.121173850598</v>
      </c>
      <c r="AE2126">
        <v>-0.81729999999998804</v>
      </c>
      <c r="AF2126">
        <v>-8.93293685127131E-2</v>
      </c>
      <c r="AG2126">
        <v>-1.121173850598</v>
      </c>
      <c r="AH2126">
        <v>52.377820529848101</v>
      </c>
      <c r="AI2126">
        <v>91.226256211713903</v>
      </c>
      <c r="AJ2126">
        <v>90.097716758509705</v>
      </c>
      <c r="AK2126">
        <v>52.389894960729897</v>
      </c>
      <c r="AL2126">
        <v>78.596460488206503</v>
      </c>
      <c r="AM2126">
        <v>87.841590950484203</v>
      </c>
      <c r="AN2126">
        <v>1.00000001332169</v>
      </c>
    </row>
    <row r="2127" spans="1:40" x14ac:dyDescent="0.25">
      <c r="A2127" t="str">
        <f>"20190303162255621"</f>
        <v>20190303162255621</v>
      </c>
      <c r="B2127" t="str">
        <f>"1551601375616350"</f>
        <v>1551601375616350</v>
      </c>
      <c r="C2127" t="s">
        <v>40</v>
      </c>
      <c r="D2127">
        <v>5.1633069999999996</v>
      </c>
      <c r="E2127">
        <v>0.45609870000000002</v>
      </c>
      <c r="F2127" t="s">
        <v>47</v>
      </c>
      <c r="G2127">
        <v>-363.13279999999997</v>
      </c>
      <c r="H2127" s="1">
        <v>1.303328E-7</v>
      </c>
      <c r="I2127">
        <v>283.27170000000001</v>
      </c>
      <c r="J2127">
        <v>-332.88529999999997</v>
      </c>
      <c r="K2127">
        <v>1.121181</v>
      </c>
      <c r="L2127">
        <v>284.63299999999998</v>
      </c>
      <c r="M2127">
        <v>-0.99980809999999998</v>
      </c>
      <c r="N2127">
        <v>-1.355487E-2</v>
      </c>
      <c r="O2127">
        <v>-1.414348E-2</v>
      </c>
      <c r="P2127">
        <v>-0.98246460000000002</v>
      </c>
      <c r="Q2127">
        <v>0.18492700000000001</v>
      </c>
      <c r="R2127">
        <v>2.378268E-2</v>
      </c>
      <c r="S2127">
        <v>-3.077728</v>
      </c>
      <c r="T2127">
        <v>-0.113209</v>
      </c>
      <c r="U2127">
        <v>-0.13781740000000001</v>
      </c>
      <c r="V2127">
        <v>3.7567129999999997E-2</v>
      </c>
      <c r="W2127">
        <v>0.1982418</v>
      </c>
      <c r="X2127">
        <v>0.97943290000000005</v>
      </c>
      <c r="Y2127">
        <v>-3.0574569999999999E-2</v>
      </c>
      <c r="Z2127">
        <v>-4.411231E-4</v>
      </c>
      <c r="AA2127">
        <v>0.99953239999999999</v>
      </c>
      <c r="AB2127">
        <v>29</v>
      </c>
      <c r="AC2127">
        <v>-30.247499999999999</v>
      </c>
      <c r="AD2127">
        <v>-1.1211808696672001</v>
      </c>
      <c r="AE2127">
        <v>-1.36129999999997</v>
      </c>
      <c r="AF2127">
        <v>-0.93204160200509301</v>
      </c>
      <c r="AG2127">
        <v>-1.1211808696672001</v>
      </c>
      <c r="AH2127">
        <v>30.222289138494801</v>
      </c>
      <c r="AI2127">
        <v>92.123565225758</v>
      </c>
      <c r="AJ2127">
        <v>91.766415829944805</v>
      </c>
      <c r="AK2127">
        <v>30.2574372487353</v>
      </c>
      <c r="AL2127">
        <v>78.5658363738942</v>
      </c>
      <c r="AM2127">
        <v>87.803439740611694</v>
      </c>
      <c r="AN2127">
        <v>0.99999995306304201</v>
      </c>
    </row>
    <row r="2128" spans="1:40" x14ac:dyDescent="0.25">
      <c r="A2128" t="str">
        <f>"20190303162255634"</f>
        <v>20190303162255634</v>
      </c>
      <c r="B2128" t="str">
        <f>"1551601375626767"</f>
        <v>1551601375626767</v>
      </c>
      <c r="C2128" t="s">
        <v>40</v>
      </c>
      <c r="D2128">
        <v>5.3374240000000004</v>
      </c>
      <c r="E2128">
        <v>0.45542670000000002</v>
      </c>
      <c r="F2128" t="s">
        <v>47</v>
      </c>
      <c r="G2128">
        <v>-360.536</v>
      </c>
      <c r="H2128" s="1">
        <v>-1.25156E-6</v>
      </c>
      <c r="I2128">
        <v>282.06270000000001</v>
      </c>
      <c r="J2128">
        <v>-333.04129999999998</v>
      </c>
      <c r="K2128">
        <v>1.121181</v>
      </c>
      <c r="L2128">
        <v>284.63060000000002</v>
      </c>
      <c r="M2128">
        <v>-0.99980570000000002</v>
      </c>
      <c r="N2128">
        <v>-1.3552420000000001E-2</v>
      </c>
      <c r="O2128">
        <v>-1.4313319999999999E-2</v>
      </c>
      <c r="P2128">
        <v>-0.98250400000000004</v>
      </c>
      <c r="Q2128">
        <v>0.1846864</v>
      </c>
      <c r="R2128">
        <v>2.402199E-2</v>
      </c>
      <c r="S2128">
        <v>-3.084015</v>
      </c>
      <c r="T2128">
        <v>-0.12505069999999999</v>
      </c>
      <c r="U2128">
        <v>-0.2866821</v>
      </c>
      <c r="V2128">
        <v>3.7974189999999998E-2</v>
      </c>
      <c r="W2128">
        <v>0.1979997</v>
      </c>
      <c r="X2128">
        <v>0.97946619999999995</v>
      </c>
      <c r="Y2128">
        <v>-7.8215729999999997E-2</v>
      </c>
      <c r="Z2128">
        <v>-1.727924E-3</v>
      </c>
      <c r="AA2128">
        <v>0.99693500000000002</v>
      </c>
      <c r="AB2128">
        <v>29</v>
      </c>
      <c r="AC2128">
        <v>-27.494700000000002</v>
      </c>
      <c r="AD2128">
        <v>-1.1211822515600001</v>
      </c>
      <c r="AE2128">
        <v>-2.5678999999999998</v>
      </c>
      <c r="AF2128">
        <v>-2.17048231680665</v>
      </c>
      <c r="AG2128">
        <v>-1.1211822515600001</v>
      </c>
      <c r="AH2128">
        <v>27.483335837234101</v>
      </c>
      <c r="AI2128">
        <v>92.328841918952406</v>
      </c>
      <c r="AJ2128">
        <v>94.515532544322497</v>
      </c>
      <c r="AK2128">
        <v>27.591697879452401</v>
      </c>
      <c r="AL2128">
        <v>78.579988501647804</v>
      </c>
      <c r="AM2128">
        <v>87.779737937741004</v>
      </c>
      <c r="AN2128">
        <v>0.99999997862434198</v>
      </c>
    </row>
    <row r="2129" spans="1:40" x14ac:dyDescent="0.25">
      <c r="A2129" t="str">
        <f>"20190303162255648"</f>
        <v>20190303162255648</v>
      </c>
      <c r="B2129" t="str">
        <f>"1551601375636527"</f>
        <v>1551601375636527</v>
      </c>
      <c r="C2129" t="s">
        <v>40</v>
      </c>
      <c r="D2129">
        <v>5.3934449999999998</v>
      </c>
      <c r="E2129">
        <v>0.45535019999999998</v>
      </c>
      <c r="F2129" t="s">
        <v>47</v>
      </c>
      <c r="G2129">
        <v>-360.69909999999999</v>
      </c>
      <c r="H2129" s="1">
        <v>-1.1647620000000001E-6</v>
      </c>
      <c r="I2129">
        <v>282.02140000000003</v>
      </c>
      <c r="J2129">
        <v>-333.22019999999998</v>
      </c>
      <c r="K2129">
        <v>1.1211789999999999</v>
      </c>
      <c r="L2129">
        <v>284.62779999999998</v>
      </c>
      <c r="M2129">
        <v>-0.999803</v>
      </c>
      <c r="N2129">
        <v>-1.354966E-2</v>
      </c>
      <c r="O2129">
        <v>-1.450735E-2</v>
      </c>
      <c r="P2129">
        <v>-0.98250190000000004</v>
      </c>
      <c r="Q2129">
        <v>0.18464240000000001</v>
      </c>
      <c r="R2129">
        <v>2.4437130000000001E-2</v>
      </c>
      <c r="S2129">
        <v>-3.084076</v>
      </c>
      <c r="T2129">
        <v>-0.1250212</v>
      </c>
      <c r="U2129">
        <v>-0.29095460000000001</v>
      </c>
      <c r="V2129">
        <v>3.858002E-2</v>
      </c>
      <c r="W2129">
        <v>0.1979535</v>
      </c>
      <c r="X2129">
        <v>0.97945190000000004</v>
      </c>
      <c r="Y2129">
        <v>-7.9388310000000004E-2</v>
      </c>
      <c r="Z2129">
        <v>-1.7539329999999901E-3</v>
      </c>
      <c r="AA2129">
        <v>0.99684220000000001</v>
      </c>
      <c r="AB2129">
        <v>29</v>
      </c>
      <c r="AC2129">
        <v>-27.478899999999999</v>
      </c>
      <c r="AD2129">
        <v>-1.1211801647619899</v>
      </c>
      <c r="AE2129">
        <v>-2.6063999999999501</v>
      </c>
      <c r="AF2129">
        <v>-2.2038069583503002</v>
      </c>
      <c r="AG2129">
        <v>-1.1211801647619899</v>
      </c>
      <c r="AH2129">
        <v>27.468502317026498</v>
      </c>
      <c r="AI2129">
        <v>92.3298626188882</v>
      </c>
      <c r="AJ2129">
        <v>94.587033935474494</v>
      </c>
      <c r="AK2129">
        <v>27.579565435517999</v>
      </c>
      <c r="AL2129">
        <v>78.582689442640998</v>
      </c>
      <c r="AM2129">
        <v>87.744319877438897</v>
      </c>
      <c r="AN2129">
        <v>1.0000000152595301</v>
      </c>
    </row>
    <row r="2130" spans="1:40" x14ac:dyDescent="0.25">
      <c r="A2130" t="str">
        <f>"20190303162255660"</f>
        <v>20190303162255660</v>
      </c>
      <c r="B2130" t="str">
        <f>"1551601375656030"</f>
        <v>1551601375656030</v>
      </c>
      <c r="C2130" t="s">
        <v>40</v>
      </c>
      <c r="D2130">
        <v>5.1926100000000002</v>
      </c>
      <c r="E2130">
        <v>0.45515349999999999</v>
      </c>
      <c r="F2130" t="s">
        <v>47</v>
      </c>
      <c r="G2130">
        <v>-360.92320000000001</v>
      </c>
      <c r="H2130" s="1">
        <v>-1.0455199999999999E-6</v>
      </c>
      <c r="I2130">
        <v>282.01819999999998</v>
      </c>
      <c r="J2130">
        <v>-333.3897</v>
      </c>
      <c r="K2130">
        <v>1.121176</v>
      </c>
      <c r="L2130">
        <v>284.62520000000001</v>
      </c>
      <c r="M2130">
        <v>-0.99980049999999998</v>
      </c>
      <c r="N2130">
        <v>-1.3547119999999999E-2</v>
      </c>
      <c r="O2130">
        <v>-1.4689819999999999E-2</v>
      </c>
      <c r="P2130">
        <v>-0.98251040000000001</v>
      </c>
      <c r="Q2130">
        <v>0.18460660000000001</v>
      </c>
      <c r="R2130">
        <v>2.4372120000000001E-2</v>
      </c>
      <c r="S2130">
        <v>-3.0841059999999998</v>
      </c>
      <c r="T2130">
        <v>-0.1248184</v>
      </c>
      <c r="U2130">
        <v>-0.29052729999999999</v>
      </c>
      <c r="V2130">
        <v>3.8695029999999998E-2</v>
      </c>
      <c r="W2130">
        <v>0.1979147</v>
      </c>
      <c r="X2130">
        <v>0.97945519999999997</v>
      </c>
      <c r="Y2130">
        <v>-7.9069200000000006E-2</v>
      </c>
      <c r="Z2130">
        <v>-1.738634E-3</v>
      </c>
      <c r="AA2130">
        <v>0.99686759999999996</v>
      </c>
      <c r="AB2130">
        <v>29</v>
      </c>
      <c r="AC2130">
        <v>-27.5335</v>
      </c>
      <c r="AD2130">
        <v>-1.1211770455200001</v>
      </c>
      <c r="AE2130">
        <v>-2.6070000000000202</v>
      </c>
      <c r="AF2130">
        <v>-2.1986062032667801</v>
      </c>
      <c r="AG2130">
        <v>-1.1211770455200001</v>
      </c>
      <c r="AH2130">
        <v>27.523595514780499</v>
      </c>
      <c r="AI2130">
        <v>92.325262243972801</v>
      </c>
      <c r="AJ2130">
        <v>94.567133677058195</v>
      </c>
      <c r="AK2130">
        <v>27.634022820894</v>
      </c>
      <c r="AL2130">
        <v>78.584957343797697</v>
      </c>
      <c r="AM2130">
        <v>87.737610113549593</v>
      </c>
      <c r="AN2130">
        <v>1.0000000113149099</v>
      </c>
    </row>
    <row r="2131" spans="1:40" x14ac:dyDescent="0.25">
      <c r="A2131" t="str">
        <f>"20190303162255677"</f>
        <v>20190303162255677</v>
      </c>
      <c r="B2131" t="str">
        <f>"1551601375666766"</f>
        <v>1551601375666766</v>
      </c>
      <c r="C2131" t="s">
        <v>40</v>
      </c>
      <c r="D2131">
        <v>5.3658809999999999</v>
      </c>
      <c r="E2131">
        <v>0.45523520000000001</v>
      </c>
      <c r="F2131" t="s">
        <v>47</v>
      </c>
      <c r="G2131">
        <v>-359.23880000000003</v>
      </c>
      <c r="H2131" s="1">
        <v>3.3796560000000001E-6</v>
      </c>
      <c r="I2131">
        <v>282.17590000000001</v>
      </c>
      <c r="J2131">
        <v>-333.59390000000002</v>
      </c>
      <c r="K2131">
        <v>1.1211819999999999</v>
      </c>
      <c r="L2131">
        <v>284.62200000000001</v>
      </c>
      <c r="M2131">
        <v>-0.99979720000000005</v>
      </c>
      <c r="N2131">
        <v>-1.3543940000000001E-2</v>
      </c>
      <c r="O2131">
        <v>-1.49061E-2</v>
      </c>
      <c r="P2131">
        <v>-0.98247830000000003</v>
      </c>
      <c r="Q2131">
        <v>0.18466360000000001</v>
      </c>
      <c r="R2131">
        <v>2.522224E-2</v>
      </c>
      <c r="S2131">
        <v>-3.085785</v>
      </c>
      <c r="T2131">
        <v>-0.13384199999999999</v>
      </c>
      <c r="U2131">
        <v>-0.29238890000000001</v>
      </c>
      <c r="V2131">
        <v>3.9758479999999999E-2</v>
      </c>
      <c r="W2131">
        <v>0.19796839999999999</v>
      </c>
      <c r="X2131">
        <v>0.97940179999999999</v>
      </c>
      <c r="Y2131">
        <v>-7.9388819999999999E-2</v>
      </c>
      <c r="Z2131">
        <v>-1.8129859999999999E-3</v>
      </c>
      <c r="AA2131">
        <v>0.99684209999999995</v>
      </c>
      <c r="AB2131">
        <v>29</v>
      </c>
      <c r="AC2131">
        <v>-25.6449</v>
      </c>
      <c r="AD2131">
        <v>-1.121178620344</v>
      </c>
      <c r="AE2131">
        <v>-2.4460999999999999</v>
      </c>
      <c r="AF2131">
        <v>-2.0596264468667398</v>
      </c>
      <c r="AG2131">
        <v>-1.121178620344</v>
      </c>
      <c r="AH2131">
        <v>25.629968439269199</v>
      </c>
      <c r="AI2131">
        <v>92.496758726356404</v>
      </c>
      <c r="AJ2131">
        <v>94.594420832145403</v>
      </c>
      <c r="AK2131">
        <v>25.737023619627902</v>
      </c>
      <c r="AL2131">
        <v>78.581818959209798</v>
      </c>
      <c r="AM2131">
        <v>87.675373867832604</v>
      </c>
      <c r="AN2131">
        <v>1.00000005498685</v>
      </c>
    </row>
    <row r="2132" spans="1:40" x14ac:dyDescent="0.25">
      <c r="A2132" t="str">
        <f>"20190303162255700"</f>
        <v>20190303162255700</v>
      </c>
      <c r="B2132" t="str">
        <f>"1551601375696046"</f>
        <v>1551601375696046</v>
      </c>
      <c r="C2132" t="s">
        <v>40</v>
      </c>
      <c r="D2132">
        <v>5.366466</v>
      </c>
      <c r="E2132">
        <v>0.45530290000000001</v>
      </c>
      <c r="F2132" t="s">
        <v>47</v>
      </c>
      <c r="G2132">
        <v>-359.89920000000001</v>
      </c>
      <c r="H2132" s="1">
        <v>3.7310949999999998E-6</v>
      </c>
      <c r="I2132">
        <v>282.15620000000001</v>
      </c>
      <c r="J2132">
        <v>-333.8965</v>
      </c>
      <c r="K2132">
        <v>1.1211789999999999</v>
      </c>
      <c r="L2132">
        <v>284.61709999999999</v>
      </c>
      <c r="M2132">
        <v>-0.99979260000000003</v>
      </c>
      <c r="N2132">
        <v>-1.3539219999999999E-2</v>
      </c>
      <c r="O2132">
        <v>-1.521599E-2</v>
      </c>
      <c r="P2132">
        <v>-0.98254149999999996</v>
      </c>
      <c r="Q2132">
        <v>0.1842974</v>
      </c>
      <c r="R2132">
        <v>2.5434289999999998E-2</v>
      </c>
      <c r="S2132">
        <v>-3.0856629999999998</v>
      </c>
      <c r="T2132">
        <v>-0.131516299999999</v>
      </c>
      <c r="U2132">
        <v>-0.28924559999999999</v>
      </c>
      <c r="V2132">
        <v>4.0279330000000002E-2</v>
      </c>
      <c r="W2132">
        <v>0.19759769999999999</v>
      </c>
      <c r="X2132">
        <v>0.97945530000000003</v>
      </c>
      <c r="Y2132">
        <v>-7.808126E-2</v>
      </c>
      <c r="Z2132">
        <v>-1.748529E-3</v>
      </c>
      <c r="AA2132">
        <v>0.99694539999999998</v>
      </c>
      <c r="AB2132">
        <v>29</v>
      </c>
      <c r="AC2132">
        <v>-26.002700000000001</v>
      </c>
      <c r="AD2132">
        <v>-1.1211752689049901</v>
      </c>
      <c r="AE2132">
        <v>-2.4608999999999801</v>
      </c>
      <c r="AF2132">
        <v>-2.06112408917505</v>
      </c>
      <c r="AG2132">
        <v>-1.1211752689049901</v>
      </c>
      <c r="AH2132">
        <v>25.989249071985199</v>
      </c>
      <c r="AI2132">
        <v>92.462483947399093</v>
      </c>
      <c r="AJ2132">
        <v>94.534454036857497</v>
      </c>
      <c r="AK2132">
        <v>26.094948434903301</v>
      </c>
      <c r="AL2132">
        <v>78.603485663630806</v>
      </c>
      <c r="AM2132">
        <v>87.645083012441901</v>
      </c>
      <c r="AN2132">
        <v>0.99999998008431401</v>
      </c>
    </row>
    <row r="2133" spans="1:40" x14ac:dyDescent="0.25">
      <c r="A2133" t="str">
        <f>"20190303162255714"</f>
        <v>20190303162255714</v>
      </c>
      <c r="B2133" t="str">
        <f>"1551601375706782"</f>
        <v>1551601375706782</v>
      </c>
      <c r="C2133" t="s">
        <v>40</v>
      </c>
      <c r="D2133">
        <v>5.2216110000000002</v>
      </c>
      <c r="E2133">
        <v>0.4553759</v>
      </c>
      <c r="F2133" t="s">
        <v>47</v>
      </c>
      <c r="G2133">
        <v>-360.58190000000002</v>
      </c>
      <c r="H2133" s="1">
        <v>-1.2271470000000001E-6</v>
      </c>
      <c r="I2133">
        <v>282.11970000000002</v>
      </c>
      <c r="J2133">
        <v>-334.06799999999998</v>
      </c>
      <c r="K2133">
        <v>1.1211679999999999</v>
      </c>
      <c r="L2133">
        <v>284.61430000000001</v>
      </c>
      <c r="M2133">
        <v>-0.99979010000000001</v>
      </c>
      <c r="N2133">
        <v>-1.353655E-2</v>
      </c>
      <c r="O2133">
        <v>-1.53819E-2</v>
      </c>
      <c r="P2133">
        <v>-0.98257059999999996</v>
      </c>
      <c r="Q2133">
        <v>0.1841748</v>
      </c>
      <c r="R2133">
        <v>2.5196340000000001E-2</v>
      </c>
      <c r="S2133">
        <v>-3.085083</v>
      </c>
      <c r="T2133">
        <v>-0.12961889999999901</v>
      </c>
      <c r="U2133">
        <v>-0.28872680000000001</v>
      </c>
      <c r="V2133">
        <v>4.0208479999999998E-2</v>
      </c>
      <c r="W2133">
        <v>0.19747200000000001</v>
      </c>
      <c r="X2133">
        <v>0.97948360000000001</v>
      </c>
      <c r="Y2133">
        <v>-7.7769530000000003E-2</v>
      </c>
      <c r="Z2133">
        <v>-1.7206140000000001E-3</v>
      </c>
      <c r="AA2133">
        <v>0.99696989999999996</v>
      </c>
      <c r="AB2133">
        <v>29</v>
      </c>
      <c r="AC2133">
        <v>-26.5138999999999</v>
      </c>
      <c r="AD2133">
        <v>-1.121169227147</v>
      </c>
      <c r="AE2133">
        <v>-2.4945999999999899</v>
      </c>
      <c r="AF2133">
        <v>-2.08274180134145</v>
      </c>
      <c r="AG2133">
        <v>-1.121169227147</v>
      </c>
      <c r="AH2133">
        <v>26.502164746387098</v>
      </c>
      <c r="AI2133">
        <v>92.415005786801501</v>
      </c>
      <c r="AJ2133">
        <v>94.4935029481274</v>
      </c>
      <c r="AK2133">
        <v>26.607509655952398</v>
      </c>
      <c r="AL2133">
        <v>78.610832940117703</v>
      </c>
      <c r="AM2133">
        <v>87.649288426238996</v>
      </c>
      <c r="AN2133">
        <v>1.0000000176584301</v>
      </c>
    </row>
    <row r="2134" spans="1:40" x14ac:dyDescent="0.25">
      <c r="A2134" t="str">
        <f>"20190303162255728"</f>
        <v>20190303162255728</v>
      </c>
      <c r="B2134" t="str">
        <f>"1551601375716543"</f>
        <v>1551601375716543</v>
      </c>
      <c r="C2134" t="s">
        <v>40</v>
      </c>
      <c r="D2134">
        <v>5.1749780000000003</v>
      </c>
      <c r="E2134">
        <v>0.45556940000000001</v>
      </c>
      <c r="F2134" t="s">
        <v>47</v>
      </c>
      <c r="G2134">
        <v>-360.86610000000002</v>
      </c>
      <c r="H2134" s="1">
        <v>-1.075886E-6</v>
      </c>
      <c r="I2134">
        <v>282.10419999999999</v>
      </c>
      <c r="J2134">
        <v>-334.24239999999998</v>
      </c>
      <c r="K2134">
        <v>1.1211580000000001</v>
      </c>
      <c r="L2134">
        <v>284.61149999999998</v>
      </c>
      <c r="M2134">
        <v>-0.99978769999999995</v>
      </c>
      <c r="N2134">
        <v>-1.353385E-2</v>
      </c>
      <c r="O2134">
        <v>-1.5543599999999999E-2</v>
      </c>
      <c r="P2134">
        <v>-0.98259700000000005</v>
      </c>
      <c r="Q2134">
        <v>0.1840531</v>
      </c>
      <c r="R2134">
        <v>2.5060869999999999E-2</v>
      </c>
      <c r="S2134">
        <v>-3.0848080000000002</v>
      </c>
      <c r="T2134">
        <v>-0.12906099999999901</v>
      </c>
      <c r="U2134">
        <v>-0.28894039999999999</v>
      </c>
      <c r="V2134">
        <v>4.0237000000000002E-2</v>
      </c>
      <c r="W2134">
        <v>0.1973472</v>
      </c>
      <c r="X2134">
        <v>0.97950760000000003</v>
      </c>
      <c r="Y2134">
        <v>-7.7685710000000005E-2</v>
      </c>
      <c r="Z2134">
        <v>-1.7094370000000001E-3</v>
      </c>
      <c r="AA2134">
        <v>0.99697639999999998</v>
      </c>
      <c r="AB2134">
        <v>29</v>
      </c>
      <c r="AC2134">
        <v>-26.623699999999999</v>
      </c>
      <c r="AD2134">
        <v>-1.1211590758859999</v>
      </c>
      <c r="AE2134">
        <v>-2.5072999999999799</v>
      </c>
      <c r="AF2134">
        <v>-2.08945824238369</v>
      </c>
      <c r="AG2134">
        <v>-1.1211590758859999</v>
      </c>
      <c r="AH2134">
        <v>26.612680002887</v>
      </c>
      <c r="AI2134">
        <v>92.404980844982404</v>
      </c>
      <c r="AJ2134">
        <v>94.4892904505827</v>
      </c>
      <c r="AK2134">
        <v>26.7181131511221</v>
      </c>
      <c r="AL2134">
        <v>78.618127203636604</v>
      </c>
      <c r="AM2134">
        <v>87.647680505093106</v>
      </c>
      <c r="AN2134">
        <v>1.00000003598729</v>
      </c>
    </row>
    <row r="2135" spans="1:40" x14ac:dyDescent="0.25">
      <c r="A2135" t="str">
        <f>"20190303162255741"</f>
        <v>20190303162255741</v>
      </c>
      <c r="B2135" t="str">
        <f>"1551601375737038"</f>
        <v>1551601375737038</v>
      </c>
      <c r="C2135" t="s">
        <v>40</v>
      </c>
      <c r="D2135">
        <v>5.1529699999999998</v>
      </c>
      <c r="E2135">
        <v>0.45559270000000002</v>
      </c>
      <c r="F2135" t="s">
        <v>47</v>
      </c>
      <c r="G2135">
        <v>-360.96449999999999</v>
      </c>
      <c r="H2135" s="1">
        <v>-1.023522E-6</v>
      </c>
      <c r="I2135">
        <v>282.12060000000002</v>
      </c>
      <c r="J2135">
        <v>-334.4237</v>
      </c>
      <c r="K2135">
        <v>1.1211469999999999</v>
      </c>
      <c r="L2135">
        <v>284.60840000000002</v>
      </c>
      <c r="M2135">
        <v>-0.99978520000000004</v>
      </c>
      <c r="N2135">
        <v>-1.3531029999999999E-2</v>
      </c>
      <c r="O2135">
        <v>-1.5701440000000001E-2</v>
      </c>
      <c r="P2135">
        <v>-0.98268409999999995</v>
      </c>
      <c r="Q2135">
        <v>0.18366979999999999</v>
      </c>
      <c r="R2135">
        <v>2.4443840000000001E-2</v>
      </c>
      <c r="S2135">
        <v>-3.084686</v>
      </c>
      <c r="T2135">
        <v>-0.12942190000000001</v>
      </c>
      <c r="U2135">
        <v>-0.28753659999999998</v>
      </c>
      <c r="V2135">
        <v>3.9782339999999999E-2</v>
      </c>
      <c r="W2135">
        <v>0.196961</v>
      </c>
      <c r="X2135">
        <v>0.97960380000000002</v>
      </c>
      <c r="Y2135">
        <v>-7.7082540000000005E-2</v>
      </c>
      <c r="Z2135">
        <v>-1.6908699999999999E-3</v>
      </c>
      <c r="AA2135">
        <v>0.99702329999999995</v>
      </c>
      <c r="AB2135">
        <v>29</v>
      </c>
      <c r="AC2135">
        <v>-26.540799999999901</v>
      </c>
      <c r="AD2135">
        <v>-1.1211480235219999</v>
      </c>
      <c r="AE2135">
        <v>-2.4877999999999898</v>
      </c>
      <c r="AF2135">
        <v>-2.0670699394298802</v>
      </c>
      <c r="AG2135">
        <v>-1.1211480235219999</v>
      </c>
      <c r="AH2135">
        <v>26.529665361162799</v>
      </c>
      <c r="AI2135">
        <v>92.412585760669202</v>
      </c>
      <c r="AJ2135">
        <v>94.455223493580803</v>
      </c>
      <c r="AK2135">
        <v>26.633679715736299</v>
      </c>
      <c r="AL2135">
        <v>78.640696704657202</v>
      </c>
      <c r="AM2135">
        <v>87.674459448910397</v>
      </c>
      <c r="AN2135">
        <v>0.99999993753565497</v>
      </c>
    </row>
    <row r="2136" spans="1:40" x14ac:dyDescent="0.25">
      <c r="A2136" t="str">
        <f>"20190303162255755"</f>
        <v>20190303162255755</v>
      </c>
      <c r="B2136" t="str">
        <f>"1551601375746798"</f>
        <v>1551601375746798</v>
      </c>
      <c r="C2136" t="s">
        <v>40</v>
      </c>
      <c r="D2136">
        <v>5.2574019999999999</v>
      </c>
      <c r="E2136">
        <v>0.45558690000000002</v>
      </c>
      <c r="F2136" t="s">
        <v>47</v>
      </c>
      <c r="G2136">
        <v>-360.90859999999998</v>
      </c>
      <c r="H2136" s="1">
        <v>-1.053279E-6</v>
      </c>
      <c r="I2136">
        <v>282.12509999999997</v>
      </c>
      <c r="J2136">
        <v>-334.59390000000002</v>
      </c>
      <c r="K2136">
        <v>1.1211329999999999</v>
      </c>
      <c r="L2136">
        <v>284.60559999999998</v>
      </c>
      <c r="M2136">
        <v>-0.99978310000000004</v>
      </c>
      <c r="N2136">
        <v>-1.352829E-2</v>
      </c>
      <c r="O2136">
        <v>-1.5833360000000001E-2</v>
      </c>
      <c r="P2136">
        <v>-0.98287250000000004</v>
      </c>
      <c r="Q2136">
        <v>0.18276390000000001</v>
      </c>
      <c r="R2136">
        <v>2.3644740000000001E-2</v>
      </c>
      <c r="S2136">
        <v>-3.084473</v>
      </c>
      <c r="T2136">
        <v>-0.13057079999999999</v>
      </c>
      <c r="U2136">
        <v>-0.2892151</v>
      </c>
      <c r="V2136">
        <v>3.9123239999999997E-2</v>
      </c>
      <c r="W2136">
        <v>0.19605359999999999</v>
      </c>
      <c r="X2136">
        <v>0.97981240000000003</v>
      </c>
      <c r="Y2136">
        <v>-7.7493560000000003E-2</v>
      </c>
      <c r="Z2136">
        <v>-1.706932E-3</v>
      </c>
      <c r="AA2136">
        <v>0.99699139999999997</v>
      </c>
      <c r="AB2136">
        <v>29</v>
      </c>
      <c r="AC2136">
        <v>-26.314699999999899</v>
      </c>
      <c r="AD2136">
        <v>-1.121134053279</v>
      </c>
      <c r="AE2136">
        <v>-2.4805000000000001</v>
      </c>
      <c r="AF2136">
        <v>-2.0597947831155401</v>
      </c>
      <c r="AG2136">
        <v>-1.121134053279</v>
      </c>
      <c r="AH2136">
        <v>26.303354288789201</v>
      </c>
      <c r="AI2136">
        <v>92.433213942868505</v>
      </c>
      <c r="AJ2136">
        <v>94.477649096685894</v>
      </c>
      <c r="AK2136">
        <v>26.407690981142999</v>
      </c>
      <c r="AL2136">
        <v>78.693721351717898</v>
      </c>
      <c r="AM2136">
        <v>87.713433332299601</v>
      </c>
      <c r="AN2136">
        <v>0.99999999058740796</v>
      </c>
    </row>
    <row r="2137" spans="1:40" x14ac:dyDescent="0.25">
      <c r="A2137" t="str">
        <f>"20190303162255769"</f>
        <v>20190303162255769</v>
      </c>
      <c r="B2137" t="str">
        <f>"1551601375757535"</f>
        <v>1551601375757535</v>
      </c>
      <c r="C2137" t="s">
        <v>40</v>
      </c>
      <c r="D2137">
        <v>5.2404999999999999</v>
      </c>
      <c r="E2137">
        <v>0.45559430000000001</v>
      </c>
      <c r="F2137" t="s">
        <v>47</v>
      </c>
      <c r="G2137">
        <v>-360.6574</v>
      </c>
      <c r="H2137" s="1">
        <v>-1.1869710000000001E-6</v>
      </c>
      <c r="I2137">
        <v>282.1438</v>
      </c>
      <c r="J2137">
        <v>-334.77719999999999</v>
      </c>
      <c r="K2137">
        <v>1.121111</v>
      </c>
      <c r="L2137">
        <v>284.6026</v>
      </c>
      <c r="M2137">
        <v>-0.99978109999999998</v>
      </c>
      <c r="N2137">
        <v>-1.352539E-2</v>
      </c>
      <c r="O2137">
        <v>-1.5961659999999999E-2</v>
      </c>
      <c r="P2137">
        <v>-0.98292389999999996</v>
      </c>
      <c r="Q2137">
        <v>0.18256230000000001</v>
      </c>
      <c r="R2137">
        <v>2.3058820000000001E-2</v>
      </c>
      <c r="S2137">
        <v>-3.0839539999999999</v>
      </c>
      <c r="T2137">
        <v>-0.13265779999999999</v>
      </c>
      <c r="U2137">
        <v>-0.2912903</v>
      </c>
      <c r="V2137">
        <v>3.8672930000000001E-2</v>
      </c>
      <c r="W2137">
        <v>0.19584779999999999</v>
      </c>
      <c r="X2137">
        <v>0.97987150000000001</v>
      </c>
      <c r="Y2137">
        <v>-7.8043299999999996E-2</v>
      </c>
      <c r="Z2137">
        <v>-1.7341259999999999E-3</v>
      </c>
      <c r="AA2137">
        <v>0.99694850000000002</v>
      </c>
      <c r="AB2137">
        <v>29</v>
      </c>
      <c r="AC2137">
        <v>-25.880199999999999</v>
      </c>
      <c r="AD2137">
        <v>-1.1211121869709999</v>
      </c>
      <c r="AE2137">
        <v>-2.4587999999999899</v>
      </c>
      <c r="AF2137">
        <v>-2.0415611071517001</v>
      </c>
      <c r="AG2137">
        <v>-1.1211121869709999</v>
      </c>
      <c r="AH2137">
        <v>25.8680437589917</v>
      </c>
      <c r="AI2137">
        <v>92.473943371086605</v>
      </c>
      <c r="AJ2137">
        <v>94.512551345593295</v>
      </c>
      <c r="AK2137">
        <v>25.972688582569099</v>
      </c>
      <c r="AL2137">
        <v>78.705746687915394</v>
      </c>
      <c r="AM2137">
        <v>87.7398605322538</v>
      </c>
      <c r="AN2137">
        <v>1.0000000563959299</v>
      </c>
    </row>
    <row r="2138" spans="1:40" x14ac:dyDescent="0.25">
      <c r="A2138" t="str">
        <f>"20190303162255785"</f>
        <v>20190303162255785</v>
      </c>
      <c r="B2138" t="str">
        <f>"1551601375777054"</f>
        <v>1551601375777054</v>
      </c>
      <c r="C2138" t="s">
        <v>40</v>
      </c>
      <c r="D2138">
        <v>5.1943339999999996</v>
      </c>
      <c r="E2138">
        <v>0.45561560000000001</v>
      </c>
      <c r="F2138" t="s">
        <v>47</v>
      </c>
      <c r="G2138">
        <v>-360.6893</v>
      </c>
      <c r="H2138" s="1">
        <v>-1.16996E-6</v>
      </c>
      <c r="I2138">
        <v>282.14010000000002</v>
      </c>
      <c r="J2138">
        <v>-334.97430000000003</v>
      </c>
      <c r="K2138">
        <v>1.1210830000000001</v>
      </c>
      <c r="L2138">
        <v>284.59930000000003</v>
      </c>
      <c r="M2138">
        <v>-0.99977930000000004</v>
      </c>
      <c r="N2138">
        <v>-1.3522350000000001E-2</v>
      </c>
      <c r="O2138">
        <v>-1.60807E-2</v>
      </c>
      <c r="P2138">
        <v>-0.98305240000000005</v>
      </c>
      <c r="Q2138">
        <v>0.18193980000000001</v>
      </c>
      <c r="R2138">
        <v>2.2501050000000002E-2</v>
      </c>
      <c r="S2138">
        <v>-3.083771</v>
      </c>
      <c r="T2138">
        <v>-0.13342229999999999</v>
      </c>
      <c r="U2138">
        <v>-0.2930603</v>
      </c>
      <c r="V2138">
        <v>3.824524E-2</v>
      </c>
      <c r="W2138">
        <v>0.19522210000000001</v>
      </c>
      <c r="X2138">
        <v>0.98001309999999997</v>
      </c>
      <c r="Y2138">
        <v>-7.8495930000000005E-2</v>
      </c>
      <c r="Z2138">
        <v>-1.749006E-3</v>
      </c>
      <c r="AA2138">
        <v>0.99691289999999999</v>
      </c>
      <c r="AB2138">
        <v>29</v>
      </c>
      <c r="AC2138">
        <v>-25.7149999999999</v>
      </c>
      <c r="AD2138">
        <v>-1.12108416996</v>
      </c>
      <c r="AE2138">
        <v>-2.4592000000000098</v>
      </c>
      <c r="AF2138">
        <v>-2.0414839746219</v>
      </c>
      <c r="AG2138">
        <v>-1.12108416996</v>
      </c>
      <c r="AH2138">
        <v>25.702814185428402</v>
      </c>
      <c r="AI2138">
        <v>92.489666255296399</v>
      </c>
      <c r="AJ2138">
        <v>94.541268285565195</v>
      </c>
      <c r="AK2138">
        <v>25.808121659381399</v>
      </c>
      <c r="AL2138">
        <v>78.742301899770794</v>
      </c>
      <c r="AM2138">
        <v>87.7651529032496</v>
      </c>
      <c r="AN2138">
        <v>1.00000002144133</v>
      </c>
    </row>
    <row r="2139" spans="1:40" x14ac:dyDescent="0.25">
      <c r="A2139" t="str">
        <f>"20190303162255801"</f>
        <v>20190303162255801</v>
      </c>
      <c r="B2139" t="str">
        <f>"1551601375796574"</f>
        <v>1551601375796574</v>
      </c>
      <c r="C2139" t="s">
        <v>40</v>
      </c>
      <c r="D2139">
        <v>5.2331890000000003</v>
      </c>
      <c r="E2139">
        <v>0.45569690000000002</v>
      </c>
      <c r="F2139" t="s">
        <v>47</v>
      </c>
      <c r="G2139">
        <v>-360.43610000000001</v>
      </c>
      <c r="H2139" s="1">
        <v>-1.3047040000000001E-6</v>
      </c>
      <c r="I2139">
        <v>282.1653</v>
      </c>
      <c r="J2139">
        <v>-335.18419999999998</v>
      </c>
      <c r="K2139">
        <v>1.121051</v>
      </c>
      <c r="L2139">
        <v>284.5958</v>
      </c>
      <c r="M2139">
        <v>-0.99977769999999999</v>
      </c>
      <c r="N2139">
        <v>-1.3519099999999999E-2</v>
      </c>
      <c r="O2139">
        <v>-1.617905E-2</v>
      </c>
      <c r="P2139">
        <v>-0.98335189999999995</v>
      </c>
      <c r="Q2139">
        <v>0.1804588</v>
      </c>
      <c r="R2139">
        <v>2.1298919999999999E-2</v>
      </c>
      <c r="S2139">
        <v>-3.0835880000000002</v>
      </c>
      <c r="T2139">
        <v>-0.13577020000000001</v>
      </c>
      <c r="U2139">
        <v>-0.29476930000000001</v>
      </c>
      <c r="V2139">
        <v>3.7158040000000003E-2</v>
      </c>
      <c r="W2139">
        <v>0.19373940000000001</v>
      </c>
      <c r="X2139">
        <v>0.98034909999999997</v>
      </c>
      <c r="Y2139">
        <v>-7.8947840000000005E-2</v>
      </c>
      <c r="Z2139">
        <v>-1.7764479999999999E-3</v>
      </c>
      <c r="AA2139">
        <v>0.99687720000000002</v>
      </c>
      <c r="AB2139">
        <v>29</v>
      </c>
      <c r="AC2139">
        <v>-25.251899999999999</v>
      </c>
      <c r="AD2139">
        <v>-1.121052304704</v>
      </c>
      <c r="AE2139">
        <v>-2.4304999999999901</v>
      </c>
      <c r="AF2139">
        <v>-2.0176526364812299</v>
      </c>
      <c r="AG2139">
        <v>-1.121052304704</v>
      </c>
      <c r="AH2139">
        <v>25.238634841159001</v>
      </c>
      <c r="AI2139">
        <v>92.535220504371097</v>
      </c>
      <c r="AJ2139">
        <v>94.570677172535696</v>
      </c>
      <c r="AK2139">
        <v>25.3439611954554</v>
      </c>
      <c r="AL2139">
        <v>78.828907930459394</v>
      </c>
      <c r="AM2139">
        <v>87.829364846679496</v>
      </c>
      <c r="AN2139">
        <v>1.0000000164599001</v>
      </c>
    </row>
    <row r="2140" spans="1:40" x14ac:dyDescent="0.25">
      <c r="A2140" t="str">
        <f>"20190303162255823"</f>
        <v>20190303162255823</v>
      </c>
      <c r="B2140" t="str">
        <f>"1551601375816095"</f>
        <v>1551601375816095</v>
      </c>
      <c r="C2140" t="s">
        <v>40</v>
      </c>
      <c r="D2140">
        <v>5.3928510000000003</v>
      </c>
      <c r="E2140">
        <v>0.45576489999999997</v>
      </c>
      <c r="F2140" t="s">
        <v>47</v>
      </c>
      <c r="G2140">
        <v>-358.57139999999998</v>
      </c>
      <c r="H2140" s="1">
        <v>3.0244849999999998E-6</v>
      </c>
      <c r="I2140">
        <v>282.3338</v>
      </c>
      <c r="J2140">
        <v>-335.46800000000002</v>
      </c>
      <c r="K2140">
        <v>1.1210119999999999</v>
      </c>
      <c r="L2140">
        <v>284.59100000000001</v>
      </c>
      <c r="M2140">
        <v>-0.99977640000000001</v>
      </c>
      <c r="N2140">
        <v>-1.3514750000000001E-2</v>
      </c>
      <c r="O2140">
        <v>-1.6268609999999999E-2</v>
      </c>
      <c r="P2140">
        <v>-0.9834792</v>
      </c>
      <c r="Q2140">
        <v>0.17996960000000001</v>
      </c>
      <c r="R2140">
        <v>1.9491580000000001E-2</v>
      </c>
      <c r="S2140">
        <v>-3.0843509999999998</v>
      </c>
      <c r="T2140">
        <v>-0.14784620000000001</v>
      </c>
      <c r="U2140">
        <v>-0.2983093</v>
      </c>
      <c r="V2140">
        <v>3.5459289999999997E-2</v>
      </c>
      <c r="W2140">
        <v>0.19324440000000001</v>
      </c>
      <c r="X2140">
        <v>0.98050970000000004</v>
      </c>
      <c r="Y2140">
        <v>-7.9953350000000006E-2</v>
      </c>
      <c r="Z2140">
        <v>-1.8945940000000001E-3</v>
      </c>
      <c r="AA2140">
        <v>0.99679680000000004</v>
      </c>
      <c r="AB2140">
        <v>29</v>
      </c>
      <c r="AC2140">
        <v>-23.103399999999901</v>
      </c>
      <c r="AD2140">
        <v>-1.1210089755149999</v>
      </c>
      <c r="AE2140">
        <v>-2.2572000000000099</v>
      </c>
      <c r="AF2140">
        <v>-1.87663029570674</v>
      </c>
      <c r="AG2140">
        <v>-1.1210089755149999</v>
      </c>
      <c r="AH2140">
        <v>23.083235138813301</v>
      </c>
      <c r="AI2140">
        <v>92.771186250781</v>
      </c>
      <c r="AJ2140">
        <v>94.647833867018406</v>
      </c>
      <c r="AK2140">
        <v>23.1865078626277</v>
      </c>
      <c r="AL2140">
        <v>78.857815632939094</v>
      </c>
      <c r="AM2140">
        <v>87.928850011625698</v>
      </c>
      <c r="AN2140">
        <v>1.00000001558637</v>
      </c>
    </row>
    <row r="2141" spans="1:40" x14ac:dyDescent="0.25">
      <c r="A2141" t="str">
        <f>"20190303162255845"</f>
        <v>20190303162255845</v>
      </c>
      <c r="B2141" t="str">
        <f>"1551601375836592"</f>
        <v>1551601375836592</v>
      </c>
      <c r="C2141" t="s">
        <v>40</v>
      </c>
      <c r="D2141">
        <v>5.4041750000000004</v>
      </c>
      <c r="E2141">
        <v>0.45593689999999998</v>
      </c>
      <c r="F2141" t="s">
        <v>47</v>
      </c>
      <c r="G2141">
        <v>-358.8972</v>
      </c>
      <c r="H2141" s="1">
        <v>3.1978830000000001E-6</v>
      </c>
      <c r="I2141">
        <v>282.28449999999998</v>
      </c>
      <c r="J2141">
        <v>-335.73329999999999</v>
      </c>
      <c r="K2141">
        <v>1.1209720000000001</v>
      </c>
      <c r="L2141">
        <v>284.58670000000001</v>
      </c>
      <c r="M2141">
        <v>-0.99977579999999999</v>
      </c>
      <c r="N2141">
        <v>-1.351072E-2</v>
      </c>
      <c r="O2141">
        <v>-1.6313939999999999E-2</v>
      </c>
      <c r="P2141">
        <v>-0.98352119999999998</v>
      </c>
      <c r="Q2141">
        <v>0.1799306</v>
      </c>
      <c r="R2141">
        <v>1.764375E-2</v>
      </c>
      <c r="S2141">
        <v>-3.083405</v>
      </c>
      <c r="T2141">
        <v>-0.14753060000000001</v>
      </c>
      <c r="U2141">
        <v>-0.3035583</v>
      </c>
      <c r="V2141">
        <v>3.3672010000000002E-2</v>
      </c>
      <c r="W2141">
        <v>0.1931995</v>
      </c>
      <c r="X2141">
        <v>0.98058149999999999</v>
      </c>
      <c r="Y2141">
        <v>-8.1616179999999997E-2</v>
      </c>
      <c r="Z2141">
        <v>-1.941611E-3</v>
      </c>
      <c r="AA2141">
        <v>0.99666200000000005</v>
      </c>
      <c r="AB2141">
        <v>28</v>
      </c>
      <c r="AC2141">
        <v>-23.163900000000002</v>
      </c>
      <c r="AD2141">
        <v>-1.1209688021169999</v>
      </c>
      <c r="AE2141">
        <v>-2.30220000000002</v>
      </c>
      <c r="AF2141">
        <v>-1.91951336713331</v>
      </c>
      <c r="AG2141">
        <v>-1.1209688021169999</v>
      </c>
      <c r="AH2141">
        <v>23.144706290366901</v>
      </c>
      <c r="AI2141">
        <v>92.763370247688698</v>
      </c>
      <c r="AJ2141">
        <v>94.740993106171203</v>
      </c>
      <c r="AK2141">
        <v>23.251204955641999</v>
      </c>
      <c r="AL2141">
        <v>78.860437049406499</v>
      </c>
      <c r="AM2141">
        <v>88.033303405515099</v>
      </c>
      <c r="AN2141">
        <v>0.99999996459996898</v>
      </c>
    </row>
    <row r="2142" spans="1:40" x14ac:dyDescent="0.25">
      <c r="A2142" t="str">
        <f>"20190303162255858"</f>
        <v>20190303162255858</v>
      </c>
      <c r="B2142" t="str">
        <f>"1551601375846351"</f>
        <v>1551601375846351</v>
      </c>
      <c r="C2142" t="s">
        <v>40</v>
      </c>
      <c r="D2142">
        <v>5.2338620000000002</v>
      </c>
      <c r="E2142">
        <v>0.45602130000000002</v>
      </c>
      <c r="F2142" t="s">
        <v>47</v>
      </c>
      <c r="G2142">
        <v>-359.41899999999998</v>
      </c>
      <c r="H2142" s="1">
        <v>3.4755609999999998E-6</v>
      </c>
      <c r="I2142">
        <v>282.22109999999998</v>
      </c>
      <c r="J2142">
        <v>-335.91269999999997</v>
      </c>
      <c r="K2142">
        <v>1.120954</v>
      </c>
      <c r="L2142">
        <v>284.58370000000002</v>
      </c>
      <c r="M2142">
        <v>-0.99977550000000004</v>
      </c>
      <c r="N2142">
        <v>-1.3508010000000001E-2</v>
      </c>
      <c r="O2142">
        <v>-1.6329369999999999E-2</v>
      </c>
      <c r="P2142">
        <v>-0.983514</v>
      </c>
      <c r="Q2142">
        <v>0.1800678</v>
      </c>
      <c r="R2142">
        <v>1.661408E-2</v>
      </c>
      <c r="S2142">
        <v>-3.0824889999999998</v>
      </c>
      <c r="T2142">
        <v>-0.14588419999999999</v>
      </c>
      <c r="U2142">
        <v>-0.3078613</v>
      </c>
      <c r="V2142">
        <v>3.2665640000000003E-2</v>
      </c>
      <c r="W2142">
        <v>0.1933329</v>
      </c>
      <c r="X2142">
        <v>0.9805893</v>
      </c>
      <c r="Y2142">
        <v>-8.3007349999999994E-2</v>
      </c>
      <c r="Z2142">
        <v>-1.9704369999999998E-3</v>
      </c>
      <c r="AA2142">
        <v>0.99654699999999996</v>
      </c>
      <c r="AB2142">
        <v>28</v>
      </c>
      <c r="AC2142">
        <v>-23.5063</v>
      </c>
      <c r="AD2142">
        <v>-1.1209505244389999</v>
      </c>
      <c r="AE2142">
        <v>-2.36260000000004</v>
      </c>
      <c r="AF2142">
        <v>-1.97396282677252</v>
      </c>
      <c r="AG2142">
        <v>-1.1209505244389999</v>
      </c>
      <c r="AH2142">
        <v>23.488867368148298</v>
      </c>
      <c r="AI2142">
        <v>92.722649545675495</v>
      </c>
      <c r="AJ2142">
        <v>94.803748385311707</v>
      </c>
      <c r="AK2142">
        <v>23.598303955118901</v>
      </c>
      <c r="AL2142">
        <v>78.852647486209307</v>
      </c>
      <c r="AM2142">
        <v>88.092053974375204</v>
      </c>
      <c r="AN2142">
        <v>1.00000001476675</v>
      </c>
    </row>
    <row r="2143" spans="1:40" x14ac:dyDescent="0.25">
      <c r="A2143" t="str">
        <f>"20190303162255871"</f>
        <v>20190303162255871</v>
      </c>
      <c r="B2143" t="str">
        <f>"1551601375866846"</f>
        <v>1551601375866846</v>
      </c>
      <c r="C2143" t="s">
        <v>40</v>
      </c>
      <c r="D2143">
        <v>5.2710939999999997</v>
      </c>
      <c r="E2143">
        <v>0.45621729999999999</v>
      </c>
      <c r="F2143" t="s">
        <v>47</v>
      </c>
      <c r="G2143">
        <v>-359.79180000000002</v>
      </c>
      <c r="H2143" s="1">
        <v>3.6739059999999998E-6</v>
      </c>
      <c r="I2143">
        <v>282.17959999999999</v>
      </c>
      <c r="J2143">
        <v>-336.07100000000003</v>
      </c>
      <c r="K2143">
        <v>1.1209420000000001</v>
      </c>
      <c r="L2143">
        <v>284.58109999999999</v>
      </c>
      <c r="M2143">
        <v>-0.99977550000000004</v>
      </c>
      <c r="N2143">
        <v>-1.35056E-2</v>
      </c>
      <c r="O2143">
        <v>-1.6332960000000001E-2</v>
      </c>
      <c r="P2143">
        <v>-0.98350329999999997</v>
      </c>
      <c r="Q2143">
        <v>0.18021039999999999</v>
      </c>
      <c r="R2143">
        <v>1.567787E-2</v>
      </c>
      <c r="S2143">
        <v>-3.0820620000000001</v>
      </c>
      <c r="T2143">
        <v>-0.14468029999999901</v>
      </c>
      <c r="U2143">
        <v>-0.31030269999999999</v>
      </c>
      <c r="V2143">
        <v>3.1739099999999999E-2</v>
      </c>
      <c r="W2143">
        <v>0.1934718</v>
      </c>
      <c r="X2143">
        <v>0.98059229999999997</v>
      </c>
      <c r="Y2143">
        <v>-8.3799349999999995E-2</v>
      </c>
      <c r="Z2143">
        <v>-1.9844099999999998E-3</v>
      </c>
      <c r="AA2143">
        <v>0.99648060000000005</v>
      </c>
      <c r="AB2143">
        <v>28</v>
      </c>
      <c r="AC2143">
        <v>-23.720800000000001</v>
      </c>
      <c r="AD2143">
        <v>-1.120938326094</v>
      </c>
      <c r="AE2143">
        <v>-2.4014999999999902</v>
      </c>
      <c r="AF2143">
        <v>-2.0092720788714402</v>
      </c>
      <c r="AG2143">
        <v>-1.120938326094</v>
      </c>
      <c r="AH2143">
        <v>23.704465462712601</v>
      </c>
      <c r="AI2143">
        <v>92.697730081738598</v>
      </c>
      <c r="AJ2143">
        <v>94.845006088371605</v>
      </c>
      <c r="AK2143">
        <v>23.815863618411399</v>
      </c>
      <c r="AL2143">
        <v>78.844535597925898</v>
      </c>
      <c r="AM2143">
        <v>88.146138997873294</v>
      </c>
      <c r="AN2143">
        <v>0.99999998334166895</v>
      </c>
    </row>
    <row r="2144" spans="1:40" x14ac:dyDescent="0.25">
      <c r="A2144" t="str">
        <f>"20190303162255890"</f>
        <v>20190303162255890</v>
      </c>
      <c r="B2144" t="str">
        <f>"1551601375886366"</f>
        <v>1551601375886366</v>
      </c>
      <c r="C2144" t="s">
        <v>40</v>
      </c>
      <c r="D2144">
        <v>5.387594</v>
      </c>
      <c r="E2144">
        <v>0.4564491</v>
      </c>
      <c r="F2144" t="s">
        <v>47</v>
      </c>
      <c r="G2144">
        <v>-360.35390000000001</v>
      </c>
      <c r="H2144" s="1">
        <v>-1.348474E-6</v>
      </c>
      <c r="I2144">
        <v>282.12610000000001</v>
      </c>
      <c r="J2144">
        <v>-336.31079999999997</v>
      </c>
      <c r="K2144">
        <v>1.1209340000000001</v>
      </c>
      <c r="L2144">
        <v>284.5772</v>
      </c>
      <c r="M2144">
        <v>-0.99977570000000004</v>
      </c>
      <c r="N2144">
        <v>-1.350195E-2</v>
      </c>
      <c r="O2144">
        <v>-1.6318929999999999E-2</v>
      </c>
      <c r="P2144">
        <v>-0.98346020000000001</v>
      </c>
      <c r="Q2144">
        <v>0.18060190000000001</v>
      </c>
      <c r="R2144">
        <v>1.375208E-2</v>
      </c>
      <c r="S2144">
        <v>-3.0813600000000001</v>
      </c>
      <c r="T2144">
        <v>-0.14224110000000001</v>
      </c>
      <c r="U2144">
        <v>-0.31152340000000001</v>
      </c>
      <c r="V2144">
        <v>2.9807420000000001E-2</v>
      </c>
      <c r="W2144">
        <v>0.19385820000000001</v>
      </c>
      <c r="X2144">
        <v>0.98057660000000002</v>
      </c>
      <c r="Y2144">
        <v>-8.4229180000000001E-2</v>
      </c>
      <c r="Z2144">
        <v>-1.9775460000000002E-3</v>
      </c>
      <c r="AA2144">
        <v>0.99644449999999996</v>
      </c>
      <c r="AB2144">
        <v>28</v>
      </c>
      <c r="AC2144">
        <v>-24.043099999999999</v>
      </c>
      <c r="AD2144">
        <v>-1.1209353484739999</v>
      </c>
      <c r="AE2144">
        <v>-2.4510999999999901</v>
      </c>
      <c r="AF2144">
        <v>-2.0539615483048501</v>
      </c>
      <c r="AG2144">
        <v>-1.1209353484739999</v>
      </c>
      <c r="AH2144">
        <v>24.028210182254099</v>
      </c>
      <c r="AI2144">
        <v>92.661266492013098</v>
      </c>
      <c r="AJ2144">
        <v>94.885837861392005</v>
      </c>
      <c r="AK2144">
        <v>24.141875210098199</v>
      </c>
      <c r="AL2144">
        <v>78.821969195710096</v>
      </c>
      <c r="AM2144">
        <v>88.258867665778197</v>
      </c>
      <c r="AN2144">
        <v>0.99999997623092796</v>
      </c>
    </row>
    <row r="2145" spans="1:40" x14ac:dyDescent="0.25">
      <c r="A2145" t="str">
        <f>"20190303162255903"</f>
        <v>20190303162255903</v>
      </c>
      <c r="B2145" t="str">
        <f>"1551601375896128"</f>
        <v>1551601375896128</v>
      </c>
      <c r="C2145" t="s">
        <v>40</v>
      </c>
      <c r="D2145">
        <v>5.1207250000000002</v>
      </c>
      <c r="E2145">
        <v>0.45654250000000002</v>
      </c>
      <c r="F2145" t="s">
        <v>47</v>
      </c>
      <c r="G2145">
        <v>-361.24169999999998</v>
      </c>
      <c r="H2145" s="1">
        <v>-8.7601479999999996E-7</v>
      </c>
      <c r="I2145">
        <v>282.01830000000001</v>
      </c>
      <c r="J2145">
        <v>-336.48469999999998</v>
      </c>
      <c r="K2145">
        <v>1.120922</v>
      </c>
      <c r="L2145">
        <v>284.57429999999999</v>
      </c>
      <c r="M2145">
        <v>-0.9997762</v>
      </c>
      <c r="N2145">
        <v>-1.349931E-2</v>
      </c>
      <c r="O2145">
        <v>-1.6293289999999998E-2</v>
      </c>
      <c r="P2145">
        <v>-0.98342399999999996</v>
      </c>
      <c r="Q2145">
        <v>0.18080660000000001</v>
      </c>
      <c r="R2145">
        <v>1.365383E-2</v>
      </c>
      <c r="S2145">
        <v>-3.0802610000000001</v>
      </c>
      <c r="T2145">
        <v>-0.1384938</v>
      </c>
      <c r="U2145">
        <v>-0.316162099999999</v>
      </c>
      <c r="V2145">
        <v>2.969014E-2</v>
      </c>
      <c r="W2145">
        <v>0.19405890000000001</v>
      </c>
      <c r="X2145">
        <v>0.98054050000000004</v>
      </c>
      <c r="Y2145">
        <v>-8.5777969999999995E-2</v>
      </c>
      <c r="Z2145">
        <v>-1.9924840000000001E-3</v>
      </c>
      <c r="AA2145">
        <v>0.99631230000000004</v>
      </c>
      <c r="AB2145">
        <v>28</v>
      </c>
      <c r="AC2145">
        <v>-24.757000000000001</v>
      </c>
      <c r="AD2145">
        <v>-1.1209228760148</v>
      </c>
      <c r="AE2145">
        <v>-2.5559999999999801</v>
      </c>
      <c r="AF2145">
        <v>-2.1478941757229202</v>
      </c>
      <c r="AG2145">
        <v>-1.1209228760148</v>
      </c>
      <c r="AH2145">
        <v>24.745169722682601</v>
      </c>
      <c r="AI2145">
        <v>92.583945973616693</v>
      </c>
      <c r="AJ2145">
        <v>94.960870770645599</v>
      </c>
      <c r="AK2145">
        <v>24.863494164908602</v>
      </c>
      <c r="AL2145">
        <v>78.810247788704103</v>
      </c>
      <c r="AM2145">
        <v>88.265650305877003</v>
      </c>
      <c r="AN2145">
        <v>1.0000000166113301</v>
      </c>
    </row>
    <row r="2146" spans="1:40" x14ac:dyDescent="0.25">
      <c r="A2146" t="str">
        <f>"20190303162255923"</f>
        <v>20190303162255923</v>
      </c>
      <c r="B2146" t="str">
        <f>"1551601375916622"</f>
        <v>1551601375916622</v>
      </c>
      <c r="C2146" t="s">
        <v>40</v>
      </c>
      <c r="D2146">
        <v>5.3363909999999999</v>
      </c>
      <c r="E2146">
        <v>0.45655279999999998</v>
      </c>
      <c r="F2146" t="s">
        <v>47</v>
      </c>
      <c r="G2146">
        <v>-361.6764</v>
      </c>
      <c r="H2146" s="1">
        <v>-6.4470359999999998E-7</v>
      </c>
      <c r="I2146">
        <v>281.99079999999998</v>
      </c>
      <c r="J2146">
        <v>-336.73860000000002</v>
      </c>
      <c r="K2146">
        <v>1.1209020000000001</v>
      </c>
      <c r="L2146">
        <v>284.57029999999997</v>
      </c>
      <c r="M2146">
        <v>-0.99977729999999998</v>
      </c>
      <c r="N2146">
        <v>-1.3495490000000001E-2</v>
      </c>
      <c r="O2146">
        <v>-1.622529E-2</v>
      </c>
      <c r="P2146">
        <v>-0.98319440000000002</v>
      </c>
      <c r="Q2146">
        <v>0.18205650000000001</v>
      </c>
      <c r="R2146">
        <v>1.358409E-2</v>
      </c>
      <c r="S2146">
        <v>-3.0801090000000002</v>
      </c>
      <c r="T2146">
        <v>-0.137051799999999</v>
      </c>
      <c r="U2146">
        <v>-0.31588749999999999</v>
      </c>
      <c r="V2146">
        <v>2.956143E-2</v>
      </c>
      <c r="W2146">
        <v>0.19530020000000001</v>
      </c>
      <c r="X2146">
        <v>0.98029790000000006</v>
      </c>
      <c r="Y2146">
        <v>-8.576462E-2</v>
      </c>
      <c r="Z2146">
        <v>-1.9816270000000001E-3</v>
      </c>
      <c r="AA2146">
        <v>0.99631349999999996</v>
      </c>
      <c r="AB2146">
        <v>28</v>
      </c>
      <c r="AC2146">
        <v>-24.9377999999999</v>
      </c>
      <c r="AD2146">
        <v>-1.1209026447035999</v>
      </c>
      <c r="AE2146">
        <v>-2.5794999999999901</v>
      </c>
      <c r="AF2146">
        <v>-2.1701624926108001</v>
      </c>
      <c r="AG2146">
        <v>-1.1209026447035999</v>
      </c>
      <c r="AH2146">
        <v>24.926547150365799</v>
      </c>
      <c r="AI2146">
        <v>92.5650650692656</v>
      </c>
      <c r="AJ2146">
        <v>94.975755761700896</v>
      </c>
      <c r="AK2146">
        <v>25.045933418873599</v>
      </c>
      <c r="AL2146">
        <v>78.737739138623098</v>
      </c>
      <c r="AM2146">
        <v>88.272737247941294</v>
      </c>
      <c r="AN2146">
        <v>1.00000000950404</v>
      </c>
    </row>
    <row r="2147" spans="1:40" x14ac:dyDescent="0.25">
      <c r="A2147" t="str">
        <f>"20190303162255944"</f>
        <v>20190303162255944</v>
      </c>
      <c r="B2147" t="str">
        <f>"1551601375936142"</f>
        <v>1551601375936142</v>
      </c>
      <c r="C2147" t="s">
        <v>40</v>
      </c>
      <c r="D2147">
        <v>5.2730009999999998</v>
      </c>
      <c r="E2147">
        <v>0.45659850000000002</v>
      </c>
      <c r="F2147" t="s">
        <v>47</v>
      </c>
      <c r="G2147">
        <v>-362.70319999999998</v>
      </c>
      <c r="H2147" s="1">
        <v>-9.8288129999999995E-8</v>
      </c>
      <c r="I2147">
        <v>281.90809999999999</v>
      </c>
      <c r="J2147">
        <v>-337.00439999999998</v>
      </c>
      <c r="K2147">
        <v>1.120879</v>
      </c>
      <c r="L2147">
        <v>284.56610000000001</v>
      </c>
      <c r="M2147">
        <v>-0.99977899999999997</v>
      </c>
      <c r="N2147">
        <v>-1.349151E-2</v>
      </c>
      <c r="O2147">
        <v>-1.6123720000000001E-2</v>
      </c>
      <c r="P2147">
        <v>-0.98297219999999996</v>
      </c>
      <c r="Q2147">
        <v>0.1832182</v>
      </c>
      <c r="R2147">
        <v>1.4035789999999999E-2</v>
      </c>
      <c r="S2147">
        <v>-3.0802610000000001</v>
      </c>
      <c r="T2147">
        <v>-0.13297639999999999</v>
      </c>
      <c r="U2147">
        <v>-0.31582640000000001</v>
      </c>
      <c r="V2147">
        <v>2.9923180000000001E-2</v>
      </c>
      <c r="W2147">
        <v>0.1964524</v>
      </c>
      <c r="X2147">
        <v>0.98005659999999994</v>
      </c>
      <c r="Y2147">
        <v>-8.5846220000000001E-2</v>
      </c>
      <c r="Z2147">
        <v>-1.9514980000000001E-3</v>
      </c>
      <c r="AA2147">
        <v>0.99630649999999998</v>
      </c>
      <c r="AB2147">
        <v>28</v>
      </c>
      <c r="AC2147">
        <v>-25.698799999999999</v>
      </c>
      <c r="AD2147">
        <v>-1.12087909828813</v>
      </c>
      <c r="AE2147">
        <v>-2.6580000000000101</v>
      </c>
      <c r="AF2147">
        <v>-2.23904207382071</v>
      </c>
      <c r="AG2147">
        <v>-1.12087909828813</v>
      </c>
      <c r="AH2147">
        <v>25.689965213319901</v>
      </c>
      <c r="AI2147">
        <v>92.488864996923297</v>
      </c>
      <c r="AJ2147">
        <v>94.981100547092595</v>
      </c>
      <c r="AK2147">
        <v>25.811702617667599</v>
      </c>
      <c r="AL2147">
        <v>78.670418060450004</v>
      </c>
      <c r="AM2147">
        <v>88.251183173690293</v>
      </c>
      <c r="AN2147">
        <v>0.99999994068531395</v>
      </c>
    </row>
    <row r="2148" spans="1:40" x14ac:dyDescent="0.25">
      <c r="A2148" t="str">
        <f>"20190303162255967"</f>
        <v>20190303162255967</v>
      </c>
      <c r="B2148" t="str">
        <f>"1551601375956639"</f>
        <v>1551601375956639</v>
      </c>
      <c r="C2148" t="s">
        <v>40</v>
      </c>
      <c r="D2148">
        <v>5.1438790000000001</v>
      </c>
      <c r="E2148">
        <v>0.4567812</v>
      </c>
      <c r="F2148" t="s">
        <v>47</v>
      </c>
      <c r="G2148">
        <v>-363.72649999999999</v>
      </c>
      <c r="H2148" s="1">
        <v>4.4628229999999998E-7</v>
      </c>
      <c r="I2148">
        <v>281.83999999999997</v>
      </c>
      <c r="J2148">
        <v>-337.29309999999998</v>
      </c>
      <c r="K2148">
        <v>1.120851</v>
      </c>
      <c r="L2148">
        <v>284.5616</v>
      </c>
      <c r="M2148">
        <v>-0.99978129999999998</v>
      </c>
      <c r="N2148">
        <v>-1.3487249999999999E-2</v>
      </c>
      <c r="O2148">
        <v>-1.5983850000000001E-2</v>
      </c>
      <c r="P2148">
        <v>-0.98288430000000004</v>
      </c>
      <c r="Q2148">
        <v>0.18359110000000001</v>
      </c>
      <c r="R2148">
        <v>1.5262690000000001E-2</v>
      </c>
      <c r="S2148">
        <v>-3.0805660000000001</v>
      </c>
      <c r="T2148">
        <v>-0.12921630000000001</v>
      </c>
      <c r="U2148">
        <v>-0.31426999999999999</v>
      </c>
      <c r="V2148">
        <v>3.1025939999999998E-2</v>
      </c>
      <c r="W2148">
        <v>0.19681750000000001</v>
      </c>
      <c r="X2148">
        <v>0.97994910000000002</v>
      </c>
      <c r="Y2148">
        <v>-8.5482370000000002E-2</v>
      </c>
      <c r="Z2148">
        <v>-1.9124459999999999E-3</v>
      </c>
      <c r="AA2148">
        <v>0.99633780000000005</v>
      </c>
      <c r="AB2148">
        <v>28</v>
      </c>
      <c r="AC2148">
        <v>-26.433399999999999</v>
      </c>
      <c r="AD2148">
        <v>-1.1208505537177</v>
      </c>
      <c r="AE2148">
        <v>-2.72160000000002</v>
      </c>
      <c r="AF2148">
        <v>-2.2946238733605799</v>
      </c>
      <c r="AG2148">
        <v>-1.1208505537177</v>
      </c>
      <c r="AH2148">
        <v>26.426511707504801</v>
      </c>
      <c r="AI2148">
        <v>92.419586680718794</v>
      </c>
      <c r="AJ2148">
        <v>94.962567112166894</v>
      </c>
      <c r="AK2148">
        <v>26.5496163006333</v>
      </c>
      <c r="AL2148">
        <v>78.649083380797705</v>
      </c>
      <c r="AM2148">
        <v>88.186577447727899</v>
      </c>
      <c r="AN2148">
        <v>0.99999998792497102</v>
      </c>
    </row>
    <row r="2149" spans="1:40" x14ac:dyDescent="0.25">
      <c r="A2149" t="str">
        <f>"20190303162255990"</f>
        <v>20190303162255990</v>
      </c>
      <c r="B2149" t="str">
        <f>"1551601375986894"</f>
        <v>1551601375986894</v>
      </c>
      <c r="C2149" t="s">
        <v>40</v>
      </c>
      <c r="D2149">
        <v>5.1875989999999996</v>
      </c>
      <c r="E2149">
        <v>0.4568989</v>
      </c>
      <c r="F2149" t="s">
        <v>47</v>
      </c>
      <c r="G2149">
        <v>-364.714</v>
      </c>
      <c r="H2149" s="1">
        <v>9.7178140000000003E-7</v>
      </c>
      <c r="I2149">
        <v>281.80439999999999</v>
      </c>
      <c r="J2149">
        <v>-337.58420000000001</v>
      </c>
      <c r="K2149">
        <v>1.1208149999999999</v>
      </c>
      <c r="L2149">
        <v>284.55709999999999</v>
      </c>
      <c r="M2149">
        <v>-0.99978420000000001</v>
      </c>
      <c r="N2149">
        <v>-1.348298E-2</v>
      </c>
      <c r="O2149">
        <v>-1.581318E-2</v>
      </c>
      <c r="P2149">
        <v>-0.9827726</v>
      </c>
      <c r="Q2149">
        <v>0.1840164</v>
      </c>
      <c r="R2149">
        <v>1.7213079999999999E-2</v>
      </c>
      <c r="S2149">
        <v>-3.080597</v>
      </c>
      <c r="T2149">
        <v>-0.1259217</v>
      </c>
      <c r="U2149">
        <v>-0.30975340000000001</v>
      </c>
      <c r="V2149">
        <v>3.2819139999999997E-2</v>
      </c>
      <c r="W2149">
        <v>0.19723450000000001</v>
      </c>
      <c r="X2149">
        <v>0.97980679999999998</v>
      </c>
      <c r="Y2149">
        <v>-8.4210660000000007E-2</v>
      </c>
      <c r="Z2149">
        <v>-1.8538560000000001E-3</v>
      </c>
      <c r="AA2149">
        <v>0.99644630000000001</v>
      </c>
      <c r="AB2149">
        <v>28</v>
      </c>
      <c r="AC2149">
        <v>-27.1297999999999</v>
      </c>
      <c r="AD2149">
        <v>-1.1208140282186001</v>
      </c>
      <c r="AE2149">
        <v>-2.7526999999999999</v>
      </c>
      <c r="AF2149">
        <v>-2.31939008586125</v>
      </c>
      <c r="AG2149">
        <v>-1.1208140282186001</v>
      </c>
      <c r="AH2149">
        <v>27.124117297585901</v>
      </c>
      <c r="AI2149">
        <v>92.357617590759105</v>
      </c>
      <c r="AJ2149">
        <v>94.887487202093595</v>
      </c>
      <c r="AK2149">
        <v>27.246165484879601</v>
      </c>
      <c r="AL2149">
        <v>78.624712961469498</v>
      </c>
      <c r="AM2149">
        <v>88.081565218069997</v>
      </c>
      <c r="AN2149">
        <v>0.99999995463341296</v>
      </c>
    </row>
    <row r="2150" spans="1:40" x14ac:dyDescent="0.25">
      <c r="A2150" t="str">
        <f>"20190303162256014"</f>
        <v>20190303162256014</v>
      </c>
      <c r="B2150" t="str">
        <f>"1551601376006415"</f>
        <v>1551601376006415</v>
      </c>
      <c r="C2150" t="s">
        <v>40</v>
      </c>
      <c r="D2150">
        <v>4.6399059999999999</v>
      </c>
      <c r="E2150">
        <v>0.45705129999999999</v>
      </c>
      <c r="F2150" t="s">
        <v>47</v>
      </c>
      <c r="G2150">
        <v>-365.97699999999998</v>
      </c>
      <c r="H2150" s="1">
        <v>1.64386E-6</v>
      </c>
      <c r="I2150">
        <v>281.7679</v>
      </c>
      <c r="J2150">
        <v>-337.87270000000001</v>
      </c>
      <c r="K2150">
        <v>1.1207929999999999</v>
      </c>
      <c r="L2150">
        <v>284.55279999999999</v>
      </c>
      <c r="M2150">
        <v>-0.99978730000000005</v>
      </c>
      <c r="N2150">
        <v>-1.3478749999999999E-2</v>
      </c>
      <c r="O2150">
        <v>-1.561889E-2</v>
      </c>
      <c r="P2150">
        <v>-0.98275009999999996</v>
      </c>
      <c r="Q2150">
        <v>0.1839488</v>
      </c>
      <c r="R2150">
        <v>1.9109549999999999E-2</v>
      </c>
      <c r="S2150">
        <v>-3.0806879999999999</v>
      </c>
      <c r="T2150">
        <v>-0.1216111</v>
      </c>
      <c r="U2150">
        <v>-0.30264279999999999</v>
      </c>
      <c r="V2150">
        <v>3.4533439999999999E-2</v>
      </c>
      <c r="W2150">
        <v>0.19715969999999999</v>
      </c>
      <c r="X2150">
        <v>0.97976300000000005</v>
      </c>
      <c r="Y2150">
        <v>-8.2130709999999996E-2</v>
      </c>
      <c r="Z2150">
        <v>-1.7670159999999999E-3</v>
      </c>
      <c r="AA2150">
        <v>0.99661999999999995</v>
      </c>
      <c r="AB2150">
        <v>28</v>
      </c>
      <c r="AC2150">
        <v>-28.104299999999899</v>
      </c>
      <c r="AD2150">
        <v>-1.12079135614</v>
      </c>
      <c r="AE2150">
        <v>-2.7848999999999902</v>
      </c>
      <c r="AF2150">
        <v>-2.3418741590045702</v>
      </c>
      <c r="AG2150">
        <v>-1.12079135614</v>
      </c>
      <c r="AH2150">
        <v>28.1001165139905</v>
      </c>
      <c r="AI2150">
        <v>92.276185855610095</v>
      </c>
      <c r="AJ2150">
        <v>94.764042185962197</v>
      </c>
      <c r="AK2150">
        <v>28.2197997147473</v>
      </c>
      <c r="AL2150">
        <v>78.629085291067895</v>
      </c>
      <c r="AM2150">
        <v>87.981346910842603</v>
      </c>
      <c r="AN2150">
        <v>1.0000000209756601</v>
      </c>
    </row>
    <row r="2151" spans="1:40" x14ac:dyDescent="0.25">
      <c r="A2151" t="str">
        <f>"20190303162256034"</f>
        <v>20190303162256034</v>
      </c>
      <c r="B2151" t="str">
        <f>"1551601376026916"</f>
        <v>1551601376026916</v>
      </c>
      <c r="C2151" t="s">
        <v>40</v>
      </c>
      <c r="D2151">
        <v>5.1840539999999997</v>
      </c>
      <c r="E2151">
        <v>0.45720260000000001</v>
      </c>
      <c r="F2151" t="s">
        <v>47</v>
      </c>
      <c r="G2151">
        <v>-366.6019</v>
      </c>
      <c r="H2151" s="1">
        <v>1.9764050000000002E-6</v>
      </c>
      <c r="I2151">
        <v>281.79180000000002</v>
      </c>
      <c r="J2151">
        <v>-338.13749999999999</v>
      </c>
      <c r="K2151">
        <v>1.120779</v>
      </c>
      <c r="L2151">
        <v>284.5489</v>
      </c>
      <c r="M2151">
        <v>-0.99979030000000002</v>
      </c>
      <c r="N2151">
        <v>-1.347484E-2</v>
      </c>
      <c r="O2151">
        <v>-1.542462E-2</v>
      </c>
      <c r="P2151">
        <v>-0.98277840000000005</v>
      </c>
      <c r="Q2151">
        <v>0.18347959999999999</v>
      </c>
      <c r="R2151">
        <v>2.1952010000000001E-2</v>
      </c>
      <c r="S2151">
        <v>-3.0808409999999999</v>
      </c>
      <c r="T2151">
        <v>-0.1201904</v>
      </c>
      <c r="U2151">
        <v>-0.2960815</v>
      </c>
      <c r="V2151">
        <v>3.7190470000000003E-2</v>
      </c>
      <c r="W2151">
        <v>0.19668430000000001</v>
      </c>
      <c r="X2151">
        <v>0.97976129999999995</v>
      </c>
      <c r="Y2151">
        <v>-8.0220200000000005E-2</v>
      </c>
      <c r="Z2151">
        <v>-1.709976E-3</v>
      </c>
      <c r="AA2151">
        <v>0.99677570000000004</v>
      </c>
      <c r="AB2151">
        <v>28</v>
      </c>
      <c r="AC2151">
        <v>-28.464400000000001</v>
      </c>
      <c r="AD2151">
        <v>-1.1207770235950001</v>
      </c>
      <c r="AE2151">
        <v>-2.7570999999999799</v>
      </c>
      <c r="AF2151">
        <v>-2.3141251543727899</v>
      </c>
      <c r="AG2151">
        <v>-1.1207770235950001</v>
      </c>
      <c r="AH2151">
        <v>28.459831105753501</v>
      </c>
      <c r="AI2151">
        <v>92.2477896768806</v>
      </c>
      <c r="AJ2151">
        <v>94.648606184378593</v>
      </c>
      <c r="AK2151">
        <v>28.575746760753901</v>
      </c>
      <c r="AL2151">
        <v>78.656867753148106</v>
      </c>
      <c r="AM2151">
        <v>87.826170079945399</v>
      </c>
      <c r="AN2151">
        <v>1.0000000249515</v>
      </c>
    </row>
    <row r="2152" spans="1:40" x14ac:dyDescent="0.25">
      <c r="A2152" t="str">
        <f>"20190303162256215"</f>
        <v>20190303162256215</v>
      </c>
      <c r="B2152" t="str">
        <f>"1551601376206494"</f>
        <v>1551601376206494</v>
      </c>
      <c r="C2152" t="s">
        <v>40</v>
      </c>
      <c r="D2152">
        <v>5.1240880000000004</v>
      </c>
      <c r="E2152">
        <v>0.49503239999999998</v>
      </c>
      <c r="F2152" t="s">
        <v>47</v>
      </c>
      <c r="G2152">
        <v>-366.26400000000001</v>
      </c>
      <c r="H2152" s="1">
        <v>1.796596E-6</v>
      </c>
      <c r="I2152">
        <v>281.93529999999998</v>
      </c>
      <c r="J2152">
        <v>-340.40609999999998</v>
      </c>
      <c r="K2152">
        <v>1.120773</v>
      </c>
      <c r="L2152">
        <v>284.51760000000002</v>
      </c>
      <c r="M2152">
        <v>-0.99981600000000004</v>
      </c>
      <c r="N2152">
        <v>-1.3442249999999999E-2</v>
      </c>
      <c r="O2152">
        <v>-1.368366E-2</v>
      </c>
      <c r="P2152">
        <v>-0.98313470000000003</v>
      </c>
      <c r="Q2152">
        <v>0.18107790000000001</v>
      </c>
      <c r="R2152">
        <v>2.563534E-2</v>
      </c>
      <c r="S2152">
        <v>-3.0818789999999998</v>
      </c>
      <c r="T2152">
        <v>-0.12280580000000001</v>
      </c>
      <c r="U2152">
        <v>-0.28637699999999999</v>
      </c>
      <c r="V2152">
        <v>3.9170900000000002E-2</v>
      </c>
      <c r="W2152">
        <v>0.19425439999999999</v>
      </c>
      <c r="X2152">
        <v>0.98016879999999995</v>
      </c>
      <c r="Y2152">
        <v>-7.8811030000000004E-2</v>
      </c>
      <c r="Z2152">
        <v>-1.737129E-3</v>
      </c>
      <c r="AA2152">
        <v>0.996888</v>
      </c>
      <c r="AB2152">
        <v>28</v>
      </c>
      <c r="AC2152">
        <v>-25.857900000000001</v>
      </c>
      <c r="AD2152">
        <v>-1.120771203404</v>
      </c>
      <c r="AE2152">
        <v>-2.5823000000000298</v>
      </c>
      <c r="AF2152">
        <v>-2.2240585135599198</v>
      </c>
      <c r="AG2152">
        <v>-1.120771203404</v>
      </c>
      <c r="AH2152">
        <v>25.842746864382399</v>
      </c>
      <c r="AI2152">
        <v>92.474163972484703</v>
      </c>
      <c r="AJ2152">
        <v>94.918825183201804</v>
      </c>
      <c r="AK2152">
        <v>25.962475418547101</v>
      </c>
      <c r="AL2152">
        <v>78.7988290297655</v>
      </c>
      <c r="AM2152">
        <v>87.711482341717101</v>
      </c>
      <c r="AN2152">
        <v>1.0000000039098</v>
      </c>
    </row>
    <row r="2153" spans="1:40" x14ac:dyDescent="0.25">
      <c r="A2153" t="str">
        <f>"20190303162256235"</f>
        <v>20190303162256235</v>
      </c>
      <c r="B2153" t="str">
        <f>"1551601376226992"</f>
        <v>1551601376226992</v>
      </c>
      <c r="C2153" t="s">
        <v>40</v>
      </c>
      <c r="D2153">
        <v>5.1257419999999998</v>
      </c>
      <c r="E2153">
        <v>0.51030620000000004</v>
      </c>
      <c r="F2153" t="s">
        <v>42</v>
      </c>
      <c r="G2153">
        <v>-341.10910000000001</v>
      </c>
      <c r="H2153">
        <v>0.75129679999999999</v>
      </c>
      <c r="I2153">
        <v>284.51760000000002</v>
      </c>
      <c r="J2153">
        <v>-340.6712</v>
      </c>
      <c r="K2153">
        <v>1.120771</v>
      </c>
      <c r="L2153">
        <v>284.51420000000002</v>
      </c>
      <c r="M2153">
        <v>-0.99981880000000001</v>
      </c>
      <c r="N2153">
        <v>-1.343865E-2</v>
      </c>
      <c r="O2153">
        <v>-1.3484339999999999E-2</v>
      </c>
      <c r="P2153">
        <v>-0.98310660000000005</v>
      </c>
      <c r="Q2153">
        <v>0.1811535</v>
      </c>
      <c r="R2153">
        <v>2.6172319999999999E-2</v>
      </c>
      <c r="S2153">
        <v>-3.3785400000000001</v>
      </c>
      <c r="T2153">
        <v>-1.775415</v>
      </c>
      <c r="U2153">
        <v>-1.617432E-3</v>
      </c>
      <c r="V2153">
        <v>3.951122E-2</v>
      </c>
      <c r="W2153">
        <v>0.194326</v>
      </c>
      <c r="X2153">
        <v>0.98014089999999998</v>
      </c>
      <c r="Y2153">
        <v>1.001116E-2</v>
      </c>
      <c r="Z2153">
        <v>9.0256650000000004E-3</v>
      </c>
      <c r="AA2153">
        <v>0.99990919999999905</v>
      </c>
      <c r="AB2153">
        <v>28</v>
      </c>
      <c r="AC2153">
        <v>-0.437900000000013</v>
      </c>
      <c r="AD2153">
        <v>-0.36947419999999898</v>
      </c>
      <c r="AE2153">
        <v>3.3999999999991802E-3</v>
      </c>
      <c r="AF2153">
        <v>5.43563026413868E-3</v>
      </c>
      <c r="AG2153">
        <v>-0.36947419999999898</v>
      </c>
      <c r="AH2153">
        <v>0.25575417739865097</v>
      </c>
      <c r="AI2153">
        <v>145.30252950386401</v>
      </c>
      <c r="AJ2153">
        <v>88.7824566689047</v>
      </c>
      <c r="AK2153">
        <v>0.44938950788694298</v>
      </c>
      <c r="AL2153">
        <v>78.7946464299783</v>
      </c>
      <c r="AM2153">
        <v>87.691555290790703</v>
      </c>
      <c r="AN2153">
        <v>0.99999995731734803</v>
      </c>
    </row>
    <row r="2154" spans="1:40" x14ac:dyDescent="0.25">
      <c r="A2154" t="str">
        <f>"20190303162256258"</f>
        <v>20190303162256258</v>
      </c>
      <c r="B2154" t="str">
        <f>"1551601376246511"</f>
        <v>1551601376246511</v>
      </c>
      <c r="C2154" t="s">
        <v>40</v>
      </c>
      <c r="D2154">
        <v>5.2908730000000004</v>
      </c>
      <c r="E2154">
        <v>0.51634679999999999</v>
      </c>
      <c r="F2154" t="s">
        <v>42</v>
      </c>
      <c r="G2154">
        <v>-341.37450000000001</v>
      </c>
      <c r="H2154">
        <v>0.78824959999999999</v>
      </c>
      <c r="I2154">
        <v>284.54050000000001</v>
      </c>
      <c r="J2154">
        <v>-340.9511</v>
      </c>
      <c r="K2154">
        <v>1.1207720000000001</v>
      </c>
      <c r="L2154">
        <v>284.51069999999999</v>
      </c>
      <c r="M2154">
        <v>-0.99982170000000004</v>
      </c>
      <c r="N2154">
        <v>-1.343485E-2</v>
      </c>
      <c r="O2154">
        <v>-1.327441E-2</v>
      </c>
      <c r="P2154">
        <v>-0.98307880000000003</v>
      </c>
      <c r="Q2154">
        <v>0.18130460000000001</v>
      </c>
      <c r="R2154">
        <v>2.617003E-2</v>
      </c>
      <c r="S2154">
        <v>-3.3392029999999999</v>
      </c>
      <c r="T2154">
        <v>-1.578929</v>
      </c>
      <c r="U2154">
        <v>0.1247559</v>
      </c>
      <c r="V2154">
        <v>3.9301900000000001E-2</v>
      </c>
      <c r="W2154">
        <v>0.19447329999999999</v>
      </c>
      <c r="X2154">
        <v>0.98012010000000005</v>
      </c>
      <c r="Y2154">
        <v>4.4412109999999998E-2</v>
      </c>
      <c r="Z2154">
        <v>1.6071019999999998E-2</v>
      </c>
      <c r="AA2154">
        <v>0.99888399999999999</v>
      </c>
      <c r="AB2154">
        <v>28</v>
      </c>
      <c r="AC2154">
        <v>-0.42340000000001499</v>
      </c>
      <c r="AD2154">
        <v>-0.332522399999999</v>
      </c>
      <c r="AE2154">
        <v>2.9800000000022898E-2</v>
      </c>
      <c r="AF2154">
        <v>2.1947753471231402E-2</v>
      </c>
      <c r="AG2154">
        <v>-0.332522399999999</v>
      </c>
      <c r="AH2154">
        <v>0.26210139958766299</v>
      </c>
      <c r="AI2154">
        <v>141.65669178691999</v>
      </c>
      <c r="AJ2154">
        <v>85.213353593710195</v>
      </c>
      <c r="AK2154">
        <v>0.42396933149699101</v>
      </c>
      <c r="AL2154">
        <v>78.7860426187668</v>
      </c>
      <c r="AM2154">
        <v>87.703723017025695</v>
      </c>
      <c r="AN2154">
        <v>0.99999995709025402</v>
      </c>
    </row>
    <row r="2155" spans="1:40" x14ac:dyDescent="0.25">
      <c r="A2155" t="str">
        <f>"20190303162256280"</f>
        <v>20190303162256280</v>
      </c>
      <c r="B2155" t="str">
        <f>"1551601376276766"</f>
        <v>1551601376276766</v>
      </c>
      <c r="C2155" t="s">
        <v>40</v>
      </c>
      <c r="D2155">
        <v>5.3458030000000001</v>
      </c>
      <c r="E2155">
        <v>0.52087600000000001</v>
      </c>
      <c r="F2155" t="s">
        <v>42</v>
      </c>
      <c r="G2155">
        <v>-341.63760000000002</v>
      </c>
      <c r="H2155">
        <v>0.82033149999999999</v>
      </c>
      <c r="I2155">
        <v>284.54719999999998</v>
      </c>
      <c r="J2155">
        <v>-341.22629999999998</v>
      </c>
      <c r="K2155">
        <v>1.120776</v>
      </c>
      <c r="L2155">
        <v>284.50720000000001</v>
      </c>
      <c r="M2155">
        <v>-0.9998245</v>
      </c>
      <c r="N2155">
        <v>-1.343111E-2</v>
      </c>
      <c r="O2155">
        <v>-1.3068410000000001E-2</v>
      </c>
      <c r="P2155">
        <v>-0.98306819999999895</v>
      </c>
      <c r="Q2155">
        <v>0.18132570000000001</v>
      </c>
      <c r="R2155">
        <v>2.6424179999999999E-2</v>
      </c>
      <c r="S2155">
        <v>-3.314514</v>
      </c>
      <c r="T2155">
        <v>-1.450475</v>
      </c>
      <c r="U2155">
        <v>0.17501829999999999</v>
      </c>
      <c r="V2155">
        <v>3.9353119999999998E-2</v>
      </c>
      <c r="W2155">
        <v>0.19449060000000001</v>
      </c>
      <c r="X2155">
        <v>0.98011459999999995</v>
      </c>
      <c r="Y2155">
        <v>5.9078529999999997E-2</v>
      </c>
      <c r="Z2155">
        <v>1.8065870000000001E-2</v>
      </c>
      <c r="AA2155">
        <v>0.99808980000000003</v>
      </c>
      <c r="AB2155">
        <v>28</v>
      </c>
      <c r="AC2155">
        <v>-0.41130000000003902</v>
      </c>
      <c r="AD2155">
        <v>-0.300444499999999</v>
      </c>
      <c r="AE2155">
        <v>3.9999999999963599E-2</v>
      </c>
      <c r="AF2155">
        <v>2.96822333774233E-2</v>
      </c>
      <c r="AG2155">
        <v>-0.300444499999999</v>
      </c>
      <c r="AH2155">
        <v>0.268705683970138</v>
      </c>
      <c r="AI2155">
        <v>138.01910259048401</v>
      </c>
      <c r="AJ2155">
        <v>83.696450449983601</v>
      </c>
      <c r="AK2155">
        <v>0.40416664527937202</v>
      </c>
      <c r="AL2155">
        <v>78.785031973610899</v>
      </c>
      <c r="AM2155">
        <v>87.700720726855096</v>
      </c>
      <c r="AN2155">
        <v>0.99999994533762504</v>
      </c>
    </row>
    <row r="2156" spans="1:40" x14ac:dyDescent="0.25">
      <c r="A2156" t="str">
        <f>"20190303162256303"</f>
        <v>20190303162256303</v>
      </c>
      <c r="B2156" t="str">
        <f>"1551601376296286"</f>
        <v>1551601376296286</v>
      </c>
      <c r="C2156" t="s">
        <v>40</v>
      </c>
      <c r="D2156">
        <v>5.3155530000000004</v>
      </c>
      <c r="E2156">
        <v>0.52240540000000002</v>
      </c>
      <c r="F2156" t="s">
        <v>42</v>
      </c>
      <c r="G2156">
        <v>-341.90210000000002</v>
      </c>
      <c r="H2156">
        <v>0.85610679999999995</v>
      </c>
      <c r="I2156">
        <v>284.55160000000001</v>
      </c>
      <c r="J2156">
        <v>-341.50959999999998</v>
      </c>
      <c r="K2156">
        <v>1.120771</v>
      </c>
      <c r="L2156">
        <v>284.50380000000001</v>
      </c>
      <c r="M2156">
        <v>-0.99982729999999997</v>
      </c>
      <c r="N2156">
        <v>-1.3427079999999999E-2</v>
      </c>
      <c r="O2156">
        <v>-1.2857530000000001E-2</v>
      </c>
      <c r="P2156">
        <v>-0.98303750000000001</v>
      </c>
      <c r="Q2156">
        <v>0.181449</v>
      </c>
      <c r="R2156">
        <v>2.6716790000000001E-2</v>
      </c>
      <c r="S2156">
        <v>-3.2830810000000001</v>
      </c>
      <c r="T2156">
        <v>-1.2857369999999999</v>
      </c>
      <c r="U2156">
        <v>0.21423339999999999</v>
      </c>
      <c r="V2156">
        <v>3.9437519999999997E-2</v>
      </c>
      <c r="W2156">
        <v>0.1946099</v>
      </c>
      <c r="X2156">
        <v>0.98008759999999995</v>
      </c>
      <c r="Y2156">
        <v>7.1589550000000002E-2</v>
      </c>
      <c r="Z2156">
        <v>1.8689250000000001E-2</v>
      </c>
      <c r="AA2156">
        <v>0.99725909999999995</v>
      </c>
      <c r="AB2156">
        <v>28</v>
      </c>
      <c r="AC2156">
        <v>-0.39250000000003998</v>
      </c>
      <c r="AD2156">
        <v>-0.26466419999999902</v>
      </c>
      <c r="AE2156">
        <v>4.7799999999995103E-2</v>
      </c>
      <c r="AF2156">
        <v>3.6492821372277801E-2</v>
      </c>
      <c r="AG2156">
        <v>-0.26466419999999902</v>
      </c>
      <c r="AH2156">
        <v>0.270609079400914</v>
      </c>
      <c r="AI2156">
        <v>134.10562707726999</v>
      </c>
      <c r="AJ2156">
        <v>82.319746099306897</v>
      </c>
      <c r="AK2156">
        <v>0.380273767998213</v>
      </c>
      <c r="AL2156">
        <v>78.778064255136101</v>
      </c>
      <c r="AM2156">
        <v>87.695731400208302</v>
      </c>
      <c r="AN2156">
        <v>1.0000000174177599</v>
      </c>
    </row>
    <row r="2157" spans="1:40" x14ac:dyDescent="0.25">
      <c r="A2157" t="str">
        <f>"20190303162256324"</f>
        <v>20190303162256324</v>
      </c>
      <c r="B2157" t="str">
        <f>"1551601376316783"</f>
        <v>1551601376316783</v>
      </c>
      <c r="C2157" t="s">
        <v>40</v>
      </c>
      <c r="D2157">
        <v>5.352614</v>
      </c>
      <c r="E2157">
        <v>0.52340790000000004</v>
      </c>
      <c r="F2157" t="s">
        <v>42</v>
      </c>
      <c r="G2157">
        <v>-342.16090000000003</v>
      </c>
      <c r="H2157">
        <v>0.87851100000000004</v>
      </c>
      <c r="I2157">
        <v>284.54989999999998</v>
      </c>
      <c r="J2157">
        <v>-341.77929999999998</v>
      </c>
      <c r="K2157">
        <v>1.1207720000000001</v>
      </c>
      <c r="L2157">
        <v>284.50049999999999</v>
      </c>
      <c r="M2157">
        <v>-0.99982979999999999</v>
      </c>
      <c r="N2157">
        <v>-1.34232E-2</v>
      </c>
      <c r="O2157">
        <v>-1.2658340000000001E-2</v>
      </c>
      <c r="P2157">
        <v>-0.98307359999999999</v>
      </c>
      <c r="Q2157">
        <v>0.18120720000000001</v>
      </c>
      <c r="R2157">
        <v>2.702512E-2</v>
      </c>
      <c r="S2157">
        <v>-3.2699889999999998</v>
      </c>
      <c r="T2157">
        <v>-1.2161150000000001</v>
      </c>
      <c r="U2157">
        <v>0.22930909999999999</v>
      </c>
      <c r="V2157">
        <v>3.9549699999999903E-2</v>
      </c>
      <c r="W2157">
        <v>0.1943648</v>
      </c>
      <c r="X2157">
        <v>0.98013170000000005</v>
      </c>
      <c r="Y2157">
        <v>7.6499899999999996E-2</v>
      </c>
      <c r="Z2157">
        <v>1.8666809999999999E-2</v>
      </c>
      <c r="AA2157">
        <v>0.99689479999999997</v>
      </c>
      <c r="AB2157">
        <v>28</v>
      </c>
      <c r="AC2157">
        <v>-0.38160000000004801</v>
      </c>
      <c r="AD2157">
        <v>-0.242260999999999</v>
      </c>
      <c r="AE2157">
        <v>4.9399999999991402E-2</v>
      </c>
      <c r="AF2157">
        <v>3.88333872710281E-2</v>
      </c>
      <c r="AG2157">
        <v>-0.242260999999999</v>
      </c>
      <c r="AH2157">
        <v>0.27280460048907801</v>
      </c>
      <c r="AI2157">
        <v>131.321151937748</v>
      </c>
      <c r="AJ2157">
        <v>81.898447224368596</v>
      </c>
      <c r="AK2157">
        <v>0.36690703745764602</v>
      </c>
      <c r="AL2157">
        <v>78.792380647666903</v>
      </c>
      <c r="AM2157">
        <v>87.689287865111197</v>
      </c>
      <c r="AN2157">
        <v>1.0000000017970101</v>
      </c>
    </row>
    <row r="2158" spans="1:40" x14ac:dyDescent="0.25">
      <c r="A2158" t="str">
        <f>"20190303162256347"</f>
        <v>20190303162256347</v>
      </c>
      <c r="B2158" t="str">
        <f>"1551601376336302"</f>
        <v>1551601376336302</v>
      </c>
      <c r="C2158" t="s">
        <v>40</v>
      </c>
      <c r="D2158">
        <v>5.3742210000000004</v>
      </c>
      <c r="E2158">
        <v>0.52406260000000005</v>
      </c>
      <c r="F2158" t="s">
        <v>42</v>
      </c>
      <c r="G2158">
        <v>-342.63470000000001</v>
      </c>
      <c r="H2158">
        <v>0.81390069999999903</v>
      </c>
      <c r="I2158">
        <v>284.56330000000003</v>
      </c>
      <c r="J2158">
        <v>-342.06540000000001</v>
      </c>
      <c r="K2158">
        <v>1.1207769999999999</v>
      </c>
      <c r="L2158">
        <v>284.49720000000002</v>
      </c>
      <c r="M2158">
        <v>-0.99983250000000001</v>
      </c>
      <c r="N2158">
        <v>-1.3419220000000001E-2</v>
      </c>
      <c r="O2158">
        <v>-1.244866E-2</v>
      </c>
      <c r="P2158">
        <v>-0.98312739999999998</v>
      </c>
      <c r="Q2158">
        <v>0.18080579999999999</v>
      </c>
      <c r="R2158">
        <v>2.7748169999999999E-2</v>
      </c>
      <c r="S2158">
        <v>-3.2607119999999998</v>
      </c>
      <c r="T2158">
        <v>-1.1696979999999999</v>
      </c>
      <c r="U2158">
        <v>0.23834230000000001</v>
      </c>
      <c r="V2158">
        <v>4.006647E-2</v>
      </c>
      <c r="W2158">
        <v>0.1939602</v>
      </c>
      <c r="X2158">
        <v>0.98019089999999998</v>
      </c>
      <c r="Y2158">
        <v>7.9464789999999993E-2</v>
      </c>
      <c r="Z2158">
        <v>1.8519270000000001E-2</v>
      </c>
      <c r="AA2158">
        <v>0.99666569999999999</v>
      </c>
      <c r="AB2158">
        <v>28</v>
      </c>
      <c r="AC2158">
        <v>-0.56929999999999803</v>
      </c>
      <c r="AD2158">
        <v>-0.30687629999999999</v>
      </c>
      <c r="AE2158">
        <v>6.6100000000005807E-2</v>
      </c>
      <c r="AF2158">
        <v>5.6876115559400003E-2</v>
      </c>
      <c r="AG2158">
        <v>-0.30687629999999999</v>
      </c>
      <c r="AH2158">
        <v>0.44177558283797203</v>
      </c>
      <c r="AI2158">
        <v>124.565157986735</v>
      </c>
      <c r="AJ2158">
        <v>82.6638463252023</v>
      </c>
      <c r="AK2158">
        <v>0.54090075024411499</v>
      </c>
      <c r="AL2158">
        <v>78.816012686232</v>
      </c>
      <c r="AM2158">
        <v>87.659269898505897</v>
      </c>
      <c r="AN2158">
        <v>1.00000004082255</v>
      </c>
    </row>
    <row r="2159" spans="1:40" x14ac:dyDescent="0.25">
      <c r="A2159" t="str">
        <f>"20190303162256369"</f>
        <v>20190303162256369</v>
      </c>
      <c r="B2159" t="str">
        <f>"1551601376366559"</f>
        <v>1551601376366559</v>
      </c>
      <c r="C2159" t="s">
        <v>40</v>
      </c>
      <c r="D2159">
        <v>5.4621620000000002</v>
      </c>
      <c r="E2159">
        <v>0.52495059999999905</v>
      </c>
      <c r="F2159" t="s">
        <v>42</v>
      </c>
      <c r="G2159">
        <v>-342.89089999999999</v>
      </c>
      <c r="H2159">
        <v>0.83124089999999995</v>
      </c>
      <c r="I2159">
        <v>284.55990000000003</v>
      </c>
      <c r="J2159">
        <v>-342.3424</v>
      </c>
      <c r="K2159">
        <v>1.1207800000000001</v>
      </c>
      <c r="L2159">
        <v>284.49400000000003</v>
      </c>
      <c r="M2159">
        <v>-0.99983500000000003</v>
      </c>
      <c r="N2159">
        <v>-1.3415369999999999E-2</v>
      </c>
      <c r="O2159">
        <v>-1.22466E-2</v>
      </c>
      <c r="P2159">
        <v>-0.98315859999999999</v>
      </c>
      <c r="Q2159">
        <v>0.18055489999999999</v>
      </c>
      <c r="R2159">
        <v>2.826917E-2</v>
      </c>
      <c r="S2159">
        <v>-3.2544559999999998</v>
      </c>
      <c r="T2159">
        <v>-1.1414150000000001</v>
      </c>
      <c r="U2159">
        <v>0.24652099999999999</v>
      </c>
      <c r="V2159">
        <v>4.0388680000000003E-2</v>
      </c>
      <c r="W2159">
        <v>0.19370570000000001</v>
      </c>
      <c r="X2159">
        <v>0.98022790000000004</v>
      </c>
      <c r="Y2159">
        <v>8.1997280000000006E-2</v>
      </c>
      <c r="Z2159">
        <v>1.851738E-2</v>
      </c>
      <c r="AA2159">
        <v>0.99646049999999997</v>
      </c>
      <c r="AB2159">
        <v>28</v>
      </c>
      <c r="AC2159">
        <v>-0.54849999999999</v>
      </c>
      <c r="AD2159">
        <v>-0.28953909999999899</v>
      </c>
      <c r="AE2159">
        <v>6.5899999999999098E-2</v>
      </c>
      <c r="AF2159">
        <v>5.6965328604869803E-2</v>
      </c>
      <c r="AG2159">
        <v>-0.28953909999999899</v>
      </c>
      <c r="AH2159">
        <v>0.42963649306741403</v>
      </c>
      <c r="AI2159">
        <v>123.745684692106</v>
      </c>
      <c r="AJ2159">
        <v>82.447229439319997</v>
      </c>
      <c r="AK2159">
        <v>0.521215363613868</v>
      </c>
      <c r="AL2159">
        <v>78.830875215054306</v>
      </c>
      <c r="AM2159">
        <v>87.640556166655301</v>
      </c>
      <c r="AN2159">
        <v>0.99999993981151902</v>
      </c>
    </row>
    <row r="2160" spans="1:40" x14ac:dyDescent="0.25">
      <c r="A2160" t="str">
        <f>"20190303162256392"</f>
        <v>20190303162256392</v>
      </c>
      <c r="B2160" t="str">
        <f>"1551601376387056"</f>
        <v>1551601376387056</v>
      </c>
      <c r="C2160" t="s">
        <v>40</v>
      </c>
      <c r="D2160">
        <v>5.4230589999999896</v>
      </c>
      <c r="E2160">
        <v>0.52532959999999995</v>
      </c>
      <c r="F2160" t="s">
        <v>42</v>
      </c>
      <c r="G2160">
        <v>-343.14580000000001</v>
      </c>
      <c r="H2160">
        <v>0.84579439999999995</v>
      </c>
      <c r="I2160">
        <v>284.5573</v>
      </c>
      <c r="J2160">
        <v>-342.62740000000002</v>
      </c>
      <c r="K2160">
        <v>1.1207800000000001</v>
      </c>
      <c r="L2160">
        <v>284.4907</v>
      </c>
      <c r="M2160">
        <v>-0.99983759999999999</v>
      </c>
      <c r="N2160">
        <v>-1.3409809999999999E-2</v>
      </c>
      <c r="O2160">
        <v>-1.203916E-2</v>
      </c>
      <c r="P2160">
        <v>-0.98319679999999998</v>
      </c>
      <c r="Q2160">
        <v>0.1802714</v>
      </c>
      <c r="R2160">
        <v>2.8749259999999999E-2</v>
      </c>
      <c r="S2160">
        <v>-3.24823</v>
      </c>
      <c r="T2160">
        <v>-1.1118399999999999</v>
      </c>
      <c r="U2160">
        <v>0.25549319999999998</v>
      </c>
      <c r="V2160">
        <v>4.0664890000000002E-2</v>
      </c>
      <c r="W2160">
        <v>0.19341749999999999</v>
      </c>
      <c r="X2160">
        <v>0.98027339999999996</v>
      </c>
      <c r="Y2160">
        <v>8.4780839999999996E-2</v>
      </c>
      <c r="Z2160">
        <v>1.851827E-2</v>
      </c>
      <c r="AA2160">
        <v>0.99622750000000004</v>
      </c>
      <c r="AB2160">
        <v>28</v>
      </c>
      <c r="AC2160">
        <v>-0.51839999999998498</v>
      </c>
      <c r="AD2160">
        <v>-0.274985599999999</v>
      </c>
      <c r="AE2160">
        <v>6.6599999999993997E-2</v>
      </c>
      <c r="AF2160">
        <v>5.7045986468571397E-2</v>
      </c>
      <c r="AG2160">
        <v>-0.274985599999999</v>
      </c>
      <c r="AH2160">
        <v>0.40535468146451598</v>
      </c>
      <c r="AI2160">
        <v>123.891748872364</v>
      </c>
      <c r="AJ2160">
        <v>81.989313323724701</v>
      </c>
      <c r="AK2160">
        <v>0.49313663681045999</v>
      </c>
      <c r="AL2160">
        <v>78.8477062872484</v>
      </c>
      <c r="AM2160">
        <v>87.624548968163595</v>
      </c>
      <c r="AN2160">
        <v>0.99999995066625902</v>
      </c>
    </row>
    <row r="2161" spans="1:40" x14ac:dyDescent="0.25">
      <c r="A2161" t="str">
        <f>"20190303162256415"</f>
        <v>20190303162256415</v>
      </c>
      <c r="B2161" t="str">
        <f>"1551601376406575"</f>
        <v>1551601376406575</v>
      </c>
      <c r="C2161" t="s">
        <v>40</v>
      </c>
      <c r="D2161">
        <v>5.4625250000000003</v>
      </c>
      <c r="E2161">
        <v>0.52561590000000002</v>
      </c>
      <c r="F2161" t="s">
        <v>42</v>
      </c>
      <c r="G2161">
        <v>-343.39879999999999</v>
      </c>
      <c r="H2161">
        <v>0.85614679999999999</v>
      </c>
      <c r="I2161">
        <v>284.55250000000001</v>
      </c>
      <c r="J2161">
        <v>-342.91309999999999</v>
      </c>
      <c r="K2161">
        <v>1.1207769999999999</v>
      </c>
      <c r="L2161">
        <v>284.48750000000001</v>
      </c>
      <c r="M2161">
        <v>-0.99984039999999996</v>
      </c>
      <c r="N2161">
        <v>-1.339569E-2</v>
      </c>
      <c r="O2161">
        <v>-1.1831070000000001E-2</v>
      </c>
      <c r="P2161">
        <v>-0.98330039999999996</v>
      </c>
      <c r="Q2161">
        <v>0.17962929999999999</v>
      </c>
      <c r="R2161">
        <v>2.92181E-2</v>
      </c>
      <c r="S2161">
        <v>-3.247925</v>
      </c>
      <c r="T2161">
        <v>-1.1142379999999901</v>
      </c>
      <c r="U2161">
        <v>0.25997920000000002</v>
      </c>
      <c r="V2161">
        <v>4.0929779999999999E-2</v>
      </c>
      <c r="W2161">
        <v>0.19276299999999999</v>
      </c>
      <c r="X2161">
        <v>0.98039129999999997</v>
      </c>
      <c r="Y2161">
        <v>8.5871050000000004E-2</v>
      </c>
      <c r="Z2161">
        <v>1.867802E-2</v>
      </c>
      <c r="AA2161">
        <v>0.99613119999999999</v>
      </c>
      <c r="AB2161">
        <v>28</v>
      </c>
      <c r="AC2161">
        <v>-0.48570000000000801</v>
      </c>
      <c r="AD2161">
        <v>-0.26463019999999998</v>
      </c>
      <c r="AE2161">
        <v>6.4999999999997699E-2</v>
      </c>
      <c r="AF2161">
        <v>5.4769767305885599E-2</v>
      </c>
      <c r="AG2161">
        <v>-0.26463019999999998</v>
      </c>
      <c r="AH2161">
        <v>0.375414500094853</v>
      </c>
      <c r="AI2161">
        <v>124.896443119585</v>
      </c>
      <c r="AJ2161">
        <v>81.699594330141807</v>
      </c>
      <c r="AK2161">
        <v>0.46256341948347901</v>
      </c>
      <c r="AL2161">
        <v>78.885925744688294</v>
      </c>
      <c r="AM2161">
        <v>87.609380435150698</v>
      </c>
      <c r="AN2161">
        <v>0.99999996108776801</v>
      </c>
    </row>
    <row r="2162" spans="1:40" x14ac:dyDescent="0.25">
      <c r="A2162" t="str">
        <f>"20190303162256436"</f>
        <v>20190303162256436</v>
      </c>
      <c r="B2162" t="str">
        <f>"1551601376427071"</f>
        <v>1551601376427071</v>
      </c>
      <c r="C2162" t="s">
        <v>40</v>
      </c>
      <c r="D2162">
        <v>5.4334509999999998</v>
      </c>
      <c r="E2162">
        <v>0.52590890000000001</v>
      </c>
      <c r="F2162" t="s">
        <v>42</v>
      </c>
      <c r="G2162">
        <v>-343.65129999999999</v>
      </c>
      <c r="H2162">
        <v>0.86561540000000003</v>
      </c>
      <c r="I2162">
        <v>284.54790000000003</v>
      </c>
      <c r="J2162">
        <v>-343.17809999999997</v>
      </c>
      <c r="K2162">
        <v>1.120765</v>
      </c>
      <c r="L2162">
        <v>284.4846</v>
      </c>
      <c r="M2162">
        <v>-0.99984300000000004</v>
      </c>
      <c r="N2162">
        <v>-1.336232E-2</v>
      </c>
      <c r="O2162">
        <v>-1.1637730000000001E-2</v>
      </c>
      <c r="P2162">
        <v>-0.98339549999999998</v>
      </c>
      <c r="Q2162">
        <v>0.17908470000000001</v>
      </c>
      <c r="R2162">
        <v>2.9363380000000001E-2</v>
      </c>
      <c r="S2162">
        <v>-3.2481990000000001</v>
      </c>
      <c r="T2162">
        <v>-1.1227039999999999</v>
      </c>
      <c r="U2162">
        <v>0.26452639999999999</v>
      </c>
      <c r="V2162">
        <v>4.0886039999999998E-2</v>
      </c>
      <c r="W2162">
        <v>0.192187</v>
      </c>
      <c r="X2162">
        <v>0.98050619999999999</v>
      </c>
      <c r="Y2162">
        <v>8.6922730000000004E-2</v>
      </c>
      <c r="Z2162">
        <v>1.892715E-2</v>
      </c>
      <c r="AA2162">
        <v>0.99603520000000001</v>
      </c>
      <c r="AB2162">
        <v>28</v>
      </c>
      <c r="AC2162">
        <v>-0.47320000000001899</v>
      </c>
      <c r="AD2162">
        <v>-0.25514959999999998</v>
      </c>
      <c r="AE2162">
        <v>6.3300000000026502E-2</v>
      </c>
      <c r="AF2162">
        <v>5.3517262286869802E-2</v>
      </c>
      <c r="AG2162">
        <v>-0.25514959999999998</v>
      </c>
      <c r="AH2162">
        <v>0.367471764542045</v>
      </c>
      <c r="AI2162">
        <v>124.49255404884801</v>
      </c>
      <c r="AJ2162">
        <v>81.713904215009507</v>
      </c>
      <c r="AK2162">
        <v>0.45055622676696599</v>
      </c>
      <c r="AL2162">
        <v>78.9195569409124</v>
      </c>
      <c r="AM2162">
        <v>87.612211754560207</v>
      </c>
      <c r="AN2162">
        <v>0.99999995973715905</v>
      </c>
    </row>
    <row r="2163" spans="1:40" x14ac:dyDescent="0.25">
      <c r="A2163" t="str">
        <f>"20190303162256449"</f>
        <v>20190303162256449</v>
      </c>
      <c r="B2163" t="str">
        <f>"1551601376446591"</f>
        <v>1551601376446591</v>
      </c>
      <c r="C2163" t="s">
        <v>40</v>
      </c>
      <c r="D2163">
        <v>5.4524470000000003</v>
      </c>
      <c r="E2163">
        <v>0.52611300000000005</v>
      </c>
      <c r="F2163" t="s">
        <v>42</v>
      </c>
      <c r="G2163">
        <v>-343.9015</v>
      </c>
      <c r="H2163">
        <v>0.86943409999999999</v>
      </c>
      <c r="I2163">
        <v>284.5446</v>
      </c>
      <c r="J2163">
        <v>-343.33240000000001</v>
      </c>
      <c r="K2163">
        <v>1.1207549999999999</v>
      </c>
      <c r="L2163">
        <v>284.483</v>
      </c>
      <c r="M2163">
        <v>-0.99984470000000003</v>
      </c>
      <c r="N2163">
        <v>-1.332908E-2</v>
      </c>
      <c r="O2163">
        <v>-1.152507E-2</v>
      </c>
      <c r="P2163">
        <v>-0.98338809999999999</v>
      </c>
      <c r="Q2163">
        <v>0.17912429999999999</v>
      </c>
      <c r="R2163">
        <v>2.9368040000000002E-2</v>
      </c>
      <c r="S2163">
        <v>-3.2481990000000001</v>
      </c>
      <c r="T2163">
        <v>-1.1285989999999999</v>
      </c>
      <c r="U2163">
        <v>0.26837159999999999</v>
      </c>
      <c r="V2163">
        <v>4.0781289999999998E-2</v>
      </c>
      <c r="W2163">
        <v>0.19219349999999999</v>
      </c>
      <c r="X2163">
        <v>0.98050930000000003</v>
      </c>
      <c r="Y2163">
        <v>8.7872130000000007E-2</v>
      </c>
      <c r="Z2163">
        <v>1.914714E-2</v>
      </c>
      <c r="AA2163">
        <v>0.99594769999999999</v>
      </c>
      <c r="AB2163">
        <v>28</v>
      </c>
      <c r="AC2163">
        <v>-0.56909999999999095</v>
      </c>
      <c r="AD2163">
        <v>-0.25132090000000001</v>
      </c>
      <c r="AE2163">
        <v>6.1599999999998503E-2</v>
      </c>
      <c r="AF2163">
        <v>5.7140829304853098E-2</v>
      </c>
      <c r="AG2163">
        <v>-0.25132090000000001</v>
      </c>
      <c r="AH2163">
        <v>0.47650092870299898</v>
      </c>
      <c r="AI2163">
        <v>117.64006929927601</v>
      </c>
      <c r="AJ2163">
        <v>83.161882973730499</v>
      </c>
      <c r="AK2163">
        <v>0.541738317091635</v>
      </c>
      <c r="AL2163">
        <v>78.919177572487797</v>
      </c>
      <c r="AM2163">
        <v>87.618329733729993</v>
      </c>
      <c r="AN2163">
        <v>0.99999997122140105</v>
      </c>
    </row>
    <row r="2164" spans="1:40" x14ac:dyDescent="0.25">
      <c r="A2164" t="str">
        <f>"20190303162256462"</f>
        <v>20190303162256462</v>
      </c>
      <c r="B2164" t="str">
        <f>"1551601376456351"</f>
        <v>1551601376456351</v>
      </c>
      <c r="C2164" t="s">
        <v>40</v>
      </c>
      <c r="D2164">
        <v>5.454879</v>
      </c>
      <c r="E2164">
        <v>0.52619759999999904</v>
      </c>
      <c r="F2164" t="s">
        <v>42</v>
      </c>
      <c r="G2164">
        <v>-344.1386</v>
      </c>
      <c r="H2164">
        <v>0.84006569999999903</v>
      </c>
      <c r="I2164">
        <v>284.55009999999999</v>
      </c>
      <c r="J2164">
        <v>-343.49509999999998</v>
      </c>
      <c r="K2164">
        <v>1.1207389999999999</v>
      </c>
      <c r="L2164">
        <v>284.4812</v>
      </c>
      <c r="M2164">
        <v>-0.99984660000000003</v>
      </c>
      <c r="N2164">
        <v>-1.32847E-2</v>
      </c>
      <c r="O2164">
        <v>-1.140622E-2</v>
      </c>
      <c r="P2164">
        <v>-0.9833691</v>
      </c>
      <c r="Q2164">
        <v>0.17921870000000001</v>
      </c>
      <c r="R2164">
        <v>2.9430850000000001E-2</v>
      </c>
      <c r="S2164">
        <v>-3.248596</v>
      </c>
      <c r="T2164">
        <v>-1.1309100000000001</v>
      </c>
      <c r="U2164">
        <v>0.26980589999999999</v>
      </c>
      <c r="V2164">
        <v>4.0729290000000001E-2</v>
      </c>
      <c r="W2164">
        <v>0.1922441</v>
      </c>
      <c r="X2164">
        <v>0.98050159999999997</v>
      </c>
      <c r="Y2164">
        <v>8.8148879999999999E-2</v>
      </c>
      <c r="Z2164">
        <v>1.9189419999999999E-2</v>
      </c>
      <c r="AA2164">
        <v>0.99592239999999999</v>
      </c>
      <c r="AB2164">
        <v>28</v>
      </c>
      <c r="AC2164">
        <v>-0.64350000000001695</v>
      </c>
      <c r="AD2164">
        <v>-0.28067329999999902</v>
      </c>
      <c r="AE2164">
        <v>6.8899999999985001E-2</v>
      </c>
      <c r="AF2164">
        <v>6.4167172896387806E-2</v>
      </c>
      <c r="AG2164">
        <v>-0.28067329999999902</v>
      </c>
      <c r="AH2164">
        <v>0.54093105099642103</v>
      </c>
      <c r="AI2164">
        <v>117.260157576849</v>
      </c>
      <c r="AJ2164">
        <v>83.234983262498403</v>
      </c>
      <c r="AK2164">
        <v>0.61278163267390595</v>
      </c>
      <c r="AL2164">
        <v>78.916223956192695</v>
      </c>
      <c r="AM2164">
        <v>87.621344439832896</v>
      </c>
      <c r="AN2164">
        <v>1.0000000283256301</v>
      </c>
    </row>
    <row r="2165" spans="1:40" x14ac:dyDescent="0.25">
      <c r="A2165" t="str">
        <f>"20190303162256475"</f>
        <v>20190303162256475</v>
      </c>
      <c r="B2165" t="str">
        <f>"1551601376467087"</f>
        <v>1551601376467087</v>
      </c>
      <c r="C2165" t="s">
        <v>40</v>
      </c>
      <c r="D2165">
        <v>5.4309450000000004</v>
      </c>
      <c r="E2165">
        <v>0.5262715</v>
      </c>
      <c r="F2165" t="s">
        <v>42</v>
      </c>
      <c r="G2165">
        <v>-344.15820000000002</v>
      </c>
      <c r="H2165">
        <v>0.88977169999999906</v>
      </c>
      <c r="I2165">
        <v>284.5367</v>
      </c>
      <c r="J2165">
        <v>-343.6628</v>
      </c>
      <c r="K2165">
        <v>1.1207260000000001</v>
      </c>
      <c r="L2165">
        <v>284.4794</v>
      </c>
      <c r="M2165">
        <v>-0.99984899999999999</v>
      </c>
      <c r="N2165">
        <v>-1.3216169999999999E-2</v>
      </c>
      <c r="O2165">
        <v>-1.1284310000000001E-2</v>
      </c>
      <c r="P2165">
        <v>-0.98340150000000004</v>
      </c>
      <c r="Q2165">
        <v>0.17906250000000001</v>
      </c>
      <c r="R2165">
        <v>2.9294600000000001E-2</v>
      </c>
      <c r="S2165">
        <v>-3.2488709999999998</v>
      </c>
      <c r="T2165">
        <v>-1.1315630000000001</v>
      </c>
      <c r="U2165">
        <v>0.27059939999999999</v>
      </c>
      <c r="V2165">
        <v>4.0473849999999999E-2</v>
      </c>
      <c r="W2165">
        <v>0.19202089999999999</v>
      </c>
      <c r="X2165">
        <v>0.98055590000000004</v>
      </c>
      <c r="Y2165">
        <v>8.8257370000000002E-2</v>
      </c>
      <c r="Z2165">
        <v>1.9175080000000001E-2</v>
      </c>
      <c r="AA2165">
        <v>0.9959131</v>
      </c>
      <c r="AB2165">
        <v>28</v>
      </c>
      <c r="AC2165">
        <v>-0.49540000000001699</v>
      </c>
      <c r="AD2165">
        <v>-0.2309543</v>
      </c>
      <c r="AE2165">
        <v>5.7299999999997901E-2</v>
      </c>
      <c r="AF2165">
        <v>5.1781464664245803E-2</v>
      </c>
      <c r="AG2165">
        <v>-0.2309543</v>
      </c>
      <c r="AH2165">
        <v>0.407355803963247</v>
      </c>
      <c r="AI2165">
        <v>119.354872503751</v>
      </c>
      <c r="AJ2165">
        <v>82.755638870641803</v>
      </c>
      <c r="AK2165">
        <v>0.47112626735707303</v>
      </c>
      <c r="AL2165">
        <v>78.929255017792201</v>
      </c>
      <c r="AM2165">
        <v>87.636376317611493</v>
      </c>
      <c r="AN2165">
        <v>1.00000001579772</v>
      </c>
    </row>
    <row r="2166" spans="1:40" x14ac:dyDescent="0.25">
      <c r="A2166" t="str">
        <f>"20190303162256493"</f>
        <v>20190303162256493</v>
      </c>
      <c r="B2166" t="str">
        <f>"1551601376486607"</f>
        <v>1551601376486607</v>
      </c>
      <c r="C2166" t="s">
        <v>40</v>
      </c>
      <c r="D2166">
        <v>5.4818769999999999</v>
      </c>
      <c r="E2166">
        <v>0.52640799999999999</v>
      </c>
      <c r="F2166" t="s">
        <v>42</v>
      </c>
      <c r="G2166">
        <v>-344.39699999999999</v>
      </c>
      <c r="H2166">
        <v>0.86469819999999997</v>
      </c>
      <c r="I2166">
        <v>284.54090000000002</v>
      </c>
      <c r="J2166">
        <v>-343.8784</v>
      </c>
      <c r="K2166">
        <v>1.120698</v>
      </c>
      <c r="L2166">
        <v>284.47719999999998</v>
      </c>
      <c r="M2166">
        <v>-0.99985239999999997</v>
      </c>
      <c r="N2166">
        <v>-1.3107540000000001E-2</v>
      </c>
      <c r="O2166">
        <v>-1.1126179999999999E-2</v>
      </c>
      <c r="P2166">
        <v>-0.98336489999999999</v>
      </c>
      <c r="Q2166">
        <v>0.17930450000000001</v>
      </c>
      <c r="R2166">
        <v>2.904648E-2</v>
      </c>
      <c r="S2166">
        <v>-3.2488100000000002</v>
      </c>
      <c r="T2166">
        <v>-1.1328830000000001</v>
      </c>
      <c r="U2166">
        <v>0.270874</v>
      </c>
      <c r="V2166">
        <v>4.0068979999999997E-2</v>
      </c>
      <c r="W2166">
        <v>0.1921561</v>
      </c>
      <c r="X2166">
        <v>0.98054600000000003</v>
      </c>
      <c r="Y2166">
        <v>8.8185799999999995E-2</v>
      </c>
      <c r="Z2166">
        <v>1.9128200000000001E-2</v>
      </c>
      <c r="AA2166">
        <v>0.99592040000000004</v>
      </c>
      <c r="AB2166">
        <v>28</v>
      </c>
      <c r="AC2166">
        <v>-0.51859999999999196</v>
      </c>
      <c r="AD2166">
        <v>-0.2559998</v>
      </c>
      <c r="AE2166">
        <v>6.3700000000039794E-2</v>
      </c>
      <c r="AF2166">
        <v>5.6018956080089E-2</v>
      </c>
      <c r="AG2166">
        <v>-0.2559998</v>
      </c>
      <c r="AH2166">
        <v>0.41760977220553802</v>
      </c>
      <c r="AI2166">
        <v>121.28161211696001</v>
      </c>
      <c r="AJ2166">
        <v>82.359844865029004</v>
      </c>
      <c r="AK2166">
        <v>0.49302326809381303</v>
      </c>
      <c r="AL2166">
        <v>78.921361166157595</v>
      </c>
      <c r="AM2166">
        <v>87.659970219093495</v>
      </c>
      <c r="AN2166">
        <v>0.99999997402072405</v>
      </c>
    </row>
    <row r="2167" spans="1:40" x14ac:dyDescent="0.25">
      <c r="A2167" t="str">
        <f>"20190303162256506"</f>
        <v>20190303162256506</v>
      </c>
      <c r="B2167" t="str">
        <f>"1551601376496367"</f>
        <v>1551601376496367</v>
      </c>
      <c r="C2167" t="s">
        <v>40</v>
      </c>
      <c r="D2167">
        <v>5.4967230000000002</v>
      </c>
      <c r="E2167">
        <v>0.52645929999999996</v>
      </c>
      <c r="F2167" t="s">
        <v>42</v>
      </c>
      <c r="G2167">
        <v>-344.64170000000001</v>
      </c>
      <c r="H2167">
        <v>0.85421559999999896</v>
      </c>
      <c r="I2167">
        <v>284.54140000000001</v>
      </c>
      <c r="J2167">
        <v>-344.03960000000001</v>
      </c>
      <c r="K2167">
        <v>1.1206780000000001</v>
      </c>
      <c r="L2167">
        <v>284.47550000000001</v>
      </c>
      <c r="M2167">
        <v>-0.99985489999999999</v>
      </c>
      <c r="N2167">
        <v>-1.3011689999999999E-2</v>
      </c>
      <c r="O2167">
        <v>-1.100655E-2</v>
      </c>
      <c r="P2167">
        <v>-0.98342859999999999</v>
      </c>
      <c r="Q2167">
        <v>0.17901739999999999</v>
      </c>
      <c r="R2167">
        <v>2.8657709999999999E-2</v>
      </c>
      <c r="S2167">
        <v>-3.249603</v>
      </c>
      <c r="T2167">
        <v>-1.1345099999999999</v>
      </c>
      <c r="U2167">
        <v>0.272644</v>
      </c>
      <c r="V2167">
        <v>3.956134E-2</v>
      </c>
      <c r="W2167">
        <v>0.19177659999999999</v>
      </c>
      <c r="X2167">
        <v>0.98064090000000004</v>
      </c>
      <c r="Y2167">
        <v>8.8556830000000003E-2</v>
      </c>
      <c r="Z2167">
        <v>1.917189E-2</v>
      </c>
      <c r="AA2167">
        <v>0.99588659999999996</v>
      </c>
      <c r="AB2167">
        <v>28</v>
      </c>
      <c r="AC2167">
        <v>-0.60210000000000696</v>
      </c>
      <c r="AD2167">
        <v>-0.26646239999999999</v>
      </c>
      <c r="AE2167">
        <v>6.5899999999999098E-2</v>
      </c>
      <c r="AF2167">
        <v>6.0763629177865097E-2</v>
      </c>
      <c r="AG2167">
        <v>-0.26646239999999999</v>
      </c>
      <c r="AH2167">
        <v>0.50382884111760295</v>
      </c>
      <c r="AI2167">
        <v>117.702616447259</v>
      </c>
      <c r="AJ2167">
        <v>83.123129822772697</v>
      </c>
      <c r="AK2167">
        <v>0.57318228373400704</v>
      </c>
      <c r="AL2167">
        <v>78.943516927551499</v>
      </c>
      <c r="AM2167">
        <v>87.689807423973093</v>
      </c>
      <c r="AN2167">
        <v>0.99999996934148205</v>
      </c>
    </row>
    <row r="2168" spans="1:40" x14ac:dyDescent="0.25">
      <c r="A2168" t="str">
        <f>"20190303162256525"</f>
        <v>20190303162256525</v>
      </c>
      <c r="B2168" t="str">
        <f>"1551601376516862"</f>
        <v>1551601376516862</v>
      </c>
      <c r="C2168" t="s">
        <v>40</v>
      </c>
      <c r="D2168">
        <v>5.5183790000000004</v>
      </c>
      <c r="E2168">
        <v>0.52656789999999998</v>
      </c>
      <c r="F2168" t="s">
        <v>42</v>
      </c>
      <c r="G2168">
        <v>-344.87990000000002</v>
      </c>
      <c r="H2168">
        <v>0.82671450000000002</v>
      </c>
      <c r="I2168">
        <v>284.54570000000001</v>
      </c>
      <c r="J2168">
        <v>-344.28530000000001</v>
      </c>
      <c r="K2168">
        <v>1.120655</v>
      </c>
      <c r="L2168">
        <v>284.47300000000001</v>
      </c>
      <c r="M2168">
        <v>-0.9998591</v>
      </c>
      <c r="N2168">
        <v>-1.284094E-2</v>
      </c>
      <c r="O2168">
        <v>-1.0820939999999999E-2</v>
      </c>
      <c r="P2168">
        <v>-0.98339469999999995</v>
      </c>
      <c r="Q2168">
        <v>0.17929320000000001</v>
      </c>
      <c r="R2168">
        <v>2.8089920000000001E-2</v>
      </c>
      <c r="S2168">
        <v>-3.2495729999999998</v>
      </c>
      <c r="T2168">
        <v>-1.1368549999999999</v>
      </c>
      <c r="U2168">
        <v>0.27142329999999998</v>
      </c>
      <c r="V2168">
        <v>3.8807880000000003E-2</v>
      </c>
      <c r="W2168">
        <v>0.1918861</v>
      </c>
      <c r="X2168">
        <v>0.98064960000000001</v>
      </c>
      <c r="Y2168">
        <v>8.8022149999999993E-2</v>
      </c>
      <c r="Z2168">
        <v>1.904805E-2</v>
      </c>
      <c r="AA2168">
        <v>0.99593640000000005</v>
      </c>
      <c r="AB2168">
        <v>28</v>
      </c>
      <c r="AC2168">
        <v>-0.59460000000001401</v>
      </c>
      <c r="AD2168">
        <v>-0.29394049999999899</v>
      </c>
      <c r="AE2168">
        <v>7.2699999999997503E-2</v>
      </c>
      <c r="AF2168">
        <v>6.3774602301705993E-2</v>
      </c>
      <c r="AG2168">
        <v>-0.29394049999999899</v>
      </c>
      <c r="AH2168">
        <v>0.47855162825372199</v>
      </c>
      <c r="AI2168">
        <v>121.33500885807</v>
      </c>
      <c r="AJ2168">
        <v>82.4091541328646</v>
      </c>
      <c r="AK2168">
        <v>0.56522551105136698</v>
      </c>
      <c r="AL2168">
        <v>78.937124462157499</v>
      </c>
      <c r="AM2168">
        <v>87.733779640154594</v>
      </c>
      <c r="AN2168">
        <v>0.99999998245173205</v>
      </c>
    </row>
    <row r="2169" spans="1:40" x14ac:dyDescent="0.25">
      <c r="A2169" t="str">
        <f>"20190303162256538"</f>
        <v>20190303162256538</v>
      </c>
      <c r="B2169" t="str">
        <f>"1551601376526623"</f>
        <v>1551601376526623</v>
      </c>
      <c r="C2169" t="s">
        <v>40</v>
      </c>
      <c r="D2169">
        <v>5.4931229999999998</v>
      </c>
      <c r="E2169">
        <v>0.5266187</v>
      </c>
      <c r="F2169" t="s">
        <v>42</v>
      </c>
      <c r="G2169">
        <v>-345.12860000000001</v>
      </c>
      <c r="H2169">
        <v>0.82539959999999901</v>
      </c>
      <c r="I2169">
        <v>284.5437</v>
      </c>
      <c r="J2169">
        <v>-344.44139999999999</v>
      </c>
      <c r="K2169">
        <v>1.1206320000000001</v>
      </c>
      <c r="L2169">
        <v>284.47149999999999</v>
      </c>
      <c r="M2169">
        <v>-0.99986180000000002</v>
      </c>
      <c r="N2169">
        <v>-1.272379E-2</v>
      </c>
      <c r="O2169">
        <v>-1.070286E-2</v>
      </c>
      <c r="P2169">
        <v>-0.98331950000000001</v>
      </c>
      <c r="Q2169">
        <v>0.17969579999999999</v>
      </c>
      <c r="R2169">
        <v>2.815026E-2</v>
      </c>
      <c r="S2169">
        <v>-3.250397</v>
      </c>
      <c r="T2169">
        <v>-1.1379429999999999</v>
      </c>
      <c r="U2169">
        <v>0.27102659999999901</v>
      </c>
      <c r="V2169">
        <v>3.8749970000000002E-2</v>
      </c>
      <c r="W2169">
        <v>0.19217300000000001</v>
      </c>
      <c r="X2169">
        <v>0.98059569999999996</v>
      </c>
      <c r="Y2169">
        <v>8.7777659999999993E-2</v>
      </c>
      <c r="Z2169">
        <v>1.8974700000000001E-2</v>
      </c>
      <c r="AA2169">
        <v>0.99595929999999999</v>
      </c>
      <c r="AB2169">
        <v>28</v>
      </c>
      <c r="AC2169">
        <v>-0.68720000000001802</v>
      </c>
      <c r="AD2169">
        <v>-0.29523240000000001</v>
      </c>
      <c r="AE2169">
        <v>7.2200000000009298E-2</v>
      </c>
      <c r="AF2169">
        <v>6.7270829041405897E-2</v>
      </c>
      <c r="AG2169">
        <v>-0.29523240000000001</v>
      </c>
      <c r="AH2169">
        <v>0.58042775490148202</v>
      </c>
      <c r="AI2169">
        <v>116.805830667216</v>
      </c>
      <c r="AJ2169">
        <v>83.388988505646793</v>
      </c>
      <c r="AK2169">
        <v>0.65466320586210902</v>
      </c>
      <c r="AL2169">
        <v>78.920374483445102</v>
      </c>
      <c r="AM2169">
        <v>87.737033576241004</v>
      </c>
      <c r="AN2169">
        <v>0.999999974481245</v>
      </c>
    </row>
    <row r="2170" spans="1:40" x14ac:dyDescent="0.25">
      <c r="A2170" t="str">
        <f>"20190303162256551"</f>
        <v>20190303162256551</v>
      </c>
      <c r="B2170" t="str">
        <f>"1551601376547119"</f>
        <v>1551601376547119</v>
      </c>
      <c r="C2170" t="s">
        <v>40</v>
      </c>
      <c r="D2170">
        <v>5.5648289999999996</v>
      </c>
      <c r="E2170">
        <v>0.52662509999999996</v>
      </c>
      <c r="F2170" t="s">
        <v>42</v>
      </c>
      <c r="G2170">
        <v>-345.14760000000001</v>
      </c>
      <c r="H2170">
        <v>0.87358239999999998</v>
      </c>
      <c r="I2170">
        <v>284.53070000000002</v>
      </c>
      <c r="J2170">
        <v>-344.59500000000003</v>
      </c>
      <c r="K2170">
        <v>1.1206160000000001</v>
      </c>
      <c r="L2170">
        <v>284.4699</v>
      </c>
      <c r="M2170">
        <v>-0.99986459999999999</v>
      </c>
      <c r="N2170">
        <v>-1.2604829999999999E-2</v>
      </c>
      <c r="O2170">
        <v>-1.058773E-2</v>
      </c>
      <c r="P2170">
        <v>-0.98330470000000003</v>
      </c>
      <c r="Q2170">
        <v>0.1797889</v>
      </c>
      <c r="R2170">
        <v>2.8074109999999999E-2</v>
      </c>
      <c r="S2170">
        <v>-3.2509769999999998</v>
      </c>
      <c r="T2170">
        <v>-1.1372679999999999</v>
      </c>
      <c r="U2170">
        <v>0.27096559999999997</v>
      </c>
      <c r="V2170">
        <v>3.8559650000000001E-2</v>
      </c>
      <c r="W2170">
        <v>0.1921496</v>
      </c>
      <c r="X2170">
        <v>0.98060780000000003</v>
      </c>
      <c r="Y2170">
        <v>8.7653960000000003E-2</v>
      </c>
      <c r="Z2170">
        <v>1.8897609999999999E-2</v>
      </c>
      <c r="AA2170">
        <v>0.99597170000000002</v>
      </c>
      <c r="AB2170">
        <v>28</v>
      </c>
      <c r="AC2170">
        <v>-0.55259999999998399</v>
      </c>
      <c r="AD2170">
        <v>-0.24703359999999999</v>
      </c>
      <c r="AE2170">
        <v>6.0800000000028803E-2</v>
      </c>
      <c r="AF2170">
        <v>5.5657981274604897E-2</v>
      </c>
      <c r="AG2170">
        <v>-0.24703359999999999</v>
      </c>
      <c r="AH2170">
        <v>0.46091586125106299</v>
      </c>
      <c r="AI2170">
        <v>118.017310408432</v>
      </c>
      <c r="AJ2170">
        <v>83.114575575168004</v>
      </c>
      <c r="AK2170">
        <v>0.52589622698906402</v>
      </c>
      <c r="AL2170">
        <v>78.921740799536906</v>
      </c>
      <c r="AM2170">
        <v>87.748164395458502</v>
      </c>
      <c r="AN2170">
        <v>0.999999986404561</v>
      </c>
    </row>
    <row r="2171" spans="1:40" x14ac:dyDescent="0.25">
      <c r="A2171" t="str">
        <f>"20190303162256564"</f>
        <v>20190303162256564</v>
      </c>
      <c r="B2171" t="str">
        <f>"1551601376556879"</f>
        <v>1551601376556879</v>
      </c>
      <c r="C2171" t="s">
        <v>40</v>
      </c>
      <c r="D2171">
        <v>5.5633910000000002</v>
      </c>
      <c r="E2171">
        <v>0.52661910000000001</v>
      </c>
      <c r="F2171" t="s">
        <v>42</v>
      </c>
      <c r="G2171">
        <v>-345.3852</v>
      </c>
      <c r="H2171">
        <v>0.84353899999999904</v>
      </c>
      <c r="I2171">
        <v>284.53570000000002</v>
      </c>
      <c r="J2171">
        <v>-344.76369999999997</v>
      </c>
      <c r="K2171">
        <v>1.120598</v>
      </c>
      <c r="L2171">
        <v>284.4683</v>
      </c>
      <c r="M2171">
        <v>-0.99986759999999997</v>
      </c>
      <c r="N2171">
        <v>-1.2471650000000001E-2</v>
      </c>
      <c r="O2171">
        <v>-1.046299E-2</v>
      </c>
      <c r="P2171">
        <v>-0.98331869999999999</v>
      </c>
      <c r="Q2171">
        <v>0.17967030000000001</v>
      </c>
      <c r="R2171">
        <v>2.833459E-2</v>
      </c>
      <c r="S2171">
        <v>-3.251709</v>
      </c>
      <c r="T2171">
        <v>-1.1401650000000001</v>
      </c>
      <c r="U2171">
        <v>0.26934809999999998</v>
      </c>
      <c r="V2171">
        <v>3.8696179999999997E-2</v>
      </c>
      <c r="W2171">
        <v>0.1919006</v>
      </c>
      <c r="X2171">
        <v>0.98065119999999895</v>
      </c>
      <c r="Y2171">
        <v>8.7038660000000004E-2</v>
      </c>
      <c r="Z2171">
        <v>1.8784390000000002E-2</v>
      </c>
      <c r="AA2171">
        <v>0.99602780000000002</v>
      </c>
      <c r="AB2171">
        <v>28</v>
      </c>
      <c r="AC2171">
        <v>-0.62150000000002503</v>
      </c>
      <c r="AD2171">
        <v>-0.277059</v>
      </c>
      <c r="AE2171">
        <v>6.7400000000020499E-2</v>
      </c>
      <c r="AF2171">
        <v>6.1767272195392797E-2</v>
      </c>
      <c r="AG2171">
        <v>-0.277059</v>
      </c>
      <c r="AH2171">
        <v>0.51884874920715196</v>
      </c>
      <c r="AI2171">
        <v>117.934496846691</v>
      </c>
      <c r="AJ2171">
        <v>83.2110729043916</v>
      </c>
      <c r="AK2171">
        <v>0.59142278443537</v>
      </c>
      <c r="AL2171">
        <v>78.936278197887106</v>
      </c>
      <c r="AM2171">
        <v>87.7402993715382</v>
      </c>
      <c r="AN2171">
        <v>1.00000000534419</v>
      </c>
    </row>
    <row r="2172" spans="1:40" x14ac:dyDescent="0.25">
      <c r="A2172" t="str">
        <f>"20190303162256577"</f>
        <v>20190303162256577</v>
      </c>
      <c r="B2172" t="str">
        <f>"1551601376566639"</f>
        <v>1551601376566639</v>
      </c>
      <c r="C2172" t="s">
        <v>40</v>
      </c>
      <c r="D2172">
        <v>5.5826919999999998</v>
      </c>
      <c r="E2172">
        <v>0.52660030000000002</v>
      </c>
      <c r="F2172" t="s">
        <v>42</v>
      </c>
      <c r="G2172">
        <v>-345.62490000000003</v>
      </c>
      <c r="H2172">
        <v>0.8181638</v>
      </c>
      <c r="I2172">
        <v>284.53960000000001</v>
      </c>
      <c r="J2172">
        <v>-344.92720000000003</v>
      </c>
      <c r="K2172">
        <v>1.120579</v>
      </c>
      <c r="L2172">
        <v>284.46660000000003</v>
      </c>
      <c r="M2172">
        <v>-0.99987040000000005</v>
      </c>
      <c r="N2172">
        <v>-1.234029E-2</v>
      </c>
      <c r="O2172">
        <v>-1.034612E-2</v>
      </c>
      <c r="P2172">
        <v>-0.98326990000000003</v>
      </c>
      <c r="Q2172">
        <v>0.1799269</v>
      </c>
      <c r="R2172">
        <v>2.840724E-2</v>
      </c>
      <c r="S2172">
        <v>-3.2518009999999999</v>
      </c>
      <c r="T2172">
        <v>-1.141869</v>
      </c>
      <c r="U2172">
        <v>0.26870729999999998</v>
      </c>
      <c r="V2172">
        <v>3.8653310000000003E-2</v>
      </c>
      <c r="W2172">
        <v>0.19202839999999999</v>
      </c>
      <c r="X2172">
        <v>0.9806279</v>
      </c>
      <c r="Y2172">
        <v>8.6734989999999998E-2</v>
      </c>
      <c r="Z2172">
        <v>1.871339E-2</v>
      </c>
      <c r="AA2172">
        <v>0.99605569999999999</v>
      </c>
      <c r="AB2172">
        <v>28</v>
      </c>
      <c r="AC2172">
        <v>-0.69769999999999699</v>
      </c>
      <c r="AD2172">
        <v>-0.302415199999999</v>
      </c>
      <c r="AE2172">
        <v>7.2999999999978998E-2</v>
      </c>
      <c r="AF2172">
        <v>6.7644091756838304E-2</v>
      </c>
      <c r="AG2172">
        <v>-0.302415199999999</v>
      </c>
      <c r="AH2172">
        <v>0.58769042171795705</v>
      </c>
      <c r="AI2172">
        <v>117.076449721649</v>
      </c>
      <c r="AJ2172">
        <v>83.434059943616404</v>
      </c>
      <c r="AK2172">
        <v>0.66438746836441598</v>
      </c>
      <c r="AL2172">
        <v>78.928817327050396</v>
      </c>
      <c r="AM2172">
        <v>87.742746639291596</v>
      </c>
      <c r="AN2172">
        <v>1.0000000315194599</v>
      </c>
    </row>
    <row r="2173" spans="1:40" x14ac:dyDescent="0.25">
      <c r="A2173" t="str">
        <f>"20190303162256593"</f>
        <v>20190303162256593</v>
      </c>
      <c r="B2173" t="str">
        <f>"1551601376586474"</f>
        <v>1551601376586474</v>
      </c>
      <c r="C2173" t="s">
        <v>40</v>
      </c>
      <c r="D2173">
        <v>5.572838</v>
      </c>
      <c r="E2173">
        <v>0.52652279999999996</v>
      </c>
      <c r="F2173" t="s">
        <v>42</v>
      </c>
      <c r="G2173">
        <v>-345.6447</v>
      </c>
      <c r="H2173">
        <v>0.86853969999999903</v>
      </c>
      <c r="I2173">
        <v>284.52609999999999</v>
      </c>
      <c r="J2173">
        <v>-345.13589999999999</v>
      </c>
      <c r="K2173">
        <v>1.1205609999999999</v>
      </c>
      <c r="L2173">
        <v>284.46460000000002</v>
      </c>
      <c r="M2173">
        <v>-0.99987389999999998</v>
      </c>
      <c r="N2173">
        <v>-1.217467E-2</v>
      </c>
      <c r="O2173">
        <v>-1.0199720000000001E-2</v>
      </c>
      <c r="P2173">
        <v>-0.98326899999999995</v>
      </c>
      <c r="Q2173">
        <v>0.1798236</v>
      </c>
      <c r="R2173">
        <v>2.9083870000000001E-2</v>
      </c>
      <c r="S2173">
        <v>-3.252319</v>
      </c>
      <c r="T2173">
        <v>-1.1422509999999999</v>
      </c>
      <c r="U2173">
        <v>0.26846310000000001</v>
      </c>
      <c r="V2173">
        <v>3.918555E-2</v>
      </c>
      <c r="W2173">
        <v>0.19176209999999999</v>
      </c>
      <c r="X2173">
        <v>0.9806589</v>
      </c>
      <c r="Y2173">
        <v>8.6523059999999999E-2</v>
      </c>
      <c r="Z2173">
        <v>1.8625200000000001E-2</v>
      </c>
      <c r="AA2173">
        <v>0.99607570000000001</v>
      </c>
      <c r="AB2173">
        <v>28</v>
      </c>
      <c r="AC2173">
        <v>-0.50880000000000702</v>
      </c>
      <c r="AD2173">
        <v>-0.2520213</v>
      </c>
      <c r="AE2173">
        <v>6.1499999999966803E-2</v>
      </c>
      <c r="AF2173">
        <v>5.3701128796630401E-2</v>
      </c>
      <c r="AG2173">
        <v>-0.2520213</v>
      </c>
      <c r="AH2173">
        <v>0.40919677577674202</v>
      </c>
      <c r="AI2173">
        <v>121.410598678619</v>
      </c>
      <c r="AJ2173">
        <v>82.523488433829499</v>
      </c>
      <c r="AK2173">
        <v>0.48357062379119298</v>
      </c>
      <c r="AL2173">
        <v>78.944364265851405</v>
      </c>
      <c r="AM2173">
        <v>87.711770275955104</v>
      </c>
      <c r="AN2173">
        <v>1.0000000442372099</v>
      </c>
    </row>
    <row r="2174" spans="1:40" x14ac:dyDescent="0.25">
      <c r="A2174" t="str">
        <f>"20190303162256616"</f>
        <v>20190303162256616</v>
      </c>
      <c r="B2174" t="str">
        <f>"1551601376606678"</f>
        <v>1551601376606678</v>
      </c>
      <c r="C2174" t="s">
        <v>40</v>
      </c>
      <c r="D2174">
        <v>5.5735640000000002</v>
      </c>
      <c r="E2174">
        <v>0.526458599999999</v>
      </c>
      <c r="F2174" t="s">
        <v>42</v>
      </c>
      <c r="G2174">
        <v>-345.8895</v>
      </c>
      <c r="H2174">
        <v>0.85524519999999904</v>
      </c>
      <c r="I2174">
        <v>284.52789999999999</v>
      </c>
      <c r="J2174">
        <v>-345.41820000000001</v>
      </c>
      <c r="K2174">
        <v>1.1205339999999999</v>
      </c>
      <c r="L2174">
        <v>284.46199999999999</v>
      </c>
      <c r="M2174">
        <v>-0.9998785</v>
      </c>
      <c r="N2174">
        <v>-1.1959279999999999E-2</v>
      </c>
      <c r="O2174">
        <v>-1.0005719999999999E-2</v>
      </c>
      <c r="P2174">
        <v>-0.9832014</v>
      </c>
      <c r="Q2174">
        <v>0.18007089999999901</v>
      </c>
      <c r="R2174">
        <v>2.9822049999999999E-2</v>
      </c>
      <c r="S2174">
        <v>-3.2524109999999999</v>
      </c>
      <c r="T2174">
        <v>-1.1449990000000001</v>
      </c>
      <c r="U2174">
        <v>0.27197270000000001</v>
      </c>
      <c r="V2174">
        <v>3.9732259999999998E-2</v>
      </c>
      <c r="W2174">
        <v>0.1917972</v>
      </c>
      <c r="X2174">
        <v>0.98063</v>
      </c>
      <c r="Y2174">
        <v>8.733196E-2</v>
      </c>
      <c r="Z2174">
        <v>1.8736940000000001E-2</v>
      </c>
      <c r="AA2174">
        <v>0.99600299999999997</v>
      </c>
      <c r="AB2174">
        <v>28</v>
      </c>
      <c r="AC2174">
        <v>-0.47129999999998501</v>
      </c>
      <c r="AD2174">
        <v>-0.26528879999999999</v>
      </c>
      <c r="AE2174">
        <v>6.5899999999999098E-2</v>
      </c>
      <c r="AF2174">
        <v>5.3871338869502898E-2</v>
      </c>
      <c r="AG2174">
        <v>-0.26528879999999999</v>
      </c>
      <c r="AH2174">
        <v>0.35903958934883501</v>
      </c>
      <c r="AI2174">
        <v>126.155793018686</v>
      </c>
      <c r="AJ2174">
        <v>81.466830867841594</v>
      </c>
      <c r="AK2174">
        <v>0.44965508478923399</v>
      </c>
      <c r="AL2174">
        <v>78.942314738784603</v>
      </c>
      <c r="AM2174">
        <v>87.679811638483997</v>
      </c>
      <c r="AN2174">
        <v>1.0000000076562701</v>
      </c>
    </row>
    <row r="2175" spans="1:40" x14ac:dyDescent="0.25">
      <c r="A2175" t="str">
        <f>"20190303162256638"</f>
        <v>20190303162256638</v>
      </c>
      <c r="B2175" t="str">
        <f>"1551601376627174"</f>
        <v>1551601376627174</v>
      </c>
      <c r="C2175" t="s">
        <v>40</v>
      </c>
      <c r="D2175">
        <v>5.5953049999999998</v>
      </c>
      <c r="E2175">
        <v>0.52638260000000003</v>
      </c>
      <c r="F2175" t="s">
        <v>42</v>
      </c>
      <c r="G2175">
        <v>-346.14350000000002</v>
      </c>
      <c r="H2175">
        <v>0.86486509999999905</v>
      </c>
      <c r="I2175">
        <v>284.52359999999999</v>
      </c>
      <c r="J2175">
        <v>-345.68990000000002</v>
      </c>
      <c r="K2175">
        <v>1.120512</v>
      </c>
      <c r="L2175">
        <v>284.45949999999999</v>
      </c>
      <c r="M2175">
        <v>-0.99988270000000001</v>
      </c>
      <c r="N2175">
        <v>-1.1767120000000001E-2</v>
      </c>
      <c r="O2175">
        <v>-9.8211649999999998E-3</v>
      </c>
      <c r="P2175">
        <v>-0.98320589999999997</v>
      </c>
      <c r="Q2175">
        <v>0.1799132</v>
      </c>
      <c r="R2175">
        <v>3.062339E-2</v>
      </c>
      <c r="S2175">
        <v>-3.2529300000000001</v>
      </c>
      <c r="T2175">
        <v>-1.1466510000000001</v>
      </c>
      <c r="U2175">
        <v>0.27447510000000003</v>
      </c>
      <c r="V2175">
        <v>4.0352300000000001E-2</v>
      </c>
      <c r="W2175">
        <v>0.19145039999999999</v>
      </c>
      <c r="X2175">
        <v>0.9806724</v>
      </c>
      <c r="Y2175">
        <v>8.7861430000000004E-2</v>
      </c>
      <c r="Z2175">
        <v>1.8784550000000001E-2</v>
      </c>
      <c r="AA2175">
        <v>0.99595560000000005</v>
      </c>
      <c r="AB2175">
        <v>28</v>
      </c>
      <c r="AC2175">
        <v>-0.45359999999999401</v>
      </c>
      <c r="AD2175">
        <v>-0.25564690000000001</v>
      </c>
      <c r="AE2175">
        <v>6.4099999999996202E-2</v>
      </c>
      <c r="AF2175">
        <v>5.2273146790439901E-2</v>
      </c>
      <c r="AG2175">
        <v>-0.25564690000000001</v>
      </c>
      <c r="AH2175">
        <v>0.34538762231206699</v>
      </c>
      <c r="AI2175">
        <v>126.198146755065</v>
      </c>
      <c r="AJ2175">
        <v>81.393808108556001</v>
      </c>
      <c r="AK2175">
        <v>0.43287461117668702</v>
      </c>
      <c r="AL2175">
        <v>78.962559559676293</v>
      </c>
      <c r="AM2175">
        <v>87.643746306797894</v>
      </c>
      <c r="AN2175">
        <v>0.99999995994860402</v>
      </c>
    </row>
    <row r="2176" spans="1:40" x14ac:dyDescent="0.25">
      <c r="A2176" t="str">
        <f>"20190303162256660"</f>
        <v>20190303162256660</v>
      </c>
      <c r="B2176" t="str">
        <f>"1551601376656455"</f>
        <v>1551601376656455</v>
      </c>
      <c r="C2176" t="s">
        <v>40</v>
      </c>
      <c r="D2176">
        <v>5.6312480000000003</v>
      </c>
      <c r="E2176">
        <v>0.5263234</v>
      </c>
      <c r="F2176" t="s">
        <v>42</v>
      </c>
      <c r="G2176">
        <v>-346.3963</v>
      </c>
      <c r="H2176">
        <v>0.87084850000000003</v>
      </c>
      <c r="I2176">
        <v>284.51960000000003</v>
      </c>
      <c r="J2176">
        <v>-345.95890000000003</v>
      </c>
      <c r="K2176">
        <v>1.1204940000000001</v>
      </c>
      <c r="L2176">
        <v>284.45699999999999</v>
      </c>
      <c r="M2176">
        <v>-0.99988630000000001</v>
      </c>
      <c r="N2176">
        <v>-1.159456E-2</v>
      </c>
      <c r="O2176">
        <v>-9.6384109999999995E-3</v>
      </c>
      <c r="P2176">
        <v>-0.98315419999999998</v>
      </c>
      <c r="Q2176">
        <v>0.18009020000000001</v>
      </c>
      <c r="R2176">
        <v>3.1231950000000001E-2</v>
      </c>
      <c r="S2176">
        <v>-3.2530209999999999</v>
      </c>
      <c r="T2176">
        <v>-1.1498189999999999</v>
      </c>
      <c r="U2176">
        <v>0.2763062</v>
      </c>
      <c r="V2176">
        <v>4.0780829999999997E-2</v>
      </c>
      <c r="W2176">
        <v>0.19145789999999999</v>
      </c>
      <c r="X2176">
        <v>0.9806532</v>
      </c>
      <c r="Y2176">
        <v>8.8194209999999995E-2</v>
      </c>
      <c r="Z2176">
        <v>1.8823880000000001E-2</v>
      </c>
      <c r="AA2176">
        <v>0.99592539999999996</v>
      </c>
      <c r="AB2176">
        <v>28</v>
      </c>
      <c r="AC2176">
        <v>-0.43739999999996798</v>
      </c>
      <c r="AD2176">
        <v>-0.24964549999999999</v>
      </c>
      <c r="AE2176">
        <v>6.26000000000317E-2</v>
      </c>
      <c r="AF2176">
        <v>5.0646166381704903E-2</v>
      </c>
      <c r="AG2176">
        <v>-0.24964549999999999</v>
      </c>
      <c r="AH2176">
        <v>0.33108784618297599</v>
      </c>
      <c r="AI2176">
        <v>126.698855687285</v>
      </c>
      <c r="AJ2176">
        <v>81.302941147221205</v>
      </c>
      <c r="AK2176">
        <v>0.41774043583246201</v>
      </c>
      <c r="AL2176">
        <v>78.962121643690907</v>
      </c>
      <c r="AM2176">
        <v>87.618705644745006</v>
      </c>
      <c r="AN2176">
        <v>0.99999995111906803</v>
      </c>
    </row>
    <row r="2177" spans="1:40" x14ac:dyDescent="0.25">
      <c r="A2177" t="str">
        <f>"20190303162256683"</f>
        <v>20190303162256683</v>
      </c>
      <c r="B2177" t="str">
        <f>"1551601376676951"</f>
        <v>1551601376676951</v>
      </c>
      <c r="C2177" t="s">
        <v>40</v>
      </c>
      <c r="D2177">
        <v>5.6202649999999998</v>
      </c>
      <c r="E2177">
        <v>0.52627829999999998</v>
      </c>
      <c r="F2177" t="s">
        <v>42</v>
      </c>
      <c r="G2177">
        <v>-346.64909999999998</v>
      </c>
      <c r="H2177">
        <v>0.876200599999999</v>
      </c>
      <c r="I2177">
        <v>284.5163</v>
      </c>
      <c r="J2177">
        <v>-346.25470000000001</v>
      </c>
      <c r="K2177">
        <v>1.120482</v>
      </c>
      <c r="L2177">
        <v>284.45440000000002</v>
      </c>
      <c r="M2177">
        <v>-0.99989019999999995</v>
      </c>
      <c r="N2177">
        <v>-1.142493E-2</v>
      </c>
      <c r="O2177">
        <v>-9.4374449999999992E-3</v>
      </c>
      <c r="P2177">
        <v>-0.9830797</v>
      </c>
      <c r="Q2177">
        <v>0.1804656</v>
      </c>
      <c r="R2177">
        <v>3.1407060000000001E-2</v>
      </c>
      <c r="S2177">
        <v>-3.2535099999999999</v>
      </c>
      <c r="T2177">
        <v>-1.1514580000000001</v>
      </c>
      <c r="U2177">
        <v>0.277099599999999</v>
      </c>
      <c r="V2177">
        <v>4.0757870000000002E-2</v>
      </c>
      <c r="W2177">
        <v>0.19166610000000001</v>
      </c>
      <c r="X2177">
        <v>0.98061350000000003</v>
      </c>
      <c r="Y2177">
        <v>8.8219950000000005E-2</v>
      </c>
      <c r="Z2177">
        <v>1.877761E-2</v>
      </c>
      <c r="AA2177">
        <v>0.99592400000000003</v>
      </c>
      <c r="AB2177">
        <v>28</v>
      </c>
      <c r="AC2177">
        <v>-0.394399999999961</v>
      </c>
      <c r="AD2177">
        <v>-0.24428140000000001</v>
      </c>
      <c r="AE2177">
        <v>6.1899999999979999E-2</v>
      </c>
      <c r="AF2177">
        <v>4.7744098449302101E-2</v>
      </c>
      <c r="AG2177">
        <v>-0.24428140000000001</v>
      </c>
      <c r="AH2177">
        <v>0.28652318499773599</v>
      </c>
      <c r="AI2177">
        <v>130.063018119589</v>
      </c>
      <c r="AJ2177">
        <v>80.539577864478602</v>
      </c>
      <c r="AK2177">
        <v>0.37953713502626302</v>
      </c>
      <c r="AL2177">
        <v>78.949967753686806</v>
      </c>
      <c r="AM2177">
        <v>87.619948552982294</v>
      </c>
      <c r="AN2177">
        <v>0.99999996711919703</v>
      </c>
    </row>
    <row r="2178" spans="1:40" x14ac:dyDescent="0.25">
      <c r="A2178" t="str">
        <f>"20190303162256695"</f>
        <v>20190303162256695</v>
      </c>
      <c r="B2178" t="str">
        <f>"1551601376686711"</f>
        <v>1551601376686711</v>
      </c>
      <c r="C2178" t="s">
        <v>40</v>
      </c>
      <c r="D2178">
        <v>5.6416950000000003</v>
      </c>
      <c r="E2178">
        <v>0.52623869999999995</v>
      </c>
      <c r="F2178" t="s">
        <v>42</v>
      </c>
      <c r="G2178">
        <v>-347.12639999999999</v>
      </c>
      <c r="H2178">
        <v>0.81228180000000005</v>
      </c>
      <c r="I2178">
        <v>284.52890000000002</v>
      </c>
      <c r="J2178">
        <v>-346.41739999999999</v>
      </c>
      <c r="K2178">
        <v>1.1204769999999999</v>
      </c>
      <c r="L2178">
        <v>284.45299999999997</v>
      </c>
      <c r="M2178">
        <v>-0.99989229999999996</v>
      </c>
      <c r="N2178">
        <v>-1.1342710000000001E-2</v>
      </c>
      <c r="O2178">
        <v>-9.3268469999999992E-3</v>
      </c>
      <c r="P2178">
        <v>-0.98303620000000003</v>
      </c>
      <c r="Q2178">
        <v>0.18067859999999999</v>
      </c>
      <c r="R2178">
        <v>3.1551250000000003E-2</v>
      </c>
      <c r="S2178">
        <v>-3.2539669999999998</v>
      </c>
      <c r="T2178">
        <v>-1.1505099999999999</v>
      </c>
      <c r="U2178">
        <v>0.276947</v>
      </c>
      <c r="V2178">
        <v>4.0793280000000001E-2</v>
      </c>
      <c r="W2178">
        <v>0.19179760000000001</v>
      </c>
      <c r="X2178">
        <v>0.98058630000000002</v>
      </c>
      <c r="Y2178">
        <v>8.8078859999999995E-2</v>
      </c>
      <c r="Z2178">
        <v>1.8696259999999999E-2</v>
      </c>
      <c r="AA2178">
        <v>0.99593799999999999</v>
      </c>
      <c r="AB2178">
        <v>28</v>
      </c>
      <c r="AC2178">
        <v>-0.70900000000000296</v>
      </c>
      <c r="AD2178">
        <v>-0.308195199999999</v>
      </c>
      <c r="AE2178">
        <v>7.5900000000046902E-2</v>
      </c>
      <c r="AF2178">
        <v>6.9522120118340996E-2</v>
      </c>
      <c r="AG2178">
        <v>-0.308195199999999</v>
      </c>
      <c r="AH2178">
        <v>0.596775004977663</v>
      </c>
      <c r="AI2178">
        <v>117.15625408409799</v>
      </c>
      <c r="AJ2178">
        <v>83.355201556840399</v>
      </c>
      <c r="AK2178">
        <v>0.67524663127991902</v>
      </c>
      <c r="AL2178">
        <v>78.942290757066502</v>
      </c>
      <c r="AM2178">
        <v>87.617817170546402</v>
      </c>
      <c r="AN2178">
        <v>0.999999951403303</v>
      </c>
    </row>
    <row r="2179" spans="1:40" x14ac:dyDescent="0.25">
      <c r="A2179" t="str">
        <f>"20190303162256709"</f>
        <v>20190303162256709</v>
      </c>
      <c r="B2179" t="str">
        <f>"1551601376707206"</f>
        <v>1551601376707206</v>
      </c>
      <c r="C2179" t="s">
        <v>40</v>
      </c>
      <c r="D2179">
        <v>5.6393309999999897</v>
      </c>
      <c r="E2179">
        <v>0.52620719999999899</v>
      </c>
      <c r="F2179" t="s">
        <v>42</v>
      </c>
      <c r="G2179">
        <v>-347.14620000000002</v>
      </c>
      <c r="H2179">
        <v>0.86291379999999995</v>
      </c>
      <c r="I2179">
        <v>284.5154</v>
      </c>
      <c r="J2179">
        <v>-346.57870000000003</v>
      </c>
      <c r="K2179">
        <v>1.1204750000000001</v>
      </c>
      <c r="L2179">
        <v>284.45159999999998</v>
      </c>
      <c r="M2179">
        <v>-0.99989419999999996</v>
      </c>
      <c r="N2179">
        <v>-1.1265600000000001E-2</v>
      </c>
      <c r="O2179">
        <v>-9.2172339999999995E-3</v>
      </c>
      <c r="P2179">
        <v>-0.9830006</v>
      </c>
      <c r="Q2179">
        <v>0.18082880000000001</v>
      </c>
      <c r="R2179">
        <v>3.1796419999999999E-2</v>
      </c>
      <c r="S2179">
        <v>-3.2542110000000002</v>
      </c>
      <c r="T2179">
        <v>-1.150069</v>
      </c>
      <c r="U2179">
        <v>0.277099599999999</v>
      </c>
      <c r="V2179">
        <v>4.0930300000000003E-2</v>
      </c>
      <c r="W2179">
        <v>0.19187209999999999</v>
      </c>
      <c r="X2179">
        <v>0.9805661</v>
      </c>
      <c r="Y2179">
        <v>8.8025610000000004E-2</v>
      </c>
      <c r="Z2179">
        <v>1.8639739999999998E-2</v>
      </c>
      <c r="AA2179">
        <v>0.99594380000000005</v>
      </c>
      <c r="AB2179">
        <v>28</v>
      </c>
      <c r="AC2179">
        <v>-0.56749999999999501</v>
      </c>
      <c r="AD2179">
        <v>-0.25756119999999999</v>
      </c>
      <c r="AE2179">
        <v>6.3800000000014706E-2</v>
      </c>
      <c r="AF2179">
        <v>5.7360617636216499E-2</v>
      </c>
      <c r="AG2179">
        <v>-0.25756119999999999</v>
      </c>
      <c r="AH2179">
        <v>0.471067466114307</v>
      </c>
      <c r="AI2179">
        <v>118.490975999254</v>
      </c>
      <c r="AJ2179">
        <v>83.057425650473803</v>
      </c>
      <c r="AK2179">
        <v>0.53993756104979596</v>
      </c>
      <c r="AL2179">
        <v>78.937942371471607</v>
      </c>
      <c r="AM2179">
        <v>87.609775771700996</v>
      </c>
      <c r="AN2179">
        <v>1.0000000343428499</v>
      </c>
    </row>
    <row r="2180" spans="1:40" x14ac:dyDescent="0.25">
      <c r="A2180" t="str">
        <f>"20190303162256726"</f>
        <v>20190303162256726</v>
      </c>
      <c r="B2180" t="str">
        <f>"1551601376716966"</f>
        <v>1551601376716966</v>
      </c>
      <c r="C2180" t="s">
        <v>40</v>
      </c>
      <c r="D2180">
        <v>5.6509099999999997</v>
      </c>
      <c r="E2180">
        <v>0.52618759999999998</v>
      </c>
      <c r="F2180" t="s">
        <v>42</v>
      </c>
      <c r="G2180">
        <v>-347.38670000000002</v>
      </c>
      <c r="H2180">
        <v>0.83466119999999899</v>
      </c>
      <c r="I2180">
        <v>284.52080000000001</v>
      </c>
      <c r="J2180">
        <v>-346.80279999999999</v>
      </c>
      <c r="K2180">
        <v>1.1204769999999999</v>
      </c>
      <c r="L2180">
        <v>284.44970000000001</v>
      </c>
      <c r="M2180">
        <v>-0.99989660000000002</v>
      </c>
      <c r="N2180">
        <v>-1.1167689999999999E-2</v>
      </c>
      <c r="O2180">
        <v>-9.0649549999999995E-3</v>
      </c>
      <c r="P2180">
        <v>-0.98288319999999996</v>
      </c>
      <c r="Q2180">
        <v>0.18142069999999999</v>
      </c>
      <c r="R2180">
        <v>3.2050549999999997E-2</v>
      </c>
      <c r="S2180">
        <v>-3.2547609999999998</v>
      </c>
      <c r="T2180">
        <v>-1.151303</v>
      </c>
      <c r="U2180">
        <v>0.27771000000000001</v>
      </c>
      <c r="V2180">
        <v>4.1034090000000002E-2</v>
      </c>
      <c r="W2180">
        <v>0.19236619999999999</v>
      </c>
      <c r="X2180">
        <v>0.98046489999999997</v>
      </c>
      <c r="Y2180">
        <v>8.8043650000000001E-2</v>
      </c>
      <c r="Z2180">
        <v>1.8604260000000001E-2</v>
      </c>
      <c r="AA2180">
        <v>0.99594289999999996</v>
      </c>
      <c r="AB2180">
        <v>28</v>
      </c>
      <c r="AC2180">
        <v>-0.58390000000002795</v>
      </c>
      <c r="AD2180">
        <v>-0.28581580000000001</v>
      </c>
      <c r="AE2180">
        <v>7.1100000000001204E-2</v>
      </c>
      <c r="AF2180">
        <v>6.1799358689010903E-2</v>
      </c>
      <c r="AG2180">
        <v>-0.28581580000000001</v>
      </c>
      <c r="AH2180">
        <v>0.47183039673249899</v>
      </c>
      <c r="AI2180">
        <v>120.990272075303</v>
      </c>
      <c r="AJ2180">
        <v>82.537995897849399</v>
      </c>
      <c r="AK2180">
        <v>0.55509796932141697</v>
      </c>
      <c r="AL2180">
        <v>78.909094604789004</v>
      </c>
      <c r="AM2180">
        <v>87.603474712443102</v>
      </c>
      <c r="AN2180">
        <v>0.99999998578828897</v>
      </c>
    </row>
    <row r="2181" spans="1:40" x14ac:dyDescent="0.25">
      <c r="A2181" t="str">
        <f>"20190303162256738"</f>
        <v>20190303162256738</v>
      </c>
      <c r="B2181" t="str">
        <f>"1551601376726727"</f>
        <v>1551601376726727</v>
      </c>
      <c r="C2181" t="s">
        <v>40</v>
      </c>
      <c r="D2181">
        <v>5.646776</v>
      </c>
      <c r="E2181">
        <v>0.52617510000000001</v>
      </c>
      <c r="F2181" t="s">
        <v>42</v>
      </c>
      <c r="G2181">
        <v>-347.6352</v>
      </c>
      <c r="H2181">
        <v>0.82634680000000005</v>
      </c>
      <c r="I2181">
        <v>284.52100000000002</v>
      </c>
      <c r="J2181">
        <v>-346.964</v>
      </c>
      <c r="K2181">
        <v>1.120471</v>
      </c>
      <c r="L2181">
        <v>284.44830000000002</v>
      </c>
      <c r="M2181">
        <v>-0.99989839999999997</v>
      </c>
      <c r="N2181">
        <v>-1.110389E-2</v>
      </c>
      <c r="O2181">
        <v>-8.9555380000000007E-3</v>
      </c>
      <c r="P2181">
        <v>-0.98273860000000002</v>
      </c>
      <c r="Q2181">
        <v>0.18212719999999999</v>
      </c>
      <c r="R2181">
        <v>3.2481830000000003E-2</v>
      </c>
      <c r="S2181">
        <v>-3.255493</v>
      </c>
      <c r="T2181">
        <v>-1.150212</v>
      </c>
      <c r="U2181">
        <v>0.27764889999999998</v>
      </c>
      <c r="V2181">
        <v>4.1357039999999998E-2</v>
      </c>
      <c r="W2181">
        <v>0.1930086</v>
      </c>
      <c r="X2181">
        <v>0.98032509999999995</v>
      </c>
      <c r="Y2181">
        <v>8.7925050000000005E-2</v>
      </c>
      <c r="Z2181">
        <v>1.8524519999999999E-2</v>
      </c>
      <c r="AA2181">
        <v>0.99595480000000003</v>
      </c>
      <c r="AB2181">
        <v>28</v>
      </c>
      <c r="AC2181">
        <v>-0.67119999999999802</v>
      </c>
      <c r="AD2181">
        <v>-0.294124199999999</v>
      </c>
      <c r="AE2181">
        <v>7.2699999999940701E-2</v>
      </c>
      <c r="AF2181">
        <v>6.6152736909260101E-2</v>
      </c>
      <c r="AG2181">
        <v>-0.294124199999999</v>
      </c>
      <c r="AH2181">
        <v>0.56355938430571095</v>
      </c>
      <c r="AI2181">
        <v>117.399767835113</v>
      </c>
      <c r="AJ2181">
        <v>83.3050418622975</v>
      </c>
      <c r="AK2181">
        <v>0.63912785048475096</v>
      </c>
      <c r="AL2181">
        <v>78.871585176919197</v>
      </c>
      <c r="AM2181">
        <v>87.584291588678099</v>
      </c>
      <c r="AN2181">
        <v>1.00000001306076</v>
      </c>
    </row>
    <row r="2182" spans="1:40" x14ac:dyDescent="0.25">
      <c r="A2182" t="str">
        <f>"20190303162256752"</f>
        <v>20190303162256752</v>
      </c>
      <c r="B2182" t="str">
        <f>"1551601376746753"</f>
        <v>1551601376746753</v>
      </c>
      <c r="C2182" t="s">
        <v>40</v>
      </c>
      <c r="D2182">
        <v>5.6616049999999998</v>
      </c>
      <c r="E2182">
        <v>0.52614869999999903</v>
      </c>
      <c r="F2182" t="s">
        <v>42</v>
      </c>
      <c r="G2182">
        <v>-347.6549</v>
      </c>
      <c r="H2182">
        <v>0.87670619999999999</v>
      </c>
      <c r="I2182">
        <v>284.50779999999997</v>
      </c>
      <c r="J2182">
        <v>-347.1225</v>
      </c>
      <c r="K2182">
        <v>1.120471</v>
      </c>
      <c r="L2182">
        <v>284.447</v>
      </c>
      <c r="M2182">
        <v>-0.99989989999999995</v>
      </c>
      <c r="N2182">
        <v>-1.1046749999999999E-2</v>
      </c>
      <c r="O2182">
        <v>-8.8477099999999999E-3</v>
      </c>
      <c r="P2182">
        <v>-0.98267700000000002</v>
      </c>
      <c r="Q2182">
        <v>0.18245449999999999</v>
      </c>
      <c r="R2182">
        <v>3.2505810000000003E-2</v>
      </c>
      <c r="S2182">
        <v>-3.2563780000000002</v>
      </c>
      <c r="T2182">
        <v>-1.148787</v>
      </c>
      <c r="U2182">
        <v>0.27896120000000002</v>
      </c>
      <c r="V2182">
        <v>4.1274760000000001E-2</v>
      </c>
      <c r="W2182">
        <v>0.19327910000000001</v>
      </c>
      <c r="X2182">
        <v>0.98027529999999996</v>
      </c>
      <c r="Y2182">
        <v>8.8200500000000001E-2</v>
      </c>
      <c r="Z2182">
        <v>1.8509250000000001E-2</v>
      </c>
      <c r="AA2182">
        <v>0.99593069999999895</v>
      </c>
      <c r="AB2182">
        <v>28</v>
      </c>
      <c r="AC2182">
        <v>-0.53239999999999499</v>
      </c>
      <c r="AD2182">
        <v>-0.243764799999999</v>
      </c>
      <c r="AE2182">
        <v>6.0799999999971897E-2</v>
      </c>
      <c r="AF2182">
        <v>5.4276582714304702E-2</v>
      </c>
      <c r="AG2182">
        <v>-0.243764799999999</v>
      </c>
      <c r="AH2182">
        <v>0.44065356181134302</v>
      </c>
      <c r="AI2182">
        <v>118.768547086213</v>
      </c>
      <c r="AJ2182">
        <v>82.978080583655398</v>
      </c>
      <c r="AK2182">
        <v>0.50650052979953097</v>
      </c>
      <c r="AL2182">
        <v>78.855789542935298</v>
      </c>
      <c r="AM2182">
        <v>87.588969639228495</v>
      </c>
      <c r="AN2182">
        <v>1.00000004004997</v>
      </c>
    </row>
    <row r="2183" spans="1:40" x14ac:dyDescent="0.25">
      <c r="A2183" t="str">
        <f>"20190303162256772"</f>
        <v>20190303162256772</v>
      </c>
      <c r="B2183" t="str">
        <f>"1551601376767249"</f>
        <v>1551601376767249</v>
      </c>
      <c r="C2183" t="s">
        <v>40</v>
      </c>
      <c r="D2183">
        <v>5.6510669999999896</v>
      </c>
      <c r="E2183">
        <v>0.52609169999999905</v>
      </c>
      <c r="F2183" t="s">
        <v>42</v>
      </c>
      <c r="G2183">
        <v>-347.8956</v>
      </c>
      <c r="H2183">
        <v>0.84771350000000001</v>
      </c>
      <c r="I2183">
        <v>284.51330000000002</v>
      </c>
      <c r="J2183">
        <v>-347.36930000000001</v>
      </c>
      <c r="K2183">
        <v>1.1204730000000001</v>
      </c>
      <c r="L2183">
        <v>284.44499999999999</v>
      </c>
      <c r="M2183">
        <v>-0.99990230000000002</v>
      </c>
      <c r="N2183">
        <v>-1.09657E-2</v>
      </c>
      <c r="O2183">
        <v>-8.6796749999999995E-3</v>
      </c>
      <c r="P2183">
        <v>-0.98245079999999996</v>
      </c>
      <c r="Q2183">
        <v>0.18363779999999999</v>
      </c>
      <c r="R2183">
        <v>3.2678730000000003E-2</v>
      </c>
      <c r="S2183">
        <v>-3.2569889999999999</v>
      </c>
      <c r="T2183">
        <v>-1.1489450000000001</v>
      </c>
      <c r="U2183">
        <v>0.27871699999999999</v>
      </c>
      <c r="V2183">
        <v>4.1281119999999998E-2</v>
      </c>
      <c r="W2183">
        <v>0.1943802</v>
      </c>
      <c r="X2183">
        <v>0.98005719999999996</v>
      </c>
      <c r="Y2183">
        <v>8.7968630000000006E-2</v>
      </c>
      <c r="Z2183">
        <v>1.8408839999999999E-2</v>
      </c>
      <c r="AA2183">
        <v>0.99595310000000004</v>
      </c>
      <c r="AB2183">
        <v>28</v>
      </c>
      <c r="AC2183">
        <v>-0.526299999999992</v>
      </c>
      <c r="AD2183">
        <v>-0.27275949999999999</v>
      </c>
      <c r="AE2183">
        <v>6.8300000000021996E-2</v>
      </c>
      <c r="AF2183">
        <v>5.7640462594036997E-2</v>
      </c>
      <c r="AG2183">
        <v>-0.27275949999999999</v>
      </c>
      <c r="AH2183">
        <v>0.41584466458917002</v>
      </c>
      <c r="AI2183">
        <v>123.011989276693</v>
      </c>
      <c r="AJ2183">
        <v>82.108483058404005</v>
      </c>
      <c r="AK2183">
        <v>0.50064653482830002</v>
      </c>
      <c r="AL2183">
        <v>78.791480595994301</v>
      </c>
      <c r="AM2183">
        <v>87.588062568850503</v>
      </c>
      <c r="AN2183">
        <v>0.99999995414616605</v>
      </c>
    </row>
    <row r="2184" spans="1:40" x14ac:dyDescent="0.25">
      <c r="A2184" t="str">
        <f>"20190303162256784"</f>
        <v>20190303162256784</v>
      </c>
      <c r="B2184" t="str">
        <f>"1551601376777009"</f>
        <v>1551601376777009</v>
      </c>
      <c r="C2184" t="s">
        <v>40</v>
      </c>
      <c r="D2184">
        <v>5.655405</v>
      </c>
      <c r="E2184">
        <v>0.52605559999999996</v>
      </c>
      <c r="F2184" t="s">
        <v>42</v>
      </c>
      <c r="G2184">
        <v>-348.14749999999998</v>
      </c>
      <c r="H2184">
        <v>0.84670109999999998</v>
      </c>
      <c r="I2184">
        <v>284.51209999999998</v>
      </c>
      <c r="J2184">
        <v>-347.53579999999999</v>
      </c>
      <c r="K2184">
        <v>1.120474</v>
      </c>
      <c r="L2184">
        <v>284.44369999999998</v>
      </c>
      <c r="M2184">
        <v>-0.99990380000000001</v>
      </c>
      <c r="N2184">
        <v>-1.0915950000000001E-2</v>
      </c>
      <c r="O2184">
        <v>-8.5666419999999993E-3</v>
      </c>
      <c r="P2184">
        <v>-0.98229739999999999</v>
      </c>
      <c r="Q2184">
        <v>0.1844162</v>
      </c>
      <c r="R2184">
        <v>3.2905940000000002E-2</v>
      </c>
      <c r="S2184">
        <v>-3.2585449999999998</v>
      </c>
      <c r="T2184">
        <v>-1.1463680000000001</v>
      </c>
      <c r="U2184">
        <v>0.27975460000000002</v>
      </c>
      <c r="V2184">
        <v>4.1396450000000001E-2</v>
      </c>
      <c r="W2184">
        <v>0.195108</v>
      </c>
      <c r="X2184">
        <v>0.9799078</v>
      </c>
      <c r="Y2184">
        <v>8.8157059999999995E-2</v>
      </c>
      <c r="Z2184">
        <v>1.835637E-2</v>
      </c>
      <c r="AA2184">
        <v>0.99593750000000003</v>
      </c>
      <c r="AB2184">
        <v>28</v>
      </c>
      <c r="AC2184">
        <v>-0.61169999999998403</v>
      </c>
      <c r="AD2184">
        <v>-0.27377289999999899</v>
      </c>
      <c r="AE2184">
        <v>6.8399999999996894E-2</v>
      </c>
      <c r="AF2184">
        <v>6.1475827334570098E-2</v>
      </c>
      <c r="AG2184">
        <v>-0.27377289999999899</v>
      </c>
      <c r="AH2184">
        <v>0.51016256112103198</v>
      </c>
      <c r="AI2184">
        <v>118.047988640512</v>
      </c>
      <c r="AJ2184">
        <v>83.128849915723606</v>
      </c>
      <c r="AK2184">
        <v>0.58223424572112703</v>
      </c>
      <c r="AL2184">
        <v>78.748967817965294</v>
      </c>
      <c r="AM2184">
        <v>87.580963838885097</v>
      </c>
      <c r="AN2184">
        <v>1.00000004711872</v>
      </c>
    </row>
    <row r="2185" spans="1:40" x14ac:dyDescent="0.25">
      <c r="A2185" t="str">
        <f>"20190303162256799"</f>
        <v>20190303162256799</v>
      </c>
      <c r="B2185" t="str">
        <f>"1551601376796529"</f>
        <v>1551601376796529</v>
      </c>
      <c r="C2185" t="s">
        <v>40</v>
      </c>
      <c r="D2185">
        <v>5.6657169999999999</v>
      </c>
      <c r="E2185">
        <v>0.52601949999999997</v>
      </c>
      <c r="F2185" t="s">
        <v>42</v>
      </c>
      <c r="G2185">
        <v>-348.3897</v>
      </c>
      <c r="H2185">
        <v>0.82054889999999903</v>
      </c>
      <c r="I2185">
        <v>284.51710000000003</v>
      </c>
      <c r="J2185">
        <v>-347.7235</v>
      </c>
      <c r="K2185">
        <v>1.120476</v>
      </c>
      <c r="L2185">
        <v>284.44229999999999</v>
      </c>
      <c r="M2185">
        <v>-0.9999055</v>
      </c>
      <c r="N2185">
        <v>-1.086588E-2</v>
      </c>
      <c r="O2185">
        <v>-8.4391869999999904E-3</v>
      </c>
      <c r="P2185">
        <v>-0.9822012</v>
      </c>
      <c r="Q2185">
        <v>0.1849798</v>
      </c>
      <c r="R2185">
        <v>3.2613259999999998E-2</v>
      </c>
      <c r="S2185">
        <v>-3.2596440000000002</v>
      </c>
      <c r="T2185">
        <v>-1.1448969999999901</v>
      </c>
      <c r="U2185">
        <v>0.27975460000000002</v>
      </c>
      <c r="V2185">
        <v>4.0978239999999999E-2</v>
      </c>
      <c r="W2185">
        <v>0.19562199999999999</v>
      </c>
      <c r="X2185">
        <v>0.97982290000000005</v>
      </c>
      <c r="Y2185">
        <v>8.8035210000000003E-2</v>
      </c>
      <c r="Z2185">
        <v>1.826355E-2</v>
      </c>
      <c r="AA2185">
        <v>0.99594990000000005</v>
      </c>
      <c r="AB2185">
        <v>28</v>
      </c>
      <c r="AC2185">
        <v>-0.66620000000000301</v>
      </c>
      <c r="AD2185">
        <v>-0.2999271</v>
      </c>
      <c r="AE2185">
        <v>7.4800000000038794E-2</v>
      </c>
      <c r="AF2185">
        <v>6.7007503074389102E-2</v>
      </c>
      <c r="AG2185">
        <v>-0.2999271</v>
      </c>
      <c r="AH2185">
        <v>0.55454599453442199</v>
      </c>
      <c r="AI2185">
        <v>118.23339471827499</v>
      </c>
      <c r="AJ2185">
        <v>83.110176589870804</v>
      </c>
      <c r="AK2185">
        <v>0.63400909365469305</v>
      </c>
      <c r="AL2185">
        <v>78.718939177931603</v>
      </c>
      <c r="AM2185">
        <v>87.605166447583599</v>
      </c>
      <c r="AN2185">
        <v>1.00000004920095</v>
      </c>
    </row>
    <row r="2186" spans="1:40" x14ac:dyDescent="0.25">
      <c r="A2186" t="str">
        <f>"20190303162256818"</f>
        <v>20190303162256818</v>
      </c>
      <c r="B2186" t="str">
        <f>"1551601376807265"</f>
        <v>1551601376807265</v>
      </c>
      <c r="C2186" t="s">
        <v>40</v>
      </c>
      <c r="D2186">
        <v>5.6654710000000001</v>
      </c>
      <c r="E2186">
        <v>0.52600579999999997</v>
      </c>
      <c r="F2186" t="s">
        <v>42</v>
      </c>
      <c r="G2186">
        <v>-348.41239999999999</v>
      </c>
      <c r="H2186">
        <v>0.87857249999999998</v>
      </c>
      <c r="I2186">
        <v>284.50119999999998</v>
      </c>
      <c r="J2186">
        <v>-347.95240000000001</v>
      </c>
      <c r="K2186">
        <v>1.1204750000000001</v>
      </c>
      <c r="L2186">
        <v>284.44049999999999</v>
      </c>
      <c r="M2186">
        <v>-0.9999074</v>
      </c>
      <c r="N2186">
        <v>-1.0809050000000001E-2</v>
      </c>
      <c r="O2186">
        <v>-8.2848829999999998E-3</v>
      </c>
      <c r="P2186">
        <v>-0.98201609999999995</v>
      </c>
      <c r="Q2186">
        <v>0.1859517</v>
      </c>
      <c r="R2186">
        <v>3.2651399999999997E-2</v>
      </c>
      <c r="S2186">
        <v>-3.260742</v>
      </c>
      <c r="T2186">
        <v>-1.144917</v>
      </c>
      <c r="U2186">
        <v>0.27825929999999999</v>
      </c>
      <c r="V2186">
        <v>4.0863219999999999E-2</v>
      </c>
      <c r="W2186">
        <v>0.19653609999999999</v>
      </c>
      <c r="X2186">
        <v>0.97964470000000003</v>
      </c>
      <c r="Y2186">
        <v>8.7448280000000003E-2</v>
      </c>
      <c r="Z2186">
        <v>1.810231E-2</v>
      </c>
      <c r="AA2186">
        <v>0.99600460000000002</v>
      </c>
      <c r="AB2186">
        <v>28</v>
      </c>
      <c r="AC2186">
        <v>-0.45999999999997898</v>
      </c>
      <c r="AD2186">
        <v>-0.24190249999999999</v>
      </c>
      <c r="AE2186">
        <v>6.0699999999996999E-2</v>
      </c>
      <c r="AF2186">
        <v>5.0722280976141301E-2</v>
      </c>
      <c r="AG2186">
        <v>-0.24190249999999999</v>
      </c>
      <c r="AH2186">
        <v>0.36128094192335403</v>
      </c>
      <c r="AI2186">
        <v>123.547005197564</v>
      </c>
      <c r="AJ2186">
        <v>82.008156220942695</v>
      </c>
      <c r="AK2186">
        <v>0.43773677968694602</v>
      </c>
      <c r="AL2186">
        <v>78.665527617115501</v>
      </c>
      <c r="AM2186">
        <v>87.611446703715202</v>
      </c>
      <c r="AN2186">
        <v>0.99999998979503402</v>
      </c>
    </row>
    <row r="2187" spans="1:40" x14ac:dyDescent="0.25">
      <c r="A2187" t="str">
        <f>"20190303162256840"</f>
        <v>20190303162256840</v>
      </c>
      <c r="B2187" t="str">
        <f>"1551601376826785"</f>
        <v>1551601376826785</v>
      </c>
      <c r="C2187" t="s">
        <v>40</v>
      </c>
      <c r="D2187">
        <v>5.6552930000000003</v>
      </c>
      <c r="E2187">
        <v>0.52597329999999998</v>
      </c>
      <c r="F2187" t="s">
        <v>42</v>
      </c>
      <c r="G2187">
        <v>-348.6626</v>
      </c>
      <c r="H2187">
        <v>0.87169739999999996</v>
      </c>
      <c r="I2187">
        <v>284.50099999999998</v>
      </c>
      <c r="J2187">
        <v>-348.22699999999998</v>
      </c>
      <c r="K2187">
        <v>1.120471</v>
      </c>
      <c r="L2187">
        <v>284.4384</v>
      </c>
      <c r="M2187">
        <v>-0.99990959999999995</v>
      </c>
      <c r="N2187">
        <v>-1.074058E-2</v>
      </c>
      <c r="O2187">
        <v>-8.1018010000000005E-3</v>
      </c>
      <c r="P2187">
        <v>-0.98179729999999998</v>
      </c>
      <c r="Q2187">
        <v>0.18708610000000001</v>
      </c>
      <c r="R2187">
        <v>3.2755779999999998E-2</v>
      </c>
      <c r="S2187">
        <v>-3.2620849999999999</v>
      </c>
      <c r="T2187">
        <v>-1.142636</v>
      </c>
      <c r="U2187">
        <v>0.27667239999999999</v>
      </c>
      <c r="V2187">
        <v>4.0786009999999998E-2</v>
      </c>
      <c r="W2187">
        <v>0.19760150000000001</v>
      </c>
      <c r="X2187">
        <v>0.97943360000000002</v>
      </c>
      <c r="Y2187">
        <v>8.6825949999999999E-2</v>
      </c>
      <c r="Z2187">
        <v>1.78905E-2</v>
      </c>
      <c r="AA2187">
        <v>0.99606280000000003</v>
      </c>
      <c r="AB2187">
        <v>28</v>
      </c>
      <c r="AC2187">
        <v>-0.43560000000002203</v>
      </c>
      <c r="AD2187">
        <v>-0.24877359999999901</v>
      </c>
      <c r="AE2187">
        <v>6.2599999999974898E-2</v>
      </c>
      <c r="AF2187">
        <v>5.0113068084449999E-2</v>
      </c>
      <c r="AG2187">
        <v>-0.24877359999999901</v>
      </c>
      <c r="AH2187">
        <v>0.329714366297858</v>
      </c>
      <c r="AI2187">
        <v>126.720939893306</v>
      </c>
      <c r="AJ2187">
        <v>81.3577945435961</v>
      </c>
      <c r="AK2187">
        <v>0.41606632523312298</v>
      </c>
      <c r="AL2187">
        <v>78.603263953409197</v>
      </c>
      <c r="AM2187">
        <v>87.6154413545203</v>
      </c>
      <c r="AN2187">
        <v>1.00000001411146</v>
      </c>
    </row>
    <row r="2188" spans="1:40" x14ac:dyDescent="0.25">
      <c r="A2188" t="str">
        <f>"20190303162256872"</f>
        <v>20190303162256872</v>
      </c>
      <c r="B2188" t="str">
        <f>"1551601376866801"</f>
        <v>1551601376866801</v>
      </c>
      <c r="C2188" t="s">
        <v>40</v>
      </c>
      <c r="D2188">
        <v>5.7938020000000003</v>
      </c>
      <c r="E2188">
        <v>0.52600170000000002</v>
      </c>
      <c r="F2188" t="s">
        <v>42</v>
      </c>
      <c r="G2188">
        <v>-348.91849999999999</v>
      </c>
      <c r="H2188">
        <v>0.87883999999999995</v>
      </c>
      <c r="I2188">
        <v>284.4973</v>
      </c>
      <c r="J2188">
        <v>-348.63959999999997</v>
      </c>
      <c r="K2188">
        <v>1.120463</v>
      </c>
      <c r="L2188">
        <v>284.43529999999998</v>
      </c>
      <c r="M2188">
        <v>-0.99991289999999999</v>
      </c>
      <c r="N2188">
        <v>-1.0627920000000001E-2</v>
      </c>
      <c r="O2188">
        <v>-7.8305449999999995E-3</v>
      </c>
      <c r="P2188">
        <v>-0.98169150000000005</v>
      </c>
      <c r="Q2188">
        <v>0.18755720000000001</v>
      </c>
      <c r="R2188">
        <v>3.3228559999999997E-2</v>
      </c>
      <c r="S2188">
        <v>-3.2637330000000002</v>
      </c>
      <c r="T2188">
        <v>-1.1404529999999999</v>
      </c>
      <c r="U2188">
        <v>0.2764587</v>
      </c>
      <c r="V2188">
        <v>4.099059E-2</v>
      </c>
      <c r="W2188">
        <v>0.19796140000000001</v>
      </c>
      <c r="X2188">
        <v>0.97935240000000001</v>
      </c>
      <c r="Y2188">
        <v>8.6511000000000005E-2</v>
      </c>
      <c r="Z2188">
        <v>1.7702260000000001E-2</v>
      </c>
      <c r="AA2188">
        <v>0.99609360000000002</v>
      </c>
      <c r="AB2188">
        <v>28</v>
      </c>
      <c r="AC2188">
        <v>-0.27890000000002102</v>
      </c>
      <c r="AD2188">
        <v>-0.241623</v>
      </c>
      <c r="AE2188">
        <v>6.2000000000011803E-2</v>
      </c>
      <c r="AF2188">
        <v>3.7419513104533397E-2</v>
      </c>
      <c r="AG2188">
        <v>-0.241623</v>
      </c>
      <c r="AH2188">
        <v>0.162316351484352</v>
      </c>
      <c r="AI2188">
        <v>145.417802805675</v>
      </c>
      <c r="AJ2188">
        <v>77.018154890207597</v>
      </c>
      <c r="AK2188">
        <v>0.29347656132845101</v>
      </c>
      <c r="AL2188">
        <v>78.582227883121405</v>
      </c>
      <c r="AM2188">
        <v>87.603296005264895</v>
      </c>
      <c r="AN2188">
        <v>1.00000003387213</v>
      </c>
    </row>
    <row r="2189" spans="1:40" x14ac:dyDescent="0.25">
      <c r="A2189" t="str">
        <f>"20190303162256894"</f>
        <v>20190303162256894</v>
      </c>
      <c r="B2189" t="str">
        <f>"1551601376886321"</f>
        <v>1551601376886321</v>
      </c>
      <c r="C2189" t="s">
        <v>40</v>
      </c>
      <c r="D2189">
        <v>5.689673</v>
      </c>
      <c r="E2189">
        <v>0.52602329999999997</v>
      </c>
      <c r="F2189" t="s">
        <v>42</v>
      </c>
      <c r="G2189">
        <v>-349.41430000000003</v>
      </c>
      <c r="H2189">
        <v>0.85004930000000001</v>
      </c>
      <c r="I2189">
        <v>284.50170000000003</v>
      </c>
      <c r="J2189">
        <v>-348.92340000000002</v>
      </c>
      <c r="K2189">
        <v>1.1204480000000001</v>
      </c>
      <c r="L2189">
        <v>284.43329999999997</v>
      </c>
      <c r="M2189">
        <v>-0.99991509999999995</v>
      </c>
      <c r="N2189">
        <v>-1.0545519999999999E-2</v>
      </c>
      <c r="O2189">
        <v>-7.6489660000000001E-3</v>
      </c>
      <c r="P2189">
        <v>-0.98168909999999998</v>
      </c>
      <c r="Q2189">
        <v>0.1874758</v>
      </c>
      <c r="R2189">
        <v>3.3750679999999998E-2</v>
      </c>
      <c r="S2189">
        <v>-3.26416</v>
      </c>
      <c r="T2189">
        <v>-1.1393139999999999</v>
      </c>
      <c r="U2189">
        <v>0.27844239999999998</v>
      </c>
      <c r="V2189">
        <v>4.1333019999999998E-2</v>
      </c>
      <c r="W2189">
        <v>0.19779920000000001</v>
      </c>
      <c r="X2189">
        <v>0.97937079999999999</v>
      </c>
      <c r="Y2189">
        <v>8.691923E-2</v>
      </c>
      <c r="Z2189">
        <v>1.7692010000000001E-2</v>
      </c>
      <c r="AA2189">
        <v>0.9960582</v>
      </c>
      <c r="AB2189">
        <v>28</v>
      </c>
      <c r="AC2189">
        <v>-0.49090000000001</v>
      </c>
      <c r="AD2189">
        <v>-0.27039869999999899</v>
      </c>
      <c r="AE2189">
        <v>6.8400000000053696E-2</v>
      </c>
      <c r="AF2189">
        <v>5.5603871598234302E-2</v>
      </c>
      <c r="AG2189">
        <v>-0.27039869999999899</v>
      </c>
      <c r="AH2189">
        <v>0.37789165818378201</v>
      </c>
      <c r="AI2189">
        <v>125.295555945329</v>
      </c>
      <c r="AJ2189">
        <v>81.629428787219595</v>
      </c>
      <c r="AK2189">
        <v>0.46798435104530001</v>
      </c>
      <c r="AL2189">
        <v>78.591708951595294</v>
      </c>
      <c r="AM2189">
        <v>87.583343245879206</v>
      </c>
      <c r="AN2189">
        <v>1.0000000529777899</v>
      </c>
    </row>
    <row r="2190" spans="1:40" x14ac:dyDescent="0.25">
      <c r="A2190" t="str">
        <f>"20190303162256916"</f>
        <v>20190303162256916</v>
      </c>
      <c r="B2190" t="str">
        <f>"1551601376906817"</f>
        <v>1551601376906817</v>
      </c>
      <c r="C2190" t="s">
        <v>40</v>
      </c>
      <c r="D2190">
        <v>5.676196</v>
      </c>
      <c r="E2190">
        <v>0.52604309999999999</v>
      </c>
      <c r="F2190" t="s">
        <v>42</v>
      </c>
      <c r="G2190">
        <v>-349.67189999999999</v>
      </c>
      <c r="H2190">
        <v>0.8591818</v>
      </c>
      <c r="I2190">
        <v>284.49779999999998</v>
      </c>
      <c r="J2190">
        <v>-349.2063</v>
      </c>
      <c r="K2190">
        <v>1.120439</v>
      </c>
      <c r="L2190">
        <v>284.4314</v>
      </c>
      <c r="M2190">
        <v>-0.99991739999999996</v>
      </c>
      <c r="N2190">
        <v>-1.0464950000000001E-2</v>
      </c>
      <c r="O2190">
        <v>-7.471213E-3</v>
      </c>
      <c r="P2190">
        <v>-0.9818017</v>
      </c>
      <c r="Q2190">
        <v>0.18676870000000001</v>
      </c>
      <c r="R2190">
        <v>3.4396320000000001E-2</v>
      </c>
      <c r="S2190">
        <v>-3.2638850000000001</v>
      </c>
      <c r="T2190">
        <v>-1.139211</v>
      </c>
      <c r="U2190">
        <v>0.27987669999999998</v>
      </c>
      <c r="V2190">
        <v>4.1803630000000001E-2</v>
      </c>
      <c r="W2190">
        <v>0.1970143</v>
      </c>
      <c r="X2190">
        <v>0.97950890000000002</v>
      </c>
      <c r="Y2190">
        <v>8.7179320000000005E-2</v>
      </c>
      <c r="Z2190">
        <v>1.7675659999999999E-2</v>
      </c>
      <c r="AA2190">
        <v>0.99603580000000003</v>
      </c>
      <c r="AB2190">
        <v>28</v>
      </c>
      <c r="AC2190">
        <v>-0.46559999999999402</v>
      </c>
      <c r="AD2190">
        <v>-0.26125719999999902</v>
      </c>
      <c r="AE2190">
        <v>6.6399999999987303E-2</v>
      </c>
      <c r="AF2190">
        <v>5.3399090816432598E-2</v>
      </c>
      <c r="AG2190">
        <v>-0.26125719999999902</v>
      </c>
      <c r="AH2190">
        <v>0.35541672034911598</v>
      </c>
      <c r="AI2190">
        <v>126.013939802179</v>
      </c>
      <c r="AJ2190">
        <v>81.455584241481404</v>
      </c>
      <c r="AK2190">
        <v>0.44432851872863599</v>
      </c>
      <c r="AL2190">
        <v>78.637581736872306</v>
      </c>
      <c r="AM2190">
        <v>87.556205006104193</v>
      </c>
      <c r="AN2190">
        <v>0.99999993153243605</v>
      </c>
    </row>
    <row r="2191" spans="1:40" x14ac:dyDescent="0.25">
      <c r="A2191" t="str">
        <f>"20190303162256940"</f>
        <v>20190303162256940</v>
      </c>
      <c r="B2191" t="str">
        <f>"1551601376937072"</f>
        <v>1551601376937072</v>
      </c>
      <c r="C2191" t="s">
        <v>40</v>
      </c>
      <c r="D2191">
        <v>5.6527260000000004</v>
      </c>
      <c r="E2191">
        <v>0.52604010000000001</v>
      </c>
      <c r="F2191" t="s">
        <v>42</v>
      </c>
      <c r="G2191">
        <v>-349.92950000000002</v>
      </c>
      <c r="H2191">
        <v>0.86728969999999905</v>
      </c>
      <c r="I2191">
        <v>284.49400000000003</v>
      </c>
      <c r="J2191">
        <v>-349.49759999999998</v>
      </c>
      <c r="K2191">
        <v>1.1204320000000001</v>
      </c>
      <c r="L2191">
        <v>284.42939999999999</v>
      </c>
      <c r="M2191">
        <v>-0.99991949999999996</v>
      </c>
      <c r="N2191">
        <v>-1.0387739999999999E-2</v>
      </c>
      <c r="O2191">
        <v>-7.2906139999999999E-3</v>
      </c>
      <c r="P2191">
        <v>-0.98188560000000003</v>
      </c>
      <c r="Q2191">
        <v>0.1862518</v>
      </c>
      <c r="R2191">
        <v>3.4801510000000001E-2</v>
      </c>
      <c r="S2191">
        <v>-3.2629999999999999</v>
      </c>
      <c r="T2191">
        <v>-1.142096</v>
      </c>
      <c r="U2191">
        <v>0.28176879999999999</v>
      </c>
      <c r="V2191">
        <v>4.2030980000000003E-2</v>
      </c>
      <c r="W2191">
        <v>0.1964234</v>
      </c>
      <c r="X2191">
        <v>0.97961790000000004</v>
      </c>
      <c r="Y2191">
        <v>8.7553640000000002E-2</v>
      </c>
      <c r="Z2191">
        <v>1.7724219999999999E-2</v>
      </c>
      <c r="AA2191">
        <v>0.9960021</v>
      </c>
      <c r="AB2191">
        <v>28</v>
      </c>
      <c r="AC2191">
        <v>-0.43190000000004097</v>
      </c>
      <c r="AD2191">
        <v>-0.25314229999999899</v>
      </c>
      <c r="AE2191">
        <v>6.4600000000041194E-2</v>
      </c>
      <c r="AF2191">
        <v>5.0708594725166603E-2</v>
      </c>
      <c r="AG2191">
        <v>-0.25314229999999899</v>
      </c>
      <c r="AH2191">
        <v>0.32291451126326598</v>
      </c>
      <c r="AI2191">
        <v>127.75560461329199</v>
      </c>
      <c r="AJ2191">
        <v>81.075490280610197</v>
      </c>
      <c r="AK2191">
        <v>0.41343217970144103</v>
      </c>
      <c r="AL2191">
        <v>78.672113251904193</v>
      </c>
      <c r="AM2191">
        <v>87.543203673542607</v>
      </c>
      <c r="AN2191">
        <v>0.99999999267386497</v>
      </c>
    </row>
    <row r="2192" spans="1:40" x14ac:dyDescent="0.25">
      <c r="A2192" t="str">
        <f>"20190303162256961"</f>
        <v>20190303162256961</v>
      </c>
      <c r="B2192" t="str">
        <f>"1551601376956593"</f>
        <v>1551601376956593</v>
      </c>
      <c r="C2192" t="s">
        <v>40</v>
      </c>
      <c r="D2192">
        <v>5.6969890000000003</v>
      </c>
      <c r="E2192">
        <v>0.52601369999999903</v>
      </c>
      <c r="F2192" t="s">
        <v>42</v>
      </c>
      <c r="G2192">
        <v>-350.1884</v>
      </c>
      <c r="H2192">
        <v>0.87790079999999904</v>
      </c>
      <c r="I2192">
        <v>284.4896</v>
      </c>
      <c r="J2192">
        <v>-349.77420000000001</v>
      </c>
      <c r="K2192">
        <v>1.1204209999999999</v>
      </c>
      <c r="L2192">
        <v>284.42759999999998</v>
      </c>
      <c r="M2192">
        <v>-0.99992150000000002</v>
      </c>
      <c r="N2192">
        <v>-1.0321459999999999E-2</v>
      </c>
      <c r="O2192">
        <v>-7.1218590000000003E-3</v>
      </c>
      <c r="P2192">
        <v>-0.98184070000000001</v>
      </c>
      <c r="Q2192">
        <v>0.1864111</v>
      </c>
      <c r="R2192">
        <v>3.5214330000000002E-2</v>
      </c>
      <c r="S2192">
        <v>-3.2626339999999998</v>
      </c>
      <c r="T2192">
        <v>-1.1455229999999901</v>
      </c>
      <c r="U2192">
        <v>0.28240969999999999</v>
      </c>
      <c r="V2192">
        <v>4.2277290000000002E-2</v>
      </c>
      <c r="W2192">
        <v>0.19651740000000001</v>
      </c>
      <c r="X2192">
        <v>0.97958840000000003</v>
      </c>
      <c r="Y2192">
        <v>8.7564740000000002E-2</v>
      </c>
      <c r="Z2192">
        <v>1.7718769999999998E-2</v>
      </c>
      <c r="AA2192">
        <v>0.99600120000000003</v>
      </c>
      <c r="AB2192">
        <v>28</v>
      </c>
      <c r="AC2192">
        <v>-0.41419999999999302</v>
      </c>
      <c r="AD2192">
        <v>-0.24252019999999999</v>
      </c>
      <c r="AE2192">
        <v>6.2000000000011803E-2</v>
      </c>
      <c r="AF2192">
        <v>4.86390735525754E-2</v>
      </c>
      <c r="AG2192">
        <v>-0.24252019999999999</v>
      </c>
      <c r="AH2192">
        <v>0.30985054698043601</v>
      </c>
      <c r="AI2192">
        <v>127.71233494428</v>
      </c>
      <c r="AJ2192">
        <v>81.078744634807904</v>
      </c>
      <c r="AK2192">
        <v>0.39647089218272702</v>
      </c>
      <c r="AL2192">
        <v>78.666619850632102</v>
      </c>
      <c r="AM2192">
        <v>87.528749822461407</v>
      </c>
      <c r="AN2192">
        <v>0.99999994558353</v>
      </c>
    </row>
    <row r="2193" spans="1:40" x14ac:dyDescent="0.25">
      <c r="A2193" t="str">
        <f>"20190303162256983"</f>
        <v>20190303162256983</v>
      </c>
      <c r="B2193" t="str">
        <f>"1551601376977089"</f>
        <v>1551601376977089</v>
      </c>
      <c r="C2193" t="s">
        <v>40</v>
      </c>
      <c r="D2193">
        <v>5.664021</v>
      </c>
      <c r="E2193">
        <v>0.52598659999999997</v>
      </c>
      <c r="F2193" t="s">
        <v>42</v>
      </c>
      <c r="G2193">
        <v>-350.44600000000003</v>
      </c>
      <c r="H2193">
        <v>0.88444069999999997</v>
      </c>
      <c r="I2193">
        <v>284.48590000000002</v>
      </c>
      <c r="J2193">
        <v>-350.06240000000003</v>
      </c>
      <c r="K2193">
        <v>1.1204160000000001</v>
      </c>
      <c r="L2193">
        <v>284.42570000000001</v>
      </c>
      <c r="M2193">
        <v>-0.99992329999999996</v>
      </c>
      <c r="N2193">
        <v>-1.026034E-2</v>
      </c>
      <c r="O2193">
        <v>-6.9477540000000004E-3</v>
      </c>
      <c r="P2193">
        <v>-0.98190480000000002</v>
      </c>
      <c r="Q2193">
        <v>0.18598690000000001</v>
      </c>
      <c r="R2193">
        <v>3.5669949999999999E-2</v>
      </c>
      <c r="S2193">
        <v>-3.2629090000000001</v>
      </c>
      <c r="T2193">
        <v>-1.1462019999999999</v>
      </c>
      <c r="U2193">
        <v>0.28375240000000002</v>
      </c>
      <c r="V2193">
        <v>4.2562540000000003E-2</v>
      </c>
      <c r="W2193">
        <v>0.19603390000000001</v>
      </c>
      <c r="X2193">
        <v>0.97967300000000002</v>
      </c>
      <c r="Y2193">
        <v>8.7782799999999994E-2</v>
      </c>
      <c r="Z2193">
        <v>1.7705209999999999E-2</v>
      </c>
      <c r="AA2193">
        <v>0.99598229999999999</v>
      </c>
      <c r="AB2193">
        <v>28</v>
      </c>
      <c r="AC2193">
        <v>-0.38359999999994399</v>
      </c>
      <c r="AD2193">
        <v>-0.2359753</v>
      </c>
      <c r="AE2193">
        <v>6.0200000000008899E-2</v>
      </c>
      <c r="AF2193">
        <v>4.5908614632548403E-2</v>
      </c>
      <c r="AG2193">
        <v>-0.2359753</v>
      </c>
      <c r="AH2193">
        <v>0.279825659149947</v>
      </c>
      <c r="AI2193">
        <v>129.766176674539</v>
      </c>
      <c r="AJ2193">
        <v>80.682970272419695</v>
      </c>
      <c r="AK2193">
        <v>0.36890966729847602</v>
      </c>
      <c r="AL2193">
        <v>78.694872789999295</v>
      </c>
      <c r="AM2193">
        <v>87.512311452585706</v>
      </c>
      <c r="AN2193">
        <v>1.0000000233447299</v>
      </c>
    </row>
    <row r="2194" spans="1:40" x14ac:dyDescent="0.25">
      <c r="A2194" t="str">
        <f>"20190303162257007"</f>
        <v>20190303162257007</v>
      </c>
      <c r="B2194" t="str">
        <f>"1551601376996609"</f>
        <v>1551601376996609</v>
      </c>
      <c r="C2194" t="s">
        <v>40</v>
      </c>
      <c r="D2194">
        <v>5.6834910000000001</v>
      </c>
      <c r="E2194">
        <v>0.52595669999999894</v>
      </c>
      <c r="F2194" t="s">
        <v>42</v>
      </c>
      <c r="G2194">
        <v>-350.92989999999998</v>
      </c>
      <c r="H2194">
        <v>0.81499790000000005</v>
      </c>
      <c r="I2194">
        <v>284.50150000000002</v>
      </c>
      <c r="J2194">
        <v>-350.35449999999997</v>
      </c>
      <c r="K2194">
        <v>1.1204019999999999</v>
      </c>
      <c r="L2194">
        <v>284.4239</v>
      </c>
      <c r="M2194">
        <v>-0.99992510000000001</v>
      </c>
      <c r="N2194">
        <v>-1.0206450000000001E-2</v>
      </c>
      <c r="O2194">
        <v>-6.7728429999999997E-3</v>
      </c>
      <c r="P2194">
        <v>-0.9820181</v>
      </c>
      <c r="Q2194">
        <v>0.18520049999999999</v>
      </c>
      <c r="R2194">
        <v>3.6629160000000001E-2</v>
      </c>
      <c r="S2194">
        <v>-3.2625120000000001</v>
      </c>
      <c r="T2194">
        <v>-1.148647</v>
      </c>
      <c r="U2194">
        <v>0.28482059999999998</v>
      </c>
      <c r="V2194">
        <v>4.3350680000000003E-2</v>
      </c>
      <c r="W2194">
        <v>0.19519549999999999</v>
      </c>
      <c r="X2194">
        <v>0.97980579999999995</v>
      </c>
      <c r="Y2194">
        <v>8.7919999999999998E-2</v>
      </c>
      <c r="Z2194">
        <v>1.7705990000000001E-2</v>
      </c>
      <c r="AA2194">
        <v>0.99597020000000003</v>
      </c>
      <c r="AB2194">
        <v>29</v>
      </c>
      <c r="AC2194">
        <v>-0.57540000000000102</v>
      </c>
      <c r="AD2194">
        <v>-0.30540410000000001</v>
      </c>
      <c r="AE2194">
        <v>7.7600000000018099E-2</v>
      </c>
      <c r="AF2194">
        <v>6.38338047399791E-2</v>
      </c>
      <c r="AG2194">
        <v>-0.30540410000000001</v>
      </c>
      <c r="AH2194">
        <v>0.45027725840472999</v>
      </c>
      <c r="AI2194">
        <v>123.883070056094</v>
      </c>
      <c r="AJ2194">
        <v>81.9311995879074</v>
      </c>
      <c r="AK2194">
        <v>0.54781021199031299</v>
      </c>
      <c r="AL2194">
        <v>78.743855449751294</v>
      </c>
      <c r="AM2194">
        <v>87.466648819816498</v>
      </c>
      <c r="AN2194">
        <v>0.99999998519517597</v>
      </c>
    </row>
    <row r="2195" spans="1:40" x14ac:dyDescent="0.25">
      <c r="A2195" t="str">
        <f>"20190303162257029"</f>
        <v>20190303162257029</v>
      </c>
      <c r="B2195" t="str">
        <f>"1551601377017105"</f>
        <v>1551601377017105</v>
      </c>
      <c r="C2195" t="s">
        <v>40</v>
      </c>
      <c r="D2195">
        <v>5.6814619999999998</v>
      </c>
      <c r="E2195">
        <v>0.52594540000000001</v>
      </c>
      <c r="F2195" t="s">
        <v>42</v>
      </c>
      <c r="G2195">
        <v>-351.18990000000002</v>
      </c>
      <c r="H2195">
        <v>0.82525360000000003</v>
      </c>
      <c r="I2195">
        <v>284.49770000000001</v>
      </c>
      <c r="J2195">
        <v>-350.6447</v>
      </c>
      <c r="K2195">
        <v>1.1203920000000001</v>
      </c>
      <c r="L2195">
        <v>284.4221</v>
      </c>
      <c r="M2195">
        <v>-0.99992669999999995</v>
      </c>
      <c r="N2195">
        <v>-1.0160509999999999E-2</v>
      </c>
      <c r="O2195">
        <v>-6.5983329999999996E-3</v>
      </c>
      <c r="P2195">
        <v>-0.9820759</v>
      </c>
      <c r="Q2195">
        <v>0.1847906</v>
      </c>
      <c r="R2195">
        <v>3.7144480000000001E-2</v>
      </c>
      <c r="S2195">
        <v>-3.261536</v>
      </c>
      <c r="T2195">
        <v>-1.1522559999999999</v>
      </c>
      <c r="U2195">
        <v>0.28775020000000001</v>
      </c>
      <c r="V2195">
        <v>4.3695169999999998E-2</v>
      </c>
      <c r="W2195">
        <v>0.19474089999999999</v>
      </c>
      <c r="X2195">
        <v>0.979881</v>
      </c>
      <c r="Y2195">
        <v>8.8590970000000005E-2</v>
      </c>
      <c r="Z2195">
        <v>1.782021E-2</v>
      </c>
      <c r="AA2195">
        <v>0.99590869999999998</v>
      </c>
      <c r="AB2195">
        <v>29</v>
      </c>
      <c r="AC2195">
        <v>-0.545200000000022</v>
      </c>
      <c r="AD2195">
        <v>-0.29513840000000002</v>
      </c>
      <c r="AE2195">
        <v>7.5600000000008494E-2</v>
      </c>
      <c r="AF2195">
        <v>6.1510450465111798E-2</v>
      </c>
      <c r="AG2195">
        <v>-0.29513840000000002</v>
      </c>
      <c r="AH2195">
        <v>0.42305297346856902</v>
      </c>
      <c r="AI2195">
        <v>124.62042820283899</v>
      </c>
      <c r="AJ2195">
        <v>81.727360233232403</v>
      </c>
      <c r="AK2195">
        <v>0.51948438766875304</v>
      </c>
      <c r="AL2195">
        <v>78.770412249216704</v>
      </c>
      <c r="AM2195">
        <v>87.446739565161494</v>
      </c>
      <c r="AN2195">
        <v>1.00000003008756</v>
      </c>
    </row>
    <row r="2196" spans="1:40" x14ac:dyDescent="0.25">
      <c r="A2196" t="str">
        <f>"20190303162257051"</f>
        <v>20190303162257051</v>
      </c>
      <c r="B2196" t="str">
        <f>"1551601377046386"</f>
        <v>1551601377046386</v>
      </c>
      <c r="C2196" t="s">
        <v>40</v>
      </c>
      <c r="D2196">
        <v>5.6607229999999999</v>
      </c>
      <c r="E2196">
        <v>0.52593919999999905</v>
      </c>
      <c r="F2196" t="s">
        <v>42</v>
      </c>
      <c r="G2196">
        <v>-351.4502</v>
      </c>
      <c r="H2196">
        <v>0.83523700000000001</v>
      </c>
      <c r="I2196">
        <v>284.49369999999999</v>
      </c>
      <c r="J2196">
        <v>-350.92649999999998</v>
      </c>
      <c r="K2196">
        <v>1.120384</v>
      </c>
      <c r="L2196">
        <v>284.42039999999997</v>
      </c>
      <c r="M2196">
        <v>-0.99992820000000004</v>
      </c>
      <c r="N2196">
        <v>-1.012244E-2</v>
      </c>
      <c r="O2196">
        <v>-6.4292280000000004E-3</v>
      </c>
      <c r="P2196">
        <v>-0.98208459999999997</v>
      </c>
      <c r="Q2196">
        <v>0.18464069999999999</v>
      </c>
      <c r="R2196">
        <v>3.7657749999999997E-2</v>
      </c>
      <c r="S2196">
        <v>-3.2610779999999999</v>
      </c>
      <c r="T2196">
        <v>-1.1544540000000001</v>
      </c>
      <c r="U2196">
        <v>0.28933720000000002</v>
      </c>
      <c r="V2196">
        <v>4.404243E-2</v>
      </c>
      <c r="W2196">
        <v>0.19455330000000001</v>
      </c>
      <c r="X2196">
        <v>0.97990270000000002</v>
      </c>
      <c r="Y2196">
        <v>8.8884820000000003E-2</v>
      </c>
      <c r="Z2196">
        <v>1.7847660000000001E-2</v>
      </c>
      <c r="AA2196">
        <v>0.99588200000000004</v>
      </c>
      <c r="AB2196">
        <v>29</v>
      </c>
      <c r="AC2196">
        <v>-0.52370000000001904</v>
      </c>
      <c r="AD2196">
        <v>-0.28514699999999898</v>
      </c>
      <c r="AE2196">
        <v>7.3300000000017407E-2</v>
      </c>
      <c r="AF2196">
        <v>5.9395366684534601E-2</v>
      </c>
      <c r="AG2196">
        <v>-0.28514699999999898</v>
      </c>
      <c r="AH2196">
        <v>0.40535390855986603</v>
      </c>
      <c r="AI2196">
        <v>124.83868064165399</v>
      </c>
      <c r="AJ2196">
        <v>81.663932057365102</v>
      </c>
      <c r="AK2196">
        <v>0.49914768593809</v>
      </c>
      <c r="AL2196">
        <v>78.781370324960406</v>
      </c>
      <c r="AM2196">
        <v>87.426532046117401</v>
      </c>
      <c r="AN2196">
        <v>1.00000001182424</v>
      </c>
    </row>
    <row r="2197" spans="1:40" x14ac:dyDescent="0.25">
      <c r="A2197" t="str">
        <f>"20190303162257072"</f>
        <v>20190303162257072</v>
      </c>
      <c r="B2197" t="str">
        <f>"1551601377066881"</f>
        <v>1551601377066881</v>
      </c>
      <c r="C2197" t="s">
        <v>40</v>
      </c>
      <c r="D2197">
        <v>5.7154790000000002</v>
      </c>
      <c r="E2197">
        <v>0.5259258</v>
      </c>
      <c r="F2197" t="s">
        <v>42</v>
      </c>
      <c r="G2197">
        <v>-351.70979999999997</v>
      </c>
      <c r="H2197">
        <v>0.84275100000000003</v>
      </c>
      <c r="I2197">
        <v>284.4907</v>
      </c>
      <c r="J2197">
        <v>-351.20639999999997</v>
      </c>
      <c r="K2197">
        <v>1.120379</v>
      </c>
      <c r="L2197">
        <v>284.41879999999998</v>
      </c>
      <c r="M2197">
        <v>-0.99992959999999997</v>
      </c>
      <c r="N2197">
        <v>-1.0090450000000001E-2</v>
      </c>
      <c r="O2197">
        <v>-6.2603900000000002E-3</v>
      </c>
      <c r="P2197">
        <v>-0.9821126</v>
      </c>
      <c r="Q2197">
        <v>0.1845357</v>
      </c>
      <c r="R2197">
        <v>3.7440069999999999E-2</v>
      </c>
      <c r="S2197">
        <v>-3.2608030000000001</v>
      </c>
      <c r="T2197">
        <v>-1.1555500000000001</v>
      </c>
      <c r="U2197">
        <v>0.29159550000000001</v>
      </c>
      <c r="V2197">
        <v>4.365952E-2</v>
      </c>
      <c r="W2197">
        <v>0.1944177</v>
      </c>
      <c r="X2197">
        <v>0.97994669999999895</v>
      </c>
      <c r="Y2197">
        <v>8.9376540000000004E-2</v>
      </c>
      <c r="Z2197">
        <v>1.7893590000000001E-2</v>
      </c>
      <c r="AA2197">
        <v>0.99583719999999998</v>
      </c>
      <c r="AB2197">
        <v>29</v>
      </c>
      <c r="AC2197">
        <v>-0.50339999999999896</v>
      </c>
      <c r="AD2197">
        <v>-0.27762799999999999</v>
      </c>
      <c r="AE2197">
        <v>7.1900000000027803E-2</v>
      </c>
      <c r="AF2197">
        <v>5.7816435414240301E-2</v>
      </c>
      <c r="AG2197">
        <v>-0.27762799999999999</v>
      </c>
      <c r="AH2197">
        <v>0.38744980391789702</v>
      </c>
      <c r="AI2197">
        <v>125.325393799048</v>
      </c>
      <c r="AJ2197">
        <v>81.512776606540797</v>
      </c>
      <c r="AK2197">
        <v>0.48014310069397698</v>
      </c>
      <c r="AL2197">
        <v>78.789290343987005</v>
      </c>
      <c r="AM2197">
        <v>87.448990781510105</v>
      </c>
      <c r="AN2197">
        <v>0.99999996530040403</v>
      </c>
    </row>
    <row r="2198" spans="1:40" x14ac:dyDescent="0.25">
      <c r="A2198" t="str">
        <f>"20190303162257095"</f>
        <v>20190303162257095</v>
      </c>
      <c r="B2198" t="str">
        <f>"1551601377086401"</f>
        <v>1551601377086401</v>
      </c>
      <c r="C2198" t="s">
        <v>40</v>
      </c>
      <c r="D2198">
        <v>5.7471110000000003</v>
      </c>
      <c r="E2198">
        <v>0.52589189999999997</v>
      </c>
      <c r="F2198" t="s">
        <v>42</v>
      </c>
      <c r="G2198">
        <v>-351.96960000000001</v>
      </c>
      <c r="H2198">
        <v>0.84975330000000004</v>
      </c>
      <c r="I2198">
        <v>284.48739999999998</v>
      </c>
      <c r="J2198">
        <v>-351.48770000000002</v>
      </c>
      <c r="K2198">
        <v>1.120377</v>
      </c>
      <c r="L2198">
        <v>284.41719999999998</v>
      </c>
      <c r="M2198">
        <v>-0.99993089999999996</v>
      </c>
      <c r="N2198">
        <v>-1.00634E-2</v>
      </c>
      <c r="O2198">
        <v>-6.0909789999999998E-3</v>
      </c>
      <c r="P2198">
        <v>-0.98220600000000002</v>
      </c>
      <c r="Q2198">
        <v>0.18410599999999999</v>
      </c>
      <c r="R2198">
        <v>3.7102040000000003E-2</v>
      </c>
      <c r="S2198">
        <v>-3.2607729999999999</v>
      </c>
      <c r="T2198">
        <v>-1.156296</v>
      </c>
      <c r="U2198">
        <v>0.29211429999999999</v>
      </c>
      <c r="V2198">
        <v>4.3155810000000003E-2</v>
      </c>
      <c r="W2198">
        <v>0.193963</v>
      </c>
      <c r="X2198">
        <v>0.98005909999999996</v>
      </c>
      <c r="Y2198">
        <v>8.936906E-2</v>
      </c>
      <c r="Z2198">
        <v>1.7845349999999999E-2</v>
      </c>
      <c r="AA2198">
        <v>0.99583869999999997</v>
      </c>
      <c r="AB2198">
        <v>29</v>
      </c>
      <c r="AC2198">
        <v>-0.481899999999996</v>
      </c>
      <c r="AD2198">
        <v>-0.27062369999999902</v>
      </c>
      <c r="AE2198">
        <v>7.0199999999999804E-2</v>
      </c>
      <c r="AF2198">
        <v>5.5878101233045999E-2</v>
      </c>
      <c r="AG2198">
        <v>-0.27062369999999902</v>
      </c>
      <c r="AH2198">
        <v>0.36786215453945098</v>
      </c>
      <c r="AI2198">
        <v>126.029256210781</v>
      </c>
      <c r="AJ2198">
        <v>81.362822059138495</v>
      </c>
      <c r="AK2198">
        <v>0.46008924562687598</v>
      </c>
      <c r="AL2198">
        <v>78.815848173367797</v>
      </c>
      <c r="AM2198">
        <v>87.478672978254806</v>
      </c>
      <c r="AN2198">
        <v>0.99999995439928202</v>
      </c>
    </row>
    <row r="2199" spans="1:40" x14ac:dyDescent="0.25">
      <c r="A2199" t="str">
        <f>"20190303162257118"</f>
        <v>20190303162257118</v>
      </c>
      <c r="B2199" t="str">
        <f>"1551601377106897"</f>
        <v>1551601377106897</v>
      </c>
      <c r="C2199" t="s">
        <v>40</v>
      </c>
      <c r="D2199">
        <v>5.6618760000000004</v>
      </c>
      <c r="E2199">
        <v>0.52558190000000005</v>
      </c>
      <c r="F2199" t="s">
        <v>42</v>
      </c>
      <c r="G2199">
        <v>-352.22969999999998</v>
      </c>
      <c r="H2199">
        <v>0.85695460000000001</v>
      </c>
      <c r="I2199">
        <v>284.48379999999997</v>
      </c>
      <c r="J2199">
        <v>-351.78820000000002</v>
      </c>
      <c r="K2199">
        <v>1.120366</v>
      </c>
      <c r="L2199">
        <v>284.41559999999998</v>
      </c>
      <c r="M2199">
        <v>-0.99993220000000005</v>
      </c>
      <c r="N2199">
        <v>-1.00394E-2</v>
      </c>
      <c r="O2199">
        <v>-5.9094280000000004E-3</v>
      </c>
      <c r="P2199">
        <v>-0.98222909999999997</v>
      </c>
      <c r="Q2199">
        <v>0.1839654</v>
      </c>
      <c r="R2199">
        <v>3.7192169999999997E-2</v>
      </c>
      <c r="S2199">
        <v>-3.2603149999999999</v>
      </c>
      <c r="T2199">
        <v>-1.1574610000000001</v>
      </c>
      <c r="U2199">
        <v>0.29074100000000003</v>
      </c>
      <c r="V2199">
        <v>4.306799E-2</v>
      </c>
      <c r="W2199">
        <v>0.19379879999999999</v>
      </c>
      <c r="X2199">
        <v>0.98009550000000001</v>
      </c>
      <c r="Y2199">
        <v>8.8816610000000004E-2</v>
      </c>
      <c r="Z2199">
        <v>1.770505E-2</v>
      </c>
      <c r="AA2199">
        <v>0.99589059999999996</v>
      </c>
      <c r="AB2199">
        <v>29</v>
      </c>
      <c r="AC2199">
        <v>-0.44149999999996198</v>
      </c>
      <c r="AD2199">
        <v>-0.26341140000000002</v>
      </c>
      <c r="AE2199">
        <v>6.8199999999990199E-2</v>
      </c>
      <c r="AF2199">
        <v>5.2541046579209799E-2</v>
      </c>
      <c r="AG2199">
        <v>-0.26341140000000002</v>
      </c>
      <c r="AH2199">
        <v>0.32729784915059001</v>
      </c>
      <c r="AI2199">
        <v>128.47180401160099</v>
      </c>
      <c r="AJ2199">
        <v>80.880129916835699</v>
      </c>
      <c r="AK2199">
        <v>0.42340289238998002</v>
      </c>
      <c r="AL2199">
        <v>78.825438714482203</v>
      </c>
      <c r="AM2199">
        <v>87.4838904863294</v>
      </c>
      <c r="AN2199">
        <v>1.00000000788216</v>
      </c>
    </row>
    <row r="2200" spans="1:40" x14ac:dyDescent="0.25">
      <c r="A2200" t="str">
        <f>"20190303162257140"</f>
        <v>20190303162257140</v>
      </c>
      <c r="B2200" t="str">
        <f>"1551601377137229"</f>
        <v>1551601377137229</v>
      </c>
      <c r="C2200" t="s">
        <v>40</v>
      </c>
      <c r="D2200">
        <v>5.0906200000000004</v>
      </c>
      <c r="E2200">
        <v>0.46951500000000002</v>
      </c>
      <c r="F2200" t="s">
        <v>42</v>
      </c>
      <c r="G2200">
        <v>-352.49310000000003</v>
      </c>
      <c r="H2200">
        <v>0.87150859999999997</v>
      </c>
      <c r="I2200">
        <v>284.47809999999998</v>
      </c>
      <c r="J2200">
        <v>-352.0727</v>
      </c>
      <c r="K2200">
        <v>1.1203609999999999</v>
      </c>
      <c r="L2200">
        <v>284.41410000000002</v>
      </c>
      <c r="M2200">
        <v>-0.99993350000000003</v>
      </c>
      <c r="N2200">
        <v>-1.002105E-2</v>
      </c>
      <c r="O2200">
        <v>-5.7377979999999997E-3</v>
      </c>
      <c r="P2200">
        <v>-0.98220499999999999</v>
      </c>
      <c r="Q2200">
        <v>0.1841525</v>
      </c>
      <c r="R2200">
        <v>3.6896770000000002E-2</v>
      </c>
      <c r="S2200">
        <v>-3.2588499999999998</v>
      </c>
      <c r="T2200">
        <v>-1.150528</v>
      </c>
      <c r="U2200">
        <v>0.28836060000000002</v>
      </c>
      <c r="V2200">
        <v>4.26039E-2</v>
      </c>
      <c r="W2200">
        <v>0.1939681</v>
      </c>
      <c r="X2200">
        <v>0.98008229999999996</v>
      </c>
      <c r="Y2200">
        <v>8.8081259999999995E-2</v>
      </c>
      <c r="Z2200">
        <v>1.7427560000000002E-2</v>
      </c>
      <c r="AA2200">
        <v>0.99596079999999998</v>
      </c>
      <c r="AB2200">
        <v>29</v>
      </c>
      <c r="AC2200">
        <v>-0.42040000000002897</v>
      </c>
      <c r="AD2200">
        <v>-0.2488524</v>
      </c>
      <c r="AE2200">
        <v>6.3999999999964502E-2</v>
      </c>
      <c r="AF2200">
        <v>4.94698610929592E-2</v>
      </c>
      <c r="AG2200">
        <v>-0.2488524</v>
      </c>
      <c r="AH2200">
        <v>0.31287807399786399</v>
      </c>
      <c r="AI2200">
        <v>128.153395919536</v>
      </c>
      <c r="AJ2200">
        <v>81.015213486507704</v>
      </c>
      <c r="AK2200">
        <v>0.40282437032896801</v>
      </c>
      <c r="AL2200">
        <v>78.815550999466694</v>
      </c>
      <c r="AM2200">
        <v>87.510935694914906</v>
      </c>
      <c r="AN2200">
        <v>1.0000000154430499</v>
      </c>
    </row>
    <row r="2201" spans="1:40" x14ac:dyDescent="0.25">
      <c r="A2201" t="str">
        <f>"20190303162257161"</f>
        <v>20190303162257161</v>
      </c>
      <c r="B2201" t="str">
        <f>"1551601377156750"</f>
        <v>1551601377156750</v>
      </c>
      <c r="C2201" t="s">
        <v>40</v>
      </c>
      <c r="D2201">
        <v>5.860652</v>
      </c>
      <c r="E2201">
        <v>0.46742450000000002</v>
      </c>
      <c r="F2201" t="s">
        <v>47</v>
      </c>
      <c r="G2201">
        <v>-365.77910000000003</v>
      </c>
      <c r="H2201" s="1">
        <v>1.5385420000000001E-6</v>
      </c>
      <c r="I2201">
        <v>283.77440000000001</v>
      </c>
      <c r="J2201">
        <v>-352.35109999999997</v>
      </c>
      <c r="K2201">
        <v>1.1203559999999999</v>
      </c>
      <c r="L2201">
        <v>284.41269999999997</v>
      </c>
      <c r="M2201">
        <v>-0.9999344</v>
      </c>
      <c r="N2201">
        <v>-1.000668E-2</v>
      </c>
      <c r="O2201">
        <v>-5.5701209999999999E-3</v>
      </c>
      <c r="P2201">
        <v>-0.98227430000000004</v>
      </c>
      <c r="Q2201">
        <v>0.18384120000000001</v>
      </c>
      <c r="R2201">
        <v>3.6599710000000001E-2</v>
      </c>
      <c r="S2201">
        <v>-3.1073909999999998</v>
      </c>
      <c r="T2201">
        <v>-0.25399840000000001</v>
      </c>
      <c r="U2201">
        <v>-0.1450195</v>
      </c>
      <c r="V2201">
        <v>4.2142579999999999E-2</v>
      </c>
      <c r="W2201">
        <v>0.1936435</v>
      </c>
      <c r="X2201">
        <v>0.98016639999999999</v>
      </c>
      <c r="Y2201">
        <v>-4.0914779999999998E-2</v>
      </c>
      <c r="Z2201">
        <v>-1.4750589999999999E-3</v>
      </c>
      <c r="AA2201">
        <v>0.99916150000000004</v>
      </c>
      <c r="AB2201">
        <v>29</v>
      </c>
      <c r="AC2201">
        <v>-13.428000000000001</v>
      </c>
      <c r="AD2201">
        <v>-1.1203544614580001</v>
      </c>
      <c r="AE2201">
        <v>-0.63829999999995801</v>
      </c>
      <c r="AF2201">
        <v>-0.55960399588702003</v>
      </c>
      <c r="AG2201">
        <v>-1.1203544614580001</v>
      </c>
      <c r="AH2201">
        <v>13.3387023364639</v>
      </c>
      <c r="AI2201">
        <v>94.796961628937694</v>
      </c>
      <c r="AJ2201">
        <v>92.402344320271695</v>
      </c>
      <c r="AK2201">
        <v>13.3973628290164</v>
      </c>
      <c r="AL2201">
        <v>78.834508325325302</v>
      </c>
      <c r="AM2201">
        <v>87.538065220904102</v>
      </c>
      <c r="AN2201">
        <v>0.99999998691513303</v>
      </c>
    </row>
    <row r="2202" spans="1:40" x14ac:dyDescent="0.25">
      <c r="A2202" t="str">
        <f>"20190303162257185"</f>
        <v>20190303162257185</v>
      </c>
      <c r="B2202" t="str">
        <f>"1551601377177245"</f>
        <v>1551601377177245</v>
      </c>
      <c r="C2202" t="s">
        <v>40</v>
      </c>
      <c r="D2202">
        <v>5.8438280000000002</v>
      </c>
      <c r="E2202">
        <v>0.46640930000000003</v>
      </c>
      <c r="F2202" t="s">
        <v>47</v>
      </c>
      <c r="G2202">
        <v>-367.10289999999998</v>
      </c>
      <c r="H2202" s="1">
        <v>2.2430329999999998E-6</v>
      </c>
      <c r="I2202">
        <v>283.64179999999999</v>
      </c>
      <c r="J2202">
        <v>-352.64659999999998</v>
      </c>
      <c r="K2202">
        <v>1.120349</v>
      </c>
      <c r="L2202">
        <v>284.41120000000001</v>
      </c>
      <c r="M2202">
        <v>-0.99993560000000004</v>
      </c>
      <c r="N2202">
        <v>-9.9948139999999994E-3</v>
      </c>
      <c r="O2202">
        <v>-5.3936369999999997E-3</v>
      </c>
      <c r="P2202">
        <v>-0.98240320000000003</v>
      </c>
      <c r="Q2202">
        <v>0.1832425</v>
      </c>
      <c r="R2202">
        <v>3.6142059999999997E-2</v>
      </c>
      <c r="S2202">
        <v>-3.1043090000000002</v>
      </c>
      <c r="T2202">
        <v>-0.235762</v>
      </c>
      <c r="U2202">
        <v>-0.1622314</v>
      </c>
      <c r="V2202">
        <v>4.1512210000000001E-2</v>
      </c>
      <c r="W2202">
        <v>0.19303480000000001</v>
      </c>
      <c r="X2202">
        <v>0.9803134</v>
      </c>
      <c r="Y2202">
        <v>-4.6661500000000002E-2</v>
      </c>
      <c r="Z2202">
        <v>-1.6469360000000001E-3</v>
      </c>
      <c r="AA2202">
        <v>0.99890939999999995</v>
      </c>
      <c r="AB2202">
        <v>29</v>
      </c>
      <c r="AC2202">
        <v>-14.456300000000001</v>
      </c>
      <c r="AD2202">
        <v>-1.120346756967</v>
      </c>
      <c r="AE2202">
        <v>-0.76940000000001796</v>
      </c>
      <c r="AF2202">
        <v>-0.687296591762798</v>
      </c>
      <c r="AG2202">
        <v>-1.120346756967</v>
      </c>
      <c r="AH2202">
        <v>14.374151423722701</v>
      </c>
      <c r="AI2202">
        <v>94.451658686395703</v>
      </c>
      <c r="AJ2202">
        <v>92.737498978401504</v>
      </c>
      <c r="AK2202">
        <v>14.434118698867801</v>
      </c>
      <c r="AL2202">
        <v>78.870055446448902</v>
      </c>
      <c r="AM2202">
        <v>87.575209837977894</v>
      </c>
      <c r="AN2202">
        <v>1.0000000299048399</v>
      </c>
    </row>
    <row r="2203" spans="1:40" x14ac:dyDescent="0.25">
      <c r="A2203" t="str">
        <f>"20190303162257208"</f>
        <v>20190303162257208</v>
      </c>
      <c r="B2203" t="str">
        <f>"1551601377196766"</f>
        <v>1551601377196766</v>
      </c>
      <c r="C2203" t="s">
        <v>40</v>
      </c>
      <c r="D2203">
        <v>5.6332509999999996</v>
      </c>
      <c r="E2203">
        <v>0.46693790000000002</v>
      </c>
      <c r="F2203" t="s">
        <v>47</v>
      </c>
      <c r="G2203">
        <v>-367.34199999999998</v>
      </c>
      <c r="H2203" s="1">
        <v>2.3702429999999999E-6</v>
      </c>
      <c r="I2203">
        <v>283.59870000000001</v>
      </c>
      <c r="J2203">
        <v>-352.94659999999999</v>
      </c>
      <c r="K2203">
        <v>1.1203529999999999</v>
      </c>
      <c r="L2203">
        <v>284.40980000000002</v>
      </c>
      <c r="M2203">
        <v>-0.99993659999999995</v>
      </c>
      <c r="N2203">
        <v>-9.9857669999999996E-3</v>
      </c>
      <c r="O2203">
        <v>-5.216587E-3</v>
      </c>
      <c r="P2203">
        <v>-0.98238950000000003</v>
      </c>
      <c r="Q2203">
        <v>0.18333089999999999</v>
      </c>
      <c r="R2203">
        <v>3.6072260000000002E-2</v>
      </c>
      <c r="S2203">
        <v>-3.104187</v>
      </c>
      <c r="T2203">
        <v>-0.2366577</v>
      </c>
      <c r="U2203">
        <v>-0.1716309</v>
      </c>
      <c r="V2203">
        <v>4.1267940000000003E-2</v>
      </c>
      <c r="W2203">
        <v>0.19311439999999999</v>
      </c>
      <c r="X2203">
        <v>0.98030799999999996</v>
      </c>
      <c r="Y2203">
        <v>-4.9844369999999999E-2</v>
      </c>
      <c r="Z2203">
        <v>-1.800479E-3</v>
      </c>
      <c r="AA2203">
        <v>0.99875539999999996</v>
      </c>
      <c r="AB2203">
        <v>29</v>
      </c>
      <c r="AC2203">
        <v>-14.395399999999899</v>
      </c>
      <c r="AD2203">
        <v>-1.1203506297570001</v>
      </c>
      <c r="AE2203">
        <v>-0.81110000000001004</v>
      </c>
      <c r="AF2203">
        <v>-0.731573221514491</v>
      </c>
      <c r="AG2203">
        <v>-1.1203506297570001</v>
      </c>
      <c r="AH2203">
        <v>14.3130153429695</v>
      </c>
      <c r="AI2203">
        <v>94.469887370537094</v>
      </c>
      <c r="AJ2203">
        <v>92.925981175367895</v>
      </c>
      <c r="AK2203">
        <v>14.37542323273</v>
      </c>
      <c r="AL2203">
        <v>78.865406844303706</v>
      </c>
      <c r="AM2203">
        <v>87.589447870055096</v>
      </c>
      <c r="AN2203">
        <v>0.99999999461160105</v>
      </c>
    </row>
    <row r="2204" spans="1:40" x14ac:dyDescent="0.25">
      <c r="A2204" t="str">
        <f>"20190303162257231"</f>
        <v>20190303162257231</v>
      </c>
      <c r="B2204" t="str">
        <f>"1551601377227022"</f>
        <v>1551601377227022</v>
      </c>
      <c r="C2204" t="s">
        <v>40</v>
      </c>
      <c r="D2204">
        <v>5.618042</v>
      </c>
      <c r="E2204">
        <v>0.46799580000000002</v>
      </c>
      <c r="F2204" t="s">
        <v>47</v>
      </c>
      <c r="G2204">
        <v>-367.19310000000002</v>
      </c>
      <c r="H2204" s="1">
        <v>2.2909989999999999E-6</v>
      </c>
      <c r="I2204">
        <v>283.6413</v>
      </c>
      <c r="J2204">
        <v>-353.24340000000001</v>
      </c>
      <c r="K2204">
        <v>1.1203510000000001</v>
      </c>
      <c r="L2204">
        <v>284.40839999999997</v>
      </c>
      <c r="M2204">
        <v>-0.99993750000000003</v>
      </c>
      <c r="N2204">
        <v>-9.9793009999999994E-3</v>
      </c>
      <c r="O2204">
        <v>-5.0445619999999998E-3</v>
      </c>
      <c r="P2204">
        <v>-0.98242149999999995</v>
      </c>
      <c r="Q2204">
        <v>0.1830638</v>
      </c>
      <c r="R2204">
        <v>3.6547830000000003E-2</v>
      </c>
      <c r="S2204">
        <v>-3.105499</v>
      </c>
      <c r="T2204">
        <v>-0.24421880000000001</v>
      </c>
      <c r="U2204">
        <v>-0.16751099999999999</v>
      </c>
      <c r="V2204">
        <v>4.1573609999999997E-2</v>
      </c>
      <c r="W2204">
        <v>0.1928416</v>
      </c>
      <c r="X2204">
        <v>0.98034880000000002</v>
      </c>
      <c r="Y2204">
        <v>-4.8666550000000003E-2</v>
      </c>
      <c r="Z2204">
        <v>-1.807134E-3</v>
      </c>
      <c r="AA2204">
        <v>0.99881350000000002</v>
      </c>
      <c r="AB2204">
        <v>29</v>
      </c>
      <c r="AC2204">
        <v>-13.9497</v>
      </c>
      <c r="AD2204">
        <v>-1.120348709001</v>
      </c>
      <c r="AE2204">
        <v>-0.76709999999997003</v>
      </c>
      <c r="AF2204">
        <v>-0.69226478866892005</v>
      </c>
      <c r="AG2204">
        <v>-1.120348709001</v>
      </c>
      <c r="AH2204">
        <v>13.864234165871601</v>
      </c>
      <c r="AI2204">
        <v>94.614226804776607</v>
      </c>
      <c r="AJ2204">
        <v>92.858501701138394</v>
      </c>
      <c r="AK2204">
        <v>13.9266435573512</v>
      </c>
      <c r="AL2204">
        <v>78.881336721324104</v>
      </c>
      <c r="AM2204">
        <v>87.571715245158202</v>
      </c>
      <c r="AN2204">
        <v>1.0000000087002101</v>
      </c>
    </row>
    <row r="2205" spans="1:40" x14ac:dyDescent="0.25">
      <c r="A2205" t="str">
        <f>"20190303162257253"</f>
        <v>20190303162257253</v>
      </c>
      <c r="B2205" t="str">
        <f>"1551601377247048"</f>
        <v>1551601377247048</v>
      </c>
      <c r="C2205" t="s">
        <v>40</v>
      </c>
      <c r="D2205">
        <v>5.8142880000000003</v>
      </c>
      <c r="E2205">
        <v>0.46793069999999998</v>
      </c>
      <c r="F2205" t="s">
        <v>47</v>
      </c>
      <c r="G2205">
        <v>-367.29930000000002</v>
      </c>
      <c r="H2205" s="1">
        <v>2.3475209999999999E-6</v>
      </c>
      <c r="I2205">
        <v>283.69670000000002</v>
      </c>
      <c r="J2205">
        <v>-353.53699999999998</v>
      </c>
      <c r="K2205">
        <v>1.12035</v>
      </c>
      <c r="L2205">
        <v>284.40710000000001</v>
      </c>
      <c r="M2205">
        <v>-0.99993829999999995</v>
      </c>
      <c r="N2205">
        <v>-9.9750380000000003E-3</v>
      </c>
      <c r="O2205">
        <v>-4.8780350000000002E-3</v>
      </c>
      <c r="P2205">
        <v>-0.98251330000000003</v>
      </c>
      <c r="Q2205">
        <v>0.18245729999999999</v>
      </c>
      <c r="R2205">
        <v>3.7107670000000002E-2</v>
      </c>
      <c r="S2205">
        <v>-3.1056520000000001</v>
      </c>
      <c r="T2205">
        <v>-0.24754119999999999</v>
      </c>
      <c r="U2205">
        <v>-0.15725710000000001</v>
      </c>
      <c r="V2205">
        <v>4.1969279999999998E-2</v>
      </c>
      <c r="W2205">
        <v>0.19223190000000001</v>
      </c>
      <c r="X2205">
        <v>0.98045159999999998</v>
      </c>
      <c r="Y2205">
        <v>-4.5547949999999997E-2</v>
      </c>
      <c r="Z2205">
        <v>-1.6995619999999999E-3</v>
      </c>
      <c r="AA2205">
        <v>0.99896070000000003</v>
      </c>
      <c r="AB2205">
        <v>29</v>
      </c>
      <c r="AC2205">
        <v>-13.7623</v>
      </c>
      <c r="AD2205">
        <v>-1.1203476524789999</v>
      </c>
      <c r="AE2205">
        <v>-0.71039999999999204</v>
      </c>
      <c r="AF2205">
        <v>-0.63903155015392799</v>
      </c>
      <c r="AG2205">
        <v>-1.1203476524789999</v>
      </c>
      <c r="AH2205">
        <v>13.675215579420501</v>
      </c>
      <c r="AI2205">
        <v>94.678438240987802</v>
      </c>
      <c r="AJ2205">
        <v>92.675438298066695</v>
      </c>
      <c r="AK2205">
        <v>13.7359040957679</v>
      </c>
      <c r="AL2205">
        <v>78.916935167837906</v>
      </c>
      <c r="AM2205">
        <v>87.548889215677207</v>
      </c>
      <c r="AN2205">
        <v>0.99999993189194103</v>
      </c>
    </row>
    <row r="2206" spans="1:40" x14ac:dyDescent="0.25">
      <c r="A2206" t="str">
        <f>"20190303162257287"</f>
        <v>20190303162257287</v>
      </c>
      <c r="B2206" t="str">
        <f>"1551601377276328"</f>
        <v>1551601377276328</v>
      </c>
      <c r="C2206" t="s">
        <v>40</v>
      </c>
      <c r="D2206">
        <v>5.6096709999999996</v>
      </c>
      <c r="E2206">
        <v>0.4680415</v>
      </c>
      <c r="F2206" t="s">
        <v>47</v>
      </c>
      <c r="G2206">
        <v>-367.476</v>
      </c>
      <c r="H2206" s="1">
        <v>2.4415650000000001E-6</v>
      </c>
      <c r="I2206">
        <v>283.70490000000001</v>
      </c>
      <c r="J2206">
        <v>-353.96350000000001</v>
      </c>
      <c r="K2206">
        <v>1.120347</v>
      </c>
      <c r="L2206">
        <v>284.40530000000001</v>
      </c>
      <c r="M2206">
        <v>-0.99993949999999998</v>
      </c>
      <c r="N2206">
        <v>-9.9720050000000008E-3</v>
      </c>
      <c r="O2206">
        <v>-4.6471759999999898E-3</v>
      </c>
      <c r="P2206">
        <v>-0.98271580000000003</v>
      </c>
      <c r="Q2206">
        <v>0.1810628</v>
      </c>
      <c r="R2206">
        <v>3.8550670000000002E-2</v>
      </c>
      <c r="S2206">
        <v>-3.1056520000000001</v>
      </c>
      <c r="T2206">
        <v>-0.2496167</v>
      </c>
      <c r="U2206">
        <v>-0.15646360000000001</v>
      </c>
      <c r="V2206">
        <v>4.3183510000000001E-2</v>
      </c>
      <c r="W2206">
        <v>0.1908368</v>
      </c>
      <c r="X2206">
        <v>0.98067150000000003</v>
      </c>
      <c r="Y2206">
        <v>-4.5521180000000001E-2</v>
      </c>
      <c r="Z2206">
        <v>-1.7263949999999999E-3</v>
      </c>
      <c r="AA2206">
        <v>0.99896189999999996</v>
      </c>
      <c r="AB2206">
        <v>29</v>
      </c>
      <c r="AC2206">
        <v>-13.5124999999999</v>
      </c>
      <c r="AD2206">
        <v>-1.120344558435</v>
      </c>
      <c r="AE2206">
        <v>-0.70040000000000102</v>
      </c>
      <c r="AF2206">
        <v>-0.633252810707852</v>
      </c>
      <c r="AG2206">
        <v>-1.120344558435</v>
      </c>
      <c r="AH2206">
        <v>13.4235779718286</v>
      </c>
      <c r="AI2206">
        <v>94.765627601492298</v>
      </c>
      <c r="AJ2206">
        <v>92.700906886767896</v>
      </c>
      <c r="AK2206">
        <v>13.4851261253889</v>
      </c>
      <c r="AL2206">
        <v>78.998377595671997</v>
      </c>
      <c r="AM2206">
        <v>87.478630197749794</v>
      </c>
      <c r="AN2206">
        <v>1.0000000453411999</v>
      </c>
    </row>
    <row r="2207" spans="1:40" x14ac:dyDescent="0.25">
      <c r="A2207" t="str">
        <f>"20190303162257308"</f>
        <v>20190303162257308</v>
      </c>
      <c r="B2207" t="str">
        <f>"1551601377296825"</f>
        <v>1551601377296825</v>
      </c>
      <c r="C2207" t="s">
        <v>40</v>
      </c>
      <c r="D2207">
        <v>5.8083879999999999</v>
      </c>
      <c r="E2207">
        <v>0.46772439999999998</v>
      </c>
      <c r="F2207" t="s">
        <v>47</v>
      </c>
      <c r="G2207">
        <v>-367.64359999999999</v>
      </c>
      <c r="H2207" s="1">
        <v>2.530779E-6</v>
      </c>
      <c r="I2207">
        <v>283.74310000000003</v>
      </c>
      <c r="J2207">
        <v>-354.24489999999997</v>
      </c>
      <c r="K2207">
        <v>1.120341</v>
      </c>
      <c r="L2207">
        <v>284.4042</v>
      </c>
      <c r="M2207">
        <v>-0.9999401</v>
      </c>
      <c r="N2207">
        <v>-9.9718940000000002E-3</v>
      </c>
      <c r="O2207">
        <v>-4.5035810000000004E-3</v>
      </c>
      <c r="P2207">
        <v>-0.98273120000000003</v>
      </c>
      <c r="Q2207">
        <v>0.1808873</v>
      </c>
      <c r="R2207">
        <v>3.8975799999999998E-2</v>
      </c>
      <c r="S2207">
        <v>-3.1055600000000001</v>
      </c>
      <c r="T2207">
        <v>-0.2543318</v>
      </c>
      <c r="U2207">
        <v>-0.15032960000000001</v>
      </c>
      <c r="V2207">
        <v>4.3465459999999997E-2</v>
      </c>
      <c r="W2207">
        <v>0.19066169999999999</v>
      </c>
      <c r="X2207">
        <v>0.98069300000000004</v>
      </c>
      <c r="Y2207">
        <v>-4.369874E-2</v>
      </c>
      <c r="Z2207">
        <v>-1.6805959999999999E-3</v>
      </c>
      <c r="AA2207">
        <v>0.99904329999999997</v>
      </c>
      <c r="AB2207">
        <v>29</v>
      </c>
      <c r="AC2207">
        <v>-13.3987</v>
      </c>
      <c r="AD2207">
        <v>-1.1203384692209899</v>
      </c>
      <c r="AE2207">
        <v>-0.66109999999997604</v>
      </c>
      <c r="AF2207">
        <v>-0.59658722481010595</v>
      </c>
      <c r="AG2207">
        <v>-1.1203384692209899</v>
      </c>
      <c r="AH2207">
        <v>13.308719038609199</v>
      </c>
      <c r="AI2207">
        <v>94.807054395606997</v>
      </c>
      <c r="AJ2207">
        <v>92.566667913580801</v>
      </c>
      <c r="AK2207">
        <v>13.369109059734001</v>
      </c>
      <c r="AL2207">
        <v>79.008596625477594</v>
      </c>
      <c r="AM2207">
        <v>87.462244908046102</v>
      </c>
      <c r="AN2207">
        <v>0.99999994515444901</v>
      </c>
    </row>
    <row r="2208" spans="1:40" x14ac:dyDescent="0.25">
      <c r="A2208" t="str">
        <f>"20190303162257330"</f>
        <v>20190303162257330</v>
      </c>
      <c r="B2208" t="str">
        <f>"1551601377327080"</f>
        <v>1551601377327080</v>
      </c>
      <c r="C2208" t="s">
        <v>40</v>
      </c>
      <c r="D2208">
        <v>5.8583689999999997</v>
      </c>
      <c r="E2208">
        <v>0.4688254</v>
      </c>
      <c r="F2208" t="s">
        <v>47</v>
      </c>
      <c r="G2208">
        <v>-367.9008</v>
      </c>
      <c r="H2208" s="1">
        <v>2.6676300000000001E-6</v>
      </c>
      <c r="I2208">
        <v>283.73700000000002</v>
      </c>
      <c r="J2208">
        <v>-354.5333</v>
      </c>
      <c r="K2208">
        <v>1.120341</v>
      </c>
      <c r="L2208">
        <v>284.40300000000002</v>
      </c>
      <c r="M2208">
        <v>-0.99994079999999996</v>
      </c>
      <c r="N2208">
        <v>-9.9730140000000005E-3</v>
      </c>
      <c r="O2208">
        <v>-4.3623840000000004E-3</v>
      </c>
      <c r="P2208">
        <v>-0.98265760000000002</v>
      </c>
      <c r="Q2208">
        <v>0.18118899999999999</v>
      </c>
      <c r="R2208">
        <v>3.9434459999999998E-2</v>
      </c>
      <c r="S2208">
        <v>-3.1056210000000002</v>
      </c>
      <c r="T2208">
        <v>-0.25478640000000002</v>
      </c>
      <c r="U2208">
        <v>-0.15173339999999999</v>
      </c>
      <c r="V2208">
        <v>4.3783139999999998E-2</v>
      </c>
      <c r="W2208">
        <v>0.1909641</v>
      </c>
      <c r="X2208">
        <v>0.98062009999999999</v>
      </c>
      <c r="Y2208">
        <v>-4.4286300000000001E-2</v>
      </c>
      <c r="Z2208">
        <v>-1.720245E-3</v>
      </c>
      <c r="AA2208">
        <v>0.99901740000000006</v>
      </c>
      <c r="AB2208">
        <v>29</v>
      </c>
      <c r="AC2208">
        <v>-13.3675</v>
      </c>
      <c r="AD2208">
        <v>-1.12033833237</v>
      </c>
      <c r="AE2208">
        <v>-0.66599999999999604</v>
      </c>
      <c r="AF2208">
        <v>-0.60344833938831999</v>
      </c>
      <c r="AG2208">
        <v>-1.12033833237</v>
      </c>
      <c r="AH2208">
        <v>13.277246930852</v>
      </c>
      <c r="AI2208">
        <v>94.818260178244898</v>
      </c>
      <c r="AJ2208">
        <v>92.602291393187002</v>
      </c>
      <c r="AK2208">
        <v>13.338088091630899</v>
      </c>
      <c r="AL2208">
        <v>78.9909468631284</v>
      </c>
      <c r="AM2208">
        <v>87.443531715568099</v>
      </c>
      <c r="AN2208">
        <v>1.00000001568053</v>
      </c>
    </row>
    <row r="2209" spans="1:40" x14ac:dyDescent="0.25">
      <c r="A2209" t="str">
        <f>"20190303162257352"</f>
        <v>20190303162257352</v>
      </c>
      <c r="B2209" t="str">
        <f>"1551601377346600"</f>
        <v>1551601377346600</v>
      </c>
      <c r="C2209" t="s">
        <v>40</v>
      </c>
      <c r="D2209">
        <v>5.5078339999999999</v>
      </c>
      <c r="E2209">
        <v>0.46980050000000001</v>
      </c>
      <c r="F2209" t="s">
        <v>47</v>
      </c>
      <c r="G2209">
        <v>-368.50689999999997</v>
      </c>
      <c r="H2209" s="1">
        <v>2.9901470000000002E-6</v>
      </c>
      <c r="I2209">
        <v>283.7679</v>
      </c>
      <c r="J2209">
        <v>-354.82889999999998</v>
      </c>
      <c r="K2209">
        <v>1.1203559999999999</v>
      </c>
      <c r="L2209">
        <v>284.40190000000001</v>
      </c>
      <c r="M2209">
        <v>-0.99994139999999998</v>
      </c>
      <c r="N2209">
        <v>-9.9752750000000005E-3</v>
      </c>
      <c r="O2209">
        <v>-4.226451E-3</v>
      </c>
      <c r="P2209">
        <v>-0.98262609999999995</v>
      </c>
      <c r="Q2209">
        <v>0.18152760000000001</v>
      </c>
      <c r="R2209">
        <v>3.8654510000000003E-2</v>
      </c>
      <c r="S2209">
        <v>-3.104492</v>
      </c>
      <c r="T2209">
        <v>-0.24890399999999999</v>
      </c>
      <c r="U2209">
        <v>-0.14108280000000001</v>
      </c>
      <c r="V2209">
        <v>4.2866830000000002E-2</v>
      </c>
      <c r="W2209">
        <v>0.1913058</v>
      </c>
      <c r="X2209">
        <v>0.98059399999999997</v>
      </c>
      <c r="Y2209">
        <v>-4.1037690000000002E-2</v>
      </c>
      <c r="Z2209">
        <v>-1.5507380000000001E-3</v>
      </c>
      <c r="AA2209">
        <v>0.99915639999999994</v>
      </c>
      <c r="AB2209">
        <v>29</v>
      </c>
      <c r="AC2209">
        <v>-13.6779999999999</v>
      </c>
      <c r="AD2209">
        <v>-1.1203530098529999</v>
      </c>
      <c r="AE2209">
        <v>-0.634000000000014</v>
      </c>
      <c r="AF2209">
        <v>-0.572350342704672</v>
      </c>
      <c r="AG2209">
        <v>-1.1203530098529999</v>
      </c>
      <c r="AH2209">
        <v>13.589579082943301</v>
      </c>
      <c r="AI2209">
        <v>94.708768797543399</v>
      </c>
      <c r="AJ2209">
        <v>92.4116927806527</v>
      </c>
      <c r="AK2209">
        <v>13.6476897470982</v>
      </c>
      <c r="AL2209">
        <v>78.971001371443904</v>
      </c>
      <c r="AM2209">
        <v>87.496899134280895</v>
      </c>
      <c r="AN2209">
        <v>1.0000000335319399</v>
      </c>
    </row>
    <row r="2210" spans="1:40" x14ac:dyDescent="0.25">
      <c r="A2210" t="str">
        <f>"20190303162257374"</f>
        <v>20190303162257374</v>
      </c>
      <c r="B2210" t="str">
        <f>"1551601377367097"</f>
        <v>1551601377367097</v>
      </c>
      <c r="C2210" t="s">
        <v>40</v>
      </c>
      <c r="D2210">
        <v>5.8544869999999998</v>
      </c>
      <c r="E2210">
        <v>0.47156759999999898</v>
      </c>
      <c r="F2210" t="s">
        <v>47</v>
      </c>
      <c r="G2210">
        <v>-369.0453</v>
      </c>
      <c r="H2210" s="1">
        <v>3.276658E-6</v>
      </c>
      <c r="I2210">
        <v>283.78030000000001</v>
      </c>
      <c r="J2210">
        <v>-355.11790000000002</v>
      </c>
      <c r="K2210">
        <v>1.120366</v>
      </c>
      <c r="L2210">
        <v>284.4008</v>
      </c>
      <c r="M2210">
        <v>-0.999942</v>
      </c>
      <c r="N2210">
        <v>-9.9784409999999994E-3</v>
      </c>
      <c r="O2210">
        <v>-4.1026880000000002E-3</v>
      </c>
      <c r="P2210">
        <v>-0.98262130000000003</v>
      </c>
      <c r="Q2210">
        <v>0.181646</v>
      </c>
      <c r="R2210">
        <v>3.8215150000000003E-2</v>
      </c>
      <c r="S2210">
        <v>-3.103577</v>
      </c>
      <c r="T2210">
        <v>-0.24458340000000001</v>
      </c>
      <c r="U2210">
        <v>-0.1356812</v>
      </c>
      <c r="V2210">
        <v>4.230275E-2</v>
      </c>
      <c r="W2210">
        <v>0.19142790000000001</v>
      </c>
      <c r="X2210">
        <v>0.98059459999999998</v>
      </c>
      <c r="Y2210">
        <v>-3.9448700000000003E-2</v>
      </c>
      <c r="Z2210">
        <v>-1.4667390000000001E-3</v>
      </c>
      <c r="AA2210">
        <v>0.99922060000000001</v>
      </c>
      <c r="AB2210">
        <v>29</v>
      </c>
      <c r="AC2210">
        <v>-13.927399999999899</v>
      </c>
      <c r="AD2210">
        <v>-1.1203627233419999</v>
      </c>
      <c r="AE2210">
        <v>-0.62049999999999195</v>
      </c>
      <c r="AF2210">
        <v>-0.55973723444693801</v>
      </c>
      <c r="AG2210">
        <v>-1.1203627233419999</v>
      </c>
      <c r="AH2210">
        <v>13.840443335841501</v>
      </c>
      <c r="AI2210">
        <v>94.624151364200699</v>
      </c>
      <c r="AJ2210">
        <v>92.315902243910202</v>
      </c>
      <c r="AK2210">
        <v>13.8969921254968</v>
      </c>
      <c r="AL2210">
        <v>78.963873081464499</v>
      </c>
      <c r="AM2210">
        <v>87.529797606653304</v>
      </c>
      <c r="AN2210">
        <v>0.99999996655256496</v>
      </c>
    </row>
    <row r="2211" spans="1:40" x14ac:dyDescent="0.25">
      <c r="A2211" t="str">
        <f>"20190303162257397"</f>
        <v>20190303162257397</v>
      </c>
      <c r="B2211" t="str">
        <f>"1551601377386616"</f>
        <v>1551601377386616</v>
      </c>
      <c r="C2211" t="s">
        <v>40</v>
      </c>
      <c r="D2211">
        <v>5.8519500000000004</v>
      </c>
      <c r="E2211">
        <v>0.47306110000000001</v>
      </c>
      <c r="F2211" t="s">
        <v>47</v>
      </c>
      <c r="G2211">
        <v>-369.71170000000001</v>
      </c>
      <c r="H2211" s="1">
        <v>3.6313010000000001E-6</v>
      </c>
      <c r="I2211">
        <v>283.82240000000002</v>
      </c>
      <c r="J2211">
        <v>-355.40969999999999</v>
      </c>
      <c r="K2211">
        <v>1.1203730000000001</v>
      </c>
      <c r="L2211">
        <v>284.3997</v>
      </c>
      <c r="M2211">
        <v>-0.99994240000000001</v>
      </c>
      <c r="N2211">
        <v>-9.9803189999999996E-3</v>
      </c>
      <c r="O2211">
        <v>-3.9876319999999996E-3</v>
      </c>
      <c r="P2211">
        <v>-0.9826975</v>
      </c>
      <c r="Q2211">
        <v>0.18130009999999999</v>
      </c>
      <c r="R2211">
        <v>3.7898069999999999E-2</v>
      </c>
      <c r="S2211">
        <v>-3.1018680000000001</v>
      </c>
      <c r="T2211">
        <v>-0.2381296</v>
      </c>
      <c r="U2211">
        <v>-0.1229248</v>
      </c>
      <c r="V2211">
        <v>4.1869379999999998E-2</v>
      </c>
      <c r="W2211">
        <v>0.1910858</v>
      </c>
      <c r="X2211">
        <v>0.98067990000000005</v>
      </c>
      <c r="Y2211">
        <v>-3.5504139999999997E-2</v>
      </c>
      <c r="Z2211">
        <v>-1.2720069999999999E-3</v>
      </c>
      <c r="AA2211">
        <v>0.9993687</v>
      </c>
      <c r="AB2211">
        <v>29</v>
      </c>
      <c r="AC2211">
        <v>-14.302</v>
      </c>
      <c r="AD2211">
        <v>-1.1203693686989999</v>
      </c>
      <c r="AE2211">
        <v>-0.57729999999997905</v>
      </c>
      <c r="AF2211">
        <v>-0.51709342342684295</v>
      </c>
      <c r="AG2211">
        <v>-1.1203693686989999</v>
      </c>
      <c r="AH2211">
        <v>14.2170855860803</v>
      </c>
      <c r="AI2211">
        <v>94.502884375813096</v>
      </c>
      <c r="AJ2211">
        <v>92.083001936155</v>
      </c>
      <c r="AK2211">
        <v>14.2705338264833</v>
      </c>
      <c r="AL2211">
        <v>78.983842388440706</v>
      </c>
      <c r="AM2211">
        <v>87.555285100257294</v>
      </c>
      <c r="AN2211">
        <v>0.99999994710361495</v>
      </c>
    </row>
    <row r="2212" spans="1:40" x14ac:dyDescent="0.25">
      <c r="A2212" t="str">
        <f>"20190303162257420"</f>
        <v>20190303162257420</v>
      </c>
      <c r="B2212" t="str">
        <f>"1551601377407113"</f>
        <v>1551601377407113</v>
      </c>
      <c r="C2212" t="s">
        <v>40</v>
      </c>
      <c r="D2212">
        <v>5.7322439999999997</v>
      </c>
      <c r="E2212">
        <v>0.4744061</v>
      </c>
      <c r="F2212" t="s">
        <v>47</v>
      </c>
      <c r="G2212">
        <v>-370.31650000000002</v>
      </c>
      <c r="H2212" s="1">
        <v>-1.368341E-6</v>
      </c>
      <c r="I2212">
        <v>283.85860000000002</v>
      </c>
      <c r="J2212">
        <v>-355.71289999999999</v>
      </c>
      <c r="K2212">
        <v>1.1203730000000001</v>
      </c>
      <c r="L2212">
        <v>284.39859999999999</v>
      </c>
      <c r="M2212">
        <v>-0.99994280000000002</v>
      </c>
      <c r="N2212">
        <v>-9.9737279999999994E-3</v>
      </c>
      <c r="O2212">
        <v>-3.878617E-3</v>
      </c>
      <c r="P2212">
        <v>-0.98284229999999995</v>
      </c>
      <c r="Q2212">
        <v>0.180615</v>
      </c>
      <c r="R2212">
        <v>3.7408049999999998E-2</v>
      </c>
      <c r="S2212">
        <v>-3.1001280000000002</v>
      </c>
      <c r="T2212">
        <v>-0.23300100000000001</v>
      </c>
      <c r="U2212">
        <v>-0.1125183</v>
      </c>
      <c r="V2212">
        <v>4.1268939999999997E-2</v>
      </c>
      <c r="W2212">
        <v>0.19039629999999999</v>
      </c>
      <c r="X2212">
        <v>0.98083949999999998</v>
      </c>
      <c r="Y2212">
        <v>-3.2299439999999999E-2</v>
      </c>
      <c r="Z2212">
        <v>-1.1206949999999999E-3</v>
      </c>
      <c r="AA2212">
        <v>0.99947759999999997</v>
      </c>
      <c r="AB2212">
        <v>29</v>
      </c>
      <c r="AC2212">
        <v>-14.6036</v>
      </c>
      <c r="AD2212">
        <v>-1.1203743683409999</v>
      </c>
      <c r="AE2212">
        <v>-0.53999999999996295</v>
      </c>
      <c r="AF2212">
        <v>-0.48052692278602699</v>
      </c>
      <c r="AG2212">
        <v>-1.1203743683409999</v>
      </c>
      <c r="AH2212">
        <v>14.5202379878569</v>
      </c>
      <c r="AI2212">
        <v>94.409767161922801</v>
      </c>
      <c r="AJ2212">
        <v>91.895431761597493</v>
      </c>
      <c r="AK2212">
        <v>14.5713230721428</v>
      </c>
      <c r="AL2212">
        <v>79.024087296036797</v>
      </c>
      <c r="AM2212">
        <v>87.590694255230801</v>
      </c>
      <c r="AN2212">
        <v>1.0000000006113301</v>
      </c>
    </row>
    <row r="2213" spans="1:40" x14ac:dyDescent="0.25">
      <c r="A2213" t="str">
        <f>"20190303162257444"</f>
        <v>20190303162257444</v>
      </c>
      <c r="B2213" t="str">
        <f>"1551601377436392"</f>
        <v>1551601377436392</v>
      </c>
      <c r="C2213" t="s">
        <v>40</v>
      </c>
      <c r="D2213">
        <v>5.7300909999999998</v>
      </c>
      <c r="E2213">
        <v>0.4759255</v>
      </c>
      <c r="F2213" t="s">
        <v>47</v>
      </c>
      <c r="G2213">
        <v>-370.86470000000003</v>
      </c>
      <c r="H2213" s="1">
        <v>-1.076654E-6</v>
      </c>
      <c r="I2213">
        <v>283.89280000000002</v>
      </c>
      <c r="J2213">
        <v>-356.01560000000001</v>
      </c>
      <c r="K2213">
        <v>1.120376</v>
      </c>
      <c r="L2213">
        <v>284.39749999999998</v>
      </c>
      <c r="M2213">
        <v>-0.99994340000000004</v>
      </c>
      <c r="N2213">
        <v>-9.9534080000000004E-3</v>
      </c>
      <c r="O2213">
        <v>-3.7782380000000002E-3</v>
      </c>
      <c r="P2213">
        <v>-0.98287369999999996</v>
      </c>
      <c r="Q2213">
        <v>0.1804818</v>
      </c>
      <c r="R2213">
        <v>3.7225880000000003E-2</v>
      </c>
      <c r="S2213">
        <v>-3.0983890000000001</v>
      </c>
      <c r="T2213">
        <v>-0.22910539999999999</v>
      </c>
      <c r="U2213">
        <v>-0.1034241</v>
      </c>
      <c r="V2213">
        <v>4.0984619999999999E-2</v>
      </c>
      <c r="W2213">
        <v>0.1902442</v>
      </c>
      <c r="X2213">
        <v>0.98088089999999994</v>
      </c>
      <c r="Y2213">
        <v>-2.950121E-2</v>
      </c>
      <c r="Z2213">
        <v>-9.9465170000000006E-4</v>
      </c>
      <c r="AA2213">
        <v>0.99956420000000001</v>
      </c>
      <c r="AB2213">
        <v>29</v>
      </c>
      <c r="AC2213">
        <v>-14.8491</v>
      </c>
      <c r="AD2213">
        <v>-1.120377076654</v>
      </c>
      <c r="AE2213">
        <v>-0.50469999999995696</v>
      </c>
      <c r="AF2213">
        <v>-0.44605381016522</v>
      </c>
      <c r="AG2213">
        <v>-1.120377076654</v>
      </c>
      <c r="AH2213">
        <v>14.7669323509341</v>
      </c>
      <c r="AI2213">
        <v>94.336786393124697</v>
      </c>
      <c r="AJ2213">
        <v>91.730165176673793</v>
      </c>
      <c r="AK2213">
        <v>14.816089222616</v>
      </c>
      <c r="AL2213">
        <v>79.032963866961893</v>
      </c>
      <c r="AM2213">
        <v>87.607374542942495</v>
      </c>
      <c r="AN2213">
        <v>0.99999996734749597</v>
      </c>
    </row>
    <row r="2214" spans="1:40" x14ac:dyDescent="0.25">
      <c r="A2214" t="str">
        <f>"20190303162257465"</f>
        <v>20190303162257465</v>
      </c>
      <c r="B2214" t="str">
        <f>"1551601377456889"</f>
        <v>1551601377456889</v>
      </c>
      <c r="C2214" t="s">
        <v>40</v>
      </c>
      <c r="D2214">
        <v>5.6043690000000002</v>
      </c>
      <c r="E2214">
        <v>0.47674149999999998</v>
      </c>
      <c r="F2214" t="s">
        <v>47</v>
      </c>
      <c r="G2214">
        <v>-371.7047</v>
      </c>
      <c r="H2214" s="1">
        <v>-6.2964689999999995E-7</v>
      </c>
      <c r="I2214">
        <v>283.93610000000001</v>
      </c>
      <c r="J2214">
        <v>-356.30340000000001</v>
      </c>
      <c r="K2214">
        <v>1.1203700000000001</v>
      </c>
      <c r="L2214">
        <v>284.3965</v>
      </c>
      <c r="M2214">
        <v>-0.9999441</v>
      </c>
      <c r="N2214">
        <v>-9.9178919999999993E-3</v>
      </c>
      <c r="O2214">
        <v>-3.6914690000000002E-3</v>
      </c>
      <c r="P2214">
        <v>-0.98278589999999999</v>
      </c>
      <c r="Q2214">
        <v>0.18101200000000001</v>
      </c>
      <c r="R2214">
        <v>3.6970299999999998E-2</v>
      </c>
      <c r="S2214">
        <v>-3.0963129999999999</v>
      </c>
      <c r="T2214">
        <v>-0.22111169999999999</v>
      </c>
      <c r="U2214">
        <v>-9.1064450000000005E-2</v>
      </c>
      <c r="V2214">
        <v>4.0641139999999999E-2</v>
      </c>
      <c r="W2214">
        <v>0.1907394</v>
      </c>
      <c r="X2214">
        <v>0.98079899999999998</v>
      </c>
      <c r="Y2214">
        <v>-2.5640280000000001E-2</v>
      </c>
      <c r="Z2214">
        <v>-8.1485339999999996E-4</v>
      </c>
      <c r="AA2214">
        <v>0.99967090000000003</v>
      </c>
      <c r="AB2214">
        <v>29</v>
      </c>
      <c r="AC2214">
        <v>-15.4012999999999</v>
      </c>
      <c r="AD2214">
        <v>-1.12037062964689</v>
      </c>
      <c r="AE2214">
        <v>-0.46039999999999198</v>
      </c>
      <c r="AF2214">
        <v>-0.401418295980566</v>
      </c>
      <c r="AG2214">
        <v>-1.12037062964689</v>
      </c>
      <c r="AH2214">
        <v>15.321885745775299</v>
      </c>
      <c r="AI2214">
        <v>94.180723161865501</v>
      </c>
      <c r="AJ2214">
        <v>91.500749614870003</v>
      </c>
      <c r="AK2214">
        <v>15.3680366281031</v>
      </c>
      <c r="AL2214">
        <v>79.004061566450304</v>
      </c>
      <c r="AM2214">
        <v>87.627205525647099</v>
      </c>
      <c r="AN2214">
        <v>0.99999994968692796</v>
      </c>
    </row>
    <row r="2215" spans="1:40" x14ac:dyDescent="0.25">
      <c r="A2215" t="str">
        <f>"20190303162257487"</f>
        <v>20190303162257487</v>
      </c>
      <c r="B2215" t="str">
        <f>"1551601377476409"</f>
        <v>1551601377476409</v>
      </c>
      <c r="C2215" t="s">
        <v>40</v>
      </c>
      <c r="D2215">
        <v>5.6019050000000004</v>
      </c>
      <c r="E2215">
        <v>0.47750100000000001</v>
      </c>
      <c r="F2215" t="s">
        <v>47</v>
      </c>
      <c r="G2215">
        <v>-372.45569999999998</v>
      </c>
      <c r="H2215" s="1">
        <v>-2.300152E-7</v>
      </c>
      <c r="I2215">
        <v>283.95299999999997</v>
      </c>
      <c r="J2215">
        <v>-356.58479999999997</v>
      </c>
      <c r="K2215">
        <v>1.1203540000000001</v>
      </c>
      <c r="L2215">
        <v>284.39550000000003</v>
      </c>
      <c r="M2215">
        <v>-0.99994470000000002</v>
      </c>
      <c r="N2215">
        <v>-9.8740640000000001E-3</v>
      </c>
      <c r="O2215">
        <v>-3.6098900000000001E-3</v>
      </c>
      <c r="P2215">
        <v>-0.98275089999999998</v>
      </c>
      <c r="Q2215">
        <v>0.18117349999999999</v>
      </c>
      <c r="R2215">
        <v>3.7112100000000002E-2</v>
      </c>
      <c r="S2215">
        <v>-3.0953059999999999</v>
      </c>
      <c r="T2215">
        <v>-0.21470059999999999</v>
      </c>
      <c r="U2215">
        <v>-8.4991460000000005E-2</v>
      </c>
      <c r="V2215">
        <v>4.0700849999999997E-2</v>
      </c>
      <c r="W2215">
        <v>0.19085830000000001</v>
      </c>
      <c r="X2215">
        <v>0.98077340000000002</v>
      </c>
      <c r="Y2215">
        <v>-2.378007E-2</v>
      </c>
      <c r="Z2215">
        <v>-7.2673599999999996E-4</v>
      </c>
      <c r="AA2215">
        <v>0.99971690000000002</v>
      </c>
      <c r="AB2215">
        <v>29</v>
      </c>
      <c r="AC2215">
        <v>-15.870900000000001</v>
      </c>
      <c r="AD2215">
        <v>-1.1203542300151901</v>
      </c>
      <c r="AE2215">
        <v>-0.44250000000005202</v>
      </c>
      <c r="AF2215">
        <v>-0.38329357646124601</v>
      </c>
      <c r="AG2215">
        <v>-1.1203542300151901</v>
      </c>
      <c r="AH2215">
        <v>15.7937518726766</v>
      </c>
      <c r="AI2215">
        <v>94.056377632407404</v>
      </c>
      <c r="AJ2215">
        <v>91.390220289362304</v>
      </c>
      <c r="AK2215">
        <v>15.838077717391901</v>
      </c>
      <c r="AL2215">
        <v>78.997121675376206</v>
      </c>
      <c r="AM2215">
        <v>87.623661453021597</v>
      </c>
      <c r="AN2215">
        <v>0.99999995600858504</v>
      </c>
    </row>
    <row r="2216" spans="1:40" x14ac:dyDescent="0.25">
      <c r="A2216" t="str">
        <f>"20190303162257509"</f>
        <v>20190303162257509</v>
      </c>
      <c r="B2216" t="str">
        <f>"1551601377496905"</f>
        <v>1551601377496905</v>
      </c>
      <c r="C2216" t="s">
        <v>40</v>
      </c>
      <c r="D2216">
        <v>5.5408949999999999</v>
      </c>
      <c r="E2216">
        <v>0.47817920000000003</v>
      </c>
      <c r="F2216" t="s">
        <v>47</v>
      </c>
      <c r="G2216">
        <v>-373.08839999999998</v>
      </c>
      <c r="H2216" s="1">
        <v>1.06696E-7</v>
      </c>
      <c r="I2216">
        <v>283.97719999999998</v>
      </c>
      <c r="J2216">
        <v>-356.88409999999999</v>
      </c>
      <c r="K2216">
        <v>1.1203339999999999</v>
      </c>
      <c r="L2216">
        <v>284.39460000000003</v>
      </c>
      <c r="M2216">
        <v>-0.99994559999999999</v>
      </c>
      <c r="N2216">
        <v>-9.8244990000000004E-3</v>
      </c>
      <c r="O2216">
        <v>-3.526951E-3</v>
      </c>
      <c r="P2216">
        <v>-0.98286680000000004</v>
      </c>
      <c r="Q2216">
        <v>0.18055840000000001</v>
      </c>
      <c r="R2216">
        <v>3.7042310000000002E-2</v>
      </c>
      <c r="S2216">
        <v>-3.09436</v>
      </c>
      <c r="T2216">
        <v>-0.21006230000000001</v>
      </c>
      <c r="U2216">
        <v>-7.8430180000000002E-2</v>
      </c>
      <c r="V2216">
        <v>4.0548559999999997E-2</v>
      </c>
      <c r="W2216">
        <v>0.19019639999999999</v>
      </c>
      <c r="X2216">
        <v>0.98090829999999996</v>
      </c>
      <c r="Y2216">
        <v>-2.1760499999999999E-2</v>
      </c>
      <c r="Z2216">
        <v>-6.4019779999999996E-4</v>
      </c>
      <c r="AA2216">
        <v>0.99976299999999996</v>
      </c>
      <c r="AB2216">
        <v>29</v>
      </c>
      <c r="AC2216">
        <v>-16.2042999999999</v>
      </c>
      <c r="AD2216">
        <v>-1.1203338933039999</v>
      </c>
      <c r="AE2216">
        <v>-0.41740000000004301</v>
      </c>
      <c r="AF2216">
        <v>-0.35853021412420899</v>
      </c>
      <c r="AG2216">
        <v>-1.1203338933039999</v>
      </c>
      <c r="AH2216">
        <v>16.1286265548136</v>
      </c>
      <c r="AI2216">
        <v>93.972544304398497</v>
      </c>
      <c r="AJ2216">
        <v>91.273442930329395</v>
      </c>
      <c r="AK2216">
        <v>16.1714651930975</v>
      </c>
      <c r="AL2216">
        <v>79.035753621825094</v>
      </c>
      <c r="AM2216">
        <v>87.632868056852601</v>
      </c>
      <c r="AN2216">
        <v>0.99999997464996104</v>
      </c>
    </row>
    <row r="2217" spans="1:40" x14ac:dyDescent="0.25">
      <c r="A2217" t="str">
        <f>"20190303162257532"</f>
        <v>20190303162257532</v>
      </c>
      <c r="B2217" t="str">
        <f>"1551601377516424"</f>
        <v>1551601377516424</v>
      </c>
      <c r="C2217" t="s">
        <v>40</v>
      </c>
      <c r="D2217">
        <v>5.4806330000000001</v>
      </c>
      <c r="E2217">
        <v>0.47872360000000003</v>
      </c>
      <c r="F2217" t="s">
        <v>47</v>
      </c>
      <c r="G2217">
        <v>-373.55579999999998</v>
      </c>
      <c r="H2217" s="1">
        <v>3.5545389999999998E-7</v>
      </c>
      <c r="I2217">
        <v>284.00049999999999</v>
      </c>
      <c r="J2217">
        <v>-357.17869999999999</v>
      </c>
      <c r="K2217">
        <v>1.120323</v>
      </c>
      <c r="L2217">
        <v>284.39359999999999</v>
      </c>
      <c r="M2217">
        <v>-0.99994629999999995</v>
      </c>
      <c r="N2217">
        <v>-9.7769420000000003E-3</v>
      </c>
      <c r="O2217">
        <v>-3.4473429999999998E-3</v>
      </c>
      <c r="P2217">
        <v>-0.98292670000000004</v>
      </c>
      <c r="Q2217">
        <v>0.1802357</v>
      </c>
      <c r="R2217">
        <v>3.7021230000000002E-2</v>
      </c>
      <c r="S2217">
        <v>-3.0932010000000001</v>
      </c>
      <c r="T2217">
        <v>-0.20786189999999999</v>
      </c>
      <c r="U2217">
        <v>-7.3120119999999997E-2</v>
      </c>
      <c r="V2217">
        <v>4.0448919999999999E-2</v>
      </c>
      <c r="W2217">
        <v>0.18982750000000001</v>
      </c>
      <c r="X2217">
        <v>0.98098390000000002</v>
      </c>
      <c r="Y2217">
        <v>-2.013935E-2</v>
      </c>
      <c r="Z2217">
        <v>-5.767201E-4</v>
      </c>
      <c r="AA2217">
        <v>0.99979700000000005</v>
      </c>
      <c r="AB2217">
        <v>30</v>
      </c>
      <c r="AC2217">
        <v>-16.377099999999899</v>
      </c>
      <c r="AD2217">
        <v>-1.1203226445461001</v>
      </c>
      <c r="AE2217">
        <v>-0.393100000000003</v>
      </c>
      <c r="AF2217">
        <v>-0.33507038139409701</v>
      </c>
      <c r="AG2217">
        <v>-1.1203226445461001</v>
      </c>
      <c r="AH2217">
        <v>16.3021138334556</v>
      </c>
      <c r="AI2217">
        <v>93.930502692643998</v>
      </c>
      <c r="AJ2217">
        <v>91.1774801785986</v>
      </c>
      <c r="AK2217">
        <v>16.343999217673598</v>
      </c>
      <c r="AL2217">
        <v>79.057282568183794</v>
      </c>
      <c r="AM2217">
        <v>87.638859989637297</v>
      </c>
      <c r="AN2217">
        <v>1.00000000347231</v>
      </c>
    </row>
    <row r="2218" spans="1:40" x14ac:dyDescent="0.25">
      <c r="A2218" t="str">
        <f>"20190303162257554"</f>
        <v>20190303162257554</v>
      </c>
      <c r="B2218" t="str">
        <f>"1551601377546682"</f>
        <v>1551601377546682</v>
      </c>
      <c r="C2218" t="s">
        <v>40</v>
      </c>
      <c r="D2218">
        <v>5.424156</v>
      </c>
      <c r="E2218">
        <v>0.47951959999999999</v>
      </c>
      <c r="F2218" t="s">
        <v>47</v>
      </c>
      <c r="G2218">
        <v>-374.12029999999999</v>
      </c>
      <c r="H2218" s="1">
        <v>6.5582790000000002E-7</v>
      </c>
      <c r="I2218">
        <v>284.01679999999999</v>
      </c>
      <c r="J2218">
        <v>-357.4778</v>
      </c>
      <c r="K2218">
        <v>1.1203209999999999</v>
      </c>
      <c r="L2218">
        <v>284.39269999999999</v>
      </c>
      <c r="M2218">
        <v>-0.99994700000000003</v>
      </c>
      <c r="N2218">
        <v>-9.7320059999999996E-3</v>
      </c>
      <c r="O2218">
        <v>-3.367147E-3</v>
      </c>
      <c r="P2218">
        <v>-0.9829156</v>
      </c>
      <c r="Q2218">
        <v>0.18020069999999999</v>
      </c>
      <c r="R2218">
        <v>3.747988E-2</v>
      </c>
      <c r="S2218">
        <v>-3.0921940000000001</v>
      </c>
      <c r="T2218">
        <v>-0.2044822</v>
      </c>
      <c r="U2218">
        <v>-6.8786620000000007E-2</v>
      </c>
      <c r="V2218">
        <v>4.0828330000000003E-2</v>
      </c>
      <c r="W2218">
        <v>0.1897479</v>
      </c>
      <c r="X2218">
        <v>0.98098359999999996</v>
      </c>
      <c r="Y2218">
        <v>-1.8831319999999999E-2</v>
      </c>
      <c r="Z2218">
        <v>-5.2399320000000001E-4</v>
      </c>
      <c r="AA2218">
        <v>0.99982260000000001</v>
      </c>
      <c r="AB2218">
        <v>30</v>
      </c>
      <c r="AC2218">
        <v>-16.642499999999899</v>
      </c>
      <c r="AD2218">
        <v>-1.1203203441720999</v>
      </c>
      <c r="AE2218">
        <v>-0.37590000000000101</v>
      </c>
      <c r="AF2218">
        <v>-0.318415291631167</v>
      </c>
      <c r="AG2218">
        <v>-1.1203203441720999</v>
      </c>
      <c r="AH2218">
        <v>16.5686280425031</v>
      </c>
      <c r="AI2218">
        <v>93.867566597753296</v>
      </c>
      <c r="AJ2218">
        <v>91.100972681156193</v>
      </c>
      <c r="AK2218">
        <v>16.609513574525</v>
      </c>
      <c r="AL2218">
        <v>79.0619279290771</v>
      </c>
      <c r="AM2218">
        <v>87.616737238278802</v>
      </c>
      <c r="AN2218">
        <v>1.0000000207769699</v>
      </c>
    </row>
    <row r="2219" spans="1:40" x14ac:dyDescent="0.25">
      <c r="A2219" t="str">
        <f>"20190303162257568"</f>
        <v>20190303162257568</v>
      </c>
      <c r="B2219" t="str">
        <f>"1551601377556441"</f>
        <v>1551601377556441</v>
      </c>
      <c r="C2219" t="s">
        <v>40</v>
      </c>
      <c r="D2219">
        <v>5.3634779999999997</v>
      </c>
      <c r="E2219">
        <v>0.47970180000000001</v>
      </c>
      <c r="F2219" t="s">
        <v>47</v>
      </c>
      <c r="G2219">
        <v>-374.90069999999997</v>
      </c>
      <c r="H2219" s="1">
        <v>1.071132E-6</v>
      </c>
      <c r="I2219">
        <v>284.04829999999998</v>
      </c>
      <c r="J2219">
        <v>-357.65679999999998</v>
      </c>
      <c r="K2219">
        <v>1.1203179999999999</v>
      </c>
      <c r="L2219">
        <v>284.39210000000003</v>
      </c>
      <c r="M2219">
        <v>-0.99994740000000004</v>
      </c>
      <c r="N2219">
        <v>-9.7071529999999996E-3</v>
      </c>
      <c r="O2219">
        <v>-3.3189920000000002E-3</v>
      </c>
      <c r="P2219">
        <v>-0.98287000000000002</v>
      </c>
      <c r="Q2219">
        <v>0.1804153</v>
      </c>
      <c r="R2219">
        <v>3.7641220000000003E-2</v>
      </c>
      <c r="S2219">
        <v>-3.0909420000000001</v>
      </c>
      <c r="T2219">
        <v>-0.1987526</v>
      </c>
      <c r="U2219">
        <v>-6.1096190000000002E-2</v>
      </c>
      <c r="V2219">
        <v>4.094213E-2</v>
      </c>
      <c r="W2219">
        <v>0.189938</v>
      </c>
      <c r="X2219">
        <v>0.98094210000000004</v>
      </c>
      <c r="Y2219">
        <v>-1.6409670000000001E-2</v>
      </c>
      <c r="Z2219">
        <v>-4.2575259999999999E-4</v>
      </c>
      <c r="AA2219">
        <v>0.99986520000000001</v>
      </c>
      <c r="AB2219">
        <v>30</v>
      </c>
      <c r="AC2219">
        <v>-17.243899999999901</v>
      </c>
      <c r="AD2219">
        <v>-1.1203169288679999</v>
      </c>
      <c r="AE2219">
        <v>-0.34380000000004401</v>
      </c>
      <c r="AF2219">
        <v>-0.28535903547931601</v>
      </c>
      <c r="AG2219">
        <v>-1.1203169288679999</v>
      </c>
      <c r="AH2219">
        <v>17.172490614319901</v>
      </c>
      <c r="AI2219">
        <v>93.732118757572707</v>
      </c>
      <c r="AJ2219">
        <v>90.952008889581194</v>
      </c>
      <c r="AK2219">
        <v>17.2113617619043</v>
      </c>
      <c r="AL2219">
        <v>79.050834611189401</v>
      </c>
      <c r="AM2219">
        <v>87.610001118178502</v>
      </c>
      <c r="AN2219">
        <v>1.00000005270267</v>
      </c>
    </row>
    <row r="2220" spans="1:40" x14ac:dyDescent="0.25">
      <c r="A2220" t="str">
        <f>"20190303162257586"</f>
        <v>20190303162257586</v>
      </c>
      <c r="B2220" t="str">
        <f>"1551601377576937"</f>
        <v>1551601377576937</v>
      </c>
      <c r="C2220" t="s">
        <v>40</v>
      </c>
      <c r="D2220">
        <v>5.3681729999999996</v>
      </c>
      <c r="E2220">
        <v>0.48014200000000001</v>
      </c>
      <c r="F2220" t="s">
        <v>47</v>
      </c>
      <c r="G2220">
        <v>-375.31270000000001</v>
      </c>
      <c r="H2220" s="1">
        <v>1.290395E-6</v>
      </c>
      <c r="I2220">
        <v>284.05349999999999</v>
      </c>
      <c r="J2220">
        <v>-357.91239999999999</v>
      </c>
      <c r="K2220">
        <v>1.120312</v>
      </c>
      <c r="L2220">
        <v>284.39139999999998</v>
      </c>
      <c r="M2220">
        <v>-0.99994810000000001</v>
      </c>
      <c r="N2220">
        <v>-9.674808E-3</v>
      </c>
      <c r="O2220">
        <v>-3.249821E-3</v>
      </c>
      <c r="P2220">
        <v>-0.98276289999999999</v>
      </c>
      <c r="Q2220">
        <v>0.18091019999999999</v>
      </c>
      <c r="R2220">
        <v>3.8063159999999999E-2</v>
      </c>
      <c r="S2220">
        <v>-3.0905149999999999</v>
      </c>
      <c r="T2220">
        <v>-0.19610150000000001</v>
      </c>
      <c r="U2220">
        <v>-5.9265140000000001E-2</v>
      </c>
      <c r="V2220">
        <v>4.1295800000000001E-2</v>
      </c>
      <c r="W2220">
        <v>0.19040009999999999</v>
      </c>
      <c r="X2220">
        <v>0.98083759999999998</v>
      </c>
      <c r="Y2220">
        <v>-1.589132E-2</v>
      </c>
      <c r="Z2220">
        <v>-4.0602230000000002E-4</v>
      </c>
      <c r="AA2220">
        <v>0.99987360000000003</v>
      </c>
      <c r="AB2220">
        <v>30</v>
      </c>
      <c r="AC2220">
        <v>-17.400300000000001</v>
      </c>
      <c r="AD2220">
        <v>-1.120310709605</v>
      </c>
      <c r="AE2220">
        <v>-0.33789999999998999</v>
      </c>
      <c r="AF2220">
        <v>-0.28018667865267799</v>
      </c>
      <c r="AG2220">
        <v>-1.120310709605</v>
      </c>
      <c r="AH2220">
        <v>17.329496144664802</v>
      </c>
      <c r="AI2220">
        <v>93.698406636550303</v>
      </c>
      <c r="AJ2220">
        <v>90.926288646556401</v>
      </c>
      <c r="AK2220">
        <v>17.367931289848599</v>
      </c>
      <c r="AL2220">
        <v>79.023865167919496</v>
      </c>
      <c r="AM2220">
        <v>87.589123337162704</v>
      </c>
      <c r="AN2220">
        <v>0.99999996937570401</v>
      </c>
    </row>
    <row r="2221" spans="1:40" x14ac:dyDescent="0.25">
      <c r="A2221" t="str">
        <f>"20190303162257600"</f>
        <v>20190303162257600</v>
      </c>
      <c r="B2221" t="str">
        <f>"1551601377587673"</f>
        <v>1551601377587673</v>
      </c>
      <c r="C2221" t="s">
        <v>40</v>
      </c>
      <c r="D2221">
        <v>5.3692149999999996</v>
      </c>
      <c r="E2221">
        <v>0.48032320000000001</v>
      </c>
      <c r="F2221" t="s">
        <v>47</v>
      </c>
      <c r="G2221">
        <v>-376.03559999999999</v>
      </c>
      <c r="H2221" s="1">
        <v>1.6750569999999999E-6</v>
      </c>
      <c r="I2221">
        <v>284.0711</v>
      </c>
      <c r="J2221">
        <v>-358.1</v>
      </c>
      <c r="K2221">
        <v>1.120312</v>
      </c>
      <c r="L2221">
        <v>284.39080000000001</v>
      </c>
      <c r="M2221">
        <v>-0.99994839999999996</v>
      </c>
      <c r="N2221">
        <v>-9.6533709999999991E-3</v>
      </c>
      <c r="O2221">
        <v>-3.1987000000000001E-3</v>
      </c>
      <c r="P2221">
        <v>-0.98276209999999997</v>
      </c>
      <c r="Q2221">
        <v>0.18088090000000001</v>
      </c>
      <c r="R2221">
        <v>3.822441E-2</v>
      </c>
      <c r="S2221">
        <v>-3.0899049999999999</v>
      </c>
      <c r="T2221">
        <v>-0.19100619999999999</v>
      </c>
      <c r="U2221">
        <v>-5.4595949999999997E-2</v>
      </c>
      <c r="V2221">
        <v>4.1406770000000002E-2</v>
      </c>
      <c r="W2221">
        <v>0.19034999999999999</v>
      </c>
      <c r="X2221">
        <v>0.98084269999999996</v>
      </c>
      <c r="Y2221">
        <v>-1.4440420000000001E-2</v>
      </c>
      <c r="Z2221">
        <v>-3.4897489999999998E-4</v>
      </c>
      <c r="AA2221">
        <v>0.99989570000000005</v>
      </c>
      <c r="AB2221">
        <v>30</v>
      </c>
      <c r="AC2221">
        <v>-17.935599999999901</v>
      </c>
      <c r="AD2221">
        <v>-1.120310324943</v>
      </c>
      <c r="AE2221">
        <v>-0.31970000000001098</v>
      </c>
      <c r="AF2221">
        <v>-0.26130590141004001</v>
      </c>
      <c r="AG2221">
        <v>-1.120310324943</v>
      </c>
      <c r="AH2221">
        <v>17.8668434332223</v>
      </c>
      <c r="AI2221">
        <v>93.587555374703797</v>
      </c>
      <c r="AJ2221">
        <v>90.837901671957994</v>
      </c>
      <c r="AK2221">
        <v>17.9038395397626</v>
      </c>
      <c r="AL2221">
        <v>79.026789753765598</v>
      </c>
      <c r="AM2221">
        <v>87.582665063092506</v>
      </c>
      <c r="AN2221">
        <v>1.00000002262256</v>
      </c>
    </row>
    <row r="2222" spans="1:40" x14ac:dyDescent="0.25">
      <c r="A2222" t="str">
        <f>"20190303162257621"</f>
        <v>20190303162257621</v>
      </c>
      <c r="B2222" t="str">
        <f>"1551601377607193"</f>
        <v>1551601377607193</v>
      </c>
      <c r="C2222" t="s">
        <v>40</v>
      </c>
      <c r="D2222">
        <v>5.3689559999999998</v>
      </c>
      <c r="E2222">
        <v>0.48068670000000002</v>
      </c>
      <c r="F2222" t="s">
        <v>47</v>
      </c>
      <c r="G2222">
        <v>-376.36689999999999</v>
      </c>
      <c r="H2222" s="1">
        <v>1.85137E-6</v>
      </c>
      <c r="I2222">
        <v>284.08080000000001</v>
      </c>
      <c r="J2222">
        <v>-358.3698</v>
      </c>
      <c r="K2222">
        <v>1.1203179999999999</v>
      </c>
      <c r="L2222">
        <v>284.39</v>
      </c>
      <c r="M2222">
        <v>-0.99994890000000003</v>
      </c>
      <c r="N2222">
        <v>-9.6264669999999997E-3</v>
      </c>
      <c r="O2222">
        <v>-3.1258549999999999E-3</v>
      </c>
      <c r="P2222">
        <v>-0.98257209999999995</v>
      </c>
      <c r="Q2222">
        <v>0.18189449999999999</v>
      </c>
      <c r="R2222">
        <v>3.8300920000000002E-2</v>
      </c>
      <c r="S2222">
        <v>-3.0895389999999998</v>
      </c>
      <c r="T2222">
        <v>-0.18948110000000001</v>
      </c>
      <c r="U2222">
        <v>-5.2429199999999898E-2</v>
      </c>
      <c r="V2222">
        <v>4.1411440000000001E-2</v>
      </c>
      <c r="W2222">
        <v>0.1913348</v>
      </c>
      <c r="X2222">
        <v>0.98065080000000004</v>
      </c>
      <c r="Y2222">
        <v>-1.381597E-2</v>
      </c>
      <c r="Z2222">
        <v>-3.2836889999999998E-4</v>
      </c>
      <c r="AA2222">
        <v>0.99990449999999997</v>
      </c>
      <c r="AB2222">
        <v>30</v>
      </c>
      <c r="AC2222">
        <v>-17.9970999999999</v>
      </c>
      <c r="AD2222">
        <v>-1.12031614863</v>
      </c>
      <c r="AE2222">
        <v>-0.30919999999997499</v>
      </c>
      <c r="AF2222">
        <v>-0.25196348393942197</v>
      </c>
      <c r="AG2222">
        <v>-1.12031614863</v>
      </c>
      <c r="AH2222">
        <v>17.928525382892001</v>
      </c>
      <c r="AI2222">
        <v>93.575292438357806</v>
      </c>
      <c r="AJ2222">
        <v>90.805169057951403</v>
      </c>
      <c r="AK2222">
        <v>17.965261375084999</v>
      </c>
      <c r="AL2222">
        <v>78.969307615708004</v>
      </c>
      <c r="AM2222">
        <v>87.581920219803905</v>
      </c>
      <c r="AN2222">
        <v>0.99999995229727501</v>
      </c>
    </row>
    <row r="2223" spans="1:40" x14ac:dyDescent="0.25">
      <c r="A2223" t="str">
        <f>"20190303162257645"</f>
        <v>20190303162257645</v>
      </c>
      <c r="B2223" t="str">
        <f>"1551601377636472"</f>
        <v>1551601377636472</v>
      </c>
      <c r="C2223" t="s">
        <v>40</v>
      </c>
      <c r="D2223">
        <v>5.367407</v>
      </c>
      <c r="E2223">
        <v>0.48118610000000001</v>
      </c>
      <c r="F2223" t="s">
        <v>47</v>
      </c>
      <c r="G2223">
        <v>-377.25569999999999</v>
      </c>
      <c r="H2223" s="1">
        <v>2.3243590000000001E-6</v>
      </c>
      <c r="I2223">
        <v>284.0915</v>
      </c>
      <c r="J2223">
        <v>-358.67540000000002</v>
      </c>
      <c r="K2223">
        <v>1.120323</v>
      </c>
      <c r="L2223">
        <v>284.38920000000002</v>
      </c>
      <c r="M2223">
        <v>-0.99994930000000004</v>
      </c>
      <c r="N2223">
        <v>-9.5903910000000002E-3</v>
      </c>
      <c r="O2223">
        <v>-3.0423609999999999E-3</v>
      </c>
      <c r="P2223">
        <v>-0.98237589999999997</v>
      </c>
      <c r="Q2223">
        <v>0.18297669999999999</v>
      </c>
      <c r="R2223">
        <v>3.8171530000000002E-2</v>
      </c>
      <c r="S2223">
        <v>-3.0890810000000002</v>
      </c>
      <c r="T2223">
        <v>-0.1832443</v>
      </c>
      <c r="U2223">
        <v>-4.8828129999999997E-2</v>
      </c>
      <c r="V2223">
        <v>4.1199590000000001E-2</v>
      </c>
      <c r="W2223">
        <v>0.19237979999999999</v>
      </c>
      <c r="X2223">
        <v>0.98045530000000003</v>
      </c>
      <c r="Y2223">
        <v>-1.274025E-2</v>
      </c>
      <c r="Z2223">
        <v>-2.875334E-4</v>
      </c>
      <c r="AA2223">
        <v>0.9999188</v>
      </c>
      <c r="AB2223">
        <v>30</v>
      </c>
      <c r="AC2223">
        <v>-18.580299999999902</v>
      </c>
      <c r="AD2223">
        <v>-1.120320675641</v>
      </c>
      <c r="AE2223">
        <v>-0.29770000000002</v>
      </c>
      <c r="AF2223">
        <v>-0.24029464022345301</v>
      </c>
      <c r="AG2223">
        <v>-1.120320675641</v>
      </c>
      <c r="AH2223">
        <v>18.5138276679833</v>
      </c>
      <c r="AI2223">
        <v>93.462605546577507</v>
      </c>
      <c r="AJ2223">
        <v>90.743611528615901</v>
      </c>
      <c r="AK2223">
        <v>18.549249980799001</v>
      </c>
      <c r="AL2223">
        <v>78.908300648379296</v>
      </c>
      <c r="AM2223">
        <v>87.593796775980294</v>
      </c>
      <c r="AN2223">
        <v>0.99999999448114896</v>
      </c>
    </row>
    <row r="2224" spans="1:40" x14ac:dyDescent="0.25">
      <c r="A2224" t="str">
        <f>"20190303162257664"</f>
        <v>20190303162257664</v>
      </c>
      <c r="B2224" t="str">
        <f>"1551601377656970"</f>
        <v>1551601377656970</v>
      </c>
      <c r="C2224" t="s">
        <v>40</v>
      </c>
      <c r="D2224">
        <v>5.3064669999999996</v>
      </c>
      <c r="E2224">
        <v>0.48149910000000001</v>
      </c>
      <c r="F2224" t="s">
        <v>47</v>
      </c>
      <c r="G2224">
        <v>-378.4058</v>
      </c>
      <c r="H2224" s="1">
        <v>2.9363679999999999E-6</v>
      </c>
      <c r="I2224">
        <v>284.09570000000002</v>
      </c>
      <c r="J2224">
        <v>-358.95519999999999</v>
      </c>
      <c r="K2224">
        <v>1.120312</v>
      </c>
      <c r="L2224">
        <v>284.38839999999999</v>
      </c>
      <c r="M2224">
        <v>-0.99995009999999995</v>
      </c>
      <c r="N2224">
        <v>-9.5380989999999995E-3</v>
      </c>
      <c r="O2224">
        <v>-2.965826E-3</v>
      </c>
      <c r="P2224">
        <v>-0.98215200000000003</v>
      </c>
      <c r="Q2224">
        <v>0.18411040000000001</v>
      </c>
      <c r="R2224">
        <v>3.8479529999999998E-2</v>
      </c>
      <c r="S2224">
        <v>-3.088257</v>
      </c>
      <c r="T2224">
        <v>-0.17535580000000001</v>
      </c>
      <c r="U2224">
        <v>-4.5928959999999998E-2</v>
      </c>
      <c r="V2224">
        <v>4.143198E-2</v>
      </c>
      <c r="W2224">
        <v>0.1934601</v>
      </c>
      <c r="X2224">
        <v>0.98023289999999996</v>
      </c>
      <c r="Y2224">
        <v>-1.1885730000000001E-2</v>
      </c>
      <c r="Z2224">
        <v>-2.5390649999999999E-4</v>
      </c>
      <c r="AA2224">
        <v>0.99992930000000002</v>
      </c>
      <c r="AB2224">
        <v>30</v>
      </c>
      <c r="AC2224">
        <v>-19.450600000000001</v>
      </c>
      <c r="AD2224">
        <v>-1.1203090636319999</v>
      </c>
      <c r="AE2224">
        <v>-0.29269999999996799</v>
      </c>
      <c r="AF2224">
        <v>-0.234232105523349</v>
      </c>
      <c r="AG2224">
        <v>-1.1203090636319999</v>
      </c>
      <c r="AH2224">
        <v>19.387080688392501</v>
      </c>
      <c r="AI2224">
        <v>93.306996455832405</v>
      </c>
      <c r="AJ2224">
        <v>90.692206234753996</v>
      </c>
      <c r="AK2224">
        <v>19.420835581806301</v>
      </c>
      <c r="AL2224">
        <v>78.845218815708407</v>
      </c>
      <c r="AM2224">
        <v>87.579692103512599</v>
      </c>
      <c r="AN2224">
        <v>0.99999997875056901</v>
      </c>
    </row>
    <row r="2225" spans="1:40" x14ac:dyDescent="0.25">
      <c r="A2225" t="str">
        <f>"20190303162257688"</f>
        <v>20190303162257688</v>
      </c>
      <c r="B2225" t="str">
        <f>"1551601377676489"</f>
        <v>1551601377676489</v>
      </c>
      <c r="C2225" t="s">
        <v>40</v>
      </c>
      <c r="D2225">
        <v>5.3666320000000001</v>
      </c>
      <c r="E2225">
        <v>0.48179739999999999</v>
      </c>
      <c r="F2225" t="s">
        <v>47</v>
      </c>
      <c r="G2225">
        <v>-379.3895</v>
      </c>
      <c r="H2225" s="1">
        <v>3.4598209999999998E-6</v>
      </c>
      <c r="I2225">
        <v>284.10419999999999</v>
      </c>
      <c r="J2225">
        <v>-359.26069999999999</v>
      </c>
      <c r="K2225">
        <v>1.1202970000000001</v>
      </c>
      <c r="L2225">
        <v>284.38760000000002</v>
      </c>
      <c r="M2225">
        <v>-0.99995120000000004</v>
      </c>
      <c r="N2225">
        <v>-9.4612299999999993E-3</v>
      </c>
      <c r="O2225">
        <v>-2.8817890000000001E-3</v>
      </c>
      <c r="P2225">
        <v>-0.98204259999999999</v>
      </c>
      <c r="Q2225">
        <v>0.18477270000000001</v>
      </c>
      <c r="R2225">
        <v>3.8101070000000001E-2</v>
      </c>
      <c r="S2225">
        <v>-3.0879210000000001</v>
      </c>
      <c r="T2225">
        <v>-0.16929539999999901</v>
      </c>
      <c r="U2225">
        <v>-4.2938230000000001E-2</v>
      </c>
      <c r="V2225">
        <v>4.0970529999999998E-2</v>
      </c>
      <c r="W2225">
        <v>0.19404669999999999</v>
      </c>
      <c r="X2225">
        <v>0.98013629999999996</v>
      </c>
      <c r="Y2225">
        <v>-1.100576E-2</v>
      </c>
      <c r="Z2225">
        <v>-2.2294909999999999E-4</v>
      </c>
      <c r="AA2225">
        <v>0.99993940000000003</v>
      </c>
      <c r="AB2225">
        <v>30</v>
      </c>
      <c r="AC2225">
        <v>-20.128799999999998</v>
      </c>
      <c r="AD2225">
        <v>-1.120293540179</v>
      </c>
      <c r="AE2225">
        <v>-0.28340000000002802</v>
      </c>
      <c r="AF2225">
        <v>-0.224693402272612</v>
      </c>
      <c r="AG2225">
        <v>-1.120293540179</v>
      </c>
      <c r="AH2225">
        <v>20.067384369513</v>
      </c>
      <c r="AI2225">
        <v>93.1951110852483</v>
      </c>
      <c r="AJ2225">
        <v>90.641510892875502</v>
      </c>
      <c r="AK2225">
        <v>20.099887068711801</v>
      </c>
      <c r="AL2225">
        <v>78.810959432353997</v>
      </c>
      <c r="AM2225">
        <v>87.606381224743004</v>
      </c>
      <c r="AN2225">
        <v>0.99999993634352802</v>
      </c>
    </row>
    <row r="2226" spans="1:40" x14ac:dyDescent="0.25">
      <c r="A2226" t="str">
        <f>"20190303162257710"</f>
        <v>20190303162257710</v>
      </c>
      <c r="B2226" t="str">
        <f>"1551601377696985"</f>
        <v>1551601377696985</v>
      </c>
      <c r="C2226" t="s">
        <v>40</v>
      </c>
      <c r="D2226">
        <v>5.1871910000000003</v>
      </c>
      <c r="E2226">
        <v>0.48208679999999898</v>
      </c>
      <c r="F2226" t="s">
        <v>47</v>
      </c>
      <c r="G2226">
        <v>-380.19490000000002</v>
      </c>
      <c r="H2226" s="1">
        <v>-1.433052E-6</v>
      </c>
      <c r="I2226">
        <v>284.10989999999998</v>
      </c>
      <c r="J2226">
        <v>-359.55880000000002</v>
      </c>
      <c r="K2226">
        <v>1.1202829999999999</v>
      </c>
      <c r="L2226">
        <v>284.38679999999999</v>
      </c>
      <c r="M2226">
        <v>-0.99995239999999996</v>
      </c>
      <c r="N2226">
        <v>-9.3555549999999998E-3</v>
      </c>
      <c r="O2226">
        <v>-2.7998860000000001E-3</v>
      </c>
      <c r="P2226">
        <v>-0.98194550000000003</v>
      </c>
      <c r="Q2226">
        <v>0.18537490000000001</v>
      </c>
      <c r="R2226">
        <v>3.7676969999999997E-2</v>
      </c>
      <c r="S2226">
        <v>-3.0875240000000002</v>
      </c>
      <c r="T2226">
        <v>-0.1652296</v>
      </c>
      <c r="U2226">
        <v>-4.0954589999999999E-2</v>
      </c>
      <c r="V2226">
        <v>4.0466000000000002E-2</v>
      </c>
      <c r="W2226">
        <v>0.19454399999999999</v>
      </c>
      <c r="X2226">
        <v>0.98005869999999995</v>
      </c>
      <c r="Y2226">
        <v>-1.044872E-2</v>
      </c>
      <c r="Z2226">
        <v>-2.0474840000000001E-4</v>
      </c>
      <c r="AA2226">
        <v>0.99994539999999998</v>
      </c>
      <c r="AB2226">
        <v>30</v>
      </c>
      <c r="AC2226">
        <v>-20.636099999999999</v>
      </c>
      <c r="AD2226">
        <v>-1.1202844330520001</v>
      </c>
      <c r="AE2226">
        <v>-0.27690000000001103</v>
      </c>
      <c r="AF2226">
        <v>-0.21847390501732999</v>
      </c>
      <c r="AG2226">
        <v>-1.1202844330520001</v>
      </c>
      <c r="AH2226">
        <v>20.5761644251773</v>
      </c>
      <c r="AI2226">
        <v>93.116258665361698</v>
      </c>
      <c r="AJ2226">
        <v>90.608333120796402</v>
      </c>
      <c r="AK2226">
        <v>20.607797323101799</v>
      </c>
      <c r="AL2226">
        <v>78.781912969417107</v>
      </c>
      <c r="AM2226">
        <v>87.635636715401304</v>
      </c>
      <c r="AN2226">
        <v>0.99999996026884397</v>
      </c>
    </row>
    <row r="2227" spans="1:40" x14ac:dyDescent="0.25">
      <c r="A2227" t="str">
        <f>"20190303162257732"</f>
        <v>20190303162257732</v>
      </c>
      <c r="B2227" t="str">
        <f>"1551601377727241"</f>
        <v>1551601377727241</v>
      </c>
      <c r="C2227" t="s">
        <v>40</v>
      </c>
      <c r="D2227">
        <v>5.3091330000000001</v>
      </c>
      <c r="E2227">
        <v>0.48249180000000003</v>
      </c>
      <c r="F2227" t="s">
        <v>47</v>
      </c>
      <c r="G2227">
        <v>-380.98500000000001</v>
      </c>
      <c r="H2227" s="1">
        <v>-1.012592E-6</v>
      </c>
      <c r="I2227">
        <v>284.11329999999998</v>
      </c>
      <c r="J2227">
        <v>-359.85629999999998</v>
      </c>
      <c r="K2227">
        <v>1.1202540000000001</v>
      </c>
      <c r="L2227">
        <v>284.38600000000002</v>
      </c>
      <c r="M2227">
        <v>-0.99995389999999995</v>
      </c>
      <c r="N2227">
        <v>-9.2102569999999995E-3</v>
      </c>
      <c r="O2227">
        <v>-2.7181660000000002E-3</v>
      </c>
      <c r="P2227">
        <v>-0.98191949999999995</v>
      </c>
      <c r="Q2227">
        <v>0.18548790000000001</v>
      </c>
      <c r="R2227">
        <v>3.7796799999999998E-2</v>
      </c>
      <c r="S2227">
        <v>-3.087189</v>
      </c>
      <c r="T2227">
        <v>-0.16141520000000001</v>
      </c>
      <c r="U2227">
        <v>-3.939819E-2</v>
      </c>
      <c r="V2227">
        <v>4.0505609999999997E-2</v>
      </c>
      <c r="W2227">
        <v>0.19451450000000001</v>
      </c>
      <c r="X2227">
        <v>0.98006300000000002</v>
      </c>
      <c r="Y2227">
        <v>-1.0029089999999999E-2</v>
      </c>
      <c r="Z2227">
        <v>-1.9122719999999999E-4</v>
      </c>
      <c r="AA2227">
        <v>0.99994970000000005</v>
      </c>
      <c r="AB2227">
        <v>30</v>
      </c>
      <c r="AC2227">
        <v>-21.128699999999998</v>
      </c>
      <c r="AD2227">
        <v>-1.1202550125920001</v>
      </c>
      <c r="AE2227">
        <v>-0.27269999999998601</v>
      </c>
      <c r="AF2227">
        <v>-0.214661890893274</v>
      </c>
      <c r="AG2227">
        <v>-1.1202550125920001</v>
      </c>
      <c r="AH2227">
        <v>21.070141177152799</v>
      </c>
      <c r="AI2227">
        <v>93.043272650915398</v>
      </c>
      <c r="AJ2227">
        <v>90.583707283327797</v>
      </c>
      <c r="AK2227">
        <v>21.1009928734596</v>
      </c>
      <c r="AL2227">
        <v>78.783637013575003</v>
      </c>
      <c r="AM2227">
        <v>87.633335369059694</v>
      </c>
      <c r="AN2227">
        <v>1.0000000395603601</v>
      </c>
    </row>
    <row r="2228" spans="1:40" x14ac:dyDescent="0.25">
      <c r="A2228" t="str">
        <f>"20190303162257754"</f>
        <v>20190303162257754</v>
      </c>
      <c r="B2228" t="str">
        <f>"1551601377746761"</f>
        <v>1551601377746761</v>
      </c>
      <c r="C2228" t="s">
        <v>40</v>
      </c>
      <c r="D2228">
        <v>5.1333250000000001</v>
      </c>
      <c r="E2228">
        <v>0.48282409999999998</v>
      </c>
      <c r="F2228" t="s">
        <v>47</v>
      </c>
      <c r="G2228">
        <v>-381.68459999999999</v>
      </c>
      <c r="H2228" s="1">
        <v>-6.4031269999999899E-7</v>
      </c>
      <c r="I2228">
        <v>284.13010000000003</v>
      </c>
      <c r="J2228">
        <v>-360.15309999999999</v>
      </c>
      <c r="K2228">
        <v>1.120217</v>
      </c>
      <c r="L2228">
        <v>284.38529999999997</v>
      </c>
      <c r="M2228">
        <v>-0.99995579999999995</v>
      </c>
      <c r="N2228">
        <v>-9.0266040000000006E-3</v>
      </c>
      <c r="O2228">
        <v>-2.6367640000000002E-3</v>
      </c>
      <c r="P2228">
        <v>-0.98189689999999996</v>
      </c>
      <c r="Q2228">
        <v>0.1856304</v>
      </c>
      <c r="R2228">
        <v>3.7680350000000001E-2</v>
      </c>
      <c r="S2228">
        <v>-3.0865170000000002</v>
      </c>
      <c r="T2228">
        <v>-0.15840379999999901</v>
      </c>
      <c r="U2228">
        <v>-3.619385E-2</v>
      </c>
      <c r="V2228">
        <v>4.0308950000000003E-2</v>
      </c>
      <c r="W2228">
        <v>0.19447710000000001</v>
      </c>
      <c r="X2228">
        <v>0.98007849999999996</v>
      </c>
      <c r="Y2228">
        <v>-9.0772079999999998E-3</v>
      </c>
      <c r="Z2228">
        <v>-1.6232780000000001E-4</v>
      </c>
      <c r="AA2228">
        <v>0.99995880000000004</v>
      </c>
      <c r="AB2228">
        <v>30</v>
      </c>
      <c r="AC2228">
        <v>-21.531499999999902</v>
      </c>
      <c r="AD2228">
        <v>-1.1202176403127</v>
      </c>
      <c r="AE2228">
        <v>-0.25519999999994503</v>
      </c>
      <c r="AF2228">
        <v>-0.19788774918860499</v>
      </c>
      <c r="AG2228">
        <v>-1.1202176403127</v>
      </c>
      <c r="AH2228">
        <v>21.473980458266301</v>
      </c>
      <c r="AI2228">
        <v>92.986074180625593</v>
      </c>
      <c r="AJ2228">
        <v>90.527979055279204</v>
      </c>
      <c r="AK2228">
        <v>21.5040899329627</v>
      </c>
      <c r="AL2228">
        <v>78.785821258217695</v>
      </c>
      <c r="AM2228">
        <v>87.644850068220507</v>
      </c>
      <c r="AN2228">
        <v>1.0000000100183799</v>
      </c>
    </row>
    <row r="2229" spans="1:40" x14ac:dyDescent="0.25">
      <c r="A2229" t="str">
        <f>"20190303162257777"</f>
        <v>20190303162257777</v>
      </c>
      <c r="B2229" t="str">
        <f>"1551601377766280"</f>
        <v>1551601377766280</v>
      </c>
      <c r="C2229" t="s">
        <v>40</v>
      </c>
      <c r="D2229">
        <v>5.302664</v>
      </c>
      <c r="E2229">
        <v>0.48310940000000002</v>
      </c>
      <c r="F2229" t="s">
        <v>47</v>
      </c>
      <c r="G2229">
        <v>-382.1814</v>
      </c>
      <c r="H2229" s="1">
        <v>-3.7595220000000001E-7</v>
      </c>
      <c r="I2229">
        <v>284.1429</v>
      </c>
      <c r="J2229">
        <v>-360.45729999999998</v>
      </c>
      <c r="K2229">
        <v>1.1201749999999999</v>
      </c>
      <c r="L2229">
        <v>284.38459999999998</v>
      </c>
      <c r="M2229">
        <v>-0.99995800000000001</v>
      </c>
      <c r="N2229">
        <v>-8.8110789999999994E-3</v>
      </c>
      <c r="O2229">
        <v>-2.5532150000000002E-3</v>
      </c>
      <c r="P2229">
        <v>-0.98187829999999998</v>
      </c>
      <c r="Q2229">
        <v>0.18573149999999999</v>
      </c>
      <c r="R2229">
        <v>3.7670149999999999E-2</v>
      </c>
      <c r="S2229">
        <v>-3.0862729999999998</v>
      </c>
      <c r="T2229">
        <v>-0.1569477</v>
      </c>
      <c r="U2229">
        <v>-3.3966059999999999E-2</v>
      </c>
      <c r="V2229">
        <v>4.0217080000000002E-2</v>
      </c>
      <c r="W2229">
        <v>0.1943667</v>
      </c>
      <c r="X2229">
        <v>0.98010410000000003</v>
      </c>
      <c r="Y2229">
        <v>-8.4411209999999993E-3</v>
      </c>
      <c r="Z2229">
        <v>-1.4443569999999999E-4</v>
      </c>
      <c r="AA2229">
        <v>0.99996439999999998</v>
      </c>
      <c r="AB2229">
        <v>30</v>
      </c>
      <c r="AC2229">
        <v>-21.7241</v>
      </c>
      <c r="AD2229">
        <v>-1.1201753759522</v>
      </c>
      <c r="AE2229">
        <v>-0.24169999999997999</v>
      </c>
      <c r="AF2229">
        <v>-0.18573698573196401</v>
      </c>
      <c r="AG2229">
        <v>-1.1201753759522</v>
      </c>
      <c r="AH2229">
        <v>21.667044743708601</v>
      </c>
      <c r="AI2229">
        <v>92.959419698723806</v>
      </c>
      <c r="AJ2229">
        <v>90.491146109015006</v>
      </c>
      <c r="AK2229">
        <v>21.6967766967038</v>
      </c>
      <c r="AL2229">
        <v>78.792268936033906</v>
      </c>
      <c r="AM2229">
        <v>87.650273083057797</v>
      </c>
      <c r="AN2229">
        <v>0.99999993721471103</v>
      </c>
    </row>
    <row r="2230" spans="1:40" x14ac:dyDescent="0.25">
      <c r="A2230" t="str">
        <f>"20190303162257799"</f>
        <v>20190303162257799</v>
      </c>
      <c r="B2230" t="str">
        <f>"1551601377786776"</f>
        <v>1551601377786776</v>
      </c>
      <c r="C2230" t="s">
        <v>40</v>
      </c>
      <c r="D2230">
        <v>5.3057319999999999</v>
      </c>
      <c r="E2230">
        <v>0.483404</v>
      </c>
      <c r="F2230" t="s">
        <v>47</v>
      </c>
      <c r="G2230">
        <v>-382.65690000000001</v>
      </c>
      <c r="H2230" s="1">
        <v>-1.2294510000000001E-7</v>
      </c>
      <c r="I2230">
        <v>284.15870000000001</v>
      </c>
      <c r="J2230">
        <v>-360.76600000000002</v>
      </c>
      <c r="K2230">
        <v>1.120136</v>
      </c>
      <c r="L2230">
        <v>284.38389999999998</v>
      </c>
      <c r="M2230">
        <v>-0.99996019999999997</v>
      </c>
      <c r="N2230">
        <v>-8.5825150000000006E-3</v>
      </c>
      <c r="O2230">
        <v>-2.4686809999999999E-3</v>
      </c>
      <c r="P2230">
        <v>-0.98190069999999996</v>
      </c>
      <c r="Q2230">
        <v>0.1856815</v>
      </c>
      <c r="R2230">
        <v>3.7332169999999998E-2</v>
      </c>
      <c r="S2230">
        <v>-3.0860599999999998</v>
      </c>
      <c r="T2230">
        <v>-0.15572040000000001</v>
      </c>
      <c r="U2230">
        <v>-3.1402590000000001E-2</v>
      </c>
      <c r="V2230">
        <v>3.9796079999999998E-2</v>
      </c>
      <c r="W2230">
        <v>0.19409309999999999</v>
      </c>
      <c r="X2230">
        <v>0.98017560000000004</v>
      </c>
      <c r="Y2230">
        <v>-7.6971280000000001E-3</v>
      </c>
      <c r="Z2230">
        <v>-1.2381499999999999E-4</v>
      </c>
      <c r="AA2230">
        <v>0.99997040000000004</v>
      </c>
      <c r="AB2230">
        <v>30</v>
      </c>
      <c r="AC2230">
        <v>-21.890899999999998</v>
      </c>
      <c r="AD2230">
        <v>-1.1201361229450999</v>
      </c>
      <c r="AE2230">
        <v>-0.22519999999997201</v>
      </c>
      <c r="AF2230">
        <v>-0.17070876428916501</v>
      </c>
      <c r="AG2230">
        <v>-1.1201361229450999</v>
      </c>
      <c r="AH2230">
        <v>21.834227411071701</v>
      </c>
      <c r="AI2230">
        <v>92.936714897013502</v>
      </c>
      <c r="AJ2230">
        <v>90.447952302104</v>
      </c>
      <c r="AK2230">
        <v>21.8636075032124</v>
      </c>
      <c r="AL2230">
        <v>78.808250481109795</v>
      </c>
      <c r="AM2230">
        <v>87.675012754409096</v>
      </c>
      <c r="AN2230">
        <v>1.00000003314316</v>
      </c>
    </row>
    <row r="2231" spans="1:40" x14ac:dyDescent="0.25">
      <c r="A2231" t="str">
        <f>"20190303162257822"</f>
        <v>20190303162257822</v>
      </c>
      <c r="B2231" t="str">
        <f>"1551601377806297"</f>
        <v>1551601377806297</v>
      </c>
      <c r="C2231" t="s">
        <v>40</v>
      </c>
      <c r="D2231">
        <v>5.4241950000000001</v>
      </c>
      <c r="E2231">
        <v>0.48366049999999999</v>
      </c>
      <c r="F2231" t="s">
        <v>47</v>
      </c>
      <c r="G2231">
        <v>-383.03890000000001</v>
      </c>
      <c r="H2231" s="1">
        <v>8.0374920000000004E-8</v>
      </c>
      <c r="I2231">
        <v>284.16759999999999</v>
      </c>
      <c r="J2231">
        <v>-361.0804</v>
      </c>
      <c r="K2231">
        <v>1.120098</v>
      </c>
      <c r="L2231">
        <v>284.38319999999999</v>
      </c>
      <c r="M2231">
        <v>-0.99996240000000003</v>
      </c>
      <c r="N2231">
        <v>-8.3575509999999995E-3</v>
      </c>
      <c r="O2231">
        <v>-2.3827560000000002E-3</v>
      </c>
      <c r="P2231">
        <v>-0.98189539999999997</v>
      </c>
      <c r="Q2231">
        <v>0.1857521</v>
      </c>
      <c r="R2231">
        <v>3.7119239999999998E-2</v>
      </c>
      <c r="S2231">
        <v>-3.0858150000000002</v>
      </c>
      <c r="T2231">
        <v>-0.15518959999999901</v>
      </c>
      <c r="U2231">
        <v>-2.996826E-2</v>
      </c>
      <c r="V2231">
        <v>3.9498770000000002E-2</v>
      </c>
      <c r="W2231">
        <v>0.1939429</v>
      </c>
      <c r="X2231">
        <v>0.98021729999999996</v>
      </c>
      <c r="Y2231">
        <v>-7.3197100000000001E-3</v>
      </c>
      <c r="Z2231">
        <v>-1.147E-4</v>
      </c>
      <c r="AA2231">
        <v>0.99997320000000001</v>
      </c>
      <c r="AB2231">
        <v>30</v>
      </c>
      <c r="AC2231">
        <v>-21.958500000000001</v>
      </c>
      <c r="AD2231">
        <v>-1.12009791962508</v>
      </c>
      <c r="AE2231">
        <v>-0.21559999999999399</v>
      </c>
      <c r="AF2231">
        <v>-0.16285212172695701</v>
      </c>
      <c r="AG2231">
        <v>-1.12009791962508</v>
      </c>
      <c r="AH2231">
        <v>21.9019680585318</v>
      </c>
      <c r="AI2231">
        <v>92.927556608430805</v>
      </c>
      <c r="AJ2231">
        <v>90.426015017703193</v>
      </c>
      <c r="AK2231">
        <v>21.9311957038381</v>
      </c>
      <c r="AL2231">
        <v>78.817022380908</v>
      </c>
      <c r="AM2231">
        <v>87.692461569517206</v>
      </c>
      <c r="AN2231">
        <v>0.99999997825560605</v>
      </c>
    </row>
    <row r="2232" spans="1:40" x14ac:dyDescent="0.25">
      <c r="A2232" t="str">
        <f>"20190303162257845"</f>
        <v>20190303162257845</v>
      </c>
      <c r="B2232" t="str">
        <f>"1551601377836553"</f>
        <v>1551601377836553</v>
      </c>
      <c r="C2232" t="s">
        <v>40</v>
      </c>
      <c r="D2232">
        <v>5.3039079999999998</v>
      </c>
      <c r="E2232">
        <v>0.48395379999999899</v>
      </c>
      <c r="F2232" t="s">
        <v>47</v>
      </c>
      <c r="G2232">
        <v>-383.53750000000002</v>
      </c>
      <c r="H2232" s="1">
        <v>3.4568499999999999E-7</v>
      </c>
      <c r="I2232">
        <v>284.17219999999998</v>
      </c>
      <c r="J2232">
        <v>-361.38319999999999</v>
      </c>
      <c r="K2232">
        <v>1.1200699999999999</v>
      </c>
      <c r="L2232">
        <v>284.38249999999999</v>
      </c>
      <c r="M2232">
        <v>-0.99996410000000002</v>
      </c>
      <c r="N2232">
        <v>-8.1631020000000002E-3</v>
      </c>
      <c r="O2232">
        <v>-2.3000749999999999E-3</v>
      </c>
      <c r="P2232">
        <v>-0.98190549999999999</v>
      </c>
      <c r="Q2232">
        <v>0.1856727</v>
      </c>
      <c r="R2232">
        <v>3.7243859999999997E-2</v>
      </c>
      <c r="S2232">
        <v>-3.0855100000000002</v>
      </c>
      <c r="T2232">
        <v>-0.15389649999999999</v>
      </c>
      <c r="U2232">
        <v>-2.8991699999999999E-2</v>
      </c>
      <c r="V2232">
        <v>3.9542279999999999E-2</v>
      </c>
      <c r="W2232">
        <v>0.19367300000000001</v>
      </c>
      <c r="X2232">
        <v>0.98026899999999995</v>
      </c>
      <c r="Y2232">
        <v>-7.0873359999999996E-3</v>
      </c>
      <c r="Z2232">
        <v>-1.097027E-4</v>
      </c>
      <c r="AA2232">
        <v>0.9999749</v>
      </c>
      <c r="AB2232">
        <v>30</v>
      </c>
      <c r="AC2232">
        <v>-22.154299999999999</v>
      </c>
      <c r="AD2232">
        <v>-1.1200696543149999</v>
      </c>
      <c r="AE2232">
        <v>-0.210300000000017</v>
      </c>
      <c r="AF2232">
        <v>-0.15893498399196801</v>
      </c>
      <c r="AG2232">
        <v>-1.1200696543149999</v>
      </c>
      <c r="AH2232">
        <v>22.098245379973601</v>
      </c>
      <c r="AI2232">
        <v>92.901530649790601</v>
      </c>
      <c r="AJ2232">
        <v>90.412075557668501</v>
      </c>
      <c r="AK2232">
        <v>22.127183852293101</v>
      </c>
      <c r="AL2232">
        <v>78.832786397396902</v>
      </c>
      <c r="AM2232">
        <v>87.690044148194502</v>
      </c>
      <c r="AN2232">
        <v>1.0000000675987899</v>
      </c>
    </row>
    <row r="2233" spans="1:40" x14ac:dyDescent="0.25">
      <c r="A2233" t="str">
        <f>"20190303162257867"</f>
        <v>20190303162257867</v>
      </c>
      <c r="B2233" t="str">
        <f>"1551601377857048"</f>
        <v>1551601377857048</v>
      </c>
      <c r="C2233" t="s">
        <v>40</v>
      </c>
      <c r="D2233">
        <v>5.2861989999999999</v>
      </c>
      <c r="E2233">
        <v>0.51016709999999998</v>
      </c>
      <c r="F2233" t="s">
        <v>47</v>
      </c>
      <c r="G2233">
        <v>-383.88</v>
      </c>
      <c r="H2233" s="1">
        <v>5.2797460000000005E-7</v>
      </c>
      <c r="I2233">
        <v>284.19139999999999</v>
      </c>
      <c r="J2233">
        <v>-361.69619999999998</v>
      </c>
      <c r="K2233">
        <v>1.12005</v>
      </c>
      <c r="L2233">
        <v>284.38189999999997</v>
      </c>
      <c r="M2233">
        <v>-0.99996569999999996</v>
      </c>
      <c r="N2233">
        <v>-7.9877490000000006E-3</v>
      </c>
      <c r="O2233">
        <v>-2.214864E-3</v>
      </c>
      <c r="P2233">
        <v>-0.98189599999999999</v>
      </c>
      <c r="Q2233">
        <v>0.18567690000000001</v>
      </c>
      <c r="R2233">
        <v>3.7479310000000002E-2</v>
      </c>
      <c r="S2233">
        <v>-3.0853579999999998</v>
      </c>
      <c r="T2233">
        <v>-0.15361359999999999</v>
      </c>
      <c r="U2233">
        <v>-2.62145999999999E-2</v>
      </c>
      <c r="V2233">
        <v>3.9694380000000001E-2</v>
      </c>
      <c r="W2233">
        <v>0.19350500000000001</v>
      </c>
      <c r="X2233">
        <v>0.98029599999999995</v>
      </c>
      <c r="Y2233">
        <v>-6.2741869999999996E-3</v>
      </c>
      <c r="Z2233" s="1">
        <v>-8.8646749999999895E-5</v>
      </c>
      <c r="AA2233">
        <v>0.99998030000000004</v>
      </c>
      <c r="AB2233">
        <v>31</v>
      </c>
      <c r="AC2233">
        <v>-22.183800000000002</v>
      </c>
      <c r="AD2233">
        <v>-1.1200494720254</v>
      </c>
      <c r="AE2233">
        <v>-0.19049999999998499</v>
      </c>
      <c r="AF2233">
        <v>-0.14100444698828701</v>
      </c>
      <c r="AG2233">
        <v>-1.1200494720254</v>
      </c>
      <c r="AH2233">
        <v>22.127763772116701</v>
      </c>
      <c r="AI2233">
        <v>92.897630576366396</v>
      </c>
      <c r="AJ2233">
        <v>90.365100171864</v>
      </c>
      <c r="AK2233">
        <v>22.156541305638299</v>
      </c>
      <c r="AL2233">
        <v>78.842597358724404</v>
      </c>
      <c r="AM2233">
        <v>87.681232344496493</v>
      </c>
      <c r="AN2233">
        <v>1.00000003822229</v>
      </c>
    </row>
    <row r="2234" spans="1:40" x14ac:dyDescent="0.25">
      <c r="A2234" t="str">
        <f>"20190303162257889"</f>
        <v>20190303162257889</v>
      </c>
      <c r="B2234" t="str">
        <f>"1551601377876570"</f>
        <v>1551601377876570</v>
      </c>
      <c r="C2234" t="s">
        <v>40</v>
      </c>
      <c r="D2234">
        <v>5.2574680000000003</v>
      </c>
      <c r="E2234">
        <v>0.51387620000000001</v>
      </c>
      <c r="F2234" t="s">
        <v>42</v>
      </c>
      <c r="G2234">
        <v>-362.61489999999998</v>
      </c>
      <c r="H2234">
        <v>0.99804380000000004</v>
      </c>
      <c r="I2234">
        <v>284.43509999999998</v>
      </c>
      <c r="J2234">
        <v>-361.99529999999999</v>
      </c>
      <c r="K2234">
        <v>1.1200410000000001</v>
      </c>
      <c r="L2234">
        <v>284.38130000000001</v>
      </c>
      <c r="M2234">
        <v>-0.99996700000000005</v>
      </c>
      <c r="N2234">
        <v>-7.8437750000000007E-3</v>
      </c>
      <c r="O2234">
        <v>-2.1336010000000002E-3</v>
      </c>
      <c r="P2234">
        <v>-0.98192190000000001</v>
      </c>
      <c r="Q2234">
        <v>0.18542339999999999</v>
      </c>
      <c r="R2234">
        <v>3.8051590000000003E-2</v>
      </c>
      <c r="S2234">
        <v>-3.127014</v>
      </c>
      <c r="T2234">
        <v>-0.41542509999999999</v>
      </c>
      <c r="U2234">
        <v>0.17990110000000001</v>
      </c>
      <c r="V2234">
        <v>4.0187109999999998E-2</v>
      </c>
      <c r="W2234">
        <v>0.19311059999999999</v>
      </c>
      <c r="X2234">
        <v>0.98035369999999999</v>
      </c>
      <c r="Y2234">
        <v>5.9002209999999999E-2</v>
      </c>
      <c r="Z2234">
        <v>4.3969050000000004E-3</v>
      </c>
      <c r="AA2234">
        <v>0.99824820000000003</v>
      </c>
      <c r="AB2234">
        <v>31</v>
      </c>
      <c r="AC2234">
        <v>-0.61959999999999105</v>
      </c>
      <c r="AD2234">
        <v>-0.1219972</v>
      </c>
      <c r="AE2234">
        <v>5.3799999999966902E-2</v>
      </c>
      <c r="AF2234">
        <v>5.3079493564165803E-2</v>
      </c>
      <c r="AG2234">
        <v>-0.1219972</v>
      </c>
      <c r="AH2234">
        <v>0.59653037864818503</v>
      </c>
      <c r="AI2234">
        <v>101.513982868131</v>
      </c>
      <c r="AJ2234">
        <v>84.915191813171006</v>
      </c>
      <c r="AK2234">
        <v>0.61118674895240899</v>
      </c>
      <c r="AL2234">
        <v>78.865629283782795</v>
      </c>
      <c r="AM2234">
        <v>87.652619283663697</v>
      </c>
      <c r="AN2234">
        <v>1.0000000423730999</v>
      </c>
    </row>
    <row r="2235" spans="1:40" x14ac:dyDescent="0.25">
      <c r="A2235" t="str">
        <f>"20190303162257922"</f>
        <v>20190303162257922</v>
      </c>
      <c r="B2235" t="str">
        <f>"1551601377916585"</f>
        <v>1551601377916585</v>
      </c>
      <c r="C2235" t="s">
        <v>40</v>
      </c>
      <c r="D2235">
        <v>5.2926270000000004</v>
      </c>
      <c r="E2235">
        <v>0.52681959999999906</v>
      </c>
      <c r="F2235" t="s">
        <v>42</v>
      </c>
      <c r="G2235">
        <v>-362.87310000000002</v>
      </c>
      <c r="H2235">
        <v>0.96183439999999998</v>
      </c>
      <c r="I2235">
        <v>284.43979999999999</v>
      </c>
      <c r="J2235">
        <v>-362.4572</v>
      </c>
      <c r="K2235">
        <v>1.1200289999999999</v>
      </c>
      <c r="L2235">
        <v>284.38049999999998</v>
      </c>
      <c r="M2235">
        <v>-0.99996870000000004</v>
      </c>
      <c r="N2235">
        <v>-7.6658960000000002E-3</v>
      </c>
      <c r="O2235">
        <v>-2.008353E-3</v>
      </c>
      <c r="P2235">
        <v>-0.98173840000000001</v>
      </c>
      <c r="Q2235">
        <v>0.18635699999999999</v>
      </c>
      <c r="R2235">
        <v>3.8223510000000002E-2</v>
      </c>
      <c r="S2235">
        <v>-3.15448</v>
      </c>
      <c r="T2235">
        <v>-0.56859399999999904</v>
      </c>
      <c r="U2235">
        <v>0.20947270000000001</v>
      </c>
      <c r="V2235">
        <v>4.0236210000000001E-2</v>
      </c>
      <c r="W2235">
        <v>0.1938685</v>
      </c>
      <c r="X2235">
        <v>0.98020200000000002</v>
      </c>
      <c r="Y2235">
        <v>6.7109699999999994E-2</v>
      </c>
      <c r="Z2235">
        <v>6.5965829999999996E-3</v>
      </c>
      <c r="AA2235">
        <v>0.99772380000000005</v>
      </c>
      <c r="AB2235">
        <v>31</v>
      </c>
      <c r="AC2235">
        <v>-0.41590000000002098</v>
      </c>
      <c r="AD2235">
        <v>-0.15819459999999999</v>
      </c>
      <c r="AE2235">
        <v>5.9300000000007402E-2</v>
      </c>
      <c r="AF2235">
        <v>5.2667168700708103E-2</v>
      </c>
      <c r="AG2235">
        <v>-0.15819459999999999</v>
      </c>
      <c r="AH2235">
        <v>0.36414556499948297</v>
      </c>
      <c r="AI2235">
        <v>113.265437637205</v>
      </c>
      <c r="AJ2235">
        <v>81.770254137127793</v>
      </c>
      <c r="AK2235">
        <v>0.40050137906991201</v>
      </c>
      <c r="AL2235">
        <v>78.821367388916698</v>
      </c>
      <c r="AM2235">
        <v>87.649391178212397</v>
      </c>
      <c r="AN2235">
        <v>0.99999995434570599</v>
      </c>
    </row>
    <row r="2236" spans="1:40" x14ac:dyDescent="0.25">
      <c r="A2236" t="str">
        <f>"20190303162257944"</f>
        <v>20190303162257944</v>
      </c>
      <c r="B2236" t="str">
        <f>"1551601377937080"</f>
        <v>1551601377937080</v>
      </c>
      <c r="C2236" t="s">
        <v>40</v>
      </c>
      <c r="D2236">
        <v>5.3306570000000004</v>
      </c>
      <c r="E2236">
        <v>0.52687949999999995</v>
      </c>
      <c r="F2236" t="s">
        <v>42</v>
      </c>
      <c r="G2236">
        <v>-363.11500000000001</v>
      </c>
      <c r="H2236">
        <v>0.88559469999999996</v>
      </c>
      <c r="I2236">
        <v>284.44240000000002</v>
      </c>
      <c r="J2236">
        <v>-362.76190000000003</v>
      </c>
      <c r="K2236">
        <v>1.1200220000000001</v>
      </c>
      <c r="L2236">
        <v>284.37990000000002</v>
      </c>
      <c r="M2236">
        <v>-0.99996940000000001</v>
      </c>
      <c r="N2236">
        <v>-7.5805639999999997E-3</v>
      </c>
      <c r="O2236">
        <v>-1.9255419999999999E-3</v>
      </c>
      <c r="P2236">
        <v>-0.98163120000000004</v>
      </c>
      <c r="Q2236">
        <v>0.1869518</v>
      </c>
      <c r="R2236">
        <v>3.8072979999999999E-2</v>
      </c>
      <c r="S2236">
        <v>-3.2647400000000002</v>
      </c>
      <c r="T2236">
        <v>-1.1635340000000001</v>
      </c>
      <c r="U2236">
        <v>0.30633539999999998</v>
      </c>
      <c r="V2236">
        <v>4.0004579999999998E-2</v>
      </c>
      <c r="W2236">
        <v>0.19437889999999999</v>
      </c>
      <c r="X2236">
        <v>0.9801105</v>
      </c>
      <c r="Y2236">
        <v>8.9625689999999994E-2</v>
      </c>
      <c r="Z2236">
        <v>1.6463740000000001E-2</v>
      </c>
      <c r="AA2236">
        <v>0.99583940000000004</v>
      </c>
      <c r="AB2236">
        <v>31</v>
      </c>
      <c r="AC2236">
        <v>-0.35309999999998298</v>
      </c>
      <c r="AD2236">
        <v>-0.23442729999999901</v>
      </c>
      <c r="AE2236">
        <v>6.25E-2</v>
      </c>
      <c r="AF2236">
        <v>4.4262510441167198E-2</v>
      </c>
      <c r="AG2236">
        <v>-0.23442729999999901</v>
      </c>
      <c r="AH2236">
        <v>0.247290009956112</v>
      </c>
      <c r="AI2236">
        <v>133.019610117344</v>
      </c>
      <c r="AJ2236">
        <v>79.852072699527596</v>
      </c>
      <c r="AK2236">
        <v>0.34360977553023497</v>
      </c>
      <c r="AL2236">
        <v>78.791557704517203</v>
      </c>
      <c r="AM2236">
        <v>87.662690067498303</v>
      </c>
      <c r="AN2236">
        <v>1.00000005769821</v>
      </c>
    </row>
    <row r="2237" spans="1:40" x14ac:dyDescent="0.25">
      <c r="A2237" t="str">
        <f>"20190303162257967"</f>
        <v>20190303162257967</v>
      </c>
      <c r="B2237" t="str">
        <f>"1551601377956600"</f>
        <v>1551601377956600</v>
      </c>
      <c r="C2237" t="s">
        <v>40</v>
      </c>
      <c r="D2237">
        <v>5.3404850000000001</v>
      </c>
      <c r="E2237">
        <v>0.52674169999999998</v>
      </c>
      <c r="F2237" t="s">
        <v>42</v>
      </c>
      <c r="G2237">
        <v>-363.64060000000001</v>
      </c>
      <c r="H2237">
        <v>0.80875350000000001</v>
      </c>
      <c r="I2237">
        <v>284.46249999999998</v>
      </c>
      <c r="J2237">
        <v>-363.07089999999999</v>
      </c>
      <c r="K2237">
        <v>1.1200220000000001</v>
      </c>
      <c r="L2237">
        <v>284.37939999999998</v>
      </c>
      <c r="M2237">
        <v>-0.99997009999999997</v>
      </c>
      <c r="N2237">
        <v>-7.5182000000000001E-3</v>
      </c>
      <c r="O2237">
        <v>-1.841627E-3</v>
      </c>
      <c r="P2237">
        <v>-0.98159399999999997</v>
      </c>
      <c r="Q2237">
        <v>0.18722349999999999</v>
      </c>
      <c r="R2237">
        <v>3.7696639999999997E-2</v>
      </c>
      <c r="S2237">
        <v>-3.2644350000000002</v>
      </c>
      <c r="T2237">
        <v>-1.1562969999999999</v>
      </c>
      <c r="U2237">
        <v>0.30651859999999997</v>
      </c>
      <c r="V2237">
        <v>3.9545950000000003E-2</v>
      </c>
      <c r="W2237">
        <v>0.19458890000000001</v>
      </c>
      <c r="X2237">
        <v>0.98008740000000005</v>
      </c>
      <c r="Y2237">
        <v>8.9676099999999995E-2</v>
      </c>
      <c r="Z2237">
        <v>1.6348310000000001E-2</v>
      </c>
      <c r="AA2237">
        <v>0.99583679999999997</v>
      </c>
      <c r="AB2237">
        <v>31</v>
      </c>
      <c r="AC2237">
        <v>-0.56970000000001098</v>
      </c>
      <c r="AD2237">
        <v>-0.311268499999999</v>
      </c>
      <c r="AE2237">
        <v>8.31000000000017E-2</v>
      </c>
      <c r="AF2237">
        <v>6.5115545965429594E-2</v>
      </c>
      <c r="AG2237">
        <v>-0.311268499999999</v>
      </c>
      <c r="AH2237">
        <v>0.44072145953274999</v>
      </c>
      <c r="AI2237">
        <v>124.941445303416</v>
      </c>
      <c r="AJ2237">
        <v>81.595488095644995</v>
      </c>
      <c r="AK2237">
        <v>0.543473567260914</v>
      </c>
      <c r="AL2237">
        <v>78.779290910951005</v>
      </c>
      <c r="AM2237">
        <v>87.689402402162699</v>
      </c>
      <c r="AN2237">
        <v>1.0000000169016801</v>
      </c>
    </row>
    <row r="2238" spans="1:40" x14ac:dyDescent="0.25">
      <c r="A2238" t="str">
        <f>"20190303162257988"</f>
        <v>20190303162257988</v>
      </c>
      <c r="B2238" t="str">
        <f>"1551601377986857"</f>
        <v>1551601377986857</v>
      </c>
      <c r="C2238" t="s">
        <v>40</v>
      </c>
      <c r="D2238">
        <v>5.3604229999999999</v>
      </c>
      <c r="E2238">
        <v>0.5265031</v>
      </c>
      <c r="F2238" t="s">
        <v>42</v>
      </c>
      <c r="G2238">
        <v>-363.92360000000002</v>
      </c>
      <c r="H2238">
        <v>0.81918489999999999</v>
      </c>
      <c r="I2238">
        <v>284.45929999999998</v>
      </c>
      <c r="J2238">
        <v>-363.38459999999998</v>
      </c>
      <c r="K2238">
        <v>1.1200289999999999</v>
      </c>
      <c r="L2238">
        <v>284.37889999999999</v>
      </c>
      <c r="M2238">
        <v>-0.99997060000000004</v>
      </c>
      <c r="N2238">
        <v>-7.4750490000000001E-3</v>
      </c>
      <c r="O2238">
        <v>-1.756234E-3</v>
      </c>
      <c r="P2238">
        <v>-0.98161220000000005</v>
      </c>
      <c r="Q2238">
        <v>0.18721080000000001</v>
      </c>
      <c r="R2238">
        <v>3.7279399999999997E-2</v>
      </c>
      <c r="S2238">
        <v>-3.2641909999999998</v>
      </c>
      <c r="T2238">
        <v>-1.151627</v>
      </c>
      <c r="U2238">
        <v>0.30432130000000002</v>
      </c>
      <c r="V2238">
        <v>3.9045099999999999E-2</v>
      </c>
      <c r="W2238">
        <v>0.1945346</v>
      </c>
      <c r="X2238">
        <v>0.98011820000000005</v>
      </c>
      <c r="Y2238">
        <v>8.9021729999999993E-2</v>
      </c>
      <c r="Z2238">
        <v>1.6143959999999999E-2</v>
      </c>
      <c r="AA2238">
        <v>0.99589879999999997</v>
      </c>
      <c r="AB2238">
        <v>31</v>
      </c>
      <c r="AC2238">
        <v>-0.539000000000044</v>
      </c>
      <c r="AD2238">
        <v>-0.3008441</v>
      </c>
      <c r="AE2238">
        <v>8.0399999999997293E-2</v>
      </c>
      <c r="AF2238">
        <v>6.2346284051071399E-2</v>
      </c>
      <c r="AG2238">
        <v>-0.3008441</v>
      </c>
      <c r="AH2238">
        <v>0.41299609077178501</v>
      </c>
      <c r="AI2238">
        <v>125.764522357484</v>
      </c>
      <c r="AJ2238">
        <v>81.415394920073297</v>
      </c>
      <c r="AK2238">
        <v>0.51474265670581798</v>
      </c>
      <c r="AL2238">
        <v>78.782462016414996</v>
      </c>
      <c r="AM2238">
        <v>87.718706649740099</v>
      </c>
      <c r="AN2238">
        <v>0.99999995820120402</v>
      </c>
    </row>
    <row r="2239" spans="1:40" x14ac:dyDescent="0.25">
      <c r="A2239" t="str">
        <f>"20190303162258011"</f>
        <v>20190303162258011</v>
      </c>
      <c r="B2239" t="str">
        <f>"1551601378006377"</f>
        <v>1551601378006377</v>
      </c>
      <c r="C2239" t="s">
        <v>40</v>
      </c>
      <c r="D2239">
        <v>5.3991389999999999</v>
      </c>
      <c r="E2239">
        <v>0.52646959999999998</v>
      </c>
      <c r="F2239" t="s">
        <v>42</v>
      </c>
      <c r="G2239">
        <v>-364.20760000000001</v>
      </c>
      <c r="H2239">
        <v>0.8305806</v>
      </c>
      <c r="I2239">
        <v>284.45490000000001</v>
      </c>
      <c r="J2239">
        <v>-363.69600000000003</v>
      </c>
      <c r="K2239">
        <v>1.1200380000000001</v>
      </c>
      <c r="L2239">
        <v>284.37849999999997</v>
      </c>
      <c r="M2239">
        <v>-0.9999709</v>
      </c>
      <c r="N2239">
        <v>-7.4471939999999999E-3</v>
      </c>
      <c r="O2239">
        <v>-1.6720859999999999E-3</v>
      </c>
      <c r="P2239">
        <v>-0.98160510000000001</v>
      </c>
      <c r="Q2239">
        <v>0.18732260000000001</v>
      </c>
      <c r="R2239">
        <v>3.6906479999999998E-2</v>
      </c>
      <c r="S2239">
        <v>-3.2636409999999998</v>
      </c>
      <c r="T2239">
        <v>-1.147756</v>
      </c>
      <c r="U2239">
        <v>0.30050660000000001</v>
      </c>
      <c r="V2239">
        <v>3.858992E-2</v>
      </c>
      <c r="W2239">
        <v>0.19461880000000001</v>
      </c>
      <c r="X2239">
        <v>0.98011959999999998</v>
      </c>
      <c r="Y2239">
        <v>8.7905849999999994E-2</v>
      </c>
      <c r="Z2239">
        <v>1.5873269999999998E-2</v>
      </c>
      <c r="AA2239">
        <v>0.99600230000000001</v>
      </c>
      <c r="AB2239">
        <v>31</v>
      </c>
      <c r="AC2239">
        <v>-0.51160000000004402</v>
      </c>
      <c r="AD2239">
        <v>-0.28945739999999898</v>
      </c>
      <c r="AE2239">
        <v>7.6400000000035106E-2</v>
      </c>
      <c r="AF2239">
        <v>5.8832830413986001E-2</v>
      </c>
      <c r="AG2239">
        <v>-0.28945739999999898</v>
      </c>
      <c r="AH2239">
        <v>0.38950461867668701</v>
      </c>
      <c r="AI2239">
        <v>126.30872418651199</v>
      </c>
      <c r="AJ2239">
        <v>81.410671676969599</v>
      </c>
      <c r="AK2239">
        <v>0.48883610374004899</v>
      </c>
      <c r="AL2239">
        <v>78.777544693625302</v>
      </c>
      <c r="AM2239">
        <v>87.745277120782106</v>
      </c>
      <c r="AN2239">
        <v>1.0000000447716</v>
      </c>
    </row>
    <row r="2240" spans="1:40" x14ac:dyDescent="0.25">
      <c r="A2240" t="str">
        <f>"20190303162258034"</f>
        <v>20190303162258034</v>
      </c>
      <c r="B2240" t="str">
        <f>"1551601378026873"</f>
        <v>1551601378026873</v>
      </c>
      <c r="C2240" t="s">
        <v>40</v>
      </c>
      <c r="D2240">
        <v>5.3974699999999904</v>
      </c>
      <c r="E2240">
        <v>0.52631219999999901</v>
      </c>
      <c r="F2240" t="s">
        <v>42</v>
      </c>
      <c r="G2240">
        <v>-364.49189999999999</v>
      </c>
      <c r="H2240">
        <v>0.84088969999999896</v>
      </c>
      <c r="I2240">
        <v>284.45179999999999</v>
      </c>
      <c r="J2240">
        <v>-364.02069999999998</v>
      </c>
      <c r="K2240">
        <v>1.1200399999999999</v>
      </c>
      <c r="L2240">
        <v>284.37799999999999</v>
      </c>
      <c r="M2240">
        <v>-0.99997119999999995</v>
      </c>
      <c r="N2240">
        <v>-7.4301380000000002E-3</v>
      </c>
      <c r="O2240">
        <v>-1.584165E-3</v>
      </c>
      <c r="P2240">
        <v>-0.98150599999999999</v>
      </c>
      <c r="Q2240">
        <v>0.1878417</v>
      </c>
      <c r="R2240">
        <v>3.6901589999999998E-2</v>
      </c>
      <c r="S2240">
        <v>-3.2633969999999999</v>
      </c>
      <c r="T2240">
        <v>-1.1444970000000001</v>
      </c>
      <c r="U2240">
        <v>0.29949949999999997</v>
      </c>
      <c r="V2240">
        <v>3.8498890000000001E-2</v>
      </c>
      <c r="W2240">
        <v>0.19512060000000001</v>
      </c>
      <c r="X2240">
        <v>0.98002339999999999</v>
      </c>
      <c r="Y2240">
        <v>8.7574440000000003E-2</v>
      </c>
      <c r="Z2240">
        <v>1.5745260000000001E-2</v>
      </c>
      <c r="AA2240">
        <v>0.99603350000000002</v>
      </c>
      <c r="AB2240">
        <v>31</v>
      </c>
      <c r="AC2240">
        <v>-0.47120000000001</v>
      </c>
      <c r="AD2240">
        <v>-0.27915030000000002</v>
      </c>
      <c r="AE2240">
        <v>7.3800000000005597E-2</v>
      </c>
      <c r="AF2240">
        <v>5.5525416228489E-2</v>
      </c>
      <c r="AG2240">
        <v>-0.27915030000000002</v>
      </c>
      <c r="AH2240">
        <v>0.35088289038826098</v>
      </c>
      <c r="AI2240">
        <v>128.15982529397499</v>
      </c>
      <c r="AJ2240">
        <v>81.007801445927001</v>
      </c>
      <c r="AK2240">
        <v>0.45180390060805897</v>
      </c>
      <c r="AL2240">
        <v>78.748231649526801</v>
      </c>
      <c r="AM2240">
        <v>87.750369753250894</v>
      </c>
      <c r="AN2240">
        <v>1.00000003881157</v>
      </c>
    </row>
    <row r="2241" spans="1:40" x14ac:dyDescent="0.25">
      <c r="A2241" t="str">
        <f>"20190303162258057"</f>
        <v>20190303162258057</v>
      </c>
      <c r="B2241" t="str">
        <f>"1551601378046394"</f>
        <v>1551601378046394</v>
      </c>
      <c r="C2241" t="s">
        <v>40</v>
      </c>
      <c r="D2241">
        <v>5.4560029999999999</v>
      </c>
      <c r="E2241">
        <v>0.52619039999999995</v>
      </c>
      <c r="F2241" t="s">
        <v>42</v>
      </c>
      <c r="G2241">
        <v>-364.77820000000003</v>
      </c>
      <c r="H2241">
        <v>0.85470559999999995</v>
      </c>
      <c r="I2241">
        <v>284.44729999999998</v>
      </c>
      <c r="J2241">
        <v>-364.32929999999999</v>
      </c>
      <c r="K2241">
        <v>1.120044</v>
      </c>
      <c r="L2241">
        <v>284.37759999999997</v>
      </c>
      <c r="M2241">
        <v>-0.99997139999999995</v>
      </c>
      <c r="N2241">
        <v>-7.424529E-3</v>
      </c>
      <c r="O2241">
        <v>-1.500459E-3</v>
      </c>
      <c r="P2241">
        <v>-0.98147660000000003</v>
      </c>
      <c r="Q2241">
        <v>0.1879673</v>
      </c>
      <c r="R2241">
        <v>3.7042909999999998E-2</v>
      </c>
      <c r="S2241">
        <v>-3.26416</v>
      </c>
      <c r="T2241">
        <v>-1.1432310000000001</v>
      </c>
      <c r="U2241">
        <v>0.297821</v>
      </c>
      <c r="V2241">
        <v>3.8557950000000001E-2</v>
      </c>
      <c r="W2241">
        <v>0.19524030000000001</v>
      </c>
      <c r="X2241">
        <v>0.97999720000000001</v>
      </c>
      <c r="Y2241">
        <v>8.7014240000000007E-2</v>
      </c>
      <c r="Z2241">
        <v>1.560078E-2</v>
      </c>
      <c r="AA2241">
        <v>0.99608490000000005</v>
      </c>
      <c r="AB2241">
        <v>31</v>
      </c>
      <c r="AC2241">
        <v>-0.44890000000003699</v>
      </c>
      <c r="AD2241">
        <v>-0.26533839999999997</v>
      </c>
      <c r="AE2241">
        <v>6.97000000000116E-2</v>
      </c>
      <c r="AF2241">
        <v>5.2472202509502901E-2</v>
      </c>
      <c r="AG2241">
        <v>-0.26533839999999997</v>
      </c>
      <c r="AH2241">
        <v>0.33463247815055602</v>
      </c>
      <c r="AI2241">
        <v>128.07347265441101</v>
      </c>
      <c r="AJ2241">
        <v>81.088275968404204</v>
      </c>
      <c r="AK2241">
        <v>0.43027513753869301</v>
      </c>
      <c r="AL2241">
        <v>78.741238425218</v>
      </c>
      <c r="AM2241">
        <v>87.746862042988695</v>
      </c>
      <c r="AN2241">
        <v>1.00000000113006</v>
      </c>
    </row>
    <row r="2242" spans="1:40" x14ac:dyDescent="0.25">
      <c r="A2242" t="str">
        <f>"20190303162258079"</f>
        <v>20190303162258079</v>
      </c>
      <c r="B2242" t="str">
        <f>"1551601378066889"</f>
        <v>1551601378066889</v>
      </c>
      <c r="C2242" t="s">
        <v>40</v>
      </c>
      <c r="D2242">
        <v>5.4665999999999997</v>
      </c>
      <c r="E2242">
        <v>0.52608630000000001</v>
      </c>
      <c r="F2242" t="s">
        <v>42</v>
      </c>
      <c r="G2242">
        <v>-365.06299999999999</v>
      </c>
      <c r="H2242">
        <v>0.86293489999999995</v>
      </c>
      <c r="I2242">
        <v>284.44490000000002</v>
      </c>
      <c r="J2242">
        <v>-364.64550000000003</v>
      </c>
      <c r="K2242">
        <v>1.1200410000000001</v>
      </c>
      <c r="L2242">
        <v>284.37729999999999</v>
      </c>
      <c r="M2242">
        <v>-0.99997139999999995</v>
      </c>
      <c r="N2242">
        <v>-7.4289849999999999E-3</v>
      </c>
      <c r="O2242">
        <v>-1.4152360000000001E-3</v>
      </c>
      <c r="P2242">
        <v>-0.98143219999999998</v>
      </c>
      <c r="Q2242">
        <v>0.18819459999999999</v>
      </c>
      <c r="R2242">
        <v>3.7066670000000003E-2</v>
      </c>
      <c r="S2242">
        <v>-3.2644039999999999</v>
      </c>
      <c r="T2242">
        <v>-1.1437219999999999</v>
      </c>
      <c r="U2242">
        <v>0.29745480000000002</v>
      </c>
      <c r="V2242">
        <v>3.849847E-2</v>
      </c>
      <c r="W2242">
        <v>0.1954719</v>
      </c>
      <c r="X2242">
        <v>0.97995330000000003</v>
      </c>
      <c r="Y2242">
        <v>8.6824360000000003E-2</v>
      </c>
      <c r="Z2242">
        <v>1.5544860000000001E-2</v>
      </c>
      <c r="AA2242">
        <v>0.9961023</v>
      </c>
      <c r="AB2242">
        <v>31</v>
      </c>
      <c r="AC2242">
        <v>-0.41750000000001802</v>
      </c>
      <c r="AD2242">
        <v>-0.2571061</v>
      </c>
      <c r="AE2242">
        <v>6.7600000000027194E-2</v>
      </c>
      <c r="AF2242">
        <v>4.9790685038233001E-2</v>
      </c>
      <c r="AG2242">
        <v>-0.2571061</v>
      </c>
      <c r="AH2242">
        <v>0.30477459780315702</v>
      </c>
      <c r="AI2242">
        <v>129.77931669151999</v>
      </c>
      <c r="AJ2242">
        <v>80.721617985553195</v>
      </c>
      <c r="AK2242">
        <v>0.40183356559633299</v>
      </c>
      <c r="AL2242">
        <v>78.727707246298607</v>
      </c>
      <c r="AM2242">
        <v>87.750233512172201</v>
      </c>
      <c r="AN2242">
        <v>0.99999993303141799</v>
      </c>
    </row>
    <row r="2243" spans="1:40" x14ac:dyDescent="0.25">
      <c r="A2243" t="str">
        <f>"20190303162258101"</f>
        <v>20190303162258101</v>
      </c>
      <c r="B2243" t="str">
        <f>"1551601378097145"</f>
        <v>1551601378097145</v>
      </c>
      <c r="C2243" t="s">
        <v>40</v>
      </c>
      <c r="D2243">
        <v>5.4954479999999997</v>
      </c>
      <c r="E2243">
        <v>0.52605080000000004</v>
      </c>
      <c r="F2243" t="s">
        <v>42</v>
      </c>
      <c r="G2243">
        <v>-365.34949999999998</v>
      </c>
      <c r="H2243">
        <v>0.87358999999999998</v>
      </c>
      <c r="I2243">
        <v>284.44150000000002</v>
      </c>
      <c r="J2243">
        <v>-364.95819999999998</v>
      </c>
      <c r="K2243">
        <v>1.1200369999999999</v>
      </c>
      <c r="L2243">
        <v>284.37689999999998</v>
      </c>
      <c r="M2243">
        <v>-0.99997150000000001</v>
      </c>
      <c r="N2243">
        <v>-7.4411499999999997E-3</v>
      </c>
      <c r="O2243">
        <v>-1.3304020000000001E-3</v>
      </c>
      <c r="P2243">
        <v>-0.98146310000000003</v>
      </c>
      <c r="Q2243">
        <v>0.1878803</v>
      </c>
      <c r="R2243">
        <v>3.7829500000000002E-2</v>
      </c>
      <c r="S2243">
        <v>-3.2647400000000002</v>
      </c>
      <c r="T2243">
        <v>-1.142903</v>
      </c>
      <c r="U2243">
        <v>0.2967224</v>
      </c>
      <c r="V2243">
        <v>3.9177959999999998E-2</v>
      </c>
      <c r="W2243">
        <v>0.19516929999999999</v>
      </c>
      <c r="X2243">
        <v>0.97998669999999999</v>
      </c>
      <c r="Y2243">
        <v>8.6539099999999994E-2</v>
      </c>
      <c r="Z2243">
        <v>1.545609E-2</v>
      </c>
      <c r="AA2243">
        <v>0.99612860000000003</v>
      </c>
      <c r="AB2243">
        <v>31</v>
      </c>
      <c r="AC2243">
        <v>-0.39130000000000098</v>
      </c>
      <c r="AD2243">
        <v>-0.246447</v>
      </c>
      <c r="AE2243">
        <v>6.4600000000041194E-2</v>
      </c>
      <c r="AF2243">
        <v>4.69796428384378E-2</v>
      </c>
      <c r="AG2243">
        <v>-0.246447</v>
      </c>
      <c r="AH2243">
        <v>0.28223167767108998</v>
      </c>
      <c r="AI2243">
        <v>130.74017495815301</v>
      </c>
      <c r="AJ2243">
        <v>80.549326138311699</v>
      </c>
      <c r="AK2243">
        <v>0.37762141164301699</v>
      </c>
      <c r="AL2243">
        <v>78.745385637979396</v>
      </c>
      <c r="AM2243">
        <v>87.710645433732097</v>
      </c>
      <c r="AN2243">
        <v>0.999999950194569</v>
      </c>
    </row>
    <row r="2244" spans="1:40" x14ac:dyDescent="0.25">
      <c r="A2244" t="str">
        <f>"20190303162258124"</f>
        <v>20190303162258124</v>
      </c>
      <c r="B2244" t="str">
        <f>"1551601378116665"</f>
        <v>1551601378116665</v>
      </c>
      <c r="C2244" t="s">
        <v>40</v>
      </c>
      <c r="D2244">
        <v>5.4625199999999996</v>
      </c>
      <c r="E2244">
        <v>0.52603049999999996</v>
      </c>
      <c r="F2244" t="s">
        <v>42</v>
      </c>
      <c r="G2244">
        <v>-365.63600000000002</v>
      </c>
      <c r="H2244">
        <v>0.88262830000000003</v>
      </c>
      <c r="I2244">
        <v>284.43939999999998</v>
      </c>
      <c r="J2244">
        <v>-365.27780000000001</v>
      </c>
      <c r="K2244">
        <v>1.1200349999999999</v>
      </c>
      <c r="L2244">
        <v>284.3766</v>
      </c>
      <c r="M2244">
        <v>-0.99997139999999995</v>
      </c>
      <c r="N2244">
        <v>-7.4590150000000003E-3</v>
      </c>
      <c r="O2244">
        <v>-1.2441570000000001E-3</v>
      </c>
      <c r="P2244">
        <v>-0.98162689999999997</v>
      </c>
      <c r="Q2244">
        <v>0.18697069999999999</v>
      </c>
      <c r="R2244">
        <v>3.8089089999999999E-2</v>
      </c>
      <c r="S2244">
        <v>-3.2639770000000001</v>
      </c>
      <c r="T2244">
        <v>-1.143143</v>
      </c>
      <c r="U2244">
        <v>0.29882809999999999</v>
      </c>
      <c r="V2244">
        <v>3.9353199999999998E-2</v>
      </c>
      <c r="W2244">
        <v>0.19427829999999999</v>
      </c>
      <c r="X2244">
        <v>0.98015680000000005</v>
      </c>
      <c r="Y2244">
        <v>8.707935E-2</v>
      </c>
      <c r="Z2244">
        <v>1.5527930000000001E-2</v>
      </c>
      <c r="AA2244">
        <v>0.99608030000000003</v>
      </c>
      <c r="AB2244">
        <v>32</v>
      </c>
      <c r="AC2244">
        <v>-0.358199999999953</v>
      </c>
      <c r="AD2244">
        <v>-0.2374067</v>
      </c>
      <c r="AE2244">
        <v>6.2799999999981496E-2</v>
      </c>
      <c r="AF2244">
        <v>4.4346363823306097E-2</v>
      </c>
      <c r="AG2244">
        <v>-0.2374067</v>
      </c>
      <c r="AH2244">
        <v>0.25110655891026701</v>
      </c>
      <c r="AI2244">
        <v>132.95459386261101</v>
      </c>
      <c r="AJ2244">
        <v>79.984620328127505</v>
      </c>
      <c r="AK2244">
        <v>0.34840069620624198</v>
      </c>
      <c r="AL2244">
        <v>78.797433502577107</v>
      </c>
      <c r="AM2244">
        <v>87.700814945625197</v>
      </c>
      <c r="AN2244">
        <v>1.0000000423936799</v>
      </c>
    </row>
    <row r="2245" spans="1:40" x14ac:dyDescent="0.25">
      <c r="A2245" t="str">
        <f>"20190303162258144"</f>
        <v>20190303162258144</v>
      </c>
      <c r="B2245" t="str">
        <f>"1551601378136185"</f>
        <v>1551601378136185</v>
      </c>
      <c r="C2245" t="s">
        <v>40</v>
      </c>
      <c r="D2245">
        <v>5.474475</v>
      </c>
      <c r="E2245">
        <v>0.52595719999999901</v>
      </c>
      <c r="F2245" t="s">
        <v>42</v>
      </c>
      <c r="G2245">
        <v>-366.17399999999998</v>
      </c>
      <c r="H2245">
        <v>0.80559559999999997</v>
      </c>
      <c r="I2245">
        <v>284.4588</v>
      </c>
      <c r="J2245">
        <v>-365.584</v>
      </c>
      <c r="K2245">
        <v>1.1200330000000001</v>
      </c>
      <c r="L2245">
        <v>284.37630000000001</v>
      </c>
      <c r="M2245">
        <v>-0.99997139999999995</v>
      </c>
      <c r="N2245">
        <v>-7.4797249999999996E-3</v>
      </c>
      <c r="O2245">
        <v>-1.1611410000000001E-3</v>
      </c>
      <c r="P2245">
        <v>-0.98168409999999995</v>
      </c>
      <c r="Q2245">
        <v>0.1865446</v>
      </c>
      <c r="R2245">
        <v>3.869736E-2</v>
      </c>
      <c r="S2245">
        <v>-3.2626040000000001</v>
      </c>
      <c r="T2245">
        <v>-1.1448069999999999</v>
      </c>
      <c r="U2245">
        <v>0.29919430000000002</v>
      </c>
      <c r="V2245">
        <v>3.9880270000000002E-2</v>
      </c>
      <c r="W2245">
        <v>0.1938732</v>
      </c>
      <c r="X2245">
        <v>0.98021570000000002</v>
      </c>
      <c r="Y2245">
        <v>8.7127880000000005E-2</v>
      </c>
      <c r="Z2245">
        <v>1.553652E-2</v>
      </c>
      <c r="AA2245">
        <v>0.99607599999999996</v>
      </c>
      <c r="AB2245">
        <v>32</v>
      </c>
      <c r="AC2245">
        <v>-0.59000000000003106</v>
      </c>
      <c r="AD2245">
        <v>-0.31443739999999998</v>
      </c>
      <c r="AE2245">
        <v>8.2499999999981796E-2</v>
      </c>
      <c r="AF2245">
        <v>6.5060329349093504E-2</v>
      </c>
      <c r="AG2245">
        <v>-0.31443739999999998</v>
      </c>
      <c r="AH2245">
        <v>0.461373071251241</v>
      </c>
      <c r="AI2245">
        <v>124.013388793809</v>
      </c>
      <c r="AJ2245">
        <v>81.973383945139403</v>
      </c>
      <c r="AK2245">
        <v>0.56211105295090502</v>
      </c>
      <c r="AL2245">
        <v>78.821093816062401</v>
      </c>
      <c r="AM2245">
        <v>87.6701947869701</v>
      </c>
      <c r="AN2245">
        <v>1.0000000360700001</v>
      </c>
    </row>
    <row r="2246" spans="1:40" x14ac:dyDescent="0.25">
      <c r="A2246" t="str">
        <f>"20190303162258167"</f>
        <v>20190303162258167</v>
      </c>
      <c r="B2246" t="str">
        <f>"1551601378156681"</f>
        <v>1551601378156681</v>
      </c>
      <c r="C2246" t="s">
        <v>40</v>
      </c>
      <c r="D2246">
        <v>5.4576149999999997</v>
      </c>
      <c r="E2246">
        <v>0.52593179999999995</v>
      </c>
      <c r="F2246" t="s">
        <v>42</v>
      </c>
      <c r="G2246">
        <v>-366.46140000000003</v>
      </c>
      <c r="H2246">
        <v>0.811888099999999</v>
      </c>
      <c r="I2246">
        <v>284.45740000000001</v>
      </c>
      <c r="J2246">
        <v>-365.90699999999998</v>
      </c>
      <c r="K2246">
        <v>1.1200369999999999</v>
      </c>
      <c r="L2246">
        <v>284.37599999999998</v>
      </c>
      <c r="M2246">
        <v>-0.99997139999999995</v>
      </c>
      <c r="N2246">
        <v>-7.5039440000000002E-3</v>
      </c>
      <c r="O2246">
        <v>-1.073846E-3</v>
      </c>
      <c r="P2246">
        <v>-0.98170389999999996</v>
      </c>
      <c r="Q2246">
        <v>0.1863399</v>
      </c>
      <c r="R2246">
        <v>3.9180800000000002E-2</v>
      </c>
      <c r="S2246">
        <v>-3.261841</v>
      </c>
      <c r="T2246">
        <v>-1.1455799999999901</v>
      </c>
      <c r="U2246">
        <v>0.30084229999999901</v>
      </c>
      <c r="V2246">
        <v>4.0278139999999997E-2</v>
      </c>
      <c r="W2246">
        <v>0.19369220000000001</v>
      </c>
      <c r="X2246">
        <v>0.98023519999999997</v>
      </c>
      <c r="Y2246">
        <v>8.7532159999999998E-2</v>
      </c>
      <c r="Z2246">
        <v>1.5591610000000001E-2</v>
      </c>
      <c r="AA2246">
        <v>0.99603969999999997</v>
      </c>
      <c r="AB2246">
        <v>32</v>
      </c>
      <c r="AC2246">
        <v>-0.55440000000004297</v>
      </c>
      <c r="AD2246">
        <v>-0.3081489</v>
      </c>
      <c r="AE2246">
        <v>8.1400000000030504E-2</v>
      </c>
      <c r="AF2246">
        <v>6.29560733076477E-2</v>
      </c>
      <c r="AG2246">
        <v>-0.3081489</v>
      </c>
      <c r="AH2246">
        <v>0.42560146083322598</v>
      </c>
      <c r="AI2246">
        <v>125.61167555234699</v>
      </c>
      <c r="AJ2246">
        <v>81.585676985619003</v>
      </c>
      <c r="AK2246">
        <v>0.52920299999235099</v>
      </c>
      <c r="AL2246">
        <v>78.8316645710632</v>
      </c>
      <c r="AM2246">
        <v>87.647023976809805</v>
      </c>
      <c r="AN2246">
        <v>1.00000002211086</v>
      </c>
    </row>
    <row r="2247" spans="1:40" x14ac:dyDescent="0.25">
      <c r="A2247" t="str">
        <f>"20190303162258190"</f>
        <v>20190303162258190</v>
      </c>
      <c r="B2247" t="str">
        <f>"1551601378186937"</f>
        <v>1551601378186937</v>
      </c>
      <c r="C2247" t="s">
        <v>40</v>
      </c>
      <c r="D2247">
        <v>5.3639469999999996</v>
      </c>
      <c r="E2247">
        <v>0.52593880000000004</v>
      </c>
      <c r="F2247" t="s">
        <v>42</v>
      </c>
      <c r="G2247">
        <v>-366.75139999999999</v>
      </c>
      <c r="H2247">
        <v>0.8233087</v>
      </c>
      <c r="I2247">
        <v>284.45409999999998</v>
      </c>
      <c r="J2247">
        <v>-366.23200000000003</v>
      </c>
      <c r="K2247">
        <v>1.1200330000000001</v>
      </c>
      <c r="L2247">
        <v>284.37569999999999</v>
      </c>
      <c r="M2247">
        <v>-0.99997119999999995</v>
      </c>
      <c r="N2247">
        <v>-7.5309640000000002E-3</v>
      </c>
      <c r="O2247">
        <v>-9.8608560000000003E-4</v>
      </c>
      <c r="P2247">
        <v>-0.98161120000000002</v>
      </c>
      <c r="Q2247">
        <v>0.18678130000000001</v>
      </c>
      <c r="R2247">
        <v>3.9400989999999997E-2</v>
      </c>
      <c r="S2247">
        <v>-3.2614139999999998</v>
      </c>
      <c r="T2247">
        <v>-1.1460440000000001</v>
      </c>
      <c r="U2247">
        <v>0.30126950000000002</v>
      </c>
      <c r="V2247">
        <v>4.041231E-2</v>
      </c>
      <c r="W2247">
        <v>0.19415950000000001</v>
      </c>
      <c r="X2247">
        <v>0.98013720000000004</v>
      </c>
      <c r="Y2247">
        <v>8.7582160000000006E-2</v>
      </c>
      <c r="Z2247">
        <v>1.5579900000000001E-2</v>
      </c>
      <c r="AA2247">
        <v>0.99603549999999996</v>
      </c>
      <c r="AB2247">
        <v>32</v>
      </c>
      <c r="AC2247">
        <v>-0.51940000000001796</v>
      </c>
      <c r="AD2247">
        <v>-0.2967243</v>
      </c>
      <c r="AE2247">
        <v>7.8399999999987799E-2</v>
      </c>
      <c r="AF2247">
        <v>5.9822997821030899E-2</v>
      </c>
      <c r="AG2247">
        <v>-0.2967243</v>
      </c>
      <c r="AH2247">
        <v>0.393696347960378</v>
      </c>
      <c r="AI2247">
        <v>126.691082091751</v>
      </c>
      <c r="AJ2247">
        <v>81.359878367878096</v>
      </c>
      <c r="AK2247">
        <v>0.49660941964095301</v>
      </c>
      <c r="AL2247">
        <v>78.804371871890794</v>
      </c>
      <c r="AM2247">
        <v>87.638959081540904</v>
      </c>
      <c r="AN2247">
        <v>0.99999999853181298</v>
      </c>
    </row>
    <row r="2248" spans="1:40" x14ac:dyDescent="0.25">
      <c r="A2248" t="str">
        <f>"20190303162258214"</f>
        <v>20190303162258214</v>
      </c>
      <c r="B2248" t="str">
        <f>"1551601378206457"</f>
        <v>1551601378206457</v>
      </c>
      <c r="C2248" t="s">
        <v>40</v>
      </c>
      <c r="D2248">
        <v>5.345942</v>
      </c>
      <c r="E2248">
        <v>0.52600089999999999</v>
      </c>
      <c r="F2248" t="s">
        <v>42</v>
      </c>
      <c r="G2248">
        <v>-367.04250000000002</v>
      </c>
      <c r="H2248">
        <v>0.83594579999999996</v>
      </c>
      <c r="I2248">
        <v>284.45100000000002</v>
      </c>
      <c r="J2248">
        <v>-366.5616</v>
      </c>
      <c r="K2248">
        <v>1.1200330000000001</v>
      </c>
      <c r="L2248">
        <v>284.37549999999999</v>
      </c>
      <c r="M2248">
        <v>-0.99997100000000005</v>
      </c>
      <c r="N2248">
        <v>-7.5628259999999999E-3</v>
      </c>
      <c r="O2248">
        <v>-8.9679429999999904E-4</v>
      </c>
      <c r="P2248">
        <v>-0.98165210000000003</v>
      </c>
      <c r="Q2248">
        <v>0.1866699</v>
      </c>
      <c r="R2248">
        <v>3.8908749999999999E-2</v>
      </c>
      <c r="S2248">
        <v>-3.2615660000000002</v>
      </c>
      <c r="T2248">
        <v>-1.1430899999999999</v>
      </c>
      <c r="U2248">
        <v>0.30270390000000003</v>
      </c>
      <c r="V2248">
        <v>3.9832729999999997E-2</v>
      </c>
      <c r="W2248">
        <v>0.19407949999999999</v>
      </c>
      <c r="X2248">
        <v>0.98017670000000001</v>
      </c>
      <c r="Y2248">
        <v>8.793397E-2</v>
      </c>
      <c r="Z2248">
        <v>1.5574670000000001E-2</v>
      </c>
      <c r="AA2248">
        <v>0.99600449999999996</v>
      </c>
      <c r="AB2248">
        <v>32</v>
      </c>
      <c r="AC2248">
        <v>-0.48090000000001898</v>
      </c>
      <c r="AD2248">
        <v>-0.28408719999999998</v>
      </c>
      <c r="AE2248">
        <v>7.5499999999976794E-2</v>
      </c>
      <c r="AF2248">
        <v>5.6640600211721098E-2</v>
      </c>
      <c r="AG2248">
        <v>-0.28408719999999998</v>
      </c>
      <c r="AH2248">
        <v>0.35867470155614101</v>
      </c>
      <c r="AI2248">
        <v>128.037921327063</v>
      </c>
      <c r="AJ2248">
        <v>81.026165089596802</v>
      </c>
      <c r="AK2248">
        <v>0.46104363820854399</v>
      </c>
      <c r="AL2248">
        <v>78.809043649963897</v>
      </c>
      <c r="AM2248">
        <v>87.672876530782005</v>
      </c>
      <c r="AN2248">
        <v>0.99999993096119399</v>
      </c>
    </row>
    <row r="2249" spans="1:40" x14ac:dyDescent="0.25">
      <c r="A2249" t="str">
        <f>"20190303162258236"</f>
        <v>20190303162258236</v>
      </c>
      <c r="B2249" t="str">
        <f>"1551601378226953"</f>
        <v>1551601378226953</v>
      </c>
      <c r="C2249" t="s">
        <v>40</v>
      </c>
      <c r="D2249">
        <v>5.3387379999999904</v>
      </c>
      <c r="E2249">
        <v>0.52602009999999999</v>
      </c>
      <c r="F2249" t="s">
        <v>42</v>
      </c>
      <c r="G2249">
        <v>-367.3347</v>
      </c>
      <c r="H2249">
        <v>0.84934399999999999</v>
      </c>
      <c r="I2249">
        <v>284.44749999999999</v>
      </c>
      <c r="J2249">
        <v>-366.88659999999999</v>
      </c>
      <c r="K2249">
        <v>1.120039</v>
      </c>
      <c r="L2249">
        <v>284.37529999999998</v>
      </c>
      <c r="M2249">
        <v>-0.9999709</v>
      </c>
      <c r="N2249">
        <v>-7.5994979999999997E-3</v>
      </c>
      <c r="O2249">
        <v>-8.0906879999999997E-4</v>
      </c>
      <c r="P2249">
        <v>-0.98157669999999997</v>
      </c>
      <c r="Q2249">
        <v>0.18713740000000001</v>
      </c>
      <c r="R2249">
        <v>3.8561699999999997E-2</v>
      </c>
      <c r="S2249">
        <v>-3.2612000000000001</v>
      </c>
      <c r="T2249">
        <v>-1.1418269999999999</v>
      </c>
      <c r="U2249">
        <v>0.3018188</v>
      </c>
      <c r="V2249">
        <v>3.9399679999999999E-2</v>
      </c>
      <c r="W2249">
        <v>0.1945828</v>
      </c>
      <c r="X2249">
        <v>0.98009449999999998</v>
      </c>
      <c r="Y2249">
        <v>8.7622240000000004E-2</v>
      </c>
      <c r="Z2249">
        <v>1.547894E-2</v>
      </c>
      <c r="AA2249">
        <v>0.99603350000000002</v>
      </c>
      <c r="AB2249">
        <v>32</v>
      </c>
      <c r="AC2249">
        <v>-0.44810000000000999</v>
      </c>
      <c r="AD2249">
        <v>-0.27069499999999902</v>
      </c>
      <c r="AE2249">
        <v>7.2200000000009298E-2</v>
      </c>
      <c r="AF2249">
        <v>5.3524168563624297E-2</v>
      </c>
      <c r="AG2249">
        <v>-0.27069499999999902</v>
      </c>
      <c r="AH2249">
        <v>0.33048799726796202</v>
      </c>
      <c r="AI2249">
        <v>128.956977036578</v>
      </c>
      <c r="AJ2249">
        <v>80.800541764958794</v>
      </c>
      <c r="AK2249">
        <v>0.43053796114119303</v>
      </c>
      <c r="AL2249">
        <v>78.779647203066105</v>
      </c>
      <c r="AM2249">
        <v>87.697956137964795</v>
      </c>
      <c r="AN2249">
        <v>1.00000001488509</v>
      </c>
    </row>
    <row r="2250" spans="1:40" x14ac:dyDescent="0.25">
      <c r="A2250" t="str">
        <f>"20190303162258258"</f>
        <v>20190303162258258</v>
      </c>
      <c r="B2250" t="str">
        <f>"1551601378246473"</f>
        <v>1551601378246473</v>
      </c>
      <c r="C2250" t="s">
        <v>40</v>
      </c>
      <c r="D2250">
        <v>5.3426489999999998</v>
      </c>
      <c r="E2250">
        <v>0.52604879999999998</v>
      </c>
      <c r="F2250" t="s">
        <v>42</v>
      </c>
      <c r="G2250">
        <v>-367.6268</v>
      </c>
      <c r="H2250">
        <v>0.86145329999999998</v>
      </c>
      <c r="I2250">
        <v>284.4434</v>
      </c>
      <c r="J2250">
        <v>-367.2029</v>
      </c>
      <c r="K2250">
        <v>1.1200410000000001</v>
      </c>
      <c r="L2250">
        <v>284.37509999999997</v>
      </c>
      <c r="M2250">
        <v>-0.99997060000000004</v>
      </c>
      <c r="N2250">
        <v>-7.6420200000000002E-3</v>
      </c>
      <c r="O2250">
        <v>-7.2386869999999895E-4</v>
      </c>
      <c r="P2250">
        <v>-0.98164960000000001</v>
      </c>
      <c r="Q2250">
        <v>0.18685489999999999</v>
      </c>
      <c r="R2250">
        <v>3.8075629999999999E-2</v>
      </c>
      <c r="S2250">
        <v>-3.261749</v>
      </c>
      <c r="T2250">
        <v>-1.139475</v>
      </c>
      <c r="U2250">
        <v>0.3003845</v>
      </c>
      <c r="V2250">
        <v>3.8830339999999998E-2</v>
      </c>
      <c r="W2250">
        <v>0.1943424</v>
      </c>
      <c r="X2250">
        <v>0.98016490000000001</v>
      </c>
      <c r="Y2250">
        <v>8.7143280000000004E-2</v>
      </c>
      <c r="Z2250">
        <v>1.5337999999999999E-2</v>
      </c>
      <c r="AA2250">
        <v>0.99607769999999995</v>
      </c>
      <c r="AB2250">
        <v>32</v>
      </c>
      <c r="AC2250">
        <v>-0.423900000000003</v>
      </c>
      <c r="AD2250">
        <v>-0.25858769999999998</v>
      </c>
      <c r="AE2250">
        <v>6.8300000000021996E-2</v>
      </c>
      <c r="AF2250">
        <v>5.03459241308667E-2</v>
      </c>
      <c r="AG2250">
        <v>-0.25858769999999998</v>
      </c>
      <c r="AH2250">
        <v>0.31103520837648702</v>
      </c>
      <c r="AI2250">
        <v>129.37558164590899</v>
      </c>
      <c r="AJ2250">
        <v>80.805526399299794</v>
      </c>
      <c r="AK2250">
        <v>0.407609140620872</v>
      </c>
      <c r="AL2250">
        <v>78.793688972660803</v>
      </c>
      <c r="AM2250">
        <v>87.731349295242893</v>
      </c>
      <c r="AN2250">
        <v>0.99999999746714197</v>
      </c>
    </row>
    <row r="2251" spans="1:40" x14ac:dyDescent="0.25">
      <c r="A2251" t="str">
        <f>"20190303162258281"</f>
        <v>20190303162258281</v>
      </c>
      <c r="B2251" t="str">
        <f>"1551601378276730"</f>
        <v>1551601378276730</v>
      </c>
      <c r="C2251" t="s">
        <v>40</v>
      </c>
      <c r="D2251">
        <v>5.299315</v>
      </c>
      <c r="E2251">
        <v>0.52610069999999998</v>
      </c>
      <c r="F2251" t="s">
        <v>42</v>
      </c>
      <c r="G2251">
        <v>-367.91829999999999</v>
      </c>
      <c r="H2251">
        <v>0.87006830000000002</v>
      </c>
      <c r="I2251">
        <v>284.44049999999999</v>
      </c>
      <c r="J2251">
        <v>-367.53649999999999</v>
      </c>
      <c r="K2251">
        <v>1.120044</v>
      </c>
      <c r="L2251">
        <v>284.37490000000003</v>
      </c>
      <c r="M2251">
        <v>-0.99997029999999998</v>
      </c>
      <c r="N2251">
        <v>-7.6979329999999997E-3</v>
      </c>
      <c r="O2251">
        <v>-6.3407079999999998E-4</v>
      </c>
      <c r="P2251">
        <v>-0.98172760000000003</v>
      </c>
      <c r="Q2251">
        <v>0.18634539999999999</v>
      </c>
      <c r="R2251">
        <v>3.8556020000000003E-2</v>
      </c>
      <c r="S2251">
        <v>-3.2614749999999999</v>
      </c>
      <c r="T2251">
        <v>-1.139583</v>
      </c>
      <c r="U2251">
        <v>0.29663089999999998</v>
      </c>
      <c r="V2251">
        <v>3.922262E-2</v>
      </c>
      <c r="W2251">
        <v>0.19388820000000001</v>
      </c>
      <c r="X2251">
        <v>0.98023919999999998</v>
      </c>
      <c r="Y2251">
        <v>8.5995409999999994E-2</v>
      </c>
      <c r="Z2251">
        <v>1.511502E-2</v>
      </c>
      <c r="AA2251">
        <v>0.99618090000000004</v>
      </c>
      <c r="AB2251">
        <v>32</v>
      </c>
      <c r="AC2251">
        <v>-0.38179999999999797</v>
      </c>
      <c r="AD2251">
        <v>-0.249975699999999</v>
      </c>
      <c r="AE2251">
        <v>6.5599999999960801E-2</v>
      </c>
      <c r="AF2251">
        <v>4.6486216731336502E-2</v>
      </c>
      <c r="AG2251">
        <v>-0.249975699999999</v>
      </c>
      <c r="AH2251">
        <v>0.26953127449389702</v>
      </c>
      <c r="AI2251">
        <v>132.42582408156699</v>
      </c>
      <c r="AJ2251">
        <v>80.214432968417896</v>
      </c>
      <c r="AK2251">
        <v>0.37053465002181302</v>
      </c>
      <c r="AL2251">
        <v>78.820216992447399</v>
      </c>
      <c r="AM2251">
        <v>87.708628276427504</v>
      </c>
      <c r="AN2251">
        <v>0.99999996861777096</v>
      </c>
    </row>
    <row r="2252" spans="1:40" x14ac:dyDescent="0.25">
      <c r="A2252" t="str">
        <f>"20190303162258302"</f>
        <v>20190303162258302</v>
      </c>
      <c r="B2252" t="str">
        <f>"1551601378296249"</f>
        <v>1551601378296249</v>
      </c>
      <c r="C2252" t="s">
        <v>40</v>
      </c>
      <c r="D2252">
        <v>5.2948750000000002</v>
      </c>
      <c r="E2252">
        <v>0.52615829999999997</v>
      </c>
      <c r="F2252" t="s">
        <v>42</v>
      </c>
      <c r="G2252">
        <v>-368.2122</v>
      </c>
      <c r="H2252">
        <v>0.88366160000000005</v>
      </c>
      <c r="I2252">
        <v>284.43729999999999</v>
      </c>
      <c r="J2252">
        <v>-367.84100000000001</v>
      </c>
      <c r="K2252">
        <v>1.120053</v>
      </c>
      <c r="L2252">
        <v>284.37479999999999</v>
      </c>
      <c r="M2252">
        <v>-0.99996980000000002</v>
      </c>
      <c r="N2252">
        <v>-7.7609280000000003E-3</v>
      </c>
      <c r="O2252">
        <v>-5.5205049999999996E-4</v>
      </c>
      <c r="P2252">
        <v>-0.98166509999999996</v>
      </c>
      <c r="Q2252">
        <v>0.18659790000000001</v>
      </c>
      <c r="R2252">
        <v>3.8922730000000003E-2</v>
      </c>
      <c r="S2252">
        <v>-3.2605900000000001</v>
      </c>
      <c r="T2252">
        <v>-1.140539</v>
      </c>
      <c r="U2252">
        <v>0.29953000000000002</v>
      </c>
      <c r="V2252">
        <v>3.9508910000000001E-2</v>
      </c>
      <c r="W2252">
        <v>0.1942016</v>
      </c>
      <c r="X2252">
        <v>0.98016570000000003</v>
      </c>
      <c r="Y2252">
        <v>8.6763220000000002E-2</v>
      </c>
      <c r="Z2252">
        <v>1.523878E-2</v>
      </c>
      <c r="AA2252">
        <v>0.99611240000000001</v>
      </c>
      <c r="AB2252">
        <v>32</v>
      </c>
      <c r="AC2252">
        <v>-0.37119999999998698</v>
      </c>
      <c r="AD2252">
        <v>-0.236391399999999</v>
      </c>
      <c r="AE2252">
        <v>6.25E-2</v>
      </c>
      <c r="AF2252">
        <v>4.4969987897657403E-2</v>
      </c>
      <c r="AG2252">
        <v>-0.236391399999999</v>
      </c>
      <c r="AH2252">
        <v>0.26618813805837199</v>
      </c>
      <c r="AI2252">
        <v>131.207118078843</v>
      </c>
      <c r="AJ2252">
        <v>80.410958340497004</v>
      </c>
      <c r="AK2252">
        <v>0.35883048734528999</v>
      </c>
      <c r="AL2252">
        <v>78.801913016293696</v>
      </c>
      <c r="AM2252">
        <v>87.691748447968493</v>
      </c>
      <c r="AN2252">
        <v>1.0000000074342099</v>
      </c>
    </row>
    <row r="2253" spans="1:40" x14ac:dyDescent="0.25">
      <c r="A2253" t="str">
        <f>"20190303162258324"</f>
        <v>20190303162258324</v>
      </c>
      <c r="B2253" t="str">
        <f>"1551601378316745"</f>
        <v>1551601378316745</v>
      </c>
      <c r="C2253" t="s">
        <v>40</v>
      </c>
      <c r="D2253">
        <v>5.309253</v>
      </c>
      <c r="E2253">
        <v>0.52623750000000002</v>
      </c>
      <c r="F2253" t="s">
        <v>42</v>
      </c>
      <c r="G2253">
        <v>-368.50330000000002</v>
      </c>
      <c r="H2253">
        <v>0.88861610000000002</v>
      </c>
      <c r="I2253">
        <v>284.43669999999997</v>
      </c>
      <c r="J2253">
        <v>-368.15820000000002</v>
      </c>
      <c r="K2253">
        <v>1.120061</v>
      </c>
      <c r="L2253">
        <v>284.37479999999999</v>
      </c>
      <c r="M2253">
        <v>-0.9999692</v>
      </c>
      <c r="N2253">
        <v>-7.8414439999999995E-3</v>
      </c>
      <c r="O2253">
        <v>-4.6652290000000001E-4</v>
      </c>
      <c r="P2253">
        <v>-0.98166370000000003</v>
      </c>
      <c r="Q2253">
        <v>0.1864469</v>
      </c>
      <c r="R2253">
        <v>3.9679199999999998E-2</v>
      </c>
      <c r="S2253">
        <v>-3.2606510000000002</v>
      </c>
      <c r="T2253">
        <v>-1.1393610000000001</v>
      </c>
      <c r="U2253">
        <v>0.30255130000000002</v>
      </c>
      <c r="V2253">
        <v>4.0181689999999999E-2</v>
      </c>
      <c r="W2253">
        <v>0.19412950000000001</v>
      </c>
      <c r="X2253">
        <v>0.98015260000000004</v>
      </c>
      <c r="Y2253">
        <v>8.7558369999999996E-2</v>
      </c>
      <c r="Z2253">
        <v>1.5336529999999999E-2</v>
      </c>
      <c r="AA2253">
        <v>0.99604130000000002</v>
      </c>
      <c r="AB2253">
        <v>32</v>
      </c>
      <c r="AC2253">
        <v>-0.34510000000000202</v>
      </c>
      <c r="AD2253">
        <v>-0.23144489999999901</v>
      </c>
      <c r="AE2253">
        <v>6.1899999999979999E-2</v>
      </c>
      <c r="AF2253">
        <v>4.3225022572204903E-2</v>
      </c>
      <c r="AG2253">
        <v>-0.23144489999999901</v>
      </c>
      <c r="AH2253">
        <v>0.24033944869715201</v>
      </c>
      <c r="AI2253">
        <v>133.464424189857</v>
      </c>
      <c r="AJ2253">
        <v>79.804357442973</v>
      </c>
      <c r="AK2253">
        <v>0.33644939428156001</v>
      </c>
      <c r="AL2253">
        <v>78.806123819439406</v>
      </c>
      <c r="AM2253">
        <v>87.652454505222806</v>
      </c>
      <c r="AN2253">
        <v>0.99999997513413197</v>
      </c>
    </row>
    <row r="2254" spans="1:40" x14ac:dyDescent="0.25">
      <c r="A2254" t="str">
        <f>"20190303162258346"</f>
        <v>20190303162258346</v>
      </c>
      <c r="B2254" t="str">
        <f>"1551601378337243"</f>
        <v>1551601378337243</v>
      </c>
      <c r="C2254" t="s">
        <v>40</v>
      </c>
      <c r="D2254">
        <v>5.314006</v>
      </c>
      <c r="E2254">
        <v>0.52629230000000005</v>
      </c>
      <c r="F2254" t="s">
        <v>42</v>
      </c>
      <c r="G2254">
        <v>-369.05149999999998</v>
      </c>
      <c r="H2254">
        <v>0.80784019999999901</v>
      </c>
      <c r="I2254">
        <v>284.4588</v>
      </c>
      <c r="J2254">
        <v>-368.47969999999998</v>
      </c>
      <c r="K2254">
        <v>1.1200909999999999</v>
      </c>
      <c r="L2254">
        <v>284.37470000000002</v>
      </c>
      <c r="M2254">
        <v>-0.99996779999999996</v>
      </c>
      <c r="N2254">
        <v>-8.0247340000000004E-3</v>
      </c>
      <c r="O2254">
        <v>-3.7864719999999998E-4</v>
      </c>
      <c r="P2254">
        <v>-0.98173960000000005</v>
      </c>
      <c r="Q2254">
        <v>0.18601400000000001</v>
      </c>
      <c r="R2254">
        <v>3.9828780000000001E-2</v>
      </c>
      <c r="S2254">
        <v>-3.2601010000000001</v>
      </c>
      <c r="T2254">
        <v>-1.1394930000000001</v>
      </c>
      <c r="U2254">
        <v>0.3051758</v>
      </c>
      <c r="V2254">
        <v>4.0245330000000003E-2</v>
      </c>
      <c r="W2254">
        <v>0.19387650000000001</v>
      </c>
      <c r="X2254">
        <v>0.98020010000000002</v>
      </c>
      <c r="Y2254">
        <v>8.823984E-2</v>
      </c>
      <c r="Z2254">
        <v>1.543741E-2</v>
      </c>
      <c r="AA2254">
        <v>0.99597959999999996</v>
      </c>
      <c r="AB2254">
        <v>32</v>
      </c>
      <c r="AC2254">
        <v>-0.57179999999999598</v>
      </c>
      <c r="AD2254">
        <v>-0.3122508</v>
      </c>
      <c r="AE2254">
        <v>8.4099999999977998E-2</v>
      </c>
      <c r="AF2254">
        <v>6.52658458666667E-2</v>
      </c>
      <c r="AG2254">
        <v>-0.3122508</v>
      </c>
      <c r="AH2254">
        <v>0.442581517734771</v>
      </c>
      <c r="AI2254">
        <v>124.914008417031</v>
      </c>
      <c r="AJ2254">
        <v>81.611264397151601</v>
      </c>
      <c r="AK2254">
        <v>0.54556263854643205</v>
      </c>
      <c r="AL2254">
        <v>78.820900787255397</v>
      </c>
      <c r="AM2254">
        <v>87.648854431222503</v>
      </c>
      <c r="AN2254">
        <v>1.0000000099395301</v>
      </c>
    </row>
    <row r="2255" spans="1:40" x14ac:dyDescent="0.25">
      <c r="A2255" t="str">
        <f>"20190303162258369"</f>
        <v>20190303162258369</v>
      </c>
      <c r="B2255" t="str">
        <f>"1551601378356761"</f>
        <v>1551601378356761</v>
      </c>
      <c r="C2255" t="s">
        <v>40</v>
      </c>
      <c r="D2255">
        <v>5.3055089999999998</v>
      </c>
      <c r="E2255">
        <v>0.52634499999999995</v>
      </c>
      <c r="F2255" t="s">
        <v>42</v>
      </c>
      <c r="G2255">
        <v>-369.34500000000003</v>
      </c>
      <c r="H2255">
        <v>0.81731430000000005</v>
      </c>
      <c r="I2255">
        <v>284.45589999999999</v>
      </c>
      <c r="J2255">
        <v>-368.80709999999999</v>
      </c>
      <c r="K2255">
        <v>1.120161</v>
      </c>
      <c r="L2255">
        <v>284.37470000000002</v>
      </c>
      <c r="M2255">
        <v>-0.99996470000000004</v>
      </c>
      <c r="N2255">
        <v>-8.4002409999999993E-3</v>
      </c>
      <c r="O2255">
        <v>-2.8401920000000001E-4</v>
      </c>
      <c r="P2255">
        <v>-0.98178829999999995</v>
      </c>
      <c r="Q2255">
        <v>0.18581529999999999</v>
      </c>
      <c r="R2255">
        <v>3.955587E-2</v>
      </c>
      <c r="S2255">
        <v>-3.2595209999999999</v>
      </c>
      <c r="T2255">
        <v>-1.1405449999999999</v>
      </c>
      <c r="U2255">
        <v>0.30523679999999997</v>
      </c>
      <c r="V2255">
        <v>3.9881710000000001E-2</v>
      </c>
      <c r="W2255">
        <v>0.19404669999999999</v>
      </c>
      <c r="X2255">
        <v>0.98018130000000003</v>
      </c>
      <c r="Y2255">
        <v>8.8172730000000005E-2</v>
      </c>
      <c r="Z2255">
        <v>1.5427069999999999E-2</v>
      </c>
      <c r="AA2255">
        <v>0.99598569999999997</v>
      </c>
      <c r="AB2255">
        <v>32</v>
      </c>
      <c r="AC2255">
        <v>-0.53790000000003602</v>
      </c>
      <c r="AD2255">
        <v>-0.30284669999999903</v>
      </c>
      <c r="AE2255">
        <v>8.1199999999967007E-2</v>
      </c>
      <c r="AF2255">
        <v>6.2104900975875101E-2</v>
      </c>
      <c r="AG2255">
        <v>-0.30284669999999903</v>
      </c>
      <c r="AH2255">
        <v>0.410616504780143</v>
      </c>
      <c r="AI2255">
        <v>126.101308419294</v>
      </c>
      <c r="AJ2255">
        <v>81.399318848247106</v>
      </c>
      <c r="AK2255">
        <v>0.51398351765788597</v>
      </c>
      <c r="AL2255">
        <v>78.8109604566516</v>
      </c>
      <c r="AM2255">
        <v>87.670029076257194</v>
      </c>
      <c r="AN2255">
        <v>1.0000000267215501</v>
      </c>
    </row>
    <row r="2256" spans="1:40" x14ac:dyDescent="0.25">
      <c r="A2256" t="str">
        <f>"20190303162258391"</f>
        <v>20190303162258391</v>
      </c>
      <c r="B2256" t="str">
        <f>"1551601378387018"</f>
        <v>1551601378387018</v>
      </c>
      <c r="C2256" t="s">
        <v>40</v>
      </c>
      <c r="D2256">
        <v>5.2975050000000001</v>
      </c>
      <c r="E2256">
        <v>0.52628900000000001</v>
      </c>
      <c r="F2256" t="s">
        <v>42</v>
      </c>
      <c r="G2256">
        <v>-369.63909999999998</v>
      </c>
      <c r="H2256">
        <v>0.82890900000000001</v>
      </c>
      <c r="I2256">
        <v>284.4529</v>
      </c>
      <c r="J2256">
        <v>-369.13479999999998</v>
      </c>
      <c r="K2256">
        <v>1.1202620000000001</v>
      </c>
      <c r="L2256">
        <v>284.37470000000002</v>
      </c>
      <c r="M2256">
        <v>-0.99996050000000003</v>
      </c>
      <c r="N2256">
        <v>-8.8819569999999994E-3</v>
      </c>
      <c r="O2256">
        <v>-1.9768690000000001E-4</v>
      </c>
      <c r="P2256">
        <v>-0.98184579999999999</v>
      </c>
      <c r="Q2256">
        <v>0.1856141</v>
      </c>
      <c r="R2256">
        <v>3.9066049999999998E-2</v>
      </c>
      <c r="S2256">
        <v>-3.259277</v>
      </c>
      <c r="T2256">
        <v>-1.140987</v>
      </c>
      <c r="U2256">
        <v>0.305481</v>
      </c>
      <c r="V2256">
        <v>3.9308179999999998E-2</v>
      </c>
      <c r="W2256">
        <v>0.19431760000000001</v>
      </c>
      <c r="X2256">
        <v>0.98015079999999999</v>
      </c>
      <c r="Y2256">
        <v>8.8160920000000004E-2</v>
      </c>
      <c r="Z2256">
        <v>1.5424780000000001E-2</v>
      </c>
      <c r="AA2256">
        <v>0.99598679999999995</v>
      </c>
      <c r="AB2256">
        <v>32</v>
      </c>
      <c r="AC2256">
        <v>-0.50429999999999997</v>
      </c>
      <c r="AD2256">
        <v>-0.29135299999999997</v>
      </c>
      <c r="AE2256">
        <v>7.8199999999981104E-2</v>
      </c>
      <c r="AF2256">
        <v>5.9052079556749702E-2</v>
      </c>
      <c r="AG2256">
        <v>-0.29135299999999997</v>
      </c>
      <c r="AH2256">
        <v>0.380321403076401</v>
      </c>
      <c r="AI2256">
        <v>127.125713750027</v>
      </c>
      <c r="AJ2256">
        <v>81.174223190046504</v>
      </c>
      <c r="AK2256">
        <v>0.48271947168824603</v>
      </c>
      <c r="AL2256">
        <v>78.795137854785295</v>
      </c>
      <c r="AM2256">
        <v>87.703428348530593</v>
      </c>
      <c r="AN2256">
        <v>1.0000000267126501</v>
      </c>
    </row>
    <row r="2257" spans="1:40" x14ac:dyDescent="0.25">
      <c r="A2257" t="str">
        <f>"20190303162258413"</f>
        <v>20190303162258413</v>
      </c>
      <c r="B2257" t="str">
        <f>"1551601378406537"</f>
        <v>1551601378406537</v>
      </c>
      <c r="C2257" t="s">
        <v>40</v>
      </c>
      <c r="D2257">
        <v>5.3347419999999897</v>
      </c>
      <c r="E2257">
        <v>0.5262559</v>
      </c>
      <c r="F2257" t="s">
        <v>42</v>
      </c>
      <c r="G2257">
        <v>-369.93310000000002</v>
      </c>
      <c r="H2257">
        <v>0.84049580000000002</v>
      </c>
      <c r="I2257">
        <v>284.44940000000003</v>
      </c>
      <c r="J2257">
        <v>-369.4504</v>
      </c>
      <c r="K2257">
        <v>1.1203459999999901</v>
      </c>
      <c r="L2257">
        <v>284.37470000000002</v>
      </c>
      <c r="M2257">
        <v>-0.99995659999999997</v>
      </c>
      <c r="N2257">
        <v>-9.32849E-3</v>
      </c>
      <c r="O2257">
        <v>-1.1158320000000001E-4</v>
      </c>
      <c r="P2257">
        <v>-0.98182610000000003</v>
      </c>
      <c r="Q2257">
        <v>0.18571560000000001</v>
      </c>
      <c r="R2257">
        <v>3.9082930000000002E-2</v>
      </c>
      <c r="S2257">
        <v>-3.2592469999999998</v>
      </c>
      <c r="T2257">
        <v>-1.1421300000000001</v>
      </c>
      <c r="U2257">
        <v>0.30413820000000003</v>
      </c>
      <c r="V2257">
        <v>3.9240169999999998E-2</v>
      </c>
      <c r="W2257">
        <v>0.1948569</v>
      </c>
      <c r="X2257">
        <v>0.98004650000000004</v>
      </c>
      <c r="Y2257">
        <v>8.7685319999999997E-2</v>
      </c>
      <c r="Z2257">
        <v>1.534813E-2</v>
      </c>
      <c r="AA2257">
        <v>0.99602999999999997</v>
      </c>
      <c r="AB2257">
        <v>32</v>
      </c>
      <c r="AC2257">
        <v>-0.482700000000022</v>
      </c>
      <c r="AD2257">
        <v>-0.27985019999999899</v>
      </c>
      <c r="AE2257">
        <v>7.4700000000007094E-2</v>
      </c>
      <c r="AF2257">
        <v>5.6279529037956397E-2</v>
      </c>
      <c r="AG2257">
        <v>-0.27985019999999899</v>
      </c>
      <c r="AH2257">
        <v>0.363401411672997</v>
      </c>
      <c r="AI2257">
        <v>127.271624253011</v>
      </c>
      <c r="AJ2257">
        <v>81.196609773917402</v>
      </c>
      <c r="AK2257">
        <v>0.46210832694802301</v>
      </c>
      <c r="AL2257">
        <v>78.763636610644795</v>
      </c>
      <c r="AM2257">
        <v>87.707153847647206</v>
      </c>
      <c r="AN2257">
        <v>1.0000000722907401</v>
      </c>
    </row>
    <row r="2258" spans="1:40" x14ac:dyDescent="0.25">
      <c r="A2258" t="str">
        <f>"20190303162258435"</f>
        <v>20190303162258435</v>
      </c>
      <c r="B2258" t="str">
        <f>"1551601378427033"</f>
        <v>1551601378427033</v>
      </c>
      <c r="C2258" t="s">
        <v>40</v>
      </c>
      <c r="D2258">
        <v>5.3356940000000002</v>
      </c>
      <c r="E2258">
        <v>0.52616030000000003</v>
      </c>
      <c r="F2258" t="s">
        <v>42</v>
      </c>
      <c r="G2258">
        <v>-370.22579999999999</v>
      </c>
      <c r="H2258">
        <v>0.84870509999999999</v>
      </c>
      <c r="I2258">
        <v>284.44749999999999</v>
      </c>
      <c r="J2258">
        <v>-369.76690000000002</v>
      </c>
      <c r="K2258">
        <v>1.1204019999999999</v>
      </c>
      <c r="L2258">
        <v>284.37479999999999</v>
      </c>
      <c r="M2258">
        <v>-0.99995259999999997</v>
      </c>
      <c r="N2258">
        <v>-9.7356270000000002E-3</v>
      </c>
      <c r="O2258" s="1">
        <v>-2.199003E-5</v>
      </c>
      <c r="P2258">
        <v>-0.98189530000000003</v>
      </c>
      <c r="Q2258">
        <v>0.18534030000000001</v>
      </c>
      <c r="R2258">
        <v>3.912413E-2</v>
      </c>
      <c r="S2258">
        <v>-3.259369</v>
      </c>
      <c r="T2258">
        <v>-1.1418820000000001</v>
      </c>
      <c r="U2258">
        <v>0.3045349</v>
      </c>
      <c r="V2258">
        <v>3.9193150000000003E-2</v>
      </c>
      <c r="W2258">
        <v>0.1948812</v>
      </c>
      <c r="X2258">
        <v>0.98004349999999996</v>
      </c>
      <c r="Y2258">
        <v>8.7712460000000006E-2</v>
      </c>
      <c r="Z2258">
        <v>1.5338009999999999E-2</v>
      </c>
      <c r="AA2258">
        <v>0.99602780000000002</v>
      </c>
      <c r="AB2258">
        <v>32</v>
      </c>
      <c r="AC2258">
        <v>-0.458899999999971</v>
      </c>
      <c r="AD2258">
        <v>-0.27169690000000002</v>
      </c>
      <c r="AE2258">
        <v>7.2699999999997503E-2</v>
      </c>
      <c r="AF2258">
        <v>5.4182242800625703E-2</v>
      </c>
      <c r="AG2258">
        <v>-0.27169690000000002</v>
      </c>
      <c r="AH2258">
        <v>0.341962773184466</v>
      </c>
      <c r="AI2258">
        <v>128.12243495481701</v>
      </c>
      <c r="AJ2258">
        <v>80.996623105881</v>
      </c>
      <c r="AK2258">
        <v>0.44010619076369101</v>
      </c>
      <c r="AL2258">
        <v>78.762216555080897</v>
      </c>
      <c r="AM2258">
        <v>87.709891348067799</v>
      </c>
      <c r="AN2258">
        <v>1.0000000235063</v>
      </c>
    </row>
    <row r="2259" spans="1:40" x14ac:dyDescent="0.25">
      <c r="A2259" t="str">
        <f>"20190303162258459"</f>
        <v>20190303162258459</v>
      </c>
      <c r="B2259" t="str">
        <f>"1551601378446553"</f>
        <v>1551601378446553</v>
      </c>
      <c r="C2259" t="s">
        <v>40</v>
      </c>
      <c r="D2259">
        <v>5.294003</v>
      </c>
      <c r="E2259">
        <v>0.52150169999999996</v>
      </c>
      <c r="F2259" t="s">
        <v>42</v>
      </c>
      <c r="G2259">
        <v>-370.51850000000002</v>
      </c>
      <c r="H2259">
        <v>0.85677150000000002</v>
      </c>
      <c r="I2259">
        <v>284.44490000000002</v>
      </c>
      <c r="J2259">
        <v>-370.11250000000001</v>
      </c>
      <c r="K2259">
        <v>1.1204459999999901</v>
      </c>
      <c r="L2259">
        <v>284.37490000000003</v>
      </c>
      <c r="M2259">
        <v>-0.99994870000000002</v>
      </c>
      <c r="N2259">
        <v>-1.014632E-2</v>
      </c>
      <c r="O2259" s="1">
        <v>6.8620990000000005E-5</v>
      </c>
      <c r="P2259">
        <v>-0.98183880000000001</v>
      </c>
      <c r="Q2259">
        <v>0.18563689999999999</v>
      </c>
      <c r="R2259">
        <v>3.9145260000000001E-2</v>
      </c>
      <c r="S2259">
        <v>-3.258972</v>
      </c>
      <c r="T2259">
        <v>-1.1431420000000001</v>
      </c>
      <c r="U2259">
        <v>0.3035583</v>
      </c>
      <c r="V2259">
        <v>3.9127240000000001E-2</v>
      </c>
      <c r="W2259">
        <v>0.1955799</v>
      </c>
      <c r="X2259">
        <v>0.97990690000000003</v>
      </c>
      <c r="Y2259">
        <v>8.7345820000000005E-2</v>
      </c>
      <c r="Z2259">
        <v>1.5279900000000001E-2</v>
      </c>
      <c r="AA2259">
        <v>0.99606079999999997</v>
      </c>
      <c r="AB2259">
        <v>32</v>
      </c>
      <c r="AC2259">
        <v>-0.40600000000000502</v>
      </c>
      <c r="AD2259">
        <v>-0.26367449999999898</v>
      </c>
      <c r="AE2259">
        <v>6.9999999999993096E-2</v>
      </c>
      <c r="AF2259">
        <v>4.9639634094501103E-2</v>
      </c>
      <c r="AG2259">
        <v>-0.26367449999999898</v>
      </c>
      <c r="AH2259">
        <v>0.28802792574102498</v>
      </c>
      <c r="AI2259">
        <v>132.05513073406701</v>
      </c>
      <c r="AJ2259">
        <v>80.221524863006806</v>
      </c>
      <c r="AK2259">
        <v>0.39363488314675998</v>
      </c>
      <c r="AL2259">
        <v>78.721398113376594</v>
      </c>
      <c r="AM2259">
        <v>87.713420099301104</v>
      </c>
      <c r="AN2259">
        <v>0.99999998543081803</v>
      </c>
    </row>
    <row r="2260" spans="1:40" x14ac:dyDescent="0.25">
      <c r="A2260" t="str">
        <f>"20190303162258481"</f>
        <v>20190303162258481</v>
      </c>
      <c r="B2260" t="str">
        <f>"1551601378476810"</f>
        <v>1551601378476810</v>
      </c>
      <c r="C2260" t="s">
        <v>40</v>
      </c>
      <c r="D2260">
        <v>5.5270000000000001</v>
      </c>
      <c r="E2260">
        <v>0.50199320000000003</v>
      </c>
      <c r="F2260" t="s">
        <v>42</v>
      </c>
      <c r="G2260">
        <v>-370.83800000000002</v>
      </c>
      <c r="H2260">
        <v>0.92827570000000004</v>
      </c>
      <c r="I2260">
        <v>284.43630000000002</v>
      </c>
      <c r="J2260">
        <v>-370.43180000000001</v>
      </c>
      <c r="K2260">
        <v>1.1204780000000001</v>
      </c>
      <c r="L2260">
        <v>284.375</v>
      </c>
      <c r="M2260">
        <v>-0.99994499999999997</v>
      </c>
      <c r="N2260">
        <v>-1.049512E-2</v>
      </c>
      <c r="O2260">
        <v>1.50324599999999E-4</v>
      </c>
      <c r="P2260">
        <v>-0.98184459999999996</v>
      </c>
      <c r="Q2260">
        <v>0.18568280000000001</v>
      </c>
      <c r="R2260">
        <v>3.8772620000000001E-2</v>
      </c>
      <c r="S2260">
        <v>-3.2052309999999999</v>
      </c>
      <c r="T2260">
        <v>-0.84907199999999905</v>
      </c>
      <c r="U2260">
        <v>0.27023320000000001</v>
      </c>
      <c r="V2260">
        <v>3.8674729999999997E-2</v>
      </c>
      <c r="W2260">
        <v>0.19596749999999999</v>
      </c>
      <c r="X2260">
        <v>0.97984740000000004</v>
      </c>
      <c r="Y2260">
        <v>8.0978910000000001E-2</v>
      </c>
      <c r="Z2260">
        <v>1.0921780000000001E-2</v>
      </c>
      <c r="AA2260">
        <v>0.99665599999999999</v>
      </c>
      <c r="AB2260">
        <v>32</v>
      </c>
      <c r="AC2260">
        <v>-0.406200000000012</v>
      </c>
      <c r="AD2260">
        <v>-0.19220229999999999</v>
      </c>
      <c r="AE2260">
        <v>6.1300000000017001E-2</v>
      </c>
      <c r="AF2260">
        <v>5.0240900992701898E-2</v>
      </c>
      <c r="AG2260">
        <v>-0.19220229999999999</v>
      </c>
      <c r="AH2260">
        <v>0.33325721689681198</v>
      </c>
      <c r="AI2260">
        <v>119.695864230274</v>
      </c>
      <c r="AJ2260">
        <v>81.426813433133006</v>
      </c>
      <c r="AK2260">
        <v>0.38797711900530601</v>
      </c>
      <c r="AL2260">
        <v>78.698751773452699</v>
      </c>
      <c r="AM2260">
        <v>87.739699910443704</v>
      </c>
      <c r="AN2260">
        <v>0.99999996154179005</v>
      </c>
    </row>
    <row r="2261" spans="1:40" x14ac:dyDescent="0.25">
      <c r="A2261" t="str">
        <f>"20190303162258504"</f>
        <v>20190303162258504</v>
      </c>
      <c r="B2261" t="str">
        <f>"1551601378497305"</f>
        <v>1551601378497305</v>
      </c>
      <c r="C2261" t="s">
        <v>40</v>
      </c>
      <c r="D2261">
        <v>5.5949530000000003</v>
      </c>
      <c r="E2261">
        <v>0.4957355</v>
      </c>
      <c r="F2261" t="s">
        <v>42</v>
      </c>
      <c r="G2261">
        <v>-371.2002</v>
      </c>
      <c r="H2261">
        <v>1.0524340000000001</v>
      </c>
      <c r="I2261">
        <v>284.40530000000001</v>
      </c>
      <c r="J2261">
        <v>-370.755</v>
      </c>
      <c r="K2261">
        <v>1.1205000000000001</v>
      </c>
      <c r="L2261">
        <v>284.37509999999997</v>
      </c>
      <c r="M2261">
        <v>-0.99994159999999999</v>
      </c>
      <c r="N2261">
        <v>-1.0813379999999999E-2</v>
      </c>
      <c r="O2261">
        <v>2.3828529999999999E-4</v>
      </c>
      <c r="P2261">
        <v>-0.98182369999999997</v>
      </c>
      <c r="Q2261">
        <v>0.18583849999999999</v>
      </c>
      <c r="R2261">
        <v>3.8555249999999999E-2</v>
      </c>
      <c r="S2261">
        <v>-3.1026609999999999</v>
      </c>
      <c r="T2261">
        <v>-0.27479039999999999</v>
      </c>
      <c r="U2261">
        <v>0.1218262</v>
      </c>
      <c r="V2261">
        <v>3.8370309999999998E-2</v>
      </c>
      <c r="W2261">
        <v>0.19643459999999999</v>
      </c>
      <c r="X2261">
        <v>0.97976589999999997</v>
      </c>
      <c r="Y2261">
        <v>3.8827050000000002E-2</v>
      </c>
      <c r="Z2261">
        <v>1.9073530000000001E-3</v>
      </c>
      <c r="AA2261">
        <v>0.99924420000000003</v>
      </c>
      <c r="AB2261">
        <v>32</v>
      </c>
      <c r="AC2261">
        <v>-0.44519999999999899</v>
      </c>
      <c r="AD2261">
        <v>-6.8065999999999904E-2</v>
      </c>
      <c r="AE2261">
        <v>3.0200000000036201E-2</v>
      </c>
      <c r="AF2261">
        <v>2.94096098634202E-2</v>
      </c>
      <c r="AG2261">
        <v>-6.8065999999999904E-2</v>
      </c>
      <c r="AH2261">
        <v>0.43508372007537699</v>
      </c>
      <c r="AI2261">
        <v>98.871557362439404</v>
      </c>
      <c r="AJ2261">
        <v>86.132957721728502</v>
      </c>
      <c r="AK2261">
        <v>0.44135671398874998</v>
      </c>
      <c r="AL2261">
        <v>78.671459169018306</v>
      </c>
      <c r="AM2261">
        <v>87.75728680089</v>
      </c>
      <c r="AN2261">
        <v>1.0000000257847299</v>
      </c>
    </row>
    <row r="2262" spans="1:40" x14ac:dyDescent="0.25">
      <c r="A2262" t="str">
        <f>"20190303162258524"</f>
        <v>20190303162258524</v>
      </c>
      <c r="B2262" t="str">
        <f>"1551601378516825"</f>
        <v>1551601378516825</v>
      </c>
      <c r="C2262" t="s">
        <v>40</v>
      </c>
      <c r="D2262">
        <v>5.568873</v>
      </c>
      <c r="E2262">
        <v>0.49314259999999899</v>
      </c>
      <c r="F2262" t="s">
        <v>42</v>
      </c>
      <c r="G2262">
        <v>-371.77460000000002</v>
      </c>
      <c r="H2262">
        <v>1.0499259999999999</v>
      </c>
      <c r="I2262">
        <v>284.399</v>
      </c>
      <c r="J2262">
        <v>-371.06619999999998</v>
      </c>
      <c r="K2262">
        <v>1.120519</v>
      </c>
      <c r="L2262">
        <v>284.37529999999998</v>
      </c>
      <c r="M2262">
        <v>-0.99993849999999995</v>
      </c>
      <c r="N2262">
        <v>-1.1085289999999999E-2</v>
      </c>
      <c r="O2262">
        <v>3.2614439999999997E-4</v>
      </c>
      <c r="P2262">
        <v>-0.98185029999999995</v>
      </c>
      <c r="Q2262">
        <v>0.18565880000000001</v>
      </c>
      <c r="R2262">
        <v>3.8740719999999999E-2</v>
      </c>
      <c r="S2262">
        <v>-3.0932919999999999</v>
      </c>
      <c r="T2262">
        <v>-0.21425459999999999</v>
      </c>
      <c r="U2262">
        <v>7.1960449999999995E-2</v>
      </c>
      <c r="V2262">
        <v>3.8468370000000002E-2</v>
      </c>
      <c r="W2262">
        <v>0.19652249999999999</v>
      </c>
      <c r="X2262">
        <v>0.97974439999999996</v>
      </c>
      <c r="Y2262">
        <v>2.2868010000000001E-2</v>
      </c>
      <c r="Z2262">
        <v>8.9891139999999999E-4</v>
      </c>
      <c r="AA2262">
        <v>0.99973809999999996</v>
      </c>
      <c r="AB2262">
        <v>32</v>
      </c>
      <c r="AC2262">
        <v>-0.70840000000004</v>
      </c>
      <c r="AD2262">
        <v>-7.05930000000001E-2</v>
      </c>
      <c r="AE2262">
        <v>2.3700000000019299E-2</v>
      </c>
      <c r="AF2262">
        <v>2.3238435199188199E-2</v>
      </c>
      <c r="AG2262">
        <v>-7.05930000000001E-2</v>
      </c>
      <c r="AH2262">
        <v>0.70144981217992797</v>
      </c>
      <c r="AI2262">
        <v>95.743693538449193</v>
      </c>
      <c r="AJ2262">
        <v>88.102533574274801</v>
      </c>
      <c r="AK2262">
        <v>0.70537595332330605</v>
      </c>
      <c r="AL2262">
        <v>78.666322443139194</v>
      </c>
      <c r="AM2262">
        <v>87.751511858984998</v>
      </c>
      <c r="AN2262">
        <v>0.99999999891403302</v>
      </c>
    </row>
    <row r="2263" spans="1:40" x14ac:dyDescent="0.25">
      <c r="A2263" t="str">
        <f>"20190303162258547"</f>
        <v>20190303162258547</v>
      </c>
      <c r="B2263" t="str">
        <f>"1551601378537321"</f>
        <v>1551601378537321</v>
      </c>
      <c r="C2263" t="s">
        <v>40</v>
      </c>
      <c r="D2263">
        <v>5.5531499999999996</v>
      </c>
      <c r="E2263">
        <v>0.49238320000000002</v>
      </c>
      <c r="F2263" t="s">
        <v>47</v>
      </c>
      <c r="G2263">
        <v>-388.95229999999998</v>
      </c>
      <c r="H2263" s="1">
        <v>3.2271949999999999E-6</v>
      </c>
      <c r="I2263">
        <v>284.67070000000001</v>
      </c>
      <c r="J2263">
        <v>-371.39510000000001</v>
      </c>
      <c r="K2263">
        <v>1.1205400000000001</v>
      </c>
      <c r="L2263">
        <v>284.37549999999999</v>
      </c>
      <c r="M2263">
        <v>-0.99993569999999998</v>
      </c>
      <c r="N2263">
        <v>-1.13391E-2</v>
      </c>
      <c r="O2263">
        <v>4.187846E-4</v>
      </c>
      <c r="P2263">
        <v>-0.98189930000000003</v>
      </c>
      <c r="Q2263">
        <v>0.18533839999999999</v>
      </c>
      <c r="R2263">
        <v>3.9035149999999998E-2</v>
      </c>
      <c r="S2263">
        <v>-3.0900569999999998</v>
      </c>
      <c r="T2263">
        <v>-0.19358330000000001</v>
      </c>
      <c r="U2263">
        <v>5.1025389999999997E-2</v>
      </c>
      <c r="V2263">
        <v>3.8671039999999997E-2</v>
      </c>
      <c r="W2263">
        <v>0.19645099999999999</v>
      </c>
      <c r="X2263">
        <v>0.97975080000000003</v>
      </c>
      <c r="Y2263">
        <v>1.6055139999999999E-2</v>
      </c>
      <c r="Z2263">
        <v>5.7205389999999997E-4</v>
      </c>
      <c r="AA2263">
        <v>0.99987099999999995</v>
      </c>
      <c r="AB2263">
        <v>32</v>
      </c>
      <c r="AC2263">
        <v>-17.557199999999899</v>
      </c>
      <c r="AD2263">
        <v>-1.120536772805</v>
      </c>
      <c r="AE2263">
        <v>0.295200000000022</v>
      </c>
      <c r="AF2263">
        <v>0.28667942826303799</v>
      </c>
      <c r="AG2263">
        <v>-1.120536772805</v>
      </c>
      <c r="AH2263">
        <v>17.486116791451199</v>
      </c>
      <c r="AI2263">
        <v>93.666095374672295</v>
      </c>
      <c r="AJ2263">
        <v>89.060737721419599</v>
      </c>
      <c r="AK2263">
        <v>17.524327895758798</v>
      </c>
      <c r="AL2263">
        <v>78.670500979147903</v>
      </c>
      <c r="AM2263">
        <v>87.7396927392778</v>
      </c>
      <c r="AN2263">
        <v>1.0000000374181599</v>
      </c>
    </row>
    <row r="2264" spans="1:40" x14ac:dyDescent="0.25">
      <c r="A2264" t="str">
        <f>"20190303162258561"</f>
        <v>20190303162258561</v>
      </c>
      <c r="B2264" t="str">
        <f>"1551601378546795"</f>
        <v>1551601378546795</v>
      </c>
      <c r="C2264" t="s">
        <v>40</v>
      </c>
      <c r="D2264">
        <v>5.5599089999999904</v>
      </c>
      <c r="E2264">
        <v>0.49201709999999899</v>
      </c>
      <c r="F2264" t="s">
        <v>47</v>
      </c>
      <c r="G2264">
        <v>-389.74059999999997</v>
      </c>
      <c r="H2264" s="1">
        <v>3.6466719999999998E-6</v>
      </c>
      <c r="I2264">
        <v>284.6508</v>
      </c>
      <c r="J2264">
        <v>-371.59629999999999</v>
      </c>
      <c r="K2264">
        <v>1.1205480000000001</v>
      </c>
      <c r="L2264">
        <v>284.37569999999999</v>
      </c>
      <c r="M2264">
        <v>-0.99993399999999999</v>
      </c>
      <c r="N2264">
        <v>-1.1480809999999999E-2</v>
      </c>
      <c r="O2264">
        <v>4.7479020000000001E-4</v>
      </c>
      <c r="P2264">
        <v>-0.9818829</v>
      </c>
      <c r="Q2264">
        <v>0.1853649</v>
      </c>
      <c r="R2264">
        <v>3.9320040000000001E-2</v>
      </c>
      <c r="S2264">
        <v>-3.0890810000000002</v>
      </c>
      <c r="T2264">
        <v>-0.1886795</v>
      </c>
      <c r="U2264">
        <v>4.6356199999999903E-2</v>
      </c>
      <c r="V2264">
        <v>3.8900940000000002E-2</v>
      </c>
      <c r="W2264">
        <v>0.1966165</v>
      </c>
      <c r="X2264">
        <v>0.97970840000000003</v>
      </c>
      <c r="Y2264">
        <v>1.4498489999999999E-2</v>
      </c>
      <c r="Z2264">
        <v>5.0214529999999995E-4</v>
      </c>
      <c r="AA2264">
        <v>0.99989470000000003</v>
      </c>
      <c r="AB2264">
        <v>32</v>
      </c>
      <c r="AC2264">
        <v>-18.144299999999902</v>
      </c>
      <c r="AD2264">
        <v>-1.120544353328</v>
      </c>
      <c r="AE2264">
        <v>0.275100000000009</v>
      </c>
      <c r="AF2264">
        <v>0.26547239356048902</v>
      </c>
      <c r="AG2264">
        <v>-1.120544353328</v>
      </c>
      <c r="AH2264">
        <v>18.075504926059601</v>
      </c>
      <c r="AI2264">
        <v>93.546983069196699</v>
      </c>
      <c r="AJ2264">
        <v>89.158565457430797</v>
      </c>
      <c r="AK2264">
        <v>18.1121498881697</v>
      </c>
      <c r="AL2264">
        <v>78.660828795851202</v>
      </c>
      <c r="AM2264">
        <v>87.726170935808398</v>
      </c>
      <c r="AN2264">
        <v>0.99999994011784499</v>
      </c>
    </row>
    <row r="2265" spans="1:40" x14ac:dyDescent="0.25">
      <c r="A2265" t="str">
        <f>"20190303162258580"</f>
        <v>20190303162258580</v>
      </c>
      <c r="B2265" t="str">
        <f>"1551601378567292"</f>
        <v>1551601378567292</v>
      </c>
      <c r="C2265" t="s">
        <v>40</v>
      </c>
      <c r="D2265">
        <v>5.6127070000000003</v>
      </c>
      <c r="E2265">
        <v>0.49165419999999999</v>
      </c>
      <c r="F2265" t="s">
        <v>47</v>
      </c>
      <c r="G2265">
        <v>-390.33690000000001</v>
      </c>
      <c r="H2265" s="1">
        <v>-1.35752E-6</v>
      </c>
      <c r="I2265">
        <v>284.6481</v>
      </c>
      <c r="J2265">
        <v>-371.86829999999998</v>
      </c>
      <c r="K2265">
        <v>1.1205480000000001</v>
      </c>
      <c r="L2265">
        <v>284.3759</v>
      </c>
      <c r="M2265">
        <v>-0.99993220000000005</v>
      </c>
      <c r="N2265">
        <v>-1.165223E-2</v>
      </c>
      <c r="O2265">
        <v>5.4951260000000004E-4</v>
      </c>
      <c r="P2265">
        <v>-0.98189740000000003</v>
      </c>
      <c r="Q2265">
        <v>0.18517939999999999</v>
      </c>
      <c r="R2265">
        <v>3.9830860000000003E-2</v>
      </c>
      <c r="S2265">
        <v>-3.088409</v>
      </c>
      <c r="T2265">
        <v>-0.1846641</v>
      </c>
      <c r="U2265">
        <v>4.4891359999999998E-2</v>
      </c>
      <c r="V2265">
        <v>3.933818E-2</v>
      </c>
      <c r="W2265">
        <v>0.19659879999999999</v>
      </c>
      <c r="X2265">
        <v>0.97969450000000002</v>
      </c>
      <c r="Y2265">
        <v>1.3955250000000001E-2</v>
      </c>
      <c r="Z2265">
        <v>4.7178770000000001E-4</v>
      </c>
      <c r="AA2265">
        <v>0.99990250000000003</v>
      </c>
      <c r="AB2265">
        <v>32</v>
      </c>
      <c r="AC2265">
        <v>-18.468599999999999</v>
      </c>
      <c r="AD2265">
        <v>-1.1205493575199901</v>
      </c>
      <c r="AE2265">
        <v>0.272199999999998</v>
      </c>
      <c r="AF2265">
        <v>0.26108961930458502</v>
      </c>
      <c r="AG2265">
        <v>-1.1205493575199901</v>
      </c>
      <c r="AH2265">
        <v>18.401022943973501</v>
      </c>
      <c r="AI2265">
        <v>93.484432670072096</v>
      </c>
      <c r="AJ2265">
        <v>89.187092503643996</v>
      </c>
      <c r="AK2265">
        <v>18.436958643892002</v>
      </c>
      <c r="AL2265">
        <v>78.661863197351806</v>
      </c>
      <c r="AM2265">
        <v>87.700608172026094</v>
      </c>
      <c r="AN2265">
        <v>0.99999994694869898</v>
      </c>
    </row>
    <row r="2266" spans="1:40" x14ac:dyDescent="0.25">
      <c r="A2266" t="str">
        <f>"20190303162258603"</f>
        <v>20190303162258603</v>
      </c>
      <c r="B2266" t="str">
        <f>"1551601378596571"</f>
        <v>1551601378596571</v>
      </c>
      <c r="C2266" t="s">
        <v>40</v>
      </c>
      <c r="D2266">
        <v>5.6711689999999999</v>
      </c>
      <c r="E2266">
        <v>0.4911566</v>
      </c>
      <c r="F2266" t="s">
        <v>47</v>
      </c>
      <c r="G2266">
        <v>-390.7647</v>
      </c>
      <c r="H2266" s="1">
        <v>-1.1298679999999999E-6</v>
      </c>
      <c r="I2266">
        <v>284.64460000000003</v>
      </c>
      <c r="J2266">
        <v>-372.1995</v>
      </c>
      <c r="K2266">
        <v>1.1205459999999901</v>
      </c>
      <c r="L2266">
        <v>284.37619999999998</v>
      </c>
      <c r="M2266">
        <v>-0.99992979999999998</v>
      </c>
      <c r="N2266">
        <v>-1.1837500000000001E-2</v>
      </c>
      <c r="O2266">
        <v>6.4112489999999995E-4</v>
      </c>
      <c r="P2266">
        <v>-0.98207009999999995</v>
      </c>
      <c r="Q2266">
        <v>0.1842172</v>
      </c>
      <c r="R2266">
        <v>4.0031190000000001E-2</v>
      </c>
      <c r="S2266">
        <v>-3.088104</v>
      </c>
      <c r="T2266">
        <v>-0.18312310000000001</v>
      </c>
      <c r="U2266">
        <v>4.3914790000000002E-2</v>
      </c>
      <c r="V2266">
        <v>3.9448179999999999E-2</v>
      </c>
      <c r="W2266">
        <v>0.19582069999999999</v>
      </c>
      <c r="X2266">
        <v>0.97984590000000005</v>
      </c>
      <c r="Y2266">
        <v>1.355025E-2</v>
      </c>
      <c r="Z2266">
        <v>4.512815E-4</v>
      </c>
      <c r="AA2266">
        <v>0.99990809999999997</v>
      </c>
      <c r="AB2266">
        <v>32</v>
      </c>
      <c r="AC2266">
        <v>-18.565200000000001</v>
      </c>
      <c r="AD2266">
        <v>-1.1205471298680001</v>
      </c>
      <c r="AE2266">
        <v>0.26840000000004199</v>
      </c>
      <c r="AF2266">
        <v>0.255565664598354</v>
      </c>
      <c r="AG2266">
        <v>-1.1205471298680001</v>
      </c>
      <c r="AH2266">
        <v>18.4979938817437</v>
      </c>
      <c r="AI2266">
        <v>93.466222269468602</v>
      </c>
      <c r="AJ2266">
        <v>89.2084599819012</v>
      </c>
      <c r="AK2266">
        <v>18.5336644333549</v>
      </c>
      <c r="AL2266">
        <v>78.707328806116493</v>
      </c>
      <c r="AM2266">
        <v>87.694541288504695</v>
      </c>
      <c r="AN2266">
        <v>0.999999946600304</v>
      </c>
    </row>
    <row r="2267" spans="1:40" x14ac:dyDescent="0.25">
      <c r="A2267" t="str">
        <f>"20190303162258625"</f>
        <v>20190303162258625</v>
      </c>
      <c r="B2267" t="str">
        <f>"1551601378617068"</f>
        <v>1551601378617068</v>
      </c>
      <c r="C2267" t="s">
        <v>40</v>
      </c>
      <c r="D2267">
        <v>5.7293839999999996</v>
      </c>
      <c r="E2267">
        <v>0.49098799999999998</v>
      </c>
      <c r="F2267" t="s">
        <v>47</v>
      </c>
      <c r="G2267">
        <v>-390.7063</v>
      </c>
      <c r="H2267" s="1">
        <v>-1.160939E-6</v>
      </c>
      <c r="I2267">
        <v>284.61540000000002</v>
      </c>
      <c r="J2267">
        <v>-372.51569999999998</v>
      </c>
      <c r="K2267">
        <v>1.120547</v>
      </c>
      <c r="L2267">
        <v>284.37650000000002</v>
      </c>
      <c r="M2267">
        <v>-0.99992789999999998</v>
      </c>
      <c r="N2267">
        <v>-1.198989E-2</v>
      </c>
      <c r="O2267">
        <v>7.2921710000000003E-4</v>
      </c>
      <c r="P2267">
        <v>-0.98217149999999998</v>
      </c>
      <c r="Q2267">
        <v>0.18368889999999999</v>
      </c>
      <c r="R2267">
        <v>3.996984E-2</v>
      </c>
      <c r="S2267">
        <v>-3.0882260000000001</v>
      </c>
      <c r="T2267">
        <v>-0.18698590000000001</v>
      </c>
      <c r="U2267">
        <v>3.9916989999999999E-2</v>
      </c>
      <c r="V2267">
        <v>3.9300000000000002E-2</v>
      </c>
      <c r="W2267">
        <v>0.1954428</v>
      </c>
      <c r="X2267">
        <v>0.9799274</v>
      </c>
      <c r="Y2267">
        <v>1.21694E-2</v>
      </c>
      <c r="Z2267">
        <v>4.0573090000000002E-4</v>
      </c>
      <c r="AA2267">
        <v>0.99992590000000003</v>
      </c>
      <c r="AB2267">
        <v>32</v>
      </c>
      <c r="AC2267">
        <v>-18.1906</v>
      </c>
      <c r="AD2267">
        <v>-1.120548160939</v>
      </c>
      <c r="AE2267">
        <v>0.238900000000001</v>
      </c>
      <c r="AF2267">
        <v>0.224781277040037</v>
      </c>
      <c r="AG2267">
        <v>-1.120548160939</v>
      </c>
      <c r="AH2267">
        <v>18.122015285846899</v>
      </c>
      <c r="AI2267">
        <v>93.538023953742893</v>
      </c>
      <c r="AJ2267">
        <v>89.289352875389</v>
      </c>
      <c r="AK2267">
        <v>18.158017315333801</v>
      </c>
      <c r="AL2267">
        <v>78.729408608066706</v>
      </c>
      <c r="AM2267">
        <v>87.703382857536994</v>
      </c>
      <c r="AN2267">
        <v>1.0000000436712899</v>
      </c>
    </row>
    <row r="2268" spans="1:40" x14ac:dyDescent="0.25">
      <c r="A2268" t="str">
        <f>"20190303162258649"</f>
        <v>20190303162258649</v>
      </c>
      <c r="B2268" t="str">
        <f>"1551601378636587"</f>
        <v>1551601378636587</v>
      </c>
      <c r="C2268" t="s">
        <v>40</v>
      </c>
      <c r="D2268">
        <v>5.443505</v>
      </c>
      <c r="E2268">
        <v>0.49071700000000001</v>
      </c>
      <c r="F2268" t="s">
        <v>47</v>
      </c>
      <c r="G2268">
        <v>-390.81259999999997</v>
      </c>
      <c r="H2268" s="1">
        <v>-1.1043650000000001E-6</v>
      </c>
      <c r="I2268">
        <v>284.60219999999998</v>
      </c>
      <c r="J2268">
        <v>-372.85109999999997</v>
      </c>
      <c r="K2268">
        <v>1.1205529999999999</v>
      </c>
      <c r="L2268">
        <v>284.37689999999998</v>
      </c>
      <c r="M2268">
        <v>-0.99992610000000004</v>
      </c>
      <c r="N2268">
        <v>-1.2130149999999999E-2</v>
      </c>
      <c r="O2268">
        <v>8.2291549999999997E-4</v>
      </c>
      <c r="P2268">
        <v>-0.98230150000000005</v>
      </c>
      <c r="Q2268">
        <v>0.18294079999999999</v>
      </c>
      <c r="R2268">
        <v>4.0206909999999998E-2</v>
      </c>
      <c r="S2268">
        <v>-3.0882869999999998</v>
      </c>
      <c r="T2268">
        <v>-0.189134</v>
      </c>
      <c r="U2268">
        <v>3.8085939999999999E-2</v>
      </c>
      <c r="V2268">
        <v>3.9444859999999998E-2</v>
      </c>
      <c r="W2268">
        <v>0.19483400000000001</v>
      </c>
      <c r="X2268">
        <v>0.98004279999999999</v>
      </c>
      <c r="Y2268">
        <v>1.1483729999999999E-2</v>
      </c>
      <c r="Z2268">
        <v>3.8066260000000002E-4</v>
      </c>
      <c r="AA2268">
        <v>0.99993399999999999</v>
      </c>
      <c r="AB2268">
        <v>32</v>
      </c>
      <c r="AC2268">
        <v>-17.961500000000001</v>
      </c>
      <c r="AD2268">
        <v>-1.120554104365</v>
      </c>
      <c r="AE2268">
        <v>0.225300000000004</v>
      </c>
      <c r="AF2268">
        <v>0.20970199348308799</v>
      </c>
      <c r="AG2268">
        <v>-1.120554104365</v>
      </c>
      <c r="AH2268">
        <v>17.892053195282799</v>
      </c>
      <c r="AI2268">
        <v>93.583427967962706</v>
      </c>
      <c r="AJ2268">
        <v>89.328501377864697</v>
      </c>
      <c r="AK2268">
        <v>17.928334668053001</v>
      </c>
      <c r="AL2268">
        <v>78.764973922983302</v>
      </c>
      <c r="AM2268">
        <v>87.695197759284497</v>
      </c>
      <c r="AN2268">
        <v>1.00000003718412</v>
      </c>
    </row>
    <row r="2269" spans="1:40" x14ac:dyDescent="0.25">
      <c r="A2269" t="str">
        <f>"20190303162258671"</f>
        <v>20190303162258671</v>
      </c>
      <c r="B2269" t="str">
        <f>"1551601378666616"</f>
        <v>1551601378666616</v>
      </c>
      <c r="C2269" t="s">
        <v>40</v>
      </c>
      <c r="D2269">
        <v>5.7295740000000004</v>
      </c>
      <c r="E2269">
        <v>0.49054340000000002</v>
      </c>
      <c r="F2269" t="s">
        <v>47</v>
      </c>
      <c r="G2269">
        <v>-390.91640000000001</v>
      </c>
      <c r="H2269" s="1">
        <v>-1.0491109999999999E-6</v>
      </c>
      <c r="I2269">
        <v>284.59109999999998</v>
      </c>
      <c r="J2269">
        <v>-373.18299999999999</v>
      </c>
      <c r="K2269">
        <v>1.1205540000000001</v>
      </c>
      <c r="L2269">
        <v>284.37729999999999</v>
      </c>
      <c r="M2269">
        <v>-0.99992479999999995</v>
      </c>
      <c r="N2269">
        <v>-1.22427E-2</v>
      </c>
      <c r="O2269">
        <v>9.1593420000000004E-4</v>
      </c>
      <c r="P2269">
        <v>-0.98251200000000005</v>
      </c>
      <c r="Q2269">
        <v>0.18176349999999999</v>
      </c>
      <c r="R2269">
        <v>4.0405429999999999E-2</v>
      </c>
      <c r="S2269">
        <v>-3.0882260000000001</v>
      </c>
      <c r="T2269">
        <v>-0.19155620000000001</v>
      </c>
      <c r="U2269">
        <v>3.6621090000000002E-2</v>
      </c>
      <c r="V2269">
        <v>3.9551389999999999E-2</v>
      </c>
      <c r="W2269">
        <v>0.19376940000000001</v>
      </c>
      <c r="X2269">
        <v>0.9802495</v>
      </c>
      <c r="Y2269">
        <v>1.091752E-2</v>
      </c>
      <c r="Z2269">
        <v>3.5961830000000002E-4</v>
      </c>
      <c r="AA2269">
        <v>0.9999403</v>
      </c>
      <c r="AB2269">
        <v>32</v>
      </c>
      <c r="AC2269">
        <v>-17.7333999999999</v>
      </c>
      <c r="AD2269">
        <v>-1.1205550491109999</v>
      </c>
      <c r="AE2269">
        <v>0.213799999999992</v>
      </c>
      <c r="AF2269">
        <v>0.196770508226597</v>
      </c>
      <c r="AG2269">
        <v>-1.1205550491109999</v>
      </c>
      <c r="AH2269">
        <v>17.663072752502799</v>
      </c>
      <c r="AI2269">
        <v>93.629786444259494</v>
      </c>
      <c r="AJ2269">
        <v>89.361738840285994</v>
      </c>
      <c r="AK2269">
        <v>17.699675175302001</v>
      </c>
      <c r="AL2269">
        <v>78.827155528106502</v>
      </c>
      <c r="AM2269">
        <v>87.689466630204606</v>
      </c>
      <c r="AN2269">
        <v>0.99999998753877095</v>
      </c>
    </row>
    <row r="2270" spans="1:40" x14ac:dyDescent="0.25">
      <c r="A2270" t="str">
        <f>"20190303162258693"</f>
        <v>20190303162258693</v>
      </c>
      <c r="B2270" t="str">
        <f>"1551601378687111"</f>
        <v>1551601378687111</v>
      </c>
      <c r="C2270" t="s">
        <v>40</v>
      </c>
      <c r="D2270">
        <v>5.7360129999999998</v>
      </c>
      <c r="E2270">
        <v>0.49057630000000002</v>
      </c>
      <c r="F2270" t="s">
        <v>47</v>
      </c>
      <c r="G2270">
        <v>-390.82350000000002</v>
      </c>
      <c r="H2270" s="1">
        <v>-1.098532E-6</v>
      </c>
      <c r="I2270">
        <v>284.58069999999998</v>
      </c>
      <c r="J2270">
        <v>-373.50130000000001</v>
      </c>
      <c r="K2270">
        <v>1.1204099999999999</v>
      </c>
      <c r="L2270">
        <v>284.37759999999997</v>
      </c>
      <c r="M2270">
        <v>-0.99992979999999998</v>
      </c>
      <c r="N2270">
        <v>-1.1810019999999999E-2</v>
      </c>
      <c r="O2270">
        <v>1.00387E-3</v>
      </c>
      <c r="P2270">
        <v>-0.98263699999999998</v>
      </c>
      <c r="Q2270">
        <v>0.18096690000000001</v>
      </c>
      <c r="R2270">
        <v>4.0936790000000001E-2</v>
      </c>
      <c r="S2270">
        <v>-3.0882260000000001</v>
      </c>
      <c r="T2270">
        <v>-0.19616939999999999</v>
      </c>
      <c r="U2270">
        <v>3.5614010000000001E-2</v>
      </c>
      <c r="V2270">
        <v>3.9994990000000001E-2</v>
      </c>
      <c r="W2270">
        <v>0.19255059999999999</v>
      </c>
      <c r="X2270">
        <v>0.98047169999999895</v>
      </c>
      <c r="Y2270">
        <v>1.0503770000000001E-2</v>
      </c>
      <c r="Z2270">
        <v>3.4351E-4</v>
      </c>
      <c r="AA2270">
        <v>0.99994470000000002</v>
      </c>
      <c r="AB2270">
        <v>32</v>
      </c>
      <c r="AC2270">
        <v>-17.322199999999999</v>
      </c>
      <c r="AD2270">
        <v>-1.1204110985319999</v>
      </c>
      <c r="AE2270">
        <v>0.203100000000006</v>
      </c>
      <c r="AF2270">
        <v>0.184935859949029</v>
      </c>
      <c r="AG2270">
        <v>-1.1204110985319999</v>
      </c>
      <c r="AH2270">
        <v>17.250237238372499</v>
      </c>
      <c r="AI2270">
        <v>93.715955373734701</v>
      </c>
      <c r="AJ2270">
        <v>89.385768544204097</v>
      </c>
      <c r="AK2270">
        <v>17.287573776621802</v>
      </c>
      <c r="AL2270">
        <v>78.898328632745603</v>
      </c>
      <c r="AM2270">
        <v>87.664109643506904</v>
      </c>
      <c r="AN2270">
        <v>1.00000004364317</v>
      </c>
    </row>
    <row r="2271" spans="1:40" x14ac:dyDescent="0.25">
      <c r="A2271" t="str">
        <f>"20190303162258715"</f>
        <v>20190303162258715</v>
      </c>
      <c r="B2271" t="str">
        <f>"1551601378706632"</f>
        <v>1551601378706632</v>
      </c>
      <c r="C2271" t="s">
        <v>40</v>
      </c>
      <c r="D2271">
        <v>5.5333129999999997</v>
      </c>
      <c r="E2271">
        <v>0.50416340000000004</v>
      </c>
      <c r="F2271" t="s">
        <v>47</v>
      </c>
      <c r="G2271">
        <v>-390.56869999999998</v>
      </c>
      <c r="H2271" s="1">
        <v>-1.2341679999999999E-6</v>
      </c>
      <c r="I2271">
        <v>284.58539999999999</v>
      </c>
      <c r="J2271">
        <v>-373.82060000000001</v>
      </c>
      <c r="K2271">
        <v>1.120107</v>
      </c>
      <c r="L2271">
        <v>284.37810000000002</v>
      </c>
      <c r="M2271">
        <v>-0.99994260000000001</v>
      </c>
      <c r="N2271">
        <v>-1.0661820000000001E-2</v>
      </c>
      <c r="O2271">
        <v>1.090646E-3</v>
      </c>
      <c r="P2271">
        <v>-0.98254900000000001</v>
      </c>
      <c r="Q2271">
        <v>0.18140439999999999</v>
      </c>
      <c r="R2271">
        <v>4.1114310000000001E-2</v>
      </c>
      <c r="S2271">
        <v>-3.0887760000000002</v>
      </c>
      <c r="T2271">
        <v>-0.20276749999999999</v>
      </c>
      <c r="U2271">
        <v>3.7597659999999998E-2</v>
      </c>
      <c r="V2271">
        <v>4.0084649999999999E-2</v>
      </c>
      <c r="W2271">
        <v>0.19186130000000001</v>
      </c>
      <c r="X2271">
        <v>0.98060309999999995</v>
      </c>
      <c r="Y2271">
        <v>1.105479E-2</v>
      </c>
      <c r="Z2271">
        <v>3.6156110000000002E-4</v>
      </c>
      <c r="AA2271">
        <v>0.99993880000000002</v>
      </c>
      <c r="AB2271">
        <v>32</v>
      </c>
      <c r="AC2271">
        <v>-16.748099999999901</v>
      </c>
      <c r="AD2271">
        <v>-1.120108234168</v>
      </c>
      <c r="AE2271">
        <v>0.207299999999975</v>
      </c>
      <c r="AF2271">
        <v>0.18819096091596699</v>
      </c>
      <c r="AG2271">
        <v>-1.120108234168</v>
      </c>
      <c r="AH2271">
        <v>16.6737476115383</v>
      </c>
      <c r="AI2271">
        <v>93.842994736075994</v>
      </c>
      <c r="AJ2271">
        <v>89.353349335088694</v>
      </c>
      <c r="AK2271">
        <v>16.7123881509286</v>
      </c>
      <c r="AL2271">
        <v>78.938572368472904</v>
      </c>
      <c r="AM2271">
        <v>87.659192268739901</v>
      </c>
      <c r="AN2271">
        <v>0.999999988666461</v>
      </c>
    </row>
    <row r="2272" spans="1:40" x14ac:dyDescent="0.25">
      <c r="A2272" t="str">
        <f>"20190303162258736"</f>
        <v>20190303162258736</v>
      </c>
      <c r="B2272" t="str">
        <f>"1551601378727128"</f>
        <v>1551601378727128</v>
      </c>
      <c r="C2272" t="s">
        <v>40</v>
      </c>
      <c r="D2272">
        <v>5.5087449999999896</v>
      </c>
      <c r="E2272">
        <v>0.50604780000000005</v>
      </c>
      <c r="F2272" t="s">
        <v>42</v>
      </c>
      <c r="G2272">
        <v>-374.6345</v>
      </c>
      <c r="H2272">
        <v>0.99109029999999998</v>
      </c>
      <c r="I2272">
        <v>284.41550000000001</v>
      </c>
      <c r="J2272">
        <v>-374.14449999999999</v>
      </c>
      <c r="K2272">
        <v>1.1198159999999999</v>
      </c>
      <c r="L2272">
        <v>284.37849999999997</v>
      </c>
      <c r="M2272">
        <v>-0.9999557</v>
      </c>
      <c r="N2272">
        <v>-9.356138E-3</v>
      </c>
      <c r="O2272">
        <v>1.177675E-3</v>
      </c>
      <c r="P2272">
        <v>-0.98236579999999996</v>
      </c>
      <c r="Q2272">
        <v>0.1823612</v>
      </c>
      <c r="R2272">
        <v>4.1257250000000002E-2</v>
      </c>
      <c r="S2272">
        <v>-3.1391909999999998</v>
      </c>
      <c r="T2272">
        <v>-0.49771880000000002</v>
      </c>
      <c r="U2272">
        <v>0.1431885</v>
      </c>
      <c r="V2272">
        <v>4.0139059999999997E-2</v>
      </c>
      <c r="W2272">
        <v>0.19153700000000001</v>
      </c>
      <c r="X2272">
        <v>0.98066430000000004</v>
      </c>
      <c r="Y2272">
        <v>4.3823309999999997E-2</v>
      </c>
      <c r="Z2272">
        <v>3.482719E-3</v>
      </c>
      <c r="AA2272">
        <v>0.99903319999999995</v>
      </c>
      <c r="AB2272">
        <v>33</v>
      </c>
      <c r="AC2272">
        <v>-0.49000000000000898</v>
      </c>
      <c r="AD2272">
        <v>-0.128725699999999</v>
      </c>
      <c r="AE2272">
        <v>3.7000000000034498E-2</v>
      </c>
      <c r="AF2272">
        <v>3.40839486312828E-2</v>
      </c>
      <c r="AG2272">
        <v>-0.128725699999999</v>
      </c>
      <c r="AH2272">
        <v>0.45857451747684702</v>
      </c>
      <c r="AI2272">
        <v>105.638856299433</v>
      </c>
      <c r="AJ2272">
        <v>85.749257517702901</v>
      </c>
      <c r="AK2272">
        <v>0.47751713003191099</v>
      </c>
      <c r="AL2272">
        <v>78.957504837462594</v>
      </c>
      <c r="AM2272">
        <v>87.656164567660994</v>
      </c>
      <c r="AN2272">
        <v>1.0000000179005799</v>
      </c>
    </row>
    <row r="2273" spans="1:40" x14ac:dyDescent="0.25">
      <c r="A2273" t="str">
        <f>"20190303162258760"</f>
        <v>20190303162258760</v>
      </c>
      <c r="B2273" t="str">
        <f>"1551601378757216"</f>
        <v>1551601378757216</v>
      </c>
      <c r="C2273" t="s">
        <v>40</v>
      </c>
      <c r="D2273">
        <v>5.4822259999999998</v>
      </c>
      <c r="E2273">
        <v>0.51610119999999904</v>
      </c>
      <c r="F2273" t="s">
        <v>42</v>
      </c>
      <c r="G2273">
        <v>-374.92160000000001</v>
      </c>
      <c r="H2273">
        <v>0.97168089999999996</v>
      </c>
      <c r="I2273">
        <v>284.41759999999999</v>
      </c>
      <c r="J2273">
        <v>-374.4889</v>
      </c>
      <c r="K2273">
        <v>1.1195660000000001</v>
      </c>
      <c r="L2273">
        <v>284.37900000000002</v>
      </c>
      <c r="M2273">
        <v>-0.99996750000000001</v>
      </c>
      <c r="N2273">
        <v>-7.982566E-3</v>
      </c>
      <c r="O2273">
        <v>1.268024E-3</v>
      </c>
      <c r="P2273">
        <v>-0.98220099999999999</v>
      </c>
      <c r="Q2273">
        <v>0.18327979999999999</v>
      </c>
      <c r="R2273">
        <v>4.1109569999999998E-2</v>
      </c>
      <c r="S2273">
        <v>-3.1590579999999999</v>
      </c>
      <c r="T2273">
        <v>-0.60229600000000005</v>
      </c>
      <c r="U2273">
        <v>0.15722659999999999</v>
      </c>
      <c r="V2273">
        <v>3.9900280000000003E-2</v>
      </c>
      <c r="W2273">
        <v>0.19110779999999999</v>
      </c>
      <c r="X2273">
        <v>0.98075780000000001</v>
      </c>
      <c r="Y2273">
        <v>4.7571639999999998E-2</v>
      </c>
      <c r="Z2273">
        <v>4.4540760000000004E-3</v>
      </c>
      <c r="AA2273">
        <v>0.99885789999999997</v>
      </c>
      <c r="AB2273">
        <v>33</v>
      </c>
      <c r="AC2273">
        <v>-0.43270000000001102</v>
      </c>
      <c r="AD2273">
        <v>-0.14788509999999999</v>
      </c>
      <c r="AE2273">
        <v>3.8599999999973898E-2</v>
      </c>
      <c r="AF2273">
        <v>3.4099596597253999E-2</v>
      </c>
      <c r="AG2273">
        <v>-0.14788509999999999</v>
      </c>
      <c r="AH2273">
        <v>0.38780702257473998</v>
      </c>
      <c r="AI2273">
        <v>110.80034008036699</v>
      </c>
      <c r="AJ2273">
        <v>84.974946629494795</v>
      </c>
      <c r="AK2273">
        <v>0.416445761232348</v>
      </c>
      <c r="AL2273">
        <v>78.982559284228401</v>
      </c>
      <c r="AM2273">
        <v>87.670314084270004</v>
      </c>
      <c r="AN2273">
        <v>1.0000000429128699</v>
      </c>
    </row>
    <row r="2274" spans="1:40" x14ac:dyDescent="0.25">
      <c r="A2274" t="str">
        <f>"20190303162258782"</f>
        <v>20190303162258782</v>
      </c>
      <c r="B2274" t="str">
        <f>"1551601378776736"</f>
        <v>1551601378776736</v>
      </c>
      <c r="C2274" t="s">
        <v>40</v>
      </c>
      <c r="D2274">
        <v>5.4542849999999996</v>
      </c>
      <c r="E2274">
        <v>0.51611200000000002</v>
      </c>
      <c r="F2274" t="s">
        <v>42</v>
      </c>
      <c r="G2274">
        <v>-375.17469999999997</v>
      </c>
      <c r="H2274">
        <v>0.87049969999999999</v>
      </c>
      <c r="I2274">
        <v>284.42720000000003</v>
      </c>
      <c r="J2274">
        <v>-374.82499999999999</v>
      </c>
      <c r="K2274">
        <v>1.119356</v>
      </c>
      <c r="L2274">
        <v>284.37950000000001</v>
      </c>
      <c r="M2274">
        <v>-0.99997689999999995</v>
      </c>
      <c r="N2274">
        <v>-6.6850579999999998E-3</v>
      </c>
      <c r="O2274">
        <v>1.352521E-3</v>
      </c>
      <c r="P2274">
        <v>-0.98195399999999999</v>
      </c>
      <c r="Q2274">
        <v>0.18469430000000001</v>
      </c>
      <c r="R2274">
        <v>4.0676490000000003E-2</v>
      </c>
      <c r="S2274">
        <v>-3.266022</v>
      </c>
      <c r="T2274">
        <v>-1.1860759999999999</v>
      </c>
      <c r="U2274">
        <v>0.22924800000000001</v>
      </c>
      <c r="V2274">
        <v>3.9383649999999999E-2</v>
      </c>
      <c r="W2274">
        <v>0.19124769999999999</v>
      </c>
      <c r="X2274">
        <v>0.98075129999999999</v>
      </c>
      <c r="Y2274">
        <v>6.4566369999999998E-2</v>
      </c>
      <c r="Z2274">
        <v>1.1104340000000001E-2</v>
      </c>
      <c r="AA2274">
        <v>0.99785159999999995</v>
      </c>
      <c r="AB2274">
        <v>33</v>
      </c>
      <c r="AC2274">
        <v>-0.34969999999998402</v>
      </c>
      <c r="AD2274">
        <v>-0.2488563</v>
      </c>
      <c r="AE2274">
        <v>4.7700000000020198E-2</v>
      </c>
      <c r="AF2274">
        <v>3.1544279918770401E-2</v>
      </c>
      <c r="AG2274">
        <v>-0.2488563</v>
      </c>
      <c r="AH2274">
        <v>0.23361778021347501</v>
      </c>
      <c r="AI2274">
        <v>136.55068199018001</v>
      </c>
      <c r="AJ2274">
        <v>82.310136049717201</v>
      </c>
      <c r="AK2274">
        <v>0.34278530726557599</v>
      </c>
      <c r="AL2274">
        <v>78.974391760166597</v>
      </c>
      <c r="AM2274">
        <v>87.700431107364096</v>
      </c>
      <c r="AN2274">
        <v>0.999999933547149</v>
      </c>
    </row>
    <row r="2275" spans="1:40" x14ac:dyDescent="0.25">
      <c r="A2275" t="str">
        <f>"20190303162258804"</f>
        <v>20190303162258804</v>
      </c>
      <c r="B2275" t="str">
        <f>"1551601378797240"</f>
        <v>1551601378797240</v>
      </c>
      <c r="C2275" t="s">
        <v>40</v>
      </c>
      <c r="D2275">
        <v>5.3831309999999997</v>
      </c>
      <c r="E2275">
        <v>0.5159937</v>
      </c>
      <c r="F2275" t="s">
        <v>42</v>
      </c>
      <c r="G2275">
        <v>-375.48050000000001</v>
      </c>
      <c r="H2275">
        <v>0.88088199999999905</v>
      </c>
      <c r="I2275">
        <v>284.42559999999997</v>
      </c>
      <c r="J2275">
        <v>-375.15269999999998</v>
      </c>
      <c r="K2275">
        <v>1.119205</v>
      </c>
      <c r="L2275">
        <v>284.37990000000002</v>
      </c>
      <c r="M2275">
        <v>-0.99998379999999998</v>
      </c>
      <c r="N2275">
        <v>-5.5107649999999999E-3</v>
      </c>
      <c r="O2275">
        <v>1.4304529999999999E-3</v>
      </c>
      <c r="P2275">
        <v>-0.98172309999999996</v>
      </c>
      <c r="Q2275">
        <v>0.18598980000000001</v>
      </c>
      <c r="R2275">
        <v>4.0345909999999999E-2</v>
      </c>
      <c r="S2275">
        <v>-3.2693789999999998</v>
      </c>
      <c r="T2275">
        <v>-1.18924599999999</v>
      </c>
      <c r="U2275">
        <v>0.22860720000000001</v>
      </c>
      <c r="V2275">
        <v>3.8977690000000002E-2</v>
      </c>
      <c r="W2275">
        <v>0.19139010000000001</v>
      </c>
      <c r="X2275">
        <v>0.98073980000000005</v>
      </c>
      <c r="Y2275">
        <v>6.4249490000000006E-2</v>
      </c>
      <c r="Z2275">
        <v>1.0996819999999999E-2</v>
      </c>
      <c r="AA2275">
        <v>0.99787320000000002</v>
      </c>
      <c r="AB2275">
        <v>34</v>
      </c>
      <c r="AC2275">
        <v>-0.32780000000002402</v>
      </c>
      <c r="AD2275">
        <v>-0.23832300000000001</v>
      </c>
      <c r="AE2275">
        <v>4.5699999999953798E-2</v>
      </c>
      <c r="AF2275">
        <v>2.9786539812620302E-2</v>
      </c>
      <c r="AG2275">
        <v>-0.23832300000000001</v>
      </c>
      <c r="AH2275">
        <v>0.21591288200918299</v>
      </c>
      <c r="AI2275">
        <v>137.55558641704101</v>
      </c>
      <c r="AJ2275">
        <v>82.145266775956699</v>
      </c>
      <c r="AK2275">
        <v>0.32296046646690402</v>
      </c>
      <c r="AL2275">
        <v>78.966079956334596</v>
      </c>
      <c r="AM2275">
        <v>87.7240829607058</v>
      </c>
      <c r="AN2275">
        <v>0.99999999299989295</v>
      </c>
    </row>
    <row r="2276" spans="1:40" x14ac:dyDescent="0.25">
      <c r="A2276" t="str">
        <f>"20190303162258819"</f>
        <v>20190303162258819</v>
      </c>
      <c r="B2276" t="str">
        <f>"1551601378806992"</f>
        <v>1551601378806992</v>
      </c>
      <c r="C2276" t="s">
        <v>40</v>
      </c>
      <c r="D2276">
        <v>5.3864580000000002</v>
      </c>
      <c r="E2276">
        <v>0.51606470000000004</v>
      </c>
      <c r="F2276" t="s">
        <v>42</v>
      </c>
      <c r="G2276">
        <v>-376.0566</v>
      </c>
      <c r="H2276">
        <v>0.7930739</v>
      </c>
      <c r="I2276">
        <v>284.44310000000002</v>
      </c>
      <c r="J2276">
        <v>-375.38929999999999</v>
      </c>
      <c r="K2276">
        <v>1.1191279999999999</v>
      </c>
      <c r="L2276">
        <v>284.38029999999998</v>
      </c>
      <c r="M2276">
        <v>-0.99998770000000003</v>
      </c>
      <c r="N2276">
        <v>-4.7688169999999998E-3</v>
      </c>
      <c r="O2276">
        <v>1.4844019999999999E-3</v>
      </c>
      <c r="P2276">
        <v>-0.98154140000000001</v>
      </c>
      <c r="Q2276">
        <v>0.18704480000000001</v>
      </c>
      <c r="R2276">
        <v>3.9886860000000003E-2</v>
      </c>
      <c r="S2276">
        <v>-3.2700499999999999</v>
      </c>
      <c r="T2276">
        <v>-1.1798090000000001</v>
      </c>
      <c r="U2276">
        <v>0.22698969999999999</v>
      </c>
      <c r="V2276">
        <v>3.8467359999999999E-2</v>
      </c>
      <c r="W2276">
        <v>0.1917162</v>
      </c>
      <c r="X2276">
        <v>0.98069629999999997</v>
      </c>
      <c r="Y2276">
        <v>6.3795149999999995E-2</v>
      </c>
      <c r="Z2276">
        <v>1.0789460000000001E-2</v>
      </c>
      <c r="AA2276">
        <v>0.99790469999999998</v>
      </c>
      <c r="AB2276">
        <v>34</v>
      </c>
      <c r="AC2276">
        <v>-0.667300000000011</v>
      </c>
      <c r="AD2276">
        <v>-0.32605410000000001</v>
      </c>
      <c r="AE2276">
        <v>6.2800000000038297E-2</v>
      </c>
      <c r="AF2276">
        <v>4.99812799017499E-2</v>
      </c>
      <c r="AG2276">
        <v>-0.32605410000000001</v>
      </c>
      <c r="AH2276">
        <v>0.53967749877210303</v>
      </c>
      <c r="AI2276">
        <v>121.03070498775099</v>
      </c>
      <c r="AJ2276">
        <v>84.708746034747307</v>
      </c>
      <c r="AK2276">
        <v>0.63250391868220102</v>
      </c>
      <c r="AL2276">
        <v>78.947043766990006</v>
      </c>
      <c r="AM2276">
        <v>87.753751004865507</v>
      </c>
      <c r="AN2276">
        <v>1.0000000359807399</v>
      </c>
    </row>
    <row r="2277" spans="1:40" x14ac:dyDescent="0.25">
      <c r="A2277" t="str">
        <f>"20190303162258838"</f>
        <v>20190303162258838</v>
      </c>
      <c r="B2277" t="str">
        <f>"1551601378826512"</f>
        <v>1551601378826512</v>
      </c>
      <c r="C2277" t="s">
        <v>40</v>
      </c>
      <c r="D2277">
        <v>5.3202210000000001</v>
      </c>
      <c r="E2277">
        <v>0.51601179999999902</v>
      </c>
      <c r="F2277" t="s">
        <v>42</v>
      </c>
      <c r="G2277">
        <v>-376.08609999999999</v>
      </c>
      <c r="H2277">
        <v>0.86915959999999903</v>
      </c>
      <c r="I2277">
        <v>284.42899999999997</v>
      </c>
      <c r="J2277">
        <v>-375.6712</v>
      </c>
      <c r="K2277">
        <v>1.119089</v>
      </c>
      <c r="L2277">
        <v>284.38080000000002</v>
      </c>
      <c r="M2277">
        <v>-0.99999059999999995</v>
      </c>
      <c r="N2277">
        <v>-4.0693229999999997E-3</v>
      </c>
      <c r="O2277">
        <v>1.5458659999999999E-3</v>
      </c>
      <c r="P2277">
        <v>-0.98139200000000004</v>
      </c>
      <c r="Q2277">
        <v>0.18790599999999999</v>
      </c>
      <c r="R2277">
        <v>3.951354E-2</v>
      </c>
      <c r="S2277">
        <v>-3.2708439999999999</v>
      </c>
      <c r="T2277">
        <v>-1.1733</v>
      </c>
      <c r="U2277">
        <v>0.22650149999999999</v>
      </c>
      <c r="V2277">
        <v>3.8036180000000003E-2</v>
      </c>
      <c r="W2277">
        <v>0.19189030000000001</v>
      </c>
      <c r="X2277">
        <v>0.98067899999999997</v>
      </c>
      <c r="Y2277">
        <v>6.3635159999999996E-2</v>
      </c>
      <c r="Z2277">
        <v>1.0658590000000001E-2</v>
      </c>
      <c r="AA2277">
        <v>0.99791629999999998</v>
      </c>
      <c r="AB2277">
        <v>34</v>
      </c>
      <c r="AC2277">
        <v>-0.414899999999988</v>
      </c>
      <c r="AD2277">
        <v>-0.2499294</v>
      </c>
      <c r="AE2277">
        <v>4.8200000000008403E-2</v>
      </c>
      <c r="AF2277">
        <v>3.5020120595191301E-2</v>
      </c>
      <c r="AG2277">
        <v>-0.2499294</v>
      </c>
      <c r="AH2277">
        <v>0.30556940501688001</v>
      </c>
      <c r="AI2277">
        <v>129.09712236368301</v>
      </c>
      <c r="AJ2277">
        <v>83.462078305535798</v>
      </c>
      <c r="AK2277">
        <v>0.39631272388510602</v>
      </c>
      <c r="AL2277">
        <v>78.936879119682601</v>
      </c>
      <c r="AM2277">
        <v>87.778864670222106</v>
      </c>
      <c r="AN2277">
        <v>0.99999996963203996</v>
      </c>
    </row>
    <row r="2278" spans="1:40" x14ac:dyDescent="0.25">
      <c r="A2278" t="str">
        <f>"20190303162258851"</f>
        <v>20190303162258851</v>
      </c>
      <c r="B2278" t="str">
        <f>"1551601378847008"</f>
        <v>1551601378847008</v>
      </c>
      <c r="C2278" t="s">
        <v>40</v>
      </c>
      <c r="D2278">
        <v>5.3114059999999998</v>
      </c>
      <c r="E2278">
        <v>0.51598129999999998</v>
      </c>
      <c r="F2278" t="s">
        <v>42</v>
      </c>
      <c r="G2278">
        <v>-376.39150000000001</v>
      </c>
      <c r="H2278">
        <v>0.86249849999999995</v>
      </c>
      <c r="I2278">
        <v>284.43040000000002</v>
      </c>
      <c r="J2278">
        <v>-375.88139999999999</v>
      </c>
      <c r="K2278">
        <v>1.119102</v>
      </c>
      <c r="L2278">
        <v>284.38119999999998</v>
      </c>
      <c r="M2278">
        <v>-0.99999190000000004</v>
      </c>
      <c r="N2278">
        <v>-3.729965E-3</v>
      </c>
      <c r="O2278">
        <v>1.590141E-3</v>
      </c>
      <c r="P2278">
        <v>-0.98133479999999995</v>
      </c>
      <c r="Q2278">
        <v>0.18824740000000001</v>
      </c>
      <c r="R2278">
        <v>3.9311510000000001E-2</v>
      </c>
      <c r="S2278">
        <v>-3.270905</v>
      </c>
      <c r="T2278">
        <v>-1.165068</v>
      </c>
      <c r="U2278">
        <v>0.22518920000000001</v>
      </c>
      <c r="V2278">
        <v>3.7792699999999999E-2</v>
      </c>
      <c r="W2278">
        <v>0.19189870000000001</v>
      </c>
      <c r="X2278">
        <v>0.98068679999999997</v>
      </c>
      <c r="Y2278">
        <v>6.3273209999999996E-2</v>
      </c>
      <c r="Z2278">
        <v>1.0499029999999999E-2</v>
      </c>
      <c r="AA2278">
        <v>0.99794099999999997</v>
      </c>
      <c r="AB2278">
        <v>34</v>
      </c>
      <c r="AC2278">
        <v>-0.51010000000002198</v>
      </c>
      <c r="AD2278">
        <v>-0.25660349999999998</v>
      </c>
      <c r="AE2278">
        <v>4.9200000000041599E-2</v>
      </c>
      <c r="AF2278">
        <v>3.86886850309794E-2</v>
      </c>
      <c r="AG2278">
        <v>-0.25660349999999998</v>
      </c>
      <c r="AH2278">
        <v>0.40790636612563702</v>
      </c>
      <c r="AI2278">
        <v>122.057428330448</v>
      </c>
      <c r="AJ2278">
        <v>84.581876875780097</v>
      </c>
      <c r="AK2278">
        <v>0.48345607255209699</v>
      </c>
      <c r="AL2278">
        <v>78.936389055561094</v>
      </c>
      <c r="AM2278">
        <v>87.793086196992803</v>
      </c>
      <c r="AN2278">
        <v>0.99999999946460905</v>
      </c>
    </row>
    <row r="2279" spans="1:40" x14ac:dyDescent="0.25">
      <c r="A2279" t="str">
        <f>"20190303162258873"</f>
        <v>20190303162258873</v>
      </c>
      <c r="B2279" t="str">
        <f>"1551601378866527"</f>
        <v>1551601378866527</v>
      </c>
      <c r="C2279" t="s">
        <v>40</v>
      </c>
      <c r="D2279">
        <v>5.3133039999999996</v>
      </c>
      <c r="E2279">
        <v>0.51667629999999998</v>
      </c>
      <c r="F2279" t="s">
        <v>42</v>
      </c>
      <c r="G2279">
        <v>-376.6891</v>
      </c>
      <c r="H2279">
        <v>0.83248349999999904</v>
      </c>
      <c r="I2279">
        <v>284.43700000000001</v>
      </c>
      <c r="J2279">
        <v>-376.2054</v>
      </c>
      <c r="K2279">
        <v>1.1191879999999901</v>
      </c>
      <c r="L2279">
        <v>284.38170000000002</v>
      </c>
      <c r="M2279">
        <v>-0.99999249999999995</v>
      </c>
      <c r="N2279">
        <v>-3.50111E-3</v>
      </c>
      <c r="O2279">
        <v>1.657071E-3</v>
      </c>
      <c r="P2279">
        <v>-0.98127940000000002</v>
      </c>
      <c r="Q2279">
        <v>0.18858349999999999</v>
      </c>
      <c r="R2279">
        <v>3.9079030000000001E-2</v>
      </c>
      <c r="S2279">
        <v>-3.2706909999999998</v>
      </c>
      <c r="T2279">
        <v>-1.160569</v>
      </c>
      <c r="U2279">
        <v>0.2247314</v>
      </c>
      <c r="V2279">
        <v>3.749719E-2</v>
      </c>
      <c r="W2279">
        <v>0.19200919999999999</v>
      </c>
      <c r="X2279">
        <v>0.98067649999999995</v>
      </c>
      <c r="Y2279">
        <v>6.3116240000000004E-2</v>
      </c>
      <c r="Z2279">
        <v>1.040404E-2</v>
      </c>
      <c r="AA2279">
        <v>0.9979519</v>
      </c>
      <c r="AB2279">
        <v>34</v>
      </c>
      <c r="AC2279">
        <v>-0.48369999999999802</v>
      </c>
      <c r="AD2279">
        <v>-0.28670449999999897</v>
      </c>
      <c r="AE2279">
        <v>5.5299999999988303E-2</v>
      </c>
      <c r="AF2279">
        <v>4.0465145688058403E-2</v>
      </c>
      <c r="AG2279">
        <v>-0.28670449999999897</v>
      </c>
      <c r="AH2279">
        <v>0.35921558004850002</v>
      </c>
      <c r="AI2279">
        <v>128.41878159509099</v>
      </c>
      <c r="AJ2279">
        <v>83.572803540379397</v>
      </c>
      <c r="AK2279">
        <v>0.46138132958040901</v>
      </c>
      <c r="AL2279">
        <v>78.929937742614001</v>
      </c>
      <c r="AM2279">
        <v>87.8103027352211</v>
      </c>
      <c r="AN2279">
        <v>0.99999998489739195</v>
      </c>
    </row>
    <row r="2280" spans="1:40" x14ac:dyDescent="0.25">
      <c r="A2280" t="str">
        <f>"20190303162258894"</f>
        <v>20190303162258894</v>
      </c>
      <c r="B2280" t="str">
        <f>"1551601378887023"</f>
        <v>1551601378887023</v>
      </c>
      <c r="C2280" t="s">
        <v>40</v>
      </c>
      <c r="D2280">
        <v>5.2713890000000001</v>
      </c>
      <c r="E2280">
        <v>0.517304599999999</v>
      </c>
      <c r="F2280" t="s">
        <v>42</v>
      </c>
      <c r="G2280">
        <v>-377.00119999999998</v>
      </c>
      <c r="H2280">
        <v>0.83821049999999997</v>
      </c>
      <c r="I2280">
        <v>284.43770000000001</v>
      </c>
      <c r="J2280">
        <v>-376.54750000000001</v>
      </c>
      <c r="K2280">
        <v>1.119332</v>
      </c>
      <c r="L2280">
        <v>284.38240000000002</v>
      </c>
      <c r="M2280">
        <v>-0.9999922</v>
      </c>
      <c r="N2280">
        <v>-3.5781020000000001E-3</v>
      </c>
      <c r="O2280">
        <v>1.7302729999999901E-3</v>
      </c>
      <c r="P2280">
        <v>-0.98128780000000004</v>
      </c>
      <c r="Q2280">
        <v>0.1884748</v>
      </c>
      <c r="R2280">
        <v>3.9391349999999999E-2</v>
      </c>
      <c r="S2280">
        <v>-3.2699579999999999</v>
      </c>
      <c r="T2280">
        <v>-1.154606</v>
      </c>
      <c r="U2280">
        <v>0.22949220000000001</v>
      </c>
      <c r="V2280">
        <v>3.7739370000000001E-2</v>
      </c>
      <c r="W2280">
        <v>0.1919759</v>
      </c>
      <c r="X2280">
        <v>0.98067369999999998</v>
      </c>
      <c r="Y2280">
        <v>6.4462110000000003E-2</v>
      </c>
      <c r="Z2280">
        <v>1.0566549999999999E-2</v>
      </c>
      <c r="AA2280">
        <v>0.99786419999999998</v>
      </c>
      <c r="AB2280">
        <v>35</v>
      </c>
      <c r="AC2280">
        <v>-0.45369999999996902</v>
      </c>
      <c r="AD2280">
        <v>-0.28112150000000002</v>
      </c>
      <c r="AE2280">
        <v>5.5299999999988303E-2</v>
      </c>
      <c r="AF2280">
        <v>3.9552024412022699E-2</v>
      </c>
      <c r="AG2280">
        <v>-0.28112150000000002</v>
      </c>
      <c r="AH2280">
        <v>0.32924054307924999</v>
      </c>
      <c r="AI2280">
        <v>130.28971513414001</v>
      </c>
      <c r="AJ2280">
        <v>83.149822574597295</v>
      </c>
      <c r="AK2280">
        <v>0.434733246490832</v>
      </c>
      <c r="AL2280">
        <v>78.931881536396105</v>
      </c>
      <c r="AM2280">
        <v>87.796167932625593</v>
      </c>
      <c r="AN2280">
        <v>0.99999995605024705</v>
      </c>
    </row>
    <row r="2281" spans="1:40" x14ac:dyDescent="0.25">
      <c r="A2281" t="str">
        <f>"20190303162258916"</f>
        <v>20190303162258916</v>
      </c>
      <c r="B2281" t="str">
        <f>"1551601378906543"</f>
        <v>1551601378906543</v>
      </c>
      <c r="C2281" t="s">
        <v>40</v>
      </c>
      <c r="D2281">
        <v>5.2647300000000001</v>
      </c>
      <c r="E2281">
        <v>0.52715400000000001</v>
      </c>
      <c r="F2281" t="s">
        <v>42</v>
      </c>
      <c r="G2281">
        <v>-377.31569999999999</v>
      </c>
      <c r="H2281">
        <v>0.84868359999999998</v>
      </c>
      <c r="I2281">
        <v>284.43799999999999</v>
      </c>
      <c r="J2281">
        <v>-376.87869999999998</v>
      </c>
      <c r="K2281">
        <v>1.1194729999999999</v>
      </c>
      <c r="L2281">
        <v>284.38310000000001</v>
      </c>
      <c r="M2281">
        <v>-0.99999119999999997</v>
      </c>
      <c r="N2281">
        <v>-3.8145589999999999E-3</v>
      </c>
      <c r="O2281">
        <v>1.807473E-3</v>
      </c>
      <c r="P2281">
        <v>-0.9813248</v>
      </c>
      <c r="Q2281">
        <v>0.18829009999999999</v>
      </c>
      <c r="R2281">
        <v>3.9355059999999997E-2</v>
      </c>
      <c r="S2281">
        <v>-3.2689509999999999</v>
      </c>
      <c r="T2281">
        <v>-1.151618</v>
      </c>
      <c r="U2281">
        <v>0.23568729999999999</v>
      </c>
      <c r="V2281">
        <v>3.7627880000000002E-2</v>
      </c>
      <c r="W2281">
        <v>0.19202369999999999</v>
      </c>
      <c r="X2281">
        <v>0.98066869999999995</v>
      </c>
      <c r="Y2281">
        <v>6.6201629999999997E-2</v>
      </c>
      <c r="Z2281">
        <v>1.082613E-2</v>
      </c>
      <c r="AA2281">
        <v>0.99774750000000001</v>
      </c>
      <c r="AB2281">
        <v>35</v>
      </c>
      <c r="AC2281">
        <v>-0.43700000000001099</v>
      </c>
      <c r="AD2281">
        <v>-0.27078940000000001</v>
      </c>
      <c r="AE2281">
        <v>5.4899999999974997E-2</v>
      </c>
      <c r="AF2281">
        <v>3.92668878672136E-2</v>
      </c>
      <c r="AG2281">
        <v>-0.27078940000000001</v>
      </c>
      <c r="AH2281">
        <v>0.317196194820282</v>
      </c>
      <c r="AI2281">
        <v>130.272261965447</v>
      </c>
      <c r="AJ2281">
        <v>82.9430467846027</v>
      </c>
      <c r="AK2281">
        <v>0.418905972317896</v>
      </c>
      <c r="AL2281">
        <v>78.929091694827704</v>
      </c>
      <c r="AM2281">
        <v>87.802660930441405</v>
      </c>
      <c r="AN2281">
        <v>1.0000000289373301</v>
      </c>
    </row>
    <row r="2282" spans="1:40" x14ac:dyDescent="0.25">
      <c r="A2282" t="str">
        <f>"20190303162258938"</f>
        <v>20190303162258938</v>
      </c>
      <c r="B2282" t="str">
        <f>"1551601378927040"</f>
        <v>1551601378927040</v>
      </c>
      <c r="C2282" t="s">
        <v>40</v>
      </c>
      <c r="D2282">
        <v>5.2404330000000003</v>
      </c>
      <c r="E2282">
        <v>0.52705819999999903</v>
      </c>
      <c r="F2282" t="s">
        <v>42</v>
      </c>
      <c r="G2282">
        <v>-377.63380000000001</v>
      </c>
      <c r="H2282">
        <v>0.86671719999999897</v>
      </c>
      <c r="I2282">
        <v>284.4563</v>
      </c>
      <c r="J2282">
        <v>-377.23390000000001</v>
      </c>
      <c r="K2282">
        <v>1.1195999999999999</v>
      </c>
      <c r="L2282">
        <v>284.38380000000001</v>
      </c>
      <c r="M2282">
        <v>-0.99998969999999998</v>
      </c>
      <c r="N2282">
        <v>-4.1414700000000004E-3</v>
      </c>
      <c r="O2282">
        <v>1.8969810000000001E-3</v>
      </c>
      <c r="P2282">
        <v>-0.9813056</v>
      </c>
      <c r="Q2282">
        <v>0.1883599</v>
      </c>
      <c r="R2282">
        <v>3.9497110000000002E-2</v>
      </c>
      <c r="S2282">
        <v>-3.253387</v>
      </c>
      <c r="T2282">
        <v>-1.088967</v>
      </c>
      <c r="U2282">
        <v>0.31491089999999999</v>
      </c>
      <c r="V2282">
        <v>3.7682E-2</v>
      </c>
      <c r="W2282">
        <v>0.19241349999999999</v>
      </c>
      <c r="X2282">
        <v>0.98059019999999997</v>
      </c>
      <c r="Y2282">
        <v>8.9648290000000005E-2</v>
      </c>
      <c r="Z2282">
        <v>1.415568E-2</v>
      </c>
      <c r="AA2282">
        <v>0.99587289999999995</v>
      </c>
      <c r="AB2282">
        <v>35</v>
      </c>
      <c r="AC2282">
        <v>-0.39990000000000198</v>
      </c>
      <c r="AD2282">
        <v>-0.25288280000000002</v>
      </c>
      <c r="AE2282">
        <v>7.2499999999990905E-2</v>
      </c>
      <c r="AF2282">
        <v>5.1718070425877498E-2</v>
      </c>
      <c r="AG2282">
        <v>-0.25288280000000002</v>
      </c>
      <c r="AH2282">
        <v>0.28838539969105098</v>
      </c>
      <c r="AI2282">
        <v>130.79819792504199</v>
      </c>
      <c r="AJ2282">
        <v>79.832845105980695</v>
      </c>
      <c r="AK2282">
        <v>0.387027916434181</v>
      </c>
      <c r="AL2282">
        <v>78.906333241638094</v>
      </c>
      <c r="AM2282">
        <v>87.799327627823203</v>
      </c>
      <c r="AN2282">
        <v>1.00000001422114</v>
      </c>
    </row>
    <row r="2283" spans="1:40" x14ac:dyDescent="0.25">
      <c r="A2283" t="str">
        <f>"20190303162258952"</f>
        <v>20190303162258952</v>
      </c>
      <c r="B2283" t="str">
        <f>"1551601378946559"</f>
        <v>1551601378946559</v>
      </c>
      <c r="C2283" t="s">
        <v>40</v>
      </c>
      <c r="D2283">
        <v>5.2198260000000003</v>
      </c>
      <c r="E2283">
        <v>0.52701790000000004</v>
      </c>
      <c r="F2283" t="s">
        <v>42</v>
      </c>
      <c r="G2283">
        <v>-377.95069999999998</v>
      </c>
      <c r="H2283">
        <v>0.87970210000000004</v>
      </c>
      <c r="I2283">
        <v>284.45350000000002</v>
      </c>
      <c r="J2283">
        <v>-377.44619999999998</v>
      </c>
      <c r="K2283">
        <v>1.119667</v>
      </c>
      <c r="L2283">
        <v>284.3843</v>
      </c>
      <c r="M2283">
        <v>-0.99998869999999895</v>
      </c>
      <c r="N2283">
        <v>-4.3547960000000002E-3</v>
      </c>
      <c r="O2283">
        <v>1.9529969999999999E-3</v>
      </c>
      <c r="P2283">
        <v>-0.98134399999999999</v>
      </c>
      <c r="Q2283">
        <v>0.18809480000000001</v>
      </c>
      <c r="R2283">
        <v>3.980877E-2</v>
      </c>
      <c r="S2283">
        <v>-3.253571</v>
      </c>
      <c r="T2283">
        <v>-1.088883</v>
      </c>
      <c r="U2283">
        <v>0.31445309999999999</v>
      </c>
      <c r="V2283">
        <v>3.7938560000000003E-2</v>
      </c>
      <c r="W2283">
        <v>0.1923578</v>
      </c>
      <c r="X2283">
        <v>0.9805912</v>
      </c>
      <c r="Y2283">
        <v>8.945939E-2</v>
      </c>
      <c r="Z2283">
        <v>1.411513E-2</v>
      </c>
      <c r="AA2283">
        <v>0.99589039999999995</v>
      </c>
      <c r="AB2283">
        <v>35</v>
      </c>
      <c r="AC2283">
        <v>-0.50450000000000705</v>
      </c>
      <c r="AD2283">
        <v>-0.23996489999999901</v>
      </c>
      <c r="AE2283">
        <v>6.9200000000023396E-2</v>
      </c>
      <c r="AF2283">
        <v>5.5819151250897203E-2</v>
      </c>
      <c r="AG2283">
        <v>-0.23996489999999901</v>
      </c>
      <c r="AH2283">
        <v>0.41293599367709</v>
      </c>
      <c r="AI2283">
        <v>119.936833873157</v>
      </c>
      <c r="AJ2283">
        <v>82.301633176028204</v>
      </c>
      <c r="AK2283">
        <v>0.48084827726889701</v>
      </c>
      <c r="AL2283">
        <v>78.909584978647302</v>
      </c>
      <c r="AM2283">
        <v>87.784361366841594</v>
      </c>
      <c r="AN2283">
        <v>0.99999997953657604</v>
      </c>
    </row>
    <row r="2284" spans="1:40" x14ac:dyDescent="0.25">
      <c r="A2284" t="str">
        <f>"20190303162258972"</f>
        <v>20190303162258972</v>
      </c>
      <c r="B2284" t="str">
        <f>"1551601378967056"</f>
        <v>1551601378967056</v>
      </c>
      <c r="C2284" t="s">
        <v>40</v>
      </c>
      <c r="D2284">
        <v>5.1979419999999896</v>
      </c>
      <c r="E2284">
        <v>0.5268988</v>
      </c>
      <c r="F2284" t="s">
        <v>42</v>
      </c>
      <c r="G2284">
        <v>-378.25130000000001</v>
      </c>
      <c r="H2284">
        <v>0.849246099999999</v>
      </c>
      <c r="I2284">
        <v>284.46230000000003</v>
      </c>
      <c r="J2284">
        <v>-377.76220000000001</v>
      </c>
      <c r="K2284">
        <v>1.11975</v>
      </c>
      <c r="L2284">
        <v>284.38499999999999</v>
      </c>
      <c r="M2284">
        <v>-0.99998690000000001</v>
      </c>
      <c r="N2284">
        <v>-4.6808750000000001E-3</v>
      </c>
      <c r="O2284">
        <v>2.0374719999999998E-3</v>
      </c>
      <c r="P2284">
        <v>-0.98129639999999996</v>
      </c>
      <c r="Q2284">
        <v>0.18833269999999999</v>
      </c>
      <c r="R2284">
        <v>3.9851570000000003E-2</v>
      </c>
      <c r="S2284">
        <v>-3.2536930000000002</v>
      </c>
      <c r="T2284">
        <v>-1.0927739999999999</v>
      </c>
      <c r="U2284">
        <v>0.31463619999999998</v>
      </c>
      <c r="V2284">
        <v>3.7898349999999997E-2</v>
      </c>
      <c r="W2284">
        <v>0.19291510000000001</v>
      </c>
      <c r="X2284">
        <v>0.98048329999999995</v>
      </c>
      <c r="Y2284">
        <v>8.9397069999999995E-2</v>
      </c>
      <c r="Z2284">
        <v>1.413991E-2</v>
      </c>
      <c r="AA2284">
        <v>0.99589570000000005</v>
      </c>
      <c r="AB2284">
        <v>35</v>
      </c>
      <c r="AC2284">
        <v>-0.48910000000000697</v>
      </c>
      <c r="AD2284">
        <v>-0.27050390000000002</v>
      </c>
      <c r="AE2284">
        <v>7.7300000000036506E-2</v>
      </c>
      <c r="AF2284">
        <v>5.8765986915052103E-2</v>
      </c>
      <c r="AG2284">
        <v>-0.27050390000000002</v>
      </c>
      <c r="AH2284">
        <v>0.37680729017377501</v>
      </c>
      <c r="AI2284">
        <v>125.34844244396101</v>
      </c>
      <c r="AJ2284">
        <v>81.135691695645093</v>
      </c>
      <c r="AK2284">
        <v>0.46755698589734901</v>
      </c>
      <c r="AL2284">
        <v>78.877044920218395</v>
      </c>
      <c r="AM2284">
        <v>87.786463996871106</v>
      </c>
      <c r="AN2284">
        <v>1.00000001115981</v>
      </c>
    </row>
    <row r="2285" spans="1:40" x14ac:dyDescent="0.25">
      <c r="A2285" t="str">
        <f>"20190303162258994"</f>
        <v>20190303162258994</v>
      </c>
      <c r="B2285" t="str">
        <f>"1551601378986575"</f>
        <v>1551601378986575</v>
      </c>
      <c r="C2285" t="s">
        <v>40</v>
      </c>
      <c r="D2285">
        <v>5.1782079999999997</v>
      </c>
      <c r="E2285">
        <v>0.52680360000000004</v>
      </c>
      <c r="F2285" t="s">
        <v>42</v>
      </c>
      <c r="G2285">
        <v>-378.56479999999999</v>
      </c>
      <c r="H2285">
        <v>0.85029859999999902</v>
      </c>
      <c r="I2285">
        <v>284.46280000000002</v>
      </c>
      <c r="J2285">
        <v>-378.10160000000002</v>
      </c>
      <c r="K2285">
        <v>1.119818</v>
      </c>
      <c r="L2285">
        <v>284.38569999999999</v>
      </c>
      <c r="M2285">
        <v>-0.99998520000000002</v>
      </c>
      <c r="N2285">
        <v>-5.0297720000000001E-3</v>
      </c>
      <c r="O2285">
        <v>2.1284569999999998E-3</v>
      </c>
      <c r="P2285">
        <v>-0.98132039999999998</v>
      </c>
      <c r="Q2285">
        <v>0.18804879999999999</v>
      </c>
      <c r="R2285">
        <v>4.0601060000000001E-2</v>
      </c>
      <c r="S2285">
        <v>-3.254089</v>
      </c>
      <c r="T2285">
        <v>-1.0924510000000001</v>
      </c>
      <c r="U2285">
        <v>0.31381229999999999</v>
      </c>
      <c r="V2285">
        <v>3.8558960000000003E-2</v>
      </c>
      <c r="W2285">
        <v>0.19297310000000001</v>
      </c>
      <c r="X2285">
        <v>0.98044609999999999</v>
      </c>
      <c r="Y2285">
        <v>8.9066270000000003E-2</v>
      </c>
      <c r="Z2285">
        <v>1.406731E-2</v>
      </c>
      <c r="AA2285">
        <v>0.99592639999999999</v>
      </c>
      <c r="AB2285">
        <v>35</v>
      </c>
      <c r="AC2285">
        <v>-0.46319999999997202</v>
      </c>
      <c r="AD2285">
        <v>-0.26951940000000002</v>
      </c>
      <c r="AE2285">
        <v>7.7100000000029895E-2</v>
      </c>
      <c r="AF2285">
        <v>5.7252683336430299E-2</v>
      </c>
      <c r="AG2285">
        <v>-0.26951940000000002</v>
      </c>
      <c r="AH2285">
        <v>0.34854046739730199</v>
      </c>
      <c r="AI2285">
        <v>127.345586180231</v>
      </c>
      <c r="AJ2285">
        <v>80.671666679729398</v>
      </c>
      <c r="AK2285">
        <v>0.44429611087551901</v>
      </c>
      <c r="AL2285">
        <v>78.873657807479105</v>
      </c>
      <c r="AM2285">
        <v>87.747833654332197</v>
      </c>
      <c r="AN2285">
        <v>0.99999998286254999</v>
      </c>
    </row>
    <row r="2286" spans="1:40" x14ac:dyDescent="0.25">
      <c r="A2286" t="str">
        <f>"20190303162259016"</f>
        <v>20190303162259016</v>
      </c>
      <c r="B2286" t="str">
        <f>"1551601379007072"</f>
        <v>1551601379007072</v>
      </c>
      <c r="C2286" t="s">
        <v>40</v>
      </c>
      <c r="D2286">
        <v>5.19076</v>
      </c>
      <c r="E2286">
        <v>0.52668269999999995</v>
      </c>
      <c r="F2286" t="s">
        <v>42</v>
      </c>
      <c r="G2286">
        <v>-378.88159999999999</v>
      </c>
      <c r="H2286">
        <v>0.85828919999999997</v>
      </c>
      <c r="I2286">
        <v>284.46159999999998</v>
      </c>
      <c r="J2286">
        <v>-378.45299999999997</v>
      </c>
      <c r="K2286">
        <v>1.1198729999999999</v>
      </c>
      <c r="L2286">
        <v>284.38659999999999</v>
      </c>
      <c r="M2286">
        <v>-0.99998310000000001</v>
      </c>
      <c r="N2286">
        <v>-5.3766819999999998E-3</v>
      </c>
      <c r="O2286">
        <v>2.2229060000000002E-3</v>
      </c>
      <c r="P2286">
        <v>-0.98134549999999998</v>
      </c>
      <c r="Q2286">
        <v>0.18780279999999999</v>
      </c>
      <c r="R2286">
        <v>4.1124050000000002E-2</v>
      </c>
      <c r="S2286">
        <v>-3.253082</v>
      </c>
      <c r="T2286">
        <v>-1.0906400000000001</v>
      </c>
      <c r="U2286">
        <v>0.31561280000000003</v>
      </c>
      <c r="V2286">
        <v>3.8989309999999999E-2</v>
      </c>
      <c r="W2286">
        <v>0.19306760000000001</v>
      </c>
      <c r="X2286">
        <v>0.98041049999999996</v>
      </c>
      <c r="Y2286">
        <v>8.9534249999999996E-2</v>
      </c>
      <c r="Z2286">
        <v>1.411311E-2</v>
      </c>
      <c r="AA2286">
        <v>0.99588379999999999</v>
      </c>
      <c r="AB2286">
        <v>35</v>
      </c>
      <c r="AC2286">
        <v>-0.42859999999996001</v>
      </c>
      <c r="AD2286">
        <v>-0.26158379999999898</v>
      </c>
      <c r="AE2286">
        <v>7.4999999999988604E-2</v>
      </c>
      <c r="AF2286">
        <v>5.4389374208715403E-2</v>
      </c>
      <c r="AG2286">
        <v>-0.26158379999999898</v>
      </c>
      <c r="AH2286">
        <v>0.314938836513037</v>
      </c>
      <c r="AI2286">
        <v>129.29930991228099</v>
      </c>
      <c r="AJ2286">
        <v>80.201768113895298</v>
      </c>
      <c r="AK2286">
        <v>0.41300212976864997</v>
      </c>
      <c r="AL2286">
        <v>78.868139851022306</v>
      </c>
      <c r="AM2286">
        <v>87.722641322773597</v>
      </c>
      <c r="AN2286">
        <v>1.0000000064871399</v>
      </c>
    </row>
    <row r="2287" spans="1:40" x14ac:dyDescent="0.25">
      <c r="A2287" t="str">
        <f>"20190303162259039"</f>
        <v>20190303162259039</v>
      </c>
      <c r="B2287" t="str">
        <f>"1551601379026592"</f>
        <v>1551601379026592</v>
      </c>
      <c r="C2287" t="s">
        <v>40</v>
      </c>
      <c r="D2287">
        <v>5.1386909999999997</v>
      </c>
      <c r="E2287">
        <v>0.52657589999999999</v>
      </c>
      <c r="F2287" t="s">
        <v>42</v>
      </c>
      <c r="G2287">
        <v>-379.2</v>
      </c>
      <c r="H2287">
        <v>0.86893399999999998</v>
      </c>
      <c r="I2287">
        <v>284.45960000000002</v>
      </c>
      <c r="J2287">
        <v>-378.81139999999999</v>
      </c>
      <c r="K2287">
        <v>1.1199030000000001</v>
      </c>
      <c r="L2287">
        <v>284.38749999999999</v>
      </c>
      <c r="M2287">
        <v>-0.99998109999999996</v>
      </c>
      <c r="N2287">
        <v>-5.7068809999999996E-3</v>
      </c>
      <c r="O2287">
        <v>2.3182400000000001E-3</v>
      </c>
      <c r="P2287">
        <v>-0.98134149999999998</v>
      </c>
      <c r="Q2287">
        <v>0.18768779999999999</v>
      </c>
      <c r="R2287">
        <v>4.1740800000000002E-2</v>
      </c>
      <c r="S2287">
        <v>-3.2528380000000001</v>
      </c>
      <c r="T2287">
        <v>-1.0927129999999901</v>
      </c>
      <c r="U2287">
        <v>0.31674190000000002</v>
      </c>
      <c r="V2287">
        <v>3.9513279999999998E-2</v>
      </c>
      <c r="W2287">
        <v>0.1932758</v>
      </c>
      <c r="X2287">
        <v>0.98034849999999996</v>
      </c>
      <c r="Y2287">
        <v>8.9758080000000004E-2</v>
      </c>
      <c r="Z2287">
        <v>1.4161409999999999E-2</v>
      </c>
      <c r="AA2287">
        <v>0.9958629</v>
      </c>
      <c r="AB2287">
        <v>35</v>
      </c>
      <c r="AC2287">
        <v>-0.388599999999996</v>
      </c>
      <c r="AD2287">
        <v>-0.250969</v>
      </c>
      <c r="AE2287">
        <v>7.21000000000344E-2</v>
      </c>
      <c r="AF2287">
        <v>5.0739881072734701E-2</v>
      </c>
      <c r="AG2287">
        <v>-0.250969</v>
      </c>
      <c r="AH2287">
        <v>0.27705398996859598</v>
      </c>
      <c r="AI2287">
        <v>131.70196911373699</v>
      </c>
      <c r="AJ2287">
        <v>79.621816836829893</v>
      </c>
      <c r="AK2287">
        <v>0.37725175658940802</v>
      </c>
      <c r="AL2287">
        <v>78.8559818887924</v>
      </c>
      <c r="AM2287">
        <v>87.691923401670294</v>
      </c>
      <c r="AN2287">
        <v>1.0000000078071201</v>
      </c>
    </row>
    <row r="2288" spans="1:40" x14ac:dyDescent="0.25">
      <c r="A2288" t="str">
        <f>"20190303162259061"</f>
        <v>20190303162259061</v>
      </c>
      <c r="B2288" t="str">
        <f>"1551601379056847"</f>
        <v>1551601379056847</v>
      </c>
      <c r="C2288" t="s">
        <v>40</v>
      </c>
      <c r="D2288">
        <v>5.1385339999999999</v>
      </c>
      <c r="E2288">
        <v>0.52654400000000001</v>
      </c>
      <c r="F2288" t="s">
        <v>42</v>
      </c>
      <c r="G2288">
        <v>-379.51990000000001</v>
      </c>
      <c r="H2288">
        <v>0.88150819999999996</v>
      </c>
      <c r="I2288">
        <v>284.45690000000002</v>
      </c>
      <c r="J2288">
        <v>-379.15780000000001</v>
      </c>
      <c r="K2288">
        <v>1.1199220000000001</v>
      </c>
      <c r="L2288">
        <v>284.38830000000002</v>
      </c>
      <c r="M2288">
        <v>-0.99997910000000001</v>
      </c>
      <c r="N2288">
        <v>-5.9995519999999896E-3</v>
      </c>
      <c r="O2288">
        <v>2.4098739999999998E-3</v>
      </c>
      <c r="P2288">
        <v>-0.98125560000000001</v>
      </c>
      <c r="Q2288">
        <v>0.1881776</v>
      </c>
      <c r="R2288">
        <v>4.1556120000000002E-2</v>
      </c>
      <c r="S2288">
        <v>-3.2528079999999999</v>
      </c>
      <c r="T2288">
        <v>-1.094457</v>
      </c>
      <c r="U2288">
        <v>0.317749</v>
      </c>
      <c r="V2288">
        <v>3.9239820000000002E-2</v>
      </c>
      <c r="W2288">
        <v>0.19405240000000001</v>
      </c>
      <c r="X2288">
        <v>0.98020609999999997</v>
      </c>
      <c r="Y2288">
        <v>8.9947799999999994E-2</v>
      </c>
      <c r="Z2288">
        <v>1.419873E-2</v>
      </c>
      <c r="AA2288">
        <v>0.99584530000000004</v>
      </c>
      <c r="AB2288">
        <v>35</v>
      </c>
      <c r="AC2288">
        <v>-0.36209999999999798</v>
      </c>
      <c r="AD2288">
        <v>-0.23841379999999901</v>
      </c>
      <c r="AE2288">
        <v>6.8600000000003505E-2</v>
      </c>
      <c r="AF2288">
        <v>4.7745754776190301E-2</v>
      </c>
      <c r="AG2288">
        <v>-0.23841379999999901</v>
      </c>
      <c r="AH2288">
        <v>0.2553861473465</v>
      </c>
      <c r="AI2288">
        <v>132.540839329319</v>
      </c>
      <c r="AJ2288">
        <v>79.410505236153696</v>
      </c>
      <c r="AK2288">
        <v>0.35262285998794302</v>
      </c>
      <c r="AL2288">
        <v>78.810627783176997</v>
      </c>
      <c r="AM2288">
        <v>87.707547202904806</v>
      </c>
      <c r="AN2288">
        <v>1.0000000479483</v>
      </c>
    </row>
    <row r="2289" spans="1:40" x14ac:dyDescent="0.25">
      <c r="A2289" t="str">
        <f>"20190303162259085"</f>
        <v>20190303162259085</v>
      </c>
      <c r="B2289" t="str">
        <f>"1551601379077343"</f>
        <v>1551601379077343</v>
      </c>
      <c r="C2289" t="s">
        <v>40</v>
      </c>
      <c r="D2289">
        <v>5.1433109999999997</v>
      </c>
      <c r="E2289">
        <v>0.52651990000000004</v>
      </c>
      <c r="F2289" t="s">
        <v>42</v>
      </c>
      <c r="G2289">
        <v>-379.839</v>
      </c>
      <c r="H2289">
        <v>0.89077569999999995</v>
      </c>
      <c r="I2289">
        <v>284.45479999999998</v>
      </c>
      <c r="J2289">
        <v>-379.5247</v>
      </c>
      <c r="K2289">
        <v>1.1199330000000001</v>
      </c>
      <c r="L2289">
        <v>284.38929999999999</v>
      </c>
      <c r="M2289">
        <v>-0.99997729999999996</v>
      </c>
      <c r="N2289">
        <v>-6.2793669999999897E-3</v>
      </c>
      <c r="O2289">
        <v>2.5066899999999998E-3</v>
      </c>
      <c r="P2289">
        <v>-0.98117520000000003</v>
      </c>
      <c r="Q2289">
        <v>0.18868119999999999</v>
      </c>
      <c r="R2289">
        <v>4.1173609999999999E-2</v>
      </c>
      <c r="S2289">
        <v>-3.2537539999999998</v>
      </c>
      <c r="T2289">
        <v>-1.0944860000000001</v>
      </c>
      <c r="U2289">
        <v>0.31640629999999997</v>
      </c>
      <c r="V2289">
        <v>3.876342E-2</v>
      </c>
      <c r="W2289">
        <v>0.19482930000000001</v>
      </c>
      <c r="X2289">
        <v>0.98007089999999997</v>
      </c>
      <c r="Y2289">
        <v>8.9446929999999994E-2</v>
      </c>
      <c r="Z2289">
        <v>1.409468E-2</v>
      </c>
      <c r="AA2289">
        <v>0.99589190000000005</v>
      </c>
      <c r="AB2289">
        <v>35</v>
      </c>
      <c r="AC2289">
        <v>-0.31430000000000202</v>
      </c>
      <c r="AD2289">
        <v>-0.22915730000000001</v>
      </c>
      <c r="AE2289">
        <v>6.5499999999985903E-2</v>
      </c>
      <c r="AF2289">
        <v>4.2870743154229903E-2</v>
      </c>
      <c r="AG2289">
        <v>-0.22915730000000001</v>
      </c>
      <c r="AH2289">
        <v>0.20832746067895599</v>
      </c>
      <c r="AI2289">
        <v>137.13400315868401</v>
      </c>
      <c r="AJ2289">
        <v>78.371696970282997</v>
      </c>
      <c r="AK2289">
        <v>0.312652042428685</v>
      </c>
      <c r="AL2289">
        <v>78.765248209995704</v>
      </c>
      <c r="AM2289">
        <v>87.735038012329497</v>
      </c>
      <c r="AN2289">
        <v>1.0000000139476899</v>
      </c>
    </row>
    <row r="2290" spans="1:40" x14ac:dyDescent="0.25">
      <c r="A2290" t="str">
        <f>"20190303162259106"</f>
        <v>20190303162259106</v>
      </c>
      <c r="B2290" t="str">
        <f>"1551601379096864"</f>
        <v>1551601379096864</v>
      </c>
      <c r="C2290" t="s">
        <v>40</v>
      </c>
      <c r="D2290">
        <v>5.1095629999999996</v>
      </c>
      <c r="E2290">
        <v>0.52646569999999904</v>
      </c>
      <c r="F2290" t="s">
        <v>42</v>
      </c>
      <c r="G2290">
        <v>-380.4409</v>
      </c>
      <c r="H2290">
        <v>0.81190039999999997</v>
      </c>
      <c r="I2290">
        <v>284.4785</v>
      </c>
      <c r="J2290">
        <v>-379.87040000000002</v>
      </c>
      <c r="K2290">
        <v>1.119936</v>
      </c>
      <c r="L2290">
        <v>284.39019999999999</v>
      </c>
      <c r="M2290">
        <v>-0.99997550000000002</v>
      </c>
      <c r="N2290">
        <v>-6.5143830000000003E-3</v>
      </c>
      <c r="O2290">
        <v>2.5975880000000001E-3</v>
      </c>
      <c r="P2290">
        <v>-0.98116349999999997</v>
      </c>
      <c r="Q2290">
        <v>0.188912</v>
      </c>
      <c r="R2290">
        <v>4.0381010000000002E-2</v>
      </c>
      <c r="S2290">
        <v>-3.2547609999999998</v>
      </c>
      <c r="T2290">
        <v>-1.0941959999999999</v>
      </c>
      <c r="U2290">
        <v>0.3158569</v>
      </c>
      <c r="V2290">
        <v>3.7882249999999999E-2</v>
      </c>
      <c r="W2290">
        <v>0.1952904</v>
      </c>
      <c r="X2290">
        <v>0.98001349999999998</v>
      </c>
      <c r="Y2290">
        <v>8.9181239999999995E-2</v>
      </c>
      <c r="Z2290">
        <v>1.4025309999999999E-2</v>
      </c>
      <c r="AA2290">
        <v>0.99591669999999999</v>
      </c>
      <c r="AB2290">
        <v>35</v>
      </c>
      <c r="AC2290">
        <v>-0.57049999999998102</v>
      </c>
      <c r="AD2290">
        <v>-0.30803560000000002</v>
      </c>
      <c r="AE2290">
        <v>8.8300000000003806E-2</v>
      </c>
      <c r="AF2290">
        <v>6.7577472063379898E-2</v>
      </c>
      <c r="AG2290">
        <v>-0.30803560000000002</v>
      </c>
      <c r="AH2290">
        <v>0.44424463339339099</v>
      </c>
      <c r="AI2290">
        <v>124.43086965539101</v>
      </c>
      <c r="AJ2290">
        <v>81.350606085831998</v>
      </c>
      <c r="AK2290">
        <v>0.54479899035944002</v>
      </c>
      <c r="AL2290">
        <v>78.738310785105099</v>
      </c>
      <c r="AM2290">
        <v>87.786343795624603</v>
      </c>
      <c r="AN2290">
        <v>0.99999993268973397</v>
      </c>
    </row>
    <row r="2291" spans="1:40" x14ac:dyDescent="0.25">
      <c r="A2291" t="str">
        <f>"20190303162259128"</f>
        <v>20190303162259128</v>
      </c>
      <c r="B2291" t="str">
        <f>"1551601379117360"</f>
        <v>1551601379117360</v>
      </c>
      <c r="C2291" t="s">
        <v>40</v>
      </c>
      <c r="D2291">
        <v>5.133578</v>
      </c>
      <c r="E2291">
        <v>0.52642409999999995</v>
      </c>
      <c r="F2291" t="s">
        <v>42</v>
      </c>
      <c r="G2291">
        <v>-380.76150000000001</v>
      </c>
      <c r="H2291">
        <v>0.82050849999999897</v>
      </c>
      <c r="I2291">
        <v>284.47590000000002</v>
      </c>
      <c r="J2291">
        <v>-380.22219999999999</v>
      </c>
      <c r="K2291">
        <v>1.1199429999999999</v>
      </c>
      <c r="L2291">
        <v>284.39120000000003</v>
      </c>
      <c r="M2291">
        <v>-0.99997369999999997</v>
      </c>
      <c r="N2291">
        <v>-6.7279710000000001E-3</v>
      </c>
      <c r="O2291">
        <v>2.6904939999999999E-3</v>
      </c>
      <c r="P2291">
        <v>-0.98099329999999996</v>
      </c>
      <c r="Q2291">
        <v>0.1898204</v>
      </c>
      <c r="R2291">
        <v>4.0252540000000003E-2</v>
      </c>
      <c r="S2291">
        <v>-3.255341</v>
      </c>
      <c r="T2291">
        <v>-1.093815</v>
      </c>
      <c r="U2291">
        <v>0.3126526</v>
      </c>
      <c r="V2291">
        <v>3.7663799999999997E-2</v>
      </c>
      <c r="W2291">
        <v>0.196407</v>
      </c>
      <c r="X2291">
        <v>0.97979879999999997</v>
      </c>
      <c r="Y2291">
        <v>8.8162740000000003E-2</v>
      </c>
      <c r="Z2291">
        <v>1.383E-2</v>
      </c>
      <c r="AA2291">
        <v>0.99601010000000001</v>
      </c>
      <c r="AB2291">
        <v>35</v>
      </c>
      <c r="AC2291">
        <v>-0.53930000000002498</v>
      </c>
      <c r="AD2291">
        <v>-0.29943449999999999</v>
      </c>
      <c r="AE2291">
        <v>8.4699999999997999E-2</v>
      </c>
      <c r="AF2291">
        <v>6.3995249039872207E-2</v>
      </c>
      <c r="AG2291">
        <v>-0.29943449999999999</v>
      </c>
      <c r="AH2291">
        <v>0.41474649168836403</v>
      </c>
      <c r="AI2291">
        <v>125.50884275494801</v>
      </c>
      <c r="AJ2291">
        <v>81.228455404584494</v>
      </c>
      <c r="AK2291">
        <v>0.51552988667751498</v>
      </c>
      <c r="AL2291">
        <v>78.673071424269295</v>
      </c>
      <c r="AM2291">
        <v>87.798614569353006</v>
      </c>
      <c r="AN2291">
        <v>0.99999997998043899</v>
      </c>
    </row>
    <row r="2292" spans="1:40" x14ac:dyDescent="0.25">
      <c r="A2292" t="str">
        <f>"20190303162259150"</f>
        <v>20190303162259150</v>
      </c>
      <c r="B2292" t="str">
        <f>"1551601379146640"</f>
        <v>1551601379146640</v>
      </c>
      <c r="C2292" t="s">
        <v>40</v>
      </c>
      <c r="D2292">
        <v>5.1336810000000002</v>
      </c>
      <c r="E2292">
        <v>0.52642259999999996</v>
      </c>
      <c r="F2292" t="s">
        <v>42</v>
      </c>
      <c r="G2292">
        <v>-381.08350000000002</v>
      </c>
      <c r="H2292">
        <v>0.83114299999999997</v>
      </c>
      <c r="I2292">
        <v>284.47390000000001</v>
      </c>
      <c r="J2292">
        <v>-380.57799999999997</v>
      </c>
      <c r="K2292">
        <v>1.119936</v>
      </c>
      <c r="L2292">
        <v>284.39229999999998</v>
      </c>
      <c r="M2292">
        <v>-0.99997230000000004</v>
      </c>
      <c r="N2292">
        <v>-6.9198999999999997E-3</v>
      </c>
      <c r="O2292">
        <v>2.7838060000000002E-3</v>
      </c>
      <c r="P2292">
        <v>-0.98084769999999999</v>
      </c>
      <c r="Q2292">
        <v>0.19052369999999999</v>
      </c>
      <c r="R2292">
        <v>4.0479679999999997E-2</v>
      </c>
      <c r="S2292">
        <v>-3.2566220000000001</v>
      </c>
      <c r="T2292">
        <v>-1.0919049999999999</v>
      </c>
      <c r="U2292">
        <v>0.31127929999999998</v>
      </c>
      <c r="V2292">
        <v>3.780058E-2</v>
      </c>
      <c r="W2292">
        <v>0.19729759999999999</v>
      </c>
      <c r="X2292">
        <v>0.9796146</v>
      </c>
      <c r="Y2292">
        <v>8.7665069999999998E-2</v>
      </c>
      <c r="Z2292">
        <v>1.369948E-2</v>
      </c>
      <c r="AA2292">
        <v>0.99605580000000005</v>
      </c>
      <c r="AB2292">
        <v>35</v>
      </c>
      <c r="AC2292">
        <v>-0.50549999999998296</v>
      </c>
      <c r="AD2292">
        <v>-0.28879300000000002</v>
      </c>
      <c r="AE2292">
        <v>8.1600000000037198E-2</v>
      </c>
      <c r="AF2292">
        <v>6.0839569636273703E-2</v>
      </c>
      <c r="AG2292">
        <v>-0.28879300000000002</v>
      </c>
      <c r="AH2292">
        <v>0.38367837717958703</v>
      </c>
      <c r="AI2292">
        <v>126.627384450533</v>
      </c>
      <c r="AJ2292">
        <v>80.9896739394825</v>
      </c>
      <c r="AK2292">
        <v>0.48405779324135301</v>
      </c>
      <c r="AL2292">
        <v>78.621025604958206</v>
      </c>
      <c r="AM2292">
        <v>87.7902128945409</v>
      </c>
      <c r="AN2292">
        <v>0.99999999567362796</v>
      </c>
    </row>
    <row r="2293" spans="1:40" x14ac:dyDescent="0.25">
      <c r="A2293" t="str">
        <f>"20190303162259172"</f>
        <v>20190303162259172</v>
      </c>
      <c r="B2293" t="str">
        <f>"1551601379167136"</f>
        <v>1551601379167136</v>
      </c>
      <c r="C2293" t="s">
        <v>40</v>
      </c>
      <c r="D2293">
        <v>5.1256430000000002</v>
      </c>
      <c r="E2293">
        <v>0.52637440000000002</v>
      </c>
      <c r="F2293" t="s">
        <v>42</v>
      </c>
      <c r="G2293">
        <v>-381.40640000000002</v>
      </c>
      <c r="H2293">
        <v>0.84266649999999998</v>
      </c>
      <c r="I2293">
        <v>284.47140000000002</v>
      </c>
      <c r="J2293">
        <v>-380.93529999999998</v>
      </c>
      <c r="K2293">
        <v>1.1199330000000001</v>
      </c>
      <c r="L2293">
        <v>284.39330000000001</v>
      </c>
      <c r="M2293">
        <v>-0.99997080000000005</v>
      </c>
      <c r="N2293">
        <v>-7.0904210000000004E-3</v>
      </c>
      <c r="O2293">
        <v>2.8780640000000001E-3</v>
      </c>
      <c r="P2293">
        <v>-0.98089159999999997</v>
      </c>
      <c r="Q2293">
        <v>0.1901436</v>
      </c>
      <c r="R2293">
        <v>4.1200830000000001E-2</v>
      </c>
      <c r="S2293">
        <v>-3.2575379999999998</v>
      </c>
      <c r="T2293">
        <v>-1.0902689999999999</v>
      </c>
      <c r="U2293">
        <v>0.31021120000000002</v>
      </c>
      <c r="V2293">
        <v>3.8429659999999997E-2</v>
      </c>
      <c r="W2293">
        <v>0.1970845</v>
      </c>
      <c r="X2293">
        <v>0.97963299999999998</v>
      </c>
      <c r="Y2293">
        <v>8.7261480000000002E-2</v>
      </c>
      <c r="Z2293">
        <v>1.358818E-2</v>
      </c>
      <c r="AA2293">
        <v>0.99609270000000005</v>
      </c>
      <c r="AB2293">
        <v>36</v>
      </c>
      <c r="AC2293">
        <v>-0.47110000000003499</v>
      </c>
      <c r="AD2293">
        <v>-0.27726650000000003</v>
      </c>
      <c r="AE2293">
        <v>7.8100000000006206E-2</v>
      </c>
      <c r="AF2293">
        <v>5.7394534888044697E-2</v>
      </c>
      <c r="AG2293">
        <v>-0.27726650000000003</v>
      </c>
      <c r="AH2293">
        <v>0.35248918354728997</v>
      </c>
      <c r="AI2293">
        <v>127.82474035041101</v>
      </c>
      <c r="AJ2293">
        <v>80.751896052387806</v>
      </c>
      <c r="AK2293">
        <v>0.452127713345576</v>
      </c>
      <c r="AL2293">
        <v>78.633479656832904</v>
      </c>
      <c r="AM2293">
        <v>87.753516981181207</v>
      </c>
      <c r="AN2293">
        <v>0.99999997679848196</v>
      </c>
    </row>
    <row r="2294" spans="1:40" x14ac:dyDescent="0.25">
      <c r="A2294" t="str">
        <f>"20190303162259195"</f>
        <v>20190303162259195</v>
      </c>
      <c r="B2294" t="str">
        <f>"1551601379186655"</f>
        <v>1551601379186655</v>
      </c>
      <c r="C2294" t="s">
        <v>40</v>
      </c>
      <c r="D2294">
        <v>5.13063</v>
      </c>
      <c r="E2294">
        <v>0.52635399999999999</v>
      </c>
      <c r="F2294" t="s">
        <v>42</v>
      </c>
      <c r="G2294">
        <v>-381.7296</v>
      </c>
      <c r="H2294">
        <v>0.85353599999999996</v>
      </c>
      <c r="I2294">
        <v>284.4699</v>
      </c>
      <c r="J2294">
        <v>-381.28379999999999</v>
      </c>
      <c r="K2294">
        <v>1.1199250000000001</v>
      </c>
      <c r="L2294">
        <v>284.39449999999999</v>
      </c>
      <c r="M2294">
        <v>-0.99996949999999996</v>
      </c>
      <c r="N2294">
        <v>-7.2372840000000001E-3</v>
      </c>
      <c r="O2294">
        <v>2.9697679999999998E-3</v>
      </c>
      <c r="P2294">
        <v>-0.98081459999999998</v>
      </c>
      <c r="Q2294">
        <v>0.1904159</v>
      </c>
      <c r="R2294">
        <v>4.177028E-2</v>
      </c>
      <c r="S2294">
        <v>-3.25705</v>
      </c>
      <c r="T2294">
        <v>-1.0923449999999999</v>
      </c>
      <c r="U2294">
        <v>0.31274410000000002</v>
      </c>
      <c r="V2294">
        <v>3.8909600000000003E-2</v>
      </c>
      <c r="W2294">
        <v>0.19750000000000001</v>
      </c>
      <c r="X2294">
        <v>0.97953040000000002</v>
      </c>
      <c r="Y2294">
        <v>8.7900710000000007E-2</v>
      </c>
      <c r="Z2294">
        <v>1.3697859999999999E-2</v>
      </c>
      <c r="AA2294">
        <v>0.996035</v>
      </c>
      <c r="AB2294">
        <v>36</v>
      </c>
      <c r="AC2294">
        <v>-0.44580000000001901</v>
      </c>
      <c r="AD2294">
        <v>-0.26638899999999999</v>
      </c>
      <c r="AE2294">
        <v>7.5400000000001896E-2</v>
      </c>
      <c r="AF2294">
        <v>5.4987434589163199E-2</v>
      </c>
      <c r="AG2294">
        <v>-0.26638899999999999</v>
      </c>
      <c r="AH2294">
        <v>0.331088331775025</v>
      </c>
      <c r="AI2294">
        <v>128.43951994094201</v>
      </c>
      <c r="AJ2294">
        <v>80.570338047245997</v>
      </c>
      <c r="AK2294">
        <v>0.42849294127356002</v>
      </c>
      <c r="AL2294">
        <v>78.609196290895895</v>
      </c>
      <c r="AM2294">
        <v>87.725252417547793</v>
      </c>
      <c r="AN2294">
        <v>1.0000000057481599</v>
      </c>
    </row>
    <row r="2295" spans="1:40" x14ac:dyDescent="0.25">
      <c r="A2295" t="str">
        <f>"20190303162259217"</f>
        <v>20190303162259217</v>
      </c>
      <c r="B2295" t="str">
        <f>"1551601379207152"</f>
        <v>1551601379207152</v>
      </c>
      <c r="C2295" t="s">
        <v>40</v>
      </c>
      <c r="D2295">
        <v>5.1375710000000003</v>
      </c>
      <c r="E2295">
        <v>0.5263312</v>
      </c>
      <c r="F2295" t="s">
        <v>42</v>
      </c>
      <c r="G2295">
        <v>-382.05259999999998</v>
      </c>
      <c r="H2295">
        <v>0.86225300000000005</v>
      </c>
      <c r="I2295">
        <v>284.4692</v>
      </c>
      <c r="J2295">
        <v>-381.649</v>
      </c>
      <c r="K2295">
        <v>1.1199129999999999</v>
      </c>
      <c r="L2295">
        <v>284.3956</v>
      </c>
      <c r="M2295">
        <v>-0.99996830000000003</v>
      </c>
      <c r="N2295">
        <v>-7.3730799999999997E-3</v>
      </c>
      <c r="O2295">
        <v>3.0660890000000001E-3</v>
      </c>
      <c r="P2295">
        <v>-0.98085009999999995</v>
      </c>
      <c r="Q2295">
        <v>0.19006129999999999</v>
      </c>
      <c r="R2295">
        <v>4.2547599999999998E-2</v>
      </c>
      <c r="S2295">
        <v>-3.2571720000000002</v>
      </c>
      <c r="T2295">
        <v>-1.0915969999999999</v>
      </c>
      <c r="U2295">
        <v>0.31546020000000002</v>
      </c>
      <c r="V2295">
        <v>3.9592580000000002E-2</v>
      </c>
      <c r="W2295">
        <v>0.19727890000000001</v>
      </c>
      <c r="X2295">
        <v>0.97954759999999996</v>
      </c>
      <c r="Y2295">
        <v>8.8595460000000001E-2</v>
      </c>
      <c r="Z2295">
        <v>1.37798E-2</v>
      </c>
      <c r="AA2295">
        <v>0.99597239999999998</v>
      </c>
      <c r="AB2295">
        <v>36</v>
      </c>
      <c r="AC2295">
        <v>-0.40359999999998297</v>
      </c>
      <c r="AD2295">
        <v>-0.257659999999999</v>
      </c>
      <c r="AE2295">
        <v>7.3599999999999E-2</v>
      </c>
      <c r="AF2295">
        <v>5.18932256814102E-2</v>
      </c>
      <c r="AG2295">
        <v>-0.257659999999999</v>
      </c>
      <c r="AH2295">
        <v>0.28959503042517498</v>
      </c>
      <c r="AI2295">
        <v>131.21108961249499</v>
      </c>
      <c r="AJ2295">
        <v>79.840853033526201</v>
      </c>
      <c r="AK2295">
        <v>0.39108421614606198</v>
      </c>
      <c r="AL2295">
        <v>78.622118782379204</v>
      </c>
      <c r="AM2295">
        <v>87.685407438307806</v>
      </c>
      <c r="AN2295">
        <v>1.0000000187210101</v>
      </c>
    </row>
    <row r="2296" spans="1:40" x14ac:dyDescent="0.25">
      <c r="A2296" t="str">
        <f>"20190303162259240"</f>
        <v>20190303162259240</v>
      </c>
      <c r="B2296" t="str">
        <f>"1551601379236432"</f>
        <v>1551601379236432</v>
      </c>
      <c r="C2296" t="s">
        <v>40</v>
      </c>
      <c r="D2296">
        <v>5.1664969999999997</v>
      </c>
      <c r="E2296">
        <v>0.52628999999999904</v>
      </c>
      <c r="F2296" t="s">
        <v>42</v>
      </c>
      <c r="G2296">
        <v>-382.37790000000001</v>
      </c>
      <c r="H2296">
        <v>0.87535069999999904</v>
      </c>
      <c r="I2296">
        <v>284.46679999999998</v>
      </c>
      <c r="J2296">
        <v>-382.00850000000003</v>
      </c>
      <c r="K2296">
        <v>1.1199059999999901</v>
      </c>
      <c r="L2296">
        <v>284.39690000000002</v>
      </c>
      <c r="M2296">
        <v>-0.99996689999999999</v>
      </c>
      <c r="N2296">
        <v>-7.4904819999999997E-3</v>
      </c>
      <c r="O2296">
        <v>3.1616299999999999E-3</v>
      </c>
      <c r="P2296">
        <v>-0.98088629999999999</v>
      </c>
      <c r="Q2296">
        <v>0.18971270000000001</v>
      </c>
      <c r="R2296">
        <v>4.3255969999999998E-2</v>
      </c>
      <c r="S2296">
        <v>-3.256561</v>
      </c>
      <c r="T2296">
        <v>-1.09273</v>
      </c>
      <c r="U2296">
        <v>0.31707760000000001</v>
      </c>
      <c r="V2296">
        <v>4.0206939999999997E-2</v>
      </c>
      <c r="W2296">
        <v>0.1970452</v>
      </c>
      <c r="X2296">
        <v>0.97956960000000004</v>
      </c>
      <c r="Y2296">
        <v>8.8979089999999997E-2</v>
      </c>
      <c r="Z2296">
        <v>1.383438E-2</v>
      </c>
      <c r="AA2296">
        <v>0.99593739999999997</v>
      </c>
      <c r="AB2296">
        <v>36</v>
      </c>
      <c r="AC2296">
        <v>-0.36939999999998402</v>
      </c>
      <c r="AD2296">
        <v>-0.244555299999999</v>
      </c>
      <c r="AE2296">
        <v>6.9899999999961396E-2</v>
      </c>
      <c r="AF2296">
        <v>4.8295894674206898E-2</v>
      </c>
      <c r="AG2296">
        <v>-0.244555299999999</v>
      </c>
      <c r="AH2296">
        <v>0.25972127680689</v>
      </c>
      <c r="AI2296">
        <v>132.791587484818</v>
      </c>
      <c r="AJ2296">
        <v>79.466006854672301</v>
      </c>
      <c r="AK2296">
        <v>0.35999295802372699</v>
      </c>
      <c r="AL2296">
        <v>78.6357767448917</v>
      </c>
      <c r="AM2296">
        <v>87.649584496606906</v>
      </c>
      <c r="AN2296">
        <v>1.0000000050556801</v>
      </c>
    </row>
    <row r="2297" spans="1:40" x14ac:dyDescent="0.25">
      <c r="A2297" t="str">
        <f>"20190303162259263"</f>
        <v>20190303162259263</v>
      </c>
      <c r="B2297" t="str">
        <f>"1551601379256928"</f>
        <v>1551601379256928</v>
      </c>
      <c r="C2297" t="s">
        <v>40</v>
      </c>
      <c r="D2297">
        <v>5.2138600000000004</v>
      </c>
      <c r="E2297">
        <v>0.52627009999999996</v>
      </c>
      <c r="F2297" t="s">
        <v>42</v>
      </c>
      <c r="G2297">
        <v>-382.70299999999997</v>
      </c>
      <c r="H2297">
        <v>0.88638189999999994</v>
      </c>
      <c r="I2297">
        <v>284.4649</v>
      </c>
      <c r="J2297">
        <v>-382.37419999999997</v>
      </c>
      <c r="K2297">
        <v>1.1198980000000001</v>
      </c>
      <c r="L2297">
        <v>284.3981</v>
      </c>
      <c r="M2297">
        <v>-0.99996580000000002</v>
      </c>
      <c r="N2297">
        <v>-7.5954789999999996E-3</v>
      </c>
      <c r="O2297">
        <v>3.2585230000000001E-3</v>
      </c>
      <c r="P2297">
        <v>-0.98087100000000005</v>
      </c>
      <c r="Q2297">
        <v>0.18979180000000001</v>
      </c>
      <c r="R2297">
        <v>4.3256860000000001E-2</v>
      </c>
      <c r="S2297">
        <v>-3.2561339999999999</v>
      </c>
      <c r="T2297">
        <v>-1.0948819999999999</v>
      </c>
      <c r="U2297">
        <v>0.31863399999999997</v>
      </c>
      <c r="V2297">
        <v>4.0112990000000001E-2</v>
      </c>
      <c r="W2297">
        <v>0.19722700000000001</v>
      </c>
      <c r="X2297">
        <v>0.97953679999999999</v>
      </c>
      <c r="Y2297">
        <v>8.9331369999999993E-2</v>
      </c>
      <c r="Z2297">
        <v>1.389407E-2</v>
      </c>
      <c r="AA2297">
        <v>0.99590500000000004</v>
      </c>
      <c r="AB2297">
        <v>36</v>
      </c>
      <c r="AC2297">
        <v>-0.32880000000005699</v>
      </c>
      <c r="AD2297">
        <v>-0.2335161</v>
      </c>
      <c r="AE2297">
        <v>6.6800000000000595E-2</v>
      </c>
      <c r="AF2297">
        <v>4.42793003694349E-2</v>
      </c>
      <c r="AG2297">
        <v>-0.2335161</v>
      </c>
      <c r="AH2297">
        <v>0.22164904140049499</v>
      </c>
      <c r="AI2297">
        <v>135.93344749121101</v>
      </c>
      <c r="AJ2297">
        <v>78.702622096612501</v>
      </c>
      <c r="AK2297">
        <v>0.32499034286294498</v>
      </c>
      <c r="AL2297">
        <v>78.625151144546706</v>
      </c>
      <c r="AM2297">
        <v>87.654992050721802</v>
      </c>
      <c r="AN2297">
        <v>0.99999994202498799</v>
      </c>
    </row>
    <row r="2298" spans="1:40" x14ac:dyDescent="0.25">
      <c r="A2298" t="str">
        <f>"20190303162259285"</f>
        <v>20190303162259285</v>
      </c>
      <c r="B2298" t="str">
        <f>"1551601379276448"</f>
        <v>1551601379276448</v>
      </c>
      <c r="C2298" t="s">
        <v>40</v>
      </c>
      <c r="D2298">
        <v>5.2179180000000001</v>
      </c>
      <c r="E2298">
        <v>0.52625379999999999</v>
      </c>
      <c r="F2298" t="s">
        <v>42</v>
      </c>
      <c r="G2298">
        <v>-383.31389999999999</v>
      </c>
      <c r="H2298">
        <v>0.80387849999999905</v>
      </c>
      <c r="I2298">
        <v>284.49009999999998</v>
      </c>
      <c r="J2298">
        <v>-382.73259999999999</v>
      </c>
      <c r="K2298">
        <v>1.119896</v>
      </c>
      <c r="L2298">
        <v>284.39940000000001</v>
      </c>
      <c r="M2298">
        <v>-0.99996499999999999</v>
      </c>
      <c r="N2298">
        <v>-7.6847209999999899E-3</v>
      </c>
      <c r="O2298">
        <v>3.3537979999999998E-3</v>
      </c>
      <c r="P2298">
        <v>-0.98095250000000001</v>
      </c>
      <c r="Q2298">
        <v>0.1894951</v>
      </c>
      <c r="R2298">
        <v>4.2710690000000003E-2</v>
      </c>
      <c r="S2298">
        <v>-3.256348</v>
      </c>
      <c r="T2298">
        <v>-1.0951090000000001</v>
      </c>
      <c r="U2298">
        <v>0.31802370000000002</v>
      </c>
      <c r="V2298">
        <v>3.9473260000000003E-2</v>
      </c>
      <c r="W2298">
        <v>0.1970181</v>
      </c>
      <c r="X2298">
        <v>0.9796049</v>
      </c>
      <c r="Y2298">
        <v>8.9062370000000002E-2</v>
      </c>
      <c r="Z2298">
        <v>1.3825E-2</v>
      </c>
      <c r="AA2298">
        <v>0.99593010000000004</v>
      </c>
      <c r="AB2298">
        <v>36</v>
      </c>
      <c r="AC2298">
        <v>-0.58129999999999804</v>
      </c>
      <c r="AD2298">
        <v>-0.31601750000000001</v>
      </c>
      <c r="AE2298">
        <v>9.0699999999969805E-2</v>
      </c>
      <c r="AF2298">
        <v>6.8877394019434296E-2</v>
      </c>
      <c r="AG2298">
        <v>-0.31601750000000001</v>
      </c>
      <c r="AH2298">
        <v>0.45137143781296302</v>
      </c>
      <c r="AI2298">
        <v>124.687713629981</v>
      </c>
      <c r="AJ2298">
        <v>81.323833399968095</v>
      </c>
      <c r="AK2298">
        <v>0.55529031198689205</v>
      </c>
      <c r="AL2298">
        <v>78.637360621787394</v>
      </c>
      <c r="AM2298">
        <v>87.692510198220603</v>
      </c>
      <c r="AN2298">
        <v>1.0000000150433199</v>
      </c>
    </row>
    <row r="2299" spans="1:40" x14ac:dyDescent="0.25">
      <c r="A2299" t="str">
        <f>"20190303162259307"</f>
        <v>20190303162259307</v>
      </c>
      <c r="B2299" t="str">
        <f>"1551601379296945"</f>
        <v>1551601379296945</v>
      </c>
      <c r="C2299" t="s">
        <v>40</v>
      </c>
      <c r="D2299">
        <v>5.2497860000000003</v>
      </c>
      <c r="E2299">
        <v>0.52622630000000004</v>
      </c>
      <c r="F2299" t="s">
        <v>42</v>
      </c>
      <c r="G2299">
        <v>-383.6404</v>
      </c>
      <c r="H2299">
        <v>0.81412600000000002</v>
      </c>
      <c r="I2299">
        <v>284.488</v>
      </c>
      <c r="J2299">
        <v>-383.0874</v>
      </c>
      <c r="K2299">
        <v>1.119891</v>
      </c>
      <c r="L2299">
        <v>284.4006</v>
      </c>
      <c r="M2299">
        <v>-0.99996390000000002</v>
      </c>
      <c r="N2299">
        <v>-7.7631009999999997E-3</v>
      </c>
      <c r="O2299">
        <v>3.4479189999999998E-3</v>
      </c>
      <c r="P2299">
        <v>-0.9809409</v>
      </c>
      <c r="Q2299">
        <v>0.18960080000000001</v>
      </c>
      <c r="R2299">
        <v>4.2503970000000002E-2</v>
      </c>
      <c r="S2299">
        <v>-3.2563780000000002</v>
      </c>
      <c r="T2299">
        <v>-1.096827</v>
      </c>
      <c r="U2299">
        <v>0.31655879999999997</v>
      </c>
      <c r="V2299">
        <v>3.9174199999999999E-2</v>
      </c>
      <c r="W2299">
        <v>0.19720080000000001</v>
      </c>
      <c r="X2299">
        <v>0.97958009999999995</v>
      </c>
      <c r="Y2299">
        <v>8.8542090000000004E-2</v>
      </c>
      <c r="Z2299">
        <v>1.3731790000000001E-2</v>
      </c>
      <c r="AA2299">
        <v>0.99597780000000002</v>
      </c>
      <c r="AB2299">
        <v>36</v>
      </c>
      <c r="AC2299">
        <v>-0.55299999999999705</v>
      </c>
      <c r="AD2299">
        <v>-0.30576499999999901</v>
      </c>
      <c r="AE2299">
        <v>8.7400000000002295E-2</v>
      </c>
      <c r="AF2299">
        <v>6.5851238683133695E-2</v>
      </c>
      <c r="AG2299">
        <v>-0.30576499999999901</v>
      </c>
      <c r="AH2299">
        <v>0.426180868595541</v>
      </c>
      <c r="AI2299">
        <v>125.33814445318001</v>
      </c>
      <c r="AJ2299">
        <v>81.216418400771602</v>
      </c>
      <c r="AK2299">
        <v>0.52863858506351302</v>
      </c>
      <c r="AL2299">
        <v>78.626682722254998</v>
      </c>
      <c r="AM2299">
        <v>87.709915761510004</v>
      </c>
      <c r="AN2299">
        <v>0.99999997289114395</v>
      </c>
    </row>
    <row r="2300" spans="1:40" x14ac:dyDescent="0.25">
      <c r="A2300" t="str">
        <f>"20190303162259330"</f>
        <v>20190303162259330</v>
      </c>
      <c r="B2300" t="str">
        <f>"1551601379316465"</f>
        <v>1551601379316465</v>
      </c>
      <c r="C2300" t="s">
        <v>40</v>
      </c>
      <c r="D2300">
        <v>5.2567629999999896</v>
      </c>
      <c r="E2300">
        <v>0.52619199999999999</v>
      </c>
      <c r="F2300" t="s">
        <v>42</v>
      </c>
      <c r="G2300">
        <v>-383.96710000000002</v>
      </c>
      <c r="H2300">
        <v>0.82352510000000001</v>
      </c>
      <c r="I2300">
        <v>284.48590000000002</v>
      </c>
      <c r="J2300">
        <v>-383.44639999999998</v>
      </c>
      <c r="K2300">
        <v>1.119893</v>
      </c>
      <c r="L2300">
        <v>284.40190000000001</v>
      </c>
      <c r="M2300">
        <v>-0.99996320000000005</v>
      </c>
      <c r="N2300">
        <v>-7.8331870000000001E-3</v>
      </c>
      <c r="O2300">
        <v>3.5432599999999999E-3</v>
      </c>
      <c r="P2300">
        <v>-0.98100350000000003</v>
      </c>
      <c r="Q2300">
        <v>0.18917010000000001</v>
      </c>
      <c r="R2300">
        <v>4.2980980000000002E-2</v>
      </c>
      <c r="S2300">
        <v>-3.2566220000000001</v>
      </c>
      <c r="T2300">
        <v>-1.097175</v>
      </c>
      <c r="U2300">
        <v>0.31582640000000001</v>
      </c>
      <c r="V2300">
        <v>3.9557540000000002E-2</v>
      </c>
      <c r="W2300">
        <v>0.19683899999999999</v>
      </c>
      <c r="X2300">
        <v>0.97963750000000005</v>
      </c>
      <c r="Y2300">
        <v>8.8236670000000003E-2</v>
      </c>
      <c r="Z2300">
        <v>1.365677E-2</v>
      </c>
      <c r="AA2300">
        <v>0.9960059</v>
      </c>
      <c r="AB2300">
        <v>36</v>
      </c>
      <c r="AC2300">
        <v>-0.52070000000003303</v>
      </c>
      <c r="AD2300">
        <v>-0.29636790000000002</v>
      </c>
      <c r="AE2300">
        <v>8.40000000000031E-2</v>
      </c>
      <c r="AF2300">
        <v>6.2439729402167403E-2</v>
      </c>
      <c r="AG2300">
        <v>-0.29636790000000002</v>
      </c>
      <c r="AH2300">
        <v>0.395970654702818</v>
      </c>
      <c r="AI2300">
        <v>126.476401765962</v>
      </c>
      <c r="AJ2300">
        <v>81.038943652040601</v>
      </c>
      <c r="AK2300">
        <v>0.49852323049583602</v>
      </c>
      <c r="AL2300">
        <v>78.647827210216093</v>
      </c>
      <c r="AM2300">
        <v>87.687665649766103</v>
      </c>
      <c r="AN2300">
        <v>1.0000000111490499</v>
      </c>
    </row>
    <row r="2301" spans="1:40" x14ac:dyDescent="0.25">
      <c r="A2301" t="str">
        <f>"20190303162259351"</f>
        <v>20190303162259351</v>
      </c>
      <c r="B2301" t="str">
        <f>"1551601379346721"</f>
        <v>1551601379346721</v>
      </c>
      <c r="C2301" t="s">
        <v>40</v>
      </c>
      <c r="D2301">
        <v>5.2933620000000001</v>
      </c>
      <c r="E2301">
        <v>0.52619209999999905</v>
      </c>
      <c r="F2301" t="s">
        <v>42</v>
      </c>
      <c r="G2301">
        <v>-384.2946</v>
      </c>
      <c r="H2301">
        <v>0.83342590000000005</v>
      </c>
      <c r="I2301">
        <v>284.48489999999998</v>
      </c>
      <c r="J2301">
        <v>-383.8005</v>
      </c>
      <c r="K2301">
        <v>1.1198870000000001</v>
      </c>
      <c r="L2301">
        <v>284.4033</v>
      </c>
      <c r="M2301">
        <v>-0.99996220000000002</v>
      </c>
      <c r="N2301">
        <v>-7.8944159999999996E-3</v>
      </c>
      <c r="O2301">
        <v>3.6373820000000002E-3</v>
      </c>
      <c r="P2301">
        <v>-0.980904</v>
      </c>
      <c r="Q2301">
        <v>0.1896494</v>
      </c>
      <c r="R2301">
        <v>4.3135470000000002E-2</v>
      </c>
      <c r="S2301">
        <v>-3.2562869999999999</v>
      </c>
      <c r="T2301">
        <v>-1.0997749999999999</v>
      </c>
      <c r="U2301">
        <v>0.31707760000000001</v>
      </c>
      <c r="V2301">
        <v>3.9620309999999999E-2</v>
      </c>
      <c r="W2301">
        <v>0.197378</v>
      </c>
      <c r="X2301">
        <v>0.97952649999999997</v>
      </c>
      <c r="Y2301">
        <v>8.8498640000000003E-2</v>
      </c>
      <c r="Z2301">
        <v>1.3704579999999999E-2</v>
      </c>
      <c r="AA2301">
        <v>0.99598200000000003</v>
      </c>
      <c r="AB2301">
        <v>36</v>
      </c>
      <c r="AC2301">
        <v>-0.49410000000000298</v>
      </c>
      <c r="AD2301">
        <v>-0.28646109999999902</v>
      </c>
      <c r="AE2301">
        <v>8.1599999999980299E-2</v>
      </c>
      <c r="AF2301">
        <v>6.01281530144816E-2</v>
      </c>
      <c r="AG2301">
        <v>-0.28646109999999902</v>
      </c>
      <c r="AH2301">
        <v>0.37250828777176598</v>
      </c>
      <c r="AI2301">
        <v>127.205023943021</v>
      </c>
      <c r="AJ2301">
        <v>80.830731536379801</v>
      </c>
      <c r="AK2301">
        <v>0.47374864755141599</v>
      </c>
      <c r="AL2301">
        <v>78.616326717684402</v>
      </c>
      <c r="AM2301">
        <v>87.683738261013104</v>
      </c>
      <c r="AN2301">
        <v>1.00000000402537</v>
      </c>
    </row>
    <row r="2302" spans="1:40" x14ac:dyDescent="0.25">
      <c r="A2302" t="str">
        <f>"20190303162259374"</f>
        <v>20190303162259374</v>
      </c>
      <c r="B2302" t="str">
        <f>"1551601379367216"</f>
        <v>1551601379367216</v>
      </c>
      <c r="C2302" t="s">
        <v>40</v>
      </c>
      <c r="D2302">
        <v>5.3209249999999999</v>
      </c>
      <c r="E2302">
        <v>0.52619450000000001</v>
      </c>
      <c r="F2302" t="s">
        <v>42</v>
      </c>
      <c r="G2302">
        <v>-384.62240000000003</v>
      </c>
      <c r="H2302">
        <v>0.84254379999999995</v>
      </c>
      <c r="I2302">
        <v>284.48360000000002</v>
      </c>
      <c r="J2302">
        <v>-384.16460000000001</v>
      </c>
      <c r="K2302">
        <v>1.119891</v>
      </c>
      <c r="L2302">
        <v>284.40469999999999</v>
      </c>
      <c r="M2302">
        <v>-0.99996149999999995</v>
      </c>
      <c r="N2302">
        <v>-7.9503149999999995E-3</v>
      </c>
      <c r="O2302">
        <v>3.7336100000000001E-3</v>
      </c>
      <c r="P2302">
        <v>-0.98075820000000002</v>
      </c>
      <c r="Q2302">
        <v>0.19042290000000001</v>
      </c>
      <c r="R2302">
        <v>4.3043129999999999E-2</v>
      </c>
      <c r="S2302">
        <v>-3.256958</v>
      </c>
      <c r="T2302">
        <v>-1.099102</v>
      </c>
      <c r="U2302">
        <v>0.31704710000000003</v>
      </c>
      <c r="V2302">
        <v>3.9434469999999999E-2</v>
      </c>
      <c r="W2302">
        <v>0.19820489999999999</v>
      </c>
      <c r="X2302">
        <v>0.97936699999999999</v>
      </c>
      <c r="Y2302">
        <v>8.8391460000000005E-2</v>
      </c>
      <c r="Z2302">
        <v>1.3648220000000001E-2</v>
      </c>
      <c r="AA2302">
        <v>0.99599230000000005</v>
      </c>
      <c r="AB2302">
        <v>36</v>
      </c>
      <c r="AC2302">
        <v>-0.45780000000002002</v>
      </c>
      <c r="AD2302">
        <v>-0.27734719999999902</v>
      </c>
      <c r="AE2302">
        <v>7.8900000000032805E-2</v>
      </c>
      <c r="AF2302">
        <v>5.6906509153299797E-2</v>
      </c>
      <c r="AG2302">
        <v>-0.27734719999999902</v>
      </c>
      <c r="AH2302">
        <v>0.337716439538644</v>
      </c>
      <c r="AI2302">
        <v>129.00146501129899</v>
      </c>
      <c r="AJ2302">
        <v>80.435292329154294</v>
      </c>
      <c r="AK2302">
        <v>0.44069514822211597</v>
      </c>
      <c r="AL2302">
        <v>78.567993821039593</v>
      </c>
      <c r="AM2302">
        <v>87.694215936761097</v>
      </c>
      <c r="AN2302">
        <v>0.99999999024859498</v>
      </c>
    </row>
    <row r="2303" spans="1:40" x14ac:dyDescent="0.25">
      <c r="A2303" t="str">
        <f>"20190303162259408"</f>
        <v>20190303162259408</v>
      </c>
      <c r="B2303" t="str">
        <f>"1551601379396497"</f>
        <v>1551601379396497</v>
      </c>
      <c r="C2303" t="s">
        <v>40</v>
      </c>
      <c r="D2303">
        <v>5.3649990000000001</v>
      </c>
      <c r="E2303">
        <v>0.52618100000000001</v>
      </c>
      <c r="F2303" t="s">
        <v>42</v>
      </c>
      <c r="G2303">
        <v>-384.95190000000002</v>
      </c>
      <c r="H2303">
        <v>0.85476059999999998</v>
      </c>
      <c r="I2303">
        <v>284.4821</v>
      </c>
      <c r="J2303">
        <v>-384.71190000000001</v>
      </c>
      <c r="K2303">
        <v>1.1198969999999999</v>
      </c>
      <c r="L2303">
        <v>284.40699999999998</v>
      </c>
      <c r="M2303">
        <v>-0.99996030000000002</v>
      </c>
      <c r="N2303">
        <v>-8.0228569999999996E-3</v>
      </c>
      <c r="O2303">
        <v>3.8784100000000001E-3</v>
      </c>
      <c r="P2303">
        <v>-0.98071989999999998</v>
      </c>
      <c r="Q2303">
        <v>0.19080510000000001</v>
      </c>
      <c r="R2303">
        <v>4.2214130000000002E-2</v>
      </c>
      <c r="S2303">
        <v>-3.2578740000000002</v>
      </c>
      <c r="T2303">
        <v>-1.0970629999999999</v>
      </c>
      <c r="U2303">
        <v>0.31854250000000001</v>
      </c>
      <c r="V2303">
        <v>3.8464060000000001E-2</v>
      </c>
      <c r="W2303">
        <v>0.19865830000000001</v>
      </c>
      <c r="X2303">
        <v>0.97931369999999895</v>
      </c>
      <c r="Y2303">
        <v>8.8682999999999998E-2</v>
      </c>
      <c r="Z2303">
        <v>1.362732E-2</v>
      </c>
      <c r="AA2303">
        <v>0.99596669999999998</v>
      </c>
      <c r="AB2303">
        <v>36</v>
      </c>
      <c r="AC2303">
        <v>-0.24000000000000901</v>
      </c>
      <c r="AD2303">
        <v>-0.265136399999999</v>
      </c>
      <c r="AE2303">
        <v>7.5100000000020303E-2</v>
      </c>
      <c r="AF2303">
        <v>3.5124429248038103E-2</v>
      </c>
      <c r="AG2303">
        <v>-0.265136399999999</v>
      </c>
      <c r="AH2303">
        <v>0.11379521914549499</v>
      </c>
      <c r="AI2303">
        <v>155.81156071658901</v>
      </c>
      <c r="AJ2303">
        <v>72.846452889109401</v>
      </c>
      <c r="AK2303">
        <v>0.290655101512655</v>
      </c>
      <c r="AL2303">
        <v>78.541488545717996</v>
      </c>
      <c r="AM2303">
        <v>87.750775767163802</v>
      </c>
      <c r="AN2303">
        <v>0.99999996353913101</v>
      </c>
    </row>
    <row r="2304" spans="1:40" x14ac:dyDescent="0.25">
      <c r="A2304" t="str">
        <f>"20190303162259429"</f>
        <v>20190303162259429</v>
      </c>
      <c r="B2304" t="str">
        <f>"1551601379426752"</f>
        <v>1551601379426752</v>
      </c>
      <c r="C2304" t="s">
        <v>40</v>
      </c>
      <c r="D2304">
        <v>5.3559099999999997</v>
      </c>
      <c r="E2304">
        <v>0.52518769999999904</v>
      </c>
      <c r="F2304" t="s">
        <v>42</v>
      </c>
      <c r="G2304">
        <v>-385.59120000000001</v>
      </c>
      <c r="H2304">
        <v>0.82393289999999997</v>
      </c>
      <c r="I2304">
        <v>284.49220000000003</v>
      </c>
      <c r="J2304">
        <v>-385.07690000000002</v>
      </c>
      <c r="K2304">
        <v>1.1198980000000001</v>
      </c>
      <c r="L2304">
        <v>284.40839999999997</v>
      </c>
      <c r="M2304">
        <v>-0.99995970000000001</v>
      </c>
      <c r="N2304">
        <v>-8.0646650000000004E-3</v>
      </c>
      <c r="O2304">
        <v>3.9748070000000003E-3</v>
      </c>
      <c r="P2304">
        <v>-0.98065429999999998</v>
      </c>
      <c r="Q2304">
        <v>0.19108800000000001</v>
      </c>
      <c r="R2304">
        <v>4.2459289999999997E-2</v>
      </c>
      <c r="S2304">
        <v>-3.2588499999999998</v>
      </c>
      <c r="T2304">
        <v>-1.0968199999999999</v>
      </c>
      <c r="U2304">
        <v>0.31445309999999999</v>
      </c>
      <c r="V2304">
        <v>3.8615040000000003E-2</v>
      </c>
      <c r="W2304">
        <v>0.1989812</v>
      </c>
      <c r="X2304">
        <v>0.97924230000000001</v>
      </c>
      <c r="Y2304">
        <v>8.7400210000000006E-2</v>
      </c>
      <c r="Z2304">
        <v>1.337787E-2</v>
      </c>
      <c r="AA2304">
        <v>0.99608339999999995</v>
      </c>
      <c r="AB2304">
        <v>36</v>
      </c>
      <c r="AC2304">
        <v>-0.51429999999999099</v>
      </c>
      <c r="AD2304">
        <v>-0.29596509999999998</v>
      </c>
      <c r="AE2304">
        <v>8.3800000000053304E-2</v>
      </c>
      <c r="AF2304">
        <v>6.1813743474882499E-2</v>
      </c>
      <c r="AG2304">
        <v>-0.29596509999999998</v>
      </c>
      <c r="AH2304">
        <v>0.389103249528851</v>
      </c>
      <c r="AI2304">
        <v>126.91437578447299</v>
      </c>
      <c r="AJ2304">
        <v>80.973306106717899</v>
      </c>
      <c r="AK2304">
        <v>0.492765276875613</v>
      </c>
      <c r="AL2304">
        <v>78.522611995282702</v>
      </c>
      <c r="AM2304">
        <v>87.741791710748302</v>
      </c>
      <c r="AN2304">
        <v>1.00000006068846</v>
      </c>
    </row>
    <row r="2305" spans="1:40" x14ac:dyDescent="0.25">
      <c r="A2305" t="str">
        <f>"20190303162259452"</f>
        <v>20190303162259452</v>
      </c>
      <c r="B2305" t="str">
        <f>"1551601379447248"</f>
        <v>1551601379447248</v>
      </c>
      <c r="C2305" t="s">
        <v>40</v>
      </c>
      <c r="D2305">
        <v>5.3926089999999904</v>
      </c>
      <c r="E2305">
        <v>0.52533560000000001</v>
      </c>
      <c r="F2305" t="s">
        <v>42</v>
      </c>
      <c r="G2305">
        <v>-385.91969999999998</v>
      </c>
      <c r="H2305">
        <v>0.82907149999999996</v>
      </c>
      <c r="I2305">
        <v>284.48750000000001</v>
      </c>
      <c r="J2305">
        <v>-385.43889999999999</v>
      </c>
      <c r="K2305">
        <v>1.119896</v>
      </c>
      <c r="L2305">
        <v>284.41000000000003</v>
      </c>
      <c r="M2305">
        <v>-0.99995889999999998</v>
      </c>
      <c r="N2305">
        <v>-8.1019290000000008E-3</v>
      </c>
      <c r="O2305">
        <v>4.070031E-3</v>
      </c>
      <c r="P2305">
        <v>-0.98063149999999999</v>
      </c>
      <c r="Q2305">
        <v>0.19116259999999999</v>
      </c>
      <c r="R2305">
        <v>4.2649590000000001E-2</v>
      </c>
      <c r="S2305">
        <v>-3.2655639999999999</v>
      </c>
      <c r="T2305">
        <v>-1.12687</v>
      </c>
      <c r="U2305">
        <v>0.30538939999999998</v>
      </c>
      <c r="V2305">
        <v>3.8712299999999998E-2</v>
      </c>
      <c r="W2305">
        <v>0.1990924</v>
      </c>
      <c r="X2305">
        <v>0.97921579999999997</v>
      </c>
      <c r="Y2305">
        <v>8.4322590000000003E-2</v>
      </c>
      <c r="Z2305">
        <v>1.313342E-2</v>
      </c>
      <c r="AA2305">
        <v>0.99635200000000002</v>
      </c>
      <c r="AB2305">
        <v>36</v>
      </c>
      <c r="AC2305">
        <v>-0.48079999999998702</v>
      </c>
      <c r="AD2305">
        <v>-0.29082449999999999</v>
      </c>
      <c r="AE2305">
        <v>7.7499999999986302E-2</v>
      </c>
      <c r="AF2305">
        <v>5.5684709779710302E-2</v>
      </c>
      <c r="AG2305">
        <v>-0.29082449999999999</v>
      </c>
      <c r="AH2305">
        <v>0.35464247394046899</v>
      </c>
      <c r="AI2305">
        <v>129.011767940233</v>
      </c>
      <c r="AJ2305">
        <v>81.076476911678498</v>
      </c>
      <c r="AK2305">
        <v>0.46200753351662699</v>
      </c>
      <c r="AL2305">
        <v>78.516109970953906</v>
      </c>
      <c r="AM2305">
        <v>87.736048651997095</v>
      </c>
      <c r="AN2305">
        <v>1.00000000443934</v>
      </c>
    </row>
    <row r="2306" spans="1:40" x14ac:dyDescent="0.25">
      <c r="A2306" t="str">
        <f>"20190303162259474"</f>
        <v>20190303162259474</v>
      </c>
      <c r="B2306" t="str">
        <f>"1551601379466768"</f>
        <v>1551601379466768</v>
      </c>
      <c r="C2306" t="s">
        <v>40</v>
      </c>
      <c r="D2306">
        <v>5.4229029999999998</v>
      </c>
      <c r="E2306">
        <v>0.52542180000000005</v>
      </c>
      <c r="F2306" t="s">
        <v>42</v>
      </c>
      <c r="G2306">
        <v>-386.25119999999998</v>
      </c>
      <c r="H2306">
        <v>0.84009219999999896</v>
      </c>
      <c r="I2306">
        <v>284.48719999999997</v>
      </c>
      <c r="J2306">
        <v>-385.81020000000001</v>
      </c>
      <c r="K2306">
        <v>1.119907</v>
      </c>
      <c r="L2306">
        <v>284.41160000000002</v>
      </c>
      <c r="M2306">
        <v>-0.99995840000000003</v>
      </c>
      <c r="N2306">
        <v>-8.1363779999999997E-3</v>
      </c>
      <c r="O2306">
        <v>4.1678280000000002E-3</v>
      </c>
      <c r="P2306">
        <v>-0.98060849999999999</v>
      </c>
      <c r="Q2306">
        <v>0.19111539999999999</v>
      </c>
      <c r="R2306">
        <v>4.3385859999999998E-2</v>
      </c>
      <c r="S2306">
        <v>-3.2650760000000001</v>
      </c>
      <c r="T2306">
        <v>-1.1246529999999999</v>
      </c>
      <c r="U2306">
        <v>0.30874629999999997</v>
      </c>
      <c r="V2306">
        <v>3.9352890000000001E-2</v>
      </c>
      <c r="W2306">
        <v>0.19907839999999999</v>
      </c>
      <c r="X2306">
        <v>0.97919310000000004</v>
      </c>
      <c r="Y2306">
        <v>8.5223419999999994E-2</v>
      </c>
      <c r="Z2306">
        <v>1.3234910000000001E-2</v>
      </c>
      <c r="AA2306">
        <v>0.99627390000000005</v>
      </c>
      <c r="AB2306">
        <v>37</v>
      </c>
      <c r="AC2306">
        <v>-0.44099999999997402</v>
      </c>
      <c r="AD2306">
        <v>-0.27981479999999997</v>
      </c>
      <c r="AE2306">
        <v>7.5599999999951706E-2</v>
      </c>
      <c r="AF2306">
        <v>5.3023791431218201E-2</v>
      </c>
      <c r="AG2306">
        <v>-0.27981479999999997</v>
      </c>
      <c r="AH2306">
        <v>0.317239608161898</v>
      </c>
      <c r="AI2306">
        <v>131.022024615026</v>
      </c>
      <c r="AJ2306">
        <v>80.511228954323101</v>
      </c>
      <c r="AK2306">
        <v>0.426320083673636</v>
      </c>
      <c r="AL2306">
        <v>78.516928366096806</v>
      </c>
      <c r="AM2306">
        <v>87.698572680830907</v>
      </c>
      <c r="AN2306">
        <v>0.99999999319276101</v>
      </c>
    </row>
    <row r="2307" spans="1:40" x14ac:dyDescent="0.25">
      <c r="A2307" t="str">
        <f>"20190303162259498"</f>
        <v>20190303162259498</v>
      </c>
      <c r="B2307" t="str">
        <f>"1551601379487263"</f>
        <v>1551601379487263</v>
      </c>
      <c r="C2307" t="s">
        <v>40</v>
      </c>
      <c r="D2307">
        <v>5.4469399999999997</v>
      </c>
      <c r="E2307">
        <v>0.52547880000000002</v>
      </c>
      <c r="F2307" t="s">
        <v>42</v>
      </c>
      <c r="G2307">
        <v>-386.58390000000003</v>
      </c>
      <c r="H2307">
        <v>0.8529196</v>
      </c>
      <c r="I2307">
        <v>284.48579999999998</v>
      </c>
      <c r="J2307">
        <v>-386.1825</v>
      </c>
      <c r="K2307">
        <v>1.1199049999999999</v>
      </c>
      <c r="L2307">
        <v>284.41320000000002</v>
      </c>
      <c r="M2307">
        <v>-0.99995769999999995</v>
      </c>
      <c r="N2307">
        <v>-8.1702140000000003E-3</v>
      </c>
      <c r="O2307">
        <v>4.2654490000000002E-3</v>
      </c>
      <c r="P2307">
        <v>-0.9806629</v>
      </c>
      <c r="Q2307">
        <v>0.19085569999999999</v>
      </c>
      <c r="R2307">
        <v>4.3302920000000002E-2</v>
      </c>
      <c r="S2307">
        <v>-3.2651059999999998</v>
      </c>
      <c r="T2307">
        <v>-1.126638</v>
      </c>
      <c r="U2307">
        <v>0.31246950000000001</v>
      </c>
      <c r="V2307">
        <v>3.9174300000000002E-2</v>
      </c>
      <c r="W2307">
        <v>0.19885220000000001</v>
      </c>
      <c r="X2307">
        <v>0.97924630000000001</v>
      </c>
      <c r="Y2307">
        <v>8.6183969999999999E-2</v>
      </c>
      <c r="Z2307">
        <v>1.339015E-2</v>
      </c>
      <c r="AA2307">
        <v>0.9961892</v>
      </c>
      <c r="AB2307">
        <v>37</v>
      </c>
      <c r="AC2307">
        <v>-0.40140000000002302</v>
      </c>
      <c r="AD2307">
        <v>-0.26698539999999898</v>
      </c>
      <c r="AE2307">
        <v>7.2599999999965803E-2</v>
      </c>
      <c r="AF2307">
        <v>4.9627247375228799E-2</v>
      </c>
      <c r="AG2307">
        <v>-0.26698539999999898</v>
      </c>
      <c r="AH2307">
        <v>0.28122966925438098</v>
      </c>
      <c r="AI2307">
        <v>133.07316026532101</v>
      </c>
      <c r="AJ2307">
        <v>79.992320083316997</v>
      </c>
      <c r="AK2307">
        <v>0.39094014166382401</v>
      </c>
      <c r="AL2307">
        <v>78.530153968178297</v>
      </c>
      <c r="AM2307">
        <v>87.709130120311301</v>
      </c>
      <c r="AN2307">
        <v>1.0000000696444999</v>
      </c>
    </row>
    <row r="2308" spans="1:40" x14ac:dyDescent="0.25">
      <c r="A2308" t="str">
        <f>"20190303162259520"</f>
        <v>20190303162259520</v>
      </c>
      <c r="B2308" t="str">
        <f>"1551601379506784"</f>
        <v>1551601379506784</v>
      </c>
      <c r="C2308" t="s">
        <v>40</v>
      </c>
      <c r="D2308">
        <v>5.4465750000000002</v>
      </c>
      <c r="E2308">
        <v>0.52544639999999998</v>
      </c>
      <c r="F2308" t="s">
        <v>42</v>
      </c>
      <c r="G2308">
        <v>-386.9171</v>
      </c>
      <c r="H2308">
        <v>0.8657823</v>
      </c>
      <c r="I2308">
        <v>284.48410000000001</v>
      </c>
      <c r="J2308">
        <v>-386.55520000000001</v>
      </c>
      <c r="K2308">
        <v>1.1199030000000001</v>
      </c>
      <c r="L2308">
        <v>284.41489999999999</v>
      </c>
      <c r="M2308">
        <v>-0.99995679999999998</v>
      </c>
      <c r="N2308">
        <v>-8.2144890000000002E-3</v>
      </c>
      <c r="O2308">
        <v>4.3636819999999998E-3</v>
      </c>
      <c r="P2308">
        <v>-0.98079590000000005</v>
      </c>
      <c r="Q2308">
        <v>0.1902055</v>
      </c>
      <c r="R2308">
        <v>4.3147560000000001E-2</v>
      </c>
      <c r="S2308">
        <v>-3.2651370000000002</v>
      </c>
      <c r="T2308">
        <v>-1.129318</v>
      </c>
      <c r="U2308">
        <v>0.31289670000000003</v>
      </c>
      <c r="V2308">
        <v>3.8921919999999999E-2</v>
      </c>
      <c r="W2308">
        <v>0.19824700000000001</v>
      </c>
      <c r="X2308">
        <v>0.979379</v>
      </c>
      <c r="Y2308">
        <v>8.6196419999999996E-2</v>
      </c>
      <c r="Z2308">
        <v>1.339135E-2</v>
      </c>
      <c r="AA2308">
        <v>0.99618819999999997</v>
      </c>
      <c r="AB2308">
        <v>37</v>
      </c>
      <c r="AC2308">
        <v>-0.36189999999999101</v>
      </c>
      <c r="AD2308">
        <v>-0.25412069999999998</v>
      </c>
      <c r="AE2308">
        <v>6.9200000000023396E-2</v>
      </c>
      <c r="AF2308">
        <v>4.5823243903023399E-2</v>
      </c>
      <c r="AG2308">
        <v>-0.25412069999999998</v>
      </c>
      <c r="AH2308">
        <v>0.24544652627174801</v>
      </c>
      <c r="AI2308">
        <v>135.50417288951999</v>
      </c>
      <c r="AJ2308">
        <v>79.424997043388899</v>
      </c>
      <c r="AK2308">
        <v>0.35625987299884598</v>
      </c>
      <c r="AL2308">
        <v>78.565533030791698</v>
      </c>
      <c r="AM2308">
        <v>87.724181528578995</v>
      </c>
      <c r="AN2308">
        <v>1.00000000725324</v>
      </c>
    </row>
    <row r="2309" spans="1:40" x14ac:dyDescent="0.25">
      <c r="A2309" t="str">
        <f>"20190303162259541"</f>
        <v>20190303162259541</v>
      </c>
      <c r="B2309" t="str">
        <f>"1551601379537040"</f>
        <v>1551601379537040</v>
      </c>
      <c r="C2309" t="s">
        <v>40</v>
      </c>
      <c r="D2309">
        <v>5.4704959999999998</v>
      </c>
      <c r="E2309">
        <v>0.52537330000000004</v>
      </c>
      <c r="F2309" t="s">
        <v>42</v>
      </c>
      <c r="G2309">
        <v>-387.25080000000003</v>
      </c>
      <c r="H2309">
        <v>0.87823079999999998</v>
      </c>
      <c r="I2309">
        <v>284.48149999999998</v>
      </c>
      <c r="J2309">
        <v>-386.91149999999999</v>
      </c>
      <c r="K2309">
        <v>1.1199220000000001</v>
      </c>
      <c r="L2309">
        <v>284.41649999999998</v>
      </c>
      <c r="M2309">
        <v>-0.99995579999999995</v>
      </c>
      <c r="N2309">
        <v>-8.2818639999999999E-3</v>
      </c>
      <c r="O2309">
        <v>4.4567579999999999E-3</v>
      </c>
      <c r="P2309">
        <v>-0.98093929999999996</v>
      </c>
      <c r="Q2309">
        <v>0.18956529999999999</v>
      </c>
      <c r="R2309">
        <v>4.2699130000000002E-2</v>
      </c>
      <c r="S2309">
        <v>-3.265015</v>
      </c>
      <c r="T2309">
        <v>-1.1344620000000001</v>
      </c>
      <c r="U2309">
        <v>0.31198120000000001</v>
      </c>
      <c r="V2309">
        <v>3.8381619999999998E-2</v>
      </c>
      <c r="W2309">
        <v>0.1976734</v>
      </c>
      <c r="X2309">
        <v>0.97951619999999995</v>
      </c>
      <c r="Y2309">
        <v>8.581424E-2</v>
      </c>
      <c r="Z2309">
        <v>1.3354649999999999E-2</v>
      </c>
      <c r="AA2309">
        <v>0.99622169999999999</v>
      </c>
      <c r="AB2309">
        <v>37</v>
      </c>
      <c r="AC2309">
        <v>-0.33930000000003602</v>
      </c>
      <c r="AD2309">
        <v>-0.241691199999999</v>
      </c>
      <c r="AE2309">
        <v>6.4999999999997699E-2</v>
      </c>
      <c r="AF2309">
        <v>4.2624775351826398E-2</v>
      </c>
      <c r="AG2309">
        <v>-0.241691199999999</v>
      </c>
      <c r="AH2309">
        <v>0.22799569340761699</v>
      </c>
      <c r="AI2309">
        <v>136.17871865100099</v>
      </c>
      <c r="AJ2309">
        <v>79.410552117851296</v>
      </c>
      <c r="AK2309">
        <v>0.33498290082279403</v>
      </c>
      <c r="AL2309">
        <v>78.599060799002203</v>
      </c>
      <c r="AM2309">
        <v>87.7560551157476</v>
      </c>
      <c r="AN2309">
        <v>0.99999995394191099</v>
      </c>
    </row>
    <row r="2310" spans="1:40" x14ac:dyDescent="0.25">
      <c r="A2310" t="str">
        <f>"20190303162259564"</f>
        <v>20190303162259564</v>
      </c>
      <c r="B2310" t="str">
        <f>"1551601379556560"</f>
        <v>1551601379556560</v>
      </c>
      <c r="C2310" t="s">
        <v>40</v>
      </c>
      <c r="D2310">
        <v>5.4904039999999998</v>
      </c>
      <c r="E2310">
        <v>0.5253681</v>
      </c>
      <c r="F2310" t="s">
        <v>42</v>
      </c>
      <c r="G2310">
        <v>-387.58260000000001</v>
      </c>
      <c r="H2310">
        <v>0.88504280000000002</v>
      </c>
      <c r="I2310">
        <v>284.48039999999997</v>
      </c>
      <c r="J2310">
        <v>-387.27839999999998</v>
      </c>
      <c r="K2310">
        <v>1.1199460000000001</v>
      </c>
      <c r="L2310">
        <v>284.41820000000001</v>
      </c>
      <c r="M2310">
        <v>-0.99995449999999997</v>
      </c>
      <c r="N2310">
        <v>-8.3922100000000006E-3</v>
      </c>
      <c r="O2310">
        <v>4.553405E-3</v>
      </c>
      <c r="P2310">
        <v>-0.98102009999999995</v>
      </c>
      <c r="Q2310">
        <v>0.1891176</v>
      </c>
      <c r="R2310">
        <v>4.2832349999999998E-2</v>
      </c>
      <c r="S2310">
        <v>-3.2656559999999999</v>
      </c>
      <c r="T2310">
        <v>-1.1427769999999999</v>
      </c>
      <c r="U2310">
        <v>0.30935669999999998</v>
      </c>
      <c r="V2310">
        <v>3.8419700000000001E-2</v>
      </c>
      <c r="W2310">
        <v>0.1973345</v>
      </c>
      <c r="X2310">
        <v>0.97958310000000004</v>
      </c>
      <c r="Y2310">
        <v>8.4897639999999996E-2</v>
      </c>
      <c r="Z2310">
        <v>1.3256449999999999E-2</v>
      </c>
      <c r="AA2310">
        <v>0.99630149999999995</v>
      </c>
      <c r="AB2310">
        <v>37</v>
      </c>
      <c r="AC2310">
        <v>-0.304200000000037</v>
      </c>
      <c r="AD2310">
        <v>-0.23490319999999901</v>
      </c>
      <c r="AE2310">
        <v>6.2199999999961599E-2</v>
      </c>
      <c r="AF2310">
        <v>3.8676918851559897E-2</v>
      </c>
      <c r="AG2310">
        <v>-0.23490319999999901</v>
      </c>
      <c r="AH2310">
        <v>0.19364488691592599</v>
      </c>
      <c r="AI2310">
        <v>139.94816490735599</v>
      </c>
      <c r="AJ2310">
        <v>78.704878977335795</v>
      </c>
      <c r="AK2310">
        <v>0.306877434248222</v>
      </c>
      <c r="AL2310">
        <v>78.618869203126593</v>
      </c>
      <c r="AM2310">
        <v>87.753984327565604</v>
      </c>
      <c r="AN2310">
        <v>1.00000001402197</v>
      </c>
    </row>
    <row r="2311" spans="1:40" x14ac:dyDescent="0.25">
      <c r="A2311" t="str">
        <f>"20190303162259585"</f>
        <v>20190303162259585</v>
      </c>
      <c r="B2311" t="str">
        <f>"1551601379577056"</f>
        <v>1551601379577056</v>
      </c>
      <c r="C2311" t="s">
        <v>40</v>
      </c>
      <c r="D2311">
        <v>5.5028959999999998</v>
      </c>
      <c r="E2311">
        <v>0.52532019999999902</v>
      </c>
      <c r="F2311" t="s">
        <v>42</v>
      </c>
      <c r="G2311">
        <v>-388.20639999999997</v>
      </c>
      <c r="H2311">
        <v>0.79436269999999998</v>
      </c>
      <c r="I2311">
        <v>284.50639999999999</v>
      </c>
      <c r="J2311">
        <v>-387.63900000000001</v>
      </c>
      <c r="K2311">
        <v>1.119977</v>
      </c>
      <c r="L2311">
        <v>284.42</v>
      </c>
      <c r="M2311">
        <v>-0.99995270000000003</v>
      </c>
      <c r="N2311">
        <v>-8.5614039999999999E-3</v>
      </c>
      <c r="O2311">
        <v>4.6478969999999998E-3</v>
      </c>
      <c r="P2311">
        <v>-0.98108110000000004</v>
      </c>
      <c r="Q2311">
        <v>0.18872169999999999</v>
      </c>
      <c r="R2311">
        <v>4.3174360000000002E-2</v>
      </c>
      <c r="S2311">
        <v>-3.2653500000000002</v>
      </c>
      <c r="T2311">
        <v>-1.145529</v>
      </c>
      <c r="U2311">
        <v>0.3096313</v>
      </c>
      <c r="V2311">
        <v>3.8668460000000002E-2</v>
      </c>
      <c r="W2311">
        <v>0.19710549999999999</v>
      </c>
      <c r="X2311">
        <v>0.97961940000000003</v>
      </c>
      <c r="Y2311">
        <v>8.4875779999999998E-2</v>
      </c>
      <c r="Z2311">
        <v>1.325982E-2</v>
      </c>
      <c r="AA2311">
        <v>0.9963033</v>
      </c>
      <c r="AB2311">
        <v>37</v>
      </c>
      <c r="AC2311">
        <v>-0.56739999999996305</v>
      </c>
      <c r="AD2311">
        <v>-0.32561430000000002</v>
      </c>
      <c r="AE2311">
        <v>8.6399999999969099E-2</v>
      </c>
      <c r="AF2311">
        <v>6.3366365896930302E-2</v>
      </c>
      <c r="AG2311">
        <v>-0.32561430000000002</v>
      </c>
      <c r="AH2311">
        <v>0.42954133043537501</v>
      </c>
      <c r="AI2311">
        <v>126.867509041567</v>
      </c>
      <c r="AJ2311">
        <v>81.608195491638597</v>
      </c>
      <c r="AK2311">
        <v>0.54272066778745898</v>
      </c>
      <c r="AL2311">
        <v>78.632252620238901</v>
      </c>
      <c r="AM2311">
        <v>87.739540534115605</v>
      </c>
      <c r="AN2311">
        <v>0.99999999839269005</v>
      </c>
    </row>
    <row r="2312" spans="1:40" x14ac:dyDescent="0.25">
      <c r="A2312" t="str">
        <f>"20190303162259608"</f>
        <v>20190303162259608</v>
      </c>
      <c r="B2312" t="str">
        <f>"1551601379596577"</f>
        <v>1551601379596577</v>
      </c>
      <c r="C2312" t="s">
        <v>40</v>
      </c>
      <c r="D2312">
        <v>5.5990000000000002</v>
      </c>
      <c r="E2312">
        <v>0.52531600000000001</v>
      </c>
      <c r="F2312" t="s">
        <v>42</v>
      </c>
      <c r="G2312">
        <v>-388.54</v>
      </c>
      <c r="H2312">
        <v>0.80343959999999903</v>
      </c>
      <c r="I2312">
        <v>284.50599999999997</v>
      </c>
      <c r="J2312">
        <v>-388.0086</v>
      </c>
      <c r="K2312">
        <v>1.1200209999999999</v>
      </c>
      <c r="L2312">
        <v>284.42180000000002</v>
      </c>
      <c r="M2312">
        <v>-0.99995020000000001</v>
      </c>
      <c r="N2312">
        <v>-8.7814759999999999E-3</v>
      </c>
      <c r="O2312">
        <v>4.744842E-3</v>
      </c>
      <c r="P2312">
        <v>-0.98126100000000005</v>
      </c>
      <c r="Q2312">
        <v>0.18773090000000001</v>
      </c>
      <c r="R2312">
        <v>4.3408339999999997E-2</v>
      </c>
      <c r="S2312">
        <v>-3.2648009999999998</v>
      </c>
      <c r="T2312">
        <v>-1.146981</v>
      </c>
      <c r="U2312">
        <v>0.31100460000000002</v>
      </c>
      <c r="V2312">
        <v>3.8806510000000002E-2</v>
      </c>
      <c r="W2312">
        <v>0.19633129999999999</v>
      </c>
      <c r="X2312">
        <v>0.97976940000000001</v>
      </c>
      <c r="Y2312">
        <v>8.5180270000000002E-2</v>
      </c>
      <c r="Z2312">
        <v>1.330868E-2</v>
      </c>
      <c r="AA2312">
        <v>0.99627670000000002</v>
      </c>
      <c r="AB2312">
        <v>37</v>
      </c>
      <c r="AC2312">
        <v>-0.53140000000001897</v>
      </c>
      <c r="AD2312">
        <v>-0.31658140000000001</v>
      </c>
      <c r="AE2312">
        <v>8.4199999999952896E-2</v>
      </c>
      <c r="AF2312">
        <v>6.0671526929244997E-2</v>
      </c>
      <c r="AG2312">
        <v>-0.31658140000000001</v>
      </c>
      <c r="AH2312">
        <v>0.39502566179653797</v>
      </c>
      <c r="AI2312">
        <v>128.38384635693399</v>
      </c>
      <c r="AJ2312">
        <v>81.268241296645598</v>
      </c>
      <c r="AK2312">
        <v>0.50985300870317396</v>
      </c>
      <c r="AL2312">
        <v>78.6774950783077</v>
      </c>
      <c r="AM2312">
        <v>87.731825841306005</v>
      </c>
      <c r="AN2312">
        <v>1.0000000008772101</v>
      </c>
    </row>
    <row r="2313" spans="1:40" x14ac:dyDescent="0.25">
      <c r="A2313" t="str">
        <f>"20190303162259630"</f>
        <v>20190303162259630</v>
      </c>
      <c r="B2313" t="str">
        <f>"1551601379626832"</f>
        <v>1551601379626832</v>
      </c>
      <c r="C2313" t="s">
        <v>40</v>
      </c>
      <c r="D2313">
        <v>5.5232559999999999</v>
      </c>
      <c r="E2313">
        <v>0.52532909999999999</v>
      </c>
      <c r="F2313" t="s">
        <v>42</v>
      </c>
      <c r="G2313">
        <v>-388.87450000000001</v>
      </c>
      <c r="H2313">
        <v>0.81494100000000003</v>
      </c>
      <c r="I2313">
        <v>284.50490000000002</v>
      </c>
      <c r="J2313">
        <v>-388.38200000000001</v>
      </c>
      <c r="K2313">
        <v>1.1200840000000001</v>
      </c>
      <c r="L2313">
        <v>284.42360000000002</v>
      </c>
      <c r="M2313">
        <v>-0.99994700000000003</v>
      </c>
      <c r="N2313">
        <v>-9.0922450000000005E-3</v>
      </c>
      <c r="O2313">
        <v>4.841728E-3</v>
      </c>
      <c r="P2313">
        <v>-0.98123990000000005</v>
      </c>
      <c r="Q2313">
        <v>0.18783250000000001</v>
      </c>
      <c r="R2313">
        <v>4.3445419999999998E-2</v>
      </c>
      <c r="S2313">
        <v>-3.263458</v>
      </c>
      <c r="T2313">
        <v>-1.1498010000000001</v>
      </c>
      <c r="U2313">
        <v>0.3123474</v>
      </c>
      <c r="V2313">
        <v>3.8749289999999999E-2</v>
      </c>
      <c r="W2313">
        <v>0.1967371</v>
      </c>
      <c r="X2313">
        <v>0.97969030000000001</v>
      </c>
      <c r="Y2313">
        <v>8.5483390000000006E-2</v>
      </c>
      <c r="Z2313">
        <v>1.3379439999999999E-2</v>
      </c>
      <c r="AA2313">
        <v>0.99624970000000002</v>
      </c>
      <c r="AB2313">
        <v>37</v>
      </c>
      <c r="AC2313">
        <v>-0.492500000000063</v>
      </c>
      <c r="AD2313">
        <v>-0.305143</v>
      </c>
      <c r="AE2313">
        <v>8.1299999999998804E-2</v>
      </c>
      <c r="AF2313">
        <v>5.7446780379190002E-2</v>
      </c>
      <c r="AG2313">
        <v>-0.305143</v>
      </c>
      <c r="AH2313">
        <v>0.35880425412227601</v>
      </c>
      <c r="AI2313">
        <v>130.021834902053</v>
      </c>
      <c r="AJ2313">
        <v>80.903791072645603</v>
      </c>
      <c r="AK2313">
        <v>0.47450276690571302</v>
      </c>
      <c r="AL2313">
        <v>78.653782411174603</v>
      </c>
      <c r="AM2313">
        <v>87.734984095437696</v>
      </c>
      <c r="AN2313">
        <v>1.0000000389529999</v>
      </c>
    </row>
    <row r="2314" spans="1:40" x14ac:dyDescent="0.25">
      <c r="A2314" t="str">
        <f>"20190303162259653"</f>
        <v>20190303162259653</v>
      </c>
      <c r="B2314" t="str">
        <f>"1551601379647328"</f>
        <v>1551601379647328</v>
      </c>
      <c r="C2314" t="s">
        <v>40</v>
      </c>
      <c r="D2314">
        <v>5.5337909999999999</v>
      </c>
      <c r="E2314">
        <v>0.52534250000000005</v>
      </c>
      <c r="F2314" t="s">
        <v>42</v>
      </c>
      <c r="G2314">
        <v>-389.2097</v>
      </c>
      <c r="H2314">
        <v>0.8288449</v>
      </c>
      <c r="I2314">
        <v>284.50290000000001</v>
      </c>
      <c r="J2314">
        <v>-388.74689999999998</v>
      </c>
      <c r="K2314">
        <v>1.1201680000000001</v>
      </c>
      <c r="L2314">
        <v>284.4255</v>
      </c>
      <c r="M2314">
        <v>-0.99994269999999996</v>
      </c>
      <c r="N2314">
        <v>-9.5109029999999994E-3</v>
      </c>
      <c r="O2314">
        <v>4.9340159999999899E-3</v>
      </c>
      <c r="P2314">
        <v>-0.98126290000000005</v>
      </c>
      <c r="Q2314">
        <v>0.187746</v>
      </c>
      <c r="R2314">
        <v>4.330092E-2</v>
      </c>
      <c r="S2314">
        <v>-3.2633670000000001</v>
      </c>
      <c r="T2314">
        <v>-1.148237</v>
      </c>
      <c r="U2314">
        <v>0.31219479999999999</v>
      </c>
      <c r="V2314">
        <v>3.8514850000000003E-2</v>
      </c>
      <c r="W2314">
        <v>0.19706109999999999</v>
      </c>
      <c r="X2314">
        <v>0.97963440000000002</v>
      </c>
      <c r="Y2314">
        <v>8.5365869999999996E-2</v>
      </c>
      <c r="Z2314">
        <v>1.3332409999999999E-2</v>
      </c>
      <c r="AA2314">
        <v>0.99626049999999999</v>
      </c>
      <c r="AB2314">
        <v>37</v>
      </c>
      <c r="AC2314">
        <v>-0.46280000000001498</v>
      </c>
      <c r="AD2314">
        <v>-0.291323099999999</v>
      </c>
      <c r="AE2314">
        <v>7.7400000000011404E-2</v>
      </c>
      <c r="AF2314">
        <v>5.4216890225737099E-2</v>
      </c>
      <c r="AG2314">
        <v>-0.291323099999999</v>
      </c>
      <c r="AH2314">
        <v>0.33431155961767101</v>
      </c>
      <c r="AI2314">
        <v>130.70125600456601</v>
      </c>
      <c r="AJ2314">
        <v>80.788271274508702</v>
      </c>
      <c r="AK2314">
        <v>0.44673575934030502</v>
      </c>
      <c r="AL2314">
        <v>78.634847628258399</v>
      </c>
      <c r="AM2314">
        <v>87.748545361961007</v>
      </c>
      <c r="AN2314">
        <v>1.0000000142335399</v>
      </c>
    </row>
    <row r="2315" spans="1:40" x14ac:dyDescent="0.25">
      <c r="A2315" t="str">
        <f>"20190303162259666"</f>
        <v>20190303162259666</v>
      </c>
      <c r="B2315" t="str">
        <f>"1551601379657088"</f>
        <v>1551601379657088</v>
      </c>
      <c r="C2315" t="s">
        <v>40</v>
      </c>
      <c r="D2315">
        <v>5.5425820000000003</v>
      </c>
      <c r="E2315">
        <v>0.52535569999999998</v>
      </c>
      <c r="F2315" t="s">
        <v>42</v>
      </c>
      <c r="G2315">
        <v>-389.54340000000002</v>
      </c>
      <c r="H2315">
        <v>0.83976379999999995</v>
      </c>
      <c r="I2315">
        <v>284.50189999999998</v>
      </c>
      <c r="J2315">
        <v>-388.96510000000001</v>
      </c>
      <c r="K2315">
        <v>1.1202240000000001</v>
      </c>
      <c r="L2315">
        <v>284.42660000000001</v>
      </c>
      <c r="M2315">
        <v>-0.99993960000000004</v>
      </c>
      <c r="N2315">
        <v>-9.8009519999999999E-3</v>
      </c>
      <c r="O2315">
        <v>4.9886189999999997E-3</v>
      </c>
      <c r="P2315">
        <v>-0.98131190000000001</v>
      </c>
      <c r="Q2315">
        <v>0.18752099999999999</v>
      </c>
      <c r="R2315">
        <v>4.3164580000000001E-2</v>
      </c>
      <c r="S2315">
        <v>-3.263306</v>
      </c>
      <c r="T2315">
        <v>-1.148849</v>
      </c>
      <c r="U2315">
        <v>0.3118591</v>
      </c>
      <c r="V2315">
        <v>3.832464E-2</v>
      </c>
      <c r="W2315">
        <v>0.19712089999999999</v>
      </c>
      <c r="X2315">
        <v>0.9796298</v>
      </c>
      <c r="Y2315">
        <v>8.5213849999999994E-2</v>
      </c>
      <c r="Z2315">
        <v>1.3308550000000001E-2</v>
      </c>
      <c r="AA2315">
        <v>0.99627379999999999</v>
      </c>
      <c r="AB2315">
        <v>37</v>
      </c>
      <c r="AC2315">
        <v>-0.57830000000001203</v>
      </c>
      <c r="AD2315">
        <v>-0.28046019999999899</v>
      </c>
      <c r="AE2315">
        <v>7.5299999999970099E-2</v>
      </c>
      <c r="AF2315">
        <v>5.8812061678756203E-2</v>
      </c>
      <c r="AG2315">
        <v>-0.28046019999999899</v>
      </c>
      <c r="AH2315">
        <v>0.469973796528526</v>
      </c>
      <c r="AI2315">
        <v>120.63141826368</v>
      </c>
      <c r="AJ2315">
        <v>82.867140905812903</v>
      </c>
      <c r="AK2315">
        <v>0.55044722890244702</v>
      </c>
      <c r="AL2315">
        <v>78.631352466585994</v>
      </c>
      <c r="AM2315">
        <v>87.759642561447293</v>
      </c>
      <c r="AN2315">
        <v>0.99999998614798902</v>
      </c>
    </row>
    <row r="2316" spans="1:40" x14ac:dyDescent="0.25">
      <c r="A2316" t="str">
        <f>"20190303162259687"</f>
        <v>20190303162259687</v>
      </c>
      <c r="B2316" t="str">
        <f>"1551601379676609"</f>
        <v>1551601379676609</v>
      </c>
      <c r="C2316" t="s">
        <v>40</v>
      </c>
      <c r="D2316">
        <v>5.5716199999999896</v>
      </c>
      <c r="E2316">
        <v>0.5253698</v>
      </c>
      <c r="F2316" t="s">
        <v>42</v>
      </c>
      <c r="G2316">
        <v>-389.85879999999997</v>
      </c>
      <c r="H2316">
        <v>0.80534890000000003</v>
      </c>
      <c r="I2316">
        <v>284.51209999999998</v>
      </c>
      <c r="J2316">
        <v>-389.30599999999998</v>
      </c>
      <c r="K2316">
        <v>1.1203110000000001</v>
      </c>
      <c r="L2316">
        <v>284.42829999999998</v>
      </c>
      <c r="M2316">
        <v>-0.99993430000000005</v>
      </c>
      <c r="N2316">
        <v>-1.028198E-2</v>
      </c>
      <c r="O2316">
        <v>5.0757119999999996E-3</v>
      </c>
      <c r="P2316">
        <v>-0.98138579999999997</v>
      </c>
      <c r="Q2316">
        <v>0.187218</v>
      </c>
      <c r="R2316">
        <v>4.2793999999999999E-2</v>
      </c>
      <c r="S2316">
        <v>-3.2631230000000002</v>
      </c>
      <c r="T2316">
        <v>-1.1498360000000001</v>
      </c>
      <c r="U2316">
        <v>0.31167600000000001</v>
      </c>
      <c r="V2316">
        <v>3.786755E-2</v>
      </c>
      <c r="W2316">
        <v>0.1972902</v>
      </c>
      <c r="X2316">
        <v>0.97961350000000003</v>
      </c>
      <c r="Y2316">
        <v>8.5073609999999994E-2</v>
      </c>
      <c r="Z2316">
        <v>1.328965E-2</v>
      </c>
      <c r="AA2316">
        <v>0.996286</v>
      </c>
      <c r="AB2316">
        <v>37</v>
      </c>
      <c r="AC2316">
        <v>-0.55279999999998997</v>
      </c>
      <c r="AD2316">
        <v>-0.31496209999999902</v>
      </c>
      <c r="AE2316">
        <v>8.3799999999996502E-2</v>
      </c>
      <c r="AF2316">
        <v>6.1482558990588403E-2</v>
      </c>
      <c r="AG2316">
        <v>-0.31496209999999902</v>
      </c>
      <c r="AH2316">
        <v>0.41995366995220701</v>
      </c>
      <c r="AI2316">
        <v>126.57843776102099</v>
      </c>
      <c r="AJ2316">
        <v>81.670886905289095</v>
      </c>
      <c r="AK2316">
        <v>0.52852844237824004</v>
      </c>
      <c r="AL2316">
        <v>78.621458050726801</v>
      </c>
      <c r="AM2316">
        <v>87.786299298247201</v>
      </c>
      <c r="AN2316">
        <v>0.99999999187064603</v>
      </c>
    </row>
    <row r="2317" spans="1:40" x14ac:dyDescent="0.25">
      <c r="A2317" t="str">
        <f>"20190303162259709"</f>
        <v>20190303162259709</v>
      </c>
      <c r="B2317" t="str">
        <f>"1551601379697104"</f>
        <v>1551601379697104</v>
      </c>
      <c r="C2317" t="s">
        <v>40</v>
      </c>
      <c r="D2317">
        <v>5.5611240000000004</v>
      </c>
      <c r="E2317">
        <v>0.52540200000000004</v>
      </c>
      <c r="F2317" t="s">
        <v>42</v>
      </c>
      <c r="G2317">
        <v>-390.18880000000001</v>
      </c>
      <c r="H2317">
        <v>0.80905309999999997</v>
      </c>
      <c r="I2317">
        <v>284.51280000000003</v>
      </c>
      <c r="J2317">
        <v>-389.67989999999998</v>
      </c>
      <c r="K2317">
        <v>1.1203920000000001</v>
      </c>
      <c r="L2317">
        <v>284.43040000000002</v>
      </c>
      <c r="M2317">
        <v>-0.99992840000000005</v>
      </c>
      <c r="N2317">
        <v>-1.079341E-2</v>
      </c>
      <c r="O2317">
        <v>5.172772E-3</v>
      </c>
      <c r="P2317">
        <v>-0.98139149999999997</v>
      </c>
      <c r="Q2317">
        <v>0.1872084</v>
      </c>
      <c r="R2317">
        <v>4.2704949999999998E-2</v>
      </c>
      <c r="S2317">
        <v>-3.262756</v>
      </c>
      <c r="T2317">
        <v>-1.1503139999999901</v>
      </c>
      <c r="U2317">
        <v>0.31063839999999998</v>
      </c>
      <c r="V2317">
        <v>3.7682739999999999E-2</v>
      </c>
      <c r="W2317">
        <v>0.19778190000000001</v>
      </c>
      <c r="X2317">
        <v>0.97952150000000004</v>
      </c>
      <c r="Y2317">
        <v>8.4688819999999998E-2</v>
      </c>
      <c r="Z2317">
        <v>1.3221220000000001E-2</v>
      </c>
      <c r="AA2317">
        <v>0.99631970000000003</v>
      </c>
      <c r="AB2317">
        <v>37</v>
      </c>
      <c r="AC2317">
        <v>-0.50890000000003899</v>
      </c>
      <c r="AD2317">
        <v>-0.31133889999999997</v>
      </c>
      <c r="AE2317">
        <v>8.2400000000006898E-2</v>
      </c>
      <c r="AF2317">
        <v>5.8448749297193202E-2</v>
      </c>
      <c r="AG2317">
        <v>-0.31133889999999997</v>
      </c>
      <c r="AH2317">
        <v>0.37320368755663302</v>
      </c>
      <c r="AI2317">
        <v>129.49489223586701</v>
      </c>
      <c r="AJ2317">
        <v>81.099009281311695</v>
      </c>
      <c r="AK2317">
        <v>0.48951931458675402</v>
      </c>
      <c r="AL2317">
        <v>78.592719751544806</v>
      </c>
      <c r="AM2317">
        <v>87.796885743051902</v>
      </c>
      <c r="AN2317">
        <v>1.0000000189118801</v>
      </c>
    </row>
    <row r="2318" spans="1:40" x14ac:dyDescent="0.25">
      <c r="A2318" t="str">
        <f>"20190303162259732"</f>
        <v>20190303162259732</v>
      </c>
      <c r="B2318" t="str">
        <f>"1551601379727360"</f>
        <v>1551601379727360</v>
      </c>
      <c r="C2318" t="s">
        <v>40</v>
      </c>
      <c r="D2318">
        <v>5.6006090000000004</v>
      </c>
      <c r="E2318">
        <v>0.52541700000000002</v>
      </c>
      <c r="F2318" t="s">
        <v>42</v>
      </c>
      <c r="G2318">
        <v>-390.52260000000001</v>
      </c>
      <c r="H2318">
        <v>0.82337329999999997</v>
      </c>
      <c r="I2318">
        <v>284.51089999999999</v>
      </c>
      <c r="J2318">
        <v>-390.04430000000002</v>
      </c>
      <c r="K2318">
        <v>1.1204529999999999</v>
      </c>
      <c r="L2318">
        <v>284.4323</v>
      </c>
      <c r="M2318">
        <v>-0.99992289999999995</v>
      </c>
      <c r="N2318">
        <v>-1.12561E-2</v>
      </c>
      <c r="O2318">
        <v>5.2679459999999999E-3</v>
      </c>
      <c r="P2318">
        <v>-0.98140090000000002</v>
      </c>
      <c r="Q2318">
        <v>0.1870906</v>
      </c>
      <c r="R2318">
        <v>4.3008310000000001E-2</v>
      </c>
      <c r="S2318">
        <v>-3.2626949999999999</v>
      </c>
      <c r="T2318">
        <v>-1.15005</v>
      </c>
      <c r="U2318">
        <v>0.31188959999999999</v>
      </c>
      <c r="V2318">
        <v>3.7891979999999999E-2</v>
      </c>
      <c r="W2318">
        <v>0.19811699999999999</v>
      </c>
      <c r="X2318">
        <v>0.97944569999999997</v>
      </c>
      <c r="Y2318">
        <v>8.4957439999999995E-2</v>
      </c>
      <c r="Z2318">
        <v>1.325701E-2</v>
      </c>
      <c r="AA2318">
        <v>0.99629639999999997</v>
      </c>
      <c r="AB2318">
        <v>37</v>
      </c>
      <c r="AC2318">
        <v>-0.47829999999999001</v>
      </c>
      <c r="AD2318">
        <v>-0.2970797</v>
      </c>
      <c r="AE2318">
        <v>7.8599999999994397E-2</v>
      </c>
      <c r="AF2318">
        <v>5.5304478774487797E-2</v>
      </c>
      <c r="AG2318">
        <v>-0.2970797</v>
      </c>
      <c r="AH2318">
        <v>0.34798872451420898</v>
      </c>
      <c r="AI2318">
        <v>130.13503362233101</v>
      </c>
      <c r="AJ2318">
        <v>80.969729135167697</v>
      </c>
      <c r="AK2318">
        <v>0.46088077190704502</v>
      </c>
      <c r="AL2318">
        <v>78.573132282824204</v>
      </c>
      <c r="AM2318">
        <v>87.7844934454926</v>
      </c>
      <c r="AN2318">
        <v>1.0000000135428999</v>
      </c>
    </row>
    <row r="2319" spans="1:40" x14ac:dyDescent="0.25">
      <c r="A2319" t="str">
        <f>"20190303162259753"</f>
        <v>20190303162259753</v>
      </c>
      <c r="B2319" t="str">
        <f>"1551601379746880"</f>
        <v>1551601379746880</v>
      </c>
      <c r="C2319" t="s">
        <v>40</v>
      </c>
      <c r="D2319">
        <v>5.6102179999999997</v>
      </c>
      <c r="E2319">
        <v>0.52543280000000003</v>
      </c>
      <c r="F2319" t="s">
        <v>42</v>
      </c>
      <c r="G2319">
        <v>-390.85480000000001</v>
      </c>
      <c r="H2319">
        <v>0.83454130000000004</v>
      </c>
      <c r="I2319">
        <v>284.51049999999998</v>
      </c>
      <c r="J2319">
        <v>-390.4074</v>
      </c>
      <c r="K2319">
        <v>1.1204989999999999</v>
      </c>
      <c r="L2319">
        <v>284.43439999999998</v>
      </c>
      <c r="M2319">
        <v>-0.99991739999999996</v>
      </c>
      <c r="N2319">
        <v>-1.167881E-2</v>
      </c>
      <c r="O2319">
        <v>5.3629519999999998E-3</v>
      </c>
      <c r="P2319">
        <v>-0.98151060000000001</v>
      </c>
      <c r="Q2319">
        <v>0.1865832</v>
      </c>
      <c r="R2319">
        <v>4.2708049999999997E-2</v>
      </c>
      <c r="S2319">
        <v>-3.2624819999999999</v>
      </c>
      <c r="T2319">
        <v>-1.1508400000000001</v>
      </c>
      <c r="U2319">
        <v>0.31356810000000002</v>
      </c>
      <c r="V2319">
        <v>3.7497839999999998E-2</v>
      </c>
      <c r="W2319">
        <v>0.19802539999999999</v>
      </c>
      <c r="X2319">
        <v>0.9794794</v>
      </c>
      <c r="Y2319">
        <v>8.5344139999999999E-2</v>
      </c>
      <c r="Z2319">
        <v>1.332351E-2</v>
      </c>
      <c r="AA2319">
        <v>0.99626239999999999</v>
      </c>
      <c r="AB2319">
        <v>37</v>
      </c>
      <c r="AC2319">
        <v>-0.44740000000001601</v>
      </c>
      <c r="AD2319">
        <v>-0.28595769999999898</v>
      </c>
      <c r="AE2319">
        <v>7.6099999999996698E-2</v>
      </c>
      <c r="AF2319">
        <v>5.2754254951461202E-2</v>
      </c>
      <c r="AG2319">
        <v>-0.28595769999999898</v>
      </c>
      <c r="AH2319">
        <v>0.32053801706667101</v>
      </c>
      <c r="AI2319">
        <v>131.356677500459</v>
      </c>
      <c r="AJ2319">
        <v>80.654024111621794</v>
      </c>
      <c r="AK2319">
        <v>0.43278105086730301</v>
      </c>
      <c r="AL2319">
        <v>78.578486745758397</v>
      </c>
      <c r="AM2319">
        <v>87.807591174327996</v>
      </c>
      <c r="AN2319">
        <v>1.0000000210370901</v>
      </c>
    </row>
    <row r="2320" spans="1:40" x14ac:dyDescent="0.25">
      <c r="A2320" t="str">
        <f>"20190303162259767"</f>
        <v>20190303162259767</v>
      </c>
      <c r="B2320" t="str">
        <f>"1551601379756642"</f>
        <v>1551601379756642</v>
      </c>
      <c r="C2320" t="s">
        <v>40</v>
      </c>
      <c r="D2320">
        <v>5.612457</v>
      </c>
      <c r="E2320">
        <v>0.52543519999999999</v>
      </c>
      <c r="F2320" t="s">
        <v>42</v>
      </c>
      <c r="G2320">
        <v>-391.18650000000002</v>
      </c>
      <c r="H2320">
        <v>0.84520360000000005</v>
      </c>
      <c r="I2320">
        <v>284.50900000000001</v>
      </c>
      <c r="J2320">
        <v>-390.62959999999998</v>
      </c>
      <c r="K2320">
        <v>1.1205210000000001</v>
      </c>
      <c r="L2320">
        <v>284.43560000000002</v>
      </c>
      <c r="M2320">
        <v>-0.99991430000000003</v>
      </c>
      <c r="N2320">
        <v>-1.191916E-2</v>
      </c>
      <c r="O2320">
        <v>5.4202080000000001E-3</v>
      </c>
      <c r="P2320">
        <v>-0.98154520000000001</v>
      </c>
      <c r="Q2320">
        <v>0.18639700000000001</v>
      </c>
      <c r="R2320">
        <v>4.2726130000000001E-2</v>
      </c>
      <c r="S2320">
        <v>-3.2619929999999999</v>
      </c>
      <c r="T2320">
        <v>-1.1527609999999999</v>
      </c>
      <c r="U2320">
        <v>0.31289670000000003</v>
      </c>
      <c r="V2320">
        <v>3.7459249999999999E-2</v>
      </c>
      <c r="W2320">
        <v>0.19807540000000001</v>
      </c>
      <c r="X2320">
        <v>0.97947070000000003</v>
      </c>
      <c r="Y2320">
        <v>8.5095240000000003E-2</v>
      </c>
      <c r="Z2320">
        <v>1.329432E-2</v>
      </c>
      <c r="AA2320">
        <v>0.99628410000000001</v>
      </c>
      <c r="AB2320">
        <v>37</v>
      </c>
      <c r="AC2320">
        <v>-0.55690000000004103</v>
      </c>
      <c r="AD2320">
        <v>-0.27531739999999899</v>
      </c>
      <c r="AE2320">
        <v>7.3399999999992305E-2</v>
      </c>
      <c r="AF2320">
        <v>5.67475411486036E-2</v>
      </c>
      <c r="AG2320">
        <v>-0.27531739999999899</v>
      </c>
      <c r="AH2320">
        <v>0.449342606984175</v>
      </c>
      <c r="AI2320">
        <v>121.294710515821</v>
      </c>
      <c r="AJ2320">
        <v>82.802212841743795</v>
      </c>
      <c r="AK2320">
        <v>0.53002710555263799</v>
      </c>
      <c r="AL2320">
        <v>78.575563308868894</v>
      </c>
      <c r="AM2320">
        <v>87.809825805994805</v>
      </c>
      <c r="AN2320">
        <v>0.99999995582710499</v>
      </c>
    </row>
    <row r="2321" spans="1:40" x14ac:dyDescent="0.25">
      <c r="A2321" t="str">
        <f>"20190303162259786"</f>
        <v>20190303162259786</v>
      </c>
      <c r="B2321" t="str">
        <f>"1551601379777136"</f>
        <v>1551601379777136</v>
      </c>
      <c r="C2321" t="s">
        <v>40</v>
      </c>
      <c r="D2321">
        <v>5.6033580000000001</v>
      </c>
      <c r="E2321">
        <v>0.52547469999999996</v>
      </c>
      <c r="F2321" t="s">
        <v>42</v>
      </c>
      <c r="G2321">
        <v>-391.50049999999999</v>
      </c>
      <c r="H2321">
        <v>0.8124323</v>
      </c>
      <c r="I2321">
        <v>284.51929999999999</v>
      </c>
      <c r="J2321">
        <v>-390.94080000000002</v>
      </c>
      <c r="K2321">
        <v>1.1205350000000001</v>
      </c>
      <c r="L2321">
        <v>284.43729999999999</v>
      </c>
      <c r="M2321">
        <v>-0.99991030000000003</v>
      </c>
      <c r="N2321">
        <v>-1.2230359999999999E-2</v>
      </c>
      <c r="O2321">
        <v>5.5000789999999997E-3</v>
      </c>
      <c r="P2321">
        <v>-0.9816473</v>
      </c>
      <c r="Q2321">
        <v>0.18586230000000001</v>
      </c>
      <c r="R2321">
        <v>4.2713139999999997E-2</v>
      </c>
      <c r="S2321">
        <v>-3.2619319999999998</v>
      </c>
      <c r="T2321">
        <v>-1.153877</v>
      </c>
      <c r="U2321">
        <v>0.31228640000000002</v>
      </c>
      <c r="V2321">
        <v>3.7367360000000002E-2</v>
      </c>
      <c r="W2321">
        <v>0.19784689999999999</v>
      </c>
      <c r="X2321">
        <v>0.97952039999999996</v>
      </c>
      <c r="Y2321">
        <v>8.4838360000000002E-2</v>
      </c>
      <c r="Z2321">
        <v>1.3249560000000001E-2</v>
      </c>
      <c r="AA2321">
        <v>0.99630669999999999</v>
      </c>
      <c r="AB2321">
        <v>37</v>
      </c>
      <c r="AC2321">
        <v>-0.559699999999963</v>
      </c>
      <c r="AD2321">
        <v>-0.30810270000000001</v>
      </c>
      <c r="AE2321">
        <v>8.1999999999993606E-2</v>
      </c>
      <c r="AF2321">
        <v>6.08642284625402E-2</v>
      </c>
      <c r="AG2321">
        <v>-0.30810270000000001</v>
      </c>
      <c r="AH2321">
        <v>0.43198919044376999</v>
      </c>
      <c r="AI2321">
        <v>125.23139113557301</v>
      </c>
      <c r="AJ2321">
        <v>81.980217390874301</v>
      </c>
      <c r="AK2321">
        <v>0.53408462692151504</v>
      </c>
      <c r="AL2321">
        <v>78.588919823176596</v>
      </c>
      <c r="AM2321">
        <v>87.815303981901195</v>
      </c>
      <c r="AN2321">
        <v>0.99999996472456898</v>
      </c>
    </row>
    <row r="2322" spans="1:40" x14ac:dyDescent="0.25">
      <c r="A2322" t="str">
        <f>"20190303162259810"</f>
        <v>20190303162259810</v>
      </c>
      <c r="B2322" t="str">
        <f>"1551601379806416"</f>
        <v>1551601379806416</v>
      </c>
      <c r="C2322" t="s">
        <v>40</v>
      </c>
      <c r="D2322">
        <v>5.6023350000000001</v>
      </c>
      <c r="E2322">
        <v>0.52554080000000003</v>
      </c>
      <c r="F2322" t="s">
        <v>42</v>
      </c>
      <c r="G2322">
        <v>-391.82490000000001</v>
      </c>
      <c r="H2322">
        <v>0.80685850000000003</v>
      </c>
      <c r="I2322">
        <v>284.52210000000002</v>
      </c>
      <c r="J2322">
        <v>-391.31810000000002</v>
      </c>
      <c r="K2322">
        <v>1.120555</v>
      </c>
      <c r="L2322">
        <v>284.43950000000001</v>
      </c>
      <c r="M2322">
        <v>-0.9999055</v>
      </c>
      <c r="N2322">
        <v>-1.256723E-2</v>
      </c>
      <c r="O2322">
        <v>5.5960139999999998E-3</v>
      </c>
      <c r="P2322">
        <v>-0.98184479999999996</v>
      </c>
      <c r="Q2322">
        <v>0.1848273</v>
      </c>
      <c r="R2322">
        <v>4.2660179999999999E-2</v>
      </c>
      <c r="S2322">
        <v>-3.2615970000000001</v>
      </c>
      <c r="T2322">
        <v>-1.157135</v>
      </c>
      <c r="U2322">
        <v>0.31213380000000002</v>
      </c>
      <c r="V2322">
        <v>3.7219049999999997E-2</v>
      </c>
      <c r="W2322">
        <v>0.19714480000000001</v>
      </c>
      <c r="X2322">
        <v>0.97966770000000003</v>
      </c>
      <c r="Y2322">
        <v>8.4687520000000002E-2</v>
      </c>
      <c r="Z2322">
        <v>1.3242449999999999E-2</v>
      </c>
      <c r="AA2322">
        <v>0.99631950000000002</v>
      </c>
      <c r="AB2322">
        <v>37</v>
      </c>
      <c r="AC2322">
        <v>-0.50679999999999803</v>
      </c>
      <c r="AD2322">
        <v>-0.31369649999999899</v>
      </c>
      <c r="AE2322">
        <v>8.2600000000013496E-2</v>
      </c>
      <c r="AF2322">
        <v>5.80843959984194E-2</v>
      </c>
      <c r="AG2322">
        <v>-0.31369649999999899</v>
      </c>
      <c r="AH2322">
        <v>0.36939150440789598</v>
      </c>
      <c r="AI2322">
        <v>129.99385908549601</v>
      </c>
      <c r="AJ2322">
        <v>81.063785115995401</v>
      </c>
      <c r="AK2322">
        <v>0.48808746623887</v>
      </c>
      <c r="AL2322">
        <v>78.629956609755297</v>
      </c>
      <c r="AM2322">
        <v>87.824293494313807</v>
      </c>
      <c r="AN2322">
        <v>1.00000006613661</v>
      </c>
    </row>
    <row r="2323" spans="1:40" x14ac:dyDescent="0.25">
      <c r="A2323" t="str">
        <f>"20190303162259831"</f>
        <v>20190303162259831</v>
      </c>
      <c r="B2323" t="str">
        <f>"1551601379826912"</f>
        <v>1551601379826912</v>
      </c>
      <c r="C2323" t="s">
        <v>40</v>
      </c>
      <c r="D2323">
        <v>5.5976499999999998</v>
      </c>
      <c r="E2323">
        <v>0.5255531</v>
      </c>
      <c r="F2323" t="s">
        <v>42</v>
      </c>
      <c r="G2323">
        <v>-392.15699999999998</v>
      </c>
      <c r="H2323">
        <v>0.82141330000000001</v>
      </c>
      <c r="I2323">
        <v>284.52050000000003</v>
      </c>
      <c r="J2323">
        <v>-391.67649999999998</v>
      </c>
      <c r="K2323">
        <v>1.120565</v>
      </c>
      <c r="L2323">
        <v>284.44159999999999</v>
      </c>
      <c r="M2323">
        <v>-0.99990129999999999</v>
      </c>
      <c r="N2323">
        <v>-1.2848790000000001E-2</v>
      </c>
      <c r="O2323">
        <v>5.6878889999999998E-3</v>
      </c>
      <c r="P2323">
        <v>-0.98191269999999997</v>
      </c>
      <c r="Q2323">
        <v>0.18440870000000001</v>
      </c>
      <c r="R2323">
        <v>4.2904499999999998E-2</v>
      </c>
      <c r="S2323">
        <v>-3.2607729999999999</v>
      </c>
      <c r="T2323">
        <v>-1.162758</v>
      </c>
      <c r="U2323">
        <v>0.31289670000000003</v>
      </c>
      <c r="V2323">
        <v>3.7372500000000003E-2</v>
      </c>
      <c r="W2323">
        <v>0.1970026</v>
      </c>
      <c r="X2323">
        <v>0.97969039999999996</v>
      </c>
      <c r="Y2323">
        <v>8.4795620000000002E-2</v>
      </c>
      <c r="Z2323">
        <v>1.330596E-2</v>
      </c>
      <c r="AA2323">
        <v>0.99630949999999996</v>
      </c>
      <c r="AB2323">
        <v>37</v>
      </c>
      <c r="AC2323">
        <v>-0.48050000000000598</v>
      </c>
      <c r="AD2323">
        <v>-0.29915170000000002</v>
      </c>
      <c r="AE2323">
        <v>7.8900000000032805E-2</v>
      </c>
      <c r="AF2323">
        <v>5.5295171466653303E-2</v>
      </c>
      <c r="AG2323">
        <v>-0.29915170000000002</v>
      </c>
      <c r="AH2323">
        <v>0.34915714548479299</v>
      </c>
      <c r="AI2323">
        <v>130.23910795366501</v>
      </c>
      <c r="AJ2323">
        <v>81.000942500181907</v>
      </c>
      <c r="AK2323">
        <v>0.463098270179781</v>
      </c>
      <c r="AL2323">
        <v>78.638266332444203</v>
      </c>
      <c r="AM2323">
        <v>87.815382543565093</v>
      </c>
      <c r="AN2323">
        <v>1.00000000400758</v>
      </c>
    </row>
    <row r="2324" spans="1:40" x14ac:dyDescent="0.25">
      <c r="A2324" t="str">
        <f>"20190303162259854"</f>
        <v>20190303162259854</v>
      </c>
      <c r="B2324" t="str">
        <f>"1551601379846432"</f>
        <v>1551601379846432</v>
      </c>
      <c r="C2324" t="s">
        <v>40</v>
      </c>
      <c r="D2324">
        <v>5.6175079999999999</v>
      </c>
      <c r="E2324">
        <v>0.5255784</v>
      </c>
      <c r="F2324" t="s">
        <v>42</v>
      </c>
      <c r="G2324">
        <v>-392.48669999999998</v>
      </c>
      <c r="H2324">
        <v>0.83099539999999905</v>
      </c>
      <c r="I2324">
        <v>284.5197</v>
      </c>
      <c r="J2324">
        <v>-392.04160000000002</v>
      </c>
      <c r="K2324">
        <v>1.120582</v>
      </c>
      <c r="L2324">
        <v>284.44380000000001</v>
      </c>
      <c r="M2324">
        <v>-0.99989740000000005</v>
      </c>
      <c r="N2324">
        <v>-1.310045E-2</v>
      </c>
      <c r="O2324">
        <v>5.7815820000000004E-3</v>
      </c>
      <c r="P2324">
        <v>-0.9819</v>
      </c>
      <c r="Q2324">
        <v>0.18435480000000001</v>
      </c>
      <c r="R2324">
        <v>4.342464E-2</v>
      </c>
      <c r="S2324">
        <v>-3.2604060000000001</v>
      </c>
      <c r="T2324">
        <v>-1.165222</v>
      </c>
      <c r="U2324">
        <v>0.31332399999999999</v>
      </c>
      <c r="V2324">
        <v>3.7800670000000001E-2</v>
      </c>
      <c r="W2324">
        <v>0.19719529999999999</v>
      </c>
      <c r="X2324">
        <v>0.97963520000000004</v>
      </c>
      <c r="Y2324">
        <v>8.4820259999999995E-2</v>
      </c>
      <c r="Z2324">
        <v>1.331823E-2</v>
      </c>
      <c r="AA2324">
        <v>0.99630730000000001</v>
      </c>
      <c r="AB2324">
        <v>36</v>
      </c>
      <c r="AC2324">
        <v>-0.44509999999996802</v>
      </c>
      <c r="AD2324">
        <v>-0.28958659999999897</v>
      </c>
      <c r="AE2324">
        <v>7.5899999999990003E-2</v>
      </c>
      <c r="AF2324">
        <v>5.1954527287542997E-2</v>
      </c>
      <c r="AG2324">
        <v>-0.28958659999999897</v>
      </c>
      <c r="AH2324">
        <v>0.31568133461244302</v>
      </c>
      <c r="AI2324">
        <v>132.15018340782001</v>
      </c>
      <c r="AJ2324">
        <v>80.654097134023203</v>
      </c>
      <c r="AK2324">
        <v>0.431525638668116</v>
      </c>
      <c r="AL2324">
        <v>78.627004485298102</v>
      </c>
      <c r="AM2324">
        <v>87.790254060408898</v>
      </c>
      <c r="AN2324">
        <v>1.00000000103678</v>
      </c>
    </row>
    <row r="2325" spans="1:40" x14ac:dyDescent="0.25">
      <c r="A2325" t="str">
        <f>"20190303162259876"</f>
        <v>20190303162259876</v>
      </c>
      <c r="B2325" t="str">
        <f>"1551601379866458"</f>
        <v>1551601379866458</v>
      </c>
      <c r="C2325" t="s">
        <v>40</v>
      </c>
      <c r="D2325">
        <v>5.6447570000000002</v>
      </c>
      <c r="E2325">
        <v>0.52561279999999999</v>
      </c>
      <c r="F2325" t="s">
        <v>42</v>
      </c>
      <c r="G2325">
        <v>-392.81700000000001</v>
      </c>
      <c r="H2325">
        <v>0.84318819999999906</v>
      </c>
      <c r="I2325">
        <v>284.51909999999998</v>
      </c>
      <c r="J2325">
        <v>-392.40109999999999</v>
      </c>
      <c r="K2325">
        <v>1.1205889999999901</v>
      </c>
      <c r="L2325">
        <v>284.44600000000003</v>
      </c>
      <c r="M2325">
        <v>-0.99989419999999996</v>
      </c>
      <c r="N2325">
        <v>-1.3317209999999999E-2</v>
      </c>
      <c r="O2325">
        <v>5.8744519999999996E-3</v>
      </c>
      <c r="P2325">
        <v>-0.98185579999999995</v>
      </c>
      <c r="Q2325">
        <v>0.1844509</v>
      </c>
      <c r="R2325">
        <v>4.401559E-2</v>
      </c>
      <c r="S2325">
        <v>-3.260345</v>
      </c>
      <c r="T2325">
        <v>-1.166344</v>
      </c>
      <c r="U2325">
        <v>0.31494139999999998</v>
      </c>
      <c r="V2325">
        <v>3.8300239999999999E-2</v>
      </c>
      <c r="W2325">
        <v>0.19750290000000001</v>
      </c>
      <c r="X2325">
        <v>0.97955380000000003</v>
      </c>
      <c r="Y2325">
        <v>8.5187990000000005E-2</v>
      </c>
      <c r="Z2325">
        <v>1.3375669999999999E-2</v>
      </c>
      <c r="AA2325">
        <v>0.99627509999999997</v>
      </c>
      <c r="AB2325">
        <v>36</v>
      </c>
      <c r="AC2325">
        <v>-0.41589999999996502</v>
      </c>
      <c r="AD2325">
        <v>-0.277400799999999</v>
      </c>
      <c r="AE2325">
        <v>7.3100000000010795E-2</v>
      </c>
      <c r="AF2325">
        <v>4.9356070507334399E-2</v>
      </c>
      <c r="AG2325">
        <v>-0.277400799999999</v>
      </c>
      <c r="AH2325">
        <v>0.29082066086074698</v>
      </c>
      <c r="AI2325">
        <v>133.240946629408</v>
      </c>
      <c r="AJ2325">
        <v>80.367932913324495</v>
      </c>
      <c r="AK2325">
        <v>0.404924539044062</v>
      </c>
      <c r="AL2325">
        <v>78.609026445252994</v>
      </c>
      <c r="AM2325">
        <v>87.760893935298299</v>
      </c>
      <c r="AN2325">
        <v>0.99999997549345299</v>
      </c>
    </row>
    <row r="2326" spans="1:40" x14ac:dyDescent="0.25">
      <c r="A2326" t="str">
        <f>"20190303162259899"</f>
        <v>20190303162259899</v>
      </c>
      <c r="B2326" t="str">
        <f>"1551601379886954"</f>
        <v>1551601379886954</v>
      </c>
      <c r="C2326" t="s">
        <v>40</v>
      </c>
      <c r="D2326">
        <v>5.6416579999999996</v>
      </c>
      <c r="E2326">
        <v>0.52565119999999999</v>
      </c>
      <c r="F2326" t="s">
        <v>42</v>
      </c>
      <c r="G2326">
        <v>-393.14640000000003</v>
      </c>
      <c r="H2326">
        <v>0.85380069999999997</v>
      </c>
      <c r="I2326">
        <v>284.51900000000001</v>
      </c>
      <c r="J2326">
        <v>-392.77210000000002</v>
      </c>
      <c r="K2326">
        <v>1.1205989999999999</v>
      </c>
      <c r="L2326">
        <v>284.44819999999999</v>
      </c>
      <c r="M2326">
        <v>-0.99989090000000003</v>
      </c>
      <c r="N2326">
        <v>-1.351226E-2</v>
      </c>
      <c r="O2326">
        <v>5.970309E-3</v>
      </c>
      <c r="P2326">
        <v>-0.98190270000000002</v>
      </c>
      <c r="Q2326">
        <v>0.18408169999999999</v>
      </c>
      <c r="R2326">
        <v>4.4507329999999998E-2</v>
      </c>
      <c r="S2326">
        <v>-3.260529</v>
      </c>
      <c r="T2326">
        <v>-1.167179</v>
      </c>
      <c r="U2326">
        <v>0.31716919999999998</v>
      </c>
      <c r="V2326">
        <v>3.8697370000000002E-2</v>
      </c>
      <c r="W2326">
        <v>0.19732569999999999</v>
      </c>
      <c r="X2326">
        <v>0.9795739</v>
      </c>
      <c r="Y2326">
        <v>8.5723250000000001E-2</v>
      </c>
      <c r="Z2326">
        <v>1.3457439999999999E-2</v>
      </c>
      <c r="AA2326">
        <v>0.99622809999999995</v>
      </c>
      <c r="AB2326">
        <v>36</v>
      </c>
      <c r="AC2326">
        <v>-0.37430000000000502</v>
      </c>
      <c r="AD2326">
        <v>-0.26679829999999899</v>
      </c>
      <c r="AE2326">
        <v>7.0800000000019694E-2</v>
      </c>
      <c r="AF2326">
        <v>4.5999857566450503E-2</v>
      </c>
      <c r="AG2326">
        <v>-0.26679829999999899</v>
      </c>
      <c r="AH2326">
        <v>0.25139904289353299</v>
      </c>
      <c r="AI2326">
        <v>136.231066764709</v>
      </c>
      <c r="AJ2326">
        <v>79.630980850217298</v>
      </c>
      <c r="AK2326">
        <v>0.36945743807211101</v>
      </c>
      <c r="AL2326">
        <v>78.6193830336384</v>
      </c>
      <c r="AM2326">
        <v>87.737747319583306</v>
      </c>
      <c r="AN2326">
        <v>0.99999997194330803</v>
      </c>
    </row>
    <row r="2327" spans="1:40" x14ac:dyDescent="0.25">
      <c r="A2327" t="str">
        <f>"20190303162259922"</f>
        <v>20190303162259922</v>
      </c>
      <c r="B2327" t="str">
        <f>"1551601379917210"</f>
        <v>1551601379917210</v>
      </c>
      <c r="C2327" t="s">
        <v>40</v>
      </c>
      <c r="D2327">
        <v>5.6458649999999997</v>
      </c>
      <c r="E2327">
        <v>0.52568190000000004</v>
      </c>
      <c r="F2327" t="s">
        <v>42</v>
      </c>
      <c r="G2327">
        <v>-393.47669999999999</v>
      </c>
      <c r="H2327">
        <v>0.86791469999999904</v>
      </c>
      <c r="I2327">
        <v>284.51749999999998</v>
      </c>
      <c r="J2327">
        <v>-393.13569999999999</v>
      </c>
      <c r="K2327">
        <v>1.120608</v>
      </c>
      <c r="L2327">
        <v>284.45049999999998</v>
      </c>
      <c r="M2327">
        <v>-0.9998882</v>
      </c>
      <c r="N2327">
        <v>-1.3678050000000001E-2</v>
      </c>
      <c r="O2327">
        <v>6.0641389999999996E-3</v>
      </c>
      <c r="P2327">
        <v>-0.98191039999999996</v>
      </c>
      <c r="Q2327">
        <v>0.18396100000000001</v>
      </c>
      <c r="R2327">
        <v>4.483724E-2</v>
      </c>
      <c r="S2327">
        <v>-3.2600099999999999</v>
      </c>
      <c r="T2327">
        <v>-1.16906</v>
      </c>
      <c r="U2327">
        <v>0.31945800000000002</v>
      </c>
      <c r="V2327">
        <v>3.8934990000000003E-2</v>
      </c>
      <c r="W2327">
        <v>0.1973673</v>
      </c>
      <c r="X2327">
        <v>0.97955610000000004</v>
      </c>
      <c r="Y2327">
        <v>8.628711E-2</v>
      </c>
      <c r="Z2327">
        <v>1.355723E-2</v>
      </c>
      <c r="AA2327">
        <v>0.99617809999999996</v>
      </c>
      <c r="AB2327">
        <v>36</v>
      </c>
      <c r="AC2327">
        <v>-0.34100000000000802</v>
      </c>
      <c r="AD2327">
        <v>-0.25269330000000001</v>
      </c>
      <c r="AE2327">
        <v>6.7000000000007207E-2</v>
      </c>
      <c r="AF2327">
        <v>4.2473812265017202E-2</v>
      </c>
      <c r="AG2327">
        <v>-0.25269330000000001</v>
      </c>
      <c r="AH2327">
        <v>0.223323658960076</v>
      </c>
      <c r="AI2327">
        <v>138.02496037441901</v>
      </c>
      <c r="AJ2327">
        <v>79.231554712607206</v>
      </c>
      <c r="AK2327">
        <v>0.33989908097041099</v>
      </c>
      <c r="AL2327">
        <v>78.616951678085897</v>
      </c>
      <c r="AM2327">
        <v>87.723829275925098</v>
      </c>
      <c r="AN2327">
        <v>0.99999996880139896</v>
      </c>
    </row>
    <row r="2328" spans="1:40" x14ac:dyDescent="0.25">
      <c r="A2328" t="str">
        <f>"20190303162259943"</f>
        <v>20190303162259943</v>
      </c>
      <c r="B2328" t="str">
        <f>"1551601379936730"</f>
        <v>1551601379936730</v>
      </c>
      <c r="C2328" t="s">
        <v>40</v>
      </c>
      <c r="D2328">
        <v>5.6548800000000004</v>
      </c>
      <c r="E2328">
        <v>0.52570609999999995</v>
      </c>
      <c r="F2328" t="s">
        <v>42</v>
      </c>
      <c r="G2328">
        <v>-393.80579999999998</v>
      </c>
      <c r="H2328">
        <v>0.87975419999999904</v>
      </c>
      <c r="I2328">
        <v>284.51650000000001</v>
      </c>
      <c r="J2328">
        <v>-393.48970000000003</v>
      </c>
      <c r="K2328">
        <v>1.120617</v>
      </c>
      <c r="L2328">
        <v>284.45280000000002</v>
      </c>
      <c r="M2328">
        <v>-0.99988560000000004</v>
      </c>
      <c r="N2328">
        <v>-1.3817350000000001E-2</v>
      </c>
      <c r="O2328">
        <v>6.1551610000000001E-3</v>
      </c>
      <c r="P2328">
        <v>-0.98189150000000003</v>
      </c>
      <c r="Q2328">
        <v>0.18396660000000001</v>
      </c>
      <c r="R2328">
        <v>4.5226580000000002E-2</v>
      </c>
      <c r="S2328">
        <v>-3.2601619999999998</v>
      </c>
      <c r="T2328">
        <v>-1.1716549999999999</v>
      </c>
      <c r="U2328">
        <v>0.32037349999999998</v>
      </c>
      <c r="V2328">
        <v>3.9235199999999998E-2</v>
      </c>
      <c r="W2328">
        <v>0.19750889999999999</v>
      </c>
      <c r="X2328">
        <v>0.97951560000000004</v>
      </c>
      <c r="Y2328">
        <v>8.6440500000000003E-2</v>
      </c>
      <c r="Z2328">
        <v>1.358785E-2</v>
      </c>
      <c r="AA2328">
        <v>0.9961643</v>
      </c>
      <c r="AB2328">
        <v>36</v>
      </c>
      <c r="AC2328">
        <v>-0.31609999999994898</v>
      </c>
      <c r="AD2328">
        <v>-0.24086279999999999</v>
      </c>
      <c r="AE2328">
        <v>6.3699999999982895E-2</v>
      </c>
      <c r="AF2328">
        <v>3.9637079809016797E-2</v>
      </c>
      <c r="AG2328">
        <v>-0.24086279999999999</v>
      </c>
      <c r="AH2328">
        <v>0.203141450743584</v>
      </c>
      <c r="AI2328">
        <v>139.327678666997</v>
      </c>
      <c r="AJ2328">
        <v>78.959134927877002</v>
      </c>
      <c r="AK2328">
        <v>0.31757272478888099</v>
      </c>
      <c r="AL2328">
        <v>78.608675913679306</v>
      </c>
      <c r="AM2328">
        <v>87.706202695876499</v>
      </c>
      <c r="AN2328">
        <v>0.99999998857080497</v>
      </c>
    </row>
    <row r="2329" spans="1:40" x14ac:dyDescent="0.25">
      <c r="A2329" t="str">
        <f>"20190303162259966"</f>
        <v>20190303162259966</v>
      </c>
      <c r="B2329" t="str">
        <f>"1551601379957226"</f>
        <v>1551601379957226</v>
      </c>
      <c r="C2329" t="s">
        <v>40</v>
      </c>
      <c r="D2329">
        <v>5.6719580000000001</v>
      </c>
      <c r="E2329">
        <v>0.52570839999999996</v>
      </c>
      <c r="F2329" t="s">
        <v>42</v>
      </c>
      <c r="G2329">
        <v>-394.41649999999998</v>
      </c>
      <c r="H2329">
        <v>0.78720409999999996</v>
      </c>
      <c r="I2329">
        <v>284.54450000000003</v>
      </c>
      <c r="J2329">
        <v>-393.84589999999997</v>
      </c>
      <c r="K2329">
        <v>1.120628</v>
      </c>
      <c r="L2329">
        <v>284.45499999999998</v>
      </c>
      <c r="M2329">
        <v>-0.99988330000000003</v>
      </c>
      <c r="N2329">
        <v>-1.393785E-2</v>
      </c>
      <c r="O2329">
        <v>6.2470709999999999E-3</v>
      </c>
      <c r="P2329">
        <v>-0.98184450000000001</v>
      </c>
      <c r="Q2329">
        <v>0.18426490000000001</v>
      </c>
      <c r="R2329">
        <v>4.5030340000000002E-2</v>
      </c>
      <c r="S2329">
        <v>-3.2602229999999999</v>
      </c>
      <c r="T2329">
        <v>-1.1726890000000001</v>
      </c>
      <c r="U2329">
        <v>0.32180789999999998</v>
      </c>
      <c r="V2329">
        <v>3.8948940000000001E-2</v>
      </c>
      <c r="W2329">
        <v>0.19792489999999999</v>
      </c>
      <c r="X2329">
        <v>0.97944310000000001</v>
      </c>
      <c r="Y2329">
        <v>8.6755579999999999E-2</v>
      </c>
      <c r="Z2329">
        <v>1.363058E-2</v>
      </c>
      <c r="AA2329">
        <v>0.99613640000000003</v>
      </c>
      <c r="AB2329">
        <v>36</v>
      </c>
      <c r="AC2329">
        <v>-0.57060000000001299</v>
      </c>
      <c r="AD2329">
        <v>-0.3334239</v>
      </c>
      <c r="AE2329">
        <v>8.95000000000436E-2</v>
      </c>
      <c r="AF2329">
        <v>6.4453865986558306E-2</v>
      </c>
      <c r="AG2329">
        <v>-0.3334239</v>
      </c>
      <c r="AH2329">
        <v>0.42838674431614199</v>
      </c>
      <c r="AI2329">
        <v>127.58410060762201</v>
      </c>
      <c r="AJ2329">
        <v>81.443617445176798</v>
      </c>
      <c r="AK2329">
        <v>0.54666351683426495</v>
      </c>
      <c r="AL2329">
        <v>78.584361418926505</v>
      </c>
      <c r="AM2329">
        <v>87.722752182897196</v>
      </c>
      <c r="AN2329">
        <v>1.00000003605237</v>
      </c>
    </row>
    <row r="2330" spans="1:40" x14ac:dyDescent="0.25">
      <c r="A2330" t="str">
        <f>"20190303162300000"</f>
        <v>20190303162300000</v>
      </c>
      <c r="B2330" t="str">
        <f>"1551601379997242"</f>
        <v>1551601379997242</v>
      </c>
      <c r="C2330" t="s">
        <v>40</v>
      </c>
      <c r="D2330">
        <v>5.6963599999999897</v>
      </c>
      <c r="E2330">
        <v>0.52571449999999997</v>
      </c>
      <c r="F2330" t="s">
        <v>42</v>
      </c>
      <c r="G2330">
        <v>-394.7439</v>
      </c>
      <c r="H2330">
        <v>0.79756629999999995</v>
      </c>
      <c r="I2330">
        <v>284.54379999999998</v>
      </c>
      <c r="J2330">
        <v>-394.40940000000001</v>
      </c>
      <c r="K2330">
        <v>1.1206309999999999</v>
      </c>
      <c r="L2330">
        <v>284.45870000000002</v>
      </c>
      <c r="M2330">
        <v>-0.99988030000000006</v>
      </c>
      <c r="N2330">
        <v>-1.409652E-2</v>
      </c>
      <c r="O2330">
        <v>6.3929980000000004E-3</v>
      </c>
      <c r="P2330">
        <v>-0.98187179999999996</v>
      </c>
      <c r="Q2330">
        <v>0.1842684</v>
      </c>
      <c r="R2330">
        <v>4.442256E-2</v>
      </c>
      <c r="S2330">
        <v>-3.2609249999999999</v>
      </c>
      <c r="T2330">
        <v>-1.172984</v>
      </c>
      <c r="U2330">
        <v>0.32022089999999998</v>
      </c>
      <c r="V2330">
        <v>3.8197330000000002E-2</v>
      </c>
      <c r="W2330">
        <v>0.19808429999999999</v>
      </c>
      <c r="X2330">
        <v>0.97944050000000005</v>
      </c>
      <c r="Y2330">
        <v>8.6153019999999997E-2</v>
      </c>
      <c r="Z2330">
        <v>1.3481369999999999E-2</v>
      </c>
      <c r="AA2330">
        <v>0.99619069999999998</v>
      </c>
      <c r="AB2330">
        <v>36</v>
      </c>
      <c r="AC2330">
        <v>-0.33449999999999103</v>
      </c>
      <c r="AD2330">
        <v>-0.32306469999999898</v>
      </c>
      <c r="AE2330">
        <v>8.5099999999954407E-2</v>
      </c>
      <c r="AF2330">
        <v>4.4219365432518198E-2</v>
      </c>
      <c r="AG2330">
        <v>-0.32306469999999898</v>
      </c>
      <c r="AH2330">
        <v>0.17858254841801899</v>
      </c>
      <c r="AI2330">
        <v>150.33977149346501</v>
      </c>
      <c r="AJ2330">
        <v>76.092547202650806</v>
      </c>
      <c r="AK2330">
        <v>0.37177665239336699</v>
      </c>
      <c r="AL2330">
        <v>78.575044268515398</v>
      </c>
      <c r="AM2330">
        <v>87.766646094655897</v>
      </c>
      <c r="AN2330">
        <v>1.0000000594829299</v>
      </c>
    </row>
    <row r="2331" spans="1:40" x14ac:dyDescent="0.25">
      <c r="A2331" t="str">
        <f>"20190303162300022"</f>
        <v>20190303162300022</v>
      </c>
      <c r="B2331" t="str">
        <f>"1551601380016763"</f>
        <v>1551601380016763</v>
      </c>
      <c r="C2331" t="s">
        <v>40</v>
      </c>
      <c r="D2331">
        <v>5.6986929999999996</v>
      </c>
      <c r="E2331">
        <v>0.52571449999999997</v>
      </c>
      <c r="F2331" t="s">
        <v>42</v>
      </c>
      <c r="G2331">
        <v>-395.09690000000001</v>
      </c>
      <c r="H2331">
        <v>0.87305010000000005</v>
      </c>
      <c r="I2331">
        <v>284.52600000000001</v>
      </c>
      <c r="J2331">
        <v>-394.76609999999999</v>
      </c>
      <c r="K2331">
        <v>1.1206400000000001</v>
      </c>
      <c r="L2331">
        <v>284.46109999999999</v>
      </c>
      <c r="M2331">
        <v>-0.99987839999999995</v>
      </c>
      <c r="N2331">
        <v>-1.417973E-2</v>
      </c>
      <c r="O2331">
        <v>6.4856890000000002E-3</v>
      </c>
      <c r="P2331">
        <v>-0.981877</v>
      </c>
      <c r="Q2331">
        <v>0.18438389999999999</v>
      </c>
      <c r="R2331">
        <v>4.3821359999999997E-2</v>
      </c>
      <c r="S2331">
        <v>-3.2613829999999999</v>
      </c>
      <c r="T2331">
        <v>-1.174407</v>
      </c>
      <c r="U2331">
        <v>0.3188782</v>
      </c>
      <c r="V2331">
        <v>3.7504900000000001E-2</v>
      </c>
      <c r="W2331">
        <v>0.1982815</v>
      </c>
      <c r="X2331">
        <v>0.9794273</v>
      </c>
      <c r="Y2331">
        <v>8.5665439999999995E-2</v>
      </c>
      <c r="Z2331">
        <v>1.3379230000000001E-2</v>
      </c>
      <c r="AA2331">
        <v>0.99623410000000001</v>
      </c>
      <c r="AB2331">
        <v>36</v>
      </c>
      <c r="AC2331">
        <v>-0.33080000000000997</v>
      </c>
      <c r="AD2331">
        <v>-0.247589899999999</v>
      </c>
      <c r="AE2331">
        <v>6.4900000000022801E-2</v>
      </c>
      <c r="AF2331">
        <v>4.0763855905290698E-2</v>
      </c>
      <c r="AG2331">
        <v>-0.247589899999999</v>
      </c>
      <c r="AH2331">
        <v>0.215154176957706</v>
      </c>
      <c r="AI2331">
        <v>138.508734464871</v>
      </c>
      <c r="AJ2331">
        <v>79.271705921289296</v>
      </c>
      <c r="AK2331">
        <v>0.33053558112951298</v>
      </c>
      <c r="AL2331">
        <v>78.563516246377702</v>
      </c>
      <c r="AM2331">
        <v>87.8070622641509</v>
      </c>
      <c r="AN2331">
        <v>1.0000000033757701</v>
      </c>
    </row>
    <row r="2332" spans="1:40" x14ac:dyDescent="0.25">
      <c r="A2332" t="str">
        <f>"20190303162300045"</f>
        <v>20190303162300045</v>
      </c>
      <c r="B2332" t="str">
        <f>"1551601380037258"</f>
        <v>1551601380037258</v>
      </c>
      <c r="C2332" t="s">
        <v>40</v>
      </c>
      <c r="D2332">
        <v>5.6909239999999999</v>
      </c>
      <c r="E2332">
        <v>0.52569469999999996</v>
      </c>
      <c r="F2332" t="s">
        <v>42</v>
      </c>
      <c r="G2332">
        <v>-395.4237</v>
      </c>
      <c r="H2332">
        <v>0.883768199999999</v>
      </c>
      <c r="I2332">
        <v>284.52550000000002</v>
      </c>
      <c r="J2332">
        <v>-395.11660000000001</v>
      </c>
      <c r="K2332">
        <v>1.120654</v>
      </c>
      <c r="L2332">
        <v>284.46339999999998</v>
      </c>
      <c r="M2332">
        <v>-0.99987689999999996</v>
      </c>
      <c r="N2332">
        <v>-1.424948E-2</v>
      </c>
      <c r="O2332">
        <v>6.5767430000000003E-3</v>
      </c>
      <c r="P2332">
        <v>-0.9818095</v>
      </c>
      <c r="Q2332">
        <v>0.18467610000000001</v>
      </c>
      <c r="R2332">
        <v>4.4100140000000003E-2</v>
      </c>
      <c r="S2332">
        <v>-3.2618100000000001</v>
      </c>
      <c r="T2332">
        <v>-1.174803</v>
      </c>
      <c r="U2332">
        <v>0.3175964</v>
      </c>
      <c r="V2332">
        <v>3.769459E-2</v>
      </c>
      <c r="W2332">
        <v>0.1986414</v>
      </c>
      <c r="X2332">
        <v>0.97934710000000003</v>
      </c>
      <c r="Y2332">
        <v>8.5205890000000006E-2</v>
      </c>
      <c r="Z2332">
        <v>1.327153E-2</v>
      </c>
      <c r="AA2332">
        <v>0.99627489999999996</v>
      </c>
      <c r="AB2332">
        <v>36</v>
      </c>
      <c r="AC2332">
        <v>-0.30709999999999099</v>
      </c>
      <c r="AD2332">
        <v>-0.23688580000000001</v>
      </c>
      <c r="AE2332">
        <v>6.2100000000043502E-2</v>
      </c>
      <c r="AF2332">
        <v>3.8227075382107303E-2</v>
      </c>
      <c r="AG2332">
        <v>-0.23688580000000001</v>
      </c>
      <c r="AH2332">
        <v>0.19565816816982901</v>
      </c>
      <c r="AI2332">
        <v>139.916820635401</v>
      </c>
      <c r="AJ2332">
        <v>78.944991848196807</v>
      </c>
      <c r="AK2332">
        <v>0.30960993250456698</v>
      </c>
      <c r="AL2332">
        <v>78.542477133215797</v>
      </c>
      <c r="AM2332">
        <v>87.795801556073997</v>
      </c>
      <c r="AN2332">
        <v>1.00000001509381</v>
      </c>
    </row>
    <row r="2333" spans="1:40" x14ac:dyDescent="0.25">
      <c r="A2333" t="str">
        <f>"20190303162300066"</f>
        <v>20190303162300066</v>
      </c>
      <c r="B2333" t="str">
        <f>"1551601380056779"</f>
        <v>1551601380056779</v>
      </c>
      <c r="C2333" t="s">
        <v>40</v>
      </c>
      <c r="D2333">
        <v>5.7038190000000002</v>
      </c>
      <c r="E2333">
        <v>0.52568729999999997</v>
      </c>
      <c r="F2333" t="s">
        <v>42</v>
      </c>
      <c r="G2333">
        <v>-396.0308</v>
      </c>
      <c r="H2333">
        <v>0.79142080000000004</v>
      </c>
      <c r="I2333">
        <v>284.55309999999997</v>
      </c>
      <c r="J2333">
        <v>-395.47179999999997</v>
      </c>
      <c r="K2333">
        <v>1.1206659999999999</v>
      </c>
      <c r="L2333">
        <v>284.46589999999998</v>
      </c>
      <c r="M2333">
        <v>-0.99987539999999997</v>
      </c>
      <c r="N2333">
        <v>-1.431023E-2</v>
      </c>
      <c r="O2333">
        <v>6.6682219999999997E-3</v>
      </c>
      <c r="P2333">
        <v>-0.9818576</v>
      </c>
      <c r="Q2333">
        <v>0.18437390000000001</v>
      </c>
      <c r="R2333">
        <v>4.4292900000000003E-2</v>
      </c>
      <c r="S2333">
        <v>-3.2622070000000001</v>
      </c>
      <c r="T2333">
        <v>-1.174652</v>
      </c>
      <c r="U2333">
        <v>0.3183899</v>
      </c>
      <c r="V2333">
        <v>3.7797150000000002E-2</v>
      </c>
      <c r="W2333">
        <v>0.19839979999999999</v>
      </c>
      <c r="X2333">
        <v>0.97939209999999999</v>
      </c>
      <c r="Y2333">
        <v>8.534108E-2</v>
      </c>
      <c r="Z2333">
        <v>1.326547E-2</v>
      </c>
      <c r="AA2333">
        <v>0.99626349999999997</v>
      </c>
      <c r="AB2333">
        <v>36</v>
      </c>
      <c r="AC2333">
        <v>-0.55900000000002503</v>
      </c>
      <c r="AD2333">
        <v>-0.32924519999999902</v>
      </c>
      <c r="AE2333">
        <v>8.7199999999995698E-2</v>
      </c>
      <c r="AF2333">
        <v>6.2353145735329601E-2</v>
      </c>
      <c r="AG2333">
        <v>-0.32924519999999902</v>
      </c>
      <c r="AH2333">
        <v>0.41800447642977101</v>
      </c>
      <c r="AI2333">
        <v>127.920012683976</v>
      </c>
      <c r="AJ2333">
        <v>81.515827126980199</v>
      </c>
      <c r="AK2333">
        <v>0.53574066377442198</v>
      </c>
      <c r="AL2333">
        <v>78.556600673962294</v>
      </c>
      <c r="AM2333">
        <v>87.789911730382002</v>
      </c>
      <c r="AN2333">
        <v>0.99999999536528605</v>
      </c>
    </row>
    <row r="2334" spans="1:40" x14ac:dyDescent="0.25">
      <c r="A2334" t="str">
        <f>"20190303162300088"</f>
        <v>20190303162300088</v>
      </c>
      <c r="B2334" t="str">
        <f>"1551601380076298"</f>
        <v>1551601380076298</v>
      </c>
      <c r="C2334" t="s">
        <v>40</v>
      </c>
      <c r="D2334">
        <v>5.7237410000000004</v>
      </c>
      <c r="E2334">
        <v>0.52566809999999997</v>
      </c>
      <c r="F2334" t="s">
        <v>42</v>
      </c>
      <c r="G2334">
        <v>-396.35629999999998</v>
      </c>
      <c r="H2334">
        <v>0.80154419999999904</v>
      </c>
      <c r="I2334">
        <v>284.55149999999998</v>
      </c>
      <c r="J2334">
        <v>-395.83670000000001</v>
      </c>
      <c r="K2334">
        <v>1.1206700000000001</v>
      </c>
      <c r="L2334">
        <v>284.46839999999997</v>
      </c>
      <c r="M2334">
        <v>-0.99987409999999999</v>
      </c>
      <c r="N2334">
        <v>-1.436345E-2</v>
      </c>
      <c r="O2334">
        <v>6.7629630000000003E-3</v>
      </c>
      <c r="P2334">
        <v>-0.98190750000000004</v>
      </c>
      <c r="Q2334">
        <v>0.1839702</v>
      </c>
      <c r="R2334">
        <v>4.4867810000000001E-2</v>
      </c>
      <c r="S2334">
        <v>-3.2622680000000002</v>
      </c>
      <c r="T2334">
        <v>-1.1770370000000001</v>
      </c>
      <c r="U2334">
        <v>0.31533810000000001</v>
      </c>
      <c r="V2334">
        <v>3.827858E-2</v>
      </c>
      <c r="W2334">
        <v>0.19804830000000001</v>
      </c>
      <c r="X2334">
        <v>0.9794446</v>
      </c>
      <c r="Y2334">
        <v>8.4369230000000003E-2</v>
      </c>
      <c r="Z2334">
        <v>1.3083910000000001E-2</v>
      </c>
      <c r="AA2334">
        <v>0.99634869999999998</v>
      </c>
      <c r="AB2334">
        <v>36</v>
      </c>
      <c r="AC2334">
        <v>-0.51959999999996798</v>
      </c>
      <c r="AD2334">
        <v>-0.31912580000000002</v>
      </c>
      <c r="AE2334">
        <v>8.31000000000017E-2</v>
      </c>
      <c r="AF2334">
        <v>5.8183539563368802E-2</v>
      </c>
      <c r="AG2334">
        <v>-0.31912580000000002</v>
      </c>
      <c r="AH2334">
        <v>0.38028110906011198</v>
      </c>
      <c r="AI2334">
        <v>129.676748185831</v>
      </c>
      <c r="AJ2334">
        <v>81.301125836465303</v>
      </c>
      <c r="AK2334">
        <v>0.49984029690467202</v>
      </c>
      <c r="AL2334">
        <v>78.577148515531107</v>
      </c>
      <c r="AM2334">
        <v>87.761909685854903</v>
      </c>
      <c r="AN2334">
        <v>1.0000000516444301</v>
      </c>
    </row>
    <row r="2335" spans="1:40" x14ac:dyDescent="0.25">
      <c r="A2335" t="str">
        <f>"20190303162300111"</f>
        <v>20190303162300111</v>
      </c>
      <c r="B2335" t="str">
        <f>"1551601380106555"</f>
        <v>1551601380106555</v>
      </c>
      <c r="C2335" t="s">
        <v>40</v>
      </c>
      <c r="D2335">
        <v>5.7384380000000004</v>
      </c>
      <c r="E2335">
        <v>0.52564250000000001</v>
      </c>
      <c r="F2335" t="s">
        <v>42</v>
      </c>
      <c r="G2335">
        <v>-396.68270000000001</v>
      </c>
      <c r="H2335">
        <v>0.81486320000000001</v>
      </c>
      <c r="I2335">
        <v>284.55130000000003</v>
      </c>
      <c r="J2335">
        <v>-396.19459999999998</v>
      </c>
      <c r="K2335">
        <v>1.120676</v>
      </c>
      <c r="L2335">
        <v>284.47089999999997</v>
      </c>
      <c r="M2335">
        <v>-0.99987280000000001</v>
      </c>
      <c r="N2335">
        <v>-1.4407970000000001E-2</v>
      </c>
      <c r="O2335">
        <v>6.8556809999999998E-3</v>
      </c>
      <c r="P2335">
        <v>-0.98193229999999998</v>
      </c>
      <c r="Q2335">
        <v>0.1836574</v>
      </c>
      <c r="R2335">
        <v>4.5597430000000001E-2</v>
      </c>
      <c r="S2335">
        <v>-3.2616580000000002</v>
      </c>
      <c r="T2335">
        <v>-1.1789609999999999</v>
      </c>
      <c r="U2335">
        <v>0.31771850000000001</v>
      </c>
      <c r="V2335">
        <v>3.891667E-2</v>
      </c>
      <c r="W2335">
        <v>0.19778000000000001</v>
      </c>
      <c r="X2335">
        <v>0.97947360000000006</v>
      </c>
      <c r="Y2335">
        <v>8.4963510000000006E-2</v>
      </c>
      <c r="Z2335">
        <v>1.318419E-2</v>
      </c>
      <c r="AA2335">
        <v>0.99629679999999998</v>
      </c>
      <c r="AB2335">
        <v>36</v>
      </c>
      <c r="AC2335">
        <v>-0.48810000000003101</v>
      </c>
      <c r="AD2335">
        <v>-0.3058128</v>
      </c>
      <c r="AE2335">
        <v>8.0400000000054206E-2</v>
      </c>
      <c r="AF2335">
        <v>5.5746391081665903E-2</v>
      </c>
      <c r="AG2335">
        <v>-0.3058128</v>
      </c>
      <c r="AH2335">
        <v>0.35352851630971699</v>
      </c>
      <c r="AI2335">
        <v>130.51296726882299</v>
      </c>
      <c r="AJ2335">
        <v>81.039059435694597</v>
      </c>
      <c r="AK2335">
        <v>0.47075634951280299</v>
      </c>
      <c r="AL2335">
        <v>78.592830407750597</v>
      </c>
      <c r="AM2335">
        <v>87.7247077242301</v>
      </c>
      <c r="AN2335">
        <v>0.99999998435042403</v>
      </c>
    </row>
    <row r="2336" spans="1:40" x14ac:dyDescent="0.25">
      <c r="A2336" t="str">
        <f>"20190303162300133"</f>
        <v>20190303162300133</v>
      </c>
      <c r="B2336" t="str">
        <f>"1551601380127050"</f>
        <v>1551601380127050</v>
      </c>
      <c r="C2336" t="s">
        <v>40</v>
      </c>
      <c r="D2336">
        <v>5.7369139999999996</v>
      </c>
      <c r="E2336">
        <v>0.52564279999999997</v>
      </c>
      <c r="F2336" t="s">
        <v>42</v>
      </c>
      <c r="G2336">
        <v>-397.00790000000001</v>
      </c>
      <c r="H2336">
        <v>0.82621029999999995</v>
      </c>
      <c r="I2336">
        <v>284.55119999999999</v>
      </c>
      <c r="J2336">
        <v>-396.55309999999997</v>
      </c>
      <c r="K2336">
        <v>1.1206849999999999</v>
      </c>
      <c r="L2336">
        <v>284.4735</v>
      </c>
      <c r="M2336">
        <v>-0.99987150000000002</v>
      </c>
      <c r="N2336">
        <v>-1.4445960000000001E-2</v>
      </c>
      <c r="O2336">
        <v>6.9488029999999999E-3</v>
      </c>
      <c r="P2336">
        <v>-0.98195049999999995</v>
      </c>
      <c r="Q2336">
        <v>0.18343180000000001</v>
      </c>
      <c r="R2336">
        <v>4.6110810000000002E-2</v>
      </c>
      <c r="S2336">
        <v>-3.261139</v>
      </c>
      <c r="T2336">
        <v>-1.180731</v>
      </c>
      <c r="U2336">
        <v>0.32141110000000001</v>
      </c>
      <c r="V2336">
        <v>3.9338280000000003E-2</v>
      </c>
      <c r="W2336">
        <v>0.19759160000000001</v>
      </c>
      <c r="X2336">
        <v>0.9794948</v>
      </c>
      <c r="Y2336">
        <v>8.5929190000000003E-2</v>
      </c>
      <c r="Z2336">
        <v>1.3350000000000001E-2</v>
      </c>
      <c r="AA2336">
        <v>0.99621179999999998</v>
      </c>
      <c r="AB2336">
        <v>36</v>
      </c>
      <c r="AC2336">
        <v>-0.45480000000003401</v>
      </c>
      <c r="AD2336">
        <v>-0.29447469999999898</v>
      </c>
      <c r="AE2336">
        <v>7.7699999999992997E-2</v>
      </c>
      <c r="AF2336">
        <v>5.2963257090699399E-2</v>
      </c>
      <c r="AG2336">
        <v>-0.29447469999999898</v>
      </c>
      <c r="AH2336">
        <v>0.323538000310023</v>
      </c>
      <c r="AI2336">
        <v>131.93065317454099</v>
      </c>
      <c r="AJ2336">
        <v>80.703125518201205</v>
      </c>
      <c r="AK2336">
        <v>0.44067821955067599</v>
      </c>
      <c r="AL2336">
        <v>78.603842449850603</v>
      </c>
      <c r="AM2336">
        <v>87.700134033858802</v>
      </c>
      <c r="AN2336">
        <v>1.00000000194547</v>
      </c>
    </row>
    <row r="2337" spans="1:40" x14ac:dyDescent="0.25">
      <c r="A2337" t="str">
        <f>"20190303162300155"</f>
        <v>20190303162300155</v>
      </c>
      <c r="B2337" t="str">
        <f>"1551601380146570"</f>
        <v>1551601380146570</v>
      </c>
      <c r="C2337" t="s">
        <v>40</v>
      </c>
      <c r="D2337">
        <v>5.7424670000000004</v>
      </c>
      <c r="E2337">
        <v>0.52564009999999906</v>
      </c>
      <c r="F2337" t="s">
        <v>42</v>
      </c>
      <c r="G2337">
        <v>-397.3329</v>
      </c>
      <c r="H2337">
        <v>0.83801759999999903</v>
      </c>
      <c r="I2337">
        <v>284.55110000000002</v>
      </c>
      <c r="J2337">
        <v>-396.90100000000001</v>
      </c>
      <c r="K2337">
        <v>1.120687</v>
      </c>
      <c r="L2337">
        <v>284.476</v>
      </c>
      <c r="M2337">
        <v>-0.99987040000000005</v>
      </c>
      <c r="N2337">
        <v>-1.4477540000000001E-2</v>
      </c>
      <c r="O2337">
        <v>7.038814E-3</v>
      </c>
      <c r="P2337">
        <v>-0.98191189999999995</v>
      </c>
      <c r="Q2337">
        <v>0.1835348</v>
      </c>
      <c r="R2337">
        <v>4.6520869999999999E-2</v>
      </c>
      <c r="S2337">
        <v>-3.2607729999999999</v>
      </c>
      <c r="T2337">
        <v>-1.181802</v>
      </c>
      <c r="U2337">
        <v>0.322876</v>
      </c>
      <c r="V2337">
        <v>3.9660300000000002E-2</v>
      </c>
      <c r="W2337">
        <v>0.19772529999999999</v>
      </c>
      <c r="X2337">
        <v>0.97945479999999996</v>
      </c>
      <c r="Y2337">
        <v>8.6266319999999994E-2</v>
      </c>
      <c r="Z2337">
        <v>1.339481E-2</v>
      </c>
      <c r="AA2337">
        <v>0.99618209999999996</v>
      </c>
      <c r="AB2337">
        <v>36</v>
      </c>
      <c r="AC2337">
        <v>-0.43189999999998402</v>
      </c>
      <c r="AD2337">
        <v>-0.28266940000000002</v>
      </c>
      <c r="AE2337">
        <v>7.5100000000020303E-2</v>
      </c>
      <c r="AF2337">
        <v>5.0896457110534102E-2</v>
      </c>
      <c r="AG2337">
        <v>-0.28266940000000002</v>
      </c>
      <c r="AH2337">
        <v>0.305429194685362</v>
      </c>
      <c r="AI2337">
        <v>132.392781461124</v>
      </c>
      <c r="AJ2337">
        <v>80.539212557828094</v>
      </c>
      <c r="AK2337">
        <v>0.41926057769472302</v>
      </c>
      <c r="AL2337">
        <v>78.596027453547507</v>
      </c>
      <c r="AM2337">
        <v>87.681233391553604</v>
      </c>
      <c r="AN2337">
        <v>0.99999996944960901</v>
      </c>
    </row>
    <row r="2338" spans="1:40" x14ac:dyDescent="0.25">
      <c r="A2338" t="str">
        <f>"20190303162300178"</f>
        <v>20190303162300178</v>
      </c>
      <c r="B2338" t="str">
        <f>"1551601380167066"</f>
        <v>1551601380167066</v>
      </c>
      <c r="C2338" t="s">
        <v>40</v>
      </c>
      <c r="D2338">
        <v>5.7953239999999999</v>
      </c>
      <c r="E2338">
        <v>0.52561440000000004</v>
      </c>
      <c r="F2338" t="s">
        <v>42</v>
      </c>
      <c r="G2338">
        <v>-397.65649999999999</v>
      </c>
      <c r="H2338">
        <v>0.846773</v>
      </c>
      <c r="I2338">
        <v>284.55119999999999</v>
      </c>
      <c r="J2338">
        <v>-397.26850000000002</v>
      </c>
      <c r="K2338">
        <v>1.1206929999999999</v>
      </c>
      <c r="L2338">
        <v>284.4787</v>
      </c>
      <c r="M2338">
        <v>-0.99986949999999997</v>
      </c>
      <c r="N2338">
        <v>-1.4505840000000001E-2</v>
      </c>
      <c r="O2338">
        <v>7.1340269999999898E-3</v>
      </c>
      <c r="P2338">
        <v>-0.98194239999999999</v>
      </c>
      <c r="Q2338">
        <v>0.1833264</v>
      </c>
      <c r="R2338">
        <v>4.6699070000000002E-2</v>
      </c>
      <c r="S2338">
        <v>-3.2608950000000001</v>
      </c>
      <c r="T2338">
        <v>-1.182294</v>
      </c>
      <c r="U2338">
        <v>0.32324219999999998</v>
      </c>
      <c r="V2338">
        <v>3.9744429999999997E-2</v>
      </c>
      <c r="W2338">
        <v>0.1975449</v>
      </c>
      <c r="X2338">
        <v>0.97948780000000002</v>
      </c>
      <c r="Y2338">
        <v>8.6279090000000003E-2</v>
      </c>
      <c r="Z2338">
        <v>1.3371030000000001E-2</v>
      </c>
      <c r="AA2338">
        <v>0.99618119999999999</v>
      </c>
      <c r="AB2338">
        <v>36</v>
      </c>
      <c r="AC2338">
        <v>-0.38799999999997598</v>
      </c>
      <c r="AD2338">
        <v>-0.273919999999999</v>
      </c>
      <c r="AE2338">
        <v>7.2499999999990905E-2</v>
      </c>
      <c r="AF2338">
        <v>4.7064142920463202E-2</v>
      </c>
      <c r="AG2338">
        <v>-0.273919999999999</v>
      </c>
      <c r="AH2338">
        <v>0.26222291610689402</v>
      </c>
      <c r="AI2338">
        <v>135.795974393709</v>
      </c>
      <c r="AJ2338">
        <v>79.824808517718907</v>
      </c>
      <c r="AK2338">
        <v>0.38211000730213901</v>
      </c>
      <c r="AL2338">
        <v>78.606571696484096</v>
      </c>
      <c r="AM2338">
        <v>87.676398260939095</v>
      </c>
      <c r="AN2338">
        <v>0.99999997879043701</v>
      </c>
    </row>
    <row r="2339" spans="1:40" x14ac:dyDescent="0.25">
      <c r="A2339" t="str">
        <f>"20190303162300201"</f>
        <v>20190303162300201</v>
      </c>
      <c r="B2339" t="str">
        <f>"1551601380196347"</f>
        <v>1551601380196347</v>
      </c>
      <c r="C2339" t="s">
        <v>40</v>
      </c>
      <c r="D2339">
        <v>5.8511879999999996</v>
      </c>
      <c r="E2339">
        <v>0.50495519999999905</v>
      </c>
      <c r="F2339" t="s">
        <v>42</v>
      </c>
      <c r="G2339">
        <v>-397.9821</v>
      </c>
      <c r="H2339">
        <v>0.86178369999999904</v>
      </c>
      <c r="I2339">
        <v>284.5498</v>
      </c>
      <c r="J2339">
        <v>-397.62670000000003</v>
      </c>
      <c r="K2339">
        <v>1.1207</v>
      </c>
      <c r="L2339">
        <v>284.48129999999998</v>
      </c>
      <c r="M2339">
        <v>-0.99986839999999999</v>
      </c>
      <c r="N2339">
        <v>-1.452899E-2</v>
      </c>
      <c r="O2339">
        <v>7.2270729999999997E-3</v>
      </c>
      <c r="P2339">
        <v>-0.98190100000000002</v>
      </c>
      <c r="Q2339">
        <v>0.18371970000000001</v>
      </c>
      <c r="R2339">
        <v>4.6019650000000002E-2</v>
      </c>
      <c r="S2339">
        <v>-3.2606809999999999</v>
      </c>
      <c r="T2339">
        <v>-1.1830639999999999</v>
      </c>
      <c r="U2339">
        <v>0.32342530000000003</v>
      </c>
      <c r="V2339">
        <v>3.8974040000000001E-2</v>
      </c>
      <c r="W2339">
        <v>0.19796040000000001</v>
      </c>
      <c r="X2339">
        <v>0.9794349</v>
      </c>
      <c r="Y2339">
        <v>8.6248119999999998E-2</v>
      </c>
      <c r="Z2339">
        <v>1.334373E-2</v>
      </c>
      <c r="AA2339">
        <v>0.99618430000000002</v>
      </c>
      <c r="AB2339">
        <v>36</v>
      </c>
      <c r="AC2339">
        <v>-0.35539999999997401</v>
      </c>
      <c r="AD2339">
        <v>-0.25891629999999999</v>
      </c>
      <c r="AE2339">
        <v>6.8500000000028594E-2</v>
      </c>
      <c r="AF2339">
        <v>4.36118476865709E-2</v>
      </c>
      <c r="AG2339">
        <v>-0.25891629999999999</v>
      </c>
      <c r="AH2339">
        <v>0.235415905084433</v>
      </c>
      <c r="AI2339">
        <v>137.24025173239701</v>
      </c>
      <c r="AJ2339">
        <v>79.504685174656501</v>
      </c>
      <c r="AK2339">
        <v>0.35264754646962898</v>
      </c>
      <c r="AL2339">
        <v>78.582286054241905</v>
      </c>
      <c r="AM2339">
        <v>87.721267137054198</v>
      </c>
      <c r="AN2339">
        <v>1.0000000095500401</v>
      </c>
    </row>
    <row r="2340" spans="1:40" x14ac:dyDescent="0.25">
      <c r="A2340" t="str">
        <f>"20190303162300223"</f>
        <v>20190303162300223</v>
      </c>
      <c r="B2340" t="str">
        <f>"1551601380216842"</f>
        <v>1551601380216842</v>
      </c>
      <c r="C2340" t="s">
        <v>40</v>
      </c>
      <c r="D2340">
        <v>5.7847679999999997</v>
      </c>
      <c r="E2340">
        <v>0.43969799999999998</v>
      </c>
      <c r="F2340" t="s">
        <v>42</v>
      </c>
      <c r="G2340">
        <v>-398.31950000000001</v>
      </c>
      <c r="H2340">
        <v>0.90174500000000002</v>
      </c>
      <c r="I2340">
        <v>284.5154</v>
      </c>
      <c r="J2340">
        <v>-397.98770000000002</v>
      </c>
      <c r="K2340">
        <v>1.120714</v>
      </c>
      <c r="L2340">
        <v>284.48399999999998</v>
      </c>
      <c r="M2340">
        <v>-0.99986739999999996</v>
      </c>
      <c r="N2340">
        <v>-1.4548419999999999E-2</v>
      </c>
      <c r="O2340">
        <v>7.3201519999999999E-3</v>
      </c>
      <c r="P2340">
        <v>-0.98194119999999996</v>
      </c>
      <c r="Q2340">
        <v>0.1834382</v>
      </c>
      <c r="R2340">
        <v>4.6285239999999998E-2</v>
      </c>
      <c r="S2340">
        <v>-3.2394099999999999</v>
      </c>
      <c r="T2340">
        <v>-1.023903</v>
      </c>
      <c r="U2340">
        <v>0.15905759999999999</v>
      </c>
      <c r="V2340">
        <v>3.914782E-2</v>
      </c>
      <c r="W2340">
        <v>0.1976987</v>
      </c>
      <c r="X2340">
        <v>0.97948080000000004</v>
      </c>
      <c r="Y2340">
        <v>4.0011730000000002E-2</v>
      </c>
      <c r="Z2340">
        <v>4.3146690000000001E-3</v>
      </c>
      <c r="AA2340">
        <v>0.99918989999999996</v>
      </c>
      <c r="AB2340">
        <v>36</v>
      </c>
      <c r="AC2340">
        <v>-0.33179999999998699</v>
      </c>
      <c r="AD2340">
        <v>-0.218969</v>
      </c>
      <c r="AE2340">
        <v>3.1399999999962298E-2</v>
      </c>
      <c r="AF2340">
        <v>2.0235324347406401E-2</v>
      </c>
      <c r="AG2340">
        <v>-0.218969</v>
      </c>
      <c r="AH2340">
        <v>0.23191352831605599</v>
      </c>
      <c r="AI2340">
        <v>133.24708187321701</v>
      </c>
      <c r="AJ2340">
        <v>85.013357750589805</v>
      </c>
      <c r="AK2340">
        <v>0.31959470572656101</v>
      </c>
      <c r="AL2340">
        <v>78.597582364915894</v>
      </c>
      <c r="AM2340">
        <v>87.711224503058403</v>
      </c>
      <c r="AN2340">
        <v>0.99999998268054102</v>
      </c>
    </row>
    <row r="2341" spans="1:40" x14ac:dyDescent="0.25">
      <c r="A2341" t="str">
        <f>"20190303162300245"</f>
        <v>20190303162300245</v>
      </c>
      <c r="B2341" t="str">
        <f>"1551601380236362"</f>
        <v>1551601380236362</v>
      </c>
      <c r="C2341" t="s">
        <v>40</v>
      </c>
      <c r="D2341">
        <v>5.9017089999999897</v>
      </c>
      <c r="E2341">
        <v>0.42987500000000001</v>
      </c>
      <c r="F2341" t="s">
        <v>49</v>
      </c>
      <c r="G2341">
        <v>-404.97750000000002</v>
      </c>
      <c r="H2341" s="1">
        <v>6.38373799999999E-6</v>
      </c>
      <c r="I2341">
        <v>283.70260000000002</v>
      </c>
      <c r="J2341">
        <v>-398.33330000000001</v>
      </c>
      <c r="K2341">
        <v>1.1207240000000001</v>
      </c>
      <c r="L2341">
        <v>284.48660000000001</v>
      </c>
      <c r="M2341">
        <v>-0.99986660000000005</v>
      </c>
      <c r="N2341">
        <v>-1.45638E-2</v>
      </c>
      <c r="O2341">
        <v>7.4098559999999898E-3</v>
      </c>
      <c r="P2341">
        <v>-0.98195259999999995</v>
      </c>
      <c r="Q2341">
        <v>0.1834713</v>
      </c>
      <c r="R2341">
        <v>4.5909360000000003E-2</v>
      </c>
      <c r="S2341">
        <v>-3.1667480000000001</v>
      </c>
      <c r="T2341">
        <v>-0.50773749999999995</v>
      </c>
      <c r="U2341">
        <v>-0.35400389999999998</v>
      </c>
      <c r="V2341">
        <v>3.8683500000000003E-2</v>
      </c>
      <c r="W2341">
        <v>0.19774729999999999</v>
      </c>
      <c r="X2341">
        <v>0.97948939999999995</v>
      </c>
      <c r="Y2341">
        <v>-0.11677</v>
      </c>
      <c r="Z2341">
        <v>-1.120225E-2</v>
      </c>
      <c r="AA2341">
        <v>0.99309579999999997</v>
      </c>
      <c r="AB2341">
        <v>36</v>
      </c>
      <c r="AC2341">
        <v>-6.6442000000000103</v>
      </c>
      <c r="AD2341">
        <v>-1.1207176162620001</v>
      </c>
      <c r="AE2341">
        <v>-0.78399999999999104</v>
      </c>
      <c r="AF2341">
        <v>-0.81047362177382898</v>
      </c>
      <c r="AG2341">
        <v>-1.1207176162620001</v>
      </c>
      <c r="AH2341">
        <v>6.4570177820606203</v>
      </c>
      <c r="AI2341">
        <v>99.771318800945494</v>
      </c>
      <c r="AJ2341">
        <v>97.154251628570293</v>
      </c>
      <c r="AK2341">
        <v>6.60348045388477</v>
      </c>
      <c r="AL2341">
        <v>78.594741288739002</v>
      </c>
      <c r="AM2341">
        <v>87.738362428560805</v>
      </c>
      <c r="AN2341">
        <v>0.99999994627094801</v>
      </c>
    </row>
    <row r="2342" spans="1:40" x14ac:dyDescent="0.25">
      <c r="A2342" t="str">
        <f>"20190303162300268"</f>
        <v>20190303162300268</v>
      </c>
      <c r="B2342" t="str">
        <f>"1551601380256853"</f>
        <v>1551601380256853</v>
      </c>
      <c r="C2342" t="s">
        <v>40</v>
      </c>
      <c r="D2342">
        <v>5.8151719999999996</v>
      </c>
      <c r="E2342">
        <v>0.42567090000000002</v>
      </c>
      <c r="F2342" t="s">
        <v>49</v>
      </c>
      <c r="G2342">
        <v>-407.26299999999998</v>
      </c>
      <c r="H2342" s="1">
        <v>5.4614870000000004E-6</v>
      </c>
      <c r="I2342">
        <v>283.26089999999999</v>
      </c>
      <c r="J2342">
        <v>-398.69130000000001</v>
      </c>
      <c r="K2342">
        <v>1.1207279999999999</v>
      </c>
      <c r="L2342">
        <v>284.48939999999999</v>
      </c>
      <c r="M2342">
        <v>-0.99986580000000003</v>
      </c>
      <c r="N2342">
        <v>-1.4577130000000001E-2</v>
      </c>
      <c r="O2342">
        <v>7.5028530000000003E-3</v>
      </c>
      <c r="P2342">
        <v>-0.98187820000000003</v>
      </c>
      <c r="Q2342">
        <v>0.18390049999999999</v>
      </c>
      <c r="R2342">
        <v>4.5785109999999997E-2</v>
      </c>
      <c r="S2342">
        <v>-3.1491699999999998</v>
      </c>
      <c r="T2342">
        <v>-0.39523760000000002</v>
      </c>
      <c r="U2342">
        <v>-0.432251</v>
      </c>
      <c r="V2342">
        <v>3.8468519999999999E-2</v>
      </c>
      <c r="W2342">
        <v>0.19818810000000001</v>
      </c>
      <c r="X2342">
        <v>0.97940890000000003</v>
      </c>
      <c r="Y2342">
        <v>-0.14214379999999999</v>
      </c>
      <c r="Z2342">
        <v>-1.0714700000000001E-2</v>
      </c>
      <c r="AA2342">
        <v>0.98978809999999995</v>
      </c>
      <c r="AB2342">
        <v>36</v>
      </c>
      <c r="AC2342">
        <v>-8.5717000000000194</v>
      </c>
      <c r="AD2342">
        <v>-1.120722538513</v>
      </c>
      <c r="AE2342">
        <v>-1.2284999999999899</v>
      </c>
      <c r="AF2342">
        <v>-1.2714862067891799</v>
      </c>
      <c r="AG2342">
        <v>-1.120722538513</v>
      </c>
      <c r="AH2342">
        <v>8.4211801220934195</v>
      </c>
      <c r="AI2342">
        <v>97.496608853943499</v>
      </c>
      <c r="AJ2342">
        <v>98.586047384503203</v>
      </c>
      <c r="AK2342">
        <v>8.5900506885074606</v>
      </c>
      <c r="AL2342">
        <v>78.568976815460999</v>
      </c>
      <c r="AM2342">
        <v>87.750733660798403</v>
      </c>
      <c r="AN2342">
        <v>1.0000000717059001</v>
      </c>
    </row>
    <row r="2343" spans="1:40" x14ac:dyDescent="0.25">
      <c r="A2343" t="str">
        <f>"20190303162300290"</f>
        <v>20190303162300290</v>
      </c>
      <c r="B2343" t="str">
        <f>"1551601380276373"</f>
        <v>1551601380276373</v>
      </c>
      <c r="C2343" t="s">
        <v>40</v>
      </c>
      <c r="D2343">
        <v>5.8151970000000004</v>
      </c>
      <c r="E2343">
        <v>0.42407519999999999</v>
      </c>
      <c r="F2343" t="s">
        <v>49</v>
      </c>
      <c r="G2343">
        <v>-408.15730000000002</v>
      </c>
      <c r="H2343" s="1">
        <v>5.1000289999999996E-6</v>
      </c>
      <c r="I2343">
        <v>283.0908</v>
      </c>
      <c r="J2343">
        <v>-399.04329999999999</v>
      </c>
      <c r="K2343">
        <v>1.1207389999999999</v>
      </c>
      <c r="L2343">
        <v>284.49209999999999</v>
      </c>
      <c r="M2343">
        <v>-0.99986470000000005</v>
      </c>
      <c r="N2343">
        <v>-1.4588179999999999E-2</v>
      </c>
      <c r="O2343">
        <v>7.5946149999999999E-3</v>
      </c>
      <c r="P2343">
        <v>-0.98184539999999998</v>
      </c>
      <c r="Q2343">
        <v>0.18419469999999999</v>
      </c>
      <c r="R2343">
        <v>4.5300569999999998E-2</v>
      </c>
      <c r="S2343">
        <v>-3.14682</v>
      </c>
      <c r="T2343">
        <v>-0.37256610000000001</v>
      </c>
      <c r="U2343">
        <v>-0.4649353</v>
      </c>
      <c r="V2343">
        <v>3.7894110000000002E-2</v>
      </c>
      <c r="W2343">
        <v>0.19849330000000001</v>
      </c>
      <c r="X2343">
        <v>0.97936939999999995</v>
      </c>
      <c r="Y2343">
        <v>-0.1524567</v>
      </c>
      <c r="Z2343">
        <v>-1.084943E-2</v>
      </c>
      <c r="AA2343">
        <v>0.98825059999999998</v>
      </c>
      <c r="AB2343">
        <v>36</v>
      </c>
      <c r="AC2343">
        <v>-9.1140000000000292</v>
      </c>
      <c r="AD2343">
        <v>-1.1207338999709999</v>
      </c>
      <c r="AE2343">
        <v>-1.40129999999999</v>
      </c>
      <c r="AF2343">
        <v>-1.44907845769503</v>
      </c>
      <c r="AG2343">
        <v>-1.1207338999709999</v>
      </c>
      <c r="AH2343">
        <v>8.9705800730969791</v>
      </c>
      <c r="AI2343">
        <v>97.031100102051795</v>
      </c>
      <c r="AJ2343">
        <v>99.176108436776502</v>
      </c>
      <c r="AK2343">
        <v>9.1557184152279696</v>
      </c>
      <c r="AL2343">
        <v>78.551134722810602</v>
      </c>
      <c r="AM2343">
        <v>87.784196588897004</v>
      </c>
      <c r="AN2343">
        <v>0.99999998768697096</v>
      </c>
    </row>
    <row r="2344" spans="1:40" x14ac:dyDescent="0.25">
      <c r="A2344" t="str">
        <f>"20190303162300313"</f>
        <v>20190303162300313</v>
      </c>
      <c r="B2344" t="str">
        <f>"1551601380306629"</f>
        <v>1551601380306629</v>
      </c>
      <c r="C2344" t="s">
        <v>40</v>
      </c>
      <c r="D2344">
        <v>5.8521140000000003</v>
      </c>
      <c r="E2344">
        <v>0.42368869999999997</v>
      </c>
      <c r="F2344" t="s">
        <v>49</v>
      </c>
      <c r="G2344">
        <v>-408.7901</v>
      </c>
      <c r="H2344" s="1">
        <v>4.8361329999999996E-6</v>
      </c>
      <c r="I2344">
        <v>283.00990000000002</v>
      </c>
      <c r="J2344">
        <v>-399.40390000000002</v>
      </c>
      <c r="K2344">
        <v>1.120749</v>
      </c>
      <c r="L2344">
        <v>284.49489999999997</v>
      </c>
      <c r="M2344">
        <v>-0.99986399999999998</v>
      </c>
      <c r="N2344">
        <v>-1.4597199999999999E-2</v>
      </c>
      <c r="O2344">
        <v>7.688243E-3</v>
      </c>
      <c r="P2344">
        <v>-0.98176010000000002</v>
      </c>
      <c r="Q2344">
        <v>0.18479680000000001</v>
      </c>
      <c r="R2344">
        <v>4.4692099999999998E-2</v>
      </c>
      <c r="S2344">
        <v>-3.145416</v>
      </c>
      <c r="T2344">
        <v>-0.36167379999999999</v>
      </c>
      <c r="U2344">
        <v>-0.478302</v>
      </c>
      <c r="V2344">
        <v>3.7194320000000003E-2</v>
      </c>
      <c r="W2344">
        <v>0.19910269999999999</v>
      </c>
      <c r="X2344">
        <v>0.97927249999999999</v>
      </c>
      <c r="Y2344">
        <v>-0.15675329999999901</v>
      </c>
      <c r="Z2344">
        <v>-1.085149E-2</v>
      </c>
      <c r="AA2344">
        <v>0.98757819999999996</v>
      </c>
      <c r="AB2344">
        <v>36</v>
      </c>
      <c r="AC2344">
        <v>-9.3861999999999703</v>
      </c>
      <c r="AD2344">
        <v>-1.1207441638669999</v>
      </c>
      <c r="AE2344">
        <v>-1.4849999999999499</v>
      </c>
      <c r="AF2344">
        <v>-1.5357661699529199</v>
      </c>
      <c r="AG2344">
        <v>-1.1207441638669999</v>
      </c>
      <c r="AH2344">
        <v>9.2459028423170793</v>
      </c>
      <c r="AI2344">
        <v>96.818873532609103</v>
      </c>
      <c r="AJ2344">
        <v>99.430860111864305</v>
      </c>
      <c r="AK2344">
        <v>9.4393519152101195</v>
      </c>
      <c r="AL2344">
        <v>78.515507319757901</v>
      </c>
      <c r="AM2344">
        <v>87.824861129761103</v>
      </c>
      <c r="AN2344">
        <v>0.99999996592189999</v>
      </c>
    </row>
    <row r="2345" spans="1:40" x14ac:dyDescent="0.25">
      <c r="A2345" t="str">
        <f>"20190303162300335"</f>
        <v>20190303162300335</v>
      </c>
      <c r="B2345" t="str">
        <f>"1551601380327125"</f>
        <v>1551601380327125</v>
      </c>
      <c r="C2345" t="s">
        <v>40</v>
      </c>
      <c r="D2345">
        <v>5.8559599999999996</v>
      </c>
      <c r="E2345">
        <v>0.42360710000000001</v>
      </c>
      <c r="F2345" t="s">
        <v>49</v>
      </c>
      <c r="G2345">
        <v>-409.20530000000002</v>
      </c>
      <c r="H2345" s="1">
        <v>4.6562210000000004E-6</v>
      </c>
      <c r="I2345">
        <v>282.98970000000003</v>
      </c>
      <c r="J2345">
        <v>-399.76440000000002</v>
      </c>
      <c r="K2345">
        <v>1.120757</v>
      </c>
      <c r="L2345">
        <v>284.49779999999998</v>
      </c>
      <c r="M2345">
        <v>-0.99986319999999995</v>
      </c>
      <c r="N2345">
        <v>-1.4604249999999999E-2</v>
      </c>
      <c r="O2345">
        <v>7.7817090000000004E-3</v>
      </c>
      <c r="P2345">
        <v>-0.98179130000000003</v>
      </c>
      <c r="Q2345">
        <v>0.18484390000000001</v>
      </c>
      <c r="R2345">
        <v>4.3803620000000001E-2</v>
      </c>
      <c r="S2345">
        <v>-3.1453859999999998</v>
      </c>
      <c r="T2345">
        <v>-0.3596625</v>
      </c>
      <c r="U2345">
        <v>-0.48306270000000001</v>
      </c>
      <c r="V2345">
        <v>3.621398E-2</v>
      </c>
      <c r="W2345">
        <v>0.1991578</v>
      </c>
      <c r="X2345">
        <v>0.97929809999999995</v>
      </c>
      <c r="Y2345">
        <v>-0.15830830000000001</v>
      </c>
      <c r="Z2345">
        <v>-1.0905700000000001E-2</v>
      </c>
      <c r="AA2345">
        <v>0.98732949999999997</v>
      </c>
      <c r="AB2345">
        <v>36</v>
      </c>
      <c r="AC2345">
        <v>-9.4408999999999992</v>
      </c>
      <c r="AD2345">
        <v>-1.1207523437789999</v>
      </c>
      <c r="AE2345">
        <v>-1.50809999999995</v>
      </c>
      <c r="AF2345">
        <v>-1.56008975668706</v>
      </c>
      <c r="AG2345">
        <v>-1.1207523437789999</v>
      </c>
      <c r="AH2345">
        <v>9.3010621604165902</v>
      </c>
      <c r="AI2345">
        <v>96.777083575414295</v>
      </c>
      <c r="AJ2345">
        <v>99.521725283539098</v>
      </c>
      <c r="AK2345">
        <v>9.4973534827834705</v>
      </c>
      <c r="AL2345">
        <v>78.512286494752701</v>
      </c>
      <c r="AM2345">
        <v>87.882194209890898</v>
      </c>
      <c r="AN2345">
        <v>1.00000002515594</v>
      </c>
    </row>
    <row r="2346" spans="1:40" x14ac:dyDescent="0.25">
      <c r="A2346" t="str">
        <f>"20190303162300356"</f>
        <v>20190303162300356</v>
      </c>
      <c r="B2346" t="str">
        <f>"1551601380346646"</f>
        <v>1551601380346646</v>
      </c>
      <c r="C2346" t="s">
        <v>40</v>
      </c>
      <c r="D2346">
        <v>5.8623159999999999</v>
      </c>
      <c r="E2346">
        <v>0.42381679999999999</v>
      </c>
      <c r="F2346" t="s">
        <v>49</v>
      </c>
      <c r="G2346">
        <v>-409.59589999999997</v>
      </c>
      <c r="H2346" s="1">
        <v>4.486786E-6</v>
      </c>
      <c r="I2346">
        <v>282.97129999999999</v>
      </c>
      <c r="J2346">
        <v>-400.10300000000001</v>
      </c>
      <c r="K2346">
        <v>1.1207640000000001</v>
      </c>
      <c r="L2346">
        <v>284.50049999999999</v>
      </c>
      <c r="M2346">
        <v>-0.99986240000000004</v>
      </c>
      <c r="N2346">
        <v>-1.4609550000000001E-2</v>
      </c>
      <c r="O2346">
        <v>7.8698169999999994E-3</v>
      </c>
      <c r="P2346">
        <v>-0.98184009999999999</v>
      </c>
      <c r="Q2346">
        <v>0.1846216</v>
      </c>
      <c r="R2346">
        <v>4.3646209999999998E-2</v>
      </c>
      <c r="S2346">
        <v>-3.1449280000000002</v>
      </c>
      <c r="T2346">
        <v>-0.35850949999999998</v>
      </c>
      <c r="U2346">
        <v>-0.48831180000000002</v>
      </c>
      <c r="V2346">
        <v>3.5969470000000003E-2</v>
      </c>
      <c r="W2346">
        <v>0.19894100000000001</v>
      </c>
      <c r="X2346">
        <v>0.97935119999999998</v>
      </c>
      <c r="Y2346">
        <v>-0.16002060000000001</v>
      </c>
      <c r="Z2346">
        <v>-1.0993019999999999E-2</v>
      </c>
      <c r="AA2346">
        <v>0.98705240000000005</v>
      </c>
      <c r="AB2346">
        <v>35</v>
      </c>
      <c r="AC2346">
        <v>-9.4928999999999597</v>
      </c>
      <c r="AD2346">
        <v>-1.12075951321399</v>
      </c>
      <c r="AE2346">
        <v>-1.5291999999999999</v>
      </c>
      <c r="AF2346">
        <v>-1.5823694495690599</v>
      </c>
      <c r="AG2346">
        <v>-1.12075951321399</v>
      </c>
      <c r="AH2346">
        <v>9.3534908760549698</v>
      </c>
      <c r="AI2346">
        <v>96.737912538912099</v>
      </c>
      <c r="AJ2346">
        <v>99.602053862753607</v>
      </c>
      <c r="AK2346">
        <v>9.5523707282450498</v>
      </c>
      <c r="AL2346">
        <v>78.524962133045307</v>
      </c>
      <c r="AM2346">
        <v>87.896594297861796</v>
      </c>
      <c r="AN2346">
        <v>1.00000004859725</v>
      </c>
    </row>
    <row r="2347" spans="1:40" x14ac:dyDescent="0.25">
      <c r="A2347" t="str">
        <f>"20190303162300379"</f>
        <v>20190303162300379</v>
      </c>
      <c r="B2347" t="str">
        <f>"1551601380366710"</f>
        <v>1551601380366710</v>
      </c>
      <c r="C2347" t="s">
        <v>40</v>
      </c>
      <c r="D2347">
        <v>5.8499460000000001</v>
      </c>
      <c r="E2347">
        <v>0.42371920000000002</v>
      </c>
      <c r="F2347" t="s">
        <v>49</v>
      </c>
      <c r="G2347">
        <v>-409.77280000000002</v>
      </c>
      <c r="H2347" s="1">
        <v>4.4016439999999999E-6</v>
      </c>
      <c r="I2347">
        <v>283.00380000000001</v>
      </c>
      <c r="J2347">
        <v>-400.46120000000002</v>
      </c>
      <c r="K2347">
        <v>1.1207670000000001</v>
      </c>
      <c r="L2347">
        <v>284.5034</v>
      </c>
      <c r="M2347">
        <v>-0.99986149999999996</v>
      </c>
      <c r="N2347">
        <v>-1.461396E-2</v>
      </c>
      <c r="O2347">
        <v>7.9628249999999998E-3</v>
      </c>
      <c r="P2347">
        <v>-0.98177680000000001</v>
      </c>
      <c r="Q2347">
        <v>0.18496789999999999</v>
      </c>
      <c r="R2347">
        <v>4.3604499999999997E-2</v>
      </c>
      <c r="S2347">
        <v>-3.1457519999999999</v>
      </c>
      <c r="T2347">
        <v>-0.36460409999999999</v>
      </c>
      <c r="U2347">
        <v>-0.4869385</v>
      </c>
      <c r="V2347">
        <v>3.5837000000000001E-2</v>
      </c>
      <c r="W2347">
        <v>0.19929150000000001</v>
      </c>
      <c r="X2347">
        <v>0.97928479999999996</v>
      </c>
      <c r="Y2347">
        <v>-0.15961710000000001</v>
      </c>
      <c r="Z2347">
        <v>-1.1142030000000001E-2</v>
      </c>
      <c r="AA2347">
        <v>0.9871162</v>
      </c>
      <c r="AB2347">
        <v>35</v>
      </c>
      <c r="AC2347">
        <v>-9.3116000000000003</v>
      </c>
      <c r="AD2347">
        <v>-1.1207625983559999</v>
      </c>
      <c r="AE2347">
        <v>-1.4995999999999801</v>
      </c>
      <c r="AF2347">
        <v>-1.55179447412117</v>
      </c>
      <c r="AG2347">
        <v>-1.1207625983559999</v>
      </c>
      <c r="AH2347">
        <v>9.1698766749270497</v>
      </c>
      <c r="AI2347">
        <v>96.871511640175498</v>
      </c>
      <c r="AJ2347">
        <v>99.605017009855004</v>
      </c>
      <c r="AK2347">
        <v>9.3675403989071704</v>
      </c>
      <c r="AL2347">
        <v>78.504469705150001</v>
      </c>
      <c r="AM2347">
        <v>87.904191927100698</v>
      </c>
      <c r="AN2347">
        <v>1.0000000560261399</v>
      </c>
    </row>
    <row r="2348" spans="1:40" x14ac:dyDescent="0.25">
      <c r="A2348" t="str">
        <f>"20190303162300401"</f>
        <v>20190303162300401</v>
      </c>
      <c r="B2348" t="str">
        <f>"1551601380396966"</f>
        <v>1551601380396966</v>
      </c>
      <c r="C2348" t="s">
        <v>40</v>
      </c>
      <c r="D2348">
        <v>5.7137379999999904</v>
      </c>
      <c r="E2348">
        <v>0.423101</v>
      </c>
      <c r="F2348" t="s">
        <v>49</v>
      </c>
      <c r="G2348">
        <v>-410.0883</v>
      </c>
      <c r="H2348" s="1">
        <v>2.3615129999999999E-6</v>
      </c>
      <c r="I2348">
        <v>283.01389999999998</v>
      </c>
      <c r="J2348">
        <v>-400.81420000000003</v>
      </c>
      <c r="K2348">
        <v>1.1207720000000001</v>
      </c>
      <c r="L2348">
        <v>284.50630000000001</v>
      </c>
      <c r="M2348">
        <v>-0.99986079999999999</v>
      </c>
      <c r="N2348">
        <v>-1.46172E-2</v>
      </c>
      <c r="O2348">
        <v>8.0544659999999997E-3</v>
      </c>
      <c r="P2348">
        <v>-0.9818249</v>
      </c>
      <c r="Q2348">
        <v>0.18458840000000001</v>
      </c>
      <c r="R2348">
        <v>4.4127140000000002E-2</v>
      </c>
      <c r="S2348">
        <v>-3.1463009999999998</v>
      </c>
      <c r="T2348">
        <v>-0.36628559999999999</v>
      </c>
      <c r="U2348">
        <v>-0.48681639999999998</v>
      </c>
      <c r="V2348">
        <v>3.6269170000000003E-2</v>
      </c>
      <c r="W2348">
        <v>0.19891529999999999</v>
      </c>
      <c r="X2348">
        <v>0.97934529999999997</v>
      </c>
      <c r="Y2348">
        <v>-0.1596331</v>
      </c>
      <c r="Z2348">
        <v>-1.119706E-2</v>
      </c>
      <c r="AA2348">
        <v>0.98711289999999996</v>
      </c>
      <c r="AB2348">
        <v>35</v>
      </c>
      <c r="AC2348">
        <v>-9.2740999999999705</v>
      </c>
      <c r="AD2348">
        <v>-1.1207696384869901</v>
      </c>
      <c r="AE2348">
        <v>-1.4924000000000299</v>
      </c>
      <c r="AF2348">
        <v>-1.5450620760355001</v>
      </c>
      <c r="AG2348">
        <v>-1.1207696384869901</v>
      </c>
      <c r="AH2348">
        <v>9.1317779456551609</v>
      </c>
      <c r="AI2348">
        <v>96.899982507653405</v>
      </c>
      <c r="AJ2348">
        <v>99.603278303448704</v>
      </c>
      <c r="AK2348">
        <v>9.3291323203238594</v>
      </c>
      <c r="AL2348">
        <v>78.526463900525698</v>
      </c>
      <c r="AM2348">
        <v>87.879071756349802</v>
      </c>
      <c r="AN2348">
        <v>0.99999998294933401</v>
      </c>
    </row>
    <row r="2349" spans="1:40" x14ac:dyDescent="0.25">
      <c r="A2349" t="str">
        <f>"20190303162300425"</f>
        <v>20190303162300425</v>
      </c>
      <c r="B2349" t="str">
        <f>"1551601380416485"</f>
        <v>1551601380416485</v>
      </c>
      <c r="C2349" t="s">
        <v>40</v>
      </c>
      <c r="D2349">
        <v>5.8722519999999996</v>
      </c>
      <c r="E2349">
        <v>0.42259409999999997</v>
      </c>
      <c r="F2349" t="s">
        <v>49</v>
      </c>
      <c r="G2349">
        <v>-410.34609999999998</v>
      </c>
      <c r="H2349" s="1">
        <v>2.4065889999999999E-6</v>
      </c>
      <c r="I2349">
        <v>283.02120000000002</v>
      </c>
      <c r="J2349">
        <v>-401.17149999999998</v>
      </c>
      <c r="K2349">
        <v>1.1207659999999999</v>
      </c>
      <c r="L2349">
        <v>284.5093</v>
      </c>
      <c r="M2349">
        <v>-0.99985999999999997</v>
      </c>
      <c r="N2349">
        <v>-1.4619470000000001E-2</v>
      </c>
      <c r="O2349">
        <v>8.1477839999999999E-3</v>
      </c>
      <c r="P2349">
        <v>-0.98203039999999997</v>
      </c>
      <c r="Q2349">
        <v>0.1835407</v>
      </c>
      <c r="R2349">
        <v>4.3926359999999998E-2</v>
      </c>
      <c r="S2349">
        <v>-3.1471559999999998</v>
      </c>
      <c r="T2349">
        <v>-0.37004589999999998</v>
      </c>
      <c r="U2349">
        <v>-0.49032589999999998</v>
      </c>
      <c r="V2349">
        <v>3.5974770000000003E-2</v>
      </c>
      <c r="W2349">
        <v>0.19787350000000001</v>
      </c>
      <c r="X2349">
        <v>0.97956719999999997</v>
      </c>
      <c r="Y2349">
        <v>-0.1607275</v>
      </c>
      <c r="Z2349">
        <v>-1.137853E-2</v>
      </c>
      <c r="AA2349">
        <v>0.98693319999999995</v>
      </c>
      <c r="AB2349">
        <v>35</v>
      </c>
      <c r="AC2349">
        <v>-9.1745999999999892</v>
      </c>
      <c r="AD2349">
        <v>-1.1207635934109901</v>
      </c>
      <c r="AE2349">
        <v>-1.48809999999997</v>
      </c>
      <c r="AF2349">
        <v>-1.54041303495027</v>
      </c>
      <c r="AG2349">
        <v>-1.1207635934109901</v>
      </c>
      <c r="AH2349">
        <v>9.0308572187161005</v>
      </c>
      <c r="AI2349">
        <v>96.974728287821407</v>
      </c>
      <c r="AJ2349">
        <v>99.679905165442605</v>
      </c>
      <c r="AK2349">
        <v>9.2295918357962599</v>
      </c>
      <c r="AL2349">
        <v>78.587365456453</v>
      </c>
      <c r="AM2349">
        <v>87.896748109656201</v>
      </c>
      <c r="AN2349">
        <v>1.0000000026973199</v>
      </c>
    </row>
    <row r="2350" spans="1:40" x14ac:dyDescent="0.25">
      <c r="A2350" t="str">
        <f>"20190303162300445"</f>
        <v>20190303162300445</v>
      </c>
      <c r="B2350" t="str">
        <f>"1551601380436981"</f>
        <v>1551601380436981</v>
      </c>
      <c r="C2350" t="s">
        <v>40</v>
      </c>
      <c r="D2350">
        <v>5.716126</v>
      </c>
      <c r="E2350">
        <v>0.42242990000000002</v>
      </c>
      <c r="F2350" t="s">
        <v>49</v>
      </c>
      <c r="G2350">
        <v>-410.69119999999998</v>
      </c>
      <c r="H2350" s="1">
        <v>2.4686259999999998E-6</v>
      </c>
      <c r="I2350">
        <v>283.01179999999999</v>
      </c>
      <c r="J2350">
        <v>-401.50540000000001</v>
      </c>
      <c r="K2350">
        <v>1.120763</v>
      </c>
      <c r="L2350">
        <v>284.51209999999998</v>
      </c>
      <c r="M2350">
        <v>-0.99985919999999895</v>
      </c>
      <c r="N2350">
        <v>-1.4620940000000001E-2</v>
      </c>
      <c r="O2350">
        <v>8.2349069999999996E-3</v>
      </c>
      <c r="P2350">
        <v>-0.98214979999999996</v>
      </c>
      <c r="Q2350">
        <v>0.1830447</v>
      </c>
      <c r="R2350">
        <v>4.3316849999999997E-2</v>
      </c>
      <c r="S2350">
        <v>-3.1462400000000001</v>
      </c>
      <c r="T2350">
        <v>-0.37041079999999998</v>
      </c>
      <c r="U2350">
        <v>-0.49493409999999899</v>
      </c>
      <c r="V2350">
        <v>3.527839E-2</v>
      </c>
      <c r="W2350">
        <v>0.19738040000000001</v>
      </c>
      <c r="X2350">
        <v>0.97969200000000001</v>
      </c>
      <c r="Y2350">
        <v>-0.16225319999999999</v>
      </c>
      <c r="Z2350">
        <v>-1.1499809999999999E-2</v>
      </c>
      <c r="AA2350">
        <v>0.98668219999999995</v>
      </c>
      <c r="AB2350">
        <v>35</v>
      </c>
      <c r="AC2350">
        <v>-9.1857999999999702</v>
      </c>
      <c r="AD2350">
        <v>-1.1207605313739999</v>
      </c>
      <c r="AE2350">
        <v>-1.50029999999998</v>
      </c>
      <c r="AF2350">
        <v>-1.5533779393059799</v>
      </c>
      <c r="AG2350">
        <v>-1.1207605313739999</v>
      </c>
      <c r="AH2350">
        <v>9.0420258877605999</v>
      </c>
      <c r="AI2350">
        <v>96.964775968349102</v>
      </c>
      <c r="AJ2350">
        <v>99.747991832787605</v>
      </c>
      <c r="AK2350">
        <v>9.2426900492194992</v>
      </c>
      <c r="AL2350">
        <v>78.616186413246794</v>
      </c>
      <c r="AM2350">
        <v>87.937688720635506</v>
      </c>
      <c r="AN2350">
        <v>1.00000000098457</v>
      </c>
    </row>
    <row r="2351" spans="1:40" x14ac:dyDescent="0.25">
      <c r="A2351" t="str">
        <f>"20190303162300468"</f>
        <v>20190303162300468</v>
      </c>
      <c r="B2351" t="str">
        <f>"1551601380456609"</f>
        <v>1551601380456609</v>
      </c>
      <c r="C2351" t="s">
        <v>40</v>
      </c>
      <c r="D2351">
        <v>5.6972379999999996</v>
      </c>
      <c r="E2351">
        <v>0.42225570000000001</v>
      </c>
      <c r="F2351" t="s">
        <v>49</v>
      </c>
      <c r="G2351">
        <v>-410.97390000000001</v>
      </c>
      <c r="H2351" s="1">
        <v>2.5186220000000001E-6</v>
      </c>
      <c r="I2351">
        <v>283.0136</v>
      </c>
      <c r="J2351">
        <v>-401.86450000000002</v>
      </c>
      <c r="K2351">
        <v>1.1207640000000001</v>
      </c>
      <c r="L2351">
        <v>284.51519999999999</v>
      </c>
      <c r="M2351">
        <v>-0.99985840000000004</v>
      </c>
      <c r="N2351">
        <v>-1.4621759999999999E-2</v>
      </c>
      <c r="O2351">
        <v>8.3287659999999996E-3</v>
      </c>
      <c r="P2351">
        <v>-0.98219190000000001</v>
      </c>
      <c r="Q2351">
        <v>0.18289320000000001</v>
      </c>
      <c r="R2351">
        <v>4.3004090000000002E-2</v>
      </c>
      <c r="S2351">
        <v>-3.145905</v>
      </c>
      <c r="T2351">
        <v>-0.37237189999999998</v>
      </c>
      <c r="U2351">
        <v>-0.49789430000000001</v>
      </c>
      <c r="V2351">
        <v>3.4872790000000001E-2</v>
      </c>
      <c r="W2351">
        <v>0.19723080000000001</v>
      </c>
      <c r="X2351">
        <v>0.97973659999999996</v>
      </c>
      <c r="Y2351">
        <v>-0.16324669999999999</v>
      </c>
      <c r="Z2351">
        <v>-1.1630379999999999E-2</v>
      </c>
      <c r="AA2351">
        <v>0.98651670000000002</v>
      </c>
      <c r="AB2351">
        <v>35</v>
      </c>
      <c r="AC2351">
        <v>-9.1093999999999902</v>
      </c>
      <c r="AD2351">
        <v>-1.12076148137799</v>
      </c>
      <c r="AE2351">
        <v>-1.5015999999999901</v>
      </c>
      <c r="AF2351">
        <v>-1.5545174513265401</v>
      </c>
      <c r="AG2351">
        <v>-1.12076148137799</v>
      </c>
      <c r="AH2351">
        <v>8.9644684948444606</v>
      </c>
      <c r="AI2351">
        <v>97.022558828258795</v>
      </c>
      <c r="AJ2351">
        <v>99.837760017851807</v>
      </c>
      <c r="AK2351">
        <v>9.1670238463570204</v>
      </c>
      <c r="AL2351">
        <v>78.624929180883299</v>
      </c>
      <c r="AM2351">
        <v>87.9614719697814</v>
      </c>
      <c r="AN2351">
        <v>0.99999995266528996</v>
      </c>
    </row>
    <row r="2352" spans="1:40" x14ac:dyDescent="0.25">
      <c r="A2352" t="str">
        <f>"20190303162300491"</f>
        <v>20190303162300491</v>
      </c>
      <c r="B2352" t="str">
        <f>"1551601380486865"</f>
        <v>1551601380486865</v>
      </c>
      <c r="C2352" t="s">
        <v>40</v>
      </c>
      <c r="D2352">
        <v>5.6132780000000002</v>
      </c>
      <c r="E2352">
        <v>0.42206700000000003</v>
      </c>
      <c r="F2352" t="s">
        <v>49</v>
      </c>
      <c r="G2352">
        <v>-411.32389999999998</v>
      </c>
      <c r="H2352" s="1">
        <v>2.5810299999999999E-6</v>
      </c>
      <c r="I2352">
        <v>283.01</v>
      </c>
      <c r="J2352">
        <v>-402.22469999999998</v>
      </c>
      <c r="K2352">
        <v>1.12077</v>
      </c>
      <c r="L2352">
        <v>284.51830000000001</v>
      </c>
      <c r="M2352">
        <v>-0.99985760000000001</v>
      </c>
      <c r="N2352">
        <v>-1.4621840000000001E-2</v>
      </c>
      <c r="O2352">
        <v>8.4227550000000005E-3</v>
      </c>
      <c r="P2352">
        <v>-0.98220870000000005</v>
      </c>
      <c r="Q2352">
        <v>0.182783</v>
      </c>
      <c r="R2352">
        <v>4.3086480000000003E-2</v>
      </c>
      <c r="S2352">
        <v>-3.145721</v>
      </c>
      <c r="T2352">
        <v>-0.37270829999999999</v>
      </c>
      <c r="U2352">
        <v>-0.50054929999999997</v>
      </c>
      <c r="V2352">
        <v>3.4862610000000002E-2</v>
      </c>
      <c r="W2352">
        <v>0.19712089999999999</v>
      </c>
      <c r="X2352">
        <v>0.97975909999999999</v>
      </c>
      <c r="Y2352">
        <v>-0.16415080000000001</v>
      </c>
      <c r="Z2352">
        <v>-1.1709249999999999E-2</v>
      </c>
      <c r="AA2352">
        <v>0.98636570000000001</v>
      </c>
      <c r="AB2352">
        <v>35</v>
      </c>
      <c r="AC2352">
        <v>-9.0991999999999909</v>
      </c>
      <c r="AD2352">
        <v>-1.1207674189700001</v>
      </c>
      <c r="AE2352">
        <v>-1.50830000000001</v>
      </c>
      <c r="AF2352">
        <v>-1.5618335319132599</v>
      </c>
      <c r="AG2352">
        <v>-1.1207674189700001</v>
      </c>
      <c r="AH2352">
        <v>8.9539607435378397</v>
      </c>
      <c r="AI2352">
        <v>97.029555380498607</v>
      </c>
      <c r="AJ2352">
        <v>99.894518027790397</v>
      </c>
      <c r="AK2352">
        <v>9.1579941354889591</v>
      </c>
      <c r="AL2352">
        <v>78.631352308353598</v>
      </c>
      <c r="AM2352">
        <v>87.962113312573294</v>
      </c>
      <c r="AN2352">
        <v>0.99999997241281502</v>
      </c>
    </row>
    <row r="2353" spans="1:40" x14ac:dyDescent="0.25">
      <c r="A2353" t="str">
        <f>"20190303162300515"</f>
        <v>20190303162300515</v>
      </c>
      <c r="B2353" t="str">
        <f>"1551601380506385"</f>
        <v>1551601380506385</v>
      </c>
      <c r="C2353" t="s">
        <v>40</v>
      </c>
      <c r="D2353">
        <v>5.5344660000000001</v>
      </c>
      <c r="E2353">
        <v>0.42200159999999998</v>
      </c>
      <c r="F2353" t="s">
        <v>49</v>
      </c>
      <c r="G2353">
        <v>-411.7133</v>
      </c>
      <c r="H2353" s="1">
        <v>2.650612E-6</v>
      </c>
      <c r="I2353">
        <v>283.00400000000002</v>
      </c>
      <c r="J2353">
        <v>-402.59469999999999</v>
      </c>
      <c r="K2353">
        <v>1.120776</v>
      </c>
      <c r="L2353">
        <v>284.5215</v>
      </c>
      <c r="M2353">
        <v>-0.99985679999999999</v>
      </c>
      <c r="N2353">
        <v>-1.462137E-2</v>
      </c>
      <c r="O2353">
        <v>8.5192500000000008E-3</v>
      </c>
      <c r="P2353">
        <v>-0.98227129999999996</v>
      </c>
      <c r="Q2353">
        <v>0.18238380000000001</v>
      </c>
      <c r="R2353">
        <v>4.3352700000000001E-2</v>
      </c>
      <c r="S2353">
        <v>-3.1454770000000001</v>
      </c>
      <c r="T2353">
        <v>-0.37153710000000001</v>
      </c>
      <c r="U2353">
        <v>-0.50198359999999997</v>
      </c>
      <c r="V2353">
        <v>3.503332E-2</v>
      </c>
      <c r="W2353">
        <v>0.19672220000000001</v>
      </c>
      <c r="X2353">
        <v>0.97983319999999996</v>
      </c>
      <c r="Y2353">
        <v>-0.1646994</v>
      </c>
      <c r="Z2353">
        <v>-1.172256E-2</v>
      </c>
      <c r="AA2353">
        <v>0.98627410000000004</v>
      </c>
      <c r="AB2353">
        <v>35</v>
      </c>
      <c r="AC2353">
        <v>-9.1186000000000096</v>
      </c>
      <c r="AD2353">
        <v>-1.1207733493880001</v>
      </c>
      <c r="AE2353">
        <v>-1.5174999999999801</v>
      </c>
      <c r="AF2353">
        <v>-1.5720281666442599</v>
      </c>
      <c r="AG2353">
        <v>-1.1207733493880001</v>
      </c>
      <c r="AH2353">
        <v>8.9734309426810199</v>
      </c>
      <c r="AI2353">
        <v>97.013599375945901</v>
      </c>
      <c r="AJ2353">
        <v>99.936639377674197</v>
      </c>
      <c r="AK2353">
        <v>9.1787727033894093</v>
      </c>
      <c r="AL2353">
        <v>78.654653015707396</v>
      </c>
      <c r="AM2353">
        <v>87.952297707910105</v>
      </c>
      <c r="AN2353">
        <v>1.00000002865265</v>
      </c>
    </row>
    <row r="2354" spans="1:40" x14ac:dyDescent="0.25">
      <c r="A2354" t="str">
        <f>"20190303162300535"</f>
        <v>20190303162300535</v>
      </c>
      <c r="B2354" t="str">
        <f>"1551601380526881"</f>
        <v>1551601380526881</v>
      </c>
      <c r="C2354" t="s">
        <v>40</v>
      </c>
      <c r="D2354">
        <v>5.2724120000000001</v>
      </c>
      <c r="E2354">
        <v>0.42191299999999998</v>
      </c>
      <c r="F2354" t="s">
        <v>49</v>
      </c>
      <c r="G2354">
        <v>-412.09429999999998</v>
      </c>
      <c r="H2354" s="1">
        <v>2.7179240000000001E-6</v>
      </c>
      <c r="I2354">
        <v>283.00709999999998</v>
      </c>
      <c r="J2354">
        <v>-402.92320000000001</v>
      </c>
      <c r="K2354">
        <v>1.120779</v>
      </c>
      <c r="L2354">
        <v>284.52440000000001</v>
      </c>
      <c r="M2354">
        <v>-0.99985619999999997</v>
      </c>
      <c r="N2354">
        <v>-1.462054E-2</v>
      </c>
      <c r="O2354">
        <v>8.6048979999999997E-3</v>
      </c>
      <c r="P2354">
        <v>-0.98238840000000005</v>
      </c>
      <c r="Q2354">
        <v>0.1818399</v>
      </c>
      <c r="R2354">
        <v>4.2986169999999997E-2</v>
      </c>
      <c r="S2354">
        <v>-3.1451720000000001</v>
      </c>
      <c r="T2354">
        <v>-0.37107210000000002</v>
      </c>
      <c r="U2354">
        <v>-0.50137330000000002</v>
      </c>
      <c r="V2354">
        <v>3.4581430000000003E-2</v>
      </c>
      <c r="W2354">
        <v>0.1961794</v>
      </c>
      <c r="X2354">
        <v>0.97995810000000005</v>
      </c>
      <c r="Y2354">
        <v>-0.16461519999999999</v>
      </c>
      <c r="Z2354">
        <v>-1.1713650000000001E-2</v>
      </c>
      <c r="AA2354">
        <v>0.98628830000000001</v>
      </c>
      <c r="AB2354">
        <v>35</v>
      </c>
      <c r="AC2354">
        <v>-9.1710999999999601</v>
      </c>
      <c r="AD2354">
        <v>-1.1207762820759899</v>
      </c>
      <c r="AE2354">
        <v>-1.5173000000000301</v>
      </c>
      <c r="AF2354">
        <v>-1.57329797413905</v>
      </c>
      <c r="AG2354">
        <v>-1.1207762820759899</v>
      </c>
      <c r="AH2354">
        <v>9.0264869575930398</v>
      </c>
      <c r="AI2354">
        <v>96.973840696584205</v>
      </c>
      <c r="AJ2354">
        <v>99.887210406332301</v>
      </c>
      <c r="AK2354">
        <v>9.2308652240996008</v>
      </c>
      <c r="AL2354">
        <v>78.686371537876497</v>
      </c>
      <c r="AM2354">
        <v>87.978946098101005</v>
      </c>
      <c r="AN2354">
        <v>1.0000000550204</v>
      </c>
    </row>
    <row r="2355" spans="1:40" x14ac:dyDescent="0.25">
      <c r="A2355" t="str">
        <f>"20190303162300558"</f>
        <v>20190303162300558</v>
      </c>
      <c r="B2355" t="str">
        <f>"1551601380546401"</f>
        <v>1551601380546401</v>
      </c>
      <c r="C2355" t="s">
        <v>40</v>
      </c>
      <c r="D2355">
        <v>5.5255580000000002</v>
      </c>
      <c r="E2355">
        <v>0.42220410000000003</v>
      </c>
      <c r="F2355" t="s">
        <v>49</v>
      </c>
      <c r="G2355">
        <v>-412.42079999999999</v>
      </c>
      <c r="H2355" s="1">
        <v>2.776008E-6</v>
      </c>
      <c r="I2355">
        <v>283.00529999999998</v>
      </c>
      <c r="J2355">
        <v>-403.26440000000002</v>
      </c>
      <c r="K2355">
        <v>1.120781</v>
      </c>
      <c r="L2355">
        <v>284.5274</v>
      </c>
      <c r="M2355">
        <v>-0.9998553</v>
      </c>
      <c r="N2355">
        <v>-1.461936E-2</v>
      </c>
      <c r="O2355">
        <v>8.6936549999999998E-3</v>
      </c>
      <c r="P2355">
        <v>-0.98229379999999999</v>
      </c>
      <c r="Q2355">
        <v>0.1823737</v>
      </c>
      <c r="R2355">
        <v>4.2875280000000002E-2</v>
      </c>
      <c r="S2355">
        <v>-3.144501</v>
      </c>
      <c r="T2355">
        <v>-0.37107099999999998</v>
      </c>
      <c r="U2355">
        <v>-0.50292970000000004</v>
      </c>
      <c r="V2355">
        <v>3.438397E-2</v>
      </c>
      <c r="W2355">
        <v>0.19671050000000001</v>
      </c>
      <c r="X2355">
        <v>0.97985849999999997</v>
      </c>
      <c r="Y2355">
        <v>-0.16520609999999999</v>
      </c>
      <c r="Z2355">
        <v>-1.176338E-2</v>
      </c>
      <c r="AA2355">
        <v>0.98618890000000003</v>
      </c>
      <c r="AB2355">
        <v>35</v>
      </c>
      <c r="AC2355">
        <v>-9.1563999999999606</v>
      </c>
      <c r="AD2355">
        <v>-1.1207782239920001</v>
      </c>
      <c r="AE2355">
        <v>-1.52210000000002</v>
      </c>
      <c r="AF2355">
        <v>-1.5786373430038201</v>
      </c>
      <c r="AG2355">
        <v>-1.1207782239920001</v>
      </c>
      <c r="AH2355">
        <v>9.0114349515888801</v>
      </c>
      <c r="AI2355">
        <v>96.9843500303501</v>
      </c>
      <c r="AJ2355">
        <v>99.936339384132907</v>
      </c>
      <c r="AK2355">
        <v>9.21706024580606</v>
      </c>
      <c r="AL2355">
        <v>78.655336166422998</v>
      </c>
      <c r="AM2355">
        <v>87.990272734177097</v>
      </c>
      <c r="AN2355">
        <v>0.99999997911272998</v>
      </c>
    </row>
    <row r="2356" spans="1:40" x14ac:dyDescent="0.25">
      <c r="A2356" t="str">
        <f>"20190303162300580"</f>
        <v>20190303162300580</v>
      </c>
      <c r="B2356" t="str">
        <f>"1551601380576657"</f>
        <v>1551601380576657</v>
      </c>
      <c r="C2356" t="s">
        <v>40</v>
      </c>
      <c r="D2356">
        <v>5.4242879999999998</v>
      </c>
      <c r="E2356">
        <v>0.47542869999999998</v>
      </c>
      <c r="F2356" t="s">
        <v>49</v>
      </c>
      <c r="G2356">
        <v>-412.88720000000001</v>
      </c>
      <c r="H2356" s="1">
        <v>2.8596059999999999E-6</v>
      </c>
      <c r="I2356">
        <v>282.99529999999999</v>
      </c>
      <c r="J2356">
        <v>-403.61559999999997</v>
      </c>
      <c r="K2356">
        <v>1.1207879999999999</v>
      </c>
      <c r="L2356">
        <v>284.53050000000002</v>
      </c>
      <c r="M2356">
        <v>-0.99985469999999999</v>
      </c>
      <c r="N2356">
        <v>-1.4617979999999999E-2</v>
      </c>
      <c r="O2356">
        <v>8.7849720000000003E-3</v>
      </c>
      <c r="P2356">
        <v>-0.982178</v>
      </c>
      <c r="Q2356">
        <v>0.18304319999999999</v>
      </c>
      <c r="R2356">
        <v>4.2682890000000001E-2</v>
      </c>
      <c r="S2356">
        <v>-3.1439210000000002</v>
      </c>
      <c r="T2356">
        <v>-0.36617620000000001</v>
      </c>
      <c r="U2356">
        <v>-0.50054929999999997</v>
      </c>
      <c r="V2356">
        <v>3.4103250000000002E-2</v>
      </c>
      <c r="W2356">
        <v>0.19737759999999999</v>
      </c>
      <c r="X2356">
        <v>0.9797342</v>
      </c>
      <c r="Y2356">
        <v>-0.164632</v>
      </c>
      <c r="Z2356">
        <v>-1.1597659999999999E-2</v>
      </c>
      <c r="AA2356">
        <v>0.98628689999999997</v>
      </c>
      <c r="AB2356">
        <v>35</v>
      </c>
      <c r="AC2356">
        <v>-9.2716000000000296</v>
      </c>
      <c r="AD2356">
        <v>-1.1207851403939999</v>
      </c>
      <c r="AE2356">
        <v>-1.5352000000000301</v>
      </c>
      <c r="AF2356">
        <v>-1.59392985717719</v>
      </c>
      <c r="AG2356">
        <v>-1.1207851403939999</v>
      </c>
      <c r="AH2356">
        <v>9.1279282761753198</v>
      </c>
      <c r="AI2356">
        <v>96.896769175715207</v>
      </c>
      <c r="AJ2356">
        <v>99.905185849649001</v>
      </c>
      <c r="AK2356">
        <v>9.3335870026228402</v>
      </c>
      <c r="AL2356">
        <v>78.616350345316107</v>
      </c>
      <c r="AM2356">
        <v>88.006414706120395</v>
      </c>
      <c r="AN2356">
        <v>1.00000002564598</v>
      </c>
    </row>
    <row r="2357" spans="1:40" x14ac:dyDescent="0.25">
      <c r="A2357" t="str">
        <f>"20190303162300594"</f>
        <v>20190303162300594</v>
      </c>
      <c r="B2357" t="str">
        <f>"1551601380586416"</f>
        <v>1551601380586416</v>
      </c>
      <c r="C2357" t="s">
        <v>40</v>
      </c>
      <c r="D2357">
        <v>5.4141360000000001</v>
      </c>
      <c r="E2357">
        <v>0.48076029999999997</v>
      </c>
      <c r="F2357" t="s">
        <v>49</v>
      </c>
      <c r="G2357">
        <v>-431.0256</v>
      </c>
      <c r="H2357" s="1">
        <v>2.7372109999999999E-6</v>
      </c>
      <c r="I2357">
        <v>283.86829999999998</v>
      </c>
      <c r="J2357">
        <v>-403.82549999999998</v>
      </c>
      <c r="K2357">
        <v>1.12079</v>
      </c>
      <c r="L2357">
        <v>284.5324</v>
      </c>
      <c r="M2357">
        <v>-0.99985409999999997</v>
      </c>
      <c r="N2357">
        <v>-1.461693E-2</v>
      </c>
      <c r="O2357">
        <v>8.8400470000000002E-3</v>
      </c>
      <c r="P2357">
        <v>-0.9820894</v>
      </c>
      <c r="Q2357">
        <v>0.1834886</v>
      </c>
      <c r="R2357">
        <v>4.2809519999999997E-2</v>
      </c>
      <c r="S2357">
        <v>-3.0811160000000002</v>
      </c>
      <c r="T2357">
        <v>-0.1259855</v>
      </c>
      <c r="U2357">
        <v>-7.4432369999999998E-2</v>
      </c>
      <c r="V2357">
        <v>3.4176529999999997E-2</v>
      </c>
      <c r="W2357">
        <v>0.1978202</v>
      </c>
      <c r="X2357">
        <v>0.97964229999999997</v>
      </c>
      <c r="Y2357">
        <v>-3.2947610000000002E-2</v>
      </c>
      <c r="Z2357">
        <v>-1.1463109999999999E-3</v>
      </c>
      <c r="AA2357">
        <v>0.99945640000000002</v>
      </c>
      <c r="AB2357">
        <v>35</v>
      </c>
      <c r="AC2357">
        <v>-27.200099999999999</v>
      </c>
      <c r="AD2357">
        <v>-1.1207872627890001</v>
      </c>
      <c r="AE2357">
        <v>-0.66410000000001901</v>
      </c>
      <c r="AF2357">
        <v>-0.90301759952031602</v>
      </c>
      <c r="AG2357">
        <v>-1.1207872627890001</v>
      </c>
      <c r="AH2357">
        <v>27.1471007666179</v>
      </c>
      <c r="AI2357">
        <v>92.362848780543899</v>
      </c>
      <c r="AJ2357">
        <v>91.905176819344106</v>
      </c>
      <c r="AK2357">
        <v>27.185229167810501</v>
      </c>
      <c r="AL2357">
        <v>78.590480310902805</v>
      </c>
      <c r="AM2357">
        <v>88.001947152611805</v>
      </c>
      <c r="AN2357">
        <v>0.99999995134008401</v>
      </c>
    </row>
    <row r="2358" spans="1:40" x14ac:dyDescent="0.25">
      <c r="A2358" t="str">
        <f>"20190303162300613"</f>
        <v>20190303162300613</v>
      </c>
      <c r="B2358" t="str">
        <f>"1551601380606913"</f>
        <v>1551601380606913</v>
      </c>
      <c r="C2358" t="s">
        <v>40</v>
      </c>
      <c r="D2358">
        <v>5.4113910000000001</v>
      </c>
      <c r="E2358">
        <v>0.48587910000000001</v>
      </c>
      <c r="F2358" t="s">
        <v>49</v>
      </c>
      <c r="G2358">
        <v>-431.00310000000002</v>
      </c>
      <c r="H2358" s="1">
        <v>2.6935480000000002E-6</v>
      </c>
      <c r="I2358">
        <v>284.2534</v>
      </c>
      <c r="J2358">
        <v>-404.13749999999999</v>
      </c>
      <c r="K2358">
        <v>1.1207959999999999</v>
      </c>
      <c r="L2358">
        <v>284.53519999999997</v>
      </c>
      <c r="M2358">
        <v>-0.99985360000000001</v>
      </c>
      <c r="N2358">
        <v>-1.46152E-2</v>
      </c>
      <c r="O2358">
        <v>8.9212930000000003E-3</v>
      </c>
      <c r="P2358">
        <v>-0.98197489999999998</v>
      </c>
      <c r="Q2358">
        <v>0.18404239999999999</v>
      </c>
      <c r="R2358">
        <v>4.3060979999999999E-2</v>
      </c>
      <c r="S2358">
        <v>-3.079834</v>
      </c>
      <c r="T2358">
        <v>-0.1270106</v>
      </c>
      <c r="U2358">
        <v>-3.1616209999999999E-2</v>
      </c>
      <c r="V2358">
        <v>3.4349240000000003E-2</v>
      </c>
      <c r="W2358">
        <v>0.19837080000000001</v>
      </c>
      <c r="X2358">
        <v>0.97952499999999998</v>
      </c>
      <c r="Y2358">
        <v>-1.916116E-2</v>
      </c>
      <c r="Z2358">
        <v>-7.7242259999999905E-4</v>
      </c>
      <c r="AA2358">
        <v>0.99981609999999999</v>
      </c>
      <c r="AB2358">
        <v>35</v>
      </c>
      <c r="AC2358">
        <v>-26.865600000000001</v>
      </c>
      <c r="AD2358">
        <v>-1.1207933064519999</v>
      </c>
      <c r="AE2358">
        <v>-0.28179999999997501</v>
      </c>
      <c r="AF2358">
        <v>-0.520584280917604</v>
      </c>
      <c r="AG2358">
        <v>-1.1207933064519999</v>
      </c>
      <c r="AH2358">
        <v>26.8153510944434</v>
      </c>
      <c r="AI2358">
        <v>92.392931328232905</v>
      </c>
      <c r="AJ2358">
        <v>91.112181440909197</v>
      </c>
      <c r="AK2358">
        <v>26.843811948894199</v>
      </c>
      <c r="AL2358">
        <v>78.558296407437993</v>
      </c>
      <c r="AM2358">
        <v>87.991618020756505</v>
      </c>
      <c r="AN2358">
        <v>1.0000000351031</v>
      </c>
    </row>
    <row r="2359" spans="1:40" x14ac:dyDescent="0.25">
      <c r="A2359" t="str">
        <f>"20190303162300627"</f>
        <v>20190303162300627</v>
      </c>
      <c r="B2359" t="str">
        <f>"1551601380616673"</f>
        <v>1551601380616673</v>
      </c>
      <c r="C2359" t="s">
        <v>40</v>
      </c>
      <c r="D2359">
        <v>5.2887329999999997</v>
      </c>
      <c r="E2359">
        <v>0.48665130000000001</v>
      </c>
      <c r="F2359" t="s">
        <v>49</v>
      </c>
      <c r="G2359">
        <v>-430.35</v>
      </c>
      <c r="H2359" s="1">
        <v>2.37162E-6</v>
      </c>
      <c r="I2359">
        <v>284.62279999999998</v>
      </c>
      <c r="J2359">
        <v>-404.3553</v>
      </c>
      <c r="K2359">
        <v>1.1207990000000001</v>
      </c>
      <c r="L2359">
        <v>284.53719999999998</v>
      </c>
      <c r="M2359">
        <v>-0.99985299999999999</v>
      </c>
      <c r="N2359">
        <v>-1.4613889999999999E-2</v>
      </c>
      <c r="O2359">
        <v>8.9779819999999903E-3</v>
      </c>
      <c r="P2359">
        <v>-0.98199429999999999</v>
      </c>
      <c r="Q2359">
        <v>0.18392510000000001</v>
      </c>
      <c r="R2359">
        <v>4.311661E-2</v>
      </c>
      <c r="S2359">
        <v>-3.079285</v>
      </c>
      <c r="T2359">
        <v>-0.13166429999999901</v>
      </c>
      <c r="U2359">
        <v>1.0284420000000001E-2</v>
      </c>
      <c r="V2359">
        <v>3.434893E-2</v>
      </c>
      <c r="W2359">
        <v>0.1982526</v>
      </c>
      <c r="X2359">
        <v>0.97954889999999994</v>
      </c>
      <c r="Y2359">
        <v>-5.6287139999999999E-3</v>
      </c>
      <c r="Z2359">
        <v>-4.1396480000000001E-4</v>
      </c>
      <c r="AA2359">
        <v>0.99998410000000004</v>
      </c>
      <c r="AB2359">
        <v>35</v>
      </c>
      <c r="AC2359">
        <v>-25.994700000000002</v>
      </c>
      <c r="AD2359">
        <v>-1.1207966283799999</v>
      </c>
      <c r="AE2359">
        <v>8.5599999999999399E-2</v>
      </c>
      <c r="AF2359">
        <v>-0.147534036259441</v>
      </c>
      <c r="AG2359">
        <v>-1.1207966283799999</v>
      </c>
      <c r="AH2359">
        <v>25.946186760522899</v>
      </c>
      <c r="AI2359">
        <v>92.473426369464406</v>
      </c>
      <c r="AJ2359">
        <v>90.325789164679193</v>
      </c>
      <c r="AK2359">
        <v>25.970802043563801</v>
      </c>
      <c r="AL2359">
        <v>78.565205534314799</v>
      </c>
      <c r="AM2359">
        <v>87.991685093364694</v>
      </c>
      <c r="AN2359">
        <v>0.99999999494505698</v>
      </c>
    </row>
    <row r="2360" spans="1:40" x14ac:dyDescent="0.25">
      <c r="A2360" t="str">
        <f>"20190303162300643"</f>
        <v>20190303162300643</v>
      </c>
      <c r="B2360" t="str">
        <f>"1551601380637169"</f>
        <v>1551601380637169</v>
      </c>
      <c r="C2360" t="s">
        <v>40</v>
      </c>
      <c r="D2360">
        <v>5.4047939999999999</v>
      </c>
      <c r="E2360">
        <v>0.48817359999999999</v>
      </c>
      <c r="F2360" t="s">
        <v>49</v>
      </c>
      <c r="G2360">
        <v>-430.10250000000002</v>
      </c>
      <c r="H2360" s="1">
        <v>2.2572479999999998E-6</v>
      </c>
      <c r="I2360">
        <v>284.67579999999998</v>
      </c>
      <c r="J2360">
        <v>-404.59140000000002</v>
      </c>
      <c r="K2360">
        <v>1.120795</v>
      </c>
      <c r="L2360">
        <v>284.5394</v>
      </c>
      <c r="M2360">
        <v>-0.99985250000000003</v>
      </c>
      <c r="N2360">
        <v>-1.461237E-2</v>
      </c>
      <c r="O2360">
        <v>9.0396179999999993E-3</v>
      </c>
      <c r="P2360">
        <v>-0.98196660000000002</v>
      </c>
      <c r="Q2360">
        <v>0.1840436</v>
      </c>
      <c r="R2360">
        <v>4.3244959999999999E-2</v>
      </c>
      <c r="S2360">
        <v>-3.0794069999999998</v>
      </c>
      <c r="T2360">
        <v>-0.1340491</v>
      </c>
      <c r="U2360">
        <v>1.6571039999999999E-2</v>
      </c>
      <c r="V2360">
        <v>3.4416879999999997E-2</v>
      </c>
      <c r="W2360">
        <v>0.19836899999999999</v>
      </c>
      <c r="X2360">
        <v>0.97952289999999997</v>
      </c>
      <c r="Y2360">
        <v>-3.6511059999999999E-3</v>
      </c>
      <c r="Z2360">
        <v>-3.6737309999999997E-4</v>
      </c>
      <c r="AA2360">
        <v>0.99999329999999997</v>
      </c>
      <c r="AB2360">
        <v>35</v>
      </c>
      <c r="AC2360">
        <v>-25.511099999999999</v>
      </c>
      <c r="AD2360">
        <v>-1.1207927427519999</v>
      </c>
      <c r="AE2360">
        <v>0.13639999999998001</v>
      </c>
      <c r="AF2360">
        <v>-9.4059223638247397E-2</v>
      </c>
      <c r="AG2360">
        <v>-1.1207927427519999</v>
      </c>
      <c r="AH2360">
        <v>25.462146084984301</v>
      </c>
      <c r="AI2360">
        <v>92.520401438758398</v>
      </c>
      <c r="AJ2360">
        <v>90.211654273244903</v>
      </c>
      <c r="AK2360">
        <v>25.486975237615699</v>
      </c>
      <c r="AL2360">
        <v>78.558400605866794</v>
      </c>
      <c r="AM2360">
        <v>87.987662083218495</v>
      </c>
      <c r="AN2360">
        <v>0.99999994670716996</v>
      </c>
    </row>
    <row r="2361" spans="1:40" x14ac:dyDescent="0.25">
      <c r="A2361" t="str">
        <f>"20190303162300658"</f>
        <v>20190303162300658</v>
      </c>
      <c r="B2361" t="str">
        <f>"1551601380646930"</f>
        <v>1551601380646930</v>
      </c>
      <c r="C2361" t="s">
        <v>40</v>
      </c>
      <c r="D2361">
        <v>5.4005169999999998</v>
      </c>
      <c r="E2361">
        <v>0.48859930000000001</v>
      </c>
      <c r="F2361" t="s">
        <v>49</v>
      </c>
      <c r="G2361">
        <v>-429.6798</v>
      </c>
      <c r="H2361" s="1">
        <v>2.2332960000000002E-6</v>
      </c>
      <c r="I2361">
        <v>284.77960000000002</v>
      </c>
      <c r="J2361">
        <v>-404.83879999999999</v>
      </c>
      <c r="K2361">
        <v>1.120798</v>
      </c>
      <c r="L2361">
        <v>284.54169999999999</v>
      </c>
      <c r="M2361">
        <v>-0.99985179999999996</v>
      </c>
      <c r="N2361">
        <v>-1.4610679999999999E-2</v>
      </c>
      <c r="O2361">
        <v>9.1045329999999997E-3</v>
      </c>
      <c r="P2361">
        <v>-0.98197849999999998</v>
      </c>
      <c r="Q2361">
        <v>0.18409629999999999</v>
      </c>
      <c r="R2361">
        <v>4.27436E-2</v>
      </c>
      <c r="S2361">
        <v>-3.07959</v>
      </c>
      <c r="T2361">
        <v>-0.13757710000000001</v>
      </c>
      <c r="U2361">
        <v>2.9479979999999999E-2</v>
      </c>
      <c r="V2361">
        <v>3.3851590000000001E-2</v>
      </c>
      <c r="W2361">
        <v>0.1984204</v>
      </c>
      <c r="X2361">
        <v>0.97953219999999996</v>
      </c>
      <c r="Y2361">
        <v>4.7026240000000002E-4</v>
      </c>
      <c r="Z2361">
        <v>-2.5959129999999998E-4</v>
      </c>
      <c r="AA2361">
        <v>0.99999990000000005</v>
      </c>
      <c r="AB2361">
        <v>35</v>
      </c>
      <c r="AC2361">
        <v>-24.841000000000001</v>
      </c>
      <c r="AD2361">
        <v>-1.1207957667039901</v>
      </c>
      <c r="AE2361">
        <v>0.23790000000002401</v>
      </c>
      <c r="AF2361">
        <v>1.1676520185674199E-2</v>
      </c>
      <c r="AG2361">
        <v>-1.1207957667039901</v>
      </c>
      <c r="AH2361">
        <v>24.7916724920312</v>
      </c>
      <c r="AI2361">
        <v>92.588496782815199</v>
      </c>
      <c r="AJ2361">
        <v>89.973014516193501</v>
      </c>
      <c r="AK2361">
        <v>24.816997087559201</v>
      </c>
      <c r="AL2361">
        <v>78.5553960069021</v>
      </c>
      <c r="AM2361">
        <v>88.020706577518993</v>
      </c>
      <c r="AN2361">
        <v>0.99999995805926301</v>
      </c>
    </row>
    <row r="2362" spans="1:40" x14ac:dyDescent="0.25">
      <c r="A2362" t="str">
        <f>"20190303162300682"</f>
        <v>20190303162300682</v>
      </c>
      <c r="B2362" t="str">
        <f>"1551601380666635"</f>
        <v>1551601380666635</v>
      </c>
      <c r="C2362" t="s">
        <v>40</v>
      </c>
      <c r="D2362">
        <v>5.3356870000000001</v>
      </c>
      <c r="E2362">
        <v>0.48919859999999998</v>
      </c>
      <c r="F2362" t="s">
        <v>49</v>
      </c>
      <c r="G2362">
        <v>-429.8356</v>
      </c>
      <c r="H2362" s="1">
        <v>2.2042969999999999E-6</v>
      </c>
      <c r="I2362">
        <v>284.79509999999999</v>
      </c>
      <c r="J2362">
        <v>-405.18520000000001</v>
      </c>
      <c r="K2362">
        <v>1.120798</v>
      </c>
      <c r="L2362">
        <v>284.54500000000002</v>
      </c>
      <c r="M2362">
        <v>-0.99985100000000005</v>
      </c>
      <c r="N2362">
        <v>-1.460813E-2</v>
      </c>
      <c r="O2362">
        <v>9.1952019999999995E-3</v>
      </c>
      <c r="P2362">
        <v>-0.98196660000000002</v>
      </c>
      <c r="Q2362">
        <v>0.18415010000000001</v>
      </c>
      <c r="R2362">
        <v>4.2784799999999998E-2</v>
      </c>
      <c r="S2362">
        <v>-3.07959</v>
      </c>
      <c r="T2362">
        <v>-0.13808110000000001</v>
      </c>
      <c r="U2362">
        <v>3.1219480000000001E-2</v>
      </c>
      <c r="V2362">
        <v>3.3803729999999997E-2</v>
      </c>
      <c r="W2362">
        <v>0.1984718</v>
      </c>
      <c r="X2362">
        <v>0.97952349999999999</v>
      </c>
      <c r="Y2362">
        <v>9.4382530000000002E-4</v>
      </c>
      <c r="Z2362">
        <v>-2.497299E-4</v>
      </c>
      <c r="AA2362">
        <v>0.99999950000000004</v>
      </c>
      <c r="AB2362">
        <v>35</v>
      </c>
      <c r="AC2362">
        <v>-24.650399999999902</v>
      </c>
      <c r="AD2362">
        <v>-1.1207957957029999</v>
      </c>
      <c r="AE2362">
        <v>0.25009999999997401</v>
      </c>
      <c r="AF2362">
        <v>2.33515550465682E-2</v>
      </c>
      <c r="AG2362">
        <v>-1.1207957957029999</v>
      </c>
      <c r="AH2362">
        <v>24.600805413181501</v>
      </c>
      <c r="AI2362">
        <v>92.608551366121006</v>
      </c>
      <c r="AJ2362">
        <v>89.945613766503698</v>
      </c>
      <c r="AK2362">
        <v>24.626334593032901</v>
      </c>
      <c r="AL2362">
        <v>78.552391931785806</v>
      </c>
      <c r="AM2362">
        <v>88.023485176788597</v>
      </c>
      <c r="AN2362">
        <v>1.0000000173046999</v>
      </c>
    </row>
    <row r="2363" spans="1:40" x14ac:dyDescent="0.25">
      <c r="A2363" t="str">
        <f>"20190303162300703"</f>
        <v>20190303162300703</v>
      </c>
      <c r="B2363" t="str">
        <f>"1551601380696890"</f>
        <v>1551601380696890</v>
      </c>
      <c r="C2363" t="s">
        <v>40</v>
      </c>
      <c r="D2363">
        <v>5.3327049999999998</v>
      </c>
      <c r="E2363">
        <v>0.48968060000000002</v>
      </c>
      <c r="F2363" t="s">
        <v>49</v>
      </c>
      <c r="G2363">
        <v>-429.7953</v>
      </c>
      <c r="H2363" s="1">
        <v>2.2082689999999999E-6</v>
      </c>
      <c r="I2363">
        <v>284.83150000000001</v>
      </c>
      <c r="J2363">
        <v>-405.52879999999999</v>
      </c>
      <c r="K2363">
        <v>1.120803</v>
      </c>
      <c r="L2363">
        <v>284.54820000000001</v>
      </c>
      <c r="M2363">
        <v>-0.99985029999999997</v>
      </c>
      <c r="N2363">
        <v>-1.460549E-2</v>
      </c>
      <c r="O2363">
        <v>9.2850970000000008E-3</v>
      </c>
      <c r="P2363">
        <v>-0.98206760000000004</v>
      </c>
      <c r="Q2363">
        <v>0.18367549999999999</v>
      </c>
      <c r="R2363">
        <v>4.2506040000000002E-2</v>
      </c>
      <c r="S2363">
        <v>-3.0798649999999999</v>
      </c>
      <c r="T2363">
        <v>-0.14026340000000001</v>
      </c>
      <c r="U2363">
        <v>3.5858149999999998E-2</v>
      </c>
      <c r="V2363">
        <v>3.3435430000000002E-2</v>
      </c>
      <c r="W2363">
        <v>0.19799600000000001</v>
      </c>
      <c r="X2363">
        <v>0.97963239999999996</v>
      </c>
      <c r="Y2363">
        <v>2.3572340000000002E-3</v>
      </c>
      <c r="Z2363">
        <v>-2.1617279999999999E-4</v>
      </c>
      <c r="AA2363">
        <v>0.99999720000000003</v>
      </c>
      <c r="AB2363">
        <v>35</v>
      </c>
      <c r="AC2363">
        <v>-24.266500000000001</v>
      </c>
      <c r="AD2363">
        <v>-1.1208007917309999</v>
      </c>
      <c r="AE2363">
        <v>0.283299999999997</v>
      </c>
      <c r="AF2363">
        <v>5.7823624418126898E-2</v>
      </c>
      <c r="AG2363">
        <v>-1.1208007917309999</v>
      </c>
      <c r="AH2363">
        <v>24.2164316981093</v>
      </c>
      <c r="AI2363">
        <v>92.649902312397302</v>
      </c>
      <c r="AJ2363">
        <v>89.863190275918299</v>
      </c>
      <c r="AK2363">
        <v>24.242423603581301</v>
      </c>
      <c r="AL2363">
        <v>78.580204927512696</v>
      </c>
      <c r="AM2363">
        <v>88.045220149149003</v>
      </c>
      <c r="AN2363">
        <v>0.99999999156252195</v>
      </c>
    </row>
    <row r="2364" spans="1:40" x14ac:dyDescent="0.25">
      <c r="A2364" t="str">
        <f>"20190303162300726"</f>
        <v>20190303162300726</v>
      </c>
      <c r="B2364" t="str">
        <f>"1551601380717385"</f>
        <v>1551601380717385</v>
      </c>
      <c r="C2364" t="s">
        <v>40</v>
      </c>
      <c r="D2364">
        <v>5.2746079999999997</v>
      </c>
      <c r="E2364">
        <v>0.48996729999999999</v>
      </c>
      <c r="F2364" t="s">
        <v>49</v>
      </c>
      <c r="G2364">
        <v>-430.0222</v>
      </c>
      <c r="H2364" s="1">
        <v>2.2059470000000002E-6</v>
      </c>
      <c r="I2364">
        <v>284.85550000000001</v>
      </c>
      <c r="J2364">
        <v>-405.88220000000001</v>
      </c>
      <c r="K2364">
        <v>1.1208039999999999</v>
      </c>
      <c r="L2364">
        <v>284.55160000000001</v>
      </c>
      <c r="M2364">
        <v>-0.99984949999999995</v>
      </c>
      <c r="N2364">
        <v>-1.460261E-2</v>
      </c>
      <c r="O2364">
        <v>9.3772630000000003E-3</v>
      </c>
      <c r="P2364">
        <v>-0.98200719999999997</v>
      </c>
      <c r="Q2364">
        <v>0.1839267</v>
      </c>
      <c r="R2364">
        <v>4.281505E-2</v>
      </c>
      <c r="S2364">
        <v>-3.0794069999999998</v>
      </c>
      <c r="T2364">
        <v>-0.14091119999999999</v>
      </c>
      <c r="U2364">
        <v>3.8635250000000003E-2</v>
      </c>
      <c r="V2364">
        <v>3.3654570000000002E-2</v>
      </c>
      <c r="W2364">
        <v>0.19824369999999999</v>
      </c>
      <c r="X2364">
        <v>0.97957479999999997</v>
      </c>
      <c r="Y2364">
        <v>3.167441E-3</v>
      </c>
      <c r="Z2364">
        <v>-1.9638110000000001E-4</v>
      </c>
      <c r="AA2364">
        <v>0.99999499999999997</v>
      </c>
      <c r="AB2364">
        <v>35</v>
      </c>
      <c r="AC2364">
        <v>-24.139999999999901</v>
      </c>
      <c r="AD2364">
        <v>-1.120801794053</v>
      </c>
      <c r="AE2364">
        <v>0.30389999999999801</v>
      </c>
      <c r="AF2364">
        <v>7.7328720539366499E-2</v>
      </c>
      <c r="AG2364">
        <v>-1.120801794053</v>
      </c>
      <c r="AH2364">
        <v>24.089866779222302</v>
      </c>
      <c r="AI2364">
        <v>92.663800798827197</v>
      </c>
      <c r="AJ2364">
        <v>89.816080589202102</v>
      </c>
      <c r="AK2364">
        <v>24.1160497974533</v>
      </c>
      <c r="AL2364">
        <v>78.565725755700697</v>
      </c>
      <c r="AM2364">
        <v>88.032302709547807</v>
      </c>
      <c r="AN2364">
        <v>0.999999991733307</v>
      </c>
    </row>
    <row r="2365" spans="1:40" x14ac:dyDescent="0.25">
      <c r="A2365" t="str">
        <f>"20190303162300748"</f>
        <v>20190303162300748</v>
      </c>
      <c r="B2365" t="str">
        <f>"1551601380736907"</f>
        <v>1551601380736907</v>
      </c>
      <c r="C2365" t="s">
        <v>40</v>
      </c>
      <c r="D2365">
        <v>5.277711</v>
      </c>
      <c r="E2365">
        <v>0.4901085</v>
      </c>
      <c r="F2365" t="s">
        <v>49</v>
      </c>
      <c r="G2365">
        <v>-430.47160000000002</v>
      </c>
      <c r="H2365" s="1">
        <v>2.4025299999999998E-6</v>
      </c>
      <c r="I2365">
        <v>284.88639999999998</v>
      </c>
      <c r="J2365">
        <v>-406.22669999999999</v>
      </c>
      <c r="K2365">
        <v>1.1208039999999999</v>
      </c>
      <c r="L2365">
        <v>284.55489999999998</v>
      </c>
      <c r="M2365">
        <v>-0.99984859999999998</v>
      </c>
      <c r="N2365">
        <v>-1.459968E-2</v>
      </c>
      <c r="O2365">
        <v>9.4670410000000007E-3</v>
      </c>
      <c r="P2365">
        <v>-0.98200679999999996</v>
      </c>
      <c r="Q2365">
        <v>0.1838282</v>
      </c>
      <c r="R2365">
        <v>4.3241500000000002E-2</v>
      </c>
      <c r="S2365">
        <v>-3.079437</v>
      </c>
      <c r="T2365">
        <v>-0.14036289999999901</v>
      </c>
      <c r="U2365">
        <v>4.193115E-2</v>
      </c>
      <c r="V2365">
        <v>3.3992750000000002E-2</v>
      </c>
      <c r="W2365">
        <v>0.19814229999999999</v>
      </c>
      <c r="X2365">
        <v>0.97958369999999995</v>
      </c>
      <c r="Y2365">
        <v>4.1463079999999996E-3</v>
      </c>
      <c r="Z2365">
        <v>-1.6835320000000001E-4</v>
      </c>
      <c r="AA2365">
        <v>0.99999139999999997</v>
      </c>
      <c r="AB2365">
        <v>35</v>
      </c>
      <c r="AC2365">
        <v>-24.244900000000001</v>
      </c>
      <c r="AD2365">
        <v>-1.1208015974700001</v>
      </c>
      <c r="AE2365">
        <v>0.33150000000000501</v>
      </c>
      <c r="AF2365">
        <v>0.101715880487487</v>
      </c>
      <c r="AG2365">
        <v>-1.1208015974700001</v>
      </c>
      <c r="AH2365">
        <v>24.195254886309101</v>
      </c>
      <c r="AI2365">
        <v>92.652204370760003</v>
      </c>
      <c r="AJ2365">
        <v>89.759132261408496</v>
      </c>
      <c r="AK2365">
        <v>24.221414107246101</v>
      </c>
      <c r="AL2365">
        <v>78.571653823614795</v>
      </c>
      <c r="AM2365">
        <v>88.012564003802694</v>
      </c>
      <c r="AN2365">
        <v>1.0000000517037699</v>
      </c>
    </row>
    <row r="2366" spans="1:40" x14ac:dyDescent="0.25">
      <c r="A2366" t="str">
        <f>"20190303162300771"</f>
        <v>20190303162300771</v>
      </c>
      <c r="B2366" t="str">
        <f>"1551601380757401"</f>
        <v>1551601380757401</v>
      </c>
      <c r="C2366" t="s">
        <v>40</v>
      </c>
      <c r="D2366">
        <v>5.3335790000000003</v>
      </c>
      <c r="E2366">
        <v>0.49028579999999999</v>
      </c>
      <c r="F2366" t="s">
        <v>49</v>
      </c>
      <c r="G2366">
        <v>-430.59469999999999</v>
      </c>
      <c r="H2366" s="1">
        <v>2.4551960000000001E-6</v>
      </c>
      <c r="I2366">
        <v>284.90839999999997</v>
      </c>
      <c r="J2366">
        <v>-406.57139999999998</v>
      </c>
      <c r="K2366">
        <v>1.1208089999999999</v>
      </c>
      <c r="L2366">
        <v>284.5582</v>
      </c>
      <c r="M2366">
        <v>-0.99984790000000001</v>
      </c>
      <c r="N2366">
        <v>-1.4596639999999999E-2</v>
      </c>
      <c r="O2366">
        <v>9.5568219999999995E-3</v>
      </c>
      <c r="P2366">
        <v>-0.98205209999999998</v>
      </c>
      <c r="Q2366">
        <v>0.18353549999999999</v>
      </c>
      <c r="R2366">
        <v>4.3459400000000002E-2</v>
      </c>
      <c r="S2366">
        <v>-3.0795590000000002</v>
      </c>
      <c r="T2366">
        <v>-0.1416433</v>
      </c>
      <c r="U2366">
        <v>4.4677729999999999E-2</v>
      </c>
      <c r="V2366">
        <v>3.4121890000000002E-2</v>
      </c>
      <c r="W2366">
        <v>0.19784740000000001</v>
      </c>
      <c r="X2366">
        <v>0.97963880000000003</v>
      </c>
      <c r="Y2366">
        <v>4.9466279999999998E-3</v>
      </c>
      <c r="Z2366">
        <v>-1.5001930000000001E-4</v>
      </c>
      <c r="AA2366">
        <v>0.99998779999999998</v>
      </c>
      <c r="AB2366">
        <v>35</v>
      </c>
      <c r="AC2366">
        <v>-24.023299999999999</v>
      </c>
      <c r="AD2366">
        <v>-1.1208065448040001</v>
      </c>
      <c r="AE2366">
        <v>0.35019999999997198</v>
      </c>
      <c r="AF2366">
        <v>0.120311340454563</v>
      </c>
      <c r="AG2366">
        <v>-1.1208065448040001</v>
      </c>
      <c r="AH2366">
        <v>23.9733783836244</v>
      </c>
      <c r="AI2366">
        <v>92.676717063420597</v>
      </c>
      <c r="AJ2366">
        <v>89.712461295401795</v>
      </c>
      <c r="AK2366">
        <v>23.999865692414701</v>
      </c>
      <c r="AL2366">
        <v>78.588891442246407</v>
      </c>
      <c r="AM2366">
        <v>88.005131851194406</v>
      </c>
      <c r="AN2366">
        <v>1.00000003776468</v>
      </c>
    </row>
    <row r="2367" spans="1:40" x14ac:dyDescent="0.25">
      <c r="A2367" t="str">
        <f>"20190303162300792"</f>
        <v>20190303162300792</v>
      </c>
      <c r="B2367" t="str">
        <f>"1551601380786682"</f>
        <v>1551601380786682</v>
      </c>
      <c r="C2367" t="s">
        <v>40</v>
      </c>
      <c r="D2367">
        <v>5.3360450000000004</v>
      </c>
      <c r="E2367">
        <v>0.49060540000000002</v>
      </c>
      <c r="F2367" t="s">
        <v>49</v>
      </c>
      <c r="G2367">
        <v>-430.7244</v>
      </c>
      <c r="H2367" s="1">
        <v>2.5110970000000001E-6</v>
      </c>
      <c r="I2367">
        <v>284.92660000000001</v>
      </c>
      <c r="J2367">
        <v>-406.90839999999997</v>
      </c>
      <c r="K2367">
        <v>1.1208100000000001</v>
      </c>
      <c r="L2367">
        <v>284.5616</v>
      </c>
      <c r="M2367">
        <v>-0.99984709999999999</v>
      </c>
      <c r="N2367">
        <v>-1.459358E-2</v>
      </c>
      <c r="O2367">
        <v>9.6445739999999995E-3</v>
      </c>
      <c r="P2367">
        <v>-0.98202599999999995</v>
      </c>
      <c r="Q2367">
        <v>0.18361730000000001</v>
      </c>
      <c r="R2367">
        <v>4.3702539999999998E-2</v>
      </c>
      <c r="S2367">
        <v>-3.0794679999999999</v>
      </c>
      <c r="T2367">
        <v>-0.1429009</v>
      </c>
      <c r="U2367">
        <v>4.6966550000000003E-2</v>
      </c>
      <c r="V2367">
        <v>3.4278999999999997E-2</v>
      </c>
      <c r="W2367">
        <v>0.19792589999999999</v>
      </c>
      <c r="X2367">
        <v>0.97961739999999997</v>
      </c>
      <c r="Y2367">
        <v>5.601506E-3</v>
      </c>
      <c r="Z2367">
        <v>-1.357741E-4</v>
      </c>
      <c r="AA2367">
        <v>0.99998430000000005</v>
      </c>
      <c r="AB2367">
        <v>35</v>
      </c>
      <c r="AC2367">
        <v>-23.815999999999999</v>
      </c>
      <c r="AD2367">
        <v>-1.120807488903</v>
      </c>
      <c r="AE2367">
        <v>0.36500000000000898</v>
      </c>
      <c r="AF2367">
        <v>0.13496456475532001</v>
      </c>
      <c r="AG2367">
        <v>-1.120807488903</v>
      </c>
      <c r="AH2367">
        <v>23.765789840603201</v>
      </c>
      <c r="AI2367">
        <v>92.700055850394406</v>
      </c>
      <c r="AJ2367">
        <v>89.674624034459399</v>
      </c>
      <c r="AK2367">
        <v>23.792586904509601</v>
      </c>
      <c r="AL2367">
        <v>78.584302330547004</v>
      </c>
      <c r="AM2367">
        <v>87.9959104580619</v>
      </c>
      <c r="AN2367">
        <v>0.99999998105728405</v>
      </c>
    </row>
    <row r="2368" spans="1:40" x14ac:dyDescent="0.25">
      <c r="A2368" t="str">
        <f>"20190303162300815"</f>
        <v>20190303162300815</v>
      </c>
      <c r="B2368" t="str">
        <f>"1551601380807178"</f>
        <v>1551601380807178</v>
      </c>
      <c r="C2368" t="s">
        <v>40</v>
      </c>
      <c r="D2368">
        <v>5.320773</v>
      </c>
      <c r="E2368">
        <v>0.49063669999999998</v>
      </c>
      <c r="F2368" t="s">
        <v>49</v>
      </c>
      <c r="G2368">
        <v>-431.10079999999999</v>
      </c>
      <c r="H2368" s="1">
        <v>2.6754630000000001E-6</v>
      </c>
      <c r="I2368">
        <v>284.95569999999998</v>
      </c>
      <c r="J2368">
        <v>-407.26240000000001</v>
      </c>
      <c r="K2368">
        <v>1.1208129999999901</v>
      </c>
      <c r="L2368">
        <v>284.56509999999997</v>
      </c>
      <c r="M2368">
        <v>-0.99984629999999997</v>
      </c>
      <c r="N2368">
        <v>-1.4590280000000001E-2</v>
      </c>
      <c r="O2368">
        <v>9.7373900000000003E-3</v>
      </c>
      <c r="P2368">
        <v>-0.9819156</v>
      </c>
      <c r="Q2368">
        <v>0.18414169999999999</v>
      </c>
      <c r="R2368">
        <v>4.3979530000000003E-2</v>
      </c>
      <c r="S2368">
        <v>-3.0793460000000001</v>
      </c>
      <c r="T2368">
        <v>-0.14266300000000001</v>
      </c>
      <c r="U2368">
        <v>5.0170899999999997E-2</v>
      </c>
      <c r="V2368">
        <v>3.4465839999999998E-2</v>
      </c>
      <c r="W2368">
        <v>0.19844510000000001</v>
      </c>
      <c r="X2368">
        <v>0.97950579999999998</v>
      </c>
      <c r="Y2368">
        <v>6.5483099999999999E-3</v>
      </c>
      <c r="Z2368">
        <v>-1.0940859999999999E-4</v>
      </c>
      <c r="AA2368">
        <v>0.99997849999999999</v>
      </c>
      <c r="AB2368">
        <v>35</v>
      </c>
      <c r="AC2368">
        <v>-23.838399999999901</v>
      </c>
      <c r="AD2368">
        <v>-1.12081032453699</v>
      </c>
      <c r="AE2368">
        <v>0.390600000000006</v>
      </c>
      <c r="AF2368">
        <v>0.158083640331145</v>
      </c>
      <c r="AG2368">
        <v>-1.12081032453699</v>
      </c>
      <c r="AH2368">
        <v>23.788500692022701</v>
      </c>
      <c r="AI2368">
        <v>92.697472694143499</v>
      </c>
      <c r="AJ2368">
        <v>89.619253344639503</v>
      </c>
      <c r="AK2368">
        <v>23.815414575339499</v>
      </c>
      <c r="AL2368">
        <v>78.553952366209501</v>
      </c>
      <c r="AM2368">
        <v>87.984766622996005</v>
      </c>
      <c r="AN2368">
        <v>0.99999998203727702</v>
      </c>
    </row>
    <row r="2369" spans="1:40" x14ac:dyDescent="0.25">
      <c r="A2369" t="str">
        <f>"20190303162300837"</f>
        <v>20190303162300837</v>
      </c>
      <c r="B2369" t="str">
        <f>"1551601380826699"</f>
        <v>1551601380826699</v>
      </c>
      <c r="C2369" t="s">
        <v>40</v>
      </c>
      <c r="D2369">
        <v>5.1465820000000004</v>
      </c>
      <c r="E2369">
        <v>0.5121812</v>
      </c>
      <c r="F2369" t="s">
        <v>49</v>
      </c>
      <c r="G2369">
        <v>-431.78210000000001</v>
      </c>
      <c r="H2369" s="1">
        <v>2.976216E-6</v>
      </c>
      <c r="I2369">
        <v>284.97160000000002</v>
      </c>
      <c r="J2369">
        <v>-407.59800000000001</v>
      </c>
      <c r="K2369">
        <v>1.1208209999999901</v>
      </c>
      <c r="L2369">
        <v>284.5684</v>
      </c>
      <c r="M2369">
        <v>-0.99984530000000005</v>
      </c>
      <c r="N2369">
        <v>-1.4587050000000001E-2</v>
      </c>
      <c r="O2369">
        <v>9.8257959999999995E-3</v>
      </c>
      <c r="P2369">
        <v>-0.9818519</v>
      </c>
      <c r="Q2369">
        <v>0.1843883</v>
      </c>
      <c r="R2369">
        <v>4.436172E-2</v>
      </c>
      <c r="S2369">
        <v>-3.0793759999999999</v>
      </c>
      <c r="T2369">
        <v>-0.1407601</v>
      </c>
      <c r="U2369">
        <v>5.1055910000000003E-2</v>
      </c>
      <c r="V2369">
        <v>3.4761569999999999E-2</v>
      </c>
      <c r="W2369">
        <v>0.19868769999999999</v>
      </c>
      <c r="X2369">
        <v>0.97944620000000004</v>
      </c>
      <c r="Y2369">
        <v>6.7468429999999998E-3</v>
      </c>
      <c r="Z2369">
        <v>-1.02224E-4</v>
      </c>
      <c r="AA2369">
        <v>0.99997720000000001</v>
      </c>
      <c r="AB2369">
        <v>35</v>
      </c>
      <c r="AC2369">
        <v>-24.184100000000001</v>
      </c>
      <c r="AD2369">
        <v>-1.12081802378399</v>
      </c>
      <c r="AE2369">
        <v>0.40320000000002598</v>
      </c>
      <c r="AF2369">
        <v>0.16517253493879999</v>
      </c>
      <c r="AG2369">
        <v>-1.12081802378399</v>
      </c>
      <c r="AH2369">
        <v>24.1350695951378</v>
      </c>
      <c r="AI2369">
        <v>92.658808856323603</v>
      </c>
      <c r="AJ2369">
        <v>89.607892516587697</v>
      </c>
      <c r="AK2369">
        <v>24.1616452124204</v>
      </c>
      <c r="AL2369">
        <v>78.539770371389295</v>
      </c>
      <c r="AM2369">
        <v>87.967366020296694</v>
      </c>
      <c r="AN2369">
        <v>1.00000001378729</v>
      </c>
    </row>
    <row r="2370" spans="1:40" x14ac:dyDescent="0.25">
      <c r="A2370" t="str">
        <f>"20190303162300859"</f>
        <v>20190303162300859</v>
      </c>
      <c r="B2370" t="str">
        <f>"1551601380847194"</f>
        <v>1551601380847194</v>
      </c>
      <c r="C2370" t="s">
        <v>40</v>
      </c>
      <c r="D2370">
        <v>5.1471960000000001</v>
      </c>
      <c r="E2370">
        <v>0.51500369999999995</v>
      </c>
      <c r="F2370" t="s">
        <v>49</v>
      </c>
      <c r="G2370">
        <v>-438.03989999999999</v>
      </c>
      <c r="H2370" s="1">
        <v>5.5920790000000003E-6</v>
      </c>
      <c r="I2370">
        <v>286.79300000000001</v>
      </c>
      <c r="J2370">
        <v>-407.94400000000002</v>
      </c>
      <c r="K2370">
        <v>1.120824</v>
      </c>
      <c r="L2370">
        <v>284.57190000000003</v>
      </c>
      <c r="M2370">
        <v>-0.99984459999999997</v>
      </c>
      <c r="N2370">
        <v>-1.458367E-2</v>
      </c>
      <c r="O2370">
        <v>9.9160559999999995E-3</v>
      </c>
      <c r="P2370">
        <v>-0.98183569999999998</v>
      </c>
      <c r="Q2370">
        <v>0.1842955</v>
      </c>
      <c r="R2370">
        <v>4.5099050000000002E-2</v>
      </c>
      <c r="S2370">
        <v>-3.0665279999999999</v>
      </c>
      <c r="T2370">
        <v>-0.112904</v>
      </c>
      <c r="U2370">
        <v>0.2240906</v>
      </c>
      <c r="V2370">
        <v>3.5410240000000003E-2</v>
      </c>
      <c r="W2370">
        <v>0.19859189999999999</v>
      </c>
      <c r="X2370">
        <v>0.97944240000000005</v>
      </c>
      <c r="Y2370">
        <v>6.2930799999999995E-2</v>
      </c>
      <c r="Z2370">
        <v>1.3962670000000001E-3</v>
      </c>
      <c r="AA2370">
        <v>0.99801689999999998</v>
      </c>
      <c r="AB2370">
        <v>34</v>
      </c>
      <c r="AC2370">
        <v>-30.095899999999901</v>
      </c>
      <c r="AD2370">
        <v>-1.120818407921</v>
      </c>
      <c r="AE2370">
        <v>2.2210999999999701</v>
      </c>
      <c r="AF2370">
        <v>1.9198781199772701</v>
      </c>
      <c r="AG2370">
        <v>-1.120818407921</v>
      </c>
      <c r="AH2370">
        <v>30.0749608694484</v>
      </c>
      <c r="AI2370">
        <v>92.129950924428798</v>
      </c>
      <c r="AJ2370">
        <v>86.347398188940801</v>
      </c>
      <c r="AK2370">
        <v>30.157013068239301</v>
      </c>
      <c r="AL2370">
        <v>78.545370999545696</v>
      </c>
      <c r="AM2370">
        <v>87.929460638958304</v>
      </c>
      <c r="AN2370">
        <v>1.0000000213801099</v>
      </c>
    </row>
    <row r="2371" spans="1:40" x14ac:dyDescent="0.25">
      <c r="A2371" t="str">
        <f>"20190303162300882"</f>
        <v>20190303162300882</v>
      </c>
      <c r="B2371" t="str">
        <f>"1551601380866714"</f>
        <v>1551601380866714</v>
      </c>
      <c r="C2371" t="s">
        <v>40</v>
      </c>
      <c r="D2371">
        <v>5.1661910000000004</v>
      </c>
      <c r="E2371">
        <v>0.51524700000000001</v>
      </c>
      <c r="F2371" t="s">
        <v>49</v>
      </c>
      <c r="G2371">
        <v>-436.07069999999999</v>
      </c>
      <c r="H2371" s="1">
        <v>4.7135270000000004E-6</v>
      </c>
      <c r="I2371">
        <v>286.85340000000002</v>
      </c>
      <c r="J2371">
        <v>-408.2826</v>
      </c>
      <c r="K2371">
        <v>1.120822</v>
      </c>
      <c r="L2371">
        <v>284.5754</v>
      </c>
      <c r="M2371">
        <v>-0.9998437</v>
      </c>
      <c r="N2371">
        <v>-1.4580289999999999E-2</v>
      </c>
      <c r="O2371">
        <v>1.000494E-2</v>
      </c>
      <c r="P2371">
        <v>-0.98180719999999999</v>
      </c>
      <c r="Q2371">
        <v>0.18428839999999999</v>
      </c>
      <c r="R2371">
        <v>4.574396E-2</v>
      </c>
      <c r="S2371">
        <v>-3.0670169999999999</v>
      </c>
      <c r="T2371">
        <v>-0.1222174</v>
      </c>
      <c r="U2371">
        <v>0.24877929999999901</v>
      </c>
      <c r="V2371">
        <v>3.5967949999999999E-2</v>
      </c>
      <c r="W2371">
        <v>0.1985807</v>
      </c>
      <c r="X2371">
        <v>0.97942439999999997</v>
      </c>
      <c r="Y2371">
        <v>7.0798410000000006E-2</v>
      </c>
      <c r="Z2371">
        <v>1.672829E-3</v>
      </c>
      <c r="AA2371">
        <v>0.99748919999999996</v>
      </c>
      <c r="AB2371">
        <v>34</v>
      </c>
      <c r="AC2371">
        <v>-27.788099999999901</v>
      </c>
      <c r="AD2371">
        <v>-1.1208172864729999</v>
      </c>
      <c r="AE2371">
        <v>2.27800000000002</v>
      </c>
      <c r="AF2371">
        <v>1.9966116088980399</v>
      </c>
      <c r="AG2371">
        <v>-1.1208172864729999</v>
      </c>
      <c r="AH2371">
        <v>27.7646347365156</v>
      </c>
      <c r="AI2371">
        <v>92.305743041063593</v>
      </c>
      <c r="AJ2371">
        <v>85.886823898302893</v>
      </c>
      <c r="AK2371">
        <v>27.858887834200601</v>
      </c>
      <c r="AL2371">
        <v>78.546026335458905</v>
      </c>
      <c r="AM2371">
        <v>87.896840159920004</v>
      </c>
      <c r="AN2371">
        <v>1.0000000715775199</v>
      </c>
    </row>
    <row r="2372" spans="1:40" x14ac:dyDescent="0.25">
      <c r="A2372" t="str">
        <f>"20190303162300904"</f>
        <v>20190303162300904</v>
      </c>
      <c r="B2372" t="str">
        <f>"1551601380896970"</f>
        <v>1551601380896970</v>
      </c>
      <c r="C2372" t="s">
        <v>40</v>
      </c>
      <c r="D2372">
        <v>5.1560750000000004</v>
      </c>
      <c r="E2372">
        <v>0.51620319999999997</v>
      </c>
      <c r="F2372" t="s">
        <v>49</v>
      </c>
      <c r="G2372">
        <v>-434.91039999999998</v>
      </c>
      <c r="H2372" s="1">
        <v>4.2062730000000002E-6</v>
      </c>
      <c r="I2372">
        <v>286.77010000000001</v>
      </c>
      <c r="J2372">
        <v>-408.62650000000002</v>
      </c>
      <c r="K2372">
        <v>1.1208229999999999</v>
      </c>
      <c r="L2372">
        <v>284.57889999999998</v>
      </c>
      <c r="M2372">
        <v>-0.99984280000000003</v>
      </c>
      <c r="N2372">
        <v>-1.4576789999999999E-2</v>
      </c>
      <c r="O2372">
        <v>1.0095379999999999E-2</v>
      </c>
      <c r="P2372">
        <v>-0.98184649999999996</v>
      </c>
      <c r="Q2372">
        <v>0.18403549999999999</v>
      </c>
      <c r="R2372">
        <v>4.591684E-2</v>
      </c>
      <c r="S2372">
        <v>-3.0680540000000001</v>
      </c>
      <c r="T2372">
        <v>-0.12914049999999999</v>
      </c>
      <c r="U2372">
        <v>0.2528687</v>
      </c>
      <c r="V2372">
        <v>3.605125E-2</v>
      </c>
      <c r="W2372">
        <v>0.198325</v>
      </c>
      <c r="X2372">
        <v>0.97947309999999999</v>
      </c>
      <c r="Y2372">
        <v>7.1993269999999998E-2</v>
      </c>
      <c r="Z2372">
        <v>1.7607949999999999E-3</v>
      </c>
      <c r="AA2372">
        <v>0.99740359999999995</v>
      </c>
      <c r="AB2372">
        <v>34</v>
      </c>
      <c r="AC2372">
        <v>-26.2838999999999</v>
      </c>
      <c r="AD2372">
        <v>-1.120818793727</v>
      </c>
      <c r="AE2372">
        <v>2.19120000000003</v>
      </c>
      <c r="AF2372">
        <v>1.9222428678757899</v>
      </c>
      <c r="AG2372">
        <v>-1.120818793727</v>
      </c>
      <c r="AH2372">
        <v>26.257266781982299</v>
      </c>
      <c r="AI2372">
        <v>92.437730446076699</v>
      </c>
      <c r="AJ2372">
        <v>85.812958023440601</v>
      </c>
      <c r="AK2372">
        <v>26.351381581838599</v>
      </c>
      <c r="AL2372">
        <v>78.560973642048396</v>
      </c>
      <c r="AM2372">
        <v>87.892078452484597</v>
      </c>
      <c r="AN2372">
        <v>1.0000000259375801</v>
      </c>
    </row>
    <row r="2373" spans="1:40" x14ac:dyDescent="0.25">
      <c r="A2373" t="str">
        <f>"20190303162300926"</f>
        <v>20190303162300926</v>
      </c>
      <c r="B2373" t="str">
        <f>"1551601380917466"</f>
        <v>1551601380917466</v>
      </c>
      <c r="C2373" t="s">
        <v>40</v>
      </c>
      <c r="D2373">
        <v>5.1496089999999999</v>
      </c>
      <c r="E2373">
        <v>0.51667200000000002</v>
      </c>
      <c r="F2373" t="s">
        <v>49</v>
      </c>
      <c r="G2373">
        <v>-432.0865</v>
      </c>
      <c r="H2373" s="1">
        <v>2.9713260000000001E-6</v>
      </c>
      <c r="I2373">
        <v>286.5718</v>
      </c>
      <c r="J2373">
        <v>-408.96780000000001</v>
      </c>
      <c r="K2373">
        <v>1.120825</v>
      </c>
      <c r="L2373">
        <v>284.58240000000001</v>
      </c>
      <c r="M2373">
        <v>-0.99984189999999995</v>
      </c>
      <c r="N2373">
        <v>-1.457317E-2</v>
      </c>
      <c r="O2373">
        <v>1.0184449999999999E-2</v>
      </c>
      <c r="P2373">
        <v>-0.98180069999999997</v>
      </c>
      <c r="Q2373">
        <v>0.18429000000000001</v>
      </c>
      <c r="R2373">
        <v>4.58777E-2</v>
      </c>
      <c r="S2373">
        <v>-3.0708009999999999</v>
      </c>
      <c r="T2373">
        <v>-0.14670939999999999</v>
      </c>
      <c r="U2373">
        <v>0.26086429999999999</v>
      </c>
      <c r="V2373">
        <v>3.592538E-2</v>
      </c>
      <c r="W2373">
        <v>0.19857549999999999</v>
      </c>
      <c r="X2373">
        <v>0.97942689999999999</v>
      </c>
      <c r="Y2373">
        <v>7.4387149999999999E-2</v>
      </c>
      <c r="Z2373">
        <v>1.9789400000000002E-3</v>
      </c>
      <c r="AA2373">
        <v>0.99722750000000004</v>
      </c>
      <c r="AB2373">
        <v>34</v>
      </c>
      <c r="AC2373">
        <v>-23.118699999999901</v>
      </c>
      <c r="AD2373">
        <v>-1.120822028674</v>
      </c>
      <c r="AE2373">
        <v>1.9893999999999801</v>
      </c>
      <c r="AF2373">
        <v>1.7497381432858501</v>
      </c>
      <c r="AG2373">
        <v>-1.120822028674</v>
      </c>
      <c r="AH2373">
        <v>23.0839056523088</v>
      </c>
      <c r="AI2373">
        <v>92.771832355513695</v>
      </c>
      <c r="AJ2373">
        <v>85.665323224809796</v>
      </c>
      <c r="AK2373">
        <v>23.177241547576799</v>
      </c>
      <c r="AL2373">
        <v>78.546329000692594</v>
      </c>
      <c r="AM2373">
        <v>87.899332488287101</v>
      </c>
      <c r="AN2373">
        <v>0.999999957286001</v>
      </c>
    </row>
    <row r="2374" spans="1:40" x14ac:dyDescent="0.25">
      <c r="A2374" t="str">
        <f>"20190303162300949"</f>
        <v>20190303162300949</v>
      </c>
      <c r="B2374" t="str">
        <f>"1551601380936986"</f>
        <v>1551601380936986</v>
      </c>
      <c r="C2374" t="s">
        <v>40</v>
      </c>
      <c r="D2374">
        <v>5.1582559999999997</v>
      </c>
      <c r="E2374">
        <v>0.51708569999999998</v>
      </c>
      <c r="F2374" t="s">
        <v>49</v>
      </c>
      <c r="G2374">
        <v>-431.04660000000001</v>
      </c>
      <c r="H2374" s="1">
        <v>2.518022E-6</v>
      </c>
      <c r="I2374">
        <v>286.48200000000003</v>
      </c>
      <c r="J2374">
        <v>-409.31599999999997</v>
      </c>
      <c r="K2374">
        <v>1.1208229999999999</v>
      </c>
      <c r="L2374">
        <v>284.58609999999999</v>
      </c>
      <c r="M2374">
        <v>-0.99984119999999999</v>
      </c>
      <c r="N2374">
        <v>-1.456957E-2</v>
      </c>
      <c r="O2374">
        <v>1.027572E-2</v>
      </c>
      <c r="P2374">
        <v>-0.98185619999999996</v>
      </c>
      <c r="Q2374">
        <v>0.1841651</v>
      </c>
      <c r="R2374">
        <v>4.5188489999999998E-2</v>
      </c>
      <c r="S2374">
        <v>-3.07254</v>
      </c>
      <c r="T2374">
        <v>-0.15597649999999999</v>
      </c>
      <c r="U2374">
        <v>0.2643433</v>
      </c>
      <c r="V2374">
        <v>3.5145620000000002E-2</v>
      </c>
      <c r="W2374">
        <v>0.19844790000000001</v>
      </c>
      <c r="X2374">
        <v>0.97948109999999999</v>
      </c>
      <c r="Y2374">
        <v>7.5356469999999995E-2</v>
      </c>
      <c r="Z2374">
        <v>2.0875360000000001E-3</v>
      </c>
      <c r="AA2374">
        <v>0.99715450000000005</v>
      </c>
      <c r="AB2374">
        <v>34</v>
      </c>
      <c r="AC2374">
        <v>-21.730599999999999</v>
      </c>
      <c r="AD2374">
        <v>-1.1208204819780001</v>
      </c>
      <c r="AE2374">
        <v>1.8959000000000299</v>
      </c>
      <c r="AF2374">
        <v>1.6680746126055801</v>
      </c>
      <c r="AG2374">
        <v>-1.1208204819780001</v>
      </c>
      <c r="AH2374">
        <v>21.691666104073299</v>
      </c>
      <c r="AI2374">
        <v>92.949182674335503</v>
      </c>
      <c r="AJ2374">
        <v>85.602647183015705</v>
      </c>
      <c r="AK2374">
        <v>21.78456081349</v>
      </c>
      <c r="AL2374">
        <v>78.553788942513805</v>
      </c>
      <c r="AM2374">
        <v>87.945001548052304</v>
      </c>
      <c r="AN2374">
        <v>1.0000000044384001</v>
      </c>
    </row>
    <row r="2375" spans="1:40" x14ac:dyDescent="0.25">
      <c r="A2375" t="str">
        <f>"20190303162300971"</f>
        <v>20190303162300971</v>
      </c>
      <c r="B2375" t="str">
        <f>"1551601380956507"</f>
        <v>1551601380956507</v>
      </c>
      <c r="C2375" t="s">
        <v>40</v>
      </c>
      <c r="D2375">
        <v>5.163894</v>
      </c>
      <c r="E2375">
        <v>0.51743220000000001</v>
      </c>
      <c r="F2375" t="s">
        <v>49</v>
      </c>
      <c r="G2375">
        <v>-430.86059999999998</v>
      </c>
      <c r="H2375" s="1">
        <v>2.4384269999999999E-6</v>
      </c>
      <c r="I2375">
        <v>286.44869999999997</v>
      </c>
      <c r="J2375">
        <v>-409.65699999999998</v>
      </c>
      <c r="K2375">
        <v>1.1208149999999999</v>
      </c>
      <c r="L2375">
        <v>284.58969999999999</v>
      </c>
      <c r="M2375">
        <v>-0.99984030000000002</v>
      </c>
      <c r="N2375">
        <v>-1.4566050000000001E-2</v>
      </c>
      <c r="O2375">
        <v>1.03655E-2</v>
      </c>
      <c r="P2375">
        <v>-0.98189689999999996</v>
      </c>
      <c r="Q2375">
        <v>0.1841923</v>
      </c>
      <c r="R2375">
        <v>4.418134E-2</v>
      </c>
      <c r="S2375">
        <v>-3.0731809999999999</v>
      </c>
      <c r="T2375">
        <v>-0.15987689999999999</v>
      </c>
      <c r="U2375">
        <v>0.26568599999999998</v>
      </c>
      <c r="V2375">
        <v>3.4049950000000002E-2</v>
      </c>
      <c r="W2375">
        <v>0.1984727</v>
      </c>
      <c r="X2375">
        <v>0.97951480000000002</v>
      </c>
      <c r="Y2375">
        <v>7.5676110000000005E-2</v>
      </c>
      <c r="Z2375">
        <v>2.128998E-3</v>
      </c>
      <c r="AA2375">
        <v>0.99713019999999997</v>
      </c>
      <c r="AB2375">
        <v>34</v>
      </c>
      <c r="AC2375">
        <v>-21.203599999999899</v>
      </c>
      <c r="AD2375">
        <v>-1.12081256157299</v>
      </c>
      <c r="AE2375">
        <v>1.85899999999998</v>
      </c>
      <c r="AF2375">
        <v>1.6345585658956301</v>
      </c>
      <c r="AG2375">
        <v>-1.12081256157299</v>
      </c>
      <c r="AH2375">
        <v>21.163050866310101</v>
      </c>
      <c r="AI2375">
        <v>93.022613804541194</v>
      </c>
      <c r="AJ2375">
        <v>85.583446689193195</v>
      </c>
      <c r="AK2375">
        <v>21.255651589014001</v>
      </c>
      <c r="AL2375">
        <v>78.552339438146603</v>
      </c>
      <c r="AM2375">
        <v>88.009082490096304</v>
      </c>
      <c r="AN2375">
        <v>1.0000000275796599</v>
      </c>
    </row>
    <row r="2376" spans="1:40" x14ac:dyDescent="0.25">
      <c r="A2376" t="str">
        <f>"20190303162301005"</f>
        <v>20190303162301005</v>
      </c>
      <c r="B2376" t="str">
        <f>"1551601380996523"</f>
        <v>1551601380996523</v>
      </c>
      <c r="C2376" t="s">
        <v>40</v>
      </c>
      <c r="D2376">
        <v>5.1954900000000004</v>
      </c>
      <c r="E2376">
        <v>0.51799620000000002</v>
      </c>
      <c r="F2376" t="s">
        <v>49</v>
      </c>
      <c r="G2376">
        <v>-430.57459999999998</v>
      </c>
      <c r="H2376" s="1">
        <v>2.3160380000000001E-6</v>
      </c>
      <c r="I2376">
        <v>286.39800000000002</v>
      </c>
      <c r="J2376">
        <v>-410.1619</v>
      </c>
      <c r="K2376">
        <v>1.1208260000000001</v>
      </c>
      <c r="L2376">
        <v>284.5951</v>
      </c>
      <c r="M2376">
        <v>-0.99983889999999997</v>
      </c>
      <c r="N2376">
        <v>-1.4560760000000001E-2</v>
      </c>
      <c r="O2376">
        <v>1.0497970000000001E-2</v>
      </c>
      <c r="P2376">
        <v>-0.98182639999999999</v>
      </c>
      <c r="Q2376">
        <v>0.18469279999999999</v>
      </c>
      <c r="R2376">
        <v>4.3651790000000003E-2</v>
      </c>
      <c r="S2376">
        <v>-3.074249</v>
      </c>
      <c r="T2376">
        <v>-0.16472510000000001</v>
      </c>
      <c r="U2376">
        <v>0.2657776</v>
      </c>
      <c r="V2376">
        <v>3.3390839999999998E-2</v>
      </c>
      <c r="W2376">
        <v>0.19896710000000001</v>
      </c>
      <c r="X2376">
        <v>0.97943720000000001</v>
      </c>
      <c r="Y2376">
        <v>7.5537699999999999E-2</v>
      </c>
      <c r="Z2376">
        <v>2.161563E-3</v>
      </c>
      <c r="AA2376">
        <v>0.99714060000000004</v>
      </c>
      <c r="AB2376">
        <v>34</v>
      </c>
      <c r="AC2376">
        <v>-20.412699999999901</v>
      </c>
      <c r="AD2376">
        <v>-1.1208236839620001</v>
      </c>
      <c r="AE2376">
        <v>1.80289999999996</v>
      </c>
      <c r="AF2376">
        <v>1.5837481114056899</v>
      </c>
      <c r="AG2376">
        <v>-1.1208236839620001</v>
      </c>
      <c r="AH2376">
        <v>20.369566755114001</v>
      </c>
      <c r="AI2376">
        <v>93.140033615759904</v>
      </c>
      <c r="AJ2376">
        <v>85.554157161844103</v>
      </c>
      <c r="AK2376">
        <v>20.461763208530101</v>
      </c>
      <c r="AL2376">
        <v>78.5234361304597</v>
      </c>
      <c r="AM2376">
        <v>88.047436291274195</v>
      </c>
      <c r="AN2376">
        <v>1.0000000419110699</v>
      </c>
    </row>
    <row r="2377" spans="1:40" x14ac:dyDescent="0.25">
      <c r="A2377" t="str">
        <f>"20190303162301026"</f>
        <v>20190303162301026</v>
      </c>
      <c r="B2377" t="str">
        <f>"1551601381017019"</f>
        <v>1551601381017019</v>
      </c>
      <c r="C2377" t="s">
        <v>40</v>
      </c>
      <c r="D2377">
        <v>5.1821080000000004</v>
      </c>
      <c r="E2377">
        <v>0.51809659999999902</v>
      </c>
      <c r="F2377" t="s">
        <v>49</v>
      </c>
      <c r="G2377">
        <v>-430.49599999999998</v>
      </c>
      <c r="H2377" s="1">
        <v>2.2838000000000001E-6</v>
      </c>
      <c r="I2377">
        <v>286.3682</v>
      </c>
      <c r="J2377">
        <v>-410.50080000000003</v>
      </c>
      <c r="K2377">
        <v>1.120824</v>
      </c>
      <c r="L2377">
        <v>284.59870000000001</v>
      </c>
      <c r="M2377">
        <v>-0.99983809999999995</v>
      </c>
      <c r="N2377">
        <v>-1.4557230000000001E-2</v>
      </c>
      <c r="O2377">
        <v>1.058739E-2</v>
      </c>
      <c r="P2377">
        <v>-0.98194349999999997</v>
      </c>
      <c r="Q2377">
        <v>0.18412390000000001</v>
      </c>
      <c r="R2377">
        <v>4.3423000000000003E-2</v>
      </c>
      <c r="S2377">
        <v>-3.0755309999999998</v>
      </c>
      <c r="T2377">
        <v>-0.16952400000000001</v>
      </c>
      <c r="U2377">
        <v>0.2681885</v>
      </c>
      <c r="V2377">
        <v>3.3072890000000001E-2</v>
      </c>
      <c r="W2377">
        <v>0.1983965</v>
      </c>
      <c r="X2377">
        <v>0.97956370000000004</v>
      </c>
      <c r="Y2377">
        <v>7.618105E-2</v>
      </c>
      <c r="Z2377">
        <v>2.2219169999999999E-3</v>
      </c>
      <c r="AA2377">
        <v>0.99709150000000002</v>
      </c>
      <c r="AB2377">
        <v>34</v>
      </c>
      <c r="AC2377">
        <v>-19.995199999999901</v>
      </c>
      <c r="AD2377">
        <v>-1.1208217162</v>
      </c>
      <c r="AE2377">
        <v>1.7694999999999901</v>
      </c>
      <c r="AF2377">
        <v>1.5528401302339001</v>
      </c>
      <c r="AG2377">
        <v>-1.1208217162</v>
      </c>
      <c r="AH2377">
        <v>19.9506155107814</v>
      </c>
      <c r="AI2377">
        <v>93.205810086349999</v>
      </c>
      <c r="AJ2377">
        <v>85.5494020401499</v>
      </c>
      <c r="AK2377">
        <v>20.042320550490199</v>
      </c>
      <c r="AL2377">
        <v>78.556793810345198</v>
      </c>
      <c r="AM2377">
        <v>88.066264121169098</v>
      </c>
      <c r="AN2377">
        <v>1.0000000148114401</v>
      </c>
    </row>
    <row r="2378" spans="1:40" x14ac:dyDescent="0.25">
      <c r="A2378" t="str">
        <f>"20190303162301049"</f>
        <v>20190303162301049</v>
      </c>
      <c r="B2378" t="str">
        <f>"1551601381036538"</f>
        <v>1551601381036538</v>
      </c>
      <c r="C2378" t="s">
        <v>40</v>
      </c>
      <c r="D2378">
        <v>5.2570940000000004</v>
      </c>
      <c r="E2378">
        <v>0.51782119999999998</v>
      </c>
      <c r="F2378" t="s">
        <v>49</v>
      </c>
      <c r="G2378">
        <v>-430.36279999999999</v>
      </c>
      <c r="H2378" s="1">
        <v>2.2285630000000002E-6</v>
      </c>
      <c r="I2378">
        <v>286.32440000000003</v>
      </c>
      <c r="J2378">
        <v>-410.8415</v>
      </c>
      <c r="K2378">
        <v>1.1208260000000001</v>
      </c>
      <c r="L2378">
        <v>284.60239999999999</v>
      </c>
      <c r="M2378">
        <v>-0.99983710000000003</v>
      </c>
      <c r="N2378">
        <v>-1.455365E-2</v>
      </c>
      <c r="O2378">
        <v>1.067658E-2</v>
      </c>
      <c r="P2378">
        <v>-0.98200350000000003</v>
      </c>
      <c r="Q2378">
        <v>0.18378159999999999</v>
      </c>
      <c r="R2378">
        <v>4.3515119999999997E-2</v>
      </c>
      <c r="S2378">
        <v>-3.0759280000000002</v>
      </c>
      <c r="T2378">
        <v>-0.17357600000000001</v>
      </c>
      <c r="U2378">
        <v>0.26724239999999999</v>
      </c>
      <c r="V2378">
        <v>3.307653E-2</v>
      </c>
      <c r="W2378">
        <v>0.19805159999999999</v>
      </c>
      <c r="X2378">
        <v>0.97963330000000004</v>
      </c>
      <c r="Y2378">
        <v>7.5771809999999995E-2</v>
      </c>
      <c r="Z2378">
        <v>2.239436E-3</v>
      </c>
      <c r="AA2378">
        <v>0.99712259999999997</v>
      </c>
      <c r="AB2378">
        <v>34</v>
      </c>
      <c r="AC2378">
        <v>-19.5213</v>
      </c>
      <c r="AD2378">
        <v>-1.120823771437</v>
      </c>
      <c r="AE2378">
        <v>1.72200000000003</v>
      </c>
      <c r="AF2378">
        <v>1.50852453510736</v>
      </c>
      <c r="AG2378">
        <v>-1.120823771437</v>
      </c>
      <c r="AH2378">
        <v>19.474870316682399</v>
      </c>
      <c r="AI2378">
        <v>93.2840550351753</v>
      </c>
      <c r="AJ2378">
        <v>85.570710279085304</v>
      </c>
      <c r="AK2378">
        <v>19.565338383254101</v>
      </c>
      <c r="AL2378">
        <v>78.576954416177898</v>
      </c>
      <c r="AM2378">
        <v>88.066188752837704</v>
      </c>
      <c r="AN2378">
        <v>0.99999994778414403</v>
      </c>
    </row>
    <row r="2379" spans="1:40" x14ac:dyDescent="0.25">
      <c r="A2379" t="str">
        <f>"20190303162301071"</f>
        <v>20190303162301071</v>
      </c>
      <c r="B2379" t="str">
        <f>"1551601381066796"</f>
        <v>1551601381066796</v>
      </c>
      <c r="C2379" t="s">
        <v>40</v>
      </c>
      <c r="D2379">
        <v>5.4493600000000004</v>
      </c>
      <c r="E2379">
        <v>0.50301209999999996</v>
      </c>
      <c r="F2379" t="s">
        <v>49</v>
      </c>
      <c r="G2379">
        <v>-430.84140000000002</v>
      </c>
      <c r="H2379" s="1">
        <v>2.4402310000000002E-6</v>
      </c>
      <c r="I2379">
        <v>286.33080000000001</v>
      </c>
      <c r="J2379">
        <v>-411.17759999999998</v>
      </c>
      <c r="K2379">
        <v>1.1208229999999999</v>
      </c>
      <c r="L2379">
        <v>284.60610000000003</v>
      </c>
      <c r="M2379">
        <v>-0.99983619999999995</v>
      </c>
      <c r="N2379">
        <v>-1.455011E-2</v>
      </c>
      <c r="O2379">
        <v>1.076481E-2</v>
      </c>
      <c r="P2379">
        <v>-0.98209299999999999</v>
      </c>
      <c r="Q2379">
        <v>0.1831798</v>
      </c>
      <c r="R2379">
        <v>4.402942E-2</v>
      </c>
      <c r="S2379">
        <v>-3.0754700000000001</v>
      </c>
      <c r="T2379">
        <v>-0.1723537</v>
      </c>
      <c r="U2379">
        <v>0.2657776</v>
      </c>
      <c r="V2379">
        <v>3.3502980000000002E-2</v>
      </c>
      <c r="W2379">
        <v>0.1974477</v>
      </c>
      <c r="X2379">
        <v>0.97974070000000002</v>
      </c>
      <c r="Y2379">
        <v>7.5228050000000005E-2</v>
      </c>
      <c r="Z2379">
        <v>2.205926E-3</v>
      </c>
      <c r="AA2379">
        <v>0.99716389999999999</v>
      </c>
      <c r="AB2379">
        <v>34</v>
      </c>
      <c r="AC2379">
        <v>-19.663799999999998</v>
      </c>
      <c r="AD2379">
        <v>-1.120820559769</v>
      </c>
      <c r="AE2379">
        <v>1.7246999999999799</v>
      </c>
      <c r="AF2379">
        <v>1.50803849303656</v>
      </c>
      <c r="AG2379">
        <v>-1.120820559769</v>
      </c>
      <c r="AH2379">
        <v>19.6179780224351</v>
      </c>
      <c r="AI2379">
        <v>93.260288495765494</v>
      </c>
      <c r="AJ2379">
        <v>85.604304721654401</v>
      </c>
      <c r="AK2379">
        <v>19.707751787366</v>
      </c>
      <c r="AL2379">
        <v>78.612252312822505</v>
      </c>
      <c r="AM2379">
        <v>88.041490305042402</v>
      </c>
      <c r="AN2379">
        <v>0.99999994157032801</v>
      </c>
    </row>
    <row r="2380" spans="1:40" x14ac:dyDescent="0.25">
      <c r="A2380" t="str">
        <f>"20190303162301093"</f>
        <v>20190303162301093</v>
      </c>
      <c r="B2380" t="str">
        <f>"1551601381087290"</f>
        <v>1551601381087290</v>
      </c>
      <c r="C2380" t="s">
        <v>40</v>
      </c>
      <c r="D2380">
        <v>5.4467499999999998</v>
      </c>
      <c r="E2380">
        <v>0.50211790000000001</v>
      </c>
      <c r="F2380" t="s">
        <v>49</v>
      </c>
      <c r="G2380">
        <v>-439.86840000000001</v>
      </c>
      <c r="H2380" s="1">
        <v>6.4713089999999998E-6</v>
      </c>
      <c r="I2380">
        <v>286.01080000000002</v>
      </c>
      <c r="J2380">
        <v>-411.51830000000001</v>
      </c>
      <c r="K2380">
        <v>1.1208209999999901</v>
      </c>
      <c r="L2380">
        <v>284.60989999999998</v>
      </c>
      <c r="M2380">
        <v>-0.99983529999999998</v>
      </c>
      <c r="N2380">
        <v>-1.4546480000000001E-2</v>
      </c>
      <c r="O2380">
        <v>1.0854529999999999E-2</v>
      </c>
      <c r="P2380">
        <v>-0.98228729999999997</v>
      </c>
      <c r="Q2380">
        <v>0.18198030000000001</v>
      </c>
      <c r="R2380">
        <v>4.4660980000000003E-2</v>
      </c>
      <c r="S2380">
        <v>-3.0703429999999998</v>
      </c>
      <c r="T2380">
        <v>-0.1199441</v>
      </c>
      <c r="U2380">
        <v>0.15032960000000001</v>
      </c>
      <c r="V2380">
        <v>3.4043700000000003E-2</v>
      </c>
      <c r="W2380">
        <v>0.19624810000000001</v>
      </c>
      <c r="X2380">
        <v>0.97996309999999998</v>
      </c>
      <c r="Y2380">
        <v>3.8021190000000003E-2</v>
      </c>
      <c r="Z2380">
        <v>7.5298800000000001E-4</v>
      </c>
      <c r="AA2380">
        <v>0.99927659999999996</v>
      </c>
      <c r="AB2380">
        <v>34</v>
      </c>
      <c r="AC2380">
        <v>-28.350100000000001</v>
      </c>
      <c r="AD2380">
        <v>-1.1208145286909901</v>
      </c>
      <c r="AE2380">
        <v>1.40090000000003</v>
      </c>
      <c r="AF2380">
        <v>1.0913562540345501</v>
      </c>
      <c r="AG2380">
        <v>-1.1208145286909901</v>
      </c>
      <c r="AH2380">
        <v>28.319481736467502</v>
      </c>
      <c r="AI2380">
        <v>92.264761975965897</v>
      </c>
      <c r="AJ2380">
        <v>87.793067667478894</v>
      </c>
      <c r="AK2380">
        <v>28.362657306801498</v>
      </c>
      <c r="AL2380">
        <v>78.682356469036804</v>
      </c>
      <c r="AM2380">
        <v>88.010357515078994</v>
      </c>
      <c r="AN2380">
        <v>0.99999998381245403</v>
      </c>
    </row>
    <row r="2381" spans="1:40" x14ac:dyDescent="0.25">
      <c r="A2381" t="str">
        <f>"20190303162301117"</f>
        <v>20190303162301117</v>
      </c>
      <c r="B2381" t="str">
        <f>"1551601381106811"</f>
        <v>1551601381106811</v>
      </c>
      <c r="C2381" t="s">
        <v>40</v>
      </c>
      <c r="D2381">
        <v>5.3885740000000002</v>
      </c>
      <c r="E2381">
        <v>0.50080590000000003</v>
      </c>
      <c r="F2381" t="s">
        <v>47</v>
      </c>
      <c r="G2381">
        <v>-440.38040000000001</v>
      </c>
      <c r="H2381" s="1">
        <v>-1.3935850000000001E-6</v>
      </c>
      <c r="I2381">
        <v>285.97140000000002</v>
      </c>
      <c r="J2381">
        <v>-411.85849999999999</v>
      </c>
      <c r="K2381">
        <v>1.1208180000000001</v>
      </c>
      <c r="L2381">
        <v>284.61369999999999</v>
      </c>
      <c r="M2381">
        <v>-0.99983449999999996</v>
      </c>
      <c r="N2381">
        <v>-1.454282E-2</v>
      </c>
      <c r="O2381">
        <v>1.09436E-2</v>
      </c>
      <c r="P2381">
        <v>-0.98235519999999998</v>
      </c>
      <c r="Q2381">
        <v>0.18149660000000001</v>
      </c>
      <c r="R2381">
        <v>4.5139859999999997E-2</v>
      </c>
      <c r="S2381">
        <v>-3.0695800000000002</v>
      </c>
      <c r="T2381">
        <v>-0.1192033</v>
      </c>
      <c r="U2381">
        <v>0.14480589999999999</v>
      </c>
      <c r="V2381">
        <v>3.4434159999999998E-2</v>
      </c>
      <c r="W2381">
        <v>0.19576180000000001</v>
      </c>
      <c r="X2381">
        <v>0.98004669999999905</v>
      </c>
      <c r="Y2381">
        <v>3.6152490000000002E-2</v>
      </c>
      <c r="Z2381">
        <v>6.9898439999999996E-4</v>
      </c>
      <c r="AA2381">
        <v>0.99934599999999996</v>
      </c>
      <c r="AB2381">
        <v>34</v>
      </c>
      <c r="AC2381">
        <v>-28.521899999999999</v>
      </c>
      <c r="AD2381">
        <v>-1.1208193935849999</v>
      </c>
      <c r="AE2381">
        <v>1.3577000000000199</v>
      </c>
      <c r="AF2381">
        <v>1.0438451453722499</v>
      </c>
      <c r="AG2381">
        <v>-1.1208193935849999</v>
      </c>
      <c r="AH2381">
        <v>28.491153692110899</v>
      </c>
      <c r="AI2381">
        <v>92.2512999762818</v>
      </c>
      <c r="AJ2381">
        <v>87.901763359193595</v>
      </c>
      <c r="AK2381">
        <v>28.532292012876201</v>
      </c>
      <c r="AL2381">
        <v>78.710770330947994</v>
      </c>
      <c r="AM2381">
        <v>87.987727738988994</v>
      </c>
      <c r="AN2381">
        <v>0.999999963947517</v>
      </c>
    </row>
    <row r="2382" spans="1:40" x14ac:dyDescent="0.25">
      <c r="A2382" t="str">
        <f>"20190303162301139"</f>
        <v>20190303162301139</v>
      </c>
      <c r="B2382" t="str">
        <f>"1551601381127306"</f>
        <v>1551601381127306</v>
      </c>
      <c r="C2382" t="s">
        <v>40</v>
      </c>
      <c r="D2382">
        <v>5.4502100000000002</v>
      </c>
      <c r="E2382">
        <v>0.50033720000000004</v>
      </c>
      <c r="F2382" t="s">
        <v>47</v>
      </c>
      <c r="G2382">
        <v>-440.83460000000002</v>
      </c>
      <c r="H2382" s="1">
        <v>-1.1484770000000001E-6</v>
      </c>
      <c r="I2382">
        <v>285.89359999999999</v>
      </c>
      <c r="J2382">
        <v>-412.20229999999998</v>
      </c>
      <c r="K2382">
        <v>1.120825</v>
      </c>
      <c r="L2382">
        <v>284.61750000000001</v>
      </c>
      <c r="M2382">
        <v>-0.99983350000000004</v>
      </c>
      <c r="N2382">
        <v>-1.4539160000000001E-2</v>
      </c>
      <c r="O2382">
        <v>1.103434E-2</v>
      </c>
      <c r="P2382">
        <v>-0.98236380000000001</v>
      </c>
      <c r="Q2382">
        <v>0.1815194</v>
      </c>
      <c r="R2382">
        <v>4.4860530000000003E-2</v>
      </c>
      <c r="S2382">
        <v>-3.06955</v>
      </c>
      <c r="T2382">
        <v>-0.1187327</v>
      </c>
      <c r="U2382">
        <v>0.1355896</v>
      </c>
      <c r="V2382">
        <v>3.4065400000000003E-2</v>
      </c>
      <c r="W2382">
        <v>0.19578090000000001</v>
      </c>
      <c r="X2382">
        <v>0.98005580000000003</v>
      </c>
      <c r="Y2382">
        <v>3.307123E-2</v>
      </c>
      <c r="Z2382">
        <v>6.1364589999999999E-4</v>
      </c>
      <c r="AA2382">
        <v>0.99945280000000003</v>
      </c>
      <c r="AB2382">
        <v>34</v>
      </c>
      <c r="AC2382">
        <v>-28.632300000000001</v>
      </c>
      <c r="AD2382">
        <v>-1.1208261484769999</v>
      </c>
      <c r="AE2382">
        <v>1.27609999999998</v>
      </c>
      <c r="AF2382">
        <v>0.95858439501941195</v>
      </c>
      <c r="AG2382">
        <v>-1.1208261484769999</v>
      </c>
      <c r="AH2382">
        <v>28.600898585513001</v>
      </c>
      <c r="AI2382">
        <v>92.242928849426093</v>
      </c>
      <c r="AJ2382">
        <v>88.080399865055199</v>
      </c>
      <c r="AK2382">
        <v>28.638898987151698</v>
      </c>
      <c r="AL2382">
        <v>78.709654704962603</v>
      </c>
      <c r="AM2382">
        <v>88.009278466915006</v>
      </c>
      <c r="AN2382">
        <v>0.99999999169780496</v>
      </c>
    </row>
    <row r="2383" spans="1:40" x14ac:dyDescent="0.25">
      <c r="A2383" t="str">
        <f>"20190303162301161"</f>
        <v>20190303162301161</v>
      </c>
      <c r="B2383" t="str">
        <f>"1551601381146826"</f>
        <v>1551601381146826</v>
      </c>
      <c r="C2383" t="s">
        <v>40</v>
      </c>
      <c r="D2383">
        <v>5.4578280000000001</v>
      </c>
      <c r="E2383">
        <v>0.50046139999999995</v>
      </c>
      <c r="F2383" t="s">
        <v>47</v>
      </c>
      <c r="G2383">
        <v>-440.78980000000001</v>
      </c>
      <c r="H2383" s="1">
        <v>-1.169798E-6</v>
      </c>
      <c r="I2383">
        <v>285.83569999999997</v>
      </c>
      <c r="J2383">
        <v>-412.54329999999999</v>
      </c>
      <c r="K2383">
        <v>1.120825</v>
      </c>
      <c r="L2383">
        <v>284.62139999999999</v>
      </c>
      <c r="M2383">
        <v>-0.99983250000000001</v>
      </c>
      <c r="N2383">
        <v>-1.453555E-2</v>
      </c>
      <c r="O2383">
        <v>1.1124E-2</v>
      </c>
      <c r="P2383">
        <v>-0.98236749999999995</v>
      </c>
      <c r="Q2383">
        <v>0.18155279999999999</v>
      </c>
      <c r="R2383">
        <v>4.4639619999999998E-2</v>
      </c>
      <c r="S2383">
        <v>-3.0701290000000001</v>
      </c>
      <c r="T2383">
        <v>-0.1203703</v>
      </c>
      <c r="U2383">
        <v>0.1308289</v>
      </c>
      <c r="V2383">
        <v>3.3756139999999997E-2</v>
      </c>
      <c r="W2383">
        <v>0.19581090000000001</v>
      </c>
      <c r="X2383">
        <v>0.9800605</v>
      </c>
      <c r="Y2383">
        <v>3.1427419999999998E-2</v>
      </c>
      <c r="Z2383">
        <v>5.7007519999999895E-4</v>
      </c>
      <c r="AA2383">
        <v>0.99950589999999995</v>
      </c>
      <c r="AB2383">
        <v>34</v>
      </c>
      <c r="AC2383">
        <v>-28.246500000000001</v>
      </c>
      <c r="AD2383">
        <v>-1.120826169798</v>
      </c>
      <c r="AE2383">
        <v>1.21429999999998</v>
      </c>
      <c r="AF2383">
        <v>0.89856539799800705</v>
      </c>
      <c r="AG2383">
        <v>-1.120826169798</v>
      </c>
      <c r="AH2383">
        <v>28.213919879941301</v>
      </c>
      <c r="AI2383">
        <v>92.273784220643705</v>
      </c>
      <c r="AJ2383">
        <v>88.175843387224802</v>
      </c>
      <c r="AK2383">
        <v>28.2504680681423</v>
      </c>
      <c r="AL2383">
        <v>78.707901824383796</v>
      </c>
      <c r="AM2383">
        <v>88.027346181286703</v>
      </c>
      <c r="AN2383">
        <v>0.99999998460337902</v>
      </c>
    </row>
    <row r="2384" spans="1:40" x14ac:dyDescent="0.25">
      <c r="A2384" t="str">
        <f>"20190303162301183"</f>
        <v>20190303162301183</v>
      </c>
      <c r="B2384" t="str">
        <f>"1551601381177082"</f>
        <v>1551601381177082</v>
      </c>
      <c r="C2384" t="s">
        <v>40</v>
      </c>
      <c r="D2384">
        <v>5.5180499999999997</v>
      </c>
      <c r="E2384">
        <v>0.50059799999999999</v>
      </c>
      <c r="F2384" t="s">
        <v>47</v>
      </c>
      <c r="G2384">
        <v>-440.52170000000001</v>
      </c>
      <c r="H2384" s="1">
        <v>-1.3117220000000001E-6</v>
      </c>
      <c r="I2384">
        <v>285.81819999999999</v>
      </c>
      <c r="J2384">
        <v>-412.88069999999999</v>
      </c>
      <c r="K2384">
        <v>1.1208209999999901</v>
      </c>
      <c r="L2384">
        <v>284.62520000000001</v>
      </c>
      <c r="M2384">
        <v>-0.99983169999999999</v>
      </c>
      <c r="N2384">
        <v>-1.453195E-2</v>
      </c>
      <c r="O2384">
        <v>1.121253E-2</v>
      </c>
      <c r="P2384">
        <v>-0.98243139999999995</v>
      </c>
      <c r="Q2384">
        <v>0.1814402</v>
      </c>
      <c r="R2384">
        <v>4.3683680000000003E-2</v>
      </c>
      <c r="S2384">
        <v>-3.0705870000000002</v>
      </c>
      <c r="T2384">
        <v>-0.1230092</v>
      </c>
      <c r="U2384">
        <v>0.13134770000000001</v>
      </c>
      <c r="V2384">
        <v>3.2712409999999997E-2</v>
      </c>
      <c r="W2384">
        <v>0.1956958</v>
      </c>
      <c r="X2384">
        <v>0.98011890000000002</v>
      </c>
      <c r="Y2384">
        <v>3.1500090000000001E-2</v>
      </c>
      <c r="Z2384">
        <v>5.7361830000000002E-4</v>
      </c>
      <c r="AA2384">
        <v>0.99950360000000005</v>
      </c>
      <c r="AB2384">
        <v>34</v>
      </c>
      <c r="AC2384">
        <v>-27.640999999999998</v>
      </c>
      <c r="AD2384">
        <v>-1.12082231172199</v>
      </c>
      <c r="AE2384">
        <v>1.1929999999999801</v>
      </c>
      <c r="AF2384">
        <v>0.88152003020561398</v>
      </c>
      <c r="AG2384">
        <v>-1.12082231172199</v>
      </c>
      <c r="AH2384">
        <v>27.607331251019399</v>
      </c>
      <c r="AI2384">
        <v>92.323675580628006</v>
      </c>
      <c r="AJ2384">
        <v>88.171129903409906</v>
      </c>
      <c r="AK2384">
        <v>27.644132451962001</v>
      </c>
      <c r="AL2384">
        <v>78.714626883856198</v>
      </c>
      <c r="AM2384">
        <v>88.088407906440594</v>
      </c>
      <c r="AN2384">
        <v>1.00000000302142</v>
      </c>
    </row>
    <row r="2385" spans="1:40" x14ac:dyDescent="0.25">
      <c r="A2385" t="str">
        <f>"20190303162301205"</f>
        <v>20190303162301205</v>
      </c>
      <c r="B2385" t="str">
        <f>"1551601381196602"</f>
        <v>1551601381196602</v>
      </c>
      <c r="C2385" t="s">
        <v>40</v>
      </c>
      <c r="D2385">
        <v>5.5174899999999996</v>
      </c>
      <c r="E2385">
        <v>0.50119040000000004</v>
      </c>
      <c r="F2385" t="s">
        <v>47</v>
      </c>
      <c r="G2385">
        <v>-440.59890000000001</v>
      </c>
      <c r="H2385" s="1">
        <v>-1.2698059999999899E-6</v>
      </c>
      <c r="I2385">
        <v>285.80009999999999</v>
      </c>
      <c r="J2385">
        <v>-413.20519999999999</v>
      </c>
      <c r="K2385">
        <v>1.120819</v>
      </c>
      <c r="L2385">
        <v>284.62900000000002</v>
      </c>
      <c r="M2385">
        <v>-0.99983080000000002</v>
      </c>
      <c r="N2385">
        <v>-1.452848E-2</v>
      </c>
      <c r="O2385">
        <v>1.129838E-2</v>
      </c>
      <c r="P2385">
        <v>-0.98233429999999999</v>
      </c>
      <c r="Q2385">
        <v>0.18210779999999999</v>
      </c>
      <c r="R2385">
        <v>4.3085249999999999E-2</v>
      </c>
      <c r="S2385">
        <v>-3.07077</v>
      </c>
      <c r="T2385">
        <v>-0.1241703</v>
      </c>
      <c r="U2385">
        <v>0.13015750000000001</v>
      </c>
      <c r="V2385">
        <v>3.203077E-2</v>
      </c>
      <c r="W2385">
        <v>0.19635839999999999</v>
      </c>
      <c r="X2385">
        <v>0.98000889999999996</v>
      </c>
      <c r="Y2385">
        <v>3.102514E-2</v>
      </c>
      <c r="Z2385">
        <v>5.5995959999999897E-4</v>
      </c>
      <c r="AA2385">
        <v>0.99951849999999998</v>
      </c>
      <c r="AB2385">
        <v>34</v>
      </c>
      <c r="AC2385">
        <v>-27.393699999999999</v>
      </c>
      <c r="AD2385">
        <v>-1.1208202698059999</v>
      </c>
      <c r="AE2385">
        <v>1.1710999999999601</v>
      </c>
      <c r="AF2385">
        <v>0.86005103902105895</v>
      </c>
      <c r="AG2385">
        <v>-1.1208202698059999</v>
      </c>
      <c r="AH2385">
        <v>27.359466268400499</v>
      </c>
      <c r="AI2385">
        <v>92.344736149926703</v>
      </c>
      <c r="AJ2385">
        <v>88.199487068583196</v>
      </c>
      <c r="AK2385">
        <v>27.395917950648599</v>
      </c>
      <c r="AL2385">
        <v>78.675911732860797</v>
      </c>
      <c r="AM2385">
        <v>88.128001840308897</v>
      </c>
      <c r="AN2385">
        <v>1.00000001777828</v>
      </c>
    </row>
    <row r="2386" spans="1:40" x14ac:dyDescent="0.25">
      <c r="A2386" t="str">
        <f>"20190303162301227"</f>
        <v>20190303162301227</v>
      </c>
      <c r="B2386" t="str">
        <f>"1551601381217099"</f>
        <v>1551601381217099</v>
      </c>
      <c r="C2386" t="s">
        <v>40</v>
      </c>
      <c r="D2386">
        <v>5.598516</v>
      </c>
      <c r="E2386">
        <v>0.50127509999999997</v>
      </c>
      <c r="F2386" t="s">
        <v>47</v>
      </c>
      <c r="G2386">
        <v>-440.88799999999998</v>
      </c>
      <c r="H2386" s="1">
        <v>-1.117372E-6</v>
      </c>
      <c r="I2386">
        <v>285.83159999999998</v>
      </c>
      <c r="J2386">
        <v>-413.54829999999998</v>
      </c>
      <c r="K2386">
        <v>1.1208229999999999</v>
      </c>
      <c r="L2386">
        <v>284.63290000000001</v>
      </c>
      <c r="M2386">
        <v>-0.99982979999999999</v>
      </c>
      <c r="N2386">
        <v>-1.4524810000000001E-2</v>
      </c>
      <c r="O2386">
        <v>1.13884E-2</v>
      </c>
      <c r="P2386">
        <v>-0.98210869999999995</v>
      </c>
      <c r="Q2386">
        <v>0.1834866</v>
      </c>
      <c r="R2386">
        <v>4.2372670000000001E-2</v>
      </c>
      <c r="S2386">
        <v>-3.0711360000000001</v>
      </c>
      <c r="T2386">
        <v>-0.1243442</v>
      </c>
      <c r="U2386">
        <v>0.13342290000000001</v>
      </c>
      <c r="V2386">
        <v>3.1232570000000001E-2</v>
      </c>
      <c r="W2386">
        <v>0.19773099999999999</v>
      </c>
      <c r="X2386">
        <v>0.97975860000000004</v>
      </c>
      <c r="Y2386">
        <v>3.1989770000000001E-2</v>
      </c>
      <c r="Z2386">
        <v>5.8426750000000003E-4</v>
      </c>
      <c r="AA2386">
        <v>0.99948800000000004</v>
      </c>
      <c r="AB2386">
        <v>34</v>
      </c>
      <c r="AC2386">
        <v>-27.339700000000001</v>
      </c>
      <c r="AD2386">
        <v>-1.1208241173719999</v>
      </c>
      <c r="AE2386">
        <v>1.1986999999999699</v>
      </c>
      <c r="AF2386">
        <v>0.88574819459115395</v>
      </c>
      <c r="AG2386">
        <v>-1.1208241173719999</v>
      </c>
      <c r="AH2386">
        <v>27.3057748897515</v>
      </c>
      <c r="AI2386">
        <v>92.349274416500293</v>
      </c>
      <c r="AJ2386">
        <v>88.142083696034703</v>
      </c>
      <c r="AK2386">
        <v>27.343118675383099</v>
      </c>
      <c r="AL2386">
        <v>78.595694273523804</v>
      </c>
      <c r="AM2386">
        <v>88.174153658953102</v>
      </c>
      <c r="AN2386">
        <v>0.99999996803188196</v>
      </c>
    </row>
    <row r="2387" spans="1:40" x14ac:dyDescent="0.25">
      <c r="A2387" t="str">
        <f>"20190303162301251"</f>
        <v>20190303162301251</v>
      </c>
      <c r="B2387" t="str">
        <f>"1551601381236619"</f>
        <v>1551601381236619</v>
      </c>
      <c r="C2387" t="s">
        <v>40</v>
      </c>
      <c r="D2387">
        <v>5.4944810000000004</v>
      </c>
      <c r="E2387">
        <v>0.45662789999999998</v>
      </c>
      <c r="F2387" t="s">
        <v>47</v>
      </c>
      <c r="G2387">
        <v>-442.57569999999998</v>
      </c>
      <c r="H2387" s="1">
        <v>-2.2140780000000001E-7</v>
      </c>
      <c r="I2387">
        <v>285.88080000000002</v>
      </c>
      <c r="J2387">
        <v>-413.88929999999999</v>
      </c>
      <c r="K2387">
        <v>1.120838</v>
      </c>
      <c r="L2387">
        <v>284.63690000000003</v>
      </c>
      <c r="M2387">
        <v>-0.99982870000000001</v>
      </c>
      <c r="N2387">
        <v>-1.452111E-2</v>
      </c>
      <c r="O2387">
        <v>1.1478479999999999E-2</v>
      </c>
      <c r="P2387">
        <v>-0.98194689999999996</v>
      </c>
      <c r="Q2387">
        <v>0.1844905</v>
      </c>
      <c r="R2387">
        <v>4.1760039999999998E-2</v>
      </c>
      <c r="S2387">
        <v>-3.071075</v>
      </c>
      <c r="T2387">
        <v>-0.118582199999999</v>
      </c>
      <c r="U2387">
        <v>0.132019</v>
      </c>
      <c r="V2387">
        <v>3.0533709999999999E-2</v>
      </c>
      <c r="W2387">
        <v>0.19872880000000001</v>
      </c>
      <c r="X2387">
        <v>0.97957879999999997</v>
      </c>
      <c r="Y2387">
        <v>3.1447410000000002E-2</v>
      </c>
      <c r="Z2387">
        <v>5.5896359999999998E-4</v>
      </c>
      <c r="AA2387">
        <v>0.99950530000000004</v>
      </c>
      <c r="AB2387">
        <v>34</v>
      </c>
      <c r="AC2387">
        <v>-28.6863999999999</v>
      </c>
      <c r="AD2387">
        <v>-1.1208382214078001</v>
      </c>
      <c r="AE2387">
        <v>1.24389999999999</v>
      </c>
      <c r="AF2387">
        <v>0.91311567876092103</v>
      </c>
      <c r="AG2387">
        <v>-1.1208382214078001</v>
      </c>
      <c r="AH2387">
        <v>28.655125657773102</v>
      </c>
      <c r="AI2387">
        <v>92.238833254769403</v>
      </c>
      <c r="AJ2387">
        <v>88.174847396691604</v>
      </c>
      <c r="AK2387">
        <v>28.691571672254799</v>
      </c>
      <c r="AL2387">
        <v>78.537367839989699</v>
      </c>
      <c r="AM2387">
        <v>88.214654639535297</v>
      </c>
      <c r="AN2387">
        <v>1.0000000344026201</v>
      </c>
    </row>
    <row r="2388" spans="1:40" x14ac:dyDescent="0.25">
      <c r="A2388" t="str">
        <f>"20190303162301273"</f>
        <v>20190303162301273</v>
      </c>
      <c r="B2388" t="str">
        <f>"1551601381266875"</f>
        <v>1551601381266875</v>
      </c>
      <c r="C2388" t="s">
        <v>40</v>
      </c>
      <c r="D2388">
        <v>5.5197690000000001</v>
      </c>
      <c r="E2388">
        <v>0.43471850000000001</v>
      </c>
      <c r="F2388" t="s">
        <v>47</v>
      </c>
      <c r="G2388">
        <v>-441.43329999999997</v>
      </c>
      <c r="H2388" s="1">
        <v>-6.8718779999999996E-7</v>
      </c>
      <c r="I2388">
        <v>282.62959999999998</v>
      </c>
      <c r="J2388">
        <v>-414.22800000000001</v>
      </c>
      <c r="K2388">
        <v>1.120849</v>
      </c>
      <c r="L2388">
        <v>284.64089999999999</v>
      </c>
      <c r="M2388">
        <v>-0.99982769999999999</v>
      </c>
      <c r="N2388">
        <v>-1.4517449999999999E-2</v>
      </c>
      <c r="O2388">
        <v>1.1568139999999999E-2</v>
      </c>
      <c r="P2388">
        <v>-0.98187570000000002</v>
      </c>
      <c r="Q2388">
        <v>0.1849481</v>
      </c>
      <c r="R2388">
        <v>4.1407579999999999E-2</v>
      </c>
      <c r="S2388">
        <v>-3.0883790000000002</v>
      </c>
      <c r="T2388">
        <v>-0.12567390000000001</v>
      </c>
      <c r="U2388">
        <v>-0.22506709999999999</v>
      </c>
      <c r="V2388">
        <v>3.0093749999999999E-2</v>
      </c>
      <c r="W2388">
        <v>0.19918159999999999</v>
      </c>
      <c r="X2388">
        <v>0.97950040000000005</v>
      </c>
      <c r="Y2388">
        <v>-8.4118600000000002E-2</v>
      </c>
      <c r="Z2388">
        <v>-2.6225979999999999E-3</v>
      </c>
      <c r="AA2388">
        <v>0.99645229999999996</v>
      </c>
      <c r="AB2388">
        <v>34</v>
      </c>
      <c r="AC2388">
        <v>-27.205299999999902</v>
      </c>
      <c r="AD2388">
        <v>-1.1208496871878</v>
      </c>
      <c r="AE2388">
        <v>-2.0112999999999999</v>
      </c>
      <c r="AF2388">
        <v>-2.3219933183891501</v>
      </c>
      <c r="AG2388">
        <v>-1.1208496871878</v>
      </c>
      <c r="AH2388">
        <v>27.134401837926202</v>
      </c>
      <c r="AI2388">
        <v>92.356787204151701</v>
      </c>
      <c r="AJ2388">
        <v>94.891100656901202</v>
      </c>
      <c r="AK2388">
        <v>27.256627085792601</v>
      </c>
      <c r="AL2388">
        <v>78.510894550278294</v>
      </c>
      <c r="AM2388">
        <v>88.240222622531505</v>
      </c>
      <c r="AN2388">
        <v>0.99999998858389105</v>
      </c>
    </row>
    <row r="2389" spans="1:40" x14ac:dyDescent="0.25">
      <c r="A2389" t="str">
        <f>"20190303162301295"</f>
        <v>20190303162301295</v>
      </c>
      <c r="B2389" t="str">
        <f>"1551601381287370"</f>
        <v>1551601381287370</v>
      </c>
      <c r="C2389" t="s">
        <v>40</v>
      </c>
      <c r="D2389">
        <v>5.4332219999999998</v>
      </c>
      <c r="E2389">
        <v>0.4294367</v>
      </c>
      <c r="F2389" t="s">
        <v>49</v>
      </c>
      <c r="G2389">
        <v>-434.28300000000002</v>
      </c>
      <c r="H2389" s="1">
        <v>4.3407340000000003E-6</v>
      </c>
      <c r="I2389">
        <v>282.04939999999999</v>
      </c>
      <c r="J2389">
        <v>-414.55160000000001</v>
      </c>
      <c r="K2389">
        <v>1.1208499999999999</v>
      </c>
      <c r="L2389">
        <v>284.6447</v>
      </c>
      <c r="M2389">
        <v>-0.99982689999999996</v>
      </c>
      <c r="N2389">
        <v>-1.4514900000000001E-2</v>
      </c>
      <c r="O2389">
        <v>1.1653149999999999E-2</v>
      </c>
      <c r="P2389">
        <v>-0.98182689999999995</v>
      </c>
      <c r="Q2389">
        <v>0.1853226</v>
      </c>
      <c r="R2389">
        <v>4.088746E-2</v>
      </c>
      <c r="S2389">
        <v>-3.1049799999999999</v>
      </c>
      <c r="T2389">
        <v>-0.17353299999999999</v>
      </c>
      <c r="U2389">
        <v>-0.40121459999999998</v>
      </c>
      <c r="V2389">
        <v>2.949069E-2</v>
      </c>
      <c r="W2389">
        <v>0.1995526</v>
      </c>
      <c r="X2389">
        <v>0.97944330000000002</v>
      </c>
      <c r="Y2389">
        <v>-0.1394203</v>
      </c>
      <c r="Z2389">
        <v>-5.3738090000000002E-3</v>
      </c>
      <c r="AA2389">
        <v>0.99021870000000001</v>
      </c>
      <c r="AB2389">
        <v>34</v>
      </c>
      <c r="AC2389">
        <v>-19.731400000000001</v>
      </c>
      <c r="AD2389">
        <v>-1.1208456592660001</v>
      </c>
      <c r="AE2389">
        <v>-2.5952999999999999</v>
      </c>
      <c r="AF2389">
        <v>-2.8161482091486101</v>
      </c>
      <c r="AG2389">
        <v>-1.1208456592660001</v>
      </c>
      <c r="AH2389">
        <v>19.6375240723258</v>
      </c>
      <c r="AI2389">
        <v>93.233700734737695</v>
      </c>
      <c r="AJ2389">
        <v>98.160945202173494</v>
      </c>
      <c r="AK2389">
        <v>19.8700613340513</v>
      </c>
      <c r="AL2389">
        <v>78.489203168628606</v>
      </c>
      <c r="AM2389">
        <v>88.275365475687593</v>
      </c>
      <c r="AN2389">
        <v>1.00000005943916</v>
      </c>
    </row>
    <row r="2390" spans="1:40" x14ac:dyDescent="0.25">
      <c r="A2390" t="str">
        <f>"20190303162301317"</f>
        <v>20190303162301317</v>
      </c>
      <c r="B2390" t="str">
        <f>"1551601381306891"</f>
        <v>1551601381306891</v>
      </c>
      <c r="C2390" t="s">
        <v>40</v>
      </c>
      <c r="D2390">
        <v>5.4416520000000004</v>
      </c>
      <c r="E2390">
        <v>0.42654959999999997</v>
      </c>
      <c r="F2390" t="s">
        <v>49</v>
      </c>
      <c r="G2390">
        <v>-432.7047</v>
      </c>
      <c r="H2390" s="1">
        <v>3.6412310000000002E-6</v>
      </c>
      <c r="I2390">
        <v>282.04480000000001</v>
      </c>
      <c r="J2390">
        <v>-414.88670000000002</v>
      </c>
      <c r="K2390">
        <v>1.1208450000000001</v>
      </c>
      <c r="L2390">
        <v>284.64870000000002</v>
      </c>
      <c r="M2390">
        <v>-0.99982579999999999</v>
      </c>
      <c r="N2390">
        <v>-1.4513959999999999E-2</v>
      </c>
      <c r="O2390">
        <v>1.174178E-2</v>
      </c>
      <c r="P2390">
        <v>-0.98178770000000004</v>
      </c>
      <c r="Q2390">
        <v>0.18551880000000001</v>
      </c>
      <c r="R2390">
        <v>4.0939080000000003E-2</v>
      </c>
      <c r="S2390">
        <v>-3.1103519999999998</v>
      </c>
      <c r="T2390">
        <v>-0.19204560000000001</v>
      </c>
      <c r="U2390">
        <v>-0.4454651</v>
      </c>
      <c r="V2390">
        <v>2.9455800000000001E-2</v>
      </c>
      <c r="W2390">
        <v>0.19974790000000001</v>
      </c>
      <c r="X2390">
        <v>0.97940439999999995</v>
      </c>
      <c r="Y2390">
        <v>-0.1530213</v>
      </c>
      <c r="Z2390">
        <v>-6.3645000000000004E-3</v>
      </c>
      <c r="AA2390">
        <v>0.98820240000000004</v>
      </c>
      <c r="AB2390">
        <v>34</v>
      </c>
      <c r="AC2390">
        <v>-17.817999999999898</v>
      </c>
      <c r="AD2390">
        <v>-1.120841358769</v>
      </c>
      <c r="AE2390">
        <v>-2.6038999999999999</v>
      </c>
      <c r="AF2390">
        <v>-2.8021013409026301</v>
      </c>
      <c r="AG2390">
        <v>-1.120841358769</v>
      </c>
      <c r="AH2390">
        <v>17.7175507107737</v>
      </c>
      <c r="AI2390">
        <v>93.575478851372296</v>
      </c>
      <c r="AJ2390">
        <v>98.987118840682001</v>
      </c>
      <c r="AK2390">
        <v>17.972747716057601</v>
      </c>
      <c r="AL2390">
        <v>78.477781800748005</v>
      </c>
      <c r="AM2390">
        <v>88.277336258440897</v>
      </c>
      <c r="AN2390">
        <v>0.99999992322370201</v>
      </c>
    </row>
    <row r="2391" spans="1:40" x14ac:dyDescent="0.25">
      <c r="A2391" t="str">
        <f>"20190303162301340"</f>
        <v>20190303162301340</v>
      </c>
      <c r="B2391" t="str">
        <f>"1551601381327387"</f>
        <v>1551601381327387</v>
      </c>
      <c r="C2391" t="s">
        <v>40</v>
      </c>
      <c r="D2391">
        <v>5.4434769999999997</v>
      </c>
      <c r="E2391">
        <v>0.42503580000000002</v>
      </c>
      <c r="F2391" t="s">
        <v>49</v>
      </c>
      <c r="G2391">
        <v>-431.99919999999997</v>
      </c>
      <c r="H2391" s="1">
        <v>3.325531E-6</v>
      </c>
      <c r="I2391">
        <v>282.0772</v>
      </c>
      <c r="J2391">
        <v>-415.22910000000002</v>
      </c>
      <c r="K2391">
        <v>1.1208499999999999</v>
      </c>
      <c r="L2391">
        <v>284.65280000000001</v>
      </c>
      <c r="M2391">
        <v>-0.99982470000000001</v>
      </c>
      <c r="N2391">
        <v>-1.451383E-2</v>
      </c>
      <c r="O2391">
        <v>1.183213E-2</v>
      </c>
      <c r="P2391">
        <v>-0.98182369999999997</v>
      </c>
      <c r="Q2391">
        <v>0.1853979</v>
      </c>
      <c r="R2391">
        <v>4.0616590000000001E-2</v>
      </c>
      <c r="S2391">
        <v>-3.1137389999999998</v>
      </c>
      <c r="T2391">
        <v>-0.20394470000000001</v>
      </c>
      <c r="U2391">
        <v>-0.46789550000000002</v>
      </c>
      <c r="V2391">
        <v>2.9043900000000001E-2</v>
      </c>
      <c r="W2391">
        <v>0.19962740000000001</v>
      </c>
      <c r="X2391">
        <v>0.97944129999999996</v>
      </c>
      <c r="Y2391">
        <v>-0.15986539999999999</v>
      </c>
      <c r="Z2391">
        <v>-6.9683089999999998E-3</v>
      </c>
      <c r="AA2391">
        <v>0.9871143</v>
      </c>
      <c r="AB2391">
        <v>34</v>
      </c>
      <c r="AC2391">
        <v>-16.7700999999999</v>
      </c>
      <c r="AD2391">
        <v>-1.120846674469</v>
      </c>
      <c r="AE2391">
        <v>-2.5756000000000001</v>
      </c>
      <c r="AF2391">
        <v>-2.7618136936212601</v>
      </c>
      <c r="AG2391">
        <v>-1.120846674469</v>
      </c>
      <c r="AH2391">
        <v>16.665716685483702</v>
      </c>
      <c r="AI2391">
        <v>93.795996139443005</v>
      </c>
      <c r="AJ2391">
        <v>99.409443442769003</v>
      </c>
      <c r="AK2391">
        <v>16.930151351560699</v>
      </c>
      <c r="AL2391">
        <v>78.484828207036301</v>
      </c>
      <c r="AM2391">
        <v>88.301475153004006</v>
      </c>
      <c r="AN2391">
        <v>0.99999995355182802</v>
      </c>
    </row>
    <row r="2392" spans="1:40" x14ac:dyDescent="0.25">
      <c r="A2392" t="str">
        <f>"20190303162301362"</f>
        <v>20190303162301362</v>
      </c>
      <c r="B2392" t="str">
        <f>"1551601381356667"</f>
        <v>1551601381356667</v>
      </c>
      <c r="C2392" t="s">
        <v>40</v>
      </c>
      <c r="D2392">
        <v>5.4503870000000001</v>
      </c>
      <c r="E2392">
        <v>0.423763</v>
      </c>
      <c r="F2392" t="s">
        <v>49</v>
      </c>
      <c r="G2392">
        <v>-431.5652</v>
      </c>
      <c r="H2392" s="1">
        <v>3.1282570000000001E-6</v>
      </c>
      <c r="I2392">
        <v>282.13209999999998</v>
      </c>
      <c r="J2392">
        <v>-415.56169999999997</v>
      </c>
      <c r="K2392">
        <v>1.120851</v>
      </c>
      <c r="L2392">
        <v>284.65679999999998</v>
      </c>
      <c r="M2392">
        <v>-0.99982369999999998</v>
      </c>
      <c r="N2392">
        <v>-1.451384E-2</v>
      </c>
      <c r="O2392">
        <v>1.1919219999999999E-2</v>
      </c>
      <c r="P2392">
        <v>-0.98187480000000005</v>
      </c>
      <c r="Q2392">
        <v>0.1851351</v>
      </c>
      <c r="R2392">
        <v>4.0587579999999998E-2</v>
      </c>
      <c r="S2392">
        <v>-3.1157840000000001</v>
      </c>
      <c r="T2392">
        <v>-0.21377979999999999</v>
      </c>
      <c r="U2392">
        <v>-0.48077389999999998</v>
      </c>
      <c r="V2392">
        <v>2.8928949999999998E-2</v>
      </c>
      <c r="W2392">
        <v>0.1993653</v>
      </c>
      <c r="X2392">
        <v>0.97949810000000004</v>
      </c>
      <c r="Y2392">
        <v>-0.16379360000000001</v>
      </c>
      <c r="Z2392">
        <v>-7.4173759999999998E-3</v>
      </c>
      <c r="AA2392">
        <v>0.98646679999999998</v>
      </c>
      <c r="AB2392">
        <v>34</v>
      </c>
      <c r="AC2392">
        <v>-16.003499999999999</v>
      </c>
      <c r="AD2392">
        <v>-1.1208478717429999</v>
      </c>
      <c r="AE2392">
        <v>-2.52469999999999</v>
      </c>
      <c r="AF2392">
        <v>-2.70235603159577</v>
      </c>
      <c r="AG2392">
        <v>-1.1208478717429999</v>
      </c>
      <c r="AH2392">
        <v>15.896185656785899</v>
      </c>
      <c r="AI2392">
        <v>93.976415139589804</v>
      </c>
      <c r="AJ2392">
        <v>99.648060974896197</v>
      </c>
      <c r="AK2392">
        <v>16.163160164649099</v>
      </c>
      <c r="AL2392">
        <v>78.500153653754495</v>
      </c>
      <c r="AM2392">
        <v>88.308291712168597</v>
      </c>
      <c r="AN2392">
        <v>0.99999996744789998</v>
      </c>
    </row>
    <row r="2393" spans="1:40" x14ac:dyDescent="0.25">
      <c r="A2393" t="str">
        <f>"20190303162301384"</f>
        <v>20190303162301384</v>
      </c>
      <c r="B2393" t="str">
        <f>"1551601381377162"</f>
        <v>1551601381377162</v>
      </c>
      <c r="C2393" t="s">
        <v>40</v>
      </c>
      <c r="D2393">
        <v>5.464518</v>
      </c>
      <c r="E2393">
        <v>0.42335830000000002</v>
      </c>
      <c r="F2393" t="s">
        <v>49</v>
      </c>
      <c r="G2393">
        <v>-431.11149999999998</v>
      </c>
      <c r="H2393" s="1">
        <v>2.9206060000000002E-6</v>
      </c>
      <c r="I2393">
        <v>282.20620000000002</v>
      </c>
      <c r="J2393">
        <v>-415.89729999999997</v>
      </c>
      <c r="K2393">
        <v>1.1208469999999999</v>
      </c>
      <c r="L2393">
        <v>284.66090000000003</v>
      </c>
      <c r="M2393">
        <v>-0.99982260000000001</v>
      </c>
      <c r="N2393">
        <v>-1.451351E-2</v>
      </c>
      <c r="O2393">
        <v>1.200772E-2</v>
      </c>
      <c r="P2393">
        <v>-0.98199650000000005</v>
      </c>
      <c r="Q2393">
        <v>0.18433659999999999</v>
      </c>
      <c r="R2393">
        <v>4.1268140000000002E-2</v>
      </c>
      <c r="S2393">
        <v>-3.118042</v>
      </c>
      <c r="T2393">
        <v>-0.2247518</v>
      </c>
      <c r="U2393">
        <v>-0.491394</v>
      </c>
      <c r="V2393">
        <v>2.9520689999999999E-2</v>
      </c>
      <c r="W2393">
        <v>0.19856850000000001</v>
      </c>
      <c r="X2393">
        <v>0.97964229999999997</v>
      </c>
      <c r="Y2393">
        <v>-0.1669976</v>
      </c>
      <c r="Z2393">
        <v>-7.8816790000000008E-3</v>
      </c>
      <c r="AA2393">
        <v>0.98592579999999996</v>
      </c>
      <c r="AB2393">
        <v>33</v>
      </c>
      <c r="AC2393">
        <v>-15.2142</v>
      </c>
      <c r="AD2393">
        <v>-1.120844079394</v>
      </c>
      <c r="AE2393">
        <v>-2.4546999999999999</v>
      </c>
      <c r="AF2393">
        <v>-2.6233533165024898</v>
      </c>
      <c r="AG2393">
        <v>-1.120844079394</v>
      </c>
      <c r="AH2393">
        <v>15.1037301603226</v>
      </c>
      <c r="AI2393">
        <v>94.181744649729694</v>
      </c>
      <c r="AJ2393">
        <v>99.853352214113102</v>
      </c>
      <c r="AK2393">
        <v>15.370781984966101</v>
      </c>
      <c r="AL2393">
        <v>78.546738462318402</v>
      </c>
      <c r="AM2393">
        <v>88.273962595815206</v>
      </c>
      <c r="AN2393">
        <v>0.99999997813980701</v>
      </c>
    </row>
    <row r="2394" spans="1:40" x14ac:dyDescent="0.25">
      <c r="A2394" t="str">
        <f>"20190303162301406"</f>
        <v>20190303162301406</v>
      </c>
      <c r="B2394" t="str">
        <f>"1551601381396683"</f>
        <v>1551601381396683</v>
      </c>
      <c r="C2394" t="s">
        <v>40</v>
      </c>
      <c r="D2394">
        <v>5.475873</v>
      </c>
      <c r="E2394">
        <v>0.42301050000000001</v>
      </c>
      <c r="F2394" t="s">
        <v>49</v>
      </c>
      <c r="G2394">
        <v>-430.9819</v>
      </c>
      <c r="H2394" s="1">
        <v>2.856788E-6</v>
      </c>
      <c r="I2394">
        <v>282.27870000000001</v>
      </c>
      <c r="J2394">
        <v>-416.21949999999998</v>
      </c>
      <c r="K2394">
        <v>1.1208469999999999</v>
      </c>
      <c r="L2394">
        <v>284.66489999999999</v>
      </c>
      <c r="M2394">
        <v>-0.99982150000000003</v>
      </c>
      <c r="N2394">
        <v>-1.451302E-2</v>
      </c>
      <c r="O2394">
        <v>1.2092830000000001E-2</v>
      </c>
      <c r="P2394">
        <v>-0.98193929999999996</v>
      </c>
      <c r="Q2394">
        <v>0.18461859999999999</v>
      </c>
      <c r="R2394">
        <v>4.1367609999999999E-2</v>
      </c>
      <c r="S2394">
        <v>-3.1192630000000001</v>
      </c>
      <c r="T2394">
        <v>-0.23177310000000001</v>
      </c>
      <c r="U2394">
        <v>-0.49261470000000002</v>
      </c>
      <c r="V2394">
        <v>2.9537089999999998E-2</v>
      </c>
      <c r="W2394">
        <v>0.19884940000000001</v>
      </c>
      <c r="X2394">
        <v>0.97958489999999998</v>
      </c>
      <c r="Y2394">
        <v>-0.1673666</v>
      </c>
      <c r="Z2394">
        <v>-8.1131380000000006E-3</v>
      </c>
      <c r="AA2394">
        <v>0.9858614</v>
      </c>
      <c r="AB2394">
        <v>33</v>
      </c>
      <c r="AC2394">
        <v>-14.7624</v>
      </c>
      <c r="AD2394">
        <v>-1.120844143212</v>
      </c>
      <c r="AE2394">
        <v>-2.3861999999999699</v>
      </c>
      <c r="AF2394">
        <v>-2.5502364774005999</v>
      </c>
      <c r="AG2394">
        <v>-1.120844143212</v>
      </c>
      <c r="AH2394">
        <v>14.650158041701401</v>
      </c>
      <c r="AI2394">
        <v>94.310451693201799</v>
      </c>
      <c r="AJ2394">
        <v>99.874852478542607</v>
      </c>
      <c r="AK2394">
        <v>14.912649943281901</v>
      </c>
      <c r="AL2394">
        <v>78.530317436312899</v>
      </c>
      <c r="AM2394">
        <v>88.272903154892404</v>
      </c>
      <c r="AN2394">
        <v>1.0000000499370101</v>
      </c>
    </row>
    <row r="2395" spans="1:40" x14ac:dyDescent="0.25">
      <c r="A2395" t="str">
        <f>"20190303162301428"</f>
        <v>20190303162301428</v>
      </c>
      <c r="B2395" t="str">
        <f>"1551601381417179"</f>
        <v>1551601381417179</v>
      </c>
      <c r="C2395" t="s">
        <v>40</v>
      </c>
      <c r="D2395">
        <v>5.4800449999999996</v>
      </c>
      <c r="E2395">
        <v>0.4226183</v>
      </c>
      <c r="F2395" t="s">
        <v>49</v>
      </c>
      <c r="G2395">
        <v>-431.18040000000002</v>
      </c>
      <c r="H2395" s="1">
        <v>2.9437910000000001E-6</v>
      </c>
      <c r="I2395">
        <v>282.2901</v>
      </c>
      <c r="J2395">
        <v>-416.55470000000003</v>
      </c>
      <c r="K2395">
        <v>1.120849</v>
      </c>
      <c r="L2395">
        <v>284.66899999999998</v>
      </c>
      <c r="M2395">
        <v>-0.9998205</v>
      </c>
      <c r="N2395">
        <v>-1.4512290000000001E-2</v>
      </c>
      <c r="O2395">
        <v>1.218146E-2</v>
      </c>
      <c r="P2395">
        <v>-0.98199619999999999</v>
      </c>
      <c r="Q2395">
        <v>0.1842046</v>
      </c>
      <c r="R2395">
        <v>4.1860420000000002E-2</v>
      </c>
      <c r="S2395">
        <v>-3.1199650000000001</v>
      </c>
      <c r="T2395">
        <v>-0.23374320000000001</v>
      </c>
      <c r="U2395">
        <v>-0.49523929999999999</v>
      </c>
      <c r="V2395">
        <v>2.9941969999999998E-2</v>
      </c>
      <c r="W2395">
        <v>0.19843530000000001</v>
      </c>
      <c r="X2395">
        <v>0.97965650000000004</v>
      </c>
      <c r="Y2395">
        <v>-0.16821720000000001</v>
      </c>
      <c r="Z2395">
        <v>-8.2141990000000002E-3</v>
      </c>
      <c r="AA2395">
        <v>0.98571569999999997</v>
      </c>
      <c r="AB2395">
        <v>33</v>
      </c>
      <c r="AC2395">
        <v>-14.625699999999901</v>
      </c>
      <c r="AD2395">
        <v>-1.1208460562089999</v>
      </c>
      <c r="AE2395">
        <v>-2.3789000000000402</v>
      </c>
      <c r="AF2395">
        <v>-2.5423582099790298</v>
      </c>
      <c r="AG2395">
        <v>-1.1208460562089999</v>
      </c>
      <c r="AH2395">
        <v>14.5125976117865</v>
      </c>
      <c r="AI2395">
        <v>94.350347203558499</v>
      </c>
      <c r="AJ2395">
        <v>99.936410412132403</v>
      </c>
      <c r="AK2395">
        <v>14.7761757769458</v>
      </c>
      <c r="AL2395">
        <v>78.554525163830903</v>
      </c>
      <c r="AM2395">
        <v>88.2493714668</v>
      </c>
      <c r="AN2395">
        <v>0.99999997392290996</v>
      </c>
    </row>
    <row r="2396" spans="1:40" x14ac:dyDescent="0.25">
      <c r="A2396" t="str">
        <f>"20190303162301451"</f>
        <v>20190303162301451</v>
      </c>
      <c r="B2396" t="str">
        <f>"1551601381447434"</f>
        <v>1551601381447434</v>
      </c>
      <c r="C2396" t="s">
        <v>40</v>
      </c>
      <c r="D2396">
        <v>5.4568529999999997</v>
      </c>
      <c r="E2396">
        <v>0.42196479999999997</v>
      </c>
      <c r="F2396" t="s">
        <v>49</v>
      </c>
      <c r="G2396">
        <v>-431.3338</v>
      </c>
      <c r="H2396" s="1">
        <v>3.0094130000000001E-6</v>
      </c>
      <c r="I2396">
        <v>282.3177</v>
      </c>
      <c r="J2396">
        <v>-416.88780000000003</v>
      </c>
      <c r="K2396">
        <v>1.120843</v>
      </c>
      <c r="L2396">
        <v>284.67320000000001</v>
      </c>
      <c r="M2396">
        <v>-0.99981949999999997</v>
      </c>
      <c r="N2396">
        <v>-1.4511319999999999E-2</v>
      </c>
      <c r="O2396">
        <v>1.226962E-2</v>
      </c>
      <c r="P2396">
        <v>-0.98205019999999998</v>
      </c>
      <c r="Q2396">
        <v>0.18372730000000001</v>
      </c>
      <c r="R2396">
        <v>4.2684100000000003E-2</v>
      </c>
      <c r="S2396">
        <v>-3.1206049999999999</v>
      </c>
      <c r="T2396">
        <v>-0.23666690000000001</v>
      </c>
      <c r="U2396">
        <v>-0.4964905</v>
      </c>
      <c r="V2396">
        <v>3.0678150000000001E-2</v>
      </c>
      <c r="W2396">
        <v>0.1979581</v>
      </c>
      <c r="X2396">
        <v>0.97973030000000005</v>
      </c>
      <c r="Y2396">
        <v>-0.1686436</v>
      </c>
      <c r="Z2396">
        <v>-8.3263569999999995E-3</v>
      </c>
      <c r="AA2396">
        <v>0.98564200000000002</v>
      </c>
      <c r="AB2396">
        <v>33</v>
      </c>
      <c r="AC2396">
        <v>-14.4459999999999</v>
      </c>
      <c r="AD2396">
        <v>-1.1208399905869999</v>
      </c>
      <c r="AE2396">
        <v>-2.3555000000000001</v>
      </c>
      <c r="AF2396">
        <v>-2.5178236409574701</v>
      </c>
      <c r="AG2396">
        <v>-1.1208399905869999</v>
      </c>
      <c r="AH2396">
        <v>14.331965143896101</v>
      </c>
      <c r="AI2396">
        <v>94.4045680658474</v>
      </c>
      <c r="AJ2396">
        <v>99.963982505878306</v>
      </c>
      <c r="AK2396">
        <v>14.594551827902</v>
      </c>
      <c r="AL2396">
        <v>78.582420494395805</v>
      </c>
      <c r="AM2396">
        <v>88.206491751017296</v>
      </c>
      <c r="AN2396">
        <v>1.0000000094905599</v>
      </c>
    </row>
    <row r="2397" spans="1:40" x14ac:dyDescent="0.25">
      <c r="A2397" t="str">
        <f>"20190303162301473"</f>
        <v>20190303162301473</v>
      </c>
      <c r="B2397" t="str">
        <f>"1551601381466955"</f>
        <v>1551601381466955</v>
      </c>
      <c r="C2397" t="s">
        <v>40</v>
      </c>
      <c r="D2397">
        <v>5.4802339999999896</v>
      </c>
      <c r="E2397">
        <v>0.42172009999999999</v>
      </c>
      <c r="F2397" t="s">
        <v>49</v>
      </c>
      <c r="G2397">
        <v>-431.4579</v>
      </c>
      <c r="H2397" s="1">
        <v>3.0623479999999999E-6</v>
      </c>
      <c r="I2397">
        <v>282.34199999999998</v>
      </c>
      <c r="J2397">
        <v>-417.22550000000001</v>
      </c>
      <c r="K2397">
        <v>1.120846</v>
      </c>
      <c r="L2397">
        <v>284.67739999999998</v>
      </c>
      <c r="M2397">
        <v>-0.9998184</v>
      </c>
      <c r="N2397">
        <v>-1.451004E-2</v>
      </c>
      <c r="O2397">
        <v>1.235908E-2</v>
      </c>
      <c r="P2397">
        <v>-0.98207040000000001</v>
      </c>
      <c r="Q2397">
        <v>0.18350820000000001</v>
      </c>
      <c r="R2397">
        <v>4.3157210000000001E-2</v>
      </c>
      <c r="S2397">
        <v>-3.1214900000000001</v>
      </c>
      <c r="T2397">
        <v>-0.2401268</v>
      </c>
      <c r="U2397">
        <v>-0.49942019999999998</v>
      </c>
      <c r="V2397">
        <v>3.1062659999999999E-2</v>
      </c>
      <c r="W2397">
        <v>0.19773840000000001</v>
      </c>
      <c r="X2397">
        <v>0.97976260000000004</v>
      </c>
      <c r="Y2397">
        <v>-0.16957139999999901</v>
      </c>
      <c r="Z2397">
        <v>-8.4775389999999992E-3</v>
      </c>
      <c r="AA2397">
        <v>0.98548139999999995</v>
      </c>
      <c r="AB2397">
        <v>33</v>
      </c>
      <c r="AC2397">
        <v>-14.232399999999901</v>
      </c>
      <c r="AD2397">
        <v>-1.1208429376519999</v>
      </c>
      <c r="AE2397">
        <v>-2.3353999999999902</v>
      </c>
      <c r="AF2397">
        <v>-2.4960647241009601</v>
      </c>
      <c r="AG2397">
        <v>-1.1208429376519999</v>
      </c>
      <c r="AH2397">
        <v>14.117186895122099</v>
      </c>
      <c r="AI2397">
        <v>94.470459767264501</v>
      </c>
      <c r="AJ2397">
        <v>100.02685756594001</v>
      </c>
      <c r="AK2397">
        <v>14.3799024276798</v>
      </c>
      <c r="AL2397">
        <v>78.595262784768707</v>
      </c>
      <c r="AM2397">
        <v>88.184087284999706</v>
      </c>
      <c r="AN2397">
        <v>1.0000000580197901</v>
      </c>
    </row>
    <row r="2398" spans="1:40" x14ac:dyDescent="0.25">
      <c r="A2398" t="str">
        <f>"20190303162301495"</f>
        <v>20190303162301495</v>
      </c>
      <c r="B2398" t="str">
        <f>"1551601381487450"</f>
        <v>1551601381487450</v>
      </c>
      <c r="C2398" t="s">
        <v>40</v>
      </c>
      <c r="D2398">
        <v>5.4835240000000001</v>
      </c>
      <c r="E2398">
        <v>0.4215044</v>
      </c>
      <c r="F2398" t="s">
        <v>49</v>
      </c>
      <c r="G2398">
        <v>-431.61189999999999</v>
      </c>
      <c r="H2398" s="1">
        <v>3.1280200000000001E-6</v>
      </c>
      <c r="I2398">
        <v>282.37200000000001</v>
      </c>
      <c r="J2398">
        <v>-417.54349999999999</v>
      </c>
      <c r="K2398">
        <v>1.1208499999999999</v>
      </c>
      <c r="L2398">
        <v>284.6814</v>
      </c>
      <c r="M2398">
        <v>-0.99981750000000003</v>
      </c>
      <c r="N2398">
        <v>-1.45086E-2</v>
      </c>
      <c r="O2398">
        <v>1.244265E-2</v>
      </c>
      <c r="P2398">
        <v>-0.98202469999999997</v>
      </c>
      <c r="Q2398">
        <v>0.18368019999999999</v>
      </c>
      <c r="R2398">
        <v>4.347061E-2</v>
      </c>
      <c r="S2398">
        <v>-3.122223</v>
      </c>
      <c r="T2398">
        <v>-0.24325189999999999</v>
      </c>
      <c r="U2398">
        <v>-0.50033570000000005</v>
      </c>
      <c r="V2398">
        <v>3.1294469999999998E-2</v>
      </c>
      <c r="W2398">
        <v>0.1979081</v>
      </c>
      <c r="X2398">
        <v>0.97972090000000001</v>
      </c>
      <c r="Y2398">
        <v>-0.1698837</v>
      </c>
      <c r="Z2398">
        <v>-8.5914449999999996E-3</v>
      </c>
      <c r="AA2398">
        <v>0.98542669999999999</v>
      </c>
      <c r="AB2398">
        <v>33</v>
      </c>
      <c r="AC2398">
        <v>-14.068399999999899</v>
      </c>
      <c r="AD2398">
        <v>-1.12084687198</v>
      </c>
      <c r="AE2398">
        <v>-2.3093999999999801</v>
      </c>
      <c r="AF2398">
        <v>-2.4690268295113298</v>
      </c>
      <c r="AG2398">
        <v>-1.12084687198</v>
      </c>
      <c r="AH2398">
        <v>13.952333956723299</v>
      </c>
      <c r="AI2398">
        <v>94.5229612917948</v>
      </c>
      <c r="AJ2398">
        <v>100.035258721774</v>
      </c>
      <c r="AK2398">
        <v>14.213374477414201</v>
      </c>
      <c r="AL2398">
        <v>78.585343006248806</v>
      </c>
      <c r="AM2398">
        <v>88.170467110299498</v>
      </c>
      <c r="AN2398">
        <v>1.0000000008975001</v>
      </c>
    </row>
    <row r="2399" spans="1:40" x14ac:dyDescent="0.25">
      <c r="A2399" t="str">
        <f>"20190303162301518"</f>
        <v>20190303162301518</v>
      </c>
      <c r="B2399" t="str">
        <f>"1551601381506970"</f>
        <v>1551601381506970</v>
      </c>
      <c r="C2399" t="s">
        <v>40</v>
      </c>
      <c r="D2399">
        <v>5.433128</v>
      </c>
      <c r="E2399">
        <v>0.42131039999999997</v>
      </c>
      <c r="F2399" t="s">
        <v>49</v>
      </c>
      <c r="G2399">
        <v>-431.86349999999999</v>
      </c>
      <c r="H2399" s="1">
        <v>3.2384359999999999E-6</v>
      </c>
      <c r="I2399">
        <v>282.38479999999998</v>
      </c>
      <c r="J2399">
        <v>-417.89109999999999</v>
      </c>
      <c r="K2399">
        <v>1.120851</v>
      </c>
      <c r="L2399">
        <v>284.6859</v>
      </c>
      <c r="M2399">
        <v>-0.99981640000000005</v>
      </c>
      <c r="N2399">
        <v>-1.450676E-2</v>
      </c>
      <c r="O2399">
        <v>1.253433E-2</v>
      </c>
      <c r="P2399">
        <v>-0.98202509999999998</v>
      </c>
      <c r="Q2399">
        <v>0.18362719999999999</v>
      </c>
      <c r="R2399">
        <v>4.368524E-2</v>
      </c>
      <c r="S2399">
        <v>-3.1227719999999999</v>
      </c>
      <c r="T2399">
        <v>-0.244424</v>
      </c>
      <c r="U2399">
        <v>-0.50082399999999905</v>
      </c>
      <c r="V2399">
        <v>3.1419089999999997E-2</v>
      </c>
      <c r="W2399">
        <v>0.1978529</v>
      </c>
      <c r="X2399">
        <v>0.97972800000000004</v>
      </c>
      <c r="Y2399">
        <v>-0.17009099999999999</v>
      </c>
      <c r="Z2399">
        <v>-8.6414719999999903E-3</v>
      </c>
      <c r="AA2399">
        <v>0.98539049999999995</v>
      </c>
      <c r="AB2399">
        <v>33</v>
      </c>
      <c r="AC2399">
        <v>-13.972399999999899</v>
      </c>
      <c r="AD2399">
        <v>-1.120847761564</v>
      </c>
      <c r="AE2399">
        <v>-2.3011000000000101</v>
      </c>
      <c r="AF2399">
        <v>-2.4606559707026801</v>
      </c>
      <c r="AG2399">
        <v>-1.120847761564</v>
      </c>
      <c r="AH2399">
        <v>13.8556491231927</v>
      </c>
      <c r="AI2399">
        <v>94.553902235865493</v>
      </c>
      <c r="AJ2399">
        <v>100.07029363746901</v>
      </c>
      <c r="AK2399">
        <v>14.117015978449199</v>
      </c>
      <c r="AL2399">
        <v>78.588568848613605</v>
      </c>
      <c r="AM2399">
        <v>88.1631998763946</v>
      </c>
      <c r="AN2399">
        <v>0.99999994161941697</v>
      </c>
    </row>
    <row r="2400" spans="1:40" x14ac:dyDescent="0.25">
      <c r="A2400" t="str">
        <f>"20190303162301543"</f>
        <v>20190303162301543</v>
      </c>
      <c r="B2400" t="str">
        <f>"1551601381537227"</f>
        <v>1551601381537227</v>
      </c>
      <c r="C2400" t="s">
        <v>40</v>
      </c>
      <c r="D2400">
        <v>5.4088450000000003</v>
      </c>
      <c r="E2400">
        <v>0.4210411</v>
      </c>
      <c r="F2400" t="s">
        <v>49</v>
      </c>
      <c r="G2400">
        <v>-432.14980000000003</v>
      </c>
      <c r="H2400" s="1">
        <v>3.3644069999999999E-6</v>
      </c>
      <c r="I2400">
        <v>282.39620000000002</v>
      </c>
      <c r="J2400">
        <v>-418.2423</v>
      </c>
      <c r="K2400">
        <v>1.1208549999999999</v>
      </c>
      <c r="L2400">
        <v>284.69040000000001</v>
      </c>
      <c r="M2400">
        <v>-0.99981509999999996</v>
      </c>
      <c r="N2400">
        <v>-1.4504660000000001E-2</v>
      </c>
      <c r="O2400">
        <v>1.262714E-2</v>
      </c>
      <c r="P2400">
        <v>-0.98202400000000001</v>
      </c>
      <c r="Q2400">
        <v>0.1835541</v>
      </c>
      <c r="R2400">
        <v>4.4011950000000001E-2</v>
      </c>
      <c r="S2400">
        <v>-3.1231080000000002</v>
      </c>
      <c r="T2400">
        <v>-0.24550140000000001</v>
      </c>
      <c r="U2400">
        <v>-0.50149540000000004</v>
      </c>
      <c r="V2400">
        <v>3.1654479999999999E-2</v>
      </c>
      <c r="W2400">
        <v>0.1977777</v>
      </c>
      <c r="X2400">
        <v>0.97973569999999999</v>
      </c>
      <c r="Y2400">
        <v>-0.1703662</v>
      </c>
      <c r="Z2400">
        <v>-8.6923780000000006E-3</v>
      </c>
      <c r="AA2400">
        <v>0.98534250000000001</v>
      </c>
      <c r="AB2400">
        <v>33</v>
      </c>
      <c r="AC2400">
        <v>-13.907500000000001</v>
      </c>
      <c r="AD2400">
        <v>-1.1208516355929901</v>
      </c>
      <c r="AE2400">
        <v>-2.29419999999998</v>
      </c>
      <c r="AF2400">
        <v>-2.4541294873275801</v>
      </c>
      <c r="AG2400">
        <v>-1.1208516355929901</v>
      </c>
      <c r="AH2400">
        <v>13.7902202283622</v>
      </c>
      <c r="AI2400">
        <v>94.575142874623197</v>
      </c>
      <c r="AJ2400">
        <v>100.090806548808</v>
      </c>
      <c r="AK2400">
        <v>14.0516630288486</v>
      </c>
      <c r="AL2400">
        <v>78.592965409328002</v>
      </c>
      <c r="AM2400">
        <v>88.149462742955905</v>
      </c>
      <c r="AN2400">
        <v>1.00000003328792</v>
      </c>
    </row>
    <row r="2401" spans="1:40" x14ac:dyDescent="0.25">
      <c r="A2401" t="str">
        <f>"20190303162301564"</f>
        <v>20190303162301564</v>
      </c>
      <c r="B2401" t="str">
        <f>"1551601381556746"</f>
        <v>1551601381556746</v>
      </c>
      <c r="C2401" t="s">
        <v>40</v>
      </c>
      <c r="D2401">
        <v>5.4186949999999996</v>
      </c>
      <c r="E2401">
        <v>0.4210622</v>
      </c>
      <c r="F2401" t="s">
        <v>49</v>
      </c>
      <c r="G2401">
        <v>-432.43049999999999</v>
      </c>
      <c r="H2401" s="1">
        <v>3.4879429999999998E-6</v>
      </c>
      <c r="I2401">
        <v>282.40730000000002</v>
      </c>
      <c r="J2401">
        <v>-418.55149999999998</v>
      </c>
      <c r="K2401">
        <v>1.1208560000000001</v>
      </c>
      <c r="L2401">
        <v>284.69439999999997</v>
      </c>
      <c r="M2401">
        <v>-0.99981419999999999</v>
      </c>
      <c r="N2401">
        <v>-1.4502559999999999E-2</v>
      </c>
      <c r="O2401">
        <v>1.270839E-2</v>
      </c>
      <c r="P2401">
        <v>-0.98202579999999995</v>
      </c>
      <c r="Q2401">
        <v>0.18349940000000001</v>
      </c>
      <c r="R2401">
        <v>4.4198319999999999E-2</v>
      </c>
      <c r="S2401">
        <v>-3.1235659999999998</v>
      </c>
      <c r="T2401">
        <v>-0.24675800000000001</v>
      </c>
      <c r="U2401">
        <v>-0.50262450000000003</v>
      </c>
      <c r="V2401">
        <v>3.1760799999999999E-2</v>
      </c>
      <c r="W2401">
        <v>0.1977216</v>
      </c>
      <c r="X2401">
        <v>0.97974349999999999</v>
      </c>
      <c r="Y2401">
        <v>-0.17076340000000001</v>
      </c>
      <c r="Z2401">
        <v>-8.7535600000000005E-3</v>
      </c>
      <c r="AA2401">
        <v>0.98527319999999996</v>
      </c>
      <c r="AB2401">
        <v>33</v>
      </c>
      <c r="AC2401">
        <v>-13.879</v>
      </c>
      <c r="AD2401">
        <v>-1.1208525120570001</v>
      </c>
      <c r="AE2401">
        <v>-2.28709999999995</v>
      </c>
      <c r="AF2401">
        <v>-2.4477712386863901</v>
      </c>
      <c r="AG2401">
        <v>-1.1208525120570001</v>
      </c>
      <c r="AH2401">
        <v>13.7614313485102</v>
      </c>
      <c r="AI2401">
        <v>94.584747522460702</v>
      </c>
      <c r="AJ2401">
        <v>100.085822658102</v>
      </c>
      <c r="AK2401">
        <v>14.022299638450299</v>
      </c>
      <c r="AL2401">
        <v>78.596243523394705</v>
      </c>
      <c r="AM2401">
        <v>88.143266335937895</v>
      </c>
      <c r="AN2401">
        <v>0.99999995265772301</v>
      </c>
    </row>
    <row r="2402" spans="1:40" x14ac:dyDescent="0.25">
      <c r="A2402" t="str">
        <f>"20190303162301585"</f>
        <v>20190303162301585</v>
      </c>
      <c r="B2402" t="str">
        <f>"1551601381577243"</f>
        <v>1551601381577243</v>
      </c>
      <c r="C2402" t="s">
        <v>40</v>
      </c>
      <c r="D2402">
        <v>5.446644</v>
      </c>
      <c r="E2402">
        <v>0.45036779999999998</v>
      </c>
      <c r="F2402" t="s">
        <v>49</v>
      </c>
      <c r="G2402">
        <v>-432.66239999999999</v>
      </c>
      <c r="H2402" s="1">
        <v>3.5890089999999999E-6</v>
      </c>
      <c r="I2402">
        <v>282.42759999999998</v>
      </c>
      <c r="J2402">
        <v>-418.86610000000002</v>
      </c>
      <c r="K2402">
        <v>1.1208530000000001</v>
      </c>
      <c r="L2402">
        <v>284.69850000000002</v>
      </c>
      <c r="M2402">
        <v>-0.99981319999999996</v>
      </c>
      <c r="N2402">
        <v>-1.4500239999999999E-2</v>
      </c>
      <c r="O2402">
        <v>1.279214E-2</v>
      </c>
      <c r="P2402">
        <v>-0.98206150000000003</v>
      </c>
      <c r="Q2402">
        <v>0.1832415</v>
      </c>
      <c r="R2402">
        <v>4.4475029999999999E-2</v>
      </c>
      <c r="S2402">
        <v>-3.12384</v>
      </c>
      <c r="T2402">
        <v>-0.2481303</v>
      </c>
      <c r="U2402">
        <v>-0.50180049999999998</v>
      </c>
      <c r="V2402">
        <v>3.1954370000000003E-2</v>
      </c>
      <c r="W2402">
        <v>0.1974622</v>
      </c>
      <c r="X2402">
        <v>0.97978960000000004</v>
      </c>
      <c r="Y2402">
        <v>-0.1705729</v>
      </c>
      <c r="Z2402">
        <v>-8.7920020000000002E-3</v>
      </c>
      <c r="AA2402">
        <v>0.98530580000000001</v>
      </c>
      <c r="AB2402">
        <v>33</v>
      </c>
      <c r="AC2402">
        <v>-13.796299999999899</v>
      </c>
      <c r="AD2402">
        <v>-1.1208494109909899</v>
      </c>
      <c r="AE2402">
        <v>-2.2709000000000401</v>
      </c>
      <c r="AF2402">
        <v>-2.4315908124739098</v>
      </c>
      <c r="AG2402">
        <v>-1.1208494109909899</v>
      </c>
      <c r="AH2402">
        <v>13.6782182315212</v>
      </c>
      <c r="AI2402">
        <v>94.612586518296197</v>
      </c>
      <c r="AJ2402">
        <v>100.080222680275</v>
      </c>
      <c r="AK2402">
        <v>13.937811566761299</v>
      </c>
      <c r="AL2402">
        <v>78.6114058736255</v>
      </c>
      <c r="AM2402">
        <v>88.132046074300504</v>
      </c>
      <c r="AN2402">
        <v>1.0000000312295401</v>
      </c>
    </row>
    <row r="2403" spans="1:40" x14ac:dyDescent="0.25">
      <c r="A2403" t="str">
        <f>"20190303162301629"</f>
        <v>20190303162301629</v>
      </c>
      <c r="B2403" t="str">
        <f>"1551601381627019"</f>
        <v>1551601381627019</v>
      </c>
      <c r="C2403" t="s">
        <v>40</v>
      </c>
      <c r="D2403">
        <v>5.2057419999999999</v>
      </c>
      <c r="E2403">
        <v>0.51939139999999995</v>
      </c>
      <c r="F2403" t="s">
        <v>49</v>
      </c>
      <c r="G2403">
        <v>-432.24079999999998</v>
      </c>
      <c r="H2403" s="1">
        <v>3.3038780000000001E-6</v>
      </c>
      <c r="I2403">
        <v>283.55020000000002</v>
      </c>
      <c r="J2403">
        <v>-419.53179999999998</v>
      </c>
      <c r="K2403">
        <v>1.120854</v>
      </c>
      <c r="L2403">
        <v>284.7072</v>
      </c>
      <c r="M2403">
        <v>-0.99981100000000001</v>
      </c>
      <c r="N2403">
        <v>-1.4494989999999999E-2</v>
      </c>
      <c r="O2403">
        <v>1.2968169999999999E-2</v>
      </c>
      <c r="P2403">
        <v>-0.98219559999999995</v>
      </c>
      <c r="Q2403">
        <v>0.18251700000000001</v>
      </c>
      <c r="R2403">
        <v>4.4494440000000003E-2</v>
      </c>
      <c r="S2403">
        <v>-3.1156920000000001</v>
      </c>
      <c r="T2403">
        <v>-0.26110830000000002</v>
      </c>
      <c r="U2403">
        <v>-0.26748660000000002</v>
      </c>
      <c r="V2403">
        <v>3.1798630000000001E-2</v>
      </c>
      <c r="W2403">
        <v>0.19673479999999999</v>
      </c>
      <c r="X2403">
        <v>0.97994099999999995</v>
      </c>
      <c r="Y2403">
        <v>-9.801994E-2</v>
      </c>
      <c r="Z2403">
        <v>-5.7014469999999897E-3</v>
      </c>
      <c r="AA2403">
        <v>0.9951681</v>
      </c>
      <c r="AB2403">
        <v>33</v>
      </c>
      <c r="AC2403">
        <v>-12.709</v>
      </c>
      <c r="AD2403">
        <v>-1.1208506961219999</v>
      </c>
      <c r="AE2403">
        <v>-1.15699999999998</v>
      </c>
      <c r="AF2403">
        <v>-1.3116144565186101</v>
      </c>
      <c r="AG2403">
        <v>-1.1208506961219999</v>
      </c>
      <c r="AH2403">
        <v>12.595759714347</v>
      </c>
      <c r="AI2403">
        <v>95.057942622753998</v>
      </c>
      <c r="AJ2403">
        <v>95.944865740760406</v>
      </c>
      <c r="AK2403">
        <v>12.7133709749662</v>
      </c>
      <c r="AL2403">
        <v>78.653916933074598</v>
      </c>
      <c r="AM2403">
        <v>88.141430741924694</v>
      </c>
      <c r="AN2403">
        <v>1.00000004894095</v>
      </c>
    </row>
    <row r="2404" spans="1:40" x14ac:dyDescent="0.25">
      <c r="A2404" t="str">
        <f>"20190303162301652"</f>
        <v>20190303162301652</v>
      </c>
      <c r="B2404" t="str">
        <f>"1551601381646539"</f>
        <v>1551601381646539</v>
      </c>
      <c r="C2404" t="s">
        <v>40</v>
      </c>
      <c r="D2404">
        <v>5.1582929999999996</v>
      </c>
      <c r="E2404">
        <v>0.52159730000000004</v>
      </c>
      <c r="F2404" t="s">
        <v>42</v>
      </c>
      <c r="G2404">
        <v>-420.38</v>
      </c>
      <c r="H2404">
        <v>0.90303420000000001</v>
      </c>
      <c r="I2404">
        <v>284.78129999999999</v>
      </c>
      <c r="J2404">
        <v>-419.85939999999999</v>
      </c>
      <c r="K2404">
        <v>1.12086</v>
      </c>
      <c r="L2404">
        <v>284.7115</v>
      </c>
      <c r="M2404">
        <v>-0.99980990000000003</v>
      </c>
      <c r="N2404">
        <v>-1.449227E-2</v>
      </c>
      <c r="O2404">
        <v>1.305515E-2</v>
      </c>
      <c r="P2404">
        <v>-0.98219820000000002</v>
      </c>
      <c r="Q2404">
        <v>0.18249509999999999</v>
      </c>
      <c r="R2404">
        <v>4.4526219999999998E-2</v>
      </c>
      <c r="S2404">
        <v>-3.1941830000000002</v>
      </c>
      <c r="T2404">
        <v>-0.82034039999999997</v>
      </c>
      <c r="U2404">
        <v>0.2788696</v>
      </c>
      <c r="V2404">
        <v>3.1744889999999998E-2</v>
      </c>
      <c r="W2404">
        <v>0.19671</v>
      </c>
      <c r="X2404">
        <v>0.97994769999999998</v>
      </c>
      <c r="Y2404">
        <v>7.1883859999999994E-2</v>
      </c>
      <c r="Z2404">
        <v>6.4907580000000001E-3</v>
      </c>
      <c r="AA2404">
        <v>0.9973919</v>
      </c>
      <c r="AB2404">
        <v>33</v>
      </c>
      <c r="AC2404">
        <v>-0.52060000000000095</v>
      </c>
      <c r="AD2404">
        <v>-0.21782580000000001</v>
      </c>
      <c r="AE2404">
        <v>6.9799999999986498E-2</v>
      </c>
      <c r="AF2404">
        <v>5.3752572627781603E-2</v>
      </c>
      <c r="AG2404">
        <v>-0.21782580000000001</v>
      </c>
      <c r="AH2404">
        <v>0.44494608312474199</v>
      </c>
      <c r="AI2404">
        <v>115.920760620839</v>
      </c>
      <c r="AJ2404">
        <v>83.111653284824101</v>
      </c>
      <c r="AK2404">
        <v>0.49831158435038903</v>
      </c>
      <c r="AL2404">
        <v>78.6553659522082</v>
      </c>
      <c r="AM2404">
        <v>88.144582221957805</v>
      </c>
      <c r="AN2404">
        <v>1.0000000284382</v>
      </c>
    </row>
    <row r="2405" spans="1:40" x14ac:dyDescent="0.25">
      <c r="A2405" t="str">
        <f>"20190303162301666"</f>
        <v>20190303162301666</v>
      </c>
      <c r="B2405" t="str">
        <f>"1551601381657274"</f>
        <v>1551601381657274</v>
      </c>
      <c r="C2405" t="s">
        <v>40</v>
      </c>
      <c r="D2405">
        <v>5.1226539999999998</v>
      </c>
      <c r="E2405">
        <v>0.52240719999999996</v>
      </c>
      <c r="F2405" t="s">
        <v>42</v>
      </c>
      <c r="G2405">
        <v>-420.66829999999999</v>
      </c>
      <c r="H2405">
        <v>0.8901966</v>
      </c>
      <c r="I2405">
        <v>284.78629999999998</v>
      </c>
      <c r="J2405">
        <v>-420.0582</v>
      </c>
      <c r="K2405">
        <v>1.120862</v>
      </c>
      <c r="L2405">
        <v>284.71420000000001</v>
      </c>
      <c r="M2405">
        <v>-0.99980910000000001</v>
      </c>
      <c r="N2405">
        <v>-1.4490629999999999E-2</v>
      </c>
      <c r="O2405">
        <v>1.31079E-2</v>
      </c>
      <c r="P2405">
        <v>-0.98223269999999996</v>
      </c>
      <c r="Q2405">
        <v>0.182287</v>
      </c>
      <c r="R2405">
        <v>4.461528E-2</v>
      </c>
      <c r="S2405">
        <v>-3.2111510000000001</v>
      </c>
      <c r="T2405">
        <v>-0.91560140000000001</v>
      </c>
      <c r="U2405">
        <v>0.29510500000000001</v>
      </c>
      <c r="V2405">
        <v>3.1781480000000001E-2</v>
      </c>
      <c r="W2405">
        <v>0.19650049999999999</v>
      </c>
      <c r="X2405">
        <v>0.97998850000000004</v>
      </c>
      <c r="Y2405">
        <v>7.5765540000000006E-2</v>
      </c>
      <c r="Z2405">
        <v>7.6603900000000004E-3</v>
      </c>
      <c r="AA2405">
        <v>0.99709619999999999</v>
      </c>
      <c r="AB2405">
        <v>33</v>
      </c>
      <c r="AC2405">
        <v>-0.61009999999998799</v>
      </c>
      <c r="AD2405">
        <v>-0.23066539999999999</v>
      </c>
      <c r="AE2405">
        <v>7.2099999999977599E-2</v>
      </c>
      <c r="AF2405">
        <v>5.6176412452427202E-2</v>
      </c>
      <c r="AG2405">
        <v>-0.23066539999999999</v>
      </c>
      <c r="AH2405">
        <v>0.53550095529907404</v>
      </c>
      <c r="AI2405">
        <v>113.19010598464</v>
      </c>
      <c r="AJ2405">
        <v>84.011324211605995</v>
      </c>
      <c r="AK2405">
        <v>0.58576752146171895</v>
      </c>
      <c r="AL2405">
        <v>78.667607852111701</v>
      </c>
      <c r="AM2405">
        <v>88.142522397406097</v>
      </c>
      <c r="AN2405">
        <v>0.99999998455174499</v>
      </c>
    </row>
    <row r="2406" spans="1:40" x14ac:dyDescent="0.25">
      <c r="A2406" t="str">
        <f>"20190303162301685"</f>
        <v>20190303162301685</v>
      </c>
      <c r="B2406" t="str">
        <f>"1551601381676794"</f>
        <v>1551601381676794</v>
      </c>
      <c r="C2406" t="s">
        <v>40</v>
      </c>
      <c r="D2406">
        <v>5.1114790000000001</v>
      </c>
      <c r="E2406">
        <v>0.52304609999999996</v>
      </c>
      <c r="F2406" t="s">
        <v>42</v>
      </c>
      <c r="G2406">
        <v>-420.95049999999998</v>
      </c>
      <c r="H2406">
        <v>0.86240399999999995</v>
      </c>
      <c r="I2406">
        <v>284.79809999999998</v>
      </c>
      <c r="J2406">
        <v>-420.34399999999999</v>
      </c>
      <c r="K2406">
        <v>1.1208549999999999</v>
      </c>
      <c r="L2406">
        <v>284.71800000000002</v>
      </c>
      <c r="M2406">
        <v>-0.99980809999999998</v>
      </c>
      <c r="N2406">
        <v>-1.4488249999999999E-2</v>
      </c>
      <c r="O2406">
        <v>1.318426E-2</v>
      </c>
      <c r="P2406">
        <v>-0.98234290000000002</v>
      </c>
      <c r="Q2406">
        <v>0.18179210000000001</v>
      </c>
      <c r="R2406">
        <v>4.4205700000000001E-2</v>
      </c>
      <c r="S2406">
        <v>-3.213257</v>
      </c>
      <c r="T2406">
        <v>-0.93067719999999998</v>
      </c>
      <c r="U2406">
        <v>0.30178829999999901</v>
      </c>
      <c r="V2406">
        <v>3.129506E-2</v>
      </c>
      <c r="W2406">
        <v>0.1960054</v>
      </c>
      <c r="X2406">
        <v>0.98010330000000001</v>
      </c>
      <c r="Y2406">
        <v>7.7532829999999997E-2</v>
      </c>
      <c r="Z2406">
        <v>8.0077129999999996E-3</v>
      </c>
      <c r="AA2406">
        <v>0.99695769999999995</v>
      </c>
      <c r="AB2406">
        <v>33</v>
      </c>
      <c r="AC2406">
        <v>-0.60649999999998205</v>
      </c>
      <c r="AD2406">
        <v>-0.25845099999999899</v>
      </c>
      <c r="AE2406">
        <v>8.0099999999958899E-2</v>
      </c>
      <c r="AF2406">
        <v>6.1177157825161803E-2</v>
      </c>
      <c r="AG2406">
        <v>-0.25845099999999899</v>
      </c>
      <c r="AH2406">
        <v>0.51549827019658501</v>
      </c>
      <c r="AI2406">
        <v>116.46723569700001</v>
      </c>
      <c r="AJ2406">
        <v>83.232033592263704</v>
      </c>
      <c r="AK2406">
        <v>0.579894844447022</v>
      </c>
      <c r="AL2406">
        <v>78.696537622117205</v>
      </c>
      <c r="AM2406">
        <v>88.171145985796898</v>
      </c>
      <c r="AN2406">
        <v>0.99999998814022595</v>
      </c>
    </row>
    <row r="2407" spans="1:40" x14ac:dyDescent="0.25">
      <c r="A2407" t="str">
        <f>"20190303162301708"</f>
        <v>20190303162301708</v>
      </c>
      <c r="B2407" t="str">
        <f>"1551601381697290"</f>
        <v>1551601381697290</v>
      </c>
      <c r="C2407" t="s">
        <v>40</v>
      </c>
      <c r="D2407">
        <v>5.0995169999999996</v>
      </c>
      <c r="E2407">
        <v>0.52363909999999902</v>
      </c>
      <c r="F2407" t="s">
        <v>42</v>
      </c>
      <c r="G2407">
        <v>-421.24169999999998</v>
      </c>
      <c r="H2407">
        <v>0.85777569999999903</v>
      </c>
      <c r="I2407">
        <v>284.80380000000002</v>
      </c>
      <c r="J2407">
        <v>-420.67869999999999</v>
      </c>
      <c r="K2407">
        <v>1.120859</v>
      </c>
      <c r="L2407">
        <v>284.72250000000003</v>
      </c>
      <c r="M2407">
        <v>-0.99980709999999995</v>
      </c>
      <c r="N2407">
        <v>-1.4485410000000001E-2</v>
      </c>
      <c r="O2407">
        <v>1.327238E-2</v>
      </c>
      <c r="P2407">
        <v>-0.98239730000000003</v>
      </c>
      <c r="Q2407">
        <v>0.1816334</v>
      </c>
      <c r="R2407">
        <v>4.3646079999999997E-2</v>
      </c>
      <c r="S2407">
        <v>-3.2145079999999999</v>
      </c>
      <c r="T2407">
        <v>-0.94201789999999996</v>
      </c>
      <c r="U2407">
        <v>0.30566409999999899</v>
      </c>
      <c r="V2407">
        <v>3.064822E-2</v>
      </c>
      <c r="W2407">
        <v>0.19584460000000001</v>
      </c>
      <c r="X2407">
        <v>0.98015589999999997</v>
      </c>
      <c r="Y2407">
        <v>7.8498059999999995E-2</v>
      </c>
      <c r="Z2407">
        <v>8.2108259999999992E-3</v>
      </c>
      <c r="AA2407">
        <v>0.99688049999999995</v>
      </c>
      <c r="AB2407">
        <v>33</v>
      </c>
      <c r="AC2407">
        <v>-0.56299999999998795</v>
      </c>
      <c r="AD2407">
        <v>-0.26308330000000002</v>
      </c>
      <c r="AE2407">
        <v>8.1299999999998804E-2</v>
      </c>
      <c r="AF2407">
        <v>6.0812116408372703E-2</v>
      </c>
      <c r="AG2407">
        <v>-0.26308330000000002</v>
      </c>
      <c r="AH2407">
        <v>0.46464330130250098</v>
      </c>
      <c r="AI2407">
        <v>119.310591896169</v>
      </c>
      <c r="AJ2407">
        <v>82.543559473237806</v>
      </c>
      <c r="AK2407">
        <v>0.53740518576418905</v>
      </c>
      <c r="AL2407">
        <v>78.705933061508105</v>
      </c>
      <c r="AM2407">
        <v>88.209017884781204</v>
      </c>
      <c r="AN2407">
        <v>1.00000000452156</v>
      </c>
    </row>
    <row r="2408" spans="1:40" x14ac:dyDescent="0.25">
      <c r="A2408" t="str">
        <f>"20190303162301730"</f>
        <v>20190303162301730</v>
      </c>
      <c r="B2408" t="str">
        <f>"1551601381726571"</f>
        <v>1551601381726571</v>
      </c>
      <c r="C2408" t="s">
        <v>40</v>
      </c>
      <c r="D2408">
        <v>5.0622179999999997</v>
      </c>
      <c r="E2408">
        <v>0.52453519999999998</v>
      </c>
      <c r="F2408" t="s">
        <v>42</v>
      </c>
      <c r="G2408">
        <v>-421.5385</v>
      </c>
      <c r="H2408">
        <v>0.86773549999999999</v>
      </c>
      <c r="I2408">
        <v>284.80520000000001</v>
      </c>
      <c r="J2408">
        <v>-421.00670000000002</v>
      </c>
      <c r="K2408">
        <v>1.120859</v>
      </c>
      <c r="L2408">
        <v>284.7269</v>
      </c>
      <c r="M2408">
        <v>-0.99980590000000003</v>
      </c>
      <c r="N2408">
        <v>-1.448256E-2</v>
      </c>
      <c r="O2408">
        <v>1.335947E-2</v>
      </c>
      <c r="P2408">
        <v>-0.98243959999999997</v>
      </c>
      <c r="Q2408">
        <v>0.181478</v>
      </c>
      <c r="R2408">
        <v>4.333675E-2</v>
      </c>
      <c r="S2408">
        <v>-3.2150880000000002</v>
      </c>
      <c r="T2408">
        <v>-0.94659210000000005</v>
      </c>
      <c r="U2408">
        <v>0.30874629999999997</v>
      </c>
      <c r="V2408">
        <v>3.0252540000000001E-2</v>
      </c>
      <c r="W2408">
        <v>0.19568740000000001</v>
      </c>
      <c r="X2408">
        <v>0.98019959999999995</v>
      </c>
      <c r="Y2408">
        <v>7.9284209999999994E-2</v>
      </c>
      <c r="Z2408">
        <v>8.3389290000000001E-3</v>
      </c>
      <c r="AA2408">
        <v>0.99681719999999896</v>
      </c>
      <c r="AB2408">
        <v>33</v>
      </c>
      <c r="AC2408">
        <v>-0.53179999999997496</v>
      </c>
      <c r="AD2408">
        <v>-0.2531235</v>
      </c>
      <c r="AE2408">
        <v>7.8300000000012901E-2</v>
      </c>
      <c r="AF2408">
        <v>5.8267226791230198E-2</v>
      </c>
      <c r="AG2408">
        <v>-0.2531235</v>
      </c>
      <c r="AH2408">
        <v>0.43609643316165098</v>
      </c>
      <c r="AI2408">
        <v>119.912574661344</v>
      </c>
      <c r="AJ2408">
        <v>82.389732897654994</v>
      </c>
      <c r="AK2408">
        <v>0.50758908083853105</v>
      </c>
      <c r="AL2408">
        <v>78.7151177972802</v>
      </c>
      <c r="AM2408">
        <v>88.232204132759904</v>
      </c>
      <c r="AN2408">
        <v>1.00000001526768</v>
      </c>
    </row>
    <row r="2409" spans="1:40" x14ac:dyDescent="0.25">
      <c r="A2409" t="str">
        <f>"20190303162301752"</f>
        <v>20190303162301752</v>
      </c>
      <c r="B2409" t="str">
        <f>"1551601381747067"</f>
        <v>1551601381747067</v>
      </c>
      <c r="C2409" t="s">
        <v>40</v>
      </c>
      <c r="D2409">
        <v>5.0806659999999999</v>
      </c>
      <c r="E2409">
        <v>0.52487309999999998</v>
      </c>
      <c r="F2409" t="s">
        <v>42</v>
      </c>
      <c r="G2409">
        <v>-421.83429999999998</v>
      </c>
      <c r="H2409">
        <v>0.87601600000000002</v>
      </c>
      <c r="I2409">
        <v>284.80829999999997</v>
      </c>
      <c r="J2409">
        <v>-421.33409999999998</v>
      </c>
      <c r="K2409">
        <v>1.1208629999999999</v>
      </c>
      <c r="L2409">
        <v>284.73140000000001</v>
      </c>
      <c r="M2409">
        <v>-0.9998049</v>
      </c>
      <c r="N2409">
        <v>-1.447966E-2</v>
      </c>
      <c r="O2409">
        <v>1.344621E-2</v>
      </c>
      <c r="P2409">
        <v>-0.98247640000000003</v>
      </c>
      <c r="Q2409">
        <v>0.18127109999999999</v>
      </c>
      <c r="R2409">
        <v>4.3376640000000001E-2</v>
      </c>
      <c r="S2409">
        <v>-3.2154539999999998</v>
      </c>
      <c r="T2409">
        <v>-0.95134339999999995</v>
      </c>
      <c r="U2409">
        <v>0.3148804</v>
      </c>
      <c r="V2409">
        <v>3.0206520000000001E-2</v>
      </c>
      <c r="W2409">
        <v>0.19547790000000001</v>
      </c>
      <c r="X2409">
        <v>0.98024279999999997</v>
      </c>
      <c r="Y2409">
        <v>8.0971609999999999E-2</v>
      </c>
      <c r="Z2409">
        <v>8.6063470000000003E-3</v>
      </c>
      <c r="AA2409">
        <v>0.99667919999999999</v>
      </c>
      <c r="AB2409">
        <v>33</v>
      </c>
      <c r="AC2409">
        <v>-0.50020000000000597</v>
      </c>
      <c r="AD2409">
        <v>-0.24484699999999901</v>
      </c>
      <c r="AE2409">
        <v>7.6899999999966398E-2</v>
      </c>
      <c r="AF2409">
        <v>5.6857559192275801E-2</v>
      </c>
      <c r="AG2409">
        <v>-0.24484699999999901</v>
      </c>
      <c r="AH2409">
        <v>0.406124825798306</v>
      </c>
      <c r="AI2409">
        <v>120.839872146041</v>
      </c>
      <c r="AJ2409">
        <v>82.030378040874297</v>
      </c>
      <c r="AK2409">
        <v>0.47761931449220901</v>
      </c>
      <c r="AL2409">
        <v>78.727357418078597</v>
      </c>
      <c r="AM2409">
        <v>88.234969332203605</v>
      </c>
      <c r="AN2409">
        <v>0.99999999509537996</v>
      </c>
    </row>
    <row r="2410" spans="1:40" x14ac:dyDescent="0.25">
      <c r="A2410" t="str">
        <f>"20190303162301776"</f>
        <v>20190303162301776</v>
      </c>
      <c r="B2410" t="str">
        <f>"1551601381766587"</f>
        <v>1551601381766587</v>
      </c>
      <c r="C2410" t="s">
        <v>40</v>
      </c>
      <c r="D2410">
        <v>5.0895210000000004</v>
      </c>
      <c r="E2410">
        <v>0.52512380000000003</v>
      </c>
      <c r="F2410" t="s">
        <v>42</v>
      </c>
      <c r="G2410">
        <v>-422.12979999999999</v>
      </c>
      <c r="H2410">
        <v>0.88461199999999995</v>
      </c>
      <c r="I2410">
        <v>284.81029999999998</v>
      </c>
      <c r="J2410">
        <v>-421.66660000000002</v>
      </c>
      <c r="K2410">
        <v>1.120862</v>
      </c>
      <c r="L2410">
        <v>284.73599999999999</v>
      </c>
      <c r="M2410">
        <v>-0.99980369999999996</v>
      </c>
      <c r="N2410">
        <v>-1.4476610000000001E-2</v>
      </c>
      <c r="O2410">
        <v>1.353443E-2</v>
      </c>
      <c r="P2410">
        <v>-0.98248139999999995</v>
      </c>
      <c r="Q2410">
        <v>0.18123059999999999</v>
      </c>
      <c r="R2410">
        <v>4.342729E-2</v>
      </c>
      <c r="S2410">
        <v>-3.2156069999999999</v>
      </c>
      <c r="T2410">
        <v>-0.9546692</v>
      </c>
      <c r="U2410">
        <v>0.317749</v>
      </c>
      <c r="V2410">
        <v>3.0170160000000001E-2</v>
      </c>
      <c r="W2410">
        <v>0.19543450000000001</v>
      </c>
      <c r="X2410">
        <v>0.98025260000000003</v>
      </c>
      <c r="Y2410">
        <v>8.1710089999999999E-2</v>
      </c>
      <c r="Z2410">
        <v>8.7200000000000003E-3</v>
      </c>
      <c r="AA2410">
        <v>0.996618</v>
      </c>
      <c r="AB2410">
        <v>33</v>
      </c>
      <c r="AC2410">
        <v>-0.46319999999997202</v>
      </c>
      <c r="AD2410">
        <v>-0.23624999999999999</v>
      </c>
      <c r="AE2410">
        <v>7.4299999999993802E-2</v>
      </c>
      <c r="AF2410">
        <v>5.4261823272279602E-2</v>
      </c>
      <c r="AG2410">
        <v>-0.23624999999999999</v>
      </c>
      <c r="AH2410">
        <v>0.37026008611432798</v>
      </c>
      <c r="AI2410">
        <v>122.26510031030701</v>
      </c>
      <c r="AJ2410">
        <v>81.662620812483993</v>
      </c>
      <c r="AK2410">
        <v>0.44255049354194798</v>
      </c>
      <c r="AL2410">
        <v>78.729893255984294</v>
      </c>
      <c r="AM2410">
        <v>88.237110195637399</v>
      </c>
      <c r="AN2410">
        <v>1.0000000210757101</v>
      </c>
    </row>
    <row r="2411" spans="1:40" x14ac:dyDescent="0.25">
      <c r="A2411" t="str">
        <f>"20190303162301797"</f>
        <v>20190303162301797</v>
      </c>
      <c r="B2411" t="str">
        <f>"1551601381787083"</f>
        <v>1551601381787083</v>
      </c>
      <c r="C2411" t="s">
        <v>40</v>
      </c>
      <c r="D2411">
        <v>5.1212010000000001</v>
      </c>
      <c r="E2411">
        <v>0.52541510000000002</v>
      </c>
      <c r="F2411" t="s">
        <v>42</v>
      </c>
      <c r="G2411">
        <v>-422.42599999999999</v>
      </c>
      <c r="H2411">
        <v>0.89529969999999903</v>
      </c>
      <c r="I2411">
        <v>284.81200000000001</v>
      </c>
      <c r="J2411">
        <v>-421.9846</v>
      </c>
      <c r="K2411">
        <v>1.1208640000000001</v>
      </c>
      <c r="L2411">
        <v>284.74040000000002</v>
      </c>
      <c r="M2411">
        <v>-0.99980250000000004</v>
      </c>
      <c r="N2411">
        <v>-1.44736E-2</v>
      </c>
      <c r="O2411">
        <v>1.361885E-2</v>
      </c>
      <c r="P2411">
        <v>-0.98244989999999999</v>
      </c>
      <c r="Q2411">
        <v>0.18138750000000001</v>
      </c>
      <c r="R2411">
        <v>4.3481880000000001E-2</v>
      </c>
      <c r="S2411">
        <v>-3.2154850000000001</v>
      </c>
      <c r="T2411">
        <v>-0.95516310000000004</v>
      </c>
      <c r="U2411">
        <v>0.32052609999999998</v>
      </c>
      <c r="V2411">
        <v>3.0142180000000001E-2</v>
      </c>
      <c r="W2411">
        <v>0.19558829999999999</v>
      </c>
      <c r="X2411">
        <v>0.98022279999999995</v>
      </c>
      <c r="Y2411">
        <v>8.2449120000000001E-2</v>
      </c>
      <c r="Z2411">
        <v>8.8131540000000001E-3</v>
      </c>
      <c r="AA2411">
        <v>0.99655629999999995</v>
      </c>
      <c r="AB2411">
        <v>33</v>
      </c>
      <c r="AC2411">
        <v>-0.44139999999998702</v>
      </c>
      <c r="AD2411">
        <v>-0.225564299999999</v>
      </c>
      <c r="AE2411">
        <v>7.1599999999989394E-2</v>
      </c>
      <c r="AF2411">
        <v>5.2279127478145303E-2</v>
      </c>
      <c r="AG2411">
        <v>-0.225564299999999</v>
      </c>
      <c r="AH2411">
        <v>0.35261310005950902</v>
      </c>
      <c r="AI2411">
        <v>122.324669314167</v>
      </c>
      <c r="AJ2411">
        <v>81.566647307643706</v>
      </c>
      <c r="AK2411">
        <v>0.421839257227138</v>
      </c>
      <c r="AL2411">
        <v>78.720907927129204</v>
      </c>
      <c r="AM2411">
        <v>88.238690570093297</v>
      </c>
      <c r="AN2411">
        <v>1.00000003587594</v>
      </c>
    </row>
    <row r="2412" spans="1:40" x14ac:dyDescent="0.25">
      <c r="A2412" t="str">
        <f>"20190303162301820"</f>
        <v>20190303162301820</v>
      </c>
      <c r="B2412" t="str">
        <f>"1551601381806604"</f>
        <v>1551601381806604</v>
      </c>
      <c r="C2412" t="s">
        <v>40</v>
      </c>
      <c r="D2412">
        <v>5.0783519999999998</v>
      </c>
      <c r="E2412">
        <v>0.52571330000000005</v>
      </c>
      <c r="F2412" t="s">
        <v>42</v>
      </c>
      <c r="G2412">
        <v>-422.72030000000001</v>
      </c>
      <c r="H2412">
        <v>0.90207389999999998</v>
      </c>
      <c r="I2412">
        <v>284.81450000000001</v>
      </c>
      <c r="J2412">
        <v>-422.30810000000002</v>
      </c>
      <c r="K2412">
        <v>1.12086</v>
      </c>
      <c r="L2412">
        <v>284.7448</v>
      </c>
      <c r="M2412">
        <v>-0.99980139999999995</v>
      </c>
      <c r="N2412">
        <v>-1.4470459999999999E-2</v>
      </c>
      <c r="O2412">
        <v>1.370476E-2</v>
      </c>
      <c r="P2412">
        <v>-0.98246599999999995</v>
      </c>
      <c r="Q2412">
        <v>0.18125289999999999</v>
      </c>
      <c r="R2412">
        <v>4.3680240000000002E-2</v>
      </c>
      <c r="S2412">
        <v>-3.2158199999999999</v>
      </c>
      <c r="T2412">
        <v>-0.95629430000000004</v>
      </c>
      <c r="U2412">
        <v>0.32330320000000001</v>
      </c>
      <c r="V2412">
        <v>3.025568E-2</v>
      </c>
      <c r="W2412">
        <v>0.19545080000000001</v>
      </c>
      <c r="X2412">
        <v>0.98024670000000003</v>
      </c>
      <c r="Y2412">
        <v>8.3170030000000006E-2</v>
      </c>
      <c r="Z2412">
        <v>8.9072879999999993E-3</v>
      </c>
      <c r="AA2412">
        <v>0.99649549999999998</v>
      </c>
      <c r="AB2412">
        <v>33</v>
      </c>
      <c r="AC2412">
        <v>-0.41219999999998402</v>
      </c>
      <c r="AD2412">
        <v>-0.21878610000000001</v>
      </c>
      <c r="AE2412">
        <v>6.97000000000116E-2</v>
      </c>
      <c r="AF2412">
        <v>5.0274067510005897E-2</v>
      </c>
      <c r="AG2412">
        <v>-0.21878610000000001</v>
      </c>
      <c r="AH2412">
        <v>0.32429470350821099</v>
      </c>
      <c r="AI2412">
        <v>123.690929120757</v>
      </c>
      <c r="AJ2412">
        <v>81.187819732292496</v>
      </c>
      <c r="AK2412">
        <v>0.39441335441474201</v>
      </c>
      <c r="AL2412">
        <v>78.728940810813299</v>
      </c>
      <c r="AM2412">
        <v>88.2321056604288</v>
      </c>
      <c r="AN2412">
        <v>1.00000000712689</v>
      </c>
    </row>
    <row r="2413" spans="1:40" x14ac:dyDescent="0.25">
      <c r="A2413" t="str">
        <f>"20190303162301841"</f>
        <v>20190303162301841</v>
      </c>
      <c r="B2413" t="str">
        <f>"1551601381836859"</f>
        <v>1551601381836859</v>
      </c>
      <c r="C2413" t="s">
        <v>40</v>
      </c>
      <c r="D2413">
        <v>5.0619889999999996</v>
      </c>
      <c r="E2413">
        <v>0.53166650000000004</v>
      </c>
      <c r="F2413" t="s">
        <v>42</v>
      </c>
      <c r="G2413">
        <v>-423.01490000000001</v>
      </c>
      <c r="H2413">
        <v>0.90971579999999996</v>
      </c>
      <c r="I2413">
        <v>284.8168</v>
      </c>
      <c r="J2413">
        <v>-422.63350000000003</v>
      </c>
      <c r="K2413">
        <v>1.1208530000000001</v>
      </c>
      <c r="L2413">
        <v>284.74939999999998</v>
      </c>
      <c r="M2413">
        <v>-0.99980020000000003</v>
      </c>
      <c r="N2413">
        <v>-1.4467249999999999E-2</v>
      </c>
      <c r="O2413">
        <v>1.379067E-2</v>
      </c>
      <c r="P2413">
        <v>-0.98242459999999998</v>
      </c>
      <c r="Q2413">
        <v>0.18138399999999999</v>
      </c>
      <c r="R2413">
        <v>4.4066590000000003E-2</v>
      </c>
      <c r="S2413">
        <v>-3.2163089999999999</v>
      </c>
      <c r="T2413">
        <v>-0.96084210000000003</v>
      </c>
      <c r="U2413">
        <v>0.3263855</v>
      </c>
      <c r="V2413">
        <v>3.0558269999999998E-2</v>
      </c>
      <c r="W2413">
        <v>0.19557849999999999</v>
      </c>
      <c r="X2413">
        <v>0.98021190000000002</v>
      </c>
      <c r="Y2413">
        <v>8.3954799999999996E-2</v>
      </c>
      <c r="Z2413">
        <v>9.0390030000000003E-3</v>
      </c>
      <c r="AA2413">
        <v>0.99642850000000005</v>
      </c>
      <c r="AB2413">
        <v>33</v>
      </c>
      <c r="AC2413">
        <v>-0.38139999999998497</v>
      </c>
      <c r="AD2413">
        <v>-0.2111372</v>
      </c>
      <c r="AE2413">
        <v>6.7400000000020499E-2</v>
      </c>
      <c r="AF2413">
        <v>4.7898897770686698E-2</v>
      </c>
      <c r="AG2413">
        <v>-0.2111372</v>
      </c>
      <c r="AH2413">
        <v>0.29471209536829301</v>
      </c>
      <c r="AI2413">
        <v>125.265648601462</v>
      </c>
      <c r="AJ2413">
        <v>80.768563949840797</v>
      </c>
      <c r="AK2413">
        <v>0.36568899462228299</v>
      </c>
      <c r="AL2413">
        <v>78.721480795872296</v>
      </c>
      <c r="AM2413">
        <v>88.214372814972293</v>
      </c>
      <c r="AN2413">
        <v>1.00000006321462</v>
      </c>
    </row>
    <row r="2414" spans="1:40" x14ac:dyDescent="0.25">
      <c r="A2414" t="str">
        <f>"20190303162301864"</f>
        <v>20190303162301864</v>
      </c>
      <c r="B2414" t="str">
        <f>"1551601381857355"</f>
        <v>1551601381857355</v>
      </c>
      <c r="C2414" t="s">
        <v>40</v>
      </c>
      <c r="D2414">
        <v>5.0802290000000001</v>
      </c>
      <c r="E2414">
        <v>0.53146510000000002</v>
      </c>
      <c r="F2414" t="s">
        <v>42</v>
      </c>
      <c r="G2414">
        <v>-423.29719999999998</v>
      </c>
      <c r="H2414">
        <v>0.89058950000000003</v>
      </c>
      <c r="I2414">
        <v>284.8261</v>
      </c>
      <c r="J2414">
        <v>-422.95409999999998</v>
      </c>
      <c r="K2414">
        <v>1.120852</v>
      </c>
      <c r="L2414">
        <v>284.75389999999999</v>
      </c>
      <c r="M2414">
        <v>-0.99979910000000005</v>
      </c>
      <c r="N2414">
        <v>-1.4464029999999999E-2</v>
      </c>
      <c r="O2414">
        <v>1.387556E-2</v>
      </c>
      <c r="P2414">
        <v>-0.9825005</v>
      </c>
      <c r="Q2414">
        <v>0.18096979999999999</v>
      </c>
      <c r="R2414">
        <v>4.4077640000000001E-2</v>
      </c>
      <c r="S2414">
        <v>-3.24472</v>
      </c>
      <c r="T2414">
        <v>-1.1258239999999999</v>
      </c>
      <c r="U2414">
        <v>0.37457279999999998</v>
      </c>
      <c r="V2414">
        <v>3.0484609999999999E-2</v>
      </c>
      <c r="W2414">
        <v>0.19516230000000001</v>
      </c>
      <c r="X2414">
        <v>0.98029710000000003</v>
      </c>
      <c r="Y2414">
        <v>9.5840010000000003E-2</v>
      </c>
      <c r="Z2414">
        <v>1.235341E-2</v>
      </c>
      <c r="AA2414">
        <v>0.99532010000000004</v>
      </c>
      <c r="AB2414">
        <v>33</v>
      </c>
      <c r="AC2414">
        <v>-0.34309999999999202</v>
      </c>
      <c r="AD2414">
        <v>-0.23026249999999901</v>
      </c>
      <c r="AE2414">
        <v>7.2200000000009298E-2</v>
      </c>
      <c r="AF2414">
        <v>4.7112061834179202E-2</v>
      </c>
      <c r="AG2414">
        <v>-0.23026249999999901</v>
      </c>
      <c r="AH2414">
        <v>0.24038782376863899</v>
      </c>
      <c r="AI2414">
        <v>133.22843532366201</v>
      </c>
      <c r="AJ2414">
        <v>78.911511482026697</v>
      </c>
      <c r="AK2414">
        <v>0.33619439479673002</v>
      </c>
      <c r="AL2414">
        <v>78.745795362641203</v>
      </c>
      <c r="AM2414">
        <v>88.218828971024195</v>
      </c>
      <c r="AN2414">
        <v>1.0000000195282699</v>
      </c>
    </row>
    <row r="2415" spans="1:40" x14ac:dyDescent="0.25">
      <c r="A2415" t="str">
        <f>"20190303162301886"</f>
        <v>20190303162301886</v>
      </c>
      <c r="B2415" t="str">
        <f>"1551601381877439"</f>
        <v>1551601381877439</v>
      </c>
      <c r="C2415" t="s">
        <v>40</v>
      </c>
      <c r="D2415">
        <v>5.0707319999999996</v>
      </c>
      <c r="E2415">
        <v>0.53136049999999901</v>
      </c>
      <c r="F2415" t="s">
        <v>42</v>
      </c>
      <c r="G2415">
        <v>-423.84570000000002</v>
      </c>
      <c r="H2415">
        <v>0.8114886</v>
      </c>
      <c r="I2415">
        <v>284.85660000000001</v>
      </c>
      <c r="J2415">
        <v>-423.27620000000002</v>
      </c>
      <c r="K2415">
        <v>1.1208549999999999</v>
      </c>
      <c r="L2415">
        <v>284.75850000000003</v>
      </c>
      <c r="M2415">
        <v>-0.99979799999999996</v>
      </c>
      <c r="N2415">
        <v>-1.4460789999999999E-2</v>
      </c>
      <c r="O2415">
        <v>1.396146E-2</v>
      </c>
      <c r="P2415">
        <v>-0.98255590000000004</v>
      </c>
      <c r="Q2415">
        <v>0.18061430000000001</v>
      </c>
      <c r="R2415">
        <v>4.4300480000000003E-2</v>
      </c>
      <c r="S2415">
        <v>-3.2440190000000002</v>
      </c>
      <c r="T2415">
        <v>-1.1256809999999999</v>
      </c>
      <c r="U2415">
        <v>0.37329099999999998</v>
      </c>
      <c r="V2415">
        <v>3.062194E-2</v>
      </c>
      <c r="W2415">
        <v>0.19480449999999999</v>
      </c>
      <c r="X2415">
        <v>0.98036400000000001</v>
      </c>
      <c r="Y2415">
        <v>9.5419820000000002E-2</v>
      </c>
      <c r="Z2415">
        <v>1.225298E-2</v>
      </c>
      <c r="AA2415">
        <v>0.99536170000000002</v>
      </c>
      <c r="AB2415">
        <v>32</v>
      </c>
      <c r="AC2415">
        <v>-0.569500000000005</v>
      </c>
      <c r="AD2415">
        <v>-0.30936639999999899</v>
      </c>
      <c r="AE2415">
        <v>9.8099999999988002E-2</v>
      </c>
      <c r="AF2415">
        <v>7.0060089100311904E-2</v>
      </c>
      <c r="AG2415">
        <v>-0.30936639999999899</v>
      </c>
      <c r="AH2415">
        <v>0.44366472539246199</v>
      </c>
      <c r="AI2415">
        <v>124.557632958331</v>
      </c>
      <c r="AJ2415">
        <v>81.026395112907394</v>
      </c>
      <c r="AK2415">
        <v>0.54539377892608198</v>
      </c>
      <c r="AL2415">
        <v>78.766697136251693</v>
      </c>
      <c r="AM2415">
        <v>88.210932199185393</v>
      </c>
      <c r="AN2415">
        <v>1.0000000344627999</v>
      </c>
    </row>
    <row r="2416" spans="1:40" x14ac:dyDescent="0.25">
      <c r="A2416" t="str">
        <f>"20190303162301900"</f>
        <v>20190303162301900</v>
      </c>
      <c r="B2416" t="str">
        <f>"1551601381896960"</f>
        <v>1551601381896960</v>
      </c>
      <c r="C2416" t="s">
        <v>40</v>
      </c>
      <c r="D2416">
        <v>5.0744189999999998</v>
      </c>
      <c r="E2416">
        <v>0.53125349999999905</v>
      </c>
      <c r="F2416" t="s">
        <v>42</v>
      </c>
      <c r="G2416">
        <v>-424.1395</v>
      </c>
      <c r="H2416">
        <v>0.82187529999999998</v>
      </c>
      <c r="I2416">
        <v>284.85829999999999</v>
      </c>
      <c r="J2416">
        <v>-423.48430000000002</v>
      </c>
      <c r="K2416">
        <v>1.120854</v>
      </c>
      <c r="L2416">
        <v>284.76139999999998</v>
      </c>
      <c r="M2416">
        <v>-0.9997973</v>
      </c>
      <c r="N2416">
        <v>-1.445869E-2</v>
      </c>
      <c r="O2416">
        <v>1.4016900000000001E-2</v>
      </c>
      <c r="P2416">
        <v>-0.98254160000000001</v>
      </c>
      <c r="Q2416">
        <v>0.1806874</v>
      </c>
      <c r="R2416">
        <v>4.4319369999999997E-2</v>
      </c>
      <c r="S2416">
        <v>-3.2428590000000002</v>
      </c>
      <c r="T2416">
        <v>-1.1231310000000001</v>
      </c>
      <c r="U2416">
        <v>0.37396239999999997</v>
      </c>
      <c r="V2416">
        <v>3.0586269999999999E-2</v>
      </c>
      <c r="W2416">
        <v>0.1948751</v>
      </c>
      <c r="X2416">
        <v>0.98035099999999997</v>
      </c>
      <c r="Y2416">
        <v>9.5617779999999999E-2</v>
      </c>
      <c r="Z2416">
        <v>1.2249060000000001E-2</v>
      </c>
      <c r="AA2416">
        <v>0.99534270000000002</v>
      </c>
      <c r="AB2416">
        <v>32</v>
      </c>
      <c r="AC2416">
        <v>-0.65519999999997902</v>
      </c>
      <c r="AD2416">
        <v>-0.29897869999999899</v>
      </c>
      <c r="AE2416">
        <v>9.6900000000005093E-2</v>
      </c>
      <c r="AF2416">
        <v>7.2859260486810698E-2</v>
      </c>
      <c r="AG2416">
        <v>-0.29897869999999899</v>
      </c>
      <c r="AH2416">
        <v>0.54536588351419402</v>
      </c>
      <c r="AI2416">
        <v>118.519167083098</v>
      </c>
      <c r="AJ2416">
        <v>82.390512533237697</v>
      </c>
      <c r="AK2416">
        <v>0.62619540224565096</v>
      </c>
      <c r="AL2416">
        <v>78.7625720983213</v>
      </c>
      <c r="AM2416">
        <v>88.212991163716396</v>
      </c>
      <c r="AN2416">
        <v>0.99999995385675999</v>
      </c>
    </row>
    <row r="2417" spans="1:40" x14ac:dyDescent="0.25">
      <c r="A2417" t="str">
        <f>"20190303162301920"</f>
        <v>20190303162301920</v>
      </c>
      <c r="B2417" t="str">
        <f>"1551601381917455"</f>
        <v>1551601381917455</v>
      </c>
      <c r="C2417" t="s">
        <v>40</v>
      </c>
      <c r="D2417">
        <v>5.0820249999999998</v>
      </c>
      <c r="E2417">
        <v>0.53133520000000001</v>
      </c>
      <c r="F2417" t="s">
        <v>42</v>
      </c>
      <c r="G2417">
        <v>-424.1653</v>
      </c>
      <c r="H2417">
        <v>0.88580919999999896</v>
      </c>
      <c r="I2417">
        <v>284.84030000000001</v>
      </c>
      <c r="J2417">
        <v>-423.75869999999998</v>
      </c>
      <c r="K2417">
        <v>1.12086</v>
      </c>
      <c r="L2417">
        <v>284.76530000000002</v>
      </c>
      <c r="M2417">
        <v>-0.99979629999999997</v>
      </c>
      <c r="N2417">
        <v>-1.4455880000000001E-2</v>
      </c>
      <c r="O2417">
        <v>1.40894E-2</v>
      </c>
      <c r="P2417">
        <v>-0.9826066</v>
      </c>
      <c r="Q2417">
        <v>0.18050769999999999</v>
      </c>
      <c r="R2417">
        <v>4.3607840000000002E-2</v>
      </c>
      <c r="S2417">
        <v>-3.2422179999999998</v>
      </c>
      <c r="T2417">
        <v>-1.118951</v>
      </c>
      <c r="U2417">
        <v>0.37362669999999998</v>
      </c>
      <c r="V2417">
        <v>2.9802740000000001E-2</v>
      </c>
      <c r="W2417">
        <v>0.19469359999999999</v>
      </c>
      <c r="X2417">
        <v>0.98041120000000004</v>
      </c>
      <c r="Y2417">
        <v>9.5509830000000004E-2</v>
      </c>
      <c r="Z2417">
        <v>1.2168969999999999E-2</v>
      </c>
      <c r="AA2417">
        <v>0.99535410000000002</v>
      </c>
      <c r="AB2417">
        <v>32</v>
      </c>
      <c r="AC2417">
        <v>-0.406600000000025</v>
      </c>
      <c r="AD2417">
        <v>-0.2350508</v>
      </c>
      <c r="AE2417">
        <v>7.4999999999988604E-2</v>
      </c>
      <c r="AF2417">
        <v>5.2345620378763599E-2</v>
      </c>
      <c r="AG2417">
        <v>-0.2350508</v>
      </c>
      <c r="AH2417">
        <v>0.30805585238828898</v>
      </c>
      <c r="AI2417">
        <v>126.951620492648</v>
      </c>
      <c r="AJ2417">
        <v>80.356270474278602</v>
      </c>
      <c r="AK2417">
        <v>0.391008121071868</v>
      </c>
      <c r="AL2417">
        <v>78.773174440329697</v>
      </c>
      <c r="AM2417">
        <v>88.258847358663402</v>
      </c>
      <c r="AN2417">
        <v>0.99999996113895295</v>
      </c>
    </row>
    <row r="2418" spans="1:40" x14ac:dyDescent="0.25">
      <c r="A2418" t="str">
        <f>"20190303162301943"</f>
        <v>20190303162301943</v>
      </c>
      <c r="B2418" t="str">
        <f>"1551601381936976"</f>
        <v>1551601381936976</v>
      </c>
      <c r="C2418" t="s">
        <v>40</v>
      </c>
      <c r="D2418">
        <v>5.042154</v>
      </c>
      <c r="E2418">
        <v>0.53134190000000003</v>
      </c>
      <c r="F2418" t="s">
        <v>42</v>
      </c>
      <c r="G2418">
        <v>-424.45299999999997</v>
      </c>
      <c r="H2418">
        <v>0.88169609999999998</v>
      </c>
      <c r="I2418">
        <v>284.84559999999999</v>
      </c>
      <c r="J2418">
        <v>-424.09519999999998</v>
      </c>
      <c r="K2418">
        <v>1.1208670000000001</v>
      </c>
      <c r="L2418">
        <v>284.77010000000001</v>
      </c>
      <c r="M2418">
        <v>-0.99979510000000005</v>
      </c>
      <c r="N2418">
        <v>-1.445245E-2</v>
      </c>
      <c r="O2418">
        <v>1.417876E-2</v>
      </c>
      <c r="P2418">
        <v>-0.98268319999999998</v>
      </c>
      <c r="Q2418">
        <v>0.18028569999999999</v>
      </c>
      <c r="R2418">
        <v>4.2791940000000001E-2</v>
      </c>
      <c r="S2418">
        <v>-3.2416079999999998</v>
      </c>
      <c r="T2418">
        <v>-1.1164320000000001</v>
      </c>
      <c r="U2418">
        <v>0.37365720000000002</v>
      </c>
      <c r="V2418">
        <v>2.8897880000000001E-2</v>
      </c>
      <c r="W2418">
        <v>0.19446959999999999</v>
      </c>
      <c r="X2418">
        <v>0.98048279999999999</v>
      </c>
      <c r="Y2418">
        <v>9.5477480000000003E-2</v>
      </c>
      <c r="Z2418">
        <v>1.211251E-2</v>
      </c>
      <c r="AA2418">
        <v>0.99535790000000002</v>
      </c>
      <c r="AB2418">
        <v>32</v>
      </c>
      <c r="AC2418">
        <v>-0.35780000000005402</v>
      </c>
      <c r="AD2418">
        <v>-0.23917089999999999</v>
      </c>
      <c r="AE2418">
        <v>7.5499999999976794E-2</v>
      </c>
      <c r="AF2418">
        <v>4.9320553022793902E-2</v>
      </c>
      <c r="AG2418">
        <v>-0.23917089999999999</v>
      </c>
      <c r="AH2418">
        <v>0.25132411947599698</v>
      </c>
      <c r="AI2418">
        <v>133.04031980710201</v>
      </c>
      <c r="AJ2418">
        <v>78.897207411180204</v>
      </c>
      <c r="AK2418">
        <v>0.35042695299829502</v>
      </c>
      <c r="AL2418">
        <v>78.786259419185399</v>
      </c>
      <c r="AM2418">
        <v>88.311803749091993</v>
      </c>
      <c r="AN2418">
        <v>1.00000001694424</v>
      </c>
    </row>
    <row r="2419" spans="1:40" x14ac:dyDescent="0.25">
      <c r="A2419" t="str">
        <f>"20190303162301966"</f>
        <v>20190303162301966</v>
      </c>
      <c r="B2419" t="str">
        <f>"1551601381957473"</f>
        <v>1551601381957473</v>
      </c>
      <c r="C2419" t="s">
        <v>40</v>
      </c>
      <c r="D2419">
        <v>5.0846410000000004</v>
      </c>
      <c r="E2419">
        <v>0.53137919999999905</v>
      </c>
      <c r="F2419" t="s">
        <v>42</v>
      </c>
      <c r="G2419">
        <v>-425.00139999999999</v>
      </c>
      <c r="H2419">
        <v>0.80901440000000002</v>
      </c>
      <c r="I2419">
        <v>284.8741</v>
      </c>
      <c r="J2419">
        <v>-424.42320000000001</v>
      </c>
      <c r="K2419">
        <v>1.12087</v>
      </c>
      <c r="L2419">
        <v>284.7749</v>
      </c>
      <c r="M2419">
        <v>-0.99979390000000001</v>
      </c>
      <c r="N2419">
        <v>-1.4449119999999999E-2</v>
      </c>
      <c r="O2419">
        <v>1.4265979999999999E-2</v>
      </c>
      <c r="P2419">
        <v>-0.9827977</v>
      </c>
      <c r="Q2419">
        <v>0.17988419999999999</v>
      </c>
      <c r="R2419">
        <v>4.1841000000000003E-2</v>
      </c>
      <c r="S2419">
        <v>-3.2413020000000001</v>
      </c>
      <c r="T2419">
        <v>-1.1154059999999999</v>
      </c>
      <c r="U2419">
        <v>0.37097170000000002</v>
      </c>
      <c r="V2419">
        <v>2.7859410000000001E-2</v>
      </c>
      <c r="W2419">
        <v>0.19406680000000001</v>
      </c>
      <c r="X2419">
        <v>0.98059260000000004</v>
      </c>
      <c r="Y2419">
        <v>9.4648339999999997E-2</v>
      </c>
      <c r="Z2419">
        <v>1.19317E-2</v>
      </c>
      <c r="AA2419">
        <v>0.99543930000000003</v>
      </c>
      <c r="AB2419">
        <v>32</v>
      </c>
      <c r="AC2419">
        <v>-0.57819999999998095</v>
      </c>
      <c r="AD2419">
        <v>-0.31185559999999901</v>
      </c>
      <c r="AE2419">
        <v>9.9199999999996097E-2</v>
      </c>
      <c r="AF2419">
        <v>7.0903935151915898E-2</v>
      </c>
      <c r="AG2419">
        <v>-0.31185559999999901</v>
      </c>
      <c r="AH2419">
        <v>0.45186530226208199</v>
      </c>
      <c r="AI2419">
        <v>124.286517398139</v>
      </c>
      <c r="AJ2419">
        <v>81.082213940283197</v>
      </c>
      <c r="AK2419">
        <v>0.55359148716340401</v>
      </c>
      <c r="AL2419">
        <v>78.809785720242701</v>
      </c>
      <c r="AM2419">
        <v>88.372619430726104</v>
      </c>
      <c r="AN2419">
        <v>0.99999995838127298</v>
      </c>
    </row>
    <row r="2420" spans="1:40" x14ac:dyDescent="0.25">
      <c r="A2420" t="str">
        <f>"20190303162301988"</f>
        <v>20190303162301988</v>
      </c>
      <c r="B2420" t="str">
        <f>"1551601381977441"</f>
        <v>1551601381977441</v>
      </c>
      <c r="C2420" t="s">
        <v>40</v>
      </c>
      <c r="D2420">
        <v>5.0883200000000004</v>
      </c>
      <c r="E2420">
        <v>0.53138920000000001</v>
      </c>
      <c r="F2420" t="s">
        <v>42</v>
      </c>
      <c r="G2420">
        <v>-425.29469999999998</v>
      </c>
      <c r="H2420">
        <v>0.82120550000000003</v>
      </c>
      <c r="I2420">
        <v>284.87430000000001</v>
      </c>
      <c r="J2420">
        <v>-424.7355</v>
      </c>
      <c r="K2420">
        <v>1.1208579999999999</v>
      </c>
      <c r="L2420">
        <v>284.77940000000001</v>
      </c>
      <c r="M2420">
        <v>-0.99979280000000004</v>
      </c>
      <c r="N2420">
        <v>-1.4445929999999999E-2</v>
      </c>
      <c r="O2420">
        <v>1.4349499999999999E-2</v>
      </c>
      <c r="P2420">
        <v>-0.98299559999999997</v>
      </c>
      <c r="Q2420">
        <v>0.17902279999999901</v>
      </c>
      <c r="R2420">
        <v>4.0875069999999999E-2</v>
      </c>
      <c r="S2420">
        <v>-3.2407840000000001</v>
      </c>
      <c r="T2420">
        <v>-1.1142190000000001</v>
      </c>
      <c r="U2420">
        <v>0.36810300000000001</v>
      </c>
      <c r="V2420">
        <v>2.6808180000000001E-2</v>
      </c>
      <c r="W2420">
        <v>0.19320509999999999</v>
      </c>
      <c r="X2420">
        <v>0.98079209999999994</v>
      </c>
      <c r="Y2420">
        <v>9.3777159999999998E-2</v>
      </c>
      <c r="Z2420">
        <v>1.174422E-2</v>
      </c>
      <c r="AA2420">
        <v>0.99552390000000002</v>
      </c>
      <c r="AB2420">
        <v>32</v>
      </c>
      <c r="AC2420">
        <v>-0.55919999999997505</v>
      </c>
      <c r="AD2420">
        <v>-0.29965249999999899</v>
      </c>
      <c r="AE2420">
        <v>9.4899999999995502E-2</v>
      </c>
      <c r="AF2420">
        <v>6.7910789174467107E-2</v>
      </c>
      <c r="AG2420">
        <v>-0.29965249999999899</v>
      </c>
      <c r="AH2420">
        <v>0.438199793222732</v>
      </c>
      <c r="AI2420">
        <v>124.04922387567601</v>
      </c>
      <c r="AJ2420">
        <v>81.190566695549094</v>
      </c>
      <c r="AK2420">
        <v>0.53518459882828695</v>
      </c>
      <c r="AL2420">
        <v>78.860110614989594</v>
      </c>
      <c r="AM2420">
        <v>88.434313218939806</v>
      </c>
      <c r="AN2420">
        <v>1.00000001630166</v>
      </c>
    </row>
    <row r="2421" spans="1:40" x14ac:dyDescent="0.25">
      <c r="A2421" t="str">
        <f>"20190303162302021"</f>
        <v>20190303162302021</v>
      </c>
      <c r="B2421" t="str">
        <f>"1551601382017458"</f>
        <v>1551601382017458</v>
      </c>
      <c r="C2421" t="s">
        <v>40</v>
      </c>
      <c r="D2421">
        <v>5.0857510000000001</v>
      </c>
      <c r="E2421">
        <v>0.53135509999999997</v>
      </c>
      <c r="F2421" t="s">
        <v>42</v>
      </c>
      <c r="G2421">
        <v>-425.58550000000002</v>
      </c>
      <c r="H2421">
        <v>0.82808760000000003</v>
      </c>
      <c r="I2421">
        <v>284.87509999999997</v>
      </c>
      <c r="J2421">
        <v>-425.21530000000001</v>
      </c>
      <c r="K2421">
        <v>1.1208640000000001</v>
      </c>
      <c r="L2421">
        <v>284.78649999999999</v>
      </c>
      <c r="M2421">
        <v>-0.99979099999999999</v>
      </c>
      <c r="N2421">
        <v>-1.4440939999999999E-2</v>
      </c>
      <c r="O2421">
        <v>1.4477250000000001E-2</v>
      </c>
      <c r="P2421">
        <v>-0.98306190000000004</v>
      </c>
      <c r="Q2421">
        <v>0.17868809999999999</v>
      </c>
      <c r="R2421">
        <v>4.0748689999999997E-2</v>
      </c>
      <c r="S2421">
        <v>-3.2399900000000001</v>
      </c>
      <c r="T2421">
        <v>-1.115947</v>
      </c>
      <c r="U2421">
        <v>0.36444090000000001</v>
      </c>
      <c r="V2421">
        <v>2.655507E-2</v>
      </c>
      <c r="W2421">
        <v>0.19286639999999999</v>
      </c>
      <c r="X2421">
        <v>0.9808656</v>
      </c>
      <c r="Y2421">
        <v>9.2624579999999998E-2</v>
      </c>
      <c r="Z2421">
        <v>1.1521170000000001E-2</v>
      </c>
      <c r="AA2421">
        <v>0.99563440000000003</v>
      </c>
      <c r="AB2421">
        <v>32</v>
      </c>
      <c r="AC2421">
        <v>-0.37020000000001102</v>
      </c>
      <c r="AD2421">
        <v>-0.29277639999999899</v>
      </c>
      <c r="AE2421">
        <v>8.8599999999985302E-2</v>
      </c>
      <c r="AF2421">
        <v>5.2294539271064797E-2</v>
      </c>
      <c r="AG2421">
        <v>-0.29277639999999899</v>
      </c>
      <c r="AH2421">
        <v>0.23338142098734099</v>
      </c>
      <c r="AI2421">
        <v>140.75466863370301</v>
      </c>
      <c r="AJ2421">
        <v>77.370165439340397</v>
      </c>
      <c r="AK2421">
        <v>0.37804712258738699</v>
      </c>
      <c r="AL2421">
        <v>78.879888194868997</v>
      </c>
      <c r="AM2421">
        <v>88.449204588745403</v>
      </c>
      <c r="AN2421">
        <v>0.99999997262751195</v>
      </c>
    </row>
    <row r="2422" spans="1:40" x14ac:dyDescent="0.25">
      <c r="A2422" t="str">
        <f>"20190303162302043"</f>
        <v>20190303162302043</v>
      </c>
      <c r="B2422" t="str">
        <f>"1551601382036978"</f>
        <v>1551601382036978</v>
      </c>
      <c r="C2422" t="s">
        <v>40</v>
      </c>
      <c r="D2422">
        <v>5.0954750000000004</v>
      </c>
      <c r="E2422">
        <v>0.53137990000000002</v>
      </c>
      <c r="F2422" t="s">
        <v>42</v>
      </c>
      <c r="G2422">
        <v>-425.89640000000003</v>
      </c>
      <c r="H2422">
        <v>0.88567569999999995</v>
      </c>
      <c r="I2422">
        <v>284.8639</v>
      </c>
      <c r="J2422">
        <v>-425.54419999999999</v>
      </c>
      <c r="K2422">
        <v>1.1208640000000001</v>
      </c>
      <c r="L2422">
        <v>284.79129999999998</v>
      </c>
      <c r="M2422">
        <v>-0.9997897</v>
      </c>
      <c r="N2422">
        <v>-1.4437459999999999E-2</v>
      </c>
      <c r="O2422">
        <v>1.456531E-2</v>
      </c>
      <c r="P2422">
        <v>-0.98303399999999996</v>
      </c>
      <c r="Q2422">
        <v>0.17886279999999999</v>
      </c>
      <c r="R2422">
        <v>4.0651350000000003E-2</v>
      </c>
      <c r="S2422">
        <v>-3.2398380000000002</v>
      </c>
      <c r="T2422">
        <v>-1.118595</v>
      </c>
      <c r="U2422">
        <v>0.36645509999999998</v>
      </c>
      <c r="V2422">
        <v>2.6371450000000001E-2</v>
      </c>
      <c r="W2422">
        <v>0.19303809999999999</v>
      </c>
      <c r="X2422">
        <v>0.98083679999999995</v>
      </c>
      <c r="Y2422">
        <v>9.3107800000000004E-2</v>
      </c>
      <c r="Z2422">
        <v>1.1601240000000001E-2</v>
      </c>
      <c r="AA2422">
        <v>0.99558840000000004</v>
      </c>
      <c r="AB2422">
        <v>32</v>
      </c>
      <c r="AC2422">
        <v>-0.35220000000003798</v>
      </c>
      <c r="AD2422">
        <v>-0.23518829999999899</v>
      </c>
      <c r="AE2422">
        <v>7.2600000000022605E-2</v>
      </c>
      <c r="AF2422">
        <v>4.7250781183266602E-2</v>
      </c>
      <c r="AG2422">
        <v>-0.23518829999999899</v>
      </c>
      <c r="AH2422">
        <v>0.24739800405338599</v>
      </c>
      <c r="AI2422">
        <v>133.03841170072599</v>
      </c>
      <c r="AJ2422">
        <v>79.1872435719892</v>
      </c>
      <c r="AK2422">
        <v>0.34460404116742099</v>
      </c>
      <c r="AL2422">
        <v>78.869862350624203</v>
      </c>
      <c r="AM2422">
        <v>88.459877472467895</v>
      </c>
      <c r="AN2422">
        <v>0.99999999483047597</v>
      </c>
    </row>
    <row r="2423" spans="1:40" x14ac:dyDescent="0.25">
      <c r="A2423" t="str">
        <f>"20190303162302064"</f>
        <v>20190303162302064</v>
      </c>
      <c r="B2423" t="str">
        <f>"1551601382056497"</f>
        <v>1551601382056497</v>
      </c>
      <c r="C2423" t="s">
        <v>40</v>
      </c>
      <c r="D2423">
        <v>5.0970779999999998</v>
      </c>
      <c r="E2423">
        <v>0.53136660000000002</v>
      </c>
      <c r="F2423" t="s">
        <v>42</v>
      </c>
      <c r="G2423">
        <v>-426.44080000000002</v>
      </c>
      <c r="H2423">
        <v>0.81152469999999999</v>
      </c>
      <c r="I2423">
        <v>284.89299999999997</v>
      </c>
      <c r="J2423">
        <v>-425.84899999999999</v>
      </c>
      <c r="K2423">
        <v>1.1208629999999999</v>
      </c>
      <c r="L2423">
        <v>284.79579999999999</v>
      </c>
      <c r="M2423">
        <v>-0.99978869999999997</v>
      </c>
      <c r="N2423">
        <v>-1.4434260000000001E-2</v>
      </c>
      <c r="O2423">
        <v>1.4648019999999999E-2</v>
      </c>
      <c r="P2423">
        <v>-0.98305770000000003</v>
      </c>
      <c r="Q2423">
        <v>0.1788718</v>
      </c>
      <c r="R2423">
        <v>4.0033239999999998E-2</v>
      </c>
      <c r="S2423">
        <v>-3.2400509999999998</v>
      </c>
      <c r="T2423">
        <v>-1.11792</v>
      </c>
      <c r="U2423">
        <v>0.36688229999999999</v>
      </c>
      <c r="V2423">
        <v>2.56721E-2</v>
      </c>
      <c r="W2423">
        <v>0.19304370000000001</v>
      </c>
      <c r="X2423">
        <v>0.98085429999999996</v>
      </c>
      <c r="Y2423">
        <v>9.3155470000000004E-2</v>
      </c>
      <c r="Z2423">
        <v>1.1576029999999999E-2</v>
      </c>
      <c r="AA2423">
        <v>0.99558420000000003</v>
      </c>
      <c r="AB2423">
        <v>32</v>
      </c>
      <c r="AC2423">
        <v>-0.59180000000003397</v>
      </c>
      <c r="AD2423">
        <v>-0.30933829999999901</v>
      </c>
      <c r="AE2423">
        <v>9.7199999999986603E-2</v>
      </c>
      <c r="AF2423">
        <v>6.9918436163454806E-2</v>
      </c>
      <c r="AG2423">
        <v>-0.30933829999999901</v>
      </c>
      <c r="AH2423">
        <v>0.46851405197250501</v>
      </c>
      <c r="AI2423">
        <v>123.145435862619</v>
      </c>
      <c r="AJ2423">
        <v>81.512136872217098</v>
      </c>
      <c r="AK2423">
        <v>0.56575983284263698</v>
      </c>
      <c r="AL2423">
        <v>78.869535878910398</v>
      </c>
      <c r="AM2423">
        <v>88.500728145776193</v>
      </c>
      <c r="AN2423">
        <v>1.00000004232829</v>
      </c>
    </row>
    <row r="2424" spans="1:40" x14ac:dyDescent="0.25">
      <c r="A2424" t="str">
        <f>"20190303162302088"</f>
        <v>20190303162302088</v>
      </c>
      <c r="B2424" t="str">
        <f>"1551601382077383"</f>
        <v>1551601382077383</v>
      </c>
      <c r="C2424" t="s">
        <v>40</v>
      </c>
      <c r="D2424">
        <v>5.1655559999999996</v>
      </c>
      <c r="E2424">
        <v>0.53127100000000005</v>
      </c>
      <c r="F2424" t="s">
        <v>42</v>
      </c>
      <c r="G2424">
        <v>-426.72969999999998</v>
      </c>
      <c r="H2424">
        <v>0.81670500000000001</v>
      </c>
      <c r="I2424">
        <v>284.89510000000001</v>
      </c>
      <c r="J2424">
        <v>-426.17469999999997</v>
      </c>
      <c r="K2424">
        <v>1.120862</v>
      </c>
      <c r="L2424">
        <v>284.80070000000001</v>
      </c>
      <c r="M2424">
        <v>-0.99978730000000005</v>
      </c>
      <c r="N2424">
        <v>-1.443097E-2</v>
      </c>
      <c r="O2424">
        <v>1.473872E-2</v>
      </c>
      <c r="P2424">
        <v>-0.98301249999999996</v>
      </c>
      <c r="Q2424">
        <v>0.17948229999999901</v>
      </c>
      <c r="R2424">
        <v>3.837521E-2</v>
      </c>
      <c r="S2424">
        <v>-3.2404169999999999</v>
      </c>
      <c r="T2424">
        <v>-1.11904</v>
      </c>
      <c r="U2424">
        <v>0.36456300000000003</v>
      </c>
      <c r="V2424">
        <v>2.392648E-2</v>
      </c>
      <c r="W2424">
        <v>0.1936505</v>
      </c>
      <c r="X2424">
        <v>0.98077879999999995</v>
      </c>
      <c r="Y2424">
        <v>9.2391009999999996E-2</v>
      </c>
      <c r="Z2424">
        <v>1.142251E-2</v>
      </c>
      <c r="AA2424">
        <v>0.99565729999999997</v>
      </c>
      <c r="AB2424">
        <v>32</v>
      </c>
      <c r="AC2424">
        <v>-0.55500000000000604</v>
      </c>
      <c r="AD2424">
        <v>-0.30415700000000001</v>
      </c>
      <c r="AE2424">
        <v>9.4400000000007298E-2</v>
      </c>
      <c r="AF2424">
        <v>6.6730687609863504E-2</v>
      </c>
      <c r="AG2424">
        <v>-0.30415700000000001</v>
      </c>
      <c r="AH2424">
        <v>0.43063258014003197</v>
      </c>
      <c r="AI2424">
        <v>124.91398076895</v>
      </c>
      <c r="AJ2424">
        <v>81.191522890885807</v>
      </c>
      <c r="AK2424">
        <v>0.53142156937401996</v>
      </c>
      <c r="AL2424">
        <v>78.834099931094897</v>
      </c>
      <c r="AM2424">
        <v>88.602524376001398</v>
      </c>
      <c r="AN2424">
        <v>1.00000002356243</v>
      </c>
    </row>
    <row r="2425" spans="1:40" x14ac:dyDescent="0.25">
      <c r="A2425" t="str">
        <f>"20190303162302110"</f>
        <v>20190303162302110</v>
      </c>
      <c r="B2425" t="str">
        <f>"1551601382106663"</f>
        <v>1551601382106663</v>
      </c>
      <c r="C2425" t="s">
        <v>40</v>
      </c>
      <c r="D2425">
        <v>5.1434369999999996</v>
      </c>
      <c r="E2425">
        <v>0.51575870000000001</v>
      </c>
      <c r="F2425" t="s">
        <v>42</v>
      </c>
      <c r="G2425">
        <v>-427.02100000000002</v>
      </c>
      <c r="H2425">
        <v>0.82914469999999996</v>
      </c>
      <c r="I2425">
        <v>284.89440000000002</v>
      </c>
      <c r="J2425">
        <v>-426.49950000000001</v>
      </c>
      <c r="K2425">
        <v>1.120859</v>
      </c>
      <c r="L2425">
        <v>284.80549999999999</v>
      </c>
      <c r="M2425">
        <v>-0.99978610000000001</v>
      </c>
      <c r="N2425">
        <v>-1.4427519999999999E-2</v>
      </c>
      <c r="O2425">
        <v>1.483133E-2</v>
      </c>
      <c r="P2425">
        <v>-0.98305279999999995</v>
      </c>
      <c r="Q2425">
        <v>0.17971779999999901</v>
      </c>
      <c r="R2425">
        <v>3.6175730000000003E-2</v>
      </c>
      <c r="S2425">
        <v>-3.2419129999999998</v>
      </c>
      <c r="T2425">
        <v>-1.1174550000000001</v>
      </c>
      <c r="U2425">
        <v>0.3576355</v>
      </c>
      <c r="V2425">
        <v>2.1636249999999999E-2</v>
      </c>
      <c r="W2425">
        <v>0.19388349999999999</v>
      </c>
      <c r="X2425">
        <v>0.98078600000000005</v>
      </c>
      <c r="Y2425">
        <v>9.029152E-2</v>
      </c>
      <c r="Z2425">
        <v>1.10087E-2</v>
      </c>
      <c r="AA2425">
        <v>0.99585460000000003</v>
      </c>
      <c r="AB2425">
        <v>32</v>
      </c>
      <c r="AC2425">
        <v>-0.52149999999994601</v>
      </c>
      <c r="AD2425">
        <v>-0.29171429999999998</v>
      </c>
      <c r="AE2425">
        <v>8.8900000000023696E-2</v>
      </c>
      <c r="AF2425">
        <v>6.2232243415676E-2</v>
      </c>
      <c r="AG2425">
        <v>-0.29171429999999998</v>
      </c>
      <c r="AH2425">
        <v>0.40087062675788998</v>
      </c>
      <c r="AI2425">
        <v>125.719470927155</v>
      </c>
      <c r="AJ2425">
        <v>81.175687380223195</v>
      </c>
      <c r="AK2425">
        <v>0.49966723360883097</v>
      </c>
      <c r="AL2425">
        <v>78.820492507476899</v>
      </c>
      <c r="AM2425">
        <v>88.736253602400893</v>
      </c>
      <c r="AN2425">
        <v>1.0000000583411499</v>
      </c>
    </row>
    <row r="2426" spans="1:40" x14ac:dyDescent="0.25">
      <c r="A2426" t="str">
        <f>"20190303162302133"</f>
        <v>20190303162302133</v>
      </c>
      <c r="B2426" t="str">
        <f>"1551601382127158"</f>
        <v>1551601382127158</v>
      </c>
      <c r="C2426" t="s">
        <v>40</v>
      </c>
      <c r="D2426">
        <v>5.4063400000000001</v>
      </c>
      <c r="E2426">
        <v>0.4561018</v>
      </c>
      <c r="F2426" t="s">
        <v>42</v>
      </c>
      <c r="G2426">
        <v>-427.32830000000001</v>
      </c>
      <c r="H2426">
        <v>0.88071309999999903</v>
      </c>
      <c r="I2426">
        <v>284.86410000000001</v>
      </c>
      <c r="J2426">
        <v>-426.82080000000002</v>
      </c>
      <c r="K2426">
        <v>1.1208610000000001</v>
      </c>
      <c r="L2426">
        <v>284.81040000000002</v>
      </c>
      <c r="M2426">
        <v>-0.99978460000000002</v>
      </c>
      <c r="N2426">
        <v>-1.4424070000000001E-2</v>
      </c>
      <c r="O2426">
        <v>1.492693E-2</v>
      </c>
      <c r="P2426">
        <v>-0.98333879999999996</v>
      </c>
      <c r="Q2426">
        <v>0.17863370000000001</v>
      </c>
      <c r="R2426">
        <v>3.3693529999999999E-2</v>
      </c>
      <c r="S2426">
        <v>-3.213654</v>
      </c>
      <c r="T2426">
        <v>-0.931141</v>
      </c>
      <c r="U2426">
        <v>0.22619629999999999</v>
      </c>
      <c r="V2426">
        <v>1.9056989999999999E-2</v>
      </c>
      <c r="W2426">
        <v>0.1928</v>
      </c>
      <c r="X2426">
        <v>0.98105299999999995</v>
      </c>
      <c r="Y2426">
        <v>5.3558500000000002E-2</v>
      </c>
      <c r="Z2426">
        <v>3.9676009999999899E-3</v>
      </c>
      <c r="AA2426">
        <v>0.99855689999999997</v>
      </c>
      <c r="AB2426">
        <v>32</v>
      </c>
      <c r="AC2426">
        <v>-0.50749999999999296</v>
      </c>
      <c r="AD2426">
        <v>-0.2401479</v>
      </c>
      <c r="AE2426">
        <v>5.3699999999991997E-2</v>
      </c>
      <c r="AF2426">
        <v>3.7757014740135597E-2</v>
      </c>
      <c r="AG2426">
        <v>-0.2401479</v>
      </c>
      <c r="AH2426">
        <v>0.41610426559658098</v>
      </c>
      <c r="AI2426">
        <v>119.889108083138</v>
      </c>
      <c r="AJ2426">
        <v>84.815219125770398</v>
      </c>
      <c r="AK2426">
        <v>0.481912197276814</v>
      </c>
      <c r="AL2426">
        <v>78.883765699016195</v>
      </c>
      <c r="AM2426">
        <v>88.887167366186702</v>
      </c>
      <c r="AN2426">
        <v>0.99999999883843005</v>
      </c>
    </row>
    <row r="2427" spans="1:40" x14ac:dyDescent="0.25">
      <c r="A2427" t="str">
        <f>"20190303162302154"</f>
        <v>20190303162302154</v>
      </c>
      <c r="B2427" t="str">
        <f>"1551601382146679"</f>
        <v>1551601382146679</v>
      </c>
      <c r="C2427" t="s">
        <v>40</v>
      </c>
      <c r="D2427">
        <v>5.2676689999999997</v>
      </c>
      <c r="E2427">
        <v>0.45037290000000002</v>
      </c>
      <c r="F2427" t="s">
        <v>49</v>
      </c>
      <c r="G2427">
        <v>-438.97019999999998</v>
      </c>
      <c r="H2427" s="1">
        <v>6.2641809999999998E-6</v>
      </c>
      <c r="I2427">
        <v>283.82409999999999</v>
      </c>
      <c r="J2427">
        <v>-427.12959999999998</v>
      </c>
      <c r="K2427">
        <v>1.1208640000000001</v>
      </c>
      <c r="L2427">
        <v>284.81509999999997</v>
      </c>
      <c r="M2427">
        <v>-0.99978319999999998</v>
      </c>
      <c r="N2427">
        <v>-1.442075E-2</v>
      </c>
      <c r="O2427">
        <v>1.5025719999999999E-2</v>
      </c>
      <c r="P2427">
        <v>-0.98353290000000004</v>
      </c>
      <c r="Q2427">
        <v>0.1780611</v>
      </c>
      <c r="R2427">
        <v>3.0942899999999999E-2</v>
      </c>
      <c r="S2427">
        <v>-3.1116640000000002</v>
      </c>
      <c r="T2427">
        <v>-0.2870684</v>
      </c>
      <c r="U2427">
        <v>-0.25259399999999999</v>
      </c>
      <c r="V2427">
        <v>1.6207940000000001E-2</v>
      </c>
      <c r="W2427">
        <v>0.1922268</v>
      </c>
      <c r="X2427">
        <v>0.98121670000000005</v>
      </c>
      <c r="Y2427">
        <v>-9.5368149999999999E-2</v>
      </c>
      <c r="Z2427">
        <v>-6.2383789999999996E-3</v>
      </c>
      <c r="AA2427">
        <v>0.99542249999999999</v>
      </c>
      <c r="AB2427">
        <v>32</v>
      </c>
      <c r="AC2427">
        <v>-11.840599999999901</v>
      </c>
      <c r="AD2427">
        <v>-1.1208577358189999</v>
      </c>
      <c r="AE2427">
        <v>-0.990999999999985</v>
      </c>
      <c r="AF2427">
        <v>-1.15851099355411</v>
      </c>
      <c r="AG2427">
        <v>-1.1208577358189999</v>
      </c>
      <c r="AH2427">
        <v>11.720078605011</v>
      </c>
      <c r="AI2427">
        <v>95.436570670321998</v>
      </c>
      <c r="AJ2427">
        <v>95.645257063626701</v>
      </c>
      <c r="AK2427">
        <v>11.830414713515699</v>
      </c>
      <c r="AL2427">
        <v>78.917233987539703</v>
      </c>
      <c r="AM2427">
        <v>89.053662550110104</v>
      </c>
      <c r="AN2427">
        <v>1.0000000261580799</v>
      </c>
    </row>
    <row r="2428" spans="1:40" x14ac:dyDescent="0.25">
      <c r="A2428" t="str">
        <f>"20190303162302177"</f>
        <v>20190303162302177</v>
      </c>
      <c r="B2428" t="str">
        <f>"1551601382167175"</f>
        <v>1551601382167175</v>
      </c>
      <c r="C2428" t="s">
        <v>40</v>
      </c>
      <c r="D2428">
        <v>5.2828670000000004</v>
      </c>
      <c r="E2428">
        <v>0.44975779999999899</v>
      </c>
      <c r="F2428" t="s">
        <v>47</v>
      </c>
      <c r="G2428">
        <v>-443.42509999999999</v>
      </c>
      <c r="H2428" s="1">
        <v>3.4730479999999999E-7</v>
      </c>
      <c r="I2428">
        <v>283.21100000000001</v>
      </c>
      <c r="J2428">
        <v>-427.45280000000002</v>
      </c>
      <c r="K2428">
        <v>1.1208560000000001</v>
      </c>
      <c r="L2428">
        <v>284.82</v>
      </c>
      <c r="M2428">
        <v>-0.99978149999999999</v>
      </c>
      <c r="N2428">
        <v>-1.4417279999999999E-2</v>
      </c>
      <c r="O2428">
        <v>1.5140310000000001E-2</v>
      </c>
      <c r="P2428">
        <v>-0.98345360000000004</v>
      </c>
      <c r="Q2428">
        <v>0.1789144</v>
      </c>
      <c r="R2428">
        <v>2.844242E-2</v>
      </c>
      <c r="S2428">
        <v>-3.0984500000000001</v>
      </c>
      <c r="T2428">
        <v>-0.21312239999999999</v>
      </c>
      <c r="U2428">
        <v>-0.30499270000000001</v>
      </c>
      <c r="V2428">
        <v>1.359992E-2</v>
      </c>
      <c r="W2428">
        <v>0.19307560000000001</v>
      </c>
      <c r="X2428">
        <v>0.98108969999999995</v>
      </c>
      <c r="Y2428">
        <v>-0.1126766</v>
      </c>
      <c r="Z2428">
        <v>-5.4969819999999897E-3</v>
      </c>
      <c r="AA2428">
        <v>0.99361650000000001</v>
      </c>
      <c r="AB2428">
        <v>32</v>
      </c>
      <c r="AC2428">
        <v>-15.972299999999899</v>
      </c>
      <c r="AD2428">
        <v>-1.1208556526951901</v>
      </c>
      <c r="AE2428">
        <v>-1.60899999999998</v>
      </c>
      <c r="AF2428">
        <v>-1.8416879011275</v>
      </c>
      <c r="AG2428">
        <v>-1.1208556526951901</v>
      </c>
      <c r="AH2428">
        <v>15.8687445727819</v>
      </c>
      <c r="AI2428">
        <v>94.013408064963798</v>
      </c>
      <c r="AJ2428">
        <v>96.619992481587801</v>
      </c>
      <c r="AK2428">
        <v>16.014530465659401</v>
      </c>
      <c r="AL2428">
        <v>78.867673437025502</v>
      </c>
      <c r="AM2428">
        <v>89.205813583768702</v>
      </c>
      <c r="AN2428">
        <v>1.00000007229272</v>
      </c>
    </row>
    <row r="2429" spans="1:40" x14ac:dyDescent="0.25">
      <c r="A2429" t="str">
        <f>"20190303162302200"</f>
        <v>20190303162302200</v>
      </c>
      <c r="B2429" t="str">
        <f>"1551601382186695"</f>
        <v>1551601382186695</v>
      </c>
      <c r="C2429" t="s">
        <v>40</v>
      </c>
      <c r="D2429">
        <v>5.3219640000000004</v>
      </c>
      <c r="E2429">
        <v>0.44915630000000001</v>
      </c>
      <c r="F2429" t="s">
        <v>47</v>
      </c>
      <c r="G2429">
        <v>-443.07690000000002</v>
      </c>
      <c r="H2429" s="1">
        <v>1.614639E-7</v>
      </c>
      <c r="I2429">
        <v>283.22410000000002</v>
      </c>
      <c r="J2429">
        <v>-427.77960000000002</v>
      </c>
      <c r="K2429">
        <v>1.120852</v>
      </c>
      <c r="L2429">
        <v>284.82510000000002</v>
      </c>
      <c r="M2429">
        <v>-0.99977950000000004</v>
      </c>
      <c r="N2429">
        <v>-1.441374E-2</v>
      </c>
      <c r="O2429">
        <v>1.527266E-2</v>
      </c>
      <c r="P2429">
        <v>-0.98318779999999995</v>
      </c>
      <c r="Q2429">
        <v>0.18077299999999999</v>
      </c>
      <c r="R2429">
        <v>2.57491E-2</v>
      </c>
      <c r="S2429">
        <v>-3.100098</v>
      </c>
      <c r="T2429">
        <v>-0.22239690000000001</v>
      </c>
      <c r="U2429">
        <v>-0.3166504</v>
      </c>
      <c r="V2429">
        <v>1.078639E-2</v>
      </c>
      <c r="W2429">
        <v>0.19492660000000001</v>
      </c>
      <c r="X2429">
        <v>0.98075849999999998</v>
      </c>
      <c r="Y2429">
        <v>-0.11641559999999999</v>
      </c>
      <c r="Z2429">
        <v>-5.8743739999999999E-3</v>
      </c>
      <c r="AA2429">
        <v>0.99318320000000004</v>
      </c>
      <c r="AB2429">
        <v>32</v>
      </c>
      <c r="AC2429">
        <v>-15.2973</v>
      </c>
      <c r="AD2429">
        <v>-1.1208518385360999</v>
      </c>
      <c r="AE2429">
        <v>-1.60099999999999</v>
      </c>
      <c r="AF2429">
        <v>-1.8247774717416301</v>
      </c>
      <c r="AG2429">
        <v>-1.1208518385360999</v>
      </c>
      <c r="AH2429">
        <v>15.1903927497836</v>
      </c>
      <c r="AI2429">
        <v>94.190014502092495</v>
      </c>
      <c r="AJ2429">
        <v>96.849950893871195</v>
      </c>
      <c r="AK2429">
        <v>15.340604732474</v>
      </c>
      <c r="AL2429">
        <v>78.759563975730003</v>
      </c>
      <c r="AM2429">
        <v>89.369885953140496</v>
      </c>
      <c r="AN2429">
        <v>0.99999998045951999</v>
      </c>
    </row>
    <row r="2430" spans="1:40" x14ac:dyDescent="0.25">
      <c r="A2430" t="str">
        <f>"20190303162302221"</f>
        <v>20190303162302221</v>
      </c>
      <c r="B2430" t="str">
        <f>"1551601382216951"</f>
        <v>1551601382216951</v>
      </c>
      <c r="C2430" t="s">
        <v>40</v>
      </c>
      <c r="D2430">
        <v>5.2960570000000002</v>
      </c>
      <c r="E2430">
        <v>0.44897969999999998</v>
      </c>
      <c r="F2430" t="s">
        <v>47</v>
      </c>
      <c r="G2430">
        <v>-443.63170000000002</v>
      </c>
      <c r="H2430" s="1">
        <v>4.6010530000000001E-7</v>
      </c>
      <c r="I2430">
        <v>283.14589999999998</v>
      </c>
      <c r="J2430">
        <v>-428.08980000000003</v>
      </c>
      <c r="K2430">
        <v>1.1208469999999999</v>
      </c>
      <c r="L2430">
        <v>284.83</v>
      </c>
      <c r="M2430">
        <v>-0.99977740000000004</v>
      </c>
      <c r="N2430">
        <v>-1.441042E-2</v>
      </c>
      <c r="O2430">
        <v>1.5417470000000001E-2</v>
      </c>
      <c r="P2430">
        <v>-0.98299959999999997</v>
      </c>
      <c r="Q2430">
        <v>0.18208150000000001</v>
      </c>
      <c r="R2430">
        <v>2.363088E-2</v>
      </c>
      <c r="S2430">
        <v>-3.1001889999999999</v>
      </c>
      <c r="T2430">
        <v>-0.21920429999999999</v>
      </c>
      <c r="U2430">
        <v>-0.32839970000000002</v>
      </c>
      <c r="V2430">
        <v>8.5362670000000002E-3</v>
      </c>
      <c r="W2430">
        <v>0.1962284</v>
      </c>
      <c r="X2430">
        <v>0.98052110000000003</v>
      </c>
      <c r="Y2430">
        <v>-0.12027789999999999</v>
      </c>
      <c r="Z2430">
        <v>-5.970118E-3</v>
      </c>
      <c r="AA2430">
        <v>0.99272229999999995</v>
      </c>
      <c r="AB2430">
        <v>32</v>
      </c>
      <c r="AC2430">
        <v>-15.541899999999901</v>
      </c>
      <c r="AD2430">
        <v>-1.1208465398946901</v>
      </c>
      <c r="AE2430">
        <v>-1.6840999999999999</v>
      </c>
      <c r="AF2430">
        <v>-1.91370382697583</v>
      </c>
      <c r="AG2430">
        <v>-1.1208465398946901</v>
      </c>
      <c r="AH2430">
        <v>15.4347411573439</v>
      </c>
      <c r="AI2430">
        <v>94.121986149723796</v>
      </c>
      <c r="AJ2430">
        <v>97.067849028821897</v>
      </c>
      <c r="AK2430">
        <v>15.5932611694149</v>
      </c>
      <c r="AL2430">
        <v>78.683508224132794</v>
      </c>
      <c r="AM2430">
        <v>89.501204292214794</v>
      </c>
      <c r="AN2430">
        <v>1.00000004018303</v>
      </c>
    </row>
    <row r="2431" spans="1:40" x14ac:dyDescent="0.25">
      <c r="A2431" t="str">
        <f>"20190303162302246"</f>
        <v>20190303162302246</v>
      </c>
      <c r="B2431" t="str">
        <f>"1551601382236471"</f>
        <v>1551601382236471</v>
      </c>
      <c r="C2431" t="s">
        <v>40</v>
      </c>
      <c r="D2431">
        <v>5.2982529999999999</v>
      </c>
      <c r="E2431">
        <v>0.44900319999999999</v>
      </c>
      <c r="F2431" t="s">
        <v>47</v>
      </c>
      <c r="G2431">
        <v>-443.88979999999998</v>
      </c>
      <c r="H2431" s="1">
        <v>5.9857480000000004E-7</v>
      </c>
      <c r="I2431">
        <v>283.12049999999999</v>
      </c>
      <c r="J2431">
        <v>-428.41660000000002</v>
      </c>
      <c r="K2431">
        <v>1.120838</v>
      </c>
      <c r="L2431">
        <v>284.83519999999999</v>
      </c>
      <c r="M2431">
        <v>-0.99977459999999996</v>
      </c>
      <c r="N2431">
        <v>-1.440693E-2</v>
      </c>
      <c r="O2431">
        <v>1.559289E-2</v>
      </c>
      <c r="P2431">
        <v>-0.98289219999999999</v>
      </c>
      <c r="Q2431">
        <v>0.1829375</v>
      </c>
      <c r="R2431">
        <v>2.1379570000000001E-2</v>
      </c>
      <c r="S2431">
        <v>-3.1007389999999999</v>
      </c>
      <c r="T2431">
        <v>-0.2199641</v>
      </c>
      <c r="U2431">
        <v>-0.33547969999999999</v>
      </c>
      <c r="V2431">
        <v>6.1227369999999996E-3</v>
      </c>
      <c r="W2431">
        <v>0.1970798</v>
      </c>
      <c r="X2431">
        <v>0.98036829999999997</v>
      </c>
      <c r="Y2431">
        <v>-0.1226646</v>
      </c>
      <c r="Z2431">
        <v>-6.0983779999999998E-3</v>
      </c>
      <c r="AA2431">
        <v>0.99242940000000002</v>
      </c>
      <c r="AB2431">
        <v>32</v>
      </c>
      <c r="AC2431">
        <v>-15.473199999999901</v>
      </c>
      <c r="AD2431">
        <v>-1.1208374014252001</v>
      </c>
      <c r="AE2431">
        <v>-1.7146999999999899</v>
      </c>
      <c r="AF2431">
        <v>-1.9457028707480699</v>
      </c>
      <c r="AG2431">
        <v>-1.1208374014252001</v>
      </c>
      <c r="AH2431">
        <v>15.364934211709899</v>
      </c>
      <c r="AI2431">
        <v>94.139268079122701</v>
      </c>
      <c r="AJ2431">
        <v>97.217104543792203</v>
      </c>
      <c r="AK2431">
        <v>15.5281434650715</v>
      </c>
      <c r="AL2431">
        <v>78.6337542508941</v>
      </c>
      <c r="AM2431">
        <v>89.642172815788101</v>
      </c>
      <c r="AN2431">
        <v>0.99999996956064996</v>
      </c>
    </row>
    <row r="2432" spans="1:40" x14ac:dyDescent="0.25">
      <c r="A2432" t="str">
        <f>"20190303162302267"</f>
        <v>20190303162302267</v>
      </c>
      <c r="B2432" t="str">
        <f>"1551601382256968"</f>
        <v>1551601382256968</v>
      </c>
      <c r="C2432" t="s">
        <v>40</v>
      </c>
      <c r="D2432">
        <v>5.2988910000000002</v>
      </c>
      <c r="E2432">
        <v>0.44921109999999997</v>
      </c>
      <c r="F2432" t="s">
        <v>47</v>
      </c>
      <c r="G2432">
        <v>-444.40609999999998</v>
      </c>
      <c r="H2432" s="1">
        <v>8.7557580000000002E-7</v>
      </c>
      <c r="I2432">
        <v>283.06849999999997</v>
      </c>
      <c r="J2432">
        <v>-428.73039999999997</v>
      </c>
      <c r="K2432">
        <v>1.1208279999999999</v>
      </c>
      <c r="L2432">
        <v>284.84019999999998</v>
      </c>
      <c r="M2432">
        <v>-0.99977169999999904</v>
      </c>
      <c r="N2432">
        <v>-1.4403590000000001E-2</v>
      </c>
      <c r="O2432">
        <v>1.5779359999999999E-2</v>
      </c>
      <c r="P2432">
        <v>-0.9827901</v>
      </c>
      <c r="Q2432">
        <v>0.18378030000000001</v>
      </c>
      <c r="R2432">
        <v>1.8659760000000001E-2</v>
      </c>
      <c r="S2432">
        <v>-3.1001280000000002</v>
      </c>
      <c r="T2432">
        <v>-0.2173136</v>
      </c>
      <c r="U2432">
        <v>-0.34252929999999998</v>
      </c>
      <c r="V2432">
        <v>3.2287370000000002E-3</v>
      </c>
      <c r="W2432">
        <v>0.19791839999999999</v>
      </c>
      <c r="X2432">
        <v>0.98021320000000001</v>
      </c>
      <c r="Y2432">
        <v>-0.12510170000000001</v>
      </c>
      <c r="Z2432">
        <v>-6.1464249999999996E-3</v>
      </c>
      <c r="AA2432">
        <v>0.99212489999999998</v>
      </c>
      <c r="AB2432">
        <v>32</v>
      </c>
      <c r="AC2432">
        <v>-15.675700000000001</v>
      </c>
      <c r="AD2432">
        <v>-1.1208271244241901</v>
      </c>
      <c r="AE2432">
        <v>-1.7717000000000001</v>
      </c>
      <c r="AF2432">
        <v>-2.0087177534111902</v>
      </c>
      <c r="AG2432">
        <v>-1.1208271244241901</v>
      </c>
      <c r="AH2432">
        <v>15.567207025350401</v>
      </c>
      <c r="AI2432">
        <v>94.084400160070004</v>
      </c>
      <c r="AJ2432">
        <v>97.352545454742895</v>
      </c>
      <c r="AK2432">
        <v>15.7362363678814</v>
      </c>
      <c r="AL2432">
        <v>78.584741144333407</v>
      </c>
      <c r="AM2432">
        <v>89.811273369698995</v>
      </c>
      <c r="AN2432">
        <v>1.0000000176277</v>
      </c>
    </row>
    <row r="2433" spans="1:40" x14ac:dyDescent="0.25">
      <c r="A2433" t="str">
        <f>"20190303162302325"</f>
        <v>20190303162302325</v>
      </c>
      <c r="B2433" t="str">
        <f>"1551601382316504"</f>
        <v>1551601382316504</v>
      </c>
      <c r="C2433" t="s">
        <v>40</v>
      </c>
      <c r="D2433">
        <v>5.4695689999999999</v>
      </c>
      <c r="E2433">
        <v>0.45009830000000001</v>
      </c>
      <c r="F2433" t="s">
        <v>47</v>
      </c>
      <c r="G2433">
        <v>-444.53140000000002</v>
      </c>
      <c r="H2433" s="1">
        <v>9.4257629999999999E-7</v>
      </c>
      <c r="I2433">
        <v>283.06150000000002</v>
      </c>
      <c r="J2433">
        <v>-429.35129999999998</v>
      </c>
      <c r="K2433">
        <v>1.120822</v>
      </c>
      <c r="L2433">
        <v>284.85050000000001</v>
      </c>
      <c r="M2433">
        <v>-0.99976540000000003</v>
      </c>
      <c r="N2433">
        <v>-1.43968E-2</v>
      </c>
      <c r="O2433">
        <v>1.6183900000000001E-2</v>
      </c>
      <c r="P2433">
        <v>-0.98257369999999999</v>
      </c>
      <c r="Q2433">
        <v>0.18519459999999999</v>
      </c>
      <c r="R2433">
        <v>1.586597E-2</v>
      </c>
      <c r="S2433">
        <v>-3.10025</v>
      </c>
      <c r="T2433">
        <v>-0.21991260000000001</v>
      </c>
      <c r="U2433">
        <v>-0.348999</v>
      </c>
      <c r="V2433" s="1">
        <v>5.138601E-5</v>
      </c>
      <c r="W2433">
        <v>0.19932320000000001</v>
      </c>
      <c r="X2433">
        <v>0.97993379999999997</v>
      </c>
      <c r="Y2433">
        <v>-0.1275269</v>
      </c>
      <c r="Z2433">
        <v>-6.336614E-3</v>
      </c>
      <c r="AA2433">
        <v>0.99181490000000005</v>
      </c>
      <c r="AB2433">
        <v>32</v>
      </c>
      <c r="AC2433">
        <v>-15.180099999999999</v>
      </c>
      <c r="AD2433">
        <v>-1.1208210574236901</v>
      </c>
      <c r="AE2433">
        <v>-1.7889999999999799</v>
      </c>
      <c r="AF2433">
        <v>-2.0235836989363301</v>
      </c>
      <c r="AG2433">
        <v>-1.1208210574236901</v>
      </c>
      <c r="AH2433">
        <v>15.0681354553767</v>
      </c>
      <c r="AI2433">
        <v>94.216314969397601</v>
      </c>
      <c r="AJ2433">
        <v>97.648805092494101</v>
      </c>
      <c r="AK2433">
        <v>15.2446658517314</v>
      </c>
      <c r="AL2433">
        <v>78.502615549830793</v>
      </c>
      <c r="AM2433">
        <v>89.996995509802403</v>
      </c>
      <c r="AN2433">
        <v>0.99999999654060101</v>
      </c>
    </row>
    <row r="2434" spans="1:40" x14ac:dyDescent="0.25">
      <c r="A2434" t="str">
        <f>"20190303162302339"</f>
        <v>20190303162302339</v>
      </c>
      <c r="B2434" t="str">
        <f>"1551601382327239"</f>
        <v>1551601382327239</v>
      </c>
      <c r="C2434" t="s">
        <v>40</v>
      </c>
      <c r="D2434">
        <v>5.4663550000000001</v>
      </c>
      <c r="E2434">
        <v>0.45032640000000002</v>
      </c>
      <c r="F2434" t="s">
        <v>47</v>
      </c>
      <c r="G2434">
        <v>-445.27730000000003</v>
      </c>
      <c r="H2434" s="1">
        <v>1.340149E-6</v>
      </c>
      <c r="I2434">
        <v>283.04610000000002</v>
      </c>
      <c r="J2434">
        <v>-429.75330000000002</v>
      </c>
      <c r="K2434">
        <v>1.120811</v>
      </c>
      <c r="L2434">
        <v>284.85730000000001</v>
      </c>
      <c r="M2434">
        <v>-0.99976100000000001</v>
      </c>
      <c r="N2434">
        <v>-1.439236E-2</v>
      </c>
      <c r="O2434">
        <v>1.6462270000000001E-2</v>
      </c>
      <c r="P2434">
        <v>-0.9825197</v>
      </c>
      <c r="Q2434">
        <v>0.18555969999999999</v>
      </c>
      <c r="R2434">
        <v>1.4943059999999999E-2</v>
      </c>
      <c r="S2434">
        <v>-3.0999759999999998</v>
      </c>
      <c r="T2434">
        <v>-0.2181661</v>
      </c>
      <c r="U2434">
        <v>-0.35122680000000001</v>
      </c>
      <c r="V2434">
        <v>-1.140346E-3</v>
      </c>
      <c r="W2434">
        <v>0.19968350000000001</v>
      </c>
      <c r="X2434">
        <v>0.97985979999999995</v>
      </c>
      <c r="Y2434">
        <v>-0.1285192</v>
      </c>
      <c r="Z2434">
        <v>-6.3494199999999997E-3</v>
      </c>
      <c r="AA2434">
        <v>0.99168670000000003</v>
      </c>
      <c r="AB2434">
        <v>32</v>
      </c>
      <c r="AC2434">
        <v>-15.523999999999999</v>
      </c>
      <c r="AD2434">
        <v>-1.120809659851</v>
      </c>
      <c r="AE2434">
        <v>-1.8111999999999799</v>
      </c>
      <c r="AF2434">
        <v>-2.0559681664356901</v>
      </c>
      <c r="AG2434">
        <v>-1.120809659851</v>
      </c>
      <c r="AH2434">
        <v>15.412814033100499</v>
      </c>
      <c r="AI2434">
        <v>94.122799337643301</v>
      </c>
      <c r="AJ2434">
        <v>97.598026616301695</v>
      </c>
      <c r="AK2434">
        <v>15.5896778611347</v>
      </c>
      <c r="AL2434">
        <v>78.481548574913404</v>
      </c>
      <c r="AM2434">
        <v>90.066679930625995</v>
      </c>
      <c r="AN2434">
        <v>1.00000001410864</v>
      </c>
    </row>
    <row r="2435" spans="1:40" x14ac:dyDescent="0.25">
      <c r="A2435" t="str">
        <f>"20190303162302355"</f>
        <v>20190303162302355</v>
      </c>
      <c r="B2435" t="str">
        <f>"1551601382346760"</f>
        <v>1551601382346760</v>
      </c>
      <c r="C2435" t="s">
        <v>40</v>
      </c>
      <c r="D2435">
        <v>5.5255780000000003</v>
      </c>
      <c r="E2435">
        <v>0.45083669999999998</v>
      </c>
      <c r="F2435" t="s">
        <v>47</v>
      </c>
      <c r="G2435">
        <v>-445.79950000000002</v>
      </c>
      <c r="H2435" s="1">
        <v>1.6184579999999999E-6</v>
      </c>
      <c r="I2435">
        <v>283.03680000000003</v>
      </c>
      <c r="J2435">
        <v>-429.9796</v>
      </c>
      <c r="K2435">
        <v>1.1208089999999999</v>
      </c>
      <c r="L2435">
        <v>284.8612</v>
      </c>
      <c r="M2435">
        <v>-0.99975840000000005</v>
      </c>
      <c r="N2435">
        <v>-1.4389870000000001E-2</v>
      </c>
      <c r="O2435">
        <v>1.6621940000000002E-2</v>
      </c>
      <c r="P2435">
        <v>-0.98242719999999994</v>
      </c>
      <c r="Q2435">
        <v>0.18615950000000001</v>
      </c>
      <c r="R2435">
        <v>1.347493E-2</v>
      </c>
      <c r="S2435">
        <v>-3.0996090000000001</v>
      </c>
      <c r="T2435">
        <v>-0.2165039</v>
      </c>
      <c r="U2435">
        <v>-0.35165410000000002</v>
      </c>
      <c r="V2435">
        <v>-2.762703E-3</v>
      </c>
      <c r="W2435">
        <v>0.2002796</v>
      </c>
      <c r="X2435">
        <v>0.97973489999999996</v>
      </c>
      <c r="Y2435">
        <v>-0.1288301</v>
      </c>
      <c r="Z2435">
        <v>-6.3287909999999899E-3</v>
      </c>
      <c r="AA2435">
        <v>0.99164649999999999</v>
      </c>
      <c r="AB2435">
        <v>32</v>
      </c>
      <c r="AC2435">
        <v>-15.819900000000001</v>
      </c>
      <c r="AD2435">
        <v>-1.1208073815420001</v>
      </c>
      <c r="AE2435">
        <v>-1.8243999999999601</v>
      </c>
      <c r="AF2435">
        <v>-2.0768447712391702</v>
      </c>
      <c r="AG2435">
        <v>-1.1208073815420001</v>
      </c>
      <c r="AH2435">
        <v>15.7095676053123</v>
      </c>
      <c r="AI2435">
        <v>94.045799131548407</v>
      </c>
      <c r="AJ2435">
        <v>97.530976088206501</v>
      </c>
      <c r="AK2435">
        <v>15.8858429973426</v>
      </c>
      <c r="AL2435">
        <v>78.446690395112995</v>
      </c>
      <c r="AM2435">
        <v>90.161564931898496</v>
      </c>
      <c r="AN2435">
        <v>1.00000001249101</v>
      </c>
    </row>
    <row r="2436" spans="1:40" x14ac:dyDescent="0.25">
      <c r="A2436" t="str">
        <f>"20190303162302378"</f>
        <v>20190303162302378</v>
      </c>
      <c r="B2436" t="str">
        <f>"1551601382367256"</f>
        <v>1551601382367256</v>
      </c>
      <c r="C2436" t="s">
        <v>40</v>
      </c>
      <c r="D2436">
        <v>5.5888739999999997</v>
      </c>
      <c r="E2436">
        <v>0.45122020000000002</v>
      </c>
      <c r="F2436" t="s">
        <v>47</v>
      </c>
      <c r="G2436">
        <v>-446.24770000000001</v>
      </c>
      <c r="H2436" s="1">
        <v>1.85792E-6</v>
      </c>
      <c r="I2436">
        <v>283.0145</v>
      </c>
      <c r="J2436">
        <v>-430.30540000000002</v>
      </c>
      <c r="K2436">
        <v>1.1207990000000001</v>
      </c>
      <c r="L2436">
        <v>284.86680000000001</v>
      </c>
      <c r="M2436">
        <v>-0.99975460000000005</v>
      </c>
      <c r="N2436">
        <v>-1.438626E-2</v>
      </c>
      <c r="O2436">
        <v>1.685236E-2</v>
      </c>
      <c r="P2436">
        <v>-0.9825294</v>
      </c>
      <c r="Q2436">
        <v>0.18576300000000001</v>
      </c>
      <c r="R2436">
        <v>1.1336229999999999E-2</v>
      </c>
      <c r="S2436">
        <v>-3.098938</v>
      </c>
      <c r="T2436">
        <v>-0.2135051</v>
      </c>
      <c r="U2436">
        <v>-0.35177609999999998</v>
      </c>
      <c r="V2436">
        <v>-5.1279530000000002E-3</v>
      </c>
      <c r="W2436">
        <v>0.199882</v>
      </c>
      <c r="X2436">
        <v>0.97980650000000002</v>
      </c>
      <c r="Y2436">
        <v>-0.1291303</v>
      </c>
      <c r="Z2436">
        <v>-6.2768629999999997E-3</v>
      </c>
      <c r="AA2436">
        <v>0.99160780000000004</v>
      </c>
      <c r="AB2436">
        <v>32</v>
      </c>
      <c r="AC2436">
        <v>-15.9422999999999</v>
      </c>
      <c r="AD2436">
        <v>-1.12079714207999</v>
      </c>
      <c r="AE2436">
        <v>-1.85230000000001</v>
      </c>
      <c r="AF2436">
        <v>-2.1104380219018402</v>
      </c>
      <c r="AG2436">
        <v>-1.12079714207999</v>
      </c>
      <c r="AH2436">
        <v>15.8316102442502</v>
      </c>
      <c r="AI2436">
        <v>94.014101079066705</v>
      </c>
      <c r="AJ2436">
        <v>97.593066893891503</v>
      </c>
      <c r="AK2436">
        <v>16.0109343201398</v>
      </c>
      <c r="AL2436">
        <v>78.469940540258307</v>
      </c>
      <c r="AM2436">
        <v>90.299862658498796</v>
      </c>
      <c r="AN2436">
        <v>0.99999994363410805</v>
      </c>
    </row>
    <row r="2437" spans="1:40" x14ac:dyDescent="0.25">
      <c r="A2437" t="str">
        <f>"20190303162302401"</f>
        <v>20190303162302401</v>
      </c>
      <c r="B2437" t="str">
        <f>"1551601382386776"</f>
        <v>1551601382386776</v>
      </c>
      <c r="C2437" t="s">
        <v>40</v>
      </c>
      <c r="D2437">
        <v>5.4665249999999999</v>
      </c>
      <c r="E2437">
        <v>0.45138840000000002</v>
      </c>
      <c r="F2437" t="s">
        <v>47</v>
      </c>
      <c r="G2437">
        <v>-446.63150000000002</v>
      </c>
      <c r="H2437" s="1">
        <v>2.062947E-6</v>
      </c>
      <c r="I2437">
        <v>282.99680000000001</v>
      </c>
      <c r="J2437">
        <v>-430.62189999999998</v>
      </c>
      <c r="K2437">
        <v>1.1207990000000001</v>
      </c>
      <c r="L2437">
        <v>284.8723</v>
      </c>
      <c r="M2437">
        <v>-0.99975069999999999</v>
      </c>
      <c r="N2437">
        <v>-1.438275E-2</v>
      </c>
      <c r="O2437">
        <v>1.7076589999999999E-2</v>
      </c>
      <c r="P2437">
        <v>-0.98251180000000005</v>
      </c>
      <c r="Q2437">
        <v>0.18599689999999999</v>
      </c>
      <c r="R2437">
        <v>8.7048360000000005E-3</v>
      </c>
      <c r="S2437">
        <v>-3.0976560000000002</v>
      </c>
      <c r="T2437">
        <v>-0.21265580000000001</v>
      </c>
      <c r="U2437">
        <v>-0.35479739999999999</v>
      </c>
      <c r="V2437">
        <v>-7.9779789999999996E-3</v>
      </c>
      <c r="W2437">
        <v>0.20011329999999999</v>
      </c>
      <c r="X2437">
        <v>0.97974030000000001</v>
      </c>
      <c r="Y2437">
        <v>-0.1303522</v>
      </c>
      <c r="Z2437">
        <v>-6.3192700000000001E-3</v>
      </c>
      <c r="AA2437">
        <v>0.99144759999999998</v>
      </c>
      <c r="AB2437">
        <v>32</v>
      </c>
      <c r="AC2437">
        <v>-16.009599999999999</v>
      </c>
      <c r="AD2437">
        <v>-1.120796937053</v>
      </c>
      <c r="AE2437">
        <v>-1.87549999999998</v>
      </c>
      <c r="AF2437">
        <v>-2.13830597465881</v>
      </c>
      <c r="AG2437">
        <v>-1.120796937053</v>
      </c>
      <c r="AH2437">
        <v>15.8983700949405</v>
      </c>
      <c r="AI2437">
        <v>93.996673964605904</v>
      </c>
      <c r="AJ2437">
        <v>97.660222980760693</v>
      </c>
      <c r="AK2437">
        <v>16.080631514062699</v>
      </c>
      <c r="AL2437">
        <v>78.456415628562794</v>
      </c>
      <c r="AM2437">
        <v>90.466546515403806</v>
      </c>
      <c r="AN2437">
        <v>1.00000001821495</v>
      </c>
    </row>
    <row r="2438" spans="1:40" x14ac:dyDescent="0.25">
      <c r="A2438" t="str">
        <f>"20190303162302423"</f>
        <v>20190303162302423</v>
      </c>
      <c r="B2438" t="str">
        <f>"1551601382417031"</f>
        <v>1551601382417031</v>
      </c>
      <c r="C2438" t="s">
        <v>40</v>
      </c>
      <c r="D2438">
        <v>5.530265</v>
      </c>
      <c r="E2438">
        <v>0.45142779999999999</v>
      </c>
      <c r="F2438" t="s">
        <v>47</v>
      </c>
      <c r="G2438">
        <v>-447.01249999999999</v>
      </c>
      <c r="H2438" s="1">
        <v>2.2671240000000001E-6</v>
      </c>
      <c r="I2438">
        <v>282.96409999999997</v>
      </c>
      <c r="J2438">
        <v>-430.93299999999999</v>
      </c>
      <c r="K2438">
        <v>1.1208</v>
      </c>
      <c r="L2438">
        <v>284.87779999999998</v>
      </c>
      <c r="M2438">
        <v>-0.99974700000000005</v>
      </c>
      <c r="N2438">
        <v>-1.4379309999999999E-2</v>
      </c>
      <c r="O2438">
        <v>1.73004E-2</v>
      </c>
      <c r="P2438">
        <v>-0.98244209999999998</v>
      </c>
      <c r="Q2438">
        <v>0.1864828</v>
      </c>
      <c r="R2438">
        <v>5.6637529999999997E-3</v>
      </c>
      <c r="S2438">
        <v>-3.0966800000000001</v>
      </c>
      <c r="T2438">
        <v>-0.21175250000000001</v>
      </c>
      <c r="U2438">
        <v>-0.36053469999999999</v>
      </c>
      <c r="V2438">
        <v>-1.1235820000000001E-2</v>
      </c>
      <c r="W2438">
        <v>0.20059540000000001</v>
      </c>
      <c r="X2438">
        <v>0.97960970000000003</v>
      </c>
      <c r="Y2438">
        <v>-0.1324187</v>
      </c>
      <c r="Z2438">
        <v>-6.3938629999999996E-3</v>
      </c>
      <c r="AA2438">
        <v>0.99117330000000003</v>
      </c>
      <c r="AB2438">
        <v>32</v>
      </c>
      <c r="AC2438">
        <v>-16.0794999999999</v>
      </c>
      <c r="AD2438">
        <v>-1.1207977328759999</v>
      </c>
      <c r="AE2438">
        <v>-1.9137</v>
      </c>
      <c r="AF2438">
        <v>-2.1811746556521898</v>
      </c>
      <c r="AG2438">
        <v>-1.1207977328759999</v>
      </c>
      <c r="AH2438">
        <v>15.967486008940201</v>
      </c>
      <c r="AI2438">
        <v>93.978322764379499</v>
      </c>
      <c r="AJ2438">
        <v>97.778517603776294</v>
      </c>
      <c r="AK2438">
        <v>16.154699622158901</v>
      </c>
      <c r="AL2438">
        <v>78.428220990027597</v>
      </c>
      <c r="AM2438">
        <v>90.657136038652396</v>
      </c>
      <c r="AN2438">
        <v>0.99999996124316004</v>
      </c>
    </row>
    <row r="2439" spans="1:40" x14ac:dyDescent="0.25">
      <c r="A2439" t="str">
        <f>"20190303162302445"</f>
        <v>20190303162302445</v>
      </c>
      <c r="B2439" t="str">
        <f>"1551601382436551"</f>
        <v>1551601382436551</v>
      </c>
      <c r="C2439" t="s">
        <v>40</v>
      </c>
      <c r="D2439">
        <v>5.3885990000000001</v>
      </c>
      <c r="E2439">
        <v>0.45154169999999999</v>
      </c>
      <c r="F2439" t="s">
        <v>47</v>
      </c>
      <c r="G2439">
        <v>-447.29759999999999</v>
      </c>
      <c r="H2439" s="1">
        <v>2.4202970000000001E-6</v>
      </c>
      <c r="I2439">
        <v>282.93150000000003</v>
      </c>
      <c r="J2439">
        <v>-431.2407</v>
      </c>
      <c r="K2439">
        <v>1.120798</v>
      </c>
      <c r="L2439">
        <v>284.88339999999999</v>
      </c>
      <c r="M2439">
        <v>-0.99974289999999999</v>
      </c>
      <c r="N2439">
        <v>-1.4375880000000001E-2</v>
      </c>
      <c r="O2439">
        <v>1.7529090000000001E-2</v>
      </c>
      <c r="P2439">
        <v>-0.98241889999999998</v>
      </c>
      <c r="Q2439">
        <v>0.18666340000000001</v>
      </c>
      <c r="R2439">
        <v>3.1489619999999999E-3</v>
      </c>
      <c r="S2439">
        <v>-3.0959780000000001</v>
      </c>
      <c r="T2439">
        <v>-0.21204020000000001</v>
      </c>
      <c r="U2439">
        <v>-0.36822510000000003</v>
      </c>
      <c r="V2439">
        <v>-1.397208E-2</v>
      </c>
      <c r="W2439">
        <v>0.2007729</v>
      </c>
      <c r="X2439">
        <v>0.97953809999999997</v>
      </c>
      <c r="Y2439">
        <v>-0.135090299999999</v>
      </c>
      <c r="Z2439">
        <v>-6.5247279999999996E-3</v>
      </c>
      <c r="AA2439">
        <v>0.99081180000000002</v>
      </c>
      <c r="AB2439">
        <v>31</v>
      </c>
      <c r="AC2439">
        <v>-16.056899999999899</v>
      </c>
      <c r="AD2439">
        <v>-1.120795579703</v>
      </c>
      <c r="AE2439">
        <v>-1.95189999999996</v>
      </c>
      <c r="AF2439">
        <v>-2.2224214886095499</v>
      </c>
      <c r="AG2439">
        <v>-1.120795579703</v>
      </c>
      <c r="AH2439">
        <v>15.943663545999399</v>
      </c>
      <c r="AI2439">
        <v>93.982739485178399</v>
      </c>
      <c r="AJ2439">
        <v>97.935449616387103</v>
      </c>
      <c r="AK2439">
        <v>16.136782432459899</v>
      </c>
      <c r="AL2439">
        <v>78.417839460503998</v>
      </c>
      <c r="AM2439">
        <v>90.817208568904206</v>
      </c>
      <c r="AN2439">
        <v>0.99999993287277</v>
      </c>
    </row>
    <row r="2440" spans="1:40" x14ac:dyDescent="0.25">
      <c r="A2440" t="str">
        <f>"20190303162302467"</f>
        <v>20190303162302467</v>
      </c>
      <c r="B2440" t="str">
        <f>"1551601382457047"</f>
        <v>1551601382457047</v>
      </c>
      <c r="C2440" t="s">
        <v>40</v>
      </c>
      <c r="D2440">
        <v>5.4722860000000004</v>
      </c>
      <c r="E2440">
        <v>0.45169500000000001</v>
      </c>
      <c r="F2440" t="s">
        <v>47</v>
      </c>
      <c r="G2440">
        <v>-447.62299999999999</v>
      </c>
      <c r="H2440" s="1">
        <v>2.5947919999999999E-6</v>
      </c>
      <c r="I2440">
        <v>282.89980000000003</v>
      </c>
      <c r="J2440">
        <v>-431.55259999999998</v>
      </c>
      <c r="K2440">
        <v>1.12079</v>
      </c>
      <c r="L2440">
        <v>284.88909999999998</v>
      </c>
      <c r="M2440">
        <v>-0.99973889999999999</v>
      </c>
      <c r="N2440">
        <v>-1.437248E-2</v>
      </c>
      <c r="O2440">
        <v>1.776871E-2</v>
      </c>
      <c r="P2440">
        <v>-0.98235550000000005</v>
      </c>
      <c r="Q2440">
        <v>0.18702250000000001</v>
      </c>
      <c r="R2440">
        <v>6.4292919999999897E-4</v>
      </c>
      <c r="S2440">
        <v>-3.0950929999999999</v>
      </c>
      <c r="T2440">
        <v>-0.21175179999999999</v>
      </c>
      <c r="U2440">
        <v>-0.37475589999999998</v>
      </c>
      <c r="V2440">
        <v>-1.670833E-2</v>
      </c>
      <c r="W2440">
        <v>0.2011289</v>
      </c>
      <c r="X2440">
        <v>0.97942229999999997</v>
      </c>
      <c r="Y2440">
        <v>-0.1374157</v>
      </c>
      <c r="Z2440">
        <v>-6.6266160000000001E-3</v>
      </c>
      <c r="AA2440">
        <v>0.99049129999999996</v>
      </c>
      <c r="AB2440">
        <v>31</v>
      </c>
      <c r="AC2440">
        <v>-16.070399999999999</v>
      </c>
      <c r="AD2440">
        <v>-1.120787405208</v>
      </c>
      <c r="AE2440">
        <v>-1.9892999999999501</v>
      </c>
      <c r="AF2440">
        <v>-2.2637210683641298</v>
      </c>
      <c r="AG2440">
        <v>-1.120787405208</v>
      </c>
      <c r="AH2440">
        <v>15.956072431217599</v>
      </c>
      <c r="AI2440">
        <v>93.978266770220401</v>
      </c>
      <c r="AJ2440">
        <v>98.074783188402293</v>
      </c>
      <c r="AK2440">
        <v>16.154777773565701</v>
      </c>
      <c r="AL2440">
        <v>78.397018470301404</v>
      </c>
      <c r="AM2440">
        <v>90.977335252743103</v>
      </c>
      <c r="AN2440">
        <v>1.0000000222219401</v>
      </c>
    </row>
    <row r="2441" spans="1:40" x14ac:dyDescent="0.25">
      <c r="A2441" t="str">
        <f>"20190303162302489"</f>
        <v>20190303162302489</v>
      </c>
      <c r="B2441" t="str">
        <f>"1551601382476568"</f>
        <v>1551601382476568</v>
      </c>
      <c r="C2441" t="s">
        <v>40</v>
      </c>
      <c r="D2441">
        <v>5.3979839999999903</v>
      </c>
      <c r="E2441">
        <v>0.45189230000000002</v>
      </c>
      <c r="F2441" t="s">
        <v>47</v>
      </c>
      <c r="G2441">
        <v>-447.95069999999998</v>
      </c>
      <c r="H2441" s="1">
        <v>2.770415E-6</v>
      </c>
      <c r="I2441">
        <v>282.87180000000001</v>
      </c>
      <c r="J2441">
        <v>-431.86329999999998</v>
      </c>
      <c r="K2441">
        <v>1.1207830000000001</v>
      </c>
      <c r="L2441">
        <v>284.89490000000001</v>
      </c>
      <c r="M2441">
        <v>-0.99973449999999997</v>
      </c>
      <c r="N2441">
        <v>-1.436923E-2</v>
      </c>
      <c r="O2441">
        <v>1.8018960000000001E-2</v>
      </c>
      <c r="P2441">
        <v>-0.98231000000000002</v>
      </c>
      <c r="Q2441">
        <v>0.18725449999999999</v>
      </c>
      <c r="R2441">
        <v>-1.7247439999999901E-3</v>
      </c>
      <c r="S2441">
        <v>-3.0943909999999999</v>
      </c>
      <c r="T2441">
        <v>-0.21149780000000001</v>
      </c>
      <c r="U2441">
        <v>-0.38067630000000002</v>
      </c>
      <c r="V2441">
        <v>-1.9316610000000001E-2</v>
      </c>
      <c r="W2441">
        <v>0.20135819999999999</v>
      </c>
      <c r="X2441">
        <v>0.97932719999999995</v>
      </c>
      <c r="Y2441">
        <v>-0.13955190000000001</v>
      </c>
      <c r="Z2441">
        <v>-6.7217170000000003E-3</v>
      </c>
      <c r="AA2441">
        <v>0.99019190000000001</v>
      </c>
      <c r="AB2441">
        <v>31</v>
      </c>
      <c r="AC2441">
        <v>-16.087399999999999</v>
      </c>
      <c r="AD2441">
        <v>-1.120780229585</v>
      </c>
      <c r="AE2441">
        <v>-2.0230999999999901</v>
      </c>
      <c r="AF2441">
        <v>-2.3016819351497899</v>
      </c>
      <c r="AG2441">
        <v>-1.120780229585</v>
      </c>
      <c r="AH2441">
        <v>15.972013897627299</v>
      </c>
      <c r="AI2441">
        <v>93.973042940130796</v>
      </c>
      <c r="AJ2441">
        <v>98.200279640979304</v>
      </c>
      <c r="AK2441">
        <v>16.175880686986499</v>
      </c>
      <c r="AL2441">
        <v>78.383606009506906</v>
      </c>
      <c r="AM2441">
        <v>91.129976510797306</v>
      </c>
      <c r="AN2441">
        <v>1.0000000103944799</v>
      </c>
    </row>
    <row r="2442" spans="1:40" x14ac:dyDescent="0.25">
      <c r="A2442" t="str">
        <f>"20190303162302512"</f>
        <v>20190303162302512</v>
      </c>
      <c r="B2442" t="str">
        <f>"1551601382506824"</f>
        <v>1551601382506824</v>
      </c>
      <c r="C2442" t="s">
        <v>40</v>
      </c>
      <c r="D2442">
        <v>5.39846</v>
      </c>
      <c r="E2442">
        <v>0.4520535</v>
      </c>
      <c r="F2442" t="s">
        <v>47</v>
      </c>
      <c r="G2442">
        <v>-448.21890000000002</v>
      </c>
      <c r="H2442" s="1">
        <v>2.9138139999999999E-6</v>
      </c>
      <c r="I2442">
        <v>282.85719999999998</v>
      </c>
      <c r="J2442">
        <v>-432.18540000000002</v>
      </c>
      <c r="K2442">
        <v>1.1207720000000001</v>
      </c>
      <c r="L2442">
        <v>284.90100000000001</v>
      </c>
      <c r="M2442">
        <v>-0.9997296</v>
      </c>
      <c r="N2442">
        <v>-1.436577E-2</v>
      </c>
      <c r="O2442">
        <v>1.8293920000000002E-2</v>
      </c>
      <c r="P2442">
        <v>-0.98233530000000002</v>
      </c>
      <c r="Q2442">
        <v>0.18708150000000001</v>
      </c>
      <c r="R2442">
        <v>-4.2598509999999899E-3</v>
      </c>
      <c r="S2442">
        <v>-3.0937809999999999</v>
      </c>
      <c r="T2442">
        <v>-0.21200289999999999</v>
      </c>
      <c r="U2442">
        <v>-0.38543699999999997</v>
      </c>
      <c r="V2442">
        <v>-2.2116879999999998E-2</v>
      </c>
      <c r="W2442">
        <v>0.20118349999999999</v>
      </c>
      <c r="X2442">
        <v>0.97930379999999995</v>
      </c>
      <c r="Y2442">
        <v>-0.1413411</v>
      </c>
      <c r="Z2442">
        <v>-6.8252460000000001E-3</v>
      </c>
      <c r="AA2442">
        <v>0.98993739999999997</v>
      </c>
      <c r="AB2442">
        <v>31</v>
      </c>
      <c r="AC2442">
        <v>-16.0335</v>
      </c>
      <c r="AD2442">
        <v>-1.12076908618599</v>
      </c>
      <c r="AE2442">
        <v>-2.0438000000000298</v>
      </c>
      <c r="AF2442">
        <v>-2.3256218191239801</v>
      </c>
      <c r="AG2442">
        <v>-1.12076908618599</v>
      </c>
      <c r="AH2442">
        <v>15.9168929279664</v>
      </c>
      <c r="AI2442">
        <v>93.985586883866404</v>
      </c>
      <c r="AJ2442">
        <v>98.312682271684494</v>
      </c>
      <c r="AK2442">
        <v>16.124891338253502</v>
      </c>
      <c r="AL2442">
        <v>78.3938239301918</v>
      </c>
      <c r="AM2442">
        <v>91.293764509114496</v>
      </c>
      <c r="AN2442">
        <v>0.99999994487381005</v>
      </c>
    </row>
    <row r="2443" spans="1:40" x14ac:dyDescent="0.25">
      <c r="A2443" t="str">
        <f>"20190303162302534"</f>
        <v>20190303162302534</v>
      </c>
      <c r="B2443" t="str">
        <f>"1551601382527319"</f>
        <v>1551601382527319</v>
      </c>
      <c r="C2443" t="s">
        <v>40</v>
      </c>
      <c r="D2443">
        <v>5.4066539999999996</v>
      </c>
      <c r="E2443">
        <v>0.45154850000000002</v>
      </c>
      <c r="F2443" t="s">
        <v>47</v>
      </c>
      <c r="G2443">
        <v>-448.36009999999999</v>
      </c>
      <c r="H2443" s="1">
        <v>2.9891119999999998E-6</v>
      </c>
      <c r="I2443">
        <v>282.85270000000003</v>
      </c>
      <c r="J2443">
        <v>-432.4889</v>
      </c>
      <c r="K2443">
        <v>1.1207670000000001</v>
      </c>
      <c r="L2443">
        <v>284.90679999999998</v>
      </c>
      <c r="M2443">
        <v>-0.99972439999999996</v>
      </c>
      <c r="N2443">
        <v>-1.43625E-2</v>
      </c>
      <c r="O2443">
        <v>1.8569189999999999E-2</v>
      </c>
      <c r="P2443">
        <v>-0.98230919999999999</v>
      </c>
      <c r="Q2443">
        <v>0.18714600000000001</v>
      </c>
      <c r="R2443">
        <v>-6.7298810000000001E-3</v>
      </c>
      <c r="S2443">
        <v>-3.0930789999999999</v>
      </c>
      <c r="T2443">
        <v>-0.21432409999999999</v>
      </c>
      <c r="U2443">
        <v>-0.39169310000000002</v>
      </c>
      <c r="V2443">
        <v>-2.4850569999999999E-2</v>
      </c>
      <c r="W2443">
        <v>0.2012457</v>
      </c>
      <c r="X2443">
        <v>0.97922549999999997</v>
      </c>
      <c r="Y2443">
        <v>-0.14359640000000001</v>
      </c>
      <c r="Z2443">
        <v>-7.0012190000000004E-3</v>
      </c>
      <c r="AA2443">
        <v>0.98961160000000004</v>
      </c>
      <c r="AB2443">
        <v>31</v>
      </c>
      <c r="AC2443">
        <v>-15.8711999999999</v>
      </c>
      <c r="AD2443">
        <v>-1.1207640108879999</v>
      </c>
      <c r="AE2443">
        <v>-2.0540999999999401</v>
      </c>
      <c r="AF2443">
        <v>-2.3370295335994302</v>
      </c>
      <c r="AG2443">
        <v>-1.1207640108879999</v>
      </c>
      <c r="AH2443">
        <v>15.7530551622263</v>
      </c>
      <c r="AI2443">
        <v>94.025587077771902</v>
      </c>
      <c r="AJ2443">
        <v>98.438512620339694</v>
      </c>
      <c r="AK2443">
        <v>15.9648540849317</v>
      </c>
      <c r="AL2443">
        <v>78.390186148764798</v>
      </c>
      <c r="AM2443">
        <v>91.453727699133097</v>
      </c>
      <c r="AN2443">
        <v>0.999999981224032</v>
      </c>
    </row>
    <row r="2444" spans="1:40" x14ac:dyDescent="0.25">
      <c r="A2444" t="str">
        <f>"20190303162302556"</f>
        <v>20190303162302556</v>
      </c>
      <c r="B2444" t="str">
        <f>"1551601382546840"</f>
        <v>1551601382546840</v>
      </c>
      <c r="C2444" t="s">
        <v>40</v>
      </c>
      <c r="D2444">
        <v>5.407629</v>
      </c>
      <c r="E2444">
        <v>0.4510576</v>
      </c>
      <c r="F2444" t="s">
        <v>47</v>
      </c>
      <c r="G2444">
        <v>-448.7201</v>
      </c>
      <c r="H2444" s="1">
        <v>3.18345E-6</v>
      </c>
      <c r="I2444">
        <v>282.78960000000001</v>
      </c>
      <c r="J2444">
        <v>-432.8014</v>
      </c>
      <c r="K2444">
        <v>1.1207549999999999</v>
      </c>
      <c r="L2444">
        <v>284.91289999999998</v>
      </c>
      <c r="M2444">
        <v>-0.99971900000000002</v>
      </c>
      <c r="N2444">
        <v>-1.435795E-2</v>
      </c>
      <c r="O2444">
        <v>1.886815E-2</v>
      </c>
      <c r="P2444">
        <v>-0.98238879999999995</v>
      </c>
      <c r="Q2444">
        <v>0.1867086</v>
      </c>
      <c r="R2444">
        <v>-7.2513059999999999E-3</v>
      </c>
      <c r="S2444">
        <v>-3.0919490000000001</v>
      </c>
      <c r="T2444">
        <v>-0.2134992</v>
      </c>
      <c r="U2444">
        <v>-0.40332030000000002</v>
      </c>
      <c r="V2444">
        <v>-2.5661650000000001E-2</v>
      </c>
      <c r="W2444">
        <v>0.20080609999999999</v>
      </c>
      <c r="X2444">
        <v>0.97929480000000002</v>
      </c>
      <c r="Y2444">
        <v>-0.14758840000000001</v>
      </c>
      <c r="Z2444">
        <v>-7.1603079999999998E-3</v>
      </c>
      <c r="AA2444">
        <v>0.98902299999999999</v>
      </c>
      <c r="AB2444">
        <v>31</v>
      </c>
      <c r="AC2444">
        <v>-15.918699999999999</v>
      </c>
      <c r="AD2444">
        <v>-1.1207518165499999</v>
      </c>
      <c r="AE2444">
        <v>-2.1232999999999702</v>
      </c>
      <c r="AF2444">
        <v>-2.4115645292324102</v>
      </c>
      <c r="AG2444">
        <v>-1.1207518165499999</v>
      </c>
      <c r="AH2444">
        <v>15.798855447679699</v>
      </c>
      <c r="AI2444">
        <v>94.011388047610197</v>
      </c>
      <c r="AJ2444">
        <v>98.678736907393898</v>
      </c>
      <c r="AK2444">
        <v>16.021097389680602</v>
      </c>
      <c r="AL2444">
        <v>78.415897986793198</v>
      </c>
      <c r="AM2444">
        <v>91.501047330685097</v>
      </c>
      <c r="AN2444">
        <v>0.99999995769248495</v>
      </c>
    </row>
    <row r="2445" spans="1:40" x14ac:dyDescent="0.25">
      <c r="A2445" t="str">
        <f>"20190303162302580"</f>
        <v>20190303162302580</v>
      </c>
      <c r="B2445" t="str">
        <f>"1551601382567335"</f>
        <v>1551601382567335</v>
      </c>
      <c r="C2445" t="s">
        <v>40</v>
      </c>
      <c r="D2445">
        <v>5.4026269999999998</v>
      </c>
      <c r="E2445">
        <v>0.4506269</v>
      </c>
      <c r="F2445" t="s">
        <v>47</v>
      </c>
      <c r="G2445">
        <v>-449.08449999999999</v>
      </c>
      <c r="H2445" s="1">
        <v>3.378794E-6</v>
      </c>
      <c r="I2445">
        <v>282.7577</v>
      </c>
      <c r="J2445">
        <v>-433.12580000000003</v>
      </c>
      <c r="K2445">
        <v>1.120744</v>
      </c>
      <c r="L2445">
        <v>284.9194</v>
      </c>
      <c r="M2445">
        <v>-0.99971279999999996</v>
      </c>
      <c r="N2445">
        <v>-1.435137E-2</v>
      </c>
      <c r="O2445">
        <v>1.919336E-2</v>
      </c>
      <c r="P2445">
        <v>-0.98242090000000004</v>
      </c>
      <c r="Q2445">
        <v>0.18648010000000001</v>
      </c>
      <c r="R2445">
        <v>-8.636286E-3</v>
      </c>
      <c r="S2445">
        <v>-3.0911870000000001</v>
      </c>
      <c r="T2445">
        <v>-0.21276310000000001</v>
      </c>
      <c r="U2445">
        <v>-0.40914919999999999</v>
      </c>
      <c r="V2445">
        <v>-2.736036E-2</v>
      </c>
      <c r="W2445">
        <v>0.200573</v>
      </c>
      <c r="X2445">
        <v>0.97929659999999996</v>
      </c>
      <c r="Y2445">
        <v>-0.1497705</v>
      </c>
      <c r="Z2445">
        <v>-7.2470479999999999E-3</v>
      </c>
      <c r="AA2445">
        <v>0.98869430000000003</v>
      </c>
      <c r="AB2445">
        <v>31</v>
      </c>
      <c r="AC2445">
        <v>-15.958699999999901</v>
      </c>
      <c r="AD2445">
        <v>-1.120740621206</v>
      </c>
      <c r="AE2445">
        <v>-2.16169999999999</v>
      </c>
      <c r="AF2445">
        <v>-2.45574105581716</v>
      </c>
      <c r="AG2445">
        <v>-1.120740621206</v>
      </c>
      <c r="AH2445">
        <v>15.8375629976823</v>
      </c>
      <c r="AI2445">
        <v>94.000127933378494</v>
      </c>
      <c r="AJ2445">
        <v>98.813978897819595</v>
      </c>
      <c r="AK2445">
        <v>16.065961701025</v>
      </c>
      <c r="AL2445">
        <v>78.429531192381106</v>
      </c>
      <c r="AM2445">
        <v>91.600358317741595</v>
      </c>
      <c r="AN2445">
        <v>0.99999997419994402</v>
      </c>
    </row>
    <row r="2446" spans="1:40" x14ac:dyDescent="0.25">
      <c r="A2446" t="str">
        <f>"20190303162302602"</f>
        <v>20190303162302602</v>
      </c>
      <c r="B2446" t="str">
        <f>"1551601382596615"</f>
        <v>1551601382596615</v>
      </c>
      <c r="C2446" t="s">
        <v>40</v>
      </c>
      <c r="D2446">
        <v>5.4281499999999996</v>
      </c>
      <c r="E2446">
        <v>0.4500517</v>
      </c>
      <c r="F2446" t="s">
        <v>47</v>
      </c>
      <c r="G2446">
        <v>-449.18790000000001</v>
      </c>
      <c r="H2446" s="1">
        <v>3.4338960000000002E-6</v>
      </c>
      <c r="I2446">
        <v>282.75549999999998</v>
      </c>
      <c r="J2446">
        <v>-433.43520000000001</v>
      </c>
      <c r="K2446">
        <v>1.1207290000000001</v>
      </c>
      <c r="L2446">
        <v>284.92570000000001</v>
      </c>
      <c r="M2446">
        <v>-0.9997066</v>
      </c>
      <c r="N2446">
        <v>-1.4344310000000001E-2</v>
      </c>
      <c r="O2446">
        <v>1.9516550000000001E-2</v>
      </c>
      <c r="P2446">
        <v>-0.98245150000000003</v>
      </c>
      <c r="Q2446">
        <v>0.18626290000000001</v>
      </c>
      <c r="R2446">
        <v>-9.7559489999999999E-3</v>
      </c>
      <c r="S2446">
        <v>-3.090973</v>
      </c>
      <c r="T2446">
        <v>-0.2156739</v>
      </c>
      <c r="U2446">
        <v>-0.41641240000000002</v>
      </c>
      <c r="V2446">
        <v>-2.879338E-2</v>
      </c>
      <c r="W2446">
        <v>0.20035059999999999</v>
      </c>
      <c r="X2446">
        <v>0.97930099999999998</v>
      </c>
      <c r="Y2446">
        <v>-0.15236150000000001</v>
      </c>
      <c r="Z2446">
        <v>-7.4606550000000001E-3</v>
      </c>
      <c r="AA2446">
        <v>0.98829670000000003</v>
      </c>
      <c r="AB2446">
        <v>31</v>
      </c>
      <c r="AC2446">
        <v>-15.752700000000001</v>
      </c>
      <c r="AD2446">
        <v>-1.1207255661040001</v>
      </c>
      <c r="AE2446">
        <v>-2.1702000000000199</v>
      </c>
      <c r="AF2446">
        <v>-2.4650120374515301</v>
      </c>
      <c r="AG2446">
        <v>-1.1207255661040001</v>
      </c>
      <c r="AH2446">
        <v>15.629701963852501</v>
      </c>
      <c r="AI2446">
        <v>94.051458578585198</v>
      </c>
      <c r="AJ2446">
        <v>98.962484213307604</v>
      </c>
      <c r="AK2446">
        <v>15.8625311226851</v>
      </c>
      <c r="AL2446">
        <v>78.442537330439393</v>
      </c>
      <c r="AM2446">
        <v>91.684123687965794</v>
      </c>
      <c r="AN2446">
        <v>0.99999993512659002</v>
      </c>
    </row>
    <row r="2447" spans="1:40" x14ac:dyDescent="0.25">
      <c r="A2447" t="str">
        <f>"20190303162302624"</f>
        <v>20190303162302624</v>
      </c>
      <c r="B2447" t="str">
        <f>"1551601382617112"</f>
        <v>1551601382617112</v>
      </c>
      <c r="C2447" t="s">
        <v>40</v>
      </c>
      <c r="D2447">
        <v>5.4266730000000001</v>
      </c>
      <c r="E2447">
        <v>0.44989689999999999</v>
      </c>
      <c r="F2447" t="s">
        <v>47</v>
      </c>
      <c r="G2447">
        <v>-449.34339999999997</v>
      </c>
      <c r="H2447" s="1">
        <v>3.51711E-6</v>
      </c>
      <c r="I2447">
        <v>282.7441</v>
      </c>
      <c r="J2447">
        <v>-433.73790000000002</v>
      </c>
      <c r="K2447">
        <v>1.1207180000000001</v>
      </c>
      <c r="L2447">
        <v>284.93189999999998</v>
      </c>
      <c r="M2447">
        <v>-0.99970049999999999</v>
      </c>
      <c r="N2447">
        <v>-1.433238E-2</v>
      </c>
      <c r="O2447">
        <v>1.9841770000000002E-2</v>
      </c>
      <c r="P2447">
        <v>-0.9824041</v>
      </c>
      <c r="Q2447">
        <v>0.1864305</v>
      </c>
      <c r="R2447">
        <v>-1.12313E-2</v>
      </c>
      <c r="S2447">
        <v>-3.090668</v>
      </c>
      <c r="T2447">
        <v>-0.2177366</v>
      </c>
      <c r="U2447">
        <v>-0.42382809999999999</v>
      </c>
      <c r="V2447">
        <v>-3.0582680000000001E-2</v>
      </c>
      <c r="W2447">
        <v>0.20050709999999999</v>
      </c>
      <c r="X2447">
        <v>0.97921480000000005</v>
      </c>
      <c r="Y2447">
        <v>-0.15500710000000001</v>
      </c>
      <c r="Z2447">
        <v>-7.6530349999999999E-3</v>
      </c>
      <c r="AA2447">
        <v>0.98788370000000003</v>
      </c>
      <c r="AB2447">
        <v>31</v>
      </c>
      <c r="AC2447">
        <v>-15.6054999999999</v>
      </c>
      <c r="AD2447">
        <v>-1.12071448289</v>
      </c>
      <c r="AE2447">
        <v>-2.1877999999999802</v>
      </c>
      <c r="AF2447">
        <v>-2.4844751678091201</v>
      </c>
      <c r="AG2447">
        <v>-1.12071448289</v>
      </c>
      <c r="AH2447">
        <v>15.4807109423746</v>
      </c>
      <c r="AI2447">
        <v>94.088523980072495</v>
      </c>
      <c r="AJ2447">
        <v>99.117561909946104</v>
      </c>
      <c r="AK2447">
        <v>15.718811312977101</v>
      </c>
      <c r="AL2447">
        <v>78.433385709722302</v>
      </c>
      <c r="AM2447">
        <v>91.7888711337975</v>
      </c>
      <c r="AN2447">
        <v>1.0000000110027101</v>
      </c>
    </row>
    <row r="2448" spans="1:40" x14ac:dyDescent="0.25">
      <c r="A2448" t="str">
        <f>"20190303162302646"</f>
        <v>20190303162302646</v>
      </c>
      <c r="B2448" t="str">
        <f>"1551601382636631"</f>
        <v>1551601382636631</v>
      </c>
      <c r="C2448" t="s">
        <v>40</v>
      </c>
      <c r="D2448">
        <v>5.4314109999999998</v>
      </c>
      <c r="E2448">
        <v>0.44961830000000003</v>
      </c>
      <c r="F2448" t="s">
        <v>47</v>
      </c>
      <c r="G2448">
        <v>-449.66950000000003</v>
      </c>
      <c r="H2448" s="1">
        <v>3.6918169999999998E-6</v>
      </c>
      <c r="I2448">
        <v>282.7183</v>
      </c>
      <c r="J2448">
        <v>-434.04629999999997</v>
      </c>
      <c r="K2448">
        <v>1.1207149999999999</v>
      </c>
      <c r="L2448">
        <v>284.9384</v>
      </c>
      <c r="M2448">
        <v>-0.99969379999999997</v>
      </c>
      <c r="N2448">
        <v>-1.431663E-2</v>
      </c>
      <c r="O2448">
        <v>2.0179849999999999E-2</v>
      </c>
      <c r="P2448">
        <v>-0.98245059999999995</v>
      </c>
      <c r="Q2448">
        <v>0.1861207</v>
      </c>
      <c r="R2448">
        <v>-1.223085E-2</v>
      </c>
      <c r="S2448">
        <v>-3.0901179999999999</v>
      </c>
      <c r="T2448">
        <v>-0.21737529999999999</v>
      </c>
      <c r="U2448">
        <v>-0.42935180000000001</v>
      </c>
      <c r="V2448">
        <v>-3.1912740000000002E-2</v>
      </c>
      <c r="W2448">
        <v>0.2001838</v>
      </c>
      <c r="X2448">
        <v>0.97923850000000001</v>
      </c>
      <c r="Y2448">
        <v>-0.15709219999999999</v>
      </c>
      <c r="Z2448">
        <v>-7.7481360000000001E-3</v>
      </c>
      <c r="AA2448">
        <v>0.98755349999999997</v>
      </c>
      <c r="AB2448">
        <v>31</v>
      </c>
      <c r="AC2448">
        <v>-15.623200000000001</v>
      </c>
      <c r="AD2448">
        <v>-1.12071130818299</v>
      </c>
      <c r="AE2448">
        <v>-2.2201</v>
      </c>
      <c r="AF2448">
        <v>-2.5222321386573099</v>
      </c>
      <c r="AG2448">
        <v>-1.12071130818299</v>
      </c>
      <c r="AH2448">
        <v>15.497046746572</v>
      </c>
      <c r="AI2448">
        <v>94.082763931650902</v>
      </c>
      <c r="AJ2448">
        <v>99.244157293678896</v>
      </c>
      <c r="AK2448">
        <v>15.740905522332699</v>
      </c>
      <c r="AL2448">
        <v>78.452292738320295</v>
      </c>
      <c r="AM2448">
        <v>91.866571228916996</v>
      </c>
      <c r="AN2448">
        <v>1.00000000831949</v>
      </c>
    </row>
    <row r="2449" spans="1:40" x14ac:dyDescent="0.25">
      <c r="A2449" t="str">
        <f>"20190303162302668"</f>
        <v>20190303162302668</v>
      </c>
      <c r="B2449" t="str">
        <f>"1551601382657128"</f>
        <v>1551601382657128</v>
      </c>
      <c r="C2449" t="s">
        <v>40</v>
      </c>
      <c r="D2449">
        <v>5.585788</v>
      </c>
      <c r="E2449">
        <v>0.4493993</v>
      </c>
      <c r="F2449" t="s">
        <v>47</v>
      </c>
      <c r="G2449">
        <v>-449.78739999999999</v>
      </c>
      <c r="H2449" s="1">
        <v>3.7542009999999998E-6</v>
      </c>
      <c r="I2449">
        <v>282.72640000000001</v>
      </c>
      <c r="J2449">
        <v>-434.35570000000001</v>
      </c>
      <c r="K2449">
        <v>1.1207100000000001</v>
      </c>
      <c r="L2449">
        <v>284.94499999999999</v>
      </c>
      <c r="M2449">
        <v>-0.9996874</v>
      </c>
      <c r="N2449">
        <v>-1.430065E-2</v>
      </c>
      <c r="O2449">
        <v>2.0521600000000001E-2</v>
      </c>
      <c r="P2449">
        <v>-0.9825256</v>
      </c>
      <c r="Q2449">
        <v>0.18564510000000001</v>
      </c>
      <c r="R2449">
        <v>-1.339622E-2</v>
      </c>
      <c r="S2449">
        <v>-3.089874</v>
      </c>
      <c r="T2449">
        <v>-0.2199883</v>
      </c>
      <c r="U2449">
        <v>-0.43420409999999998</v>
      </c>
      <c r="V2449">
        <v>-3.3413579999999998E-2</v>
      </c>
      <c r="W2449">
        <v>0.19969419999999999</v>
      </c>
      <c r="X2449">
        <v>0.97928839999999995</v>
      </c>
      <c r="Y2449">
        <v>-0.1589441</v>
      </c>
      <c r="Z2449">
        <v>-7.9281609999999995E-3</v>
      </c>
      <c r="AA2449">
        <v>0.98725580000000002</v>
      </c>
      <c r="AB2449">
        <v>31</v>
      </c>
      <c r="AC2449">
        <v>-15.4316999999999</v>
      </c>
      <c r="AD2449">
        <v>-1.120706245799</v>
      </c>
      <c r="AE2449">
        <v>-2.2185999999999799</v>
      </c>
      <c r="AF2449">
        <v>-2.5218169638821699</v>
      </c>
      <c r="AG2449">
        <v>-1.120706245799</v>
      </c>
      <c r="AH2449">
        <v>15.303834886172799</v>
      </c>
      <c r="AI2449">
        <v>94.132780748912296</v>
      </c>
      <c r="AJ2449">
        <v>99.357299747050405</v>
      </c>
      <c r="AK2449">
        <v>15.5506561119439</v>
      </c>
      <c r="AL2449">
        <v>78.480922809507305</v>
      </c>
      <c r="AM2449">
        <v>91.954189081311696</v>
      </c>
      <c r="AN2449">
        <v>1.0000000056083</v>
      </c>
    </row>
    <row r="2450" spans="1:40" x14ac:dyDescent="0.25">
      <c r="A2450" t="str">
        <f>"20190303162302691"</f>
        <v>20190303162302691</v>
      </c>
      <c r="B2450" t="str">
        <f>"1551601382686408"</f>
        <v>1551601382686408</v>
      </c>
      <c r="C2450" t="s">
        <v>40</v>
      </c>
      <c r="D2450">
        <v>5.4846339999999998</v>
      </c>
      <c r="E2450">
        <v>0.4492024</v>
      </c>
      <c r="F2450" t="s">
        <v>47</v>
      </c>
      <c r="G2450">
        <v>-449.99939999999998</v>
      </c>
      <c r="H2450" s="1">
        <v>-1.454268E-6</v>
      </c>
      <c r="I2450">
        <v>282.721</v>
      </c>
      <c r="J2450">
        <v>-434.66860000000003</v>
      </c>
      <c r="K2450">
        <v>1.1207039999999999</v>
      </c>
      <c r="L2450">
        <v>284.95179999999999</v>
      </c>
      <c r="M2450">
        <v>-0.99968020000000002</v>
      </c>
      <c r="N2450">
        <v>-1.428509E-2</v>
      </c>
      <c r="O2450">
        <v>2.0869039999999998E-2</v>
      </c>
      <c r="P2450">
        <v>-0.98264130000000005</v>
      </c>
      <c r="Q2450">
        <v>0.18497920000000001</v>
      </c>
      <c r="R2450">
        <v>-1.4097989999999999E-2</v>
      </c>
      <c r="S2450">
        <v>-3.0892029999999999</v>
      </c>
      <c r="T2450">
        <v>-0.22131010000000001</v>
      </c>
      <c r="U2450">
        <v>-0.43917850000000003</v>
      </c>
      <c r="V2450">
        <v>-3.4458809999999999E-2</v>
      </c>
      <c r="W2450">
        <v>0.19901530000000001</v>
      </c>
      <c r="X2450">
        <v>0.97939039999999999</v>
      </c>
      <c r="Y2450">
        <v>-0.16086300000000001</v>
      </c>
      <c r="Z2450">
        <v>-8.0724850000000008E-3</v>
      </c>
      <c r="AA2450">
        <v>0.98694369999999998</v>
      </c>
      <c r="AB2450">
        <v>31</v>
      </c>
      <c r="AC2450">
        <v>-15.330799999999901</v>
      </c>
      <c r="AD2450">
        <v>-1.1207054542679999</v>
      </c>
      <c r="AE2450">
        <v>-2.2307999999999799</v>
      </c>
      <c r="AF2450">
        <v>-2.5370095215056701</v>
      </c>
      <c r="AG2450">
        <v>-1.1207054542679999</v>
      </c>
      <c r="AH2450">
        <v>15.2013519015408</v>
      </c>
      <c r="AI2450">
        <v>94.159130382747804</v>
      </c>
      <c r="AJ2450">
        <v>99.474976969341697</v>
      </c>
      <c r="AK2450">
        <v>15.4522974881379</v>
      </c>
      <c r="AL2450">
        <v>78.5206179486905</v>
      </c>
      <c r="AM2450">
        <v>92.015059876139006</v>
      </c>
      <c r="AN2450">
        <v>1.00000002741643</v>
      </c>
    </row>
    <row r="2451" spans="1:40" x14ac:dyDescent="0.25">
      <c r="A2451" t="str">
        <f>"20190303162302713"</f>
        <v>20190303162302713</v>
      </c>
      <c r="B2451" t="str">
        <f>"1551601382706903"</f>
        <v>1551601382706903</v>
      </c>
      <c r="C2451" t="s">
        <v>40</v>
      </c>
      <c r="D2451">
        <v>5.470262</v>
      </c>
      <c r="E2451">
        <v>0.44905279999999997</v>
      </c>
      <c r="F2451" t="s">
        <v>47</v>
      </c>
      <c r="G2451">
        <v>-450.23099999999999</v>
      </c>
      <c r="H2451" s="1">
        <v>-1.3310090000000001E-6</v>
      </c>
      <c r="I2451">
        <v>282.72149999999999</v>
      </c>
      <c r="J2451">
        <v>-434.97579999999999</v>
      </c>
      <c r="K2451">
        <v>1.120695</v>
      </c>
      <c r="L2451">
        <v>284.95859999999999</v>
      </c>
      <c r="M2451">
        <v>-0.99967320000000004</v>
      </c>
      <c r="N2451">
        <v>-1.427054E-2</v>
      </c>
      <c r="O2451">
        <v>2.1210429999999999E-2</v>
      </c>
      <c r="P2451">
        <v>-0.98274410000000001</v>
      </c>
      <c r="Q2451">
        <v>0.18433669999999999</v>
      </c>
      <c r="R2451">
        <v>-1.530785E-2</v>
      </c>
      <c r="S2451">
        <v>-3.0885009999999999</v>
      </c>
      <c r="T2451">
        <v>-0.22241320000000001</v>
      </c>
      <c r="U2451">
        <v>-0.44262699999999999</v>
      </c>
      <c r="V2451">
        <v>-3.6006169999999997E-2</v>
      </c>
      <c r="W2451">
        <v>0.1983605</v>
      </c>
      <c r="X2451">
        <v>0.97946750000000005</v>
      </c>
      <c r="Y2451">
        <v>-0.16230120000000001</v>
      </c>
      <c r="Z2451">
        <v>-8.1900559999999994E-3</v>
      </c>
      <c r="AA2451">
        <v>0.98670729999999995</v>
      </c>
      <c r="AB2451">
        <v>31</v>
      </c>
      <c r="AC2451">
        <v>-15.2552</v>
      </c>
      <c r="AD2451">
        <v>-1.1206963310089999</v>
      </c>
      <c r="AE2451">
        <v>-2.2370999999999901</v>
      </c>
      <c r="AF2451">
        <v>-2.5467438839733498</v>
      </c>
      <c r="AG2451">
        <v>-1.1206963310089999</v>
      </c>
      <c r="AH2451">
        <v>15.1244069565529</v>
      </c>
      <c r="AI2451">
        <v>94.179167399723298</v>
      </c>
      <c r="AJ2451">
        <v>99.558163738855995</v>
      </c>
      <c r="AK2451">
        <v>15.378216751766701</v>
      </c>
      <c r="AL2451">
        <v>78.558897623803901</v>
      </c>
      <c r="AM2451">
        <v>92.105300112972898</v>
      </c>
      <c r="AN2451">
        <v>0.99999995789728302</v>
      </c>
    </row>
    <row r="2452" spans="1:40" x14ac:dyDescent="0.25">
      <c r="A2452" t="str">
        <f>"20190303162302735"</f>
        <v>20190303162302735</v>
      </c>
      <c r="B2452" t="str">
        <f>"1551601382726424"</f>
        <v>1551601382726424</v>
      </c>
      <c r="C2452" t="s">
        <v>40</v>
      </c>
      <c r="D2452">
        <v>5.4618099999999998</v>
      </c>
      <c r="E2452">
        <v>0.44893830000000001</v>
      </c>
      <c r="F2452" t="s">
        <v>47</v>
      </c>
      <c r="G2452">
        <v>-450.29599999999999</v>
      </c>
      <c r="H2452" s="1">
        <v>-1.2971879999999999E-6</v>
      </c>
      <c r="I2452">
        <v>282.73829999999998</v>
      </c>
      <c r="J2452">
        <v>-435.27910000000003</v>
      </c>
      <c r="K2452">
        <v>1.120692</v>
      </c>
      <c r="L2452">
        <v>284.96539999999999</v>
      </c>
      <c r="M2452">
        <v>-0.99966619999999995</v>
      </c>
      <c r="N2452">
        <v>-1.425395E-2</v>
      </c>
      <c r="O2452">
        <v>2.1547239999999999E-2</v>
      </c>
      <c r="P2452">
        <v>-0.98284070000000001</v>
      </c>
      <c r="Q2452">
        <v>0.18374989999999999</v>
      </c>
      <c r="R2452">
        <v>-1.613003E-2</v>
      </c>
      <c r="S2452">
        <v>-3.0881349999999999</v>
      </c>
      <c r="T2452">
        <v>-0.22590199999999999</v>
      </c>
      <c r="U2452">
        <v>-0.4475403</v>
      </c>
      <c r="V2452">
        <v>-3.7161560000000003E-2</v>
      </c>
      <c r="W2452">
        <v>0.1977595</v>
      </c>
      <c r="X2452">
        <v>0.97954600000000003</v>
      </c>
      <c r="Y2452">
        <v>-0.16416559999999999</v>
      </c>
      <c r="Z2452">
        <v>-8.4047710000000001E-3</v>
      </c>
      <c r="AA2452">
        <v>0.98639699999999997</v>
      </c>
      <c r="AB2452">
        <v>31</v>
      </c>
      <c r="AC2452">
        <v>-15.0168999999999</v>
      </c>
      <c r="AD2452">
        <v>-1.1206932971879999</v>
      </c>
      <c r="AE2452">
        <v>-2.2271000000000001</v>
      </c>
      <c r="AF2452">
        <v>-2.5363662894227201</v>
      </c>
      <c r="AG2452">
        <v>-1.1206932971879999</v>
      </c>
      <c r="AH2452">
        <v>14.884306643652</v>
      </c>
      <c r="AI2452">
        <v>94.244919485865793</v>
      </c>
      <c r="AJ2452">
        <v>99.670619318475204</v>
      </c>
      <c r="AK2452">
        <v>15.140399323754499</v>
      </c>
      <c r="AL2452">
        <v>78.5940297870481</v>
      </c>
      <c r="AM2452">
        <v>92.172618683290906</v>
      </c>
      <c r="AN2452">
        <v>1.00000008374893</v>
      </c>
    </row>
    <row r="2453" spans="1:40" x14ac:dyDescent="0.25">
      <c r="A2453" t="str">
        <f>"20190303162302758"</f>
        <v>20190303162302758</v>
      </c>
      <c r="B2453" t="str">
        <f>"1551601382746920"</f>
        <v>1551601382746920</v>
      </c>
      <c r="C2453" t="s">
        <v>40</v>
      </c>
      <c r="D2453">
        <v>5.5189879999999896</v>
      </c>
      <c r="E2453">
        <v>0.4488221</v>
      </c>
      <c r="F2453" t="s">
        <v>47</v>
      </c>
      <c r="G2453">
        <v>-450.3999</v>
      </c>
      <c r="H2453" s="1">
        <v>-1.2427120000000001E-6</v>
      </c>
      <c r="I2453">
        <v>282.75760000000002</v>
      </c>
      <c r="J2453">
        <v>-435.59199999999998</v>
      </c>
      <c r="K2453">
        <v>1.1206879999999999</v>
      </c>
      <c r="L2453">
        <v>284.97239999999999</v>
      </c>
      <c r="M2453">
        <v>-0.99965899999999996</v>
      </c>
      <c r="N2453">
        <v>-1.423283E-2</v>
      </c>
      <c r="O2453">
        <v>2.1894029999999998E-2</v>
      </c>
      <c r="P2453">
        <v>-0.98295940000000004</v>
      </c>
      <c r="Q2453">
        <v>0.18304519999999999</v>
      </c>
      <c r="R2453">
        <v>-1.6889669999999999E-2</v>
      </c>
      <c r="S2453">
        <v>-3.0877690000000002</v>
      </c>
      <c r="T2453">
        <v>-0.22885259999999999</v>
      </c>
      <c r="U2453">
        <v>-0.45083620000000002</v>
      </c>
      <c r="V2453">
        <v>-3.8264859999999998E-2</v>
      </c>
      <c r="W2453">
        <v>0.1970363</v>
      </c>
      <c r="X2453">
        <v>0.9796492</v>
      </c>
      <c r="Y2453">
        <v>-0.16553670000000001</v>
      </c>
      <c r="Z2453">
        <v>-8.5830249999999993E-3</v>
      </c>
      <c r="AA2453">
        <v>0.98616630000000005</v>
      </c>
      <c r="AB2453">
        <v>31</v>
      </c>
      <c r="AC2453">
        <v>-14.8079</v>
      </c>
      <c r="AD2453">
        <v>-1.1206892427120001</v>
      </c>
      <c r="AE2453">
        <v>-2.2147999999999599</v>
      </c>
      <c r="AF2453">
        <v>-2.5243639158315601</v>
      </c>
      <c r="AG2453">
        <v>-1.1206892427120001</v>
      </c>
      <c r="AH2453">
        <v>14.673646168572899</v>
      </c>
      <c r="AI2453">
        <v>94.304456324596003</v>
      </c>
      <c r="AJ2453">
        <v>99.761265263503802</v>
      </c>
      <c r="AK2453">
        <v>14.931317739528399</v>
      </c>
      <c r="AL2453">
        <v>78.636297150542404</v>
      </c>
      <c r="AM2453">
        <v>92.236822158223006</v>
      </c>
      <c r="AN2453">
        <v>1.0000000290445701</v>
      </c>
    </row>
    <row r="2454" spans="1:40" x14ac:dyDescent="0.25">
      <c r="A2454" t="str">
        <f>"20190303162302781"</f>
        <v>20190303162302781</v>
      </c>
      <c r="B2454" t="str">
        <f>"1551601382766440"</f>
        <v>1551601382766440</v>
      </c>
      <c r="C2454" t="s">
        <v>40</v>
      </c>
      <c r="D2454">
        <v>5.482151</v>
      </c>
      <c r="E2454">
        <v>0.44871169999999999</v>
      </c>
      <c r="F2454" t="s">
        <v>47</v>
      </c>
      <c r="G2454">
        <v>-450.62299999999999</v>
      </c>
      <c r="H2454" s="1">
        <v>-1.1240580000000001E-6</v>
      </c>
      <c r="I2454">
        <v>282.75880000000001</v>
      </c>
      <c r="J2454">
        <v>-435.90809999999999</v>
      </c>
      <c r="K2454">
        <v>1.1206780000000001</v>
      </c>
      <c r="L2454">
        <v>284.97969999999998</v>
      </c>
      <c r="M2454">
        <v>-0.99965170000000003</v>
      </c>
      <c r="N2454">
        <v>-1.421069E-2</v>
      </c>
      <c r="O2454">
        <v>2.2243269999999999E-2</v>
      </c>
      <c r="P2454">
        <v>-0.98306260000000001</v>
      </c>
      <c r="Q2454">
        <v>0.1823429</v>
      </c>
      <c r="R2454">
        <v>-1.8424719999999999E-2</v>
      </c>
      <c r="S2454">
        <v>-3.087097</v>
      </c>
      <c r="T2454">
        <v>-0.23016890000000001</v>
      </c>
      <c r="U2454">
        <v>-0.45465090000000002</v>
      </c>
      <c r="V2454">
        <v>-4.0144850000000003E-2</v>
      </c>
      <c r="W2454">
        <v>0.19631489999999999</v>
      </c>
      <c r="X2454">
        <v>0.97971870000000005</v>
      </c>
      <c r="Y2454">
        <v>-0.16709280000000001</v>
      </c>
      <c r="Z2454">
        <v>-8.7167119999999997E-3</v>
      </c>
      <c r="AA2454">
        <v>0.98590270000000002</v>
      </c>
      <c r="AB2454">
        <v>31</v>
      </c>
      <c r="AC2454">
        <v>-14.7149</v>
      </c>
      <c r="AD2454">
        <v>-1.1206791240580001</v>
      </c>
      <c r="AE2454">
        <v>-2.2208999999999701</v>
      </c>
      <c r="AF2454">
        <v>-2.5333242319556599</v>
      </c>
      <c r="AG2454">
        <v>-1.1206791240580001</v>
      </c>
      <c r="AH2454">
        <v>14.579173866610001</v>
      </c>
      <c r="AI2454">
        <v>94.330951381882102</v>
      </c>
      <c r="AJ2454">
        <v>99.8574746313502</v>
      </c>
      <c r="AK2454">
        <v>14.8400122640164</v>
      </c>
      <c r="AL2454">
        <v>78.678452680401193</v>
      </c>
      <c r="AM2454">
        <v>92.3464331596455</v>
      </c>
      <c r="AN2454">
        <v>0.99999994003660897</v>
      </c>
    </row>
    <row r="2455" spans="1:40" x14ac:dyDescent="0.25">
      <c r="A2455" t="str">
        <f>"20190303162302804"</f>
        <v>20190303162302804</v>
      </c>
      <c r="B2455" t="str">
        <f>"1551601382796695"</f>
        <v>1551601382796695</v>
      </c>
      <c r="C2455" t="s">
        <v>40</v>
      </c>
      <c r="D2455">
        <v>5.5854879999999998</v>
      </c>
      <c r="E2455">
        <v>0.44854539999999998</v>
      </c>
      <c r="F2455" t="s">
        <v>47</v>
      </c>
      <c r="G2455">
        <v>-450.90660000000003</v>
      </c>
      <c r="H2455" s="1">
        <v>-9.7221690000000009E-7</v>
      </c>
      <c r="I2455">
        <v>282.73790000000002</v>
      </c>
      <c r="J2455">
        <v>-436.21550000000002</v>
      </c>
      <c r="K2455">
        <v>1.1206700000000001</v>
      </c>
      <c r="L2455">
        <v>284.98689999999999</v>
      </c>
      <c r="M2455">
        <v>-0.99964430000000004</v>
      </c>
      <c r="N2455">
        <v>-1.419043E-2</v>
      </c>
      <c r="O2455">
        <v>2.2582419999999999E-2</v>
      </c>
      <c r="P2455">
        <v>-0.98301419999999995</v>
      </c>
      <c r="Q2455">
        <v>0.18235280000000001</v>
      </c>
      <c r="R2455">
        <v>-2.0750770000000002E-2</v>
      </c>
      <c r="S2455">
        <v>-3.085785</v>
      </c>
      <c r="T2455">
        <v>-0.2305682</v>
      </c>
      <c r="U2455">
        <v>-0.46124270000000001</v>
      </c>
      <c r="V2455">
        <v>-4.2802979999999997E-2</v>
      </c>
      <c r="W2455">
        <v>0.1963047</v>
      </c>
      <c r="X2455">
        <v>0.97960829999999999</v>
      </c>
      <c r="Y2455">
        <v>-0.1695372</v>
      </c>
      <c r="Z2455">
        <v>-8.8599070000000002E-3</v>
      </c>
      <c r="AA2455">
        <v>0.98548389999999997</v>
      </c>
      <c r="AB2455">
        <v>31</v>
      </c>
      <c r="AC2455">
        <v>-14.6911</v>
      </c>
      <c r="AD2455">
        <v>-1.1206709722168999</v>
      </c>
      <c r="AE2455">
        <v>-2.2489999999999601</v>
      </c>
      <c r="AF2455">
        <v>-2.56563281451675</v>
      </c>
      <c r="AG2455">
        <v>-1.1206709722168999</v>
      </c>
      <c r="AH2455">
        <v>14.5538105866585</v>
      </c>
      <c r="AI2455">
        <v>94.336587618518806</v>
      </c>
      <c r="AJ2455">
        <v>99.997721853048006</v>
      </c>
      <c r="AK2455">
        <v>14.8206537561347</v>
      </c>
      <c r="AL2455">
        <v>78.679049679402198</v>
      </c>
      <c r="AM2455">
        <v>92.501888962480294</v>
      </c>
      <c r="AN2455">
        <v>1.0000000258839199</v>
      </c>
    </row>
    <row r="2456" spans="1:40" x14ac:dyDescent="0.25">
      <c r="A2456" t="str">
        <f>"20190303162302825"</f>
        <v>20190303162302825</v>
      </c>
      <c r="B2456" t="str">
        <f>"1551601382817191"</f>
        <v>1551601382817191</v>
      </c>
      <c r="C2456" t="s">
        <v>40</v>
      </c>
      <c r="D2456">
        <v>5.4550349999999996</v>
      </c>
      <c r="E2456">
        <v>0.44847169999999997</v>
      </c>
      <c r="F2456" t="s">
        <v>47</v>
      </c>
      <c r="G2456">
        <v>-451.31619999999998</v>
      </c>
      <c r="H2456" s="1">
        <v>-7.5224549999999996E-7</v>
      </c>
      <c r="I2456">
        <v>282.69110000000001</v>
      </c>
      <c r="J2456">
        <v>-436.51429999999999</v>
      </c>
      <c r="K2456">
        <v>1.120671</v>
      </c>
      <c r="L2456">
        <v>284.99400000000003</v>
      </c>
      <c r="M2456">
        <v>-0.99963709999999995</v>
      </c>
      <c r="N2456">
        <v>-1.417212E-2</v>
      </c>
      <c r="O2456">
        <v>2.2912310000000002E-2</v>
      </c>
      <c r="P2456">
        <v>-0.98282369999999997</v>
      </c>
      <c r="Q2456">
        <v>0.18304960000000001</v>
      </c>
      <c r="R2456">
        <v>-2.346409E-2</v>
      </c>
      <c r="S2456">
        <v>-3.0844119999999999</v>
      </c>
      <c r="T2456">
        <v>-0.22890450000000001</v>
      </c>
      <c r="U2456">
        <v>-0.46893309999999999</v>
      </c>
      <c r="V2456">
        <v>-4.583545E-2</v>
      </c>
      <c r="W2456">
        <v>0.19698209999999999</v>
      </c>
      <c r="X2456">
        <v>0.97933510000000001</v>
      </c>
      <c r="Y2456">
        <v>-0.1723266</v>
      </c>
      <c r="Z2456">
        <v>-8.9460870000000001E-3</v>
      </c>
      <c r="AA2456">
        <v>0.98499919999999996</v>
      </c>
      <c r="AB2456">
        <v>31</v>
      </c>
      <c r="AC2456">
        <v>-14.8018999999999</v>
      </c>
      <c r="AD2456">
        <v>-1.1206717522455001</v>
      </c>
      <c r="AE2456">
        <v>-2.3029000000000202</v>
      </c>
      <c r="AF2456">
        <v>-2.6267737189660498</v>
      </c>
      <c r="AG2456">
        <v>-1.1206717522455001</v>
      </c>
      <c r="AH2456">
        <v>14.663177423077601</v>
      </c>
      <c r="AI2456">
        <v>94.302259264176598</v>
      </c>
      <c r="AJ2456">
        <v>100.15628446001701</v>
      </c>
      <c r="AK2456">
        <v>14.938695307408301</v>
      </c>
      <c r="AL2456">
        <v>78.639464752929399</v>
      </c>
      <c r="AM2456">
        <v>92.6796372545286</v>
      </c>
      <c r="AN2456">
        <v>1.0000000371445601</v>
      </c>
    </row>
    <row r="2457" spans="1:40" x14ac:dyDescent="0.25">
      <c r="A2457" t="str">
        <f>"20190303162302847"</f>
        <v>20190303162302847</v>
      </c>
      <c r="B2457" t="str">
        <f>"1551601382836712"</f>
        <v>1551601382836712</v>
      </c>
      <c r="C2457" t="s">
        <v>40</v>
      </c>
      <c r="D2457">
        <v>5.128539</v>
      </c>
      <c r="E2457">
        <v>0.44840400000000002</v>
      </c>
      <c r="F2457" t="s">
        <v>47</v>
      </c>
      <c r="G2457">
        <v>-451.84309999999999</v>
      </c>
      <c r="H2457" s="1">
        <v>-4.6866010000000001E-7</v>
      </c>
      <c r="I2457">
        <v>282.6189</v>
      </c>
      <c r="J2457">
        <v>-436.81990000000002</v>
      </c>
      <c r="K2457">
        <v>1.120684</v>
      </c>
      <c r="L2457">
        <v>285.00139999999999</v>
      </c>
      <c r="M2457">
        <v>-0.99962949999999995</v>
      </c>
      <c r="N2457">
        <v>-1.415478E-2</v>
      </c>
      <c r="O2457">
        <v>2.325E-2</v>
      </c>
      <c r="P2457">
        <v>-0.98264430000000003</v>
      </c>
      <c r="Q2457">
        <v>0.18362800000000001</v>
      </c>
      <c r="R2457">
        <v>-2.6289449999999999E-2</v>
      </c>
      <c r="S2457">
        <v>-3.083008</v>
      </c>
      <c r="T2457">
        <v>-0.22539500000000001</v>
      </c>
      <c r="U2457">
        <v>-0.4776917</v>
      </c>
      <c r="V2457">
        <v>-4.8987320000000001E-2</v>
      </c>
      <c r="W2457">
        <v>0.1975421</v>
      </c>
      <c r="X2457">
        <v>0.97906970000000004</v>
      </c>
      <c r="Y2457">
        <v>-0.17546539999999999</v>
      </c>
      <c r="Z2457">
        <v>-8.9802809999999997E-3</v>
      </c>
      <c r="AA2457">
        <v>0.9844446</v>
      </c>
      <c r="AB2457">
        <v>31</v>
      </c>
      <c r="AC2457">
        <v>-15.0231999999999</v>
      </c>
      <c r="AD2457">
        <v>-1.1206844686601001</v>
      </c>
      <c r="AE2457">
        <v>-2.3824999999999901</v>
      </c>
      <c r="AF2457">
        <v>-2.7164349250148598</v>
      </c>
      <c r="AG2457">
        <v>-1.1206844686601001</v>
      </c>
      <c r="AH2457">
        <v>14.8829521167793</v>
      </c>
      <c r="AI2457">
        <v>94.2365112613045</v>
      </c>
      <c r="AJ2457">
        <v>100.34376054509001</v>
      </c>
      <c r="AK2457">
        <v>15.1702740941118</v>
      </c>
      <c r="AL2457">
        <v>78.606736265590598</v>
      </c>
      <c r="AM2457">
        <v>92.864380330586201</v>
      </c>
      <c r="AN2457">
        <v>1.0000000581256301</v>
      </c>
    </row>
    <row r="2458" spans="1:40" x14ac:dyDescent="0.25">
      <c r="A2458" t="str">
        <f>"20190303162302869"</f>
        <v>20190303162302869</v>
      </c>
      <c r="B2458" t="str">
        <f>"1551601382857209"</f>
        <v>1551601382857209</v>
      </c>
      <c r="C2458" t="s">
        <v>40</v>
      </c>
      <c r="D2458">
        <v>5.5013860000000001</v>
      </c>
      <c r="E2458">
        <v>0.4483374</v>
      </c>
      <c r="F2458" t="s">
        <v>47</v>
      </c>
      <c r="G2458">
        <v>-452.39389999999997</v>
      </c>
      <c r="H2458" s="1">
        <v>-1.720481E-7</v>
      </c>
      <c r="I2458">
        <v>282.53829999999999</v>
      </c>
      <c r="J2458">
        <v>-437.12290000000002</v>
      </c>
      <c r="K2458">
        <v>1.1206860000000001</v>
      </c>
      <c r="L2458">
        <v>285.00880000000001</v>
      </c>
      <c r="M2458">
        <v>-0.99962189999999995</v>
      </c>
      <c r="N2458">
        <v>-1.4138990000000001E-2</v>
      </c>
      <c r="O2458">
        <v>2.3585419999999999E-2</v>
      </c>
      <c r="P2458">
        <v>-0.9825334</v>
      </c>
      <c r="Q2458">
        <v>0.1838794</v>
      </c>
      <c r="R2458">
        <v>-2.8577680000000001E-2</v>
      </c>
      <c r="S2458">
        <v>-3.0813899999999999</v>
      </c>
      <c r="T2458">
        <v>-0.2217327</v>
      </c>
      <c r="U2458">
        <v>-0.48733520000000002</v>
      </c>
      <c r="V2458">
        <v>-5.1601840000000003E-2</v>
      </c>
      <c r="W2458">
        <v>0.19777719999999999</v>
      </c>
      <c r="X2458">
        <v>0.97888790000000003</v>
      </c>
      <c r="Y2458">
        <v>-0.17888670000000001</v>
      </c>
      <c r="Z2458">
        <v>-9.0170470000000003E-3</v>
      </c>
      <c r="AA2458">
        <v>0.98382840000000005</v>
      </c>
      <c r="AB2458">
        <v>31</v>
      </c>
      <c r="AC2458">
        <v>-15.2709999999999</v>
      </c>
      <c r="AD2458">
        <v>-1.1206861720481001</v>
      </c>
      <c r="AE2458">
        <v>-2.4705000000000101</v>
      </c>
      <c r="AF2458">
        <v>-2.8152465000373899</v>
      </c>
      <c r="AG2458">
        <v>-1.1206861720481001</v>
      </c>
      <c r="AH2458">
        <v>15.1290766499899</v>
      </c>
      <c r="AI2458">
        <v>94.165205537660398</v>
      </c>
      <c r="AJ2458">
        <v>100.541140454726</v>
      </c>
      <c r="AK2458">
        <v>15.429533714064799</v>
      </c>
      <c r="AL2458">
        <v>78.592994778552907</v>
      </c>
      <c r="AM2458">
        <v>93.017540199382395</v>
      </c>
      <c r="AN2458">
        <v>1.0000000457488101</v>
      </c>
    </row>
    <row r="2459" spans="1:40" x14ac:dyDescent="0.25">
      <c r="A2459" t="str">
        <f>"20190303162302892"</f>
        <v>20190303162302892</v>
      </c>
      <c r="B2459" t="str">
        <f>"1551601382886488"</f>
        <v>1551601382886488</v>
      </c>
      <c r="C2459" t="s">
        <v>40</v>
      </c>
      <c r="D2459">
        <v>5.4470989999999997</v>
      </c>
      <c r="E2459">
        <v>0.44821230000000001</v>
      </c>
      <c r="F2459" t="s">
        <v>47</v>
      </c>
      <c r="G2459">
        <v>-452.74020000000002</v>
      </c>
      <c r="H2459" s="1">
        <v>1.413008E-8</v>
      </c>
      <c r="I2459">
        <v>282.4948</v>
      </c>
      <c r="J2459">
        <v>-437.4359</v>
      </c>
      <c r="K2459">
        <v>1.120689</v>
      </c>
      <c r="L2459">
        <v>285.01650000000001</v>
      </c>
      <c r="M2459">
        <v>-0.9996138</v>
      </c>
      <c r="N2459">
        <v>-1.412414E-2</v>
      </c>
      <c r="O2459">
        <v>2.393348E-2</v>
      </c>
      <c r="P2459">
        <v>-0.98244759999999998</v>
      </c>
      <c r="Q2459">
        <v>0.18383669999999999</v>
      </c>
      <c r="R2459">
        <v>-3.1637470000000001E-2</v>
      </c>
      <c r="S2459">
        <v>-3.080292</v>
      </c>
      <c r="T2459">
        <v>-0.2210394</v>
      </c>
      <c r="U2459">
        <v>-0.4958496</v>
      </c>
      <c r="V2459">
        <v>-5.5000250000000001E-2</v>
      </c>
      <c r="W2459">
        <v>0.1977197</v>
      </c>
      <c r="X2459">
        <v>0.97871439999999998</v>
      </c>
      <c r="Y2459">
        <v>-0.18192800000000001</v>
      </c>
      <c r="Z2459">
        <v>-9.1421850000000006E-3</v>
      </c>
      <c r="AA2459">
        <v>0.98326930000000001</v>
      </c>
      <c r="AB2459">
        <v>31</v>
      </c>
      <c r="AC2459">
        <v>-15.3043</v>
      </c>
      <c r="AD2459">
        <v>-1.1206889858699201</v>
      </c>
      <c r="AE2459">
        <v>-2.5217000000000098</v>
      </c>
      <c r="AF2459">
        <v>-2.8723044313688</v>
      </c>
      <c r="AG2459">
        <v>-1.1206889858699201</v>
      </c>
      <c r="AH2459">
        <v>15.160411698041401</v>
      </c>
      <c r="AI2459">
        <v>94.154099305160202</v>
      </c>
      <c r="AJ2459">
        <v>100.72814923276</v>
      </c>
      <c r="AK2459">
        <v>15.470751740094</v>
      </c>
      <c r="AL2459">
        <v>78.596355032641597</v>
      </c>
      <c r="AM2459">
        <v>93.216434926172298</v>
      </c>
      <c r="AN2459">
        <v>0.99999999201775602</v>
      </c>
    </row>
    <row r="2460" spans="1:40" x14ac:dyDescent="0.25">
      <c r="A2460" t="str">
        <f>"20190303162302913"</f>
        <v>20190303162302913</v>
      </c>
      <c r="B2460" t="str">
        <f>"1551601382906984"</f>
        <v>1551601382906984</v>
      </c>
      <c r="C2460" t="s">
        <v>40</v>
      </c>
      <c r="D2460">
        <v>5.4715989999999897</v>
      </c>
      <c r="E2460">
        <v>0.44815389999999999</v>
      </c>
      <c r="F2460" t="s">
        <v>47</v>
      </c>
      <c r="G2460">
        <v>-452.9633</v>
      </c>
      <c r="H2460" s="1">
        <v>1.3428810000000001E-7</v>
      </c>
      <c r="I2460">
        <v>282.4622</v>
      </c>
      <c r="J2460">
        <v>-437.73239999999998</v>
      </c>
      <c r="K2460">
        <v>1.1206940000000001</v>
      </c>
      <c r="L2460">
        <v>285.024</v>
      </c>
      <c r="M2460">
        <v>-0.99960599999999999</v>
      </c>
      <c r="N2460">
        <v>-1.411133E-2</v>
      </c>
      <c r="O2460">
        <v>2.4265689999999999E-2</v>
      </c>
      <c r="P2460">
        <v>-0.98229379999999999</v>
      </c>
      <c r="Q2460">
        <v>0.18405779999999999</v>
      </c>
      <c r="R2460">
        <v>-3.4956109999999999E-2</v>
      </c>
      <c r="S2460">
        <v>-3.0788880000000001</v>
      </c>
      <c r="T2460">
        <v>-0.22221830000000001</v>
      </c>
      <c r="U2460">
        <v>-0.50650019999999996</v>
      </c>
      <c r="V2460">
        <v>-5.863939E-2</v>
      </c>
      <c r="W2460">
        <v>0.19792770000000001</v>
      </c>
      <c r="X2460">
        <v>0.97846100000000003</v>
      </c>
      <c r="Y2460">
        <v>-0.1856196</v>
      </c>
      <c r="Z2460">
        <v>-9.3643530000000006E-3</v>
      </c>
      <c r="AA2460">
        <v>0.98257700000000003</v>
      </c>
      <c r="AB2460">
        <v>31</v>
      </c>
      <c r="AC2460">
        <v>-15.2309</v>
      </c>
      <c r="AD2460">
        <v>-1.1206938657118899</v>
      </c>
      <c r="AE2460">
        <v>-2.5617999999999999</v>
      </c>
      <c r="AF2460">
        <v>-2.9153211227517599</v>
      </c>
      <c r="AG2460">
        <v>-1.1206938657118899</v>
      </c>
      <c r="AH2460">
        <v>15.084821084985199</v>
      </c>
      <c r="AI2460">
        <v>94.1719423182913</v>
      </c>
      <c r="AJ2460">
        <v>100.938239772332</v>
      </c>
      <c r="AK2460">
        <v>15.404768065616</v>
      </c>
      <c r="AL2460">
        <v>78.584196647501102</v>
      </c>
      <c r="AM2460">
        <v>93.429646996804706</v>
      </c>
      <c r="AN2460">
        <v>0.99999994050392904</v>
      </c>
    </row>
    <row r="2461" spans="1:40" x14ac:dyDescent="0.25">
      <c r="A2461" t="str">
        <f>"20190303162302936"</f>
        <v>20190303162302936</v>
      </c>
      <c r="B2461" t="str">
        <f>"1551601382926504"</f>
        <v>1551601382926504</v>
      </c>
      <c r="C2461" t="s">
        <v>40</v>
      </c>
      <c r="D2461">
        <v>5.448798</v>
      </c>
      <c r="E2461">
        <v>0.44795079999999998</v>
      </c>
      <c r="F2461" t="s">
        <v>47</v>
      </c>
      <c r="G2461">
        <v>-453.3014</v>
      </c>
      <c r="H2461" s="1">
        <v>3.1643679999999998E-7</v>
      </c>
      <c r="I2461">
        <v>282.41070000000002</v>
      </c>
      <c r="J2461">
        <v>-438.03750000000002</v>
      </c>
      <c r="K2461">
        <v>1.120695</v>
      </c>
      <c r="L2461">
        <v>285.0317</v>
      </c>
      <c r="M2461">
        <v>-0.99959779999999998</v>
      </c>
      <c r="N2461">
        <v>-1.4099270000000001E-2</v>
      </c>
      <c r="O2461">
        <v>2.4610119999999999E-2</v>
      </c>
      <c r="P2461">
        <v>-0.98209930000000001</v>
      </c>
      <c r="Q2461">
        <v>0.18451690000000001</v>
      </c>
      <c r="R2461">
        <v>-3.7880219999999999E-2</v>
      </c>
      <c r="S2461">
        <v>-3.0772089999999999</v>
      </c>
      <c r="T2461">
        <v>-0.22150539999999999</v>
      </c>
      <c r="U2461">
        <v>-0.51651000000000002</v>
      </c>
      <c r="V2461">
        <v>-6.1895119999999998E-2</v>
      </c>
      <c r="W2461">
        <v>0.19837360000000001</v>
      </c>
      <c r="X2461">
        <v>0.97817019999999999</v>
      </c>
      <c r="Y2461">
        <v>-0.18914520000000001</v>
      </c>
      <c r="Z2461">
        <v>-9.5101300000000003E-3</v>
      </c>
      <c r="AA2461">
        <v>0.98190310000000003</v>
      </c>
      <c r="AB2461">
        <v>31</v>
      </c>
      <c r="AC2461">
        <v>-15.2638999999999</v>
      </c>
      <c r="AD2461">
        <v>-1.1206946835631999</v>
      </c>
      <c r="AE2461">
        <v>-2.62099999999998</v>
      </c>
      <c r="AF2461">
        <v>-2.9802840957343899</v>
      </c>
      <c r="AG2461">
        <v>-1.1206946835631999</v>
      </c>
      <c r="AH2461">
        <v>15.115616777729301</v>
      </c>
      <c r="AI2461">
        <v>94.160430889580695</v>
      </c>
      <c r="AJ2461">
        <v>101.15371087948</v>
      </c>
      <c r="AK2461">
        <v>15.447327291030801</v>
      </c>
      <c r="AL2461">
        <v>78.558132500366199</v>
      </c>
      <c r="AM2461">
        <v>93.620645394130904</v>
      </c>
      <c r="AN2461">
        <v>1.0000000156124</v>
      </c>
    </row>
    <row r="2462" spans="1:40" x14ac:dyDescent="0.25">
      <c r="A2462" t="str">
        <f>"20190303162302958"</f>
        <v>20190303162302958</v>
      </c>
      <c r="B2462" t="str">
        <f>"1551601382947000"</f>
        <v>1551601382947000</v>
      </c>
      <c r="C2462" t="s">
        <v>40</v>
      </c>
      <c r="D2462">
        <v>5.4264400000000004</v>
      </c>
      <c r="E2462">
        <v>0.4477855</v>
      </c>
      <c r="F2462" t="s">
        <v>47</v>
      </c>
      <c r="G2462">
        <v>-453.6925</v>
      </c>
      <c r="H2462" s="1">
        <v>5.2714790000000001E-7</v>
      </c>
      <c r="I2462">
        <v>282.35199999999998</v>
      </c>
      <c r="J2462">
        <v>-438.34300000000002</v>
      </c>
      <c r="K2462">
        <v>1.1206910000000001</v>
      </c>
      <c r="L2462">
        <v>285.03960000000001</v>
      </c>
      <c r="M2462">
        <v>-0.99958930000000001</v>
      </c>
      <c r="N2462">
        <v>-1.4088359999999999E-2</v>
      </c>
      <c r="O2462">
        <v>2.495727E-2</v>
      </c>
      <c r="P2462">
        <v>-0.98199550000000002</v>
      </c>
      <c r="Q2462">
        <v>0.1845417</v>
      </c>
      <c r="R2462">
        <v>-4.0366859999999997E-2</v>
      </c>
      <c r="S2462">
        <v>-3.075745</v>
      </c>
      <c r="T2462">
        <v>-0.22018309999999999</v>
      </c>
      <c r="U2462">
        <v>-0.52648930000000005</v>
      </c>
      <c r="V2462">
        <v>-6.4718449999999997E-2</v>
      </c>
      <c r="W2462">
        <v>0.19838720000000001</v>
      </c>
      <c r="X2462">
        <v>0.97798470000000004</v>
      </c>
      <c r="Y2462">
        <v>-0.19265370000000001</v>
      </c>
      <c r="Z2462">
        <v>-9.6301010000000003E-3</v>
      </c>
      <c r="AA2462">
        <v>0.98121950000000002</v>
      </c>
      <c r="AB2462">
        <v>31</v>
      </c>
      <c r="AC2462">
        <v>-15.3494999999999</v>
      </c>
      <c r="AD2462">
        <v>-1.1206904728521001</v>
      </c>
      <c r="AE2462">
        <v>-2.68759999999997</v>
      </c>
      <c r="AF2462">
        <v>-3.0540862201902401</v>
      </c>
      <c r="AG2462">
        <v>-1.1206904728521001</v>
      </c>
      <c r="AH2462">
        <v>15.199025011176101</v>
      </c>
      <c r="AI2462">
        <v>94.134685393151003</v>
      </c>
      <c r="AJ2462">
        <v>101.361688416891</v>
      </c>
      <c r="AK2462">
        <v>15.5432863663594</v>
      </c>
      <c r="AL2462">
        <v>78.557337483163906</v>
      </c>
      <c r="AM2462">
        <v>93.786046371111198</v>
      </c>
      <c r="AN2462">
        <v>1.00000001616416</v>
      </c>
    </row>
    <row r="2463" spans="1:40" x14ac:dyDescent="0.25">
      <c r="A2463" t="str">
        <f>"20190303162302982"</f>
        <v>20190303162302982</v>
      </c>
      <c r="B2463" t="str">
        <f>"1551601382977256"</f>
        <v>1551601382977256</v>
      </c>
      <c r="C2463" t="s">
        <v>40</v>
      </c>
      <c r="D2463">
        <v>5.4380689999999996</v>
      </c>
      <c r="E2463">
        <v>0.4475789</v>
      </c>
      <c r="F2463" t="s">
        <v>47</v>
      </c>
      <c r="G2463">
        <v>-453.9384</v>
      </c>
      <c r="H2463" s="1">
        <v>6.5925439999999995E-7</v>
      </c>
      <c r="I2463">
        <v>282.32380000000001</v>
      </c>
      <c r="J2463">
        <v>-438.66059999999999</v>
      </c>
      <c r="K2463">
        <v>1.1206849999999999</v>
      </c>
      <c r="L2463">
        <v>285.04790000000003</v>
      </c>
      <c r="M2463">
        <v>-0.99958020000000003</v>
      </c>
      <c r="N2463">
        <v>-1.407811E-2</v>
      </c>
      <c r="O2463">
        <v>2.5320700000000002E-2</v>
      </c>
      <c r="P2463">
        <v>-0.98202739999999999</v>
      </c>
      <c r="Q2463">
        <v>0.1838523</v>
      </c>
      <c r="R2463">
        <v>-4.2667579999999997E-2</v>
      </c>
      <c r="S2463">
        <v>-3.0745239999999998</v>
      </c>
      <c r="T2463">
        <v>-0.2209362</v>
      </c>
      <c r="U2463">
        <v>-0.5354004</v>
      </c>
      <c r="V2463">
        <v>-6.7375749999999998E-2</v>
      </c>
      <c r="W2463">
        <v>0.1976898</v>
      </c>
      <c r="X2463">
        <v>0.97794650000000005</v>
      </c>
      <c r="Y2463">
        <v>-0.19582150000000001</v>
      </c>
      <c r="Z2463">
        <v>-9.8166220000000005E-3</v>
      </c>
      <c r="AA2463">
        <v>0.98059039999999997</v>
      </c>
      <c r="AB2463">
        <v>31</v>
      </c>
      <c r="AC2463">
        <v>-15.277799999999999</v>
      </c>
      <c r="AD2463">
        <v>-1.1206843407456</v>
      </c>
      <c r="AE2463">
        <v>-2.7241000000000199</v>
      </c>
      <c r="AF2463">
        <v>-3.09397436110652</v>
      </c>
      <c r="AG2463">
        <v>-1.1206843407456</v>
      </c>
      <c r="AH2463">
        <v>15.1250409182892</v>
      </c>
      <c r="AI2463">
        <v>94.151899032316294</v>
      </c>
      <c r="AJ2463">
        <v>101.560916139943</v>
      </c>
      <c r="AK2463">
        <v>15.478871842569699</v>
      </c>
      <c r="AL2463">
        <v>78.598103374224806</v>
      </c>
      <c r="AM2463">
        <v>93.941172335481198</v>
      </c>
      <c r="AN2463">
        <v>1.00000005278717</v>
      </c>
    </row>
    <row r="2464" spans="1:40" x14ac:dyDescent="0.25">
      <c r="A2464" t="str">
        <f>"20190303162303005"</f>
        <v>20190303162303005</v>
      </c>
      <c r="B2464" t="str">
        <f>"1551601382996776"</f>
        <v>1551601382996776</v>
      </c>
      <c r="C2464" t="s">
        <v>40</v>
      </c>
      <c r="D2464">
        <v>5.510046</v>
      </c>
      <c r="E2464">
        <v>0.44744489999999998</v>
      </c>
      <c r="F2464" t="s">
        <v>47</v>
      </c>
      <c r="G2464">
        <v>-453.9486</v>
      </c>
      <c r="H2464" s="1">
        <v>6.6378559999999996E-7</v>
      </c>
      <c r="I2464">
        <v>282.34359999999998</v>
      </c>
      <c r="J2464">
        <v>-438.96780000000001</v>
      </c>
      <c r="K2464">
        <v>1.120682</v>
      </c>
      <c r="L2464">
        <v>285.05610000000001</v>
      </c>
      <c r="M2464">
        <v>-0.9995714</v>
      </c>
      <c r="N2464">
        <v>-1.4068840000000001E-2</v>
      </c>
      <c r="O2464">
        <v>2.5674269999999999E-2</v>
      </c>
      <c r="P2464">
        <v>-0.98189400000000004</v>
      </c>
      <c r="Q2464">
        <v>0.18388180000000001</v>
      </c>
      <c r="R2464">
        <v>-4.5517380000000003E-2</v>
      </c>
      <c r="S2464">
        <v>-3.0734859999999999</v>
      </c>
      <c r="T2464">
        <v>-0.22530210000000001</v>
      </c>
      <c r="U2464">
        <v>-0.54367069999999995</v>
      </c>
      <c r="V2464">
        <v>-7.0567560000000001E-2</v>
      </c>
      <c r="W2464">
        <v>0.197709</v>
      </c>
      <c r="X2464">
        <v>0.97771739999999996</v>
      </c>
      <c r="Y2464">
        <v>-0.1987498</v>
      </c>
      <c r="Z2464">
        <v>-1.0138329999999999E-2</v>
      </c>
      <c r="AA2464">
        <v>0.97999780000000003</v>
      </c>
      <c r="AB2464">
        <v>31</v>
      </c>
      <c r="AC2464">
        <v>-14.980799999999901</v>
      </c>
      <c r="AD2464">
        <v>-1.1206813362143999</v>
      </c>
      <c r="AE2464">
        <v>-2.7125000000000301</v>
      </c>
      <c r="AF2464">
        <v>-3.0795779344477299</v>
      </c>
      <c r="AG2464">
        <v>-1.1206813362143999</v>
      </c>
      <c r="AH2464">
        <v>14.825877403547899</v>
      </c>
      <c r="AI2464">
        <v>94.232731602276402</v>
      </c>
      <c r="AJ2464">
        <v>101.73440765300499</v>
      </c>
      <c r="AK2464">
        <v>15.183753412668</v>
      </c>
      <c r="AL2464">
        <v>78.596980208896895</v>
      </c>
      <c r="AM2464">
        <v>94.128211655883703</v>
      </c>
      <c r="AN2464">
        <v>0.99999997173405597</v>
      </c>
    </row>
    <row r="2465" spans="1:40" x14ac:dyDescent="0.25">
      <c r="A2465" t="str">
        <f>"20190303162303026"</f>
        <v>20190303162303026</v>
      </c>
      <c r="B2465" t="str">
        <f>"1551601383017271"</f>
        <v>1551601383017271</v>
      </c>
      <c r="C2465" t="s">
        <v>40</v>
      </c>
      <c r="D2465">
        <v>5.4763320000000002</v>
      </c>
      <c r="E2465">
        <v>0.44736510000000002</v>
      </c>
      <c r="F2465" t="s">
        <v>47</v>
      </c>
      <c r="G2465">
        <v>-454.14670000000001</v>
      </c>
      <c r="H2465" s="1">
        <v>7.7015980000000002E-7</v>
      </c>
      <c r="I2465">
        <v>282.32159999999999</v>
      </c>
      <c r="J2465">
        <v>-439.25810000000001</v>
      </c>
      <c r="K2465">
        <v>1.1206780000000001</v>
      </c>
      <c r="L2465">
        <v>285.06389999999999</v>
      </c>
      <c r="M2465">
        <v>-0.99956290000000003</v>
      </c>
      <c r="N2465">
        <v>-1.406107E-2</v>
      </c>
      <c r="O2465">
        <v>2.6009580000000001E-2</v>
      </c>
      <c r="P2465">
        <v>-0.98185770000000006</v>
      </c>
      <c r="Q2465">
        <v>0.1831923</v>
      </c>
      <c r="R2465">
        <v>-4.8953679999999999E-2</v>
      </c>
      <c r="S2465">
        <v>-3.0721440000000002</v>
      </c>
      <c r="T2465">
        <v>-0.2268212</v>
      </c>
      <c r="U2465">
        <v>-0.55343629999999999</v>
      </c>
      <c r="V2465">
        <v>-7.4331110000000006E-2</v>
      </c>
      <c r="W2465">
        <v>0.19701289999999999</v>
      </c>
      <c r="X2465">
        <v>0.97757910000000003</v>
      </c>
      <c r="Y2465">
        <v>-0.20214989999999999</v>
      </c>
      <c r="Z2465">
        <v>-1.0369160000000001E-2</v>
      </c>
      <c r="AA2465">
        <v>0.9792997</v>
      </c>
      <c r="AB2465">
        <v>30</v>
      </c>
      <c r="AC2465">
        <v>-14.888599999999901</v>
      </c>
      <c r="AD2465">
        <v>-1.1206772298401999</v>
      </c>
      <c r="AE2465">
        <v>-2.7423000000000002</v>
      </c>
      <c r="AF2465">
        <v>-3.11160560157614</v>
      </c>
      <c r="AG2465">
        <v>-1.1206772298401999</v>
      </c>
      <c r="AH2465">
        <v>14.7315033722397</v>
      </c>
      <c r="AI2465">
        <v>94.256748860532895</v>
      </c>
      <c r="AJ2465">
        <v>101.926776097179</v>
      </c>
      <c r="AK2465">
        <v>15.0981852710699</v>
      </c>
      <c r="AL2465">
        <v>78.637664880747806</v>
      </c>
      <c r="AM2465">
        <v>94.348169647907795</v>
      </c>
      <c r="AN2465">
        <v>1.0000000467185199</v>
      </c>
    </row>
    <row r="2466" spans="1:40" x14ac:dyDescent="0.25">
      <c r="A2466" t="str">
        <f>"20190303162303048"</f>
        <v>20190303162303048</v>
      </c>
      <c r="B2466" t="str">
        <f>"1551601383036792"</f>
        <v>1551601383036792</v>
      </c>
      <c r="C2466" t="s">
        <v>40</v>
      </c>
      <c r="D2466">
        <v>5.5081660000000001</v>
      </c>
      <c r="E2466">
        <v>0.4473029</v>
      </c>
      <c r="F2466" t="s">
        <v>47</v>
      </c>
      <c r="G2466">
        <v>-454.1816</v>
      </c>
      <c r="H2466" s="1">
        <v>7.8873989999999996E-7</v>
      </c>
      <c r="I2466">
        <v>282.32240000000002</v>
      </c>
      <c r="J2466">
        <v>-439.56029999999998</v>
      </c>
      <c r="K2466">
        <v>1.120676</v>
      </c>
      <c r="L2466">
        <v>285.07209999999998</v>
      </c>
      <c r="M2466">
        <v>-0.99955380000000005</v>
      </c>
      <c r="N2466">
        <v>-1.4053950000000001E-2</v>
      </c>
      <c r="O2466">
        <v>2.635879E-2</v>
      </c>
      <c r="P2466">
        <v>-0.98190219999999995</v>
      </c>
      <c r="Q2466">
        <v>0.1821265</v>
      </c>
      <c r="R2466">
        <v>-5.1941069999999999E-2</v>
      </c>
      <c r="S2466">
        <v>-3.0703740000000002</v>
      </c>
      <c r="T2466">
        <v>-0.2305683</v>
      </c>
      <c r="U2466">
        <v>-0.56402589999999997</v>
      </c>
      <c r="V2466">
        <v>-7.766199E-2</v>
      </c>
      <c r="W2466">
        <v>0.1959418</v>
      </c>
      <c r="X2466">
        <v>0.97753540000000005</v>
      </c>
      <c r="Y2466">
        <v>-0.20582420000000001</v>
      </c>
      <c r="Z2466">
        <v>-1.070875E-2</v>
      </c>
      <c r="AA2466">
        <v>0.97853040000000002</v>
      </c>
      <c r="AB2466">
        <v>30</v>
      </c>
      <c r="AC2466">
        <v>-14.6213</v>
      </c>
      <c r="AD2466">
        <v>-1.1206752112600999</v>
      </c>
      <c r="AE2466">
        <v>-2.7496999999999598</v>
      </c>
      <c r="AF2466">
        <v>-3.1164990686787499</v>
      </c>
      <c r="AG2466">
        <v>-1.1206752112600999</v>
      </c>
      <c r="AH2466">
        <v>14.461676570221</v>
      </c>
      <c r="AI2466">
        <v>94.332093240366007</v>
      </c>
      <c r="AJ2466">
        <v>102.161288914669</v>
      </c>
      <c r="AK2466">
        <v>14.836056369395701</v>
      </c>
      <c r="AL2466">
        <v>78.700254009960702</v>
      </c>
      <c r="AM2466">
        <v>94.542421374211997</v>
      </c>
      <c r="AN2466">
        <v>1.00000001596558</v>
      </c>
    </row>
    <row r="2467" spans="1:40" x14ac:dyDescent="0.25">
      <c r="A2467" t="str">
        <f>"20190303162303070"</f>
        <v>20190303162303070</v>
      </c>
      <c r="B2467" t="str">
        <f>"1551601383067049"</f>
        <v>1551601383067049</v>
      </c>
      <c r="C2467" t="s">
        <v>40</v>
      </c>
      <c r="D2467">
        <v>5.5058439999999997</v>
      </c>
      <c r="E2467">
        <v>0.44719890000000001</v>
      </c>
      <c r="F2467" t="s">
        <v>47</v>
      </c>
      <c r="G2467">
        <v>-454.14920000000001</v>
      </c>
      <c r="H2467" s="1">
        <v>7.7040449999999998E-7</v>
      </c>
      <c r="I2467">
        <v>282.34690000000001</v>
      </c>
      <c r="J2467">
        <v>-439.87150000000003</v>
      </c>
      <c r="K2467">
        <v>1.1206719999999999</v>
      </c>
      <c r="L2467">
        <v>285.08069999999998</v>
      </c>
      <c r="M2467">
        <v>-0.9995444</v>
      </c>
      <c r="N2467">
        <v>-1.404716E-2</v>
      </c>
      <c r="O2467">
        <v>2.671894E-2</v>
      </c>
      <c r="P2467">
        <v>-0.98179280000000002</v>
      </c>
      <c r="Q2467">
        <v>0.1811979</v>
      </c>
      <c r="R2467">
        <v>-5.7014639999999998E-2</v>
      </c>
      <c r="S2467">
        <v>-3.0687259999999998</v>
      </c>
      <c r="T2467">
        <v>-0.23573040000000001</v>
      </c>
      <c r="U2467">
        <v>-0.57324219999999904</v>
      </c>
      <c r="V2467">
        <v>-8.3084539999999998E-2</v>
      </c>
      <c r="W2467">
        <v>0.19500700000000001</v>
      </c>
      <c r="X2467">
        <v>0.97727640000000005</v>
      </c>
      <c r="Y2467">
        <v>-0.2090678</v>
      </c>
      <c r="Z2467">
        <v>-1.109481E-2</v>
      </c>
      <c r="AA2467">
        <v>0.97783819999999999</v>
      </c>
      <c r="AB2467">
        <v>30</v>
      </c>
      <c r="AC2467">
        <v>-14.2776999999999</v>
      </c>
      <c r="AD2467">
        <v>-1.1206712295954999</v>
      </c>
      <c r="AE2467">
        <v>-2.7337999999999698</v>
      </c>
      <c r="AF2467">
        <v>-3.0959473218784601</v>
      </c>
      <c r="AG2467">
        <v>-1.1206712295954999</v>
      </c>
      <c r="AH2467">
        <v>14.1156614134521</v>
      </c>
      <c r="AI2467">
        <v>94.434340379350601</v>
      </c>
      <c r="AJ2467">
        <v>102.370639819677</v>
      </c>
      <c r="AK2467">
        <v>14.494574535456699</v>
      </c>
      <c r="AL2467">
        <v>78.754867104354901</v>
      </c>
      <c r="AM2467">
        <v>94.859396914806794</v>
      </c>
      <c r="AN2467">
        <v>0.99999996641648503</v>
      </c>
    </row>
    <row r="2468" spans="1:40" x14ac:dyDescent="0.25">
      <c r="A2468" t="str">
        <f>"20190303162303104"</f>
        <v>20190303162303104</v>
      </c>
      <c r="B2468" t="str">
        <f>"1551601383097304"</f>
        <v>1551601383097304</v>
      </c>
      <c r="C2468" t="s">
        <v>40</v>
      </c>
      <c r="D2468">
        <v>5.5222619999999996</v>
      </c>
      <c r="E2468">
        <v>0.44712930000000001</v>
      </c>
      <c r="F2468" t="s">
        <v>47</v>
      </c>
      <c r="G2468">
        <v>-454.17540000000002</v>
      </c>
      <c r="H2468" s="1">
        <v>7.8501099999999999E-7</v>
      </c>
      <c r="I2468">
        <v>282.33150000000001</v>
      </c>
      <c r="J2468">
        <v>-440.31599999999997</v>
      </c>
      <c r="K2468">
        <v>1.1206700000000001</v>
      </c>
      <c r="L2468">
        <v>285.09309999999999</v>
      </c>
      <c r="M2468">
        <v>-0.99953060000000005</v>
      </c>
      <c r="N2468">
        <v>-1.4038409999999999E-2</v>
      </c>
      <c r="O2468">
        <v>2.7233830000000001E-2</v>
      </c>
      <c r="P2468">
        <v>-0.98154319999999895</v>
      </c>
      <c r="Q2468">
        <v>0.18036969999999999</v>
      </c>
      <c r="R2468">
        <v>-6.3561010000000001E-2</v>
      </c>
      <c r="S2468">
        <v>-3.0657350000000001</v>
      </c>
      <c r="T2468">
        <v>-0.24019270000000001</v>
      </c>
      <c r="U2468">
        <v>-0.58923340000000002</v>
      </c>
      <c r="V2468">
        <v>-9.012771E-2</v>
      </c>
      <c r="W2468">
        <v>0.19416890000000001</v>
      </c>
      <c r="X2468">
        <v>0.97681899999999999</v>
      </c>
      <c r="Y2468">
        <v>-0.21461540000000001</v>
      </c>
      <c r="Z2468">
        <v>-1.157563E-2</v>
      </c>
      <c r="AA2468">
        <v>0.97663</v>
      </c>
      <c r="AB2468">
        <v>30</v>
      </c>
      <c r="AC2468">
        <v>-13.859400000000001</v>
      </c>
      <c r="AD2468">
        <v>-1.1206692149890001</v>
      </c>
      <c r="AE2468">
        <v>-2.7615999999999801</v>
      </c>
      <c r="AF2468">
        <v>-3.1184464319549199</v>
      </c>
      <c r="AG2468">
        <v>-1.1206692149890001</v>
      </c>
      <c r="AH2468">
        <v>13.6929322043816</v>
      </c>
      <c r="AI2468">
        <v>94.562512425658497</v>
      </c>
      <c r="AJ2468">
        <v>102.829793089864</v>
      </c>
      <c r="AK2468">
        <v>14.088186540225299</v>
      </c>
      <c r="AL2468">
        <v>78.803822432105406</v>
      </c>
      <c r="AM2468">
        <v>95.271558054449002</v>
      </c>
      <c r="AN2468">
        <v>0.99999996229902599</v>
      </c>
    </row>
    <row r="2469" spans="1:40" x14ac:dyDescent="0.25">
      <c r="A2469" t="str">
        <f>"20190303162303126"</f>
        <v>20190303162303126</v>
      </c>
      <c r="B2469" t="str">
        <f>"1551601383116824"</f>
        <v>1551601383116824</v>
      </c>
      <c r="C2469" t="s">
        <v>40</v>
      </c>
      <c r="D2469">
        <v>5.5820949999999998</v>
      </c>
      <c r="E2469">
        <v>0.44707639999999998</v>
      </c>
      <c r="F2469" t="s">
        <v>47</v>
      </c>
      <c r="G2469">
        <v>-454.43810000000002</v>
      </c>
      <c r="H2469" s="1">
        <v>9.2716320000000001E-7</v>
      </c>
      <c r="I2469">
        <v>282.27789999999999</v>
      </c>
      <c r="J2469">
        <v>-440.61799999999999</v>
      </c>
      <c r="K2469">
        <v>1.120668</v>
      </c>
      <c r="L2469">
        <v>285.10169999999999</v>
      </c>
      <c r="M2469">
        <v>-0.99952099999999999</v>
      </c>
      <c r="N2469">
        <v>-1.403304E-2</v>
      </c>
      <c r="O2469">
        <v>2.7583779999999999E-2</v>
      </c>
      <c r="P2469">
        <v>-0.98142859999999998</v>
      </c>
      <c r="Q2469">
        <v>0.17931159999999999</v>
      </c>
      <c r="R2469">
        <v>-6.8155090000000002E-2</v>
      </c>
      <c r="S2469">
        <v>-3.061493</v>
      </c>
      <c r="T2469">
        <v>-0.24294750000000001</v>
      </c>
      <c r="U2469">
        <v>-0.61029049999999996</v>
      </c>
      <c r="V2469">
        <v>-9.5060889999999995E-2</v>
      </c>
      <c r="W2469">
        <v>0.19310550000000001</v>
      </c>
      <c r="X2469">
        <v>0.97656220000000005</v>
      </c>
      <c r="Y2469">
        <v>-0.22162709999999999</v>
      </c>
      <c r="Z2469">
        <v>-1.2050770000000001E-2</v>
      </c>
      <c r="AA2469">
        <v>0.97505699999999995</v>
      </c>
      <c r="AB2469">
        <v>30</v>
      </c>
      <c r="AC2469">
        <v>-13.820099999999901</v>
      </c>
      <c r="AD2469">
        <v>-1.1206670728368</v>
      </c>
      <c r="AE2469">
        <v>-2.8237999999999999</v>
      </c>
      <c r="AF2469">
        <v>-3.1838767865412501</v>
      </c>
      <c r="AG2469">
        <v>-1.1206670728368</v>
      </c>
      <c r="AH2469">
        <v>13.6507777348957</v>
      </c>
      <c r="AI2469">
        <v>94.5710545572082</v>
      </c>
      <c r="AJ2469">
        <v>103.128828851484</v>
      </c>
      <c r="AK2469">
        <v>14.0618881679361</v>
      </c>
      <c r="AL2469">
        <v>78.865926830942499</v>
      </c>
      <c r="AM2469">
        <v>95.559791094951706</v>
      </c>
      <c r="AN2469">
        <v>1.00000001870334</v>
      </c>
    </row>
    <row r="2470" spans="1:40" x14ac:dyDescent="0.25">
      <c r="A2470" t="str">
        <f>"20190303162303149"</f>
        <v>20190303162303149</v>
      </c>
      <c r="B2470" t="str">
        <f>"1551601383137320"</f>
        <v>1551601383137320</v>
      </c>
      <c r="C2470" t="s">
        <v>40</v>
      </c>
      <c r="D2470">
        <v>5.5366049999999998</v>
      </c>
      <c r="E2470">
        <v>0.44710549999999999</v>
      </c>
      <c r="F2470" t="s">
        <v>47</v>
      </c>
      <c r="G2470">
        <v>-454.52710000000002</v>
      </c>
      <c r="H2470" s="1">
        <v>9.754642999999999E-7</v>
      </c>
      <c r="I2470">
        <v>282.25619999999998</v>
      </c>
      <c r="J2470">
        <v>-440.92770000000002</v>
      </c>
      <c r="K2470">
        <v>1.1206640000000001</v>
      </c>
      <c r="L2470">
        <v>285.11059999999998</v>
      </c>
      <c r="M2470">
        <v>-0.99951120000000004</v>
      </c>
      <c r="N2470">
        <v>-1.4029410000000001E-2</v>
      </c>
      <c r="O2470">
        <v>2.7942470000000001E-2</v>
      </c>
      <c r="P2470">
        <v>-0.9813056</v>
      </c>
      <c r="Q2470">
        <v>0.17793879999999901</v>
      </c>
      <c r="R2470">
        <v>-7.3329270000000002E-2</v>
      </c>
      <c r="S2470">
        <v>-3.0583499999999999</v>
      </c>
      <c r="T2470">
        <v>-0.2464141</v>
      </c>
      <c r="U2470">
        <v>-0.62567139999999999</v>
      </c>
      <c r="V2470">
        <v>-0.1005823</v>
      </c>
      <c r="W2470">
        <v>0.1917288</v>
      </c>
      <c r="X2470">
        <v>0.97628029999999999</v>
      </c>
      <c r="Y2470">
        <v>-0.22683349999999999</v>
      </c>
      <c r="Z2470">
        <v>-1.2479580000000001E-2</v>
      </c>
      <c r="AA2470">
        <v>0.97385359999999999</v>
      </c>
      <c r="AB2470">
        <v>30</v>
      </c>
      <c r="AC2470">
        <v>-13.599399999999999</v>
      </c>
      <c r="AD2470">
        <v>-1.1206630245357001</v>
      </c>
      <c r="AE2470">
        <v>-2.8543999999999898</v>
      </c>
      <c r="AF2470">
        <v>-3.2124294411998999</v>
      </c>
      <c r="AG2470">
        <v>-1.1206630245357001</v>
      </c>
      <c r="AH2470">
        <v>13.426991472658999</v>
      </c>
      <c r="AI2470">
        <v>94.640670718236294</v>
      </c>
      <c r="AJ2470">
        <v>103.45518262028099</v>
      </c>
      <c r="AK2470">
        <v>13.851342481366499</v>
      </c>
      <c r="AL2470">
        <v>78.946307545698403</v>
      </c>
      <c r="AM2470">
        <v>95.882204294543996</v>
      </c>
      <c r="AN2470">
        <v>0.99999997799540896</v>
      </c>
    </row>
    <row r="2471" spans="1:40" x14ac:dyDescent="0.25">
      <c r="A2471" t="str">
        <f>"20190303162303171"</f>
        <v>20190303162303171</v>
      </c>
      <c r="B2471" t="str">
        <f>"1551601383167577"</f>
        <v>1551601383167577</v>
      </c>
      <c r="C2471" t="s">
        <v>40</v>
      </c>
      <c r="D2471">
        <v>5.7090949999999996</v>
      </c>
      <c r="E2471">
        <v>0.44711830000000002</v>
      </c>
      <c r="F2471" t="s">
        <v>47</v>
      </c>
      <c r="G2471">
        <v>-454.64109999999999</v>
      </c>
      <c r="H2471" s="1">
        <v>1.0374480000000001E-6</v>
      </c>
      <c r="I2471">
        <v>282.22660000000002</v>
      </c>
      <c r="J2471">
        <v>-441.22750000000002</v>
      </c>
      <c r="K2471">
        <v>1.120662</v>
      </c>
      <c r="L2471">
        <v>285.11939999999998</v>
      </c>
      <c r="M2471">
        <v>-0.99950119999999998</v>
      </c>
      <c r="N2471">
        <v>-1.4031460000000001E-2</v>
      </c>
      <c r="O2471">
        <v>2.828963E-2</v>
      </c>
      <c r="P2471">
        <v>-0.981047</v>
      </c>
      <c r="Q2471">
        <v>0.17664460000000001</v>
      </c>
      <c r="R2471">
        <v>-7.9646090000000003E-2</v>
      </c>
      <c r="S2471">
        <v>-3.054443</v>
      </c>
      <c r="T2471">
        <v>-0.2496099</v>
      </c>
      <c r="U2471">
        <v>-0.6423645</v>
      </c>
      <c r="V2471">
        <v>-0.10723000000000001</v>
      </c>
      <c r="W2471">
        <v>0.19043470000000001</v>
      </c>
      <c r="X2471">
        <v>0.97582599999999997</v>
      </c>
      <c r="Y2471">
        <v>-0.2324698</v>
      </c>
      <c r="Z2471">
        <v>-1.2925280000000001E-2</v>
      </c>
      <c r="AA2471">
        <v>0.97251770000000004</v>
      </c>
      <c r="AB2471">
        <v>30</v>
      </c>
      <c r="AC2471">
        <v>-13.413599999999899</v>
      </c>
      <c r="AD2471">
        <v>-1.1206609625520001</v>
      </c>
      <c r="AE2471">
        <v>-2.8927999999999598</v>
      </c>
      <c r="AF2471">
        <v>-3.2494717480027902</v>
      </c>
      <c r="AG2471">
        <v>-1.1206609625520001</v>
      </c>
      <c r="AH2471">
        <v>13.2380903479257</v>
      </c>
      <c r="AI2471">
        <v>94.6999286419599</v>
      </c>
      <c r="AJ2471">
        <v>103.791366140051</v>
      </c>
      <c r="AK2471">
        <v>13.677060491710201</v>
      </c>
      <c r="AL2471">
        <v>79.021846293564394</v>
      </c>
      <c r="AM2471">
        <v>96.270867066854706</v>
      </c>
      <c r="AN2471">
        <v>1.0000000150700401</v>
      </c>
    </row>
    <row r="2472" spans="1:40" x14ac:dyDescent="0.25">
      <c r="A2472" t="str">
        <f>"20190303162303194"</f>
        <v>20190303162303194</v>
      </c>
      <c r="B2472" t="str">
        <f>"1551601383187097"</f>
        <v>1551601383187097</v>
      </c>
      <c r="C2472" t="s">
        <v>40</v>
      </c>
      <c r="D2472">
        <v>5.6060160000000003</v>
      </c>
      <c r="E2472">
        <v>0.4471966</v>
      </c>
      <c r="F2472" t="s">
        <v>47</v>
      </c>
      <c r="G2472">
        <v>-454.71769999999998</v>
      </c>
      <c r="H2472" s="1">
        <v>1.0799480000000001E-6</v>
      </c>
      <c r="I2472">
        <v>282.1859</v>
      </c>
      <c r="J2472">
        <v>-441.53579999999999</v>
      </c>
      <c r="K2472">
        <v>1.1206560000000001</v>
      </c>
      <c r="L2472">
        <v>285.1284</v>
      </c>
      <c r="M2472">
        <v>-0.99949109999999997</v>
      </c>
      <c r="N2472">
        <v>-1.40365E-2</v>
      </c>
      <c r="O2472">
        <v>2.8647189999999999E-2</v>
      </c>
      <c r="P2472">
        <v>-0.98072360000000003</v>
      </c>
      <c r="Q2472">
        <v>0.1748537</v>
      </c>
      <c r="R2472">
        <v>-8.7221980000000005E-2</v>
      </c>
      <c r="S2472">
        <v>-3.0497130000000001</v>
      </c>
      <c r="T2472">
        <v>-0.25334760000000001</v>
      </c>
      <c r="U2472">
        <v>-0.66317749999999998</v>
      </c>
      <c r="V2472">
        <v>-0.1151456</v>
      </c>
      <c r="W2472">
        <v>0.18864619999999999</v>
      </c>
      <c r="X2472">
        <v>0.97527129999999995</v>
      </c>
      <c r="Y2472">
        <v>-0.2394059</v>
      </c>
      <c r="Z2472">
        <v>-1.3469109999999999E-2</v>
      </c>
      <c r="AA2472">
        <v>0.97082610000000003</v>
      </c>
      <c r="AB2472">
        <v>30</v>
      </c>
      <c r="AC2472">
        <v>-13.181899999999899</v>
      </c>
      <c r="AD2472">
        <v>-1.120654920052</v>
      </c>
      <c r="AE2472">
        <v>-2.9424999999999901</v>
      </c>
      <c r="AF2472">
        <v>-3.2962607353656499</v>
      </c>
      <c r="AG2472">
        <v>-1.120654920052</v>
      </c>
      <c r="AH2472">
        <v>13.0026699546199</v>
      </c>
      <c r="AI2472">
        <v>94.775618717216503</v>
      </c>
      <c r="AJ2472">
        <v>104.225173907151</v>
      </c>
      <c r="AK2472">
        <v>13.4607068252052</v>
      </c>
      <c r="AL2472">
        <v>79.126211519557899</v>
      </c>
      <c r="AM2472">
        <v>96.733466253533194</v>
      </c>
      <c r="AN2472">
        <v>1.0000000032887399</v>
      </c>
    </row>
    <row r="2473" spans="1:40" x14ac:dyDescent="0.25">
      <c r="A2473" t="str">
        <f>"20190303162303250"</f>
        <v>20190303162303250</v>
      </c>
      <c r="B2473" t="str">
        <f>"1551601383236874"</f>
        <v>1551601383236874</v>
      </c>
      <c r="C2473" t="s">
        <v>40</v>
      </c>
      <c r="D2473">
        <v>5.584581</v>
      </c>
      <c r="E2473">
        <v>0.44733970000000001</v>
      </c>
      <c r="F2473" t="s">
        <v>47</v>
      </c>
      <c r="G2473">
        <v>-454.74380000000002</v>
      </c>
      <c r="H2473" s="1">
        <v>1.095716E-6</v>
      </c>
      <c r="I2473">
        <v>282.14359999999999</v>
      </c>
      <c r="J2473">
        <v>-442.2876</v>
      </c>
      <c r="K2473">
        <v>1.120611</v>
      </c>
      <c r="L2473">
        <v>285.15100000000001</v>
      </c>
      <c r="M2473">
        <v>-0.99946559999999995</v>
      </c>
      <c r="N2473">
        <v>-1.4048720000000001E-2</v>
      </c>
      <c r="O2473">
        <v>2.9517439999999999E-2</v>
      </c>
      <c r="P2473">
        <v>-0.97953860000000004</v>
      </c>
      <c r="Q2473">
        <v>0.16643350000000001</v>
      </c>
      <c r="R2473">
        <v>-0.1131548</v>
      </c>
      <c r="S2473">
        <v>-3.0438540000000001</v>
      </c>
      <c r="T2473">
        <v>-0.25826009999999999</v>
      </c>
      <c r="U2473">
        <v>-0.68786619999999998</v>
      </c>
      <c r="V2473">
        <v>-0.1418904</v>
      </c>
      <c r="W2473">
        <v>0.1802291</v>
      </c>
      <c r="X2473">
        <v>0.9733368</v>
      </c>
      <c r="Y2473">
        <v>-0.24805869999999999</v>
      </c>
      <c r="Z2473">
        <v>-1.420429E-2</v>
      </c>
      <c r="AA2473">
        <v>0.96864090000000003</v>
      </c>
      <c r="AB2473">
        <v>30</v>
      </c>
      <c r="AC2473">
        <v>-12.456200000000001</v>
      </c>
      <c r="AD2473">
        <v>-1.1206099042839901</v>
      </c>
      <c r="AE2473">
        <v>-3.0074000000000098</v>
      </c>
      <c r="AF2473">
        <v>-3.3481946500323398</v>
      </c>
      <c r="AG2473">
        <v>-1.1206099042839901</v>
      </c>
      <c r="AH2473">
        <v>12.268168279285099</v>
      </c>
      <c r="AI2473">
        <v>95.035899669138701</v>
      </c>
      <c r="AJ2473">
        <v>105.26524910904899</v>
      </c>
      <c r="AK2473">
        <v>12.7661320258307</v>
      </c>
      <c r="AL2473">
        <v>79.616895174083496</v>
      </c>
      <c r="AM2473">
        <v>98.294000711170696</v>
      </c>
      <c r="AN2473">
        <v>0.99999997016660402</v>
      </c>
    </row>
    <row r="2474" spans="1:40" x14ac:dyDescent="0.25">
      <c r="A2474" t="str">
        <f>"20190303162303294"</f>
        <v>20190303162303294</v>
      </c>
      <c r="B2474" t="str">
        <f>"1551601383286649"</f>
        <v>1551601383286649</v>
      </c>
      <c r="C2474" t="s">
        <v>40</v>
      </c>
      <c r="D2474">
        <v>5.6990600000000002</v>
      </c>
      <c r="E2474">
        <v>0.44763439999999999</v>
      </c>
      <c r="F2474" t="s">
        <v>47</v>
      </c>
      <c r="G2474">
        <v>-454.55759999999998</v>
      </c>
      <c r="H2474" s="1">
        <v>1.004136E-6</v>
      </c>
      <c r="I2474">
        <v>281.9717</v>
      </c>
      <c r="J2474">
        <v>-442.87849999999997</v>
      </c>
      <c r="K2474">
        <v>1.120555</v>
      </c>
      <c r="L2474">
        <v>285.16930000000002</v>
      </c>
      <c r="M2474">
        <v>-0.99944500000000003</v>
      </c>
      <c r="N2474">
        <v>-1.405957E-2</v>
      </c>
      <c r="O2474">
        <v>3.0201459999999999E-2</v>
      </c>
      <c r="P2474">
        <v>-0.97775849999999997</v>
      </c>
      <c r="Q2474">
        <v>0.1526594</v>
      </c>
      <c r="R2474">
        <v>-0.14381830000000001</v>
      </c>
      <c r="S2474">
        <v>-3.0191349999999999</v>
      </c>
      <c r="T2474">
        <v>-0.27573449999999999</v>
      </c>
      <c r="U2474">
        <v>-0.78228759999999997</v>
      </c>
      <c r="V2474">
        <v>-0.17316400000000001</v>
      </c>
      <c r="W2474">
        <v>0.16645019999999999</v>
      </c>
      <c r="X2474">
        <v>0.97072579999999997</v>
      </c>
      <c r="Y2474">
        <v>-0.27860109999999999</v>
      </c>
      <c r="Z2474">
        <v>-1.677934E-2</v>
      </c>
      <c r="AA2474">
        <v>0.96026029999999996</v>
      </c>
      <c r="AB2474">
        <v>30</v>
      </c>
      <c r="AC2474">
        <v>-11.6791</v>
      </c>
      <c r="AD2474">
        <v>-1.1205539958640001</v>
      </c>
      <c r="AE2474">
        <v>-3.19760000000002</v>
      </c>
      <c r="AF2474">
        <v>-3.5187685897216898</v>
      </c>
      <c r="AG2474">
        <v>-1.1205539958640001</v>
      </c>
      <c r="AH2474">
        <v>11.4788893858432</v>
      </c>
      <c r="AI2474">
        <v>95.332082702668501</v>
      </c>
      <c r="AJ2474">
        <v>107.04253326337999</v>
      </c>
      <c r="AK2474">
        <v>12.058286577208399</v>
      </c>
      <c r="AL2474">
        <v>80.418510189564202</v>
      </c>
      <c r="AM2474">
        <v>100.114381511598</v>
      </c>
      <c r="AN2474">
        <v>1.0000000093808299</v>
      </c>
    </row>
    <row r="2475" spans="1:40" x14ac:dyDescent="0.25">
      <c r="A2475" t="str">
        <f>"20190303162303315"</f>
        <v>20190303162303315</v>
      </c>
      <c r="B2475" t="str">
        <f>"1551601383307145"</f>
        <v>1551601383307145</v>
      </c>
      <c r="C2475" t="s">
        <v>40</v>
      </c>
      <c r="D2475">
        <v>5.5661680000000002</v>
      </c>
      <c r="E2475">
        <v>0.4626439</v>
      </c>
      <c r="F2475" t="s">
        <v>47</v>
      </c>
      <c r="G2475">
        <v>-453.6617</v>
      </c>
      <c r="H2475" s="1">
        <v>5.2732969999999997E-7</v>
      </c>
      <c r="I2475">
        <v>281.97340000000003</v>
      </c>
      <c r="J2475">
        <v>-443.17520000000002</v>
      </c>
      <c r="K2475">
        <v>1.120555</v>
      </c>
      <c r="L2475">
        <v>285.17849999999999</v>
      </c>
      <c r="M2475">
        <v>-0.9994345</v>
      </c>
      <c r="N2475">
        <v>-1.407041E-2</v>
      </c>
      <c r="O2475">
        <v>3.05448E-2</v>
      </c>
      <c r="P2475">
        <v>-0.97637130000000005</v>
      </c>
      <c r="Q2475">
        <v>0.149919</v>
      </c>
      <c r="R2475">
        <v>-0.15563920000000001</v>
      </c>
      <c r="S2475">
        <v>-2.9865110000000001</v>
      </c>
      <c r="T2475">
        <v>-0.31034699999999998</v>
      </c>
      <c r="U2475">
        <v>-0.88513180000000002</v>
      </c>
      <c r="V2475">
        <v>-0.18527389999999999</v>
      </c>
      <c r="W2475">
        <v>0.16370370000000001</v>
      </c>
      <c r="X2475">
        <v>0.96895549999999997</v>
      </c>
      <c r="Y2475">
        <v>-0.31143219999999999</v>
      </c>
      <c r="Z2475">
        <v>-2.0727490000000001E-2</v>
      </c>
      <c r="AA2475">
        <v>0.95004230000000001</v>
      </c>
      <c r="AB2475">
        <v>30</v>
      </c>
      <c r="AC2475">
        <v>-10.4864999999999</v>
      </c>
      <c r="AD2475">
        <v>-1.1205544726703001</v>
      </c>
      <c r="AE2475">
        <v>-3.2050999999999501</v>
      </c>
      <c r="AF2475">
        <v>-3.4875241954751499</v>
      </c>
      <c r="AG2475">
        <v>-1.1205544726703001</v>
      </c>
      <c r="AH2475">
        <v>10.2763824085722</v>
      </c>
      <c r="AI2475">
        <v>95.895323544932694</v>
      </c>
      <c r="AJ2475">
        <v>108.74581250108101</v>
      </c>
      <c r="AK2475">
        <v>10.909743477619401</v>
      </c>
      <c r="AL2475">
        <v>80.5780623358431</v>
      </c>
      <c r="AM2475">
        <v>100.824859941681</v>
      </c>
      <c r="AN2475">
        <v>1.0000000401975699</v>
      </c>
    </row>
    <row r="2476" spans="1:40" x14ac:dyDescent="0.25">
      <c r="A2476" t="str">
        <f>"20190303162303338"</f>
        <v>20190303162303338</v>
      </c>
      <c r="B2476" t="str">
        <f>"1551601383326664"</f>
        <v>1551601383326664</v>
      </c>
      <c r="C2476" t="s">
        <v>40</v>
      </c>
      <c r="D2476">
        <v>5.7532809999999897</v>
      </c>
      <c r="E2476">
        <v>0.46543250000000003</v>
      </c>
      <c r="F2476" t="s">
        <v>47</v>
      </c>
      <c r="G2476">
        <v>-456.17160000000001</v>
      </c>
      <c r="H2476" s="1">
        <v>1.874767E-6</v>
      </c>
      <c r="I2476">
        <v>281.70359999999999</v>
      </c>
      <c r="J2476">
        <v>-443.47550000000001</v>
      </c>
      <c r="K2476">
        <v>1.1205579999999999</v>
      </c>
      <c r="L2476">
        <v>285.18799999999999</v>
      </c>
      <c r="M2476">
        <v>-0.99942359999999997</v>
      </c>
      <c r="N2476">
        <v>-1.408278E-2</v>
      </c>
      <c r="O2476">
        <v>3.0892900000000001E-2</v>
      </c>
      <c r="P2476">
        <v>-0.97495430000000005</v>
      </c>
      <c r="Q2476">
        <v>0.15189069999999999</v>
      </c>
      <c r="R2476">
        <v>-0.16246089999999999</v>
      </c>
      <c r="S2476">
        <v>-2.9848940000000002</v>
      </c>
      <c r="T2476">
        <v>-0.25735829999999998</v>
      </c>
      <c r="U2476">
        <v>-0.79809569999999996</v>
      </c>
      <c r="V2476">
        <v>-0.19238559999999999</v>
      </c>
      <c r="W2476">
        <v>0.16566819999999999</v>
      </c>
      <c r="X2476">
        <v>0.96723409999999999</v>
      </c>
      <c r="Y2476">
        <v>-0.2867864</v>
      </c>
      <c r="Z2476">
        <v>-1.6375879999999999E-2</v>
      </c>
      <c r="AA2476">
        <v>0.9578546</v>
      </c>
      <c r="AB2476">
        <v>30</v>
      </c>
      <c r="AC2476">
        <v>-12.696099999999999</v>
      </c>
      <c r="AD2476">
        <v>-1.1205561252330001</v>
      </c>
      <c r="AE2476">
        <v>-3.4843999999999902</v>
      </c>
      <c r="AF2476">
        <v>-3.8471255481331998</v>
      </c>
      <c r="AG2476">
        <v>-1.1205561252330001</v>
      </c>
      <c r="AH2476">
        <v>12.491891716186799</v>
      </c>
      <c r="AI2476">
        <v>94.899943348853</v>
      </c>
      <c r="AJ2476">
        <v>107.117252561461</v>
      </c>
      <c r="AK2476">
        <v>13.1188177692135</v>
      </c>
      <c r="AL2476">
        <v>80.4639461283397</v>
      </c>
      <c r="AM2476">
        <v>101.249474359047</v>
      </c>
      <c r="AN2476">
        <v>0.99999998789070399</v>
      </c>
    </row>
    <row r="2477" spans="1:40" x14ac:dyDescent="0.25">
      <c r="A2477" t="str">
        <f>"20190303162303360"</f>
        <v>20190303162303360</v>
      </c>
      <c r="B2477" t="str">
        <f>"1551601383347160"</f>
        <v>1551601383347160</v>
      </c>
      <c r="C2477" t="s">
        <v>40</v>
      </c>
      <c r="D2477">
        <v>5.7520379999999998</v>
      </c>
      <c r="E2477">
        <v>0.46779090000000001</v>
      </c>
      <c r="F2477" t="s">
        <v>47</v>
      </c>
      <c r="G2477">
        <v>-457.12360000000001</v>
      </c>
      <c r="H2477" s="1">
        <v>2.3878019999999999E-6</v>
      </c>
      <c r="I2477">
        <v>281.55590000000001</v>
      </c>
      <c r="J2477">
        <v>-443.76990000000001</v>
      </c>
      <c r="K2477">
        <v>1.12056</v>
      </c>
      <c r="L2477">
        <v>285.19749999999999</v>
      </c>
      <c r="M2477">
        <v>-0.99941270000000004</v>
      </c>
      <c r="N2477">
        <v>-1.409403E-2</v>
      </c>
      <c r="O2477">
        <v>3.12348E-2</v>
      </c>
      <c r="P2477">
        <v>-0.97403600000000001</v>
      </c>
      <c r="Q2477">
        <v>0.1531402</v>
      </c>
      <c r="R2477">
        <v>-0.16673949999999901</v>
      </c>
      <c r="S2477">
        <v>-2.982971</v>
      </c>
      <c r="T2477">
        <v>-0.24491170000000001</v>
      </c>
      <c r="U2477">
        <v>-0.79385380000000005</v>
      </c>
      <c r="V2477">
        <v>-0.1969641</v>
      </c>
      <c r="W2477">
        <v>0.1669156</v>
      </c>
      <c r="X2477">
        <v>0.96609750000000005</v>
      </c>
      <c r="Y2477">
        <v>-0.2861069</v>
      </c>
      <c r="Z2477">
        <v>-1.5667480000000001E-2</v>
      </c>
      <c r="AA2477">
        <v>0.95806959999999997</v>
      </c>
      <c r="AB2477">
        <v>30</v>
      </c>
      <c r="AC2477">
        <v>-13.3537</v>
      </c>
      <c r="AD2477">
        <v>-1.1205576121979901</v>
      </c>
      <c r="AE2477">
        <v>-3.64159999999998</v>
      </c>
      <c r="AF2477">
        <v>-4.0305478251166402</v>
      </c>
      <c r="AG2477">
        <v>-1.1205576121979901</v>
      </c>
      <c r="AH2477">
        <v>13.1472588274309</v>
      </c>
      <c r="AI2477">
        <v>94.658621603540496</v>
      </c>
      <c r="AJ2477">
        <v>107.04393920772399</v>
      </c>
      <c r="AK2477">
        <v>13.7967887498602</v>
      </c>
      <c r="AL2477">
        <v>80.391466575730107</v>
      </c>
      <c r="AM2477">
        <v>101.52330974858801</v>
      </c>
      <c r="AN2477">
        <v>1.0000000268592</v>
      </c>
    </row>
    <row r="2478" spans="1:40" x14ac:dyDescent="0.25">
      <c r="A2478" t="str">
        <f>"20190303162303385"</f>
        <v>20190303162303385</v>
      </c>
      <c r="B2478" t="str">
        <f>"1551601383377416"</f>
        <v>1551601383377416</v>
      </c>
      <c r="C2478" t="s">
        <v>40</v>
      </c>
      <c r="D2478">
        <v>5.751817</v>
      </c>
      <c r="E2478">
        <v>0.47092850000000003</v>
      </c>
      <c r="F2478" t="s">
        <v>47</v>
      </c>
      <c r="G2478">
        <v>-458.11279999999999</v>
      </c>
      <c r="H2478" s="1">
        <v>2.9201269999999999E-6</v>
      </c>
      <c r="I2478">
        <v>281.42070000000001</v>
      </c>
      <c r="J2478">
        <v>-444.08330000000001</v>
      </c>
      <c r="K2478">
        <v>1.120571</v>
      </c>
      <c r="L2478">
        <v>285.20760000000001</v>
      </c>
      <c r="M2478">
        <v>-0.99940110000000004</v>
      </c>
      <c r="N2478">
        <v>-1.4104759999999999E-2</v>
      </c>
      <c r="O2478">
        <v>3.1598399999999999E-2</v>
      </c>
      <c r="P2478">
        <v>-0.97368109999999997</v>
      </c>
      <c r="Q2478">
        <v>0.15247839999999999</v>
      </c>
      <c r="R2478">
        <v>-0.16939770000000001</v>
      </c>
      <c r="S2478">
        <v>-2.9821780000000002</v>
      </c>
      <c r="T2478">
        <v>-0.23298679999999999</v>
      </c>
      <c r="U2478">
        <v>-0.78527829999999998</v>
      </c>
      <c r="V2478">
        <v>-0.199963</v>
      </c>
      <c r="W2478">
        <v>0.166258399999999</v>
      </c>
      <c r="X2478">
        <v>0.96559459999999997</v>
      </c>
      <c r="Y2478">
        <v>-0.28404960000000001</v>
      </c>
      <c r="Z2478">
        <v>-1.49231E-2</v>
      </c>
      <c r="AA2478">
        <v>0.95869340000000003</v>
      </c>
      <c r="AB2478">
        <v>30</v>
      </c>
      <c r="AC2478">
        <v>-14.029499999999899</v>
      </c>
      <c r="AD2478">
        <v>-1.120568079873</v>
      </c>
      <c r="AE2478">
        <v>-3.7869000000000002</v>
      </c>
      <c r="AF2478">
        <v>-4.2033678462657704</v>
      </c>
      <c r="AG2478">
        <v>-1.120568079873</v>
      </c>
      <c r="AH2478">
        <v>13.8206388650246</v>
      </c>
      <c r="AI2478">
        <v>94.435609929241295</v>
      </c>
      <c r="AJ2478">
        <v>106.916457779271</v>
      </c>
      <c r="AK2478">
        <v>14.489100479673599</v>
      </c>
      <c r="AL2478">
        <v>80.429654662374006</v>
      </c>
      <c r="AM2478">
        <v>101.699884577543</v>
      </c>
      <c r="AN2478">
        <v>0.99999999424435904</v>
      </c>
    </row>
    <row r="2479" spans="1:40" x14ac:dyDescent="0.25">
      <c r="A2479" t="str">
        <f>"20190303162303405"</f>
        <v>20190303162303405</v>
      </c>
      <c r="B2479" t="str">
        <f>"1551601383396937"</f>
        <v>1551601383396937</v>
      </c>
      <c r="C2479" t="s">
        <v>40</v>
      </c>
      <c r="D2479">
        <v>5.7964820000000001</v>
      </c>
      <c r="E2479">
        <v>0.48011510000000002</v>
      </c>
      <c r="F2479" t="s">
        <v>47</v>
      </c>
      <c r="G2479">
        <v>-458.87990000000002</v>
      </c>
      <c r="H2479" s="1">
        <v>3.328433E-6</v>
      </c>
      <c r="I2479">
        <v>281.4178</v>
      </c>
      <c r="J2479">
        <v>-444.36849999999998</v>
      </c>
      <c r="K2479">
        <v>1.1205780000000001</v>
      </c>
      <c r="L2479">
        <v>285.21699999999998</v>
      </c>
      <c r="M2479">
        <v>-0.99939049999999996</v>
      </c>
      <c r="N2479">
        <v>-1.4113580000000001E-2</v>
      </c>
      <c r="O2479">
        <v>3.1929060000000002E-2</v>
      </c>
      <c r="P2479">
        <v>-0.9733562</v>
      </c>
      <c r="Q2479">
        <v>0.15145829999999999</v>
      </c>
      <c r="R2479">
        <v>-0.17215829999999999</v>
      </c>
      <c r="S2479">
        <v>-2.9835210000000001</v>
      </c>
      <c r="T2479">
        <v>-0.22594739999999999</v>
      </c>
      <c r="U2479">
        <v>-0.76416019999999996</v>
      </c>
      <c r="V2479">
        <v>-0.2030333</v>
      </c>
      <c r="W2479">
        <v>0.16524220000000001</v>
      </c>
      <c r="X2479">
        <v>0.96512819999999999</v>
      </c>
      <c r="Y2479">
        <v>-0.27797270000000002</v>
      </c>
      <c r="Z2479">
        <v>-1.4276270000000001E-2</v>
      </c>
      <c r="AA2479">
        <v>0.96048290000000003</v>
      </c>
      <c r="AB2479">
        <v>30</v>
      </c>
      <c r="AC2479">
        <v>-14.5114</v>
      </c>
      <c r="AD2479">
        <v>-1.120574671567</v>
      </c>
      <c r="AE2479">
        <v>-3.7991999999999799</v>
      </c>
      <c r="AF2479">
        <v>-4.2369996018822098</v>
      </c>
      <c r="AG2479">
        <v>-1.120574671567</v>
      </c>
      <c r="AH2479">
        <v>14.3028660216739</v>
      </c>
      <c r="AI2479">
        <v>94.295957337943705</v>
      </c>
      <c r="AJ2479">
        <v>106.501096239769</v>
      </c>
      <c r="AK2479">
        <v>14.959272363817099</v>
      </c>
      <c r="AL2479">
        <v>80.4886951070105</v>
      </c>
      <c r="AM2479">
        <v>101.880040740025</v>
      </c>
      <c r="AN2479">
        <v>0.99999997400248397</v>
      </c>
    </row>
    <row r="2480" spans="1:40" x14ac:dyDescent="0.25">
      <c r="A2480" t="str">
        <f>"20190303162303428"</f>
        <v>20190303162303428</v>
      </c>
      <c r="B2480" t="str">
        <f>"1551601383417433"</f>
        <v>1551601383417433</v>
      </c>
      <c r="C2480" t="s">
        <v>40</v>
      </c>
      <c r="D2480">
        <v>5.8027290000000002</v>
      </c>
      <c r="E2480">
        <v>0.48130899999999999</v>
      </c>
      <c r="F2480" t="s">
        <v>47</v>
      </c>
      <c r="G2480">
        <v>-460.9119</v>
      </c>
      <c r="H2480" s="1">
        <v>-9.0946900000000003E-7</v>
      </c>
      <c r="I2480">
        <v>281.36619999999999</v>
      </c>
      <c r="J2480">
        <v>-444.6662</v>
      </c>
      <c r="K2480">
        <v>1.1205830000000001</v>
      </c>
      <c r="L2480">
        <v>285.2269</v>
      </c>
      <c r="M2480">
        <v>-0.99937929999999997</v>
      </c>
      <c r="N2480">
        <v>-1.412184E-2</v>
      </c>
      <c r="O2480">
        <v>3.2274270000000001E-2</v>
      </c>
      <c r="P2480">
        <v>-0.97367349999999997</v>
      </c>
      <c r="Q2480">
        <v>0.15140120000000001</v>
      </c>
      <c r="R2480">
        <v>-0.170404</v>
      </c>
      <c r="S2480">
        <v>-2.99057</v>
      </c>
      <c r="T2480">
        <v>-0.20256830000000001</v>
      </c>
      <c r="U2480">
        <v>-0.696106</v>
      </c>
      <c r="V2480">
        <v>-0.20162459999999999</v>
      </c>
      <c r="W2480">
        <v>0.1651965</v>
      </c>
      <c r="X2480">
        <v>0.96543129999999999</v>
      </c>
      <c r="Y2480">
        <v>-0.25729920000000001</v>
      </c>
      <c r="Z2480">
        <v>-1.21406E-2</v>
      </c>
      <c r="AA2480">
        <v>0.96625550000000004</v>
      </c>
      <c r="AB2480">
        <v>30</v>
      </c>
      <c r="AC2480">
        <v>-16.245699999999999</v>
      </c>
      <c r="AD2480">
        <v>-1.120583909469</v>
      </c>
      <c r="AE2480">
        <v>-3.8607</v>
      </c>
      <c r="AF2480">
        <v>-4.3634080299877498</v>
      </c>
      <c r="AG2480">
        <v>-1.120583909469</v>
      </c>
      <c r="AH2480">
        <v>16.040383124891299</v>
      </c>
      <c r="AI2480">
        <v>93.856505183830706</v>
      </c>
      <c r="AJ2480">
        <v>105.217736288496</v>
      </c>
      <c r="AK2480">
        <v>16.661000231907501</v>
      </c>
      <c r="AL2480">
        <v>80.491350058712996</v>
      </c>
      <c r="AM2480">
        <v>101.796331746692</v>
      </c>
      <c r="AN2480">
        <v>0.99999997897854898</v>
      </c>
    </row>
    <row r="2481" spans="1:40" x14ac:dyDescent="0.25">
      <c r="A2481" t="str">
        <f>"20190303162303450"</f>
        <v>20190303162303450</v>
      </c>
      <c r="B2481" t="str">
        <f>"1551601383446713"</f>
        <v>1551601383446713</v>
      </c>
      <c r="C2481" t="s">
        <v>40</v>
      </c>
      <c r="D2481">
        <v>5.791347</v>
      </c>
      <c r="E2481">
        <v>0.4827359</v>
      </c>
      <c r="F2481" t="s">
        <v>47</v>
      </c>
      <c r="G2481">
        <v>-461.5265</v>
      </c>
      <c r="H2481" s="1">
        <v>-5.8426380000000004E-7</v>
      </c>
      <c r="I2481">
        <v>281.40870000000001</v>
      </c>
      <c r="J2481">
        <v>-444.96719999999999</v>
      </c>
      <c r="K2481">
        <v>1.1205799999999999</v>
      </c>
      <c r="L2481">
        <v>285.23689999999999</v>
      </c>
      <c r="M2481">
        <v>-0.99936780000000003</v>
      </c>
      <c r="N2481">
        <v>-1.412889E-2</v>
      </c>
      <c r="O2481">
        <v>3.2623300000000001E-2</v>
      </c>
      <c r="P2481">
        <v>-0.97393810000000003</v>
      </c>
      <c r="Q2481">
        <v>0.1515475</v>
      </c>
      <c r="R2481">
        <v>-0.16875409999999999</v>
      </c>
      <c r="S2481">
        <v>-2.9934080000000001</v>
      </c>
      <c r="T2481">
        <v>-0.1989503</v>
      </c>
      <c r="U2481">
        <v>-0.67788700000000002</v>
      </c>
      <c r="V2481">
        <v>-0.20032230000000001</v>
      </c>
      <c r="W2481">
        <v>0.16535129999999901</v>
      </c>
      <c r="X2481">
        <v>0.96567590000000003</v>
      </c>
      <c r="Y2481">
        <v>-0.25188110000000002</v>
      </c>
      <c r="Z2481">
        <v>-1.174703E-2</v>
      </c>
      <c r="AA2481">
        <v>0.96768690000000002</v>
      </c>
      <c r="AB2481">
        <v>30</v>
      </c>
      <c r="AC2481">
        <v>-16.5593</v>
      </c>
      <c r="AD2481">
        <v>-1.1205805842637999</v>
      </c>
      <c r="AE2481">
        <v>-3.8281999999999798</v>
      </c>
      <c r="AF2481">
        <v>-4.3475361037108904</v>
      </c>
      <c r="AG2481">
        <v>-1.1205805842637999</v>
      </c>
      <c r="AH2481">
        <v>16.354489936735501</v>
      </c>
      <c r="AI2481">
        <v>93.788506879667295</v>
      </c>
      <c r="AJ2481">
        <v>104.886725095054</v>
      </c>
      <c r="AK2481">
        <v>16.959543393313499</v>
      </c>
      <c r="AL2481">
        <v>80.482357295231097</v>
      </c>
      <c r="AM2481">
        <v>101.71936680700399</v>
      </c>
      <c r="AN2481">
        <v>1.00000001006489</v>
      </c>
    </row>
    <row r="2482" spans="1:40" x14ac:dyDescent="0.25">
      <c r="A2482" t="str">
        <f>"20190303162303472"</f>
        <v>20190303162303472</v>
      </c>
      <c r="B2482" t="str">
        <f>"1551601383467208"</f>
        <v>1551601383467208</v>
      </c>
      <c r="C2482" t="s">
        <v>40</v>
      </c>
      <c r="D2482">
        <v>5.7964180000000001</v>
      </c>
      <c r="E2482">
        <v>0.48364390000000002</v>
      </c>
      <c r="F2482" t="s">
        <v>47</v>
      </c>
      <c r="G2482">
        <v>-461.90730000000002</v>
      </c>
      <c r="H2482" s="1">
        <v>-3.860404E-7</v>
      </c>
      <c r="I2482">
        <v>281.5095</v>
      </c>
      <c r="J2482">
        <v>-445.26010000000002</v>
      </c>
      <c r="K2482">
        <v>1.1205860000000001</v>
      </c>
      <c r="L2482">
        <v>285.24689999999998</v>
      </c>
      <c r="M2482">
        <v>-0.99935669999999999</v>
      </c>
      <c r="N2482">
        <v>-1.413468E-2</v>
      </c>
      <c r="O2482">
        <v>3.2961770000000001E-2</v>
      </c>
      <c r="P2482">
        <v>-0.9743155</v>
      </c>
      <c r="Q2482">
        <v>0.15147749999999999</v>
      </c>
      <c r="R2482">
        <v>-0.16662550000000001</v>
      </c>
      <c r="S2482">
        <v>-2.9968569999999999</v>
      </c>
      <c r="T2482">
        <v>-0.19824140000000001</v>
      </c>
      <c r="U2482">
        <v>-0.6594238</v>
      </c>
      <c r="V2482">
        <v>-0.1985355</v>
      </c>
      <c r="W2482">
        <v>0.1652901</v>
      </c>
      <c r="X2482">
        <v>0.96605529999999995</v>
      </c>
      <c r="Y2482">
        <v>-0.24630460000000001</v>
      </c>
      <c r="Z2482">
        <v>-1.149965E-2</v>
      </c>
      <c r="AA2482">
        <v>0.96912430000000005</v>
      </c>
      <c r="AB2482">
        <v>30</v>
      </c>
      <c r="AC2482">
        <v>-16.647199999999899</v>
      </c>
      <c r="AD2482">
        <v>-1.1205863860404</v>
      </c>
      <c r="AE2482">
        <v>-3.7373999999999801</v>
      </c>
      <c r="AF2482">
        <v>-4.2657434797613902</v>
      </c>
      <c r="AG2482">
        <v>-1.1205863860404</v>
      </c>
      <c r="AH2482">
        <v>16.4440137712865</v>
      </c>
      <c r="AI2482">
        <v>93.773892266978393</v>
      </c>
      <c r="AJ2482">
        <v>104.54255372505401</v>
      </c>
      <c r="AK2482">
        <v>17.025212779697199</v>
      </c>
      <c r="AL2482">
        <v>80.485912645360301</v>
      </c>
      <c r="AM2482">
        <v>101.61324972907001</v>
      </c>
      <c r="AN2482">
        <v>1.0000000022881701</v>
      </c>
    </row>
    <row r="2483" spans="1:40" x14ac:dyDescent="0.25">
      <c r="A2483" t="str">
        <f>"20190303162303494"</f>
        <v>20190303162303494</v>
      </c>
      <c r="B2483" t="str">
        <f>"1551601383487323"</f>
        <v>1551601383487323</v>
      </c>
      <c r="C2483" t="s">
        <v>40</v>
      </c>
      <c r="D2483">
        <v>5.7927499999999998</v>
      </c>
      <c r="E2483">
        <v>0.48395899999999997</v>
      </c>
      <c r="F2483" t="s">
        <v>47</v>
      </c>
      <c r="G2483">
        <v>-462.44299999999998</v>
      </c>
      <c r="H2483" s="1">
        <v>-1.0300900000000001E-7</v>
      </c>
      <c r="I2483">
        <v>281.55619999999999</v>
      </c>
      <c r="J2483">
        <v>-445.55099999999999</v>
      </c>
      <c r="K2483">
        <v>1.1205849999999999</v>
      </c>
      <c r="L2483">
        <v>285.25689999999997</v>
      </c>
      <c r="M2483">
        <v>-0.9993455</v>
      </c>
      <c r="N2483">
        <v>-1.41394E-2</v>
      </c>
      <c r="O2483">
        <v>3.3294869999999997E-2</v>
      </c>
      <c r="P2483">
        <v>-0.97467320000000002</v>
      </c>
      <c r="Q2483">
        <v>0.1511817</v>
      </c>
      <c r="R2483">
        <v>-0.16479150000000001</v>
      </c>
      <c r="S2483">
        <v>-2.9993590000000001</v>
      </c>
      <c r="T2483">
        <v>-0.19560430000000001</v>
      </c>
      <c r="U2483">
        <v>-0.64422609999999902</v>
      </c>
      <c r="V2483">
        <v>-0.1970382</v>
      </c>
      <c r="W2483">
        <v>0.165001799999999</v>
      </c>
      <c r="X2483">
        <v>0.96641109999999997</v>
      </c>
      <c r="Y2483">
        <v>-0.2417937</v>
      </c>
      <c r="Z2483">
        <v>-1.1199829999999999E-2</v>
      </c>
      <c r="AA2483">
        <v>0.97026310000000004</v>
      </c>
      <c r="AB2483">
        <v>30</v>
      </c>
      <c r="AC2483">
        <v>-16.891999999999999</v>
      </c>
      <c r="AD2483">
        <v>-1.1205851030089999</v>
      </c>
      <c r="AE2483">
        <v>-3.7006999999999799</v>
      </c>
      <c r="AF2483">
        <v>-4.2433024883656101</v>
      </c>
      <c r="AG2483">
        <v>-1.1205851030089999</v>
      </c>
      <c r="AH2483">
        <v>16.689324055274898</v>
      </c>
      <c r="AI2483">
        <v>93.723184542733804</v>
      </c>
      <c r="AJ2483">
        <v>104.265331355182</v>
      </c>
      <c r="AK2483">
        <v>17.256733885728</v>
      </c>
      <c r="AL2483">
        <v>80.502661255632603</v>
      </c>
      <c r="AM2483">
        <v>101.52388832220799</v>
      </c>
      <c r="AN2483">
        <v>1.00000003023284</v>
      </c>
    </row>
    <row r="2484" spans="1:40" x14ac:dyDescent="0.25">
      <c r="A2484" t="str">
        <f>"20190303162303517"</f>
        <v>20190303162303517</v>
      </c>
      <c r="B2484" t="str">
        <f>"1551601383506844"</f>
        <v>1551601383506844</v>
      </c>
      <c r="C2484" t="s">
        <v>40</v>
      </c>
      <c r="D2484">
        <v>5.5916430000000004</v>
      </c>
      <c r="E2484">
        <v>0.4836935</v>
      </c>
      <c r="F2484" t="s">
        <v>47</v>
      </c>
      <c r="G2484">
        <v>-462.56560000000002</v>
      </c>
      <c r="H2484" s="1">
        <v>-4.220199E-8</v>
      </c>
      <c r="I2484">
        <v>281.6585</v>
      </c>
      <c r="J2484">
        <v>-445.85059999999999</v>
      </c>
      <c r="K2484">
        <v>1.1205879999999999</v>
      </c>
      <c r="L2484">
        <v>285.2672</v>
      </c>
      <c r="M2484">
        <v>-0.99933430000000001</v>
      </c>
      <c r="N2484">
        <v>-1.4143289999999999E-2</v>
      </c>
      <c r="O2484">
        <v>3.3633370000000003E-2</v>
      </c>
      <c r="P2484">
        <v>-0.97524409999999895</v>
      </c>
      <c r="Q2484">
        <v>0.150592</v>
      </c>
      <c r="R2484">
        <v>-0.1619295</v>
      </c>
      <c r="S2484">
        <v>-3.0013429999999999</v>
      </c>
      <c r="T2484">
        <v>-0.19766829999999999</v>
      </c>
      <c r="U2484">
        <v>-0.6347351</v>
      </c>
      <c r="V2484">
        <v>-0.19452720000000001</v>
      </c>
      <c r="W2484">
        <v>0.16442100000000001</v>
      </c>
      <c r="X2484">
        <v>0.9670185</v>
      </c>
      <c r="Y2484">
        <v>-0.23904890000000001</v>
      </c>
      <c r="Z2484">
        <v>-1.1209230000000001E-2</v>
      </c>
      <c r="AA2484">
        <v>0.97094279999999999</v>
      </c>
      <c r="AB2484">
        <v>30</v>
      </c>
      <c r="AC2484">
        <v>-16.715</v>
      </c>
      <c r="AD2484">
        <v>-1.1205880422019801</v>
      </c>
      <c r="AE2484">
        <v>-3.60869999999999</v>
      </c>
      <c r="AF2484">
        <v>-4.1510698626218403</v>
      </c>
      <c r="AG2484">
        <v>-1.1205880422019801</v>
      </c>
      <c r="AH2484">
        <v>16.513243466148801</v>
      </c>
      <c r="AI2484">
        <v>93.765344708021203</v>
      </c>
      <c r="AJ2484">
        <v>104.110540822977</v>
      </c>
      <c r="AK2484">
        <v>17.063830412219801</v>
      </c>
      <c r="AL2484">
        <v>80.536398566387803</v>
      </c>
      <c r="AM2484">
        <v>101.373925166665</v>
      </c>
      <c r="AN2484">
        <v>0.99999993806154297</v>
      </c>
    </row>
    <row r="2485" spans="1:40" x14ac:dyDescent="0.25">
      <c r="A2485" t="str">
        <f>"20190303162303540"</f>
        <v>20190303162303540</v>
      </c>
      <c r="B2485" t="str">
        <f>"1551601383527340"</f>
        <v>1551601383527340</v>
      </c>
      <c r="C2485" t="s">
        <v>40</v>
      </c>
      <c r="D2485">
        <v>5.8097000000000003</v>
      </c>
      <c r="E2485">
        <v>0.48353200000000002</v>
      </c>
      <c r="F2485" t="s">
        <v>47</v>
      </c>
      <c r="G2485">
        <v>-462.2158</v>
      </c>
      <c r="H2485" s="1">
        <v>-2.367057E-7</v>
      </c>
      <c r="I2485">
        <v>281.84890000000001</v>
      </c>
      <c r="J2485">
        <v>-446.14859999999999</v>
      </c>
      <c r="K2485">
        <v>1.120592</v>
      </c>
      <c r="L2485">
        <v>285.27760000000001</v>
      </c>
      <c r="M2485">
        <v>-0.99932319999999997</v>
      </c>
      <c r="N2485">
        <v>-1.414633E-2</v>
      </c>
      <c r="O2485">
        <v>3.39625E-2</v>
      </c>
      <c r="P2485">
        <v>-0.97603989999999996</v>
      </c>
      <c r="Q2485">
        <v>0.1502144</v>
      </c>
      <c r="R2485">
        <v>-0.15742310000000001</v>
      </c>
      <c r="S2485">
        <v>-3.0037229999999999</v>
      </c>
      <c r="T2485">
        <v>-0.2056769</v>
      </c>
      <c r="U2485">
        <v>-0.62741089999999999</v>
      </c>
      <c r="V2485">
        <v>-0.1903724</v>
      </c>
      <c r="W2485">
        <v>0.16405310000000001</v>
      </c>
      <c r="X2485">
        <v>0.96790750000000003</v>
      </c>
      <c r="Y2485">
        <v>-0.2369009</v>
      </c>
      <c r="Z2485">
        <v>-1.153623E-2</v>
      </c>
      <c r="AA2485">
        <v>0.97146529999999998</v>
      </c>
      <c r="AB2485">
        <v>30</v>
      </c>
      <c r="AC2485">
        <v>-16.0672</v>
      </c>
      <c r="AD2485">
        <v>-1.1205922367057</v>
      </c>
      <c r="AE2485">
        <v>-3.4286999999999899</v>
      </c>
      <c r="AF2485">
        <v>-3.95406260130693</v>
      </c>
      <c r="AG2485">
        <v>-1.1205922367057</v>
      </c>
      <c r="AH2485">
        <v>15.8676479922017</v>
      </c>
      <c r="AI2485">
        <v>93.920102689009198</v>
      </c>
      <c r="AJ2485">
        <v>103.992567096736</v>
      </c>
      <c r="AK2485">
        <v>16.391235182878798</v>
      </c>
      <c r="AL2485">
        <v>80.557768445685497</v>
      </c>
      <c r="AM2485">
        <v>101.127158561562</v>
      </c>
      <c r="AN2485">
        <v>0.99999999942881002</v>
      </c>
    </row>
    <row r="2486" spans="1:40" x14ac:dyDescent="0.25">
      <c r="A2486" t="str">
        <f>"20190303162303562"</f>
        <v>20190303162303562</v>
      </c>
      <c r="B2486" t="str">
        <f>"1551601383557596"</f>
        <v>1551601383557596</v>
      </c>
      <c r="C2486" t="s">
        <v>40</v>
      </c>
      <c r="D2486">
        <v>5.8716949999999999</v>
      </c>
      <c r="E2486">
        <v>0.4828036</v>
      </c>
      <c r="F2486" t="s">
        <v>47</v>
      </c>
      <c r="G2486">
        <v>-462.05610000000001</v>
      </c>
      <c r="H2486" s="1">
        <v>-3.2967070000000001E-7</v>
      </c>
      <c r="I2486">
        <v>282.03199999999998</v>
      </c>
      <c r="J2486">
        <v>-446.4427</v>
      </c>
      <c r="K2486">
        <v>1.1205989999999999</v>
      </c>
      <c r="L2486">
        <v>285.28800000000001</v>
      </c>
      <c r="M2486">
        <v>-0.99931239999999999</v>
      </c>
      <c r="N2486">
        <v>-1.414868E-2</v>
      </c>
      <c r="O2486">
        <v>3.4273140000000001E-2</v>
      </c>
      <c r="P2486">
        <v>-0.9768481</v>
      </c>
      <c r="Q2486">
        <v>0.15005779999999999</v>
      </c>
      <c r="R2486">
        <v>-0.15248039999999999</v>
      </c>
      <c r="S2486">
        <v>-3.007263</v>
      </c>
      <c r="T2486">
        <v>-0.211844</v>
      </c>
      <c r="U2486">
        <v>-0.61355590000000004</v>
      </c>
      <c r="V2486">
        <v>-0.18576609999999999</v>
      </c>
      <c r="W2486">
        <v>0.16390450000000001</v>
      </c>
      <c r="X2486">
        <v>0.9688272</v>
      </c>
      <c r="Y2486">
        <v>-0.23265189999999999</v>
      </c>
      <c r="Z2486">
        <v>-1.1675670000000001E-2</v>
      </c>
      <c r="AA2486">
        <v>0.97248999999999997</v>
      </c>
      <c r="AB2486">
        <v>30</v>
      </c>
      <c r="AC2486">
        <v>-15.6134</v>
      </c>
      <c r="AD2486">
        <v>-1.1205993296707</v>
      </c>
      <c r="AE2486">
        <v>-3.2560000000000202</v>
      </c>
      <c r="AF2486">
        <v>-3.7706467601031401</v>
      </c>
      <c r="AG2486">
        <v>-1.1205993296707</v>
      </c>
      <c r="AH2486">
        <v>15.416517378483199</v>
      </c>
      <c r="AI2486">
        <v>94.038779568999701</v>
      </c>
      <c r="AJ2486">
        <v>103.743859711046</v>
      </c>
      <c r="AK2486">
        <v>15.9104534168015</v>
      </c>
      <c r="AL2486">
        <v>80.5663988272035</v>
      </c>
      <c r="AM2486">
        <v>100.85433835710199</v>
      </c>
      <c r="AN2486">
        <v>0.999999936244647</v>
      </c>
    </row>
    <row r="2487" spans="1:40" x14ac:dyDescent="0.25">
      <c r="A2487" t="str">
        <f>"20190303162303585"</f>
        <v>20190303162303585</v>
      </c>
      <c r="B2487" t="str">
        <f>"1551601383576912"</f>
        <v>1551601383576912</v>
      </c>
      <c r="C2487" t="s">
        <v>40</v>
      </c>
      <c r="D2487">
        <v>5.8707140000000004</v>
      </c>
      <c r="E2487">
        <v>0.48263</v>
      </c>
      <c r="F2487" t="s">
        <v>47</v>
      </c>
      <c r="G2487">
        <v>-461.94220000000001</v>
      </c>
      <c r="H2487" s="1">
        <v>-3.9657390000000002E-7</v>
      </c>
      <c r="I2487">
        <v>282.1764</v>
      </c>
      <c r="J2487">
        <v>-446.74669999999998</v>
      </c>
      <c r="K2487">
        <v>1.120619</v>
      </c>
      <c r="L2487">
        <v>285.29880000000003</v>
      </c>
      <c r="M2487">
        <v>-0.99930240000000004</v>
      </c>
      <c r="N2487">
        <v>-1.4152359999999999E-2</v>
      </c>
      <c r="O2487">
        <v>3.4562460000000003E-2</v>
      </c>
      <c r="P2487">
        <v>-0.97771589999999997</v>
      </c>
      <c r="Q2487">
        <v>0.14938370000000001</v>
      </c>
      <c r="R2487">
        <v>-0.1475023</v>
      </c>
      <c r="S2487">
        <v>-3.0101930000000001</v>
      </c>
      <c r="T2487">
        <v>-0.2176334</v>
      </c>
      <c r="U2487">
        <v>-0.60430909999999904</v>
      </c>
      <c r="V2487">
        <v>-0.18110960000000001</v>
      </c>
      <c r="W2487">
        <v>0.1632361</v>
      </c>
      <c r="X2487">
        <v>0.9698213</v>
      </c>
      <c r="Y2487">
        <v>-0.22984859999999999</v>
      </c>
      <c r="Z2487">
        <v>-1.185074E-2</v>
      </c>
      <c r="AA2487">
        <v>0.97315419999999997</v>
      </c>
      <c r="AB2487">
        <v>30</v>
      </c>
      <c r="AC2487">
        <v>-15.195499999999999</v>
      </c>
      <c r="AD2487">
        <v>-1.12061939657389</v>
      </c>
      <c r="AE2487">
        <v>-3.1224000000000198</v>
      </c>
      <c r="AF2487">
        <v>-3.6268546734702798</v>
      </c>
      <c r="AG2487">
        <v>-1.12061939657389</v>
      </c>
      <c r="AH2487">
        <v>15.0002158221348</v>
      </c>
      <c r="AI2487">
        <v>94.153213617805704</v>
      </c>
      <c r="AJ2487">
        <v>103.59249612060999</v>
      </c>
      <c r="AK2487">
        <v>15.4730842874029</v>
      </c>
      <c r="AL2487">
        <v>80.605219075520296</v>
      </c>
      <c r="AM2487">
        <v>100.57787874877801</v>
      </c>
      <c r="AN2487">
        <v>1.00000003274452</v>
      </c>
    </row>
    <row r="2488" spans="1:40" x14ac:dyDescent="0.25">
      <c r="A2488" t="str">
        <f>"20190303162303607"</f>
        <v>20190303162303607</v>
      </c>
      <c r="B2488" t="str">
        <f>"1551601383597408"</f>
        <v>1551601383597408</v>
      </c>
      <c r="C2488" t="s">
        <v>40</v>
      </c>
      <c r="D2488">
        <v>5.8698379999999997</v>
      </c>
      <c r="E2488">
        <v>0.48200009999999999</v>
      </c>
      <c r="F2488" t="s">
        <v>47</v>
      </c>
      <c r="G2488">
        <v>-462.01859999999999</v>
      </c>
      <c r="H2488" s="1">
        <v>-3.6146260000000002E-7</v>
      </c>
      <c r="I2488">
        <v>282.3021</v>
      </c>
      <c r="J2488">
        <v>-447.03280000000001</v>
      </c>
      <c r="K2488">
        <v>1.1206469999999999</v>
      </c>
      <c r="L2488">
        <v>285.30900000000003</v>
      </c>
      <c r="M2488">
        <v>-0.99929420000000002</v>
      </c>
      <c r="N2488">
        <v>-1.415662E-2</v>
      </c>
      <c r="O2488">
        <v>3.4796680000000003E-2</v>
      </c>
      <c r="P2488">
        <v>-0.9786726</v>
      </c>
      <c r="Q2488">
        <v>0.14847460000000001</v>
      </c>
      <c r="R2488">
        <v>-0.1419705</v>
      </c>
      <c r="S2488">
        <v>-3.0129700000000001</v>
      </c>
      <c r="T2488">
        <v>-0.22108630000000001</v>
      </c>
      <c r="U2488">
        <v>-0.59121699999999999</v>
      </c>
      <c r="V2488">
        <v>-0.1758537</v>
      </c>
      <c r="W2488">
        <v>0.1623318</v>
      </c>
      <c r="X2488">
        <v>0.97093969999999996</v>
      </c>
      <c r="Y2488">
        <v>-0.22582340000000001</v>
      </c>
      <c r="Z2488">
        <v>-1.1852929999999999E-2</v>
      </c>
      <c r="AA2488">
        <v>0.97409610000000002</v>
      </c>
      <c r="AB2488">
        <v>29</v>
      </c>
      <c r="AC2488">
        <v>-14.9857999999999</v>
      </c>
      <c r="AD2488">
        <v>-1.1206473614626</v>
      </c>
      <c r="AE2488">
        <v>-3.0069000000000199</v>
      </c>
      <c r="AF2488">
        <v>-3.50773046036818</v>
      </c>
      <c r="AG2488">
        <v>-1.1206473614626</v>
      </c>
      <c r="AH2488">
        <v>14.792561790452</v>
      </c>
      <c r="AI2488">
        <v>94.215841469092197</v>
      </c>
      <c r="AJ2488">
        <v>103.340040295798</v>
      </c>
      <c r="AK2488">
        <v>15.244012195471701</v>
      </c>
      <c r="AL2488">
        <v>80.6577319524351</v>
      </c>
      <c r="AM2488">
        <v>100.265953328542</v>
      </c>
      <c r="AN2488">
        <v>1.0000000190655001</v>
      </c>
    </row>
    <row r="2489" spans="1:40" x14ac:dyDescent="0.25">
      <c r="A2489" t="str">
        <f>"20190303162303629"</f>
        <v>20190303162303629</v>
      </c>
      <c r="B2489" t="str">
        <f>"1551601383616928"</f>
        <v>1551601383616928</v>
      </c>
      <c r="C2489" t="s">
        <v>40</v>
      </c>
      <c r="D2489">
        <v>5.8030889999999999</v>
      </c>
      <c r="E2489">
        <v>0.48149639999999999</v>
      </c>
      <c r="F2489" t="s">
        <v>47</v>
      </c>
      <c r="G2489">
        <v>-461.94749999999999</v>
      </c>
      <c r="H2489" s="1">
        <v>-4.0520060000000001E-7</v>
      </c>
      <c r="I2489">
        <v>282.4384</v>
      </c>
      <c r="J2489">
        <v>-447.32389999999998</v>
      </c>
      <c r="K2489">
        <v>1.120679</v>
      </c>
      <c r="L2489">
        <v>285.31939999999997</v>
      </c>
      <c r="M2489">
        <v>-0.99928720000000004</v>
      </c>
      <c r="N2489">
        <v>-1.4160570000000001E-2</v>
      </c>
      <c r="O2489">
        <v>3.499584E-2</v>
      </c>
      <c r="P2489">
        <v>-0.97971580000000003</v>
      </c>
      <c r="Q2489">
        <v>0.14758869999999999</v>
      </c>
      <c r="R2489">
        <v>-0.135554799999999</v>
      </c>
      <c r="S2489">
        <v>-3.0155639999999999</v>
      </c>
      <c r="T2489">
        <v>-0.22657969999999999</v>
      </c>
      <c r="U2489">
        <v>-0.58038330000000005</v>
      </c>
      <c r="V2489">
        <v>-0.169686</v>
      </c>
      <c r="W2489">
        <v>0.16145000000000001</v>
      </c>
      <c r="X2489">
        <v>0.97218340000000003</v>
      </c>
      <c r="Y2489">
        <v>-0.22246079999999999</v>
      </c>
      <c r="Z2489">
        <v>-1.197577E-2</v>
      </c>
      <c r="AA2489">
        <v>0.97486810000000002</v>
      </c>
      <c r="AB2489">
        <v>29</v>
      </c>
      <c r="AC2489">
        <v>-14.6236</v>
      </c>
      <c r="AD2489">
        <v>-1.1206794052005999</v>
      </c>
      <c r="AE2489">
        <v>-2.88099999999997</v>
      </c>
      <c r="AF2489">
        <v>-3.3719878544143902</v>
      </c>
      <c r="AG2489">
        <v>-1.1206794052005999</v>
      </c>
      <c r="AH2489">
        <v>14.4322151041246</v>
      </c>
      <c r="AI2489">
        <v>94.324179620255606</v>
      </c>
      <c r="AJ2489">
        <v>103.150854491961</v>
      </c>
      <c r="AK2489">
        <v>14.863211538267301</v>
      </c>
      <c r="AL2489">
        <v>80.708930593875195</v>
      </c>
      <c r="AM2489">
        <v>99.900734069537904</v>
      </c>
      <c r="AN2489">
        <v>1.00000000216578</v>
      </c>
    </row>
    <row r="2490" spans="1:40" x14ac:dyDescent="0.25">
      <c r="A2490" t="str">
        <f>"20190303162303651"</f>
        <v>20190303162303651</v>
      </c>
      <c r="B2490" t="str">
        <f>"1551601383647184"</f>
        <v>1551601383647184</v>
      </c>
      <c r="C2490" t="s">
        <v>40</v>
      </c>
      <c r="D2490">
        <v>5.8840919999999999</v>
      </c>
      <c r="E2490">
        <v>0.51779470000000005</v>
      </c>
      <c r="F2490" t="s">
        <v>47</v>
      </c>
      <c r="G2490">
        <v>-461.94959999999998</v>
      </c>
      <c r="H2490" s="1">
        <v>-4.104557E-7</v>
      </c>
      <c r="I2490">
        <v>282.58409999999998</v>
      </c>
      <c r="J2490">
        <v>-447.61250000000001</v>
      </c>
      <c r="K2490">
        <v>1.120716</v>
      </c>
      <c r="L2490">
        <v>285.3297</v>
      </c>
      <c r="M2490">
        <v>-0.99928209999999995</v>
      </c>
      <c r="N2490">
        <v>-1.4163800000000001E-2</v>
      </c>
      <c r="O2490">
        <v>3.5140890000000001E-2</v>
      </c>
      <c r="P2490">
        <v>-0.98068230000000001</v>
      </c>
      <c r="Q2490">
        <v>0.1478592</v>
      </c>
      <c r="R2490">
        <v>-0.12806389999999901</v>
      </c>
      <c r="S2490">
        <v>-3.0188600000000001</v>
      </c>
      <c r="T2490">
        <v>-0.23131570000000001</v>
      </c>
      <c r="U2490">
        <v>-0.56457519999999894</v>
      </c>
      <c r="V2490">
        <v>-0.16239029999999999</v>
      </c>
      <c r="W2490">
        <v>0.16172249999999999</v>
      </c>
      <c r="X2490">
        <v>0.97338340000000001</v>
      </c>
      <c r="Y2490">
        <v>-0.2174604</v>
      </c>
      <c r="Z2490">
        <v>-1.197871E-2</v>
      </c>
      <c r="AA2490">
        <v>0.97599570000000002</v>
      </c>
      <c r="AB2490">
        <v>29</v>
      </c>
      <c r="AC2490">
        <v>-14.3370999999999</v>
      </c>
      <c r="AD2490">
        <v>-1.1207164104556999</v>
      </c>
      <c r="AE2490">
        <v>-2.74560000000002</v>
      </c>
      <c r="AF2490">
        <v>-3.2287418974689701</v>
      </c>
      <c r="AG2490">
        <v>-1.1207164104556999</v>
      </c>
      <c r="AH2490">
        <v>14.148357051523799</v>
      </c>
      <c r="AI2490">
        <v>94.415981368560594</v>
      </c>
      <c r="AJ2490">
        <v>102.85510945411301</v>
      </c>
      <c r="AK2490">
        <v>14.555300985226699</v>
      </c>
      <c r="AL2490">
        <v>80.693109656873304</v>
      </c>
      <c r="AM2490">
        <v>99.471470151400197</v>
      </c>
      <c r="AN2490">
        <v>1.00000000996794</v>
      </c>
    </row>
    <row r="2491" spans="1:40" x14ac:dyDescent="0.25">
      <c r="A2491" t="str">
        <f>"20190303162303674"</f>
        <v>20190303162303674</v>
      </c>
      <c r="B2491" t="str">
        <f>"1551601383666704"</f>
        <v>1551601383666704</v>
      </c>
      <c r="C2491" t="s">
        <v>40</v>
      </c>
      <c r="D2491">
        <v>5.607075</v>
      </c>
      <c r="E2491">
        <v>0.55561819999999995</v>
      </c>
      <c r="F2491" t="s">
        <v>47</v>
      </c>
      <c r="G2491">
        <v>-456.87860000000001</v>
      </c>
      <c r="H2491" s="1">
        <v>2.1263240000000001E-6</v>
      </c>
      <c r="I2491">
        <v>284.55509999999998</v>
      </c>
      <c r="J2491">
        <v>-447.91239999999999</v>
      </c>
      <c r="K2491">
        <v>1.1207689999999999</v>
      </c>
      <c r="L2491">
        <v>285.34039999999999</v>
      </c>
      <c r="M2491">
        <v>-0.99927900000000003</v>
      </c>
      <c r="N2491">
        <v>-1.416657E-2</v>
      </c>
      <c r="O2491">
        <v>3.5228679999999998E-2</v>
      </c>
      <c r="P2491">
        <v>-0.98123640000000001</v>
      </c>
      <c r="Q2491">
        <v>0.1489692</v>
      </c>
      <c r="R2491">
        <v>-0.1224075</v>
      </c>
      <c r="S2491">
        <v>-3.0816650000000001</v>
      </c>
      <c r="T2491">
        <v>-0.37272100000000002</v>
      </c>
      <c r="U2491">
        <v>-0.25762940000000001</v>
      </c>
      <c r="V2491">
        <v>-0.1568601</v>
      </c>
      <c r="W2491">
        <v>0.16282629999999901</v>
      </c>
      <c r="X2491">
        <v>0.97410600000000003</v>
      </c>
      <c r="Y2491">
        <v>-0.117219699999999</v>
      </c>
      <c r="Z2491">
        <v>-1.1628390000000001E-2</v>
      </c>
      <c r="AA2491">
        <v>0.99303790000000003</v>
      </c>
      <c r="AB2491">
        <v>29</v>
      </c>
      <c r="AC2491">
        <v>-8.9662000000000095</v>
      </c>
      <c r="AD2491">
        <v>-1.1207668736759999</v>
      </c>
      <c r="AE2491">
        <v>-0.78530000000000599</v>
      </c>
      <c r="AF2491">
        <v>-1.0839046585535701</v>
      </c>
      <c r="AG2491">
        <v>-1.1207668736759999</v>
      </c>
      <c r="AH2491">
        <v>8.7965674478812108</v>
      </c>
      <c r="AI2491">
        <v>97.206984068567294</v>
      </c>
      <c r="AJ2491">
        <v>97.024523201769199</v>
      </c>
      <c r="AK2491">
        <v>8.9336759824322591</v>
      </c>
      <c r="AL2491">
        <v>80.629016946500997</v>
      </c>
      <c r="AM2491">
        <v>99.147798398958102</v>
      </c>
      <c r="AN2491">
        <v>0.99999999708984999</v>
      </c>
    </row>
    <row r="2492" spans="1:40" x14ac:dyDescent="0.25">
      <c r="A2492" t="str">
        <f>"20190303162303695"</f>
        <v>20190303162303695</v>
      </c>
      <c r="B2492" t="str">
        <f>"1551601383687200"</f>
        <v>1551601383687200</v>
      </c>
      <c r="C2492" t="s">
        <v>40</v>
      </c>
      <c r="D2492">
        <v>5.662617</v>
      </c>
      <c r="E2492">
        <v>0.55457789999999996</v>
      </c>
      <c r="F2492" t="s">
        <v>42</v>
      </c>
      <c r="G2492">
        <v>-448.70569999999998</v>
      </c>
      <c r="H2492">
        <v>0.93707940000000001</v>
      </c>
      <c r="I2492">
        <v>285.3535</v>
      </c>
      <c r="J2492">
        <v>-448.19990000000001</v>
      </c>
      <c r="K2492">
        <v>1.1208260000000001</v>
      </c>
      <c r="L2492">
        <v>285.35059999999999</v>
      </c>
      <c r="M2492">
        <v>-0.99927849999999996</v>
      </c>
      <c r="N2492">
        <v>-1.4168709999999999E-2</v>
      </c>
      <c r="O2492">
        <v>3.5243919999999998E-2</v>
      </c>
      <c r="P2492">
        <v>-0.98204309999999995</v>
      </c>
      <c r="Q2492">
        <v>0.1503091</v>
      </c>
      <c r="R2492">
        <v>-0.1140124</v>
      </c>
      <c r="S2492">
        <v>-3.1753849999999999</v>
      </c>
      <c r="T2492">
        <v>-0.73534929999999998</v>
      </c>
      <c r="U2492">
        <v>5.1361080000000003E-2</v>
      </c>
      <c r="V2492">
        <v>-0.14853329999999901</v>
      </c>
      <c r="W2492">
        <v>0.1641637</v>
      </c>
      <c r="X2492">
        <v>0.9751862</v>
      </c>
      <c r="Y2492">
        <v>-1.7759549999999999E-2</v>
      </c>
      <c r="Z2492">
        <v>-9.7164020000000007E-3</v>
      </c>
      <c r="AA2492">
        <v>0.99979510000000005</v>
      </c>
      <c r="AB2492">
        <v>29</v>
      </c>
      <c r="AC2492">
        <v>-0.50579999999996506</v>
      </c>
      <c r="AD2492">
        <v>-0.18374660000000001</v>
      </c>
      <c r="AE2492">
        <v>2.9000000000110001E-3</v>
      </c>
      <c r="AF2492">
        <v>-1.31893927237372E-2</v>
      </c>
      <c r="AG2492">
        <v>-0.18374660000000001</v>
      </c>
      <c r="AH2492">
        <v>0.44664529769190597</v>
      </c>
      <c r="AI2492">
        <v>112.353122219966</v>
      </c>
      <c r="AJ2492">
        <v>91.691447321940601</v>
      </c>
      <c r="AK2492">
        <v>0.48314469369151902</v>
      </c>
      <c r="AL2492">
        <v>80.551344377783295</v>
      </c>
      <c r="AM2492">
        <v>98.660316829496196</v>
      </c>
      <c r="AN2492">
        <v>0.99999999313850996</v>
      </c>
    </row>
    <row r="2493" spans="1:40" x14ac:dyDescent="0.25">
      <c r="A2493" t="str">
        <f>"20190303162303718"</f>
        <v>20190303162303718</v>
      </c>
      <c r="B2493" t="str">
        <f>"1551601383706721"</f>
        <v>1551601383706721</v>
      </c>
      <c r="C2493" t="s">
        <v>40</v>
      </c>
      <c r="D2493">
        <v>5.6070019999999996</v>
      </c>
      <c r="E2493">
        <v>0.55353299999999905</v>
      </c>
      <c r="F2493" t="s">
        <v>42</v>
      </c>
      <c r="G2493">
        <v>-448.96190000000001</v>
      </c>
      <c r="H2493">
        <v>0.92603959999999996</v>
      </c>
      <c r="I2493">
        <v>285.36680000000001</v>
      </c>
      <c r="J2493">
        <v>-448.49439999999998</v>
      </c>
      <c r="K2493">
        <v>1.120886</v>
      </c>
      <c r="L2493">
        <v>285.36099999999999</v>
      </c>
      <c r="M2493">
        <v>-0.99928079999999997</v>
      </c>
      <c r="N2493">
        <v>-1.417041E-2</v>
      </c>
      <c r="O2493">
        <v>3.5174329999999997E-2</v>
      </c>
      <c r="P2493">
        <v>-0.98255689999999996</v>
      </c>
      <c r="Q2493">
        <v>0.15197160000000001</v>
      </c>
      <c r="R2493">
        <v>-0.1071759</v>
      </c>
      <c r="S2493">
        <v>-3.1873779999999998</v>
      </c>
      <c r="T2493">
        <v>-0.814774</v>
      </c>
      <c r="U2493">
        <v>6.7382810000000001E-2</v>
      </c>
      <c r="V2493">
        <v>-0.14167539999999901</v>
      </c>
      <c r="W2493">
        <v>0.16581679999999999</v>
      </c>
      <c r="X2493">
        <v>0.97592670000000004</v>
      </c>
      <c r="Y2493">
        <v>-1.261079E-2</v>
      </c>
      <c r="Z2493">
        <v>-1.003195E-2</v>
      </c>
      <c r="AA2493">
        <v>0.99987020000000004</v>
      </c>
      <c r="AB2493">
        <v>29</v>
      </c>
      <c r="AC2493">
        <v>-0.467500000000029</v>
      </c>
      <c r="AD2493">
        <v>-0.1948464</v>
      </c>
      <c r="AE2493">
        <v>5.8000000000220098E-3</v>
      </c>
      <c r="AF2493">
        <v>-9.0733601362513894E-3</v>
      </c>
      <c r="AG2493">
        <v>-0.1948464</v>
      </c>
      <c r="AH2493">
        <v>0.39824645714179902</v>
      </c>
      <c r="AI2493">
        <v>116.064825069568</v>
      </c>
      <c r="AJ2493">
        <v>91.305159933813997</v>
      </c>
      <c r="AK2493">
        <v>0.44344975598495601</v>
      </c>
      <c r="AL2493">
        <v>80.455312941430606</v>
      </c>
      <c r="AM2493">
        <v>98.259933663564198</v>
      </c>
      <c r="AN2493">
        <v>1.0000000269501399</v>
      </c>
    </row>
    <row r="2494" spans="1:40" x14ac:dyDescent="0.25">
      <c r="A2494" t="str">
        <f>"20190303162303740"</f>
        <v>20190303162303740</v>
      </c>
      <c r="B2494" t="str">
        <f>"1551601383736976"</f>
        <v>1551601383736976</v>
      </c>
      <c r="C2494" t="s">
        <v>40</v>
      </c>
      <c r="D2494">
        <v>5.5874790000000001</v>
      </c>
      <c r="E2494">
        <v>0.55243160000000002</v>
      </c>
      <c r="F2494" t="s">
        <v>42</v>
      </c>
      <c r="G2494">
        <v>-449.22359999999998</v>
      </c>
      <c r="H2494">
        <v>0.92810179999999998</v>
      </c>
      <c r="I2494">
        <v>285.37959999999998</v>
      </c>
      <c r="J2494">
        <v>-448.78570000000002</v>
      </c>
      <c r="K2494">
        <v>1.12096</v>
      </c>
      <c r="L2494">
        <v>285.37119999999999</v>
      </c>
      <c r="M2494">
        <v>-0.99928649999999997</v>
      </c>
      <c r="N2494">
        <v>-1.417156E-2</v>
      </c>
      <c r="O2494">
        <v>3.500996E-2</v>
      </c>
      <c r="P2494">
        <v>-0.98278019999999999</v>
      </c>
      <c r="Q2494">
        <v>0.15359410000000001</v>
      </c>
      <c r="R2494">
        <v>-0.1027251</v>
      </c>
      <c r="S2494">
        <v>-3.1925659999999998</v>
      </c>
      <c r="T2494">
        <v>-0.8439546</v>
      </c>
      <c r="U2494">
        <v>8.0474850000000001E-2</v>
      </c>
      <c r="V2494">
        <v>-0.13710259999999999</v>
      </c>
      <c r="W2494">
        <v>0.16742199999999999</v>
      </c>
      <c r="X2494">
        <v>0.97630570000000005</v>
      </c>
      <c r="Y2494">
        <v>-8.4374540000000005E-3</v>
      </c>
      <c r="Z2494">
        <v>-9.7636210000000001E-3</v>
      </c>
      <c r="AA2494">
        <v>0.99991669999999999</v>
      </c>
      <c r="AB2494">
        <v>29</v>
      </c>
      <c r="AC2494">
        <v>-0.43789999999995599</v>
      </c>
      <c r="AD2494">
        <v>-0.19285820000000001</v>
      </c>
      <c r="AE2494">
        <v>8.3999999999946305E-3</v>
      </c>
      <c r="AF2494">
        <v>-5.8108557115142201E-3</v>
      </c>
      <c r="AG2494">
        <v>-0.19285820000000001</v>
      </c>
      <c r="AH2494">
        <v>0.36680413285442698</v>
      </c>
      <c r="AI2494">
        <v>117.731525516706</v>
      </c>
      <c r="AJ2494">
        <v>90.907595171938993</v>
      </c>
      <c r="AK2494">
        <v>0.41445545385533</v>
      </c>
      <c r="AL2494">
        <v>80.362037955055499</v>
      </c>
      <c r="AM2494">
        <v>97.993772001412296</v>
      </c>
      <c r="AN2494">
        <v>1.00000003443162</v>
      </c>
    </row>
    <row r="2495" spans="1:40" x14ac:dyDescent="0.25">
      <c r="A2495" t="str">
        <f>"20190303162303764"</f>
        <v>20190303162303764</v>
      </c>
      <c r="B2495" t="str">
        <f>"1551601383757472"</f>
        <v>1551601383757472</v>
      </c>
      <c r="C2495" t="s">
        <v>40</v>
      </c>
      <c r="D2495">
        <v>6.477061</v>
      </c>
      <c r="E2495">
        <v>0.55199160000000003</v>
      </c>
      <c r="F2495" t="s">
        <v>42</v>
      </c>
      <c r="G2495">
        <v>-449.48599999999999</v>
      </c>
      <c r="H2495">
        <v>0.93153699999999995</v>
      </c>
      <c r="I2495">
        <v>285.39089999999999</v>
      </c>
      <c r="J2495">
        <v>-449.08150000000001</v>
      </c>
      <c r="K2495">
        <v>1.1210519999999999</v>
      </c>
      <c r="L2495">
        <v>285.38130000000001</v>
      </c>
      <c r="M2495">
        <v>-0.99929590000000001</v>
      </c>
      <c r="N2495">
        <v>-1.4172239999999999E-2</v>
      </c>
      <c r="O2495">
        <v>3.4738909999999998E-2</v>
      </c>
      <c r="P2495">
        <v>-0.98275409999999996</v>
      </c>
      <c r="Q2495">
        <v>0.15559029999999999</v>
      </c>
      <c r="R2495">
        <v>-9.9932279999999998E-2</v>
      </c>
      <c r="S2495">
        <v>-3.196777</v>
      </c>
      <c r="T2495">
        <v>-0.86483029999999905</v>
      </c>
      <c r="U2495">
        <v>8.6822510000000006E-2</v>
      </c>
      <c r="V2495">
        <v>-0.13407849999999999</v>
      </c>
      <c r="W2495">
        <v>0.16939470000000001</v>
      </c>
      <c r="X2495">
        <v>0.97638539999999996</v>
      </c>
      <c r="Y2495">
        <v>-6.240499E-3</v>
      </c>
      <c r="Z2495">
        <v>-9.6179160000000007E-3</v>
      </c>
      <c r="AA2495">
        <v>0.99993430000000005</v>
      </c>
      <c r="AB2495">
        <v>29</v>
      </c>
      <c r="AC2495">
        <v>-0.40449999999998398</v>
      </c>
      <c r="AD2495">
        <v>-0.18951499999999899</v>
      </c>
      <c r="AE2495">
        <v>9.5999999999776195E-3</v>
      </c>
      <c r="AF2495">
        <v>-3.6568425227329099E-3</v>
      </c>
      <c r="AG2495">
        <v>-0.18951499999999899</v>
      </c>
      <c r="AH2495">
        <v>0.33179804352412701</v>
      </c>
      <c r="AI2495">
        <v>119.732462116421</v>
      </c>
      <c r="AJ2495">
        <v>90.631447846525404</v>
      </c>
      <c r="AK2495">
        <v>0.38212465166313803</v>
      </c>
      <c r="AL2495">
        <v>80.247372774504498</v>
      </c>
      <c r="AM2495">
        <v>97.819026780754498</v>
      </c>
      <c r="AN2495">
        <v>1.0000000289417399</v>
      </c>
    </row>
    <row r="2496" spans="1:40" x14ac:dyDescent="0.25">
      <c r="A2496" t="str">
        <f>"20190303162303785"</f>
        <v>20190303162303785</v>
      </c>
      <c r="B2496" t="str">
        <f>"1551601383777461"</f>
        <v>1551601383777461</v>
      </c>
      <c r="C2496" t="s">
        <v>40</v>
      </c>
      <c r="D2496">
        <v>6.6283570000000003</v>
      </c>
      <c r="E2496">
        <v>0.5519018</v>
      </c>
      <c r="F2496" t="s">
        <v>42</v>
      </c>
      <c r="G2496">
        <v>-449.98320000000001</v>
      </c>
      <c r="H2496">
        <v>0.8777393</v>
      </c>
      <c r="I2496">
        <v>285.40809999999999</v>
      </c>
      <c r="J2496">
        <v>-449.36419999999998</v>
      </c>
      <c r="K2496">
        <v>1.1211420000000001</v>
      </c>
      <c r="L2496">
        <v>285.39069999999998</v>
      </c>
      <c r="M2496">
        <v>-0.99930830000000004</v>
      </c>
      <c r="N2496">
        <v>-1.4172840000000001E-2</v>
      </c>
      <c r="O2496">
        <v>3.4381780000000001E-2</v>
      </c>
      <c r="P2496">
        <v>-0.98276470000000005</v>
      </c>
      <c r="Q2496">
        <v>0.15687139999999999</v>
      </c>
      <c r="R2496">
        <v>-9.780171E-2</v>
      </c>
      <c r="S2496">
        <v>-3.1987610000000002</v>
      </c>
      <c r="T2496">
        <v>-0.86332940000000002</v>
      </c>
      <c r="U2496">
        <v>9.3292239999999999E-2</v>
      </c>
      <c r="V2496">
        <v>-0.13163179999999999</v>
      </c>
      <c r="W2496">
        <v>0.17065449999999999</v>
      </c>
      <c r="X2496">
        <v>0.97649889999999995</v>
      </c>
      <c r="Y2496">
        <v>-3.9822920000000001E-3</v>
      </c>
      <c r="Z2496">
        <v>-9.1894049999999994E-3</v>
      </c>
      <c r="AA2496">
        <v>0.99994989999999995</v>
      </c>
      <c r="AB2496">
        <v>29</v>
      </c>
      <c r="AC2496">
        <v>-0.61900000000002797</v>
      </c>
      <c r="AD2496">
        <v>-0.2434027</v>
      </c>
      <c r="AE2496">
        <v>1.7400000000009099E-2</v>
      </c>
      <c r="AF2496">
        <v>-3.3735391200453201E-3</v>
      </c>
      <c r="AG2496">
        <v>-0.2434027</v>
      </c>
      <c r="AH2496">
        <v>0.53636435349079903</v>
      </c>
      <c r="AI2496">
        <v>114.408169867045</v>
      </c>
      <c r="AJ2496">
        <v>90.3603651204362</v>
      </c>
      <c r="AK2496">
        <v>0.58901865405867004</v>
      </c>
      <c r="AL2496">
        <v>80.174124715426501</v>
      </c>
      <c r="AM2496">
        <v>97.677178914786097</v>
      </c>
      <c r="AN2496">
        <v>0.99999999542134999</v>
      </c>
    </row>
    <row r="2497" spans="1:40" x14ac:dyDescent="0.25">
      <c r="A2497" t="str">
        <f>"20190303162303808"</f>
        <v>20190303162303808</v>
      </c>
      <c r="B2497" t="str">
        <f>"1551601383796983"</f>
        <v>1551601383796983</v>
      </c>
      <c r="C2497" t="s">
        <v>40</v>
      </c>
      <c r="D2497">
        <v>5.5506719999999996</v>
      </c>
      <c r="E2497">
        <v>0.55205289999999996</v>
      </c>
      <c r="F2497" t="s">
        <v>42</v>
      </c>
      <c r="G2497">
        <v>-450.2457</v>
      </c>
      <c r="H2497">
        <v>0.88422440000000002</v>
      </c>
      <c r="I2497">
        <v>285.41829999999999</v>
      </c>
      <c r="J2497">
        <v>-449.66030000000001</v>
      </c>
      <c r="K2497">
        <v>1.121216</v>
      </c>
      <c r="L2497">
        <v>285.40050000000002</v>
      </c>
      <c r="M2497">
        <v>-0.99932379999999998</v>
      </c>
      <c r="N2497">
        <v>-1.417333E-2</v>
      </c>
      <c r="O2497">
        <v>3.392792E-2</v>
      </c>
      <c r="P2497">
        <v>-0.9828964</v>
      </c>
      <c r="Q2497">
        <v>0.1568485</v>
      </c>
      <c r="R2497">
        <v>-9.6504569999999998E-2</v>
      </c>
      <c r="S2497">
        <v>-3.1998600000000001</v>
      </c>
      <c r="T2497">
        <v>-0.86018719999999904</v>
      </c>
      <c r="U2497">
        <v>9.9487300000000001E-2</v>
      </c>
      <c r="V2497">
        <v>-0.1299246</v>
      </c>
      <c r="W2497">
        <v>0.1706145</v>
      </c>
      <c r="X2497">
        <v>0.97673449999999995</v>
      </c>
      <c r="Y2497">
        <v>-1.713544E-3</v>
      </c>
      <c r="Z2497">
        <v>-8.7225600000000007E-3</v>
      </c>
      <c r="AA2497">
        <v>0.99996050000000003</v>
      </c>
      <c r="AB2497">
        <v>29</v>
      </c>
      <c r="AC2497">
        <v>-0.58539999999999204</v>
      </c>
      <c r="AD2497">
        <v>-0.2369916</v>
      </c>
      <c r="AE2497">
        <v>1.77999999999656E-2</v>
      </c>
      <c r="AF2497">
        <v>-1.7818808828533399E-3</v>
      </c>
      <c r="AG2497">
        <v>-0.2369916</v>
      </c>
      <c r="AH2497">
        <v>0.50326194994197804</v>
      </c>
      <c r="AI2497">
        <v>115.216124653306</v>
      </c>
      <c r="AJ2497">
        <v>90.202864189453706</v>
      </c>
      <c r="AK2497">
        <v>0.55627401865397497</v>
      </c>
      <c r="AL2497">
        <v>80.176450667613693</v>
      </c>
      <c r="AM2497">
        <v>97.576967630305901</v>
      </c>
      <c r="AN2497">
        <v>0.99999999639282899</v>
      </c>
    </row>
    <row r="2498" spans="1:40" x14ac:dyDescent="0.25">
      <c r="A2498" t="str">
        <f>"20190303162303831"</f>
        <v>20190303162303831</v>
      </c>
      <c r="B2498" t="str">
        <f>"1551601383817478"</f>
        <v>1551601383817478</v>
      </c>
      <c r="C2498" t="s">
        <v>40</v>
      </c>
      <c r="D2498">
        <v>5.5775389999999998</v>
      </c>
      <c r="E2498">
        <v>0.55191509999999999</v>
      </c>
      <c r="F2498" t="s">
        <v>42</v>
      </c>
      <c r="G2498">
        <v>-450.50900000000001</v>
      </c>
      <c r="H2498">
        <v>0.89353329999999997</v>
      </c>
      <c r="I2498">
        <v>285.42919999999998</v>
      </c>
      <c r="J2498">
        <v>-449.95490000000001</v>
      </c>
      <c r="K2498">
        <v>1.1212690000000001</v>
      </c>
      <c r="L2498">
        <v>285.40989999999999</v>
      </c>
      <c r="M2498">
        <v>-0.99934140000000005</v>
      </c>
      <c r="N2498">
        <v>-1.417325E-2</v>
      </c>
      <c r="O2498">
        <v>3.3405959999999998E-2</v>
      </c>
      <c r="P2498">
        <v>-0.9829445</v>
      </c>
      <c r="Q2498">
        <v>0.15677479999999999</v>
      </c>
      <c r="R2498">
        <v>-9.6135880000000007E-2</v>
      </c>
      <c r="S2498">
        <v>-3.1996769999999999</v>
      </c>
      <c r="T2498">
        <v>-0.85860409999999998</v>
      </c>
      <c r="U2498">
        <v>0.1065979</v>
      </c>
      <c r="V2498">
        <v>-0.12906860000000001</v>
      </c>
      <c r="W2498">
        <v>0.17052619999999999</v>
      </c>
      <c r="X2498">
        <v>0.97686340000000005</v>
      </c>
      <c r="Y2498">
        <v>9.1178069999999997E-4</v>
      </c>
      <c r="Z2498">
        <v>-8.2111389999999992E-3</v>
      </c>
      <c r="AA2498">
        <v>0.99996580000000002</v>
      </c>
      <c r="AB2498">
        <v>29</v>
      </c>
      <c r="AC2498">
        <v>-0.55410000000000503</v>
      </c>
      <c r="AD2498">
        <v>-0.22773570000000001</v>
      </c>
      <c r="AE2498">
        <v>1.9299999999986901E-2</v>
      </c>
      <c r="AF2498">
        <v>6.6493811729923305E-4</v>
      </c>
      <c r="AG2498">
        <v>-0.22773570000000001</v>
      </c>
      <c r="AH2498">
        <v>0.47439660793541599</v>
      </c>
      <c r="AI2498">
        <v>115.64347003061999</v>
      </c>
      <c r="AJ2498">
        <v>89.919691409736302</v>
      </c>
      <c r="AK2498">
        <v>0.52622821362771699</v>
      </c>
      <c r="AL2498">
        <v>80.181585117331807</v>
      </c>
      <c r="AM2498">
        <v>97.526639695290001</v>
      </c>
      <c r="AN2498">
        <v>0.99999999532598005</v>
      </c>
    </row>
    <row r="2499" spans="1:40" x14ac:dyDescent="0.25">
      <c r="A2499" t="str">
        <f>"20190303162303852"</f>
        <v>20190303162303852</v>
      </c>
      <c r="B2499" t="str">
        <f>"1551601383846757"</f>
        <v>1551601383846757</v>
      </c>
      <c r="C2499" t="s">
        <v>40</v>
      </c>
      <c r="D2499">
        <v>5.5515970000000001</v>
      </c>
      <c r="E2499">
        <v>0.54211779999999998</v>
      </c>
      <c r="F2499" t="s">
        <v>42</v>
      </c>
      <c r="G2499">
        <v>-450.7715</v>
      </c>
      <c r="H2499">
        <v>0.90143490000000004</v>
      </c>
      <c r="I2499">
        <v>285.43770000000001</v>
      </c>
      <c r="J2499">
        <v>-450.23660000000001</v>
      </c>
      <c r="K2499">
        <v>1.12131</v>
      </c>
      <c r="L2499">
        <v>285.41879999999998</v>
      </c>
      <c r="M2499">
        <v>-0.99935969999999996</v>
      </c>
      <c r="N2499">
        <v>-1.417275E-2</v>
      </c>
      <c r="O2499">
        <v>3.2853060000000003E-2</v>
      </c>
      <c r="P2499">
        <v>-0.9829386</v>
      </c>
      <c r="Q2499">
        <v>0.156686299999999</v>
      </c>
      <c r="R2499">
        <v>-9.6339400000000006E-2</v>
      </c>
      <c r="S2499">
        <v>-3.1999819999999999</v>
      </c>
      <c r="T2499">
        <v>-0.8614444</v>
      </c>
      <c r="U2499">
        <v>0.107666</v>
      </c>
      <c r="V2499">
        <v>-0.12874669999999999</v>
      </c>
      <c r="W2499">
        <v>0.17042570000000001</v>
      </c>
      <c r="X2499">
        <v>0.9769234</v>
      </c>
      <c r="Y2499">
        <v>1.7529640000000001E-3</v>
      </c>
      <c r="Z2499">
        <v>-7.982411E-3</v>
      </c>
      <c r="AA2499">
        <v>0.99996660000000004</v>
      </c>
      <c r="AB2499">
        <v>29</v>
      </c>
      <c r="AC2499">
        <v>-0.53489999999999305</v>
      </c>
      <c r="AD2499">
        <v>-0.21987509999999999</v>
      </c>
      <c r="AE2499">
        <v>1.89000000000305E-2</v>
      </c>
      <c r="AF2499">
        <v>1.12506465231742E-3</v>
      </c>
      <c r="AG2499">
        <v>-0.21987509999999999</v>
      </c>
      <c r="AH2499">
        <v>0.45794943452065001</v>
      </c>
      <c r="AI2499">
        <v>115.64697526400499</v>
      </c>
      <c r="AJ2499">
        <v>89.859239204788196</v>
      </c>
      <c r="AK2499">
        <v>0.50800000979159998</v>
      </c>
      <c r="AL2499">
        <v>80.187428740532496</v>
      </c>
      <c r="AM2499">
        <v>97.507626639638303</v>
      </c>
      <c r="AN2499">
        <v>0.99999998072446905</v>
      </c>
    </row>
    <row r="2500" spans="1:40" x14ac:dyDescent="0.25">
      <c r="A2500" t="str">
        <f>"20190303162303874"</f>
        <v>20190303162303874</v>
      </c>
      <c r="B2500" t="str">
        <f>"1551601383867253"</f>
        <v>1551601383867253</v>
      </c>
      <c r="C2500" t="s">
        <v>40</v>
      </c>
      <c r="D2500">
        <v>5.4974959999999999</v>
      </c>
      <c r="E2500">
        <v>0.53980220000000001</v>
      </c>
      <c r="F2500" t="s">
        <v>42</v>
      </c>
      <c r="G2500">
        <v>-451.01740000000001</v>
      </c>
      <c r="H2500">
        <v>0.86744869999999996</v>
      </c>
      <c r="I2500">
        <v>285.42610000000002</v>
      </c>
      <c r="J2500">
        <v>-450.5231</v>
      </c>
      <c r="K2500">
        <v>1.121345</v>
      </c>
      <c r="L2500">
        <v>285.42759999999998</v>
      </c>
      <c r="M2500">
        <v>-0.99937940000000003</v>
      </c>
      <c r="N2500">
        <v>-1.417202E-2</v>
      </c>
      <c r="O2500">
        <v>3.225223E-2</v>
      </c>
      <c r="P2500">
        <v>-0.98265449999999999</v>
      </c>
      <c r="Q2500">
        <v>0.1572896</v>
      </c>
      <c r="R2500">
        <v>-9.8237959999999999E-2</v>
      </c>
      <c r="S2500">
        <v>-3.221924</v>
      </c>
      <c r="T2500">
        <v>-1.047485</v>
      </c>
      <c r="U2500">
        <v>2.893066E-2</v>
      </c>
      <c r="V2500">
        <v>-0.1300608</v>
      </c>
      <c r="W2500">
        <v>0.1710129</v>
      </c>
      <c r="X2500">
        <v>0.97664669999999998</v>
      </c>
      <c r="Y2500">
        <v>-2.064821E-2</v>
      </c>
      <c r="Z2500">
        <v>-1.319644E-2</v>
      </c>
      <c r="AA2500">
        <v>0.99969969999999997</v>
      </c>
      <c r="AB2500">
        <v>29</v>
      </c>
      <c r="AC2500">
        <v>-0.49430000000000901</v>
      </c>
      <c r="AD2500">
        <v>-0.25389630000000002</v>
      </c>
      <c r="AE2500">
        <v>-1.4999999999645199E-3</v>
      </c>
      <c r="AF2500">
        <v>-1.38017518467146E-2</v>
      </c>
      <c r="AG2500">
        <v>-0.25389630000000002</v>
      </c>
      <c r="AH2500">
        <v>0.390870304326222</v>
      </c>
      <c r="AI2500">
        <v>122.990103343304</v>
      </c>
      <c r="AJ2500">
        <v>92.022291572912295</v>
      </c>
      <c r="AK2500">
        <v>0.46629755983899501</v>
      </c>
      <c r="AL2500">
        <v>80.1532835869248</v>
      </c>
      <c r="AM2500">
        <v>97.585492074413807</v>
      </c>
      <c r="AN2500">
        <v>1.00000000014197</v>
      </c>
    </row>
    <row r="2501" spans="1:40" x14ac:dyDescent="0.25">
      <c r="A2501" t="str">
        <f>"20190303162303897"</f>
        <v>20190303162303897</v>
      </c>
      <c r="B2501" t="str">
        <f>"1551601383887281"</f>
        <v>1551601383887281</v>
      </c>
      <c r="C2501" t="s">
        <v>40</v>
      </c>
      <c r="D2501">
        <v>5.4024760000000001</v>
      </c>
      <c r="E2501">
        <v>0.53947609999999901</v>
      </c>
      <c r="F2501" t="s">
        <v>42</v>
      </c>
      <c r="G2501">
        <v>-451.27699999999999</v>
      </c>
      <c r="H2501">
        <v>0.86880040000000003</v>
      </c>
      <c r="I2501">
        <v>285.4289</v>
      </c>
      <c r="J2501">
        <v>-450.80770000000001</v>
      </c>
      <c r="K2501">
        <v>1.1213679999999999</v>
      </c>
      <c r="L2501">
        <v>285.43610000000001</v>
      </c>
      <c r="M2501">
        <v>-0.99939920000000004</v>
      </c>
      <c r="N2501">
        <v>-1.417099E-2</v>
      </c>
      <c r="O2501">
        <v>3.1635160000000002E-2</v>
      </c>
      <c r="P2501">
        <v>-0.98218000000000005</v>
      </c>
      <c r="Q2501">
        <v>0.15836169999999999</v>
      </c>
      <c r="R2501">
        <v>-0.1012146</v>
      </c>
      <c r="S2501">
        <v>-3.2265929999999998</v>
      </c>
      <c r="T2501">
        <v>-1.0809169999999999</v>
      </c>
      <c r="U2501">
        <v>6.2561040000000002E-3</v>
      </c>
      <c r="V2501">
        <v>-0.1324275</v>
      </c>
      <c r="W2501">
        <v>0.1720671</v>
      </c>
      <c r="X2501">
        <v>0.97614339999999999</v>
      </c>
      <c r="Y2501">
        <v>-2.6598340000000002E-2</v>
      </c>
      <c r="Z2501">
        <v>-1.4408260000000001E-2</v>
      </c>
      <c r="AA2501">
        <v>0.99954240000000005</v>
      </c>
      <c r="AB2501">
        <v>29</v>
      </c>
      <c r="AC2501">
        <v>-0.46929999999997501</v>
      </c>
      <c r="AD2501">
        <v>-0.252567599999999</v>
      </c>
      <c r="AE2501">
        <v>-7.2000000000116398E-3</v>
      </c>
      <c r="AF2501">
        <v>-1.7094289371638701E-2</v>
      </c>
      <c r="AG2501">
        <v>-0.252567599999999</v>
      </c>
      <c r="AH2501">
        <v>0.363561229503582</v>
      </c>
      <c r="AI2501">
        <v>124.758242159487</v>
      </c>
      <c r="AJ2501">
        <v>92.692008223885097</v>
      </c>
      <c r="AK2501">
        <v>0.44301170966131098</v>
      </c>
      <c r="AL2501">
        <v>80.091973918372602</v>
      </c>
      <c r="AM2501">
        <v>97.725806874352003</v>
      </c>
      <c r="AN2501">
        <v>1.0000000335110999</v>
      </c>
    </row>
    <row r="2502" spans="1:40" x14ac:dyDescent="0.25">
      <c r="A2502" t="str">
        <f>"20190303162303919"</f>
        <v>20190303162303919</v>
      </c>
      <c r="B2502" t="str">
        <f>"1551601383906802"</f>
        <v>1551601383906802</v>
      </c>
      <c r="C2502" t="s">
        <v>40</v>
      </c>
      <c r="D2502">
        <v>5.3474120000000003</v>
      </c>
      <c r="E2502">
        <v>0.53936790000000001</v>
      </c>
      <c r="F2502" t="s">
        <v>42</v>
      </c>
      <c r="G2502">
        <v>-451.53859999999997</v>
      </c>
      <c r="H2502">
        <v>0.87625659999999905</v>
      </c>
      <c r="I2502">
        <v>285.43509999999998</v>
      </c>
      <c r="J2502">
        <v>-451.09899999999999</v>
      </c>
      <c r="K2502">
        <v>1.1213770000000001</v>
      </c>
      <c r="L2502">
        <v>285.44459999999998</v>
      </c>
      <c r="M2502">
        <v>-0.99941919999999995</v>
      </c>
      <c r="N2502">
        <v>-1.416953E-2</v>
      </c>
      <c r="O2502">
        <v>3.0994649999999999E-2</v>
      </c>
      <c r="P2502">
        <v>-0.98156489999999996</v>
      </c>
      <c r="Q2502">
        <v>0.15918119999999999</v>
      </c>
      <c r="R2502">
        <v>-0.10579180000000001</v>
      </c>
      <c r="S2502">
        <v>-3.2284549999999999</v>
      </c>
      <c r="T2502">
        <v>-1.0826800000000001</v>
      </c>
      <c r="U2502">
        <v>-5.2490230000000002E-3</v>
      </c>
      <c r="V2502">
        <v>-0.13636300000000001</v>
      </c>
      <c r="W2502">
        <v>0.17286609999999999</v>
      </c>
      <c r="X2502">
        <v>0.97546010000000005</v>
      </c>
      <c r="Y2502">
        <v>-2.938694E-2</v>
      </c>
      <c r="Z2502">
        <v>-1.469838E-2</v>
      </c>
      <c r="AA2502">
        <v>0.99946000000000002</v>
      </c>
      <c r="AB2502">
        <v>29</v>
      </c>
      <c r="AC2502">
        <v>-0.439599999999984</v>
      </c>
      <c r="AD2502">
        <v>-0.24512039999999999</v>
      </c>
      <c r="AE2502">
        <v>-9.5000000000027198E-3</v>
      </c>
      <c r="AF2502">
        <v>-1.7640034857490001E-2</v>
      </c>
      <c r="AG2502">
        <v>-0.24512039999999999</v>
      </c>
      <c r="AH2502">
        <v>0.334989258122462</v>
      </c>
      <c r="AI2502">
        <v>126.156113031871</v>
      </c>
      <c r="AJ2502">
        <v>93.014326216927898</v>
      </c>
      <c r="AK2502">
        <v>0.41546718809476502</v>
      </c>
      <c r="AL2502">
        <v>80.045497645601003</v>
      </c>
      <c r="AM2502">
        <v>97.958006994490304</v>
      </c>
      <c r="AN2502">
        <v>0.99999998149510905</v>
      </c>
    </row>
    <row r="2503" spans="1:40" x14ac:dyDescent="0.25">
      <c r="A2503" t="str">
        <f>"20190303162303941"</f>
        <v>20190303162303941</v>
      </c>
      <c r="B2503" t="str">
        <f>"1551601383937057"</f>
        <v>1551601383937057</v>
      </c>
      <c r="C2503" t="s">
        <v>40</v>
      </c>
      <c r="D2503">
        <v>5.2570199999999998</v>
      </c>
      <c r="E2503">
        <v>0.53935429999999995</v>
      </c>
      <c r="F2503" t="s">
        <v>42</v>
      </c>
      <c r="G2503">
        <v>-451.80099999999999</v>
      </c>
      <c r="H2503">
        <v>0.88616649999999997</v>
      </c>
      <c r="I2503">
        <v>285.4402</v>
      </c>
      <c r="J2503">
        <v>-451.38409999999999</v>
      </c>
      <c r="K2503">
        <v>1.121389</v>
      </c>
      <c r="L2503">
        <v>285.45269999999999</v>
      </c>
      <c r="M2503">
        <v>-0.99943850000000001</v>
      </c>
      <c r="N2503">
        <v>-1.4167819999999999E-2</v>
      </c>
      <c r="O2503">
        <v>3.0365E-2</v>
      </c>
      <c r="P2503">
        <v>-0.98091629999999996</v>
      </c>
      <c r="Q2503">
        <v>0.1596504</v>
      </c>
      <c r="R2503">
        <v>-0.11097310000000001</v>
      </c>
      <c r="S2503">
        <v>-3.229492</v>
      </c>
      <c r="T2503">
        <v>-1.0820559999999999</v>
      </c>
      <c r="U2503">
        <v>-2.1545410000000001E-2</v>
      </c>
      <c r="V2503">
        <v>-0.14091039999999999</v>
      </c>
      <c r="W2503">
        <v>0.17331549999999901</v>
      </c>
      <c r="X2503">
        <v>0.97473379999999998</v>
      </c>
      <c r="Y2503">
        <v>-3.3596710000000002E-2</v>
      </c>
      <c r="Z2503">
        <v>-1.5206300000000001E-2</v>
      </c>
      <c r="AA2503">
        <v>0.99931979999999998</v>
      </c>
      <c r="AB2503">
        <v>29</v>
      </c>
      <c r="AC2503">
        <v>-0.41689999999999799</v>
      </c>
      <c r="AD2503">
        <v>-0.235222499999999</v>
      </c>
      <c r="AE2503">
        <v>-1.24999999999886E-2</v>
      </c>
      <c r="AF2503">
        <v>-1.90846764579377E-2</v>
      </c>
      <c r="AG2503">
        <v>-0.235222499999999</v>
      </c>
      <c r="AH2503">
        <v>0.31586525793099401</v>
      </c>
      <c r="AI2503">
        <v>126.624785984236</v>
      </c>
      <c r="AJ2503">
        <v>93.457625300747907</v>
      </c>
      <c r="AK2503">
        <v>0.39429013498890297</v>
      </c>
      <c r="AL2503">
        <v>80.019354417768795</v>
      </c>
      <c r="AM2503">
        <v>98.225860604617097</v>
      </c>
      <c r="AN2503">
        <v>0.99999999211542401</v>
      </c>
    </row>
    <row r="2504" spans="1:40" x14ac:dyDescent="0.25">
      <c r="A2504" t="str">
        <f>"20190303162303964"</f>
        <v>20190303162303964</v>
      </c>
      <c r="B2504" t="str">
        <f>"1551601383957553"</f>
        <v>1551601383957553</v>
      </c>
      <c r="C2504" t="s">
        <v>40</v>
      </c>
      <c r="D2504">
        <v>5.209149</v>
      </c>
      <c r="E2504">
        <v>0.53919220000000001</v>
      </c>
      <c r="F2504" t="s">
        <v>42</v>
      </c>
      <c r="G2504">
        <v>-452.06240000000003</v>
      </c>
      <c r="H2504">
        <v>0.894374</v>
      </c>
      <c r="I2504">
        <v>285.44459999999998</v>
      </c>
      <c r="J2504">
        <v>-451.67189999999999</v>
      </c>
      <c r="K2504">
        <v>1.121399</v>
      </c>
      <c r="L2504">
        <v>285.46080000000001</v>
      </c>
      <c r="M2504">
        <v>-0.9994575</v>
      </c>
      <c r="N2504">
        <v>-1.4165799999999999E-2</v>
      </c>
      <c r="O2504">
        <v>2.9729559999999999E-2</v>
      </c>
      <c r="P2504">
        <v>-0.98015300000000005</v>
      </c>
      <c r="Q2504">
        <v>0.160108</v>
      </c>
      <c r="R2504">
        <v>-0.1169003</v>
      </c>
      <c r="S2504">
        <v>-3.229797</v>
      </c>
      <c r="T2504">
        <v>-1.080892</v>
      </c>
      <c r="U2504">
        <v>-3.9367680000000002E-2</v>
      </c>
      <c r="V2504">
        <v>-0.14619270000000001</v>
      </c>
      <c r="W2504">
        <v>0.1737522</v>
      </c>
      <c r="X2504">
        <v>0.97387769999999996</v>
      </c>
      <c r="Y2504">
        <v>-3.8248959999999999E-2</v>
      </c>
      <c r="Z2504">
        <v>-1.5782560000000001E-2</v>
      </c>
      <c r="AA2504">
        <v>0.99914360000000002</v>
      </c>
      <c r="AB2504">
        <v>29</v>
      </c>
      <c r="AC2504">
        <v>-0.39050000000003099</v>
      </c>
      <c r="AD2504">
        <v>-0.227025</v>
      </c>
      <c r="AE2504">
        <v>-1.62000000000261E-2</v>
      </c>
      <c r="AF2504">
        <v>-2.0788978837994299E-2</v>
      </c>
      <c r="AG2504">
        <v>-0.227025</v>
      </c>
      <c r="AH2504">
        <v>0.291492933256708</v>
      </c>
      <c r="AI2504">
        <v>127.84228113181901</v>
      </c>
      <c r="AJ2504">
        <v>94.079369510223898</v>
      </c>
      <c r="AK2504">
        <v>0.37005494511589199</v>
      </c>
      <c r="AL2504">
        <v>79.993947490147093</v>
      </c>
      <c r="AM2504">
        <v>98.537154812206595</v>
      </c>
      <c r="AN2504">
        <v>0.99999995354770899</v>
      </c>
    </row>
    <row r="2505" spans="1:40" x14ac:dyDescent="0.25">
      <c r="A2505" t="str">
        <f>"20190303162303986"</f>
        <v>20190303162303986</v>
      </c>
      <c r="B2505" t="str">
        <f>"1551601383977074"</f>
        <v>1551601383977074</v>
      </c>
      <c r="C2505" t="s">
        <v>40</v>
      </c>
      <c r="D2505">
        <v>5.4429990000000004</v>
      </c>
      <c r="E2505">
        <v>0.53931960000000001</v>
      </c>
      <c r="F2505" t="s">
        <v>42</v>
      </c>
      <c r="G2505">
        <v>-452.54899999999998</v>
      </c>
      <c r="H2505">
        <v>0.82783200000000001</v>
      </c>
      <c r="I2505">
        <v>285.44540000000001</v>
      </c>
      <c r="J2505">
        <v>-451.9599</v>
      </c>
      <c r="K2505">
        <v>1.1214029999999999</v>
      </c>
      <c r="L2505">
        <v>285.46859999999998</v>
      </c>
      <c r="M2505">
        <v>-0.99947629999999998</v>
      </c>
      <c r="N2505">
        <v>-1.416361E-2</v>
      </c>
      <c r="O2505">
        <v>2.9096859999999999E-2</v>
      </c>
      <c r="P2505">
        <v>-0.97902929999999999</v>
      </c>
      <c r="Q2505">
        <v>0.16133129999999901</v>
      </c>
      <c r="R2505">
        <v>-0.124394</v>
      </c>
      <c r="S2505">
        <v>-3.2303470000000001</v>
      </c>
      <c r="T2505">
        <v>-1.0812839999999999</v>
      </c>
      <c r="U2505">
        <v>-5.8624269999999999E-2</v>
      </c>
      <c r="V2505">
        <v>-0.15303310000000001</v>
      </c>
      <c r="W2505">
        <v>0.17494770000000001</v>
      </c>
      <c r="X2505">
        <v>0.97261200000000003</v>
      </c>
      <c r="Y2505">
        <v>-4.3310700000000001E-2</v>
      </c>
      <c r="Z2505">
        <v>-1.6449140000000001E-2</v>
      </c>
      <c r="AA2505">
        <v>0.99892619999999999</v>
      </c>
      <c r="AB2505">
        <v>29</v>
      </c>
      <c r="AC2505">
        <v>-0.58910000000003004</v>
      </c>
      <c r="AD2505">
        <v>-0.29357100000000003</v>
      </c>
      <c r="AE2505">
        <v>-2.31999999999743E-2</v>
      </c>
      <c r="AF2505">
        <v>-3.2319122664992497E-2</v>
      </c>
      <c r="AG2505">
        <v>-0.29357100000000003</v>
      </c>
      <c r="AH2505">
        <v>0.47131088722472397</v>
      </c>
      <c r="AI2505">
        <v>121.857749267266</v>
      </c>
      <c r="AJ2505">
        <v>93.922792970154703</v>
      </c>
      <c r="AK2505">
        <v>0.55620356898116996</v>
      </c>
      <c r="AL2505">
        <v>79.924385057184793</v>
      </c>
      <c r="AM2505">
        <v>98.941746836906006</v>
      </c>
      <c r="AN2505">
        <v>0.99999996498744903</v>
      </c>
    </row>
    <row r="2506" spans="1:40" x14ac:dyDescent="0.25">
      <c r="A2506" t="str">
        <f>"20190303162304010"</f>
        <v>20190303162304010</v>
      </c>
      <c r="B2506" t="str">
        <f>"1551601383997569"</f>
        <v>1551601383997569</v>
      </c>
      <c r="C2506" t="s">
        <v>40</v>
      </c>
      <c r="D2506">
        <v>5.2694830000000001</v>
      </c>
      <c r="E2506">
        <v>0.52630869999999996</v>
      </c>
      <c r="F2506" t="s">
        <v>42</v>
      </c>
      <c r="G2506">
        <v>-452.8107</v>
      </c>
      <c r="H2506">
        <v>0.83845959999999997</v>
      </c>
      <c r="I2506">
        <v>285.44760000000002</v>
      </c>
      <c r="J2506">
        <v>-452.26319999999998</v>
      </c>
      <c r="K2506">
        <v>1.1214059999999999</v>
      </c>
      <c r="L2506">
        <v>285.47660000000002</v>
      </c>
      <c r="M2506">
        <v>-0.99949549999999998</v>
      </c>
      <c r="N2506">
        <v>-1.416122E-2</v>
      </c>
      <c r="O2506">
        <v>2.8435410000000001E-2</v>
      </c>
      <c r="P2506">
        <v>-0.97754649999999998</v>
      </c>
      <c r="Q2506">
        <v>0.1622594</v>
      </c>
      <c r="R2506">
        <v>-0.134442899999999</v>
      </c>
      <c r="S2506">
        <v>-3.2310490000000001</v>
      </c>
      <c r="T2506">
        <v>-1.074479</v>
      </c>
      <c r="U2506">
        <v>-8.0810549999999995E-2</v>
      </c>
      <c r="V2506">
        <v>-0.1623906</v>
      </c>
      <c r="W2506">
        <v>0.17584060000000001</v>
      </c>
      <c r="X2506">
        <v>0.97093220000000002</v>
      </c>
      <c r="Y2506">
        <v>-4.924978E-2</v>
      </c>
      <c r="Z2506">
        <v>-1.7145669999999998E-2</v>
      </c>
      <c r="AA2506">
        <v>0.99863930000000001</v>
      </c>
      <c r="AB2506">
        <v>29</v>
      </c>
      <c r="AC2506">
        <v>-0.54750000000001298</v>
      </c>
      <c r="AD2506">
        <v>-0.28294639999999899</v>
      </c>
      <c r="AE2506">
        <v>-2.89999999999963E-2</v>
      </c>
      <c r="AF2506">
        <v>-3.5186836114039E-2</v>
      </c>
      <c r="AG2506">
        <v>-0.28294639999999899</v>
      </c>
      <c r="AH2506">
        <v>0.43152495309882499</v>
      </c>
      <c r="AI2506">
        <v>123.16544117933501</v>
      </c>
      <c r="AJ2506">
        <v>94.661623284587293</v>
      </c>
      <c r="AK2506">
        <v>0.51721423400329902</v>
      </c>
      <c r="AL2506">
        <v>79.872420263114293</v>
      </c>
      <c r="AM2506">
        <v>99.494964046683293</v>
      </c>
      <c r="AN2506">
        <v>0.99999998028677894</v>
      </c>
    </row>
    <row r="2507" spans="1:40" x14ac:dyDescent="0.25">
      <c r="A2507" t="str">
        <f>"20190303162304032"</f>
        <v>20190303162304032</v>
      </c>
      <c r="B2507" t="str">
        <f>"1551601384017089"</f>
        <v>1551601384017089</v>
      </c>
      <c r="C2507" t="s">
        <v>40</v>
      </c>
      <c r="D2507">
        <v>5.1373319999999998</v>
      </c>
      <c r="E2507">
        <v>0.4608989</v>
      </c>
      <c r="F2507" t="s">
        <v>42</v>
      </c>
      <c r="G2507">
        <v>-453.10899999999998</v>
      </c>
      <c r="H2507">
        <v>0.92869849999999998</v>
      </c>
      <c r="I2507">
        <v>285.42059999999998</v>
      </c>
      <c r="J2507">
        <v>-452.54199999999997</v>
      </c>
      <c r="K2507">
        <v>1.1214040000000001</v>
      </c>
      <c r="L2507">
        <v>285.48379999999997</v>
      </c>
      <c r="M2507">
        <v>-0.99951239999999997</v>
      </c>
      <c r="N2507">
        <v>-1.415888E-2</v>
      </c>
      <c r="O2507">
        <v>2.7835249999999999E-2</v>
      </c>
      <c r="P2507">
        <v>-0.97625740000000005</v>
      </c>
      <c r="Q2507">
        <v>0.16275000000000001</v>
      </c>
      <c r="R2507">
        <v>-0.14294949999999901</v>
      </c>
      <c r="S2507">
        <v>-3.1595149999999999</v>
      </c>
      <c r="T2507">
        <v>-0.72001549999999903</v>
      </c>
      <c r="U2507">
        <v>-0.21047969999999999</v>
      </c>
      <c r="V2507">
        <v>-0.17027210000000001</v>
      </c>
      <c r="W2507">
        <v>0.1763005</v>
      </c>
      <c r="X2507">
        <v>0.96949759999999996</v>
      </c>
      <c r="Y2507">
        <v>-9.112017E-2</v>
      </c>
      <c r="Z2507">
        <v>-1.6762920000000001E-2</v>
      </c>
      <c r="AA2507">
        <v>0.99569879999999999</v>
      </c>
      <c r="AB2507">
        <v>29</v>
      </c>
      <c r="AC2507">
        <v>-0.56700000000006401</v>
      </c>
      <c r="AD2507">
        <v>-0.1927055</v>
      </c>
      <c r="AE2507">
        <v>-6.3199999999994802E-2</v>
      </c>
      <c r="AF2507">
        <v>-7.0873492762552198E-2</v>
      </c>
      <c r="AG2507">
        <v>-0.1927055</v>
      </c>
      <c r="AH2507">
        <v>0.507157674319892</v>
      </c>
      <c r="AI2507">
        <v>110.622061653215</v>
      </c>
      <c r="AJ2507">
        <v>97.955362723180002</v>
      </c>
      <c r="AK2507">
        <v>0.54714474166181604</v>
      </c>
      <c r="AL2507">
        <v>79.845652206131604</v>
      </c>
      <c r="AM2507">
        <v>99.9612217243548</v>
      </c>
      <c r="AN2507">
        <v>1.0000000253721999</v>
      </c>
    </row>
    <row r="2508" spans="1:40" x14ac:dyDescent="0.25">
      <c r="A2508" t="str">
        <f>"20190303162304053"</f>
        <v>20190303162304053</v>
      </c>
      <c r="B2508" t="str">
        <f>"1551601384047345"</f>
        <v>1551601384047345</v>
      </c>
      <c r="C2508" t="s">
        <v>40</v>
      </c>
      <c r="D2508">
        <v>5.1612269999999896</v>
      </c>
      <c r="E2508">
        <v>0.43952639999999998</v>
      </c>
      <c r="F2508" t="s">
        <v>46</v>
      </c>
      <c r="G2508">
        <v>-472.93830000000003</v>
      </c>
      <c r="H2508" s="1">
        <v>4.9429039999999998E-6</v>
      </c>
      <c r="I2508">
        <v>280.40440000000001</v>
      </c>
      <c r="J2508">
        <v>-452.82380000000001</v>
      </c>
      <c r="K2508">
        <v>1.1214</v>
      </c>
      <c r="L2508">
        <v>285.49099999999999</v>
      </c>
      <c r="M2508">
        <v>-0.9995288</v>
      </c>
      <c r="N2508">
        <v>-1.415631E-2</v>
      </c>
      <c r="O2508">
        <v>2.7238720000000001E-2</v>
      </c>
      <c r="P2508">
        <v>-0.97517880000000001</v>
      </c>
      <c r="Q2508">
        <v>0.16259079999999901</v>
      </c>
      <c r="R2508">
        <v>-0.1503014</v>
      </c>
      <c r="S2508">
        <v>-2.9912719999999999</v>
      </c>
      <c r="T2508">
        <v>-0.16446169999999999</v>
      </c>
      <c r="U2508">
        <v>-0.74493409999999904</v>
      </c>
      <c r="V2508">
        <v>-0.1770089</v>
      </c>
      <c r="W2508">
        <v>0.176118</v>
      </c>
      <c r="X2508">
        <v>0.9683235</v>
      </c>
      <c r="Y2508">
        <v>-0.26749390000000001</v>
      </c>
      <c r="Z2508">
        <v>-1.025708E-2</v>
      </c>
      <c r="AA2508">
        <v>0.96350499999999994</v>
      </c>
      <c r="AB2508">
        <v>29</v>
      </c>
      <c r="AC2508">
        <v>-20.1145</v>
      </c>
      <c r="AD2508">
        <v>-1.1213950570959901</v>
      </c>
      <c r="AE2508">
        <v>-5.0865999999999696</v>
      </c>
      <c r="AF2508">
        <v>-5.6162535461579797</v>
      </c>
      <c r="AG2508">
        <v>-1.1213950570959901</v>
      </c>
      <c r="AH2508">
        <v>19.910304625435302</v>
      </c>
      <c r="AI2508">
        <v>93.102798392143896</v>
      </c>
      <c r="AJ2508">
        <v>105.752577378881</v>
      </c>
      <c r="AK2508">
        <v>20.717626819846998</v>
      </c>
      <c r="AL2508">
        <v>79.856275160701301</v>
      </c>
      <c r="AM2508">
        <v>100.35925454934301</v>
      </c>
      <c r="AN2508">
        <v>1.00000005062772</v>
      </c>
    </row>
    <row r="2509" spans="1:40" x14ac:dyDescent="0.25">
      <c r="A2509" t="str">
        <f>"20190303162304078"</f>
        <v>20190303162304078</v>
      </c>
      <c r="B2509" t="str">
        <f>"1551601384066865"</f>
        <v>1551601384066865</v>
      </c>
      <c r="C2509" t="s">
        <v>40</v>
      </c>
      <c r="D2509">
        <v>5.0614499999999998</v>
      </c>
      <c r="E2509">
        <v>0.43610409999999999</v>
      </c>
      <c r="F2509" t="s">
        <v>47</v>
      </c>
      <c r="G2509">
        <v>-469.66809999999998</v>
      </c>
      <c r="H2509" s="1">
        <v>3.8019270000000001E-6</v>
      </c>
      <c r="I2509">
        <v>280.1814</v>
      </c>
      <c r="J2509">
        <v>-453.13389999999998</v>
      </c>
      <c r="K2509">
        <v>1.121386</v>
      </c>
      <c r="L2509">
        <v>285.49869999999999</v>
      </c>
      <c r="M2509">
        <v>-0.99954609999999999</v>
      </c>
      <c r="N2509">
        <v>-1.415332E-2</v>
      </c>
      <c r="O2509">
        <v>2.6596439999999999E-2</v>
      </c>
      <c r="P2509">
        <v>-0.97429460000000001</v>
      </c>
      <c r="Q2509">
        <v>0.16236030000000001</v>
      </c>
      <c r="R2509">
        <v>-0.15617159999999999</v>
      </c>
      <c r="S2509">
        <v>-2.9652099999999999</v>
      </c>
      <c r="T2509">
        <v>-0.19740659999999999</v>
      </c>
      <c r="U2509">
        <v>-0.93469239999999998</v>
      </c>
      <c r="V2509">
        <v>-0.18222479999999999</v>
      </c>
      <c r="W2509">
        <v>0.17586959999999999</v>
      </c>
      <c r="X2509">
        <v>0.9674007</v>
      </c>
      <c r="Y2509">
        <v>-0.32505970000000001</v>
      </c>
      <c r="Z2509">
        <v>-1.4272669999999999E-2</v>
      </c>
      <c r="AA2509">
        <v>0.94558580000000003</v>
      </c>
      <c r="AB2509">
        <v>29</v>
      </c>
      <c r="AC2509">
        <v>-16.534199999999998</v>
      </c>
      <c r="AD2509">
        <v>-1.1213821980730001</v>
      </c>
      <c r="AE2509">
        <v>-5.3172999999999799</v>
      </c>
      <c r="AF2509">
        <v>-5.7313214582047403</v>
      </c>
      <c r="AG2509">
        <v>-1.1213821980730001</v>
      </c>
      <c r="AH2509">
        <v>16.3188861931256</v>
      </c>
      <c r="AI2509">
        <v>93.709551463681606</v>
      </c>
      <c r="AJ2509">
        <v>109.351676923127</v>
      </c>
      <c r="AK2509">
        <v>17.332385591014798</v>
      </c>
      <c r="AL2509">
        <v>79.870733137706907</v>
      </c>
      <c r="AM2509">
        <v>100.667546414977</v>
      </c>
      <c r="AN2509">
        <v>1.0000000541498399</v>
      </c>
    </row>
    <row r="2510" spans="1:40" x14ac:dyDescent="0.25">
      <c r="A2510" t="str">
        <f>"20190303162304098"</f>
        <v>20190303162304098</v>
      </c>
      <c r="B2510" t="str">
        <f>"1551601384087361"</f>
        <v>1551601384087361</v>
      </c>
      <c r="C2510" t="s">
        <v>40</v>
      </c>
      <c r="D2510">
        <v>5.0489389999999998</v>
      </c>
      <c r="E2510">
        <v>0.43550909999999898</v>
      </c>
      <c r="F2510" t="s">
        <v>47</v>
      </c>
      <c r="G2510">
        <v>-468.40280000000001</v>
      </c>
      <c r="H2510" s="1">
        <v>3.1166579999999998E-6</v>
      </c>
      <c r="I2510">
        <v>280.45479999999998</v>
      </c>
      <c r="J2510">
        <v>-453.39179999999999</v>
      </c>
      <c r="K2510">
        <v>1.1213740000000001</v>
      </c>
      <c r="L2510">
        <v>285.50490000000002</v>
      </c>
      <c r="M2510">
        <v>-0.9995598</v>
      </c>
      <c r="N2510">
        <v>-1.415081E-2</v>
      </c>
      <c r="O2510">
        <v>2.60757E-2</v>
      </c>
      <c r="P2510">
        <v>-0.97357570000000004</v>
      </c>
      <c r="Q2510">
        <v>0.1617449</v>
      </c>
      <c r="R2510">
        <v>-0.16121150000000001</v>
      </c>
      <c r="S2510">
        <v>-2.9587400000000001</v>
      </c>
      <c r="T2510">
        <v>-0.21729619999999999</v>
      </c>
      <c r="U2510">
        <v>-0.97738650000000005</v>
      </c>
      <c r="V2510">
        <v>-0.18673380000000001</v>
      </c>
      <c r="W2510">
        <v>0.1752416</v>
      </c>
      <c r="X2510">
        <v>0.96665449999999997</v>
      </c>
      <c r="Y2510">
        <v>-0.3372889</v>
      </c>
      <c r="Z2510">
        <v>-1.6008069999999999E-2</v>
      </c>
      <c r="AA2510">
        <v>0.94126500000000002</v>
      </c>
      <c r="AB2510">
        <v>29</v>
      </c>
      <c r="AC2510">
        <v>-15.010999999999999</v>
      </c>
      <c r="AD2510">
        <v>-1.121370883342</v>
      </c>
      <c r="AE2510">
        <v>-5.0501000000000396</v>
      </c>
      <c r="AF2510">
        <v>-5.4127091554141602</v>
      </c>
      <c r="AG2510">
        <v>-1.121370883342</v>
      </c>
      <c r="AH2510">
        <v>14.8000017384299</v>
      </c>
      <c r="AI2510">
        <v>94.070233809617704</v>
      </c>
      <c r="AJ2510">
        <v>110.088656187214</v>
      </c>
      <c r="AK2510">
        <v>15.798574129225701</v>
      </c>
      <c r="AL2510">
        <v>79.907282232373205</v>
      </c>
      <c r="AM2510">
        <v>100.93345829783</v>
      </c>
      <c r="AN2510">
        <v>1.00000002640162</v>
      </c>
    </row>
    <row r="2511" spans="1:40" x14ac:dyDescent="0.25">
      <c r="A2511" t="str">
        <f>"20190303162304120"</f>
        <v>20190303162304120</v>
      </c>
      <c r="B2511" t="str">
        <f>"1551601384106881"</f>
        <v>1551601384106881</v>
      </c>
      <c r="C2511" t="s">
        <v>40</v>
      </c>
      <c r="D2511">
        <v>4.9986290000000002</v>
      </c>
      <c r="E2511">
        <v>0.43606640000000002</v>
      </c>
      <c r="F2511" t="s">
        <v>47</v>
      </c>
      <c r="G2511">
        <v>-468.19110000000001</v>
      </c>
      <c r="H2511" s="1">
        <v>3.001341E-6</v>
      </c>
      <c r="I2511">
        <v>280.51560000000001</v>
      </c>
      <c r="J2511">
        <v>-453.6737</v>
      </c>
      <c r="K2511">
        <v>1.1213580000000001</v>
      </c>
      <c r="L2511">
        <v>285.51159999999999</v>
      </c>
      <c r="M2511">
        <v>-0.99957419999999997</v>
      </c>
      <c r="N2511">
        <v>-1.4147979999999999E-2</v>
      </c>
      <c r="O2511">
        <v>2.552043E-2</v>
      </c>
      <c r="P2511">
        <v>-0.97298879999999999</v>
      </c>
      <c r="Q2511">
        <v>0.16122210000000001</v>
      </c>
      <c r="R2511">
        <v>-0.16522770000000001</v>
      </c>
      <c r="S2511">
        <v>-2.9536739999999999</v>
      </c>
      <c r="T2511">
        <v>-0.22380520000000001</v>
      </c>
      <c r="U2511">
        <v>-0.99578860000000002</v>
      </c>
      <c r="V2511">
        <v>-0.19018850000000001</v>
      </c>
      <c r="W2511">
        <v>0.17471099999999901</v>
      </c>
      <c r="X2511">
        <v>0.96607679999999996</v>
      </c>
      <c r="Y2511">
        <v>-0.3424432</v>
      </c>
      <c r="Z2511">
        <v>-1.6629930000000001E-2</v>
      </c>
      <c r="AA2511">
        <v>0.93939130000000004</v>
      </c>
      <c r="AB2511">
        <v>29</v>
      </c>
      <c r="AC2511">
        <v>-14.5174</v>
      </c>
      <c r="AD2511">
        <v>-1.1213549986589999</v>
      </c>
      <c r="AE2511">
        <v>-4.99599999999998</v>
      </c>
      <c r="AF2511">
        <v>-5.3364322937000699</v>
      </c>
      <c r="AG2511">
        <v>-1.1213549986589999</v>
      </c>
      <c r="AH2511">
        <v>14.308826525222401</v>
      </c>
      <c r="AI2511">
        <v>94.199563326509207</v>
      </c>
      <c r="AJ2511">
        <v>110.452843815767</v>
      </c>
      <c r="AK2511">
        <v>15.312656960409299</v>
      </c>
      <c r="AL2511">
        <v>79.938159373557596</v>
      </c>
      <c r="AM2511">
        <v>101.137217332595</v>
      </c>
      <c r="AN2511">
        <v>0.99999999127574501</v>
      </c>
    </row>
    <row r="2512" spans="1:40" x14ac:dyDescent="0.25">
      <c r="A2512" t="str">
        <f>"20190303162304143"</f>
        <v>20190303162304143</v>
      </c>
      <c r="B2512" t="str">
        <f>"1551601384137137"</f>
        <v>1551601384137137</v>
      </c>
      <c r="C2512" t="s">
        <v>40</v>
      </c>
      <c r="D2512">
        <v>5.0448490000000001</v>
      </c>
      <c r="E2512">
        <v>0.4368223</v>
      </c>
      <c r="F2512" t="s">
        <v>47</v>
      </c>
      <c r="G2512">
        <v>-468.27929999999998</v>
      </c>
      <c r="H2512" s="1">
        <v>3.0468059999999999E-6</v>
      </c>
      <c r="I2512">
        <v>280.54939999999999</v>
      </c>
      <c r="J2512">
        <v>-453.96190000000001</v>
      </c>
      <c r="K2512">
        <v>1.12134</v>
      </c>
      <c r="L2512">
        <v>285.51830000000001</v>
      </c>
      <c r="M2512">
        <v>-0.99958820000000004</v>
      </c>
      <c r="N2512">
        <v>-1.4145049999999999E-2</v>
      </c>
      <c r="O2512">
        <v>2.4967619999999999E-2</v>
      </c>
      <c r="P2512">
        <v>-0.97268370000000004</v>
      </c>
      <c r="Q2512">
        <v>0.15971469999999999</v>
      </c>
      <c r="R2512">
        <v>-0.1684571</v>
      </c>
      <c r="S2512">
        <v>-2.9506230000000002</v>
      </c>
      <c r="T2512">
        <v>-0.2265364</v>
      </c>
      <c r="U2512">
        <v>-1.002472</v>
      </c>
      <c r="V2512">
        <v>-0.1928658</v>
      </c>
      <c r="W2512">
        <v>0.17320089999999999</v>
      </c>
      <c r="X2512">
        <v>0.96581790000000001</v>
      </c>
      <c r="Y2512">
        <v>-0.3440957</v>
      </c>
      <c r="Z2512">
        <v>-1.685613E-2</v>
      </c>
      <c r="AA2512">
        <v>0.93878329999999999</v>
      </c>
      <c r="AB2512">
        <v>29</v>
      </c>
      <c r="AC2512">
        <v>-14.3173999999999</v>
      </c>
      <c r="AD2512">
        <v>-1.1213369531940001</v>
      </c>
      <c r="AE2512">
        <v>-4.9689000000000103</v>
      </c>
      <c r="AF2512">
        <v>-5.29586506462591</v>
      </c>
      <c r="AG2512">
        <v>-1.1213369531940001</v>
      </c>
      <c r="AH2512">
        <v>14.111606272993599</v>
      </c>
      <c r="AI2512">
        <v>94.254719598104003</v>
      </c>
      <c r="AJ2512">
        <v>110.570327603594</v>
      </c>
      <c r="AK2512">
        <v>15.114265279838</v>
      </c>
      <c r="AL2512">
        <v>80.026021343315605</v>
      </c>
      <c r="AM2512">
        <v>101.292945527995</v>
      </c>
      <c r="AN2512">
        <v>0.99999999226542902</v>
      </c>
    </row>
    <row r="2513" spans="1:40" x14ac:dyDescent="0.25">
      <c r="A2513" t="str">
        <f>"20190303162304165"</f>
        <v>20190303162304165</v>
      </c>
      <c r="B2513" t="str">
        <f>"1551601384156658"</f>
        <v>1551601384156658</v>
      </c>
      <c r="C2513" t="s">
        <v>40</v>
      </c>
      <c r="D2513">
        <v>5.0564790000000004</v>
      </c>
      <c r="E2513">
        <v>0.43740269999999998</v>
      </c>
      <c r="F2513" t="s">
        <v>47</v>
      </c>
      <c r="G2513">
        <v>-467.89109999999999</v>
      </c>
      <c r="H2513" s="1">
        <v>2.8306769999999999E-6</v>
      </c>
      <c r="I2513">
        <v>280.7681</v>
      </c>
      <c r="J2513">
        <v>-454.2439</v>
      </c>
      <c r="K2513">
        <v>1.1213219999999999</v>
      </c>
      <c r="L2513">
        <v>285.52480000000003</v>
      </c>
      <c r="M2513">
        <v>-0.99960119999999997</v>
      </c>
      <c r="N2513">
        <v>-1.414199E-2</v>
      </c>
      <c r="O2513">
        <v>2.4441330000000001E-2</v>
      </c>
      <c r="P2513">
        <v>-0.97249859999999999</v>
      </c>
      <c r="Q2513">
        <v>0.158181399999999</v>
      </c>
      <c r="R2513">
        <v>-0.17095389999999999</v>
      </c>
      <c r="S2513">
        <v>-2.949036</v>
      </c>
      <c r="T2513">
        <v>-0.2374058</v>
      </c>
      <c r="U2513">
        <v>-1.0057069999999999</v>
      </c>
      <c r="V2513">
        <v>-0.1948413</v>
      </c>
      <c r="W2513">
        <v>0.17166600000000001</v>
      </c>
      <c r="X2513">
        <v>0.96569539999999998</v>
      </c>
      <c r="Y2513">
        <v>-0.34457349999999998</v>
      </c>
      <c r="Z2513">
        <v>-1.7552970000000001E-2</v>
      </c>
      <c r="AA2513">
        <v>0.93859519999999996</v>
      </c>
      <c r="AB2513">
        <v>29</v>
      </c>
      <c r="AC2513">
        <v>-13.6471999999999</v>
      </c>
      <c r="AD2513">
        <v>-1.121319169323</v>
      </c>
      <c r="AE2513">
        <v>-4.7567000000000199</v>
      </c>
      <c r="AF2513">
        <v>-5.0584174606285899</v>
      </c>
      <c r="AG2513">
        <v>-1.121319169323</v>
      </c>
      <c r="AH2513">
        <v>13.445909718354899</v>
      </c>
      <c r="AI2513">
        <v>94.4631177560954</v>
      </c>
      <c r="AJ2513">
        <v>110.616546934673</v>
      </c>
      <c r="AK2513">
        <v>14.409629837009501</v>
      </c>
      <c r="AL2513">
        <v>80.115301809172195</v>
      </c>
      <c r="AM2513">
        <v>101.407009667472</v>
      </c>
      <c r="AN2513">
        <v>0.99999997666142404</v>
      </c>
    </row>
    <row r="2514" spans="1:40" x14ac:dyDescent="0.25">
      <c r="A2514" t="str">
        <f>"20190303162304187"</f>
        <v>20190303162304187</v>
      </c>
      <c r="B2514" t="str">
        <f>"1551601384177153"</f>
        <v>1551601384177153</v>
      </c>
      <c r="C2514" t="s">
        <v>40</v>
      </c>
      <c r="D2514">
        <v>5.0320640000000001</v>
      </c>
      <c r="E2514">
        <v>0.43812489999999998</v>
      </c>
      <c r="F2514" t="s">
        <v>47</v>
      </c>
      <c r="G2514">
        <v>-467.73099999999999</v>
      </c>
      <c r="H2514" s="1">
        <v>2.7391889999999999E-6</v>
      </c>
      <c r="I2514">
        <v>280.91210000000001</v>
      </c>
      <c r="J2514">
        <v>-454.52850000000001</v>
      </c>
      <c r="K2514">
        <v>1.1213089999999999</v>
      </c>
      <c r="L2514">
        <v>285.53109999999998</v>
      </c>
      <c r="M2514">
        <v>-0.99961390000000006</v>
      </c>
      <c r="N2514">
        <v>-1.413903E-2</v>
      </c>
      <c r="O2514">
        <v>2.3918729999999999E-2</v>
      </c>
      <c r="P2514">
        <v>-0.97231190000000001</v>
      </c>
      <c r="Q2514">
        <v>0.15709609999999999</v>
      </c>
      <c r="R2514">
        <v>-0.1730043</v>
      </c>
      <c r="S2514">
        <v>-2.947479</v>
      </c>
      <c r="T2514">
        <v>-0.24505279999999999</v>
      </c>
      <c r="U2514">
        <v>-1.008057</v>
      </c>
      <c r="V2514">
        <v>-0.1963761</v>
      </c>
      <c r="W2514">
        <v>0.17057829999999999</v>
      </c>
      <c r="X2514">
        <v>0.96557720000000002</v>
      </c>
      <c r="Y2514">
        <v>-0.34482849999999998</v>
      </c>
      <c r="Z2514">
        <v>-1.803008E-2</v>
      </c>
      <c r="AA2514">
        <v>0.93849249999999995</v>
      </c>
      <c r="AB2514">
        <v>28</v>
      </c>
      <c r="AC2514">
        <v>-13.202499999999899</v>
      </c>
      <c r="AD2514">
        <v>-1.121306260811</v>
      </c>
      <c r="AE2514">
        <v>-4.6189999999999696</v>
      </c>
      <c r="AF2514">
        <v>-4.9019932204037504</v>
      </c>
      <c r="AG2514">
        <v>-1.121306260811</v>
      </c>
      <c r="AH2514">
        <v>13.004653382752499</v>
      </c>
      <c r="AI2514">
        <v>94.612742362362297</v>
      </c>
      <c r="AJ2514">
        <v>110.653506896908</v>
      </c>
      <c r="AK2514">
        <v>13.9430224438231</v>
      </c>
      <c r="AL2514">
        <v>80.178554964269907</v>
      </c>
      <c r="AM2514">
        <v>101.495851716488</v>
      </c>
      <c r="AN2514">
        <v>0.99999992912096702</v>
      </c>
    </row>
    <row r="2515" spans="1:40" x14ac:dyDescent="0.25">
      <c r="A2515" t="str">
        <f>"20190303162304210"</f>
        <v>20190303162304210</v>
      </c>
      <c r="B2515" t="str">
        <f>"1551601384196673"</f>
        <v>1551601384196673</v>
      </c>
      <c r="C2515" t="s">
        <v>40</v>
      </c>
      <c r="D2515">
        <v>5.0205950000000001</v>
      </c>
      <c r="E2515">
        <v>0.43894480000000002</v>
      </c>
      <c r="F2515" t="s">
        <v>47</v>
      </c>
      <c r="G2515">
        <v>-467.827</v>
      </c>
      <c r="H2515" s="1">
        <v>2.7873099999999998E-6</v>
      </c>
      <c r="I2515">
        <v>280.97919999999999</v>
      </c>
      <c r="J2515">
        <v>-454.81569999999999</v>
      </c>
      <c r="K2515">
        <v>1.121291</v>
      </c>
      <c r="L2515">
        <v>285.53739999999999</v>
      </c>
      <c r="M2515">
        <v>-0.99962629999999997</v>
      </c>
      <c r="N2515">
        <v>-1.4136070000000001E-2</v>
      </c>
      <c r="O2515">
        <v>2.3397330000000001E-2</v>
      </c>
      <c r="P2515">
        <v>-0.97211170000000002</v>
      </c>
      <c r="Q2515">
        <v>0.154839</v>
      </c>
      <c r="R2515">
        <v>-0.1761366</v>
      </c>
      <c r="S2515">
        <v>-2.946167</v>
      </c>
      <c r="T2515">
        <v>-0.24841650000000001</v>
      </c>
      <c r="U2515">
        <v>-1.008453</v>
      </c>
      <c r="V2515">
        <v>-0.1989937</v>
      </c>
      <c r="W2515">
        <v>0.16831650000000001</v>
      </c>
      <c r="X2515">
        <v>0.96543829999999997</v>
      </c>
      <c r="Y2515">
        <v>-0.34454759999999901</v>
      </c>
      <c r="Z2515">
        <v>-1.8203980000000002E-2</v>
      </c>
      <c r="AA2515">
        <v>0.93859230000000005</v>
      </c>
      <c r="AB2515">
        <v>28</v>
      </c>
      <c r="AC2515">
        <v>-13.0113</v>
      </c>
      <c r="AD2515">
        <v>-1.1212882126899999</v>
      </c>
      <c r="AE2515">
        <v>-4.5581999999999896</v>
      </c>
      <c r="AF2515">
        <v>-4.8294659468594698</v>
      </c>
      <c r="AG2515">
        <v>-1.1212882126899999</v>
      </c>
      <c r="AH2515">
        <v>12.8162994286116</v>
      </c>
      <c r="AI2515">
        <v>94.680342686905504</v>
      </c>
      <c r="AJ2515">
        <v>110.647522155526</v>
      </c>
      <c r="AK2515">
        <v>13.741854301062199</v>
      </c>
      <c r="AL2515">
        <v>80.310049018168996</v>
      </c>
      <c r="AM2515">
        <v>101.646556830894</v>
      </c>
      <c r="AN2515">
        <v>1.00000002395941</v>
      </c>
    </row>
    <row r="2516" spans="1:40" x14ac:dyDescent="0.25">
      <c r="A2516" t="str">
        <f>"20190303162304244"</f>
        <v>20190303162304244</v>
      </c>
      <c r="B2516" t="str">
        <f>"1551601384236690"</f>
        <v>1551601384236690</v>
      </c>
      <c r="C2516" t="s">
        <v>40</v>
      </c>
      <c r="D2516">
        <v>5.053172</v>
      </c>
      <c r="E2516">
        <v>0.4402044</v>
      </c>
      <c r="F2516" t="s">
        <v>47</v>
      </c>
      <c r="G2516">
        <v>-467.7937</v>
      </c>
      <c r="H2516" s="1">
        <v>2.7652400000000001E-6</v>
      </c>
      <c r="I2516">
        <v>281.07889999999998</v>
      </c>
      <c r="J2516">
        <v>-455.24059999999997</v>
      </c>
      <c r="K2516">
        <v>1.1212789999999999</v>
      </c>
      <c r="L2516">
        <v>285.54640000000001</v>
      </c>
      <c r="M2516">
        <v>-0.99964419999999998</v>
      </c>
      <c r="N2516">
        <v>-1.4131609999999999E-2</v>
      </c>
      <c r="O2516">
        <v>2.2629650000000001E-2</v>
      </c>
      <c r="P2516">
        <v>-0.97209230000000002</v>
      </c>
      <c r="Q2516">
        <v>0.15248610000000001</v>
      </c>
      <c r="R2516">
        <v>-0.1782839</v>
      </c>
      <c r="S2516">
        <v>-2.9433289999999999</v>
      </c>
      <c r="T2516">
        <v>-0.25430239999999998</v>
      </c>
      <c r="U2516">
        <v>-1.011169</v>
      </c>
      <c r="V2516">
        <v>-0.20039309999999999</v>
      </c>
      <c r="W2516">
        <v>0.1659612</v>
      </c>
      <c r="X2516">
        <v>0.96555659999999999</v>
      </c>
      <c r="Y2516">
        <v>-0.34481790000000001</v>
      </c>
      <c r="Z2516">
        <v>-1.8554149999999998E-2</v>
      </c>
      <c r="AA2516">
        <v>0.93848620000000005</v>
      </c>
      <c r="AB2516">
        <v>28</v>
      </c>
      <c r="AC2516">
        <v>-12.553100000000001</v>
      </c>
      <c r="AD2516">
        <v>-1.12127623476</v>
      </c>
      <c r="AE2516">
        <v>-4.4675000000000296</v>
      </c>
      <c r="AF2516">
        <v>-4.7170519969149396</v>
      </c>
      <c r="AG2516">
        <v>-1.12127623476</v>
      </c>
      <c r="AH2516">
        <v>12.361239250555901</v>
      </c>
      <c r="AI2516">
        <v>94.844139754449401</v>
      </c>
      <c r="AJ2516">
        <v>110.886866910583</v>
      </c>
      <c r="AK2516">
        <v>13.2781051263243</v>
      </c>
      <c r="AL2516">
        <v>80.446923226454203</v>
      </c>
      <c r="AM2516">
        <v>101.72480255961599</v>
      </c>
      <c r="AN2516">
        <v>1.0000000311182999</v>
      </c>
    </row>
    <row r="2517" spans="1:40" x14ac:dyDescent="0.25">
      <c r="A2517" t="str">
        <f>"20190303162304265"</f>
        <v>20190303162304265</v>
      </c>
      <c r="B2517" t="str">
        <f>"1551601384257186"</f>
        <v>1551601384257186</v>
      </c>
      <c r="C2517" t="s">
        <v>40</v>
      </c>
      <c r="D2517">
        <v>5.024991</v>
      </c>
      <c r="E2517">
        <v>0.44057740000000001</v>
      </c>
      <c r="F2517" t="s">
        <v>47</v>
      </c>
      <c r="G2517">
        <v>-467.88279999999997</v>
      </c>
      <c r="H2517" s="1">
        <v>2.8065889999999999E-6</v>
      </c>
      <c r="I2517">
        <v>281.2183</v>
      </c>
      <c r="J2517">
        <v>-455.5206</v>
      </c>
      <c r="K2517">
        <v>1.1212740000000001</v>
      </c>
      <c r="L2517">
        <v>285.5521</v>
      </c>
      <c r="M2517">
        <v>-0.99965550000000003</v>
      </c>
      <c r="N2517">
        <v>-1.4128699999999999E-2</v>
      </c>
      <c r="O2517">
        <v>2.2123150000000001E-2</v>
      </c>
      <c r="P2517">
        <v>-0.97226210000000002</v>
      </c>
      <c r="Q2517">
        <v>0.15111040000000001</v>
      </c>
      <c r="R2517">
        <v>-0.1785281</v>
      </c>
      <c r="S2517">
        <v>-2.942291</v>
      </c>
      <c r="T2517">
        <v>-0.26096059999999999</v>
      </c>
      <c r="U2517">
        <v>-1.0072939999999999</v>
      </c>
      <c r="V2517">
        <v>-0.20014879999999999</v>
      </c>
      <c r="W2517">
        <v>0.1645875</v>
      </c>
      <c r="X2517">
        <v>0.96584239999999999</v>
      </c>
      <c r="Y2517">
        <v>-0.34327419999999997</v>
      </c>
      <c r="Z2517">
        <v>-1.8874780000000001E-2</v>
      </c>
      <c r="AA2517">
        <v>0.93904549999999998</v>
      </c>
      <c r="AB2517">
        <v>28</v>
      </c>
      <c r="AC2517">
        <v>-12.3621999999999</v>
      </c>
      <c r="AD2517">
        <v>-1.12127119341099</v>
      </c>
      <c r="AE2517">
        <v>-4.3337999999999903</v>
      </c>
      <c r="AF2517">
        <v>-4.5727554508672696</v>
      </c>
      <c r="AG2517">
        <v>-1.12127119341099</v>
      </c>
      <c r="AH2517">
        <v>12.1740948924552</v>
      </c>
      <c r="AI2517">
        <v>94.927932610718599</v>
      </c>
      <c r="AJ2517">
        <v>110.586860650432</v>
      </c>
      <c r="AK2517">
        <v>13.052813028351901</v>
      </c>
      <c r="AL2517">
        <v>80.526728265974199</v>
      </c>
      <c r="AM2517">
        <v>101.70753414910401</v>
      </c>
      <c r="AN2517">
        <v>1.0000000644677201</v>
      </c>
    </row>
    <row r="2518" spans="1:40" x14ac:dyDescent="0.25">
      <c r="A2518" t="str">
        <f>"20190303162304288"</f>
        <v>20190303162304288</v>
      </c>
      <c r="B2518" t="str">
        <f>"1551601384276706"</f>
        <v>1551601384276706</v>
      </c>
      <c r="C2518" t="s">
        <v>40</v>
      </c>
      <c r="D2518">
        <v>5.0557559999999997</v>
      </c>
      <c r="E2518">
        <v>0.44081819999999999</v>
      </c>
      <c r="F2518" t="s">
        <v>47</v>
      </c>
      <c r="G2518">
        <v>-467.94139999999999</v>
      </c>
      <c r="H2518" s="1">
        <v>2.8337000000000001E-6</v>
      </c>
      <c r="I2518">
        <v>281.31139999999999</v>
      </c>
      <c r="J2518">
        <v>-455.80119999999999</v>
      </c>
      <c r="K2518">
        <v>1.121273</v>
      </c>
      <c r="L2518">
        <v>285.55779999999999</v>
      </c>
      <c r="M2518">
        <v>-0.99966659999999996</v>
      </c>
      <c r="N2518">
        <v>-1.4125769999999999E-2</v>
      </c>
      <c r="O2518">
        <v>2.1613719999999999E-2</v>
      </c>
      <c r="P2518">
        <v>-0.97222220000000004</v>
      </c>
      <c r="Q2518">
        <v>0.1501738</v>
      </c>
      <c r="R2518">
        <v>-0.17953359999999999</v>
      </c>
      <c r="S2518">
        <v>-2.9424130000000002</v>
      </c>
      <c r="T2518">
        <v>-0.2656229</v>
      </c>
      <c r="U2518">
        <v>-1.0046079999999999</v>
      </c>
      <c r="V2518">
        <v>-0.20065810000000001</v>
      </c>
      <c r="W2518">
        <v>0.16364909999999999</v>
      </c>
      <c r="X2518">
        <v>0.96589610000000004</v>
      </c>
      <c r="Y2518">
        <v>-0.34197319999999998</v>
      </c>
      <c r="Z2518">
        <v>-1.906859E-2</v>
      </c>
      <c r="AA2518">
        <v>0.93951620000000002</v>
      </c>
      <c r="AB2518">
        <v>28</v>
      </c>
      <c r="AC2518">
        <v>-12.140199999999901</v>
      </c>
      <c r="AD2518">
        <v>-1.1212701663</v>
      </c>
      <c r="AE2518">
        <v>-4.2463999999999897</v>
      </c>
      <c r="AF2518">
        <v>-4.4738255906218898</v>
      </c>
      <c r="AG2518">
        <v>-1.1212701663</v>
      </c>
      <c r="AH2518">
        <v>11.9547120141345</v>
      </c>
      <c r="AI2518">
        <v>95.020172901258604</v>
      </c>
      <c r="AJ2518">
        <v>110.517414507458</v>
      </c>
      <c r="AK2518">
        <v>12.813567088911199</v>
      </c>
      <c r="AL2518">
        <v>80.581232959408197</v>
      </c>
      <c r="AM2518">
        <v>101.735865435245</v>
      </c>
      <c r="AN2518">
        <v>0.99999998851081495</v>
      </c>
    </row>
    <row r="2519" spans="1:40" x14ac:dyDescent="0.25">
      <c r="A2519" t="str">
        <f>"20190303162304310"</f>
        <v>20190303162304310</v>
      </c>
      <c r="B2519" t="str">
        <f>"1551601384297201"</f>
        <v>1551601384297201</v>
      </c>
      <c r="C2519" t="s">
        <v>40</v>
      </c>
      <c r="D2519">
        <v>5.1021999999999998</v>
      </c>
      <c r="E2519">
        <v>0.44099719999999998</v>
      </c>
      <c r="F2519" t="s">
        <v>47</v>
      </c>
      <c r="G2519">
        <v>-468.10390000000001</v>
      </c>
      <c r="H2519" s="1">
        <v>2.9183850000000001E-6</v>
      </c>
      <c r="I2519">
        <v>281.3528</v>
      </c>
      <c r="J2519">
        <v>-456.08100000000002</v>
      </c>
      <c r="K2519">
        <v>1.1212629999999999</v>
      </c>
      <c r="L2519">
        <v>285.56330000000003</v>
      </c>
      <c r="M2519">
        <v>-0.9996777</v>
      </c>
      <c r="N2519">
        <v>-1.4122829999999999E-2</v>
      </c>
      <c r="O2519">
        <v>2.1103980000000001E-2</v>
      </c>
      <c r="P2519">
        <v>-0.97201289999999996</v>
      </c>
      <c r="Q2519">
        <v>0.14936360000000001</v>
      </c>
      <c r="R2519">
        <v>-0.18133279999999999</v>
      </c>
      <c r="S2519">
        <v>-2.9414370000000001</v>
      </c>
      <c r="T2519">
        <v>-0.26808209999999999</v>
      </c>
      <c r="U2519">
        <v>-1.005371</v>
      </c>
      <c r="V2519">
        <v>-0.2019582</v>
      </c>
      <c r="W2519">
        <v>0.1628329</v>
      </c>
      <c r="X2519">
        <v>0.96576309999999999</v>
      </c>
      <c r="Y2519">
        <v>-0.341783</v>
      </c>
      <c r="Z2519">
        <v>-1.918073E-2</v>
      </c>
      <c r="AA2519">
        <v>0.9395831</v>
      </c>
      <c r="AB2519">
        <v>28</v>
      </c>
      <c r="AC2519">
        <v>-12.0229</v>
      </c>
      <c r="AD2519">
        <v>-1.12126008161499</v>
      </c>
      <c r="AE2519">
        <v>-4.2105000000000201</v>
      </c>
      <c r="AF2519">
        <v>-4.4290054276608899</v>
      </c>
      <c r="AG2519">
        <v>-1.12126008161499</v>
      </c>
      <c r="AH2519">
        <v>11.8396291613707</v>
      </c>
      <c r="AI2519">
        <v>95.068916327878497</v>
      </c>
      <c r="AJ2519">
        <v>110.50997475071701</v>
      </c>
      <c r="AK2519">
        <v>12.6905528613868</v>
      </c>
      <c r="AL2519">
        <v>80.628633863793993</v>
      </c>
      <c r="AM2519">
        <v>101.81135603225999</v>
      </c>
      <c r="AN2519">
        <v>1.00000001659562</v>
      </c>
    </row>
    <row r="2520" spans="1:40" x14ac:dyDescent="0.25">
      <c r="A2520" t="str">
        <f>"20190303162304333"</f>
        <v>20190303162304333</v>
      </c>
      <c r="B2520" t="str">
        <f>"1551601384327457"</f>
        <v>1551601384327457</v>
      </c>
      <c r="C2520" t="s">
        <v>40</v>
      </c>
      <c r="D2520">
        <v>5.150728</v>
      </c>
      <c r="E2520">
        <v>0.44136239999999999</v>
      </c>
      <c r="F2520" t="s">
        <v>47</v>
      </c>
      <c r="G2520">
        <v>-468.22879999999998</v>
      </c>
      <c r="H2520" s="1">
        <v>2.9829869999999999E-6</v>
      </c>
      <c r="I2520">
        <v>281.3947</v>
      </c>
      <c r="J2520">
        <v>-456.36709999999999</v>
      </c>
      <c r="K2520">
        <v>1.1212610000000001</v>
      </c>
      <c r="L2520">
        <v>285.56869999999998</v>
      </c>
      <c r="M2520">
        <v>-0.99968860000000004</v>
      </c>
      <c r="N2520">
        <v>-1.411981E-2</v>
      </c>
      <c r="O2520">
        <v>2.0581550000000001E-2</v>
      </c>
      <c r="P2520">
        <v>-0.97173920000000003</v>
      </c>
      <c r="Q2520">
        <v>0.14894360000000001</v>
      </c>
      <c r="R2520">
        <v>-0.18313599999999999</v>
      </c>
      <c r="S2520">
        <v>-2.9398499999999999</v>
      </c>
      <c r="T2520">
        <v>-0.27135169999999997</v>
      </c>
      <c r="U2520">
        <v>-1.0088200000000001</v>
      </c>
      <c r="V2520">
        <v>-0.2032486</v>
      </c>
      <c r="W2520">
        <v>0.1624062</v>
      </c>
      <c r="X2520">
        <v>0.96556430000000004</v>
      </c>
      <c r="Y2520">
        <v>-0.34239619999999998</v>
      </c>
      <c r="Z2520">
        <v>-1.9385099999999999E-2</v>
      </c>
      <c r="AA2520">
        <v>0.93935570000000002</v>
      </c>
      <c r="AB2520">
        <v>28</v>
      </c>
      <c r="AC2520">
        <v>-11.8616999999999</v>
      </c>
      <c r="AD2520">
        <v>-1.121258017013</v>
      </c>
      <c r="AE2520">
        <v>-4.1739999999999702</v>
      </c>
      <c r="AF2520">
        <v>-4.3824277523323003</v>
      </c>
      <c r="AG2520">
        <v>-1.121258017013</v>
      </c>
      <c r="AH2520">
        <v>11.680400859486999</v>
      </c>
      <c r="AI2520">
        <v>95.135773232269401</v>
      </c>
      <c r="AJ2520">
        <v>110.565838748226</v>
      </c>
      <c r="AK2520">
        <v>12.525759728792201</v>
      </c>
      <c r="AL2520">
        <v>80.653412509613204</v>
      </c>
      <c r="AM2520">
        <v>101.88706166506201</v>
      </c>
      <c r="AN2520">
        <v>1.0000000923174399</v>
      </c>
    </row>
    <row r="2521" spans="1:40" x14ac:dyDescent="0.25">
      <c r="A2521" t="str">
        <f>"20190303162304354"</f>
        <v>20190303162304354</v>
      </c>
      <c r="B2521" t="str">
        <f>"1551601384346978"</f>
        <v>1551601384346978</v>
      </c>
      <c r="C2521" t="s">
        <v>40</v>
      </c>
      <c r="D2521">
        <v>5.0799659999999998</v>
      </c>
      <c r="E2521">
        <v>0.44146079999999999</v>
      </c>
      <c r="F2521" t="s">
        <v>47</v>
      </c>
      <c r="G2521">
        <v>-468.52820000000003</v>
      </c>
      <c r="H2521" s="1">
        <v>3.1427899999999999E-6</v>
      </c>
      <c r="I2521">
        <v>281.3843</v>
      </c>
      <c r="J2521">
        <v>-456.63709999999998</v>
      </c>
      <c r="K2521">
        <v>1.1212690000000001</v>
      </c>
      <c r="L2521">
        <v>285.57369999999997</v>
      </c>
      <c r="M2521">
        <v>-0.99969870000000005</v>
      </c>
      <c r="N2521">
        <v>-1.411695E-2</v>
      </c>
      <c r="O2521">
        <v>2.0087899999999999E-2</v>
      </c>
      <c r="P2521">
        <v>-0.97147740000000005</v>
      </c>
      <c r="Q2521">
        <v>0.14871670000000001</v>
      </c>
      <c r="R2521">
        <v>-0.18470349999999999</v>
      </c>
      <c r="S2521">
        <v>-2.9382320000000002</v>
      </c>
      <c r="T2521">
        <v>-0.27090449999999999</v>
      </c>
      <c r="U2521">
        <v>-1.0109859999999999</v>
      </c>
      <c r="V2521">
        <v>-0.2043324</v>
      </c>
      <c r="W2521">
        <v>0.16217329999999999</v>
      </c>
      <c r="X2521">
        <v>0.96537459999999997</v>
      </c>
      <c r="Y2521">
        <v>-0.34271449999999998</v>
      </c>
      <c r="Z2521">
        <v>-1.934282E-2</v>
      </c>
      <c r="AA2521">
        <v>0.93924050000000003</v>
      </c>
      <c r="AB2521">
        <v>28</v>
      </c>
      <c r="AC2521">
        <v>-11.8911</v>
      </c>
      <c r="AD2521">
        <v>-1.12126585721</v>
      </c>
      <c r="AE2521">
        <v>-4.1893999999999698</v>
      </c>
      <c r="AF2521">
        <v>-4.3927006594342801</v>
      </c>
      <c r="AG2521">
        <v>-1.12126585721</v>
      </c>
      <c r="AH2521">
        <v>11.7118982107164</v>
      </c>
      <c r="AI2521">
        <v>95.122291538677999</v>
      </c>
      <c r="AJ2521">
        <v>110.559213971324</v>
      </c>
      <c r="AK2521">
        <v>12.5587266832319</v>
      </c>
      <c r="AL2521">
        <v>80.666935232999805</v>
      </c>
      <c r="AM2521">
        <v>101.950911257684</v>
      </c>
      <c r="AN2521">
        <v>1.0000000136239</v>
      </c>
    </row>
    <row r="2522" spans="1:40" x14ac:dyDescent="0.25">
      <c r="A2522" t="str">
        <f>"20190303162304377"</f>
        <v>20190303162304377</v>
      </c>
      <c r="B2522" t="str">
        <f>"1551601384367474"</f>
        <v>1551601384367474</v>
      </c>
      <c r="C2522" t="s">
        <v>40</v>
      </c>
      <c r="D2522">
        <v>5.2063550000000003</v>
      </c>
      <c r="E2522">
        <v>0.44161810000000001</v>
      </c>
      <c r="F2522" t="s">
        <v>47</v>
      </c>
      <c r="G2522">
        <v>-468.767</v>
      </c>
      <c r="H2522" s="1">
        <v>3.2698879999999999E-6</v>
      </c>
      <c r="I2522">
        <v>281.38380000000001</v>
      </c>
      <c r="J2522">
        <v>-456.91820000000001</v>
      </c>
      <c r="K2522">
        <v>1.1212709999999999</v>
      </c>
      <c r="L2522">
        <v>285.5788</v>
      </c>
      <c r="M2522">
        <v>-0.99970899999999996</v>
      </c>
      <c r="N2522">
        <v>-1.411397E-2</v>
      </c>
      <c r="O2522">
        <v>1.957339E-2</v>
      </c>
      <c r="P2522">
        <v>-0.97110560000000001</v>
      </c>
      <c r="Q2522">
        <v>0.14877589999999999</v>
      </c>
      <c r="R2522">
        <v>-0.1866014</v>
      </c>
      <c r="S2522">
        <v>-2.936798</v>
      </c>
      <c r="T2522">
        <v>-0.27147110000000002</v>
      </c>
      <c r="U2522">
        <v>-1.014435</v>
      </c>
      <c r="V2522">
        <v>-0.2057243</v>
      </c>
      <c r="W2522">
        <v>0.16222449999999999</v>
      </c>
      <c r="X2522">
        <v>0.96507030000000005</v>
      </c>
      <c r="Y2522">
        <v>-0.34334989999999999</v>
      </c>
      <c r="Z2522">
        <v>-1.9377269999999999E-2</v>
      </c>
      <c r="AA2522">
        <v>0.93900760000000005</v>
      </c>
      <c r="AB2522">
        <v>28</v>
      </c>
      <c r="AC2522">
        <v>-11.848799999999899</v>
      </c>
      <c r="AD2522">
        <v>-1.121267730112</v>
      </c>
      <c r="AE2522">
        <v>-4.1949999999999896</v>
      </c>
      <c r="AF2522">
        <v>-4.3911969277906202</v>
      </c>
      <c r="AG2522">
        <v>-1.121267730112</v>
      </c>
      <c r="AH2522">
        <v>11.6715334029006</v>
      </c>
      <c r="AI2522">
        <v>95.1379544674909</v>
      </c>
      <c r="AJ2522">
        <v>110.61787391996999</v>
      </c>
      <c r="AK2522">
        <v>12.5205648337546</v>
      </c>
      <c r="AL2522">
        <v>80.663962005149401</v>
      </c>
      <c r="AM2522">
        <v>102.033638902102</v>
      </c>
      <c r="AN2522">
        <v>0.99999997997641399</v>
      </c>
    </row>
    <row r="2523" spans="1:40" x14ac:dyDescent="0.25">
      <c r="A2523" t="str">
        <f>"20190303162304399"</f>
        <v>20190303162304399</v>
      </c>
      <c r="B2523" t="str">
        <f>"1551601384386994"</f>
        <v>1551601384386994</v>
      </c>
      <c r="C2523" t="s">
        <v>40</v>
      </c>
      <c r="D2523">
        <v>5.1050389999999997</v>
      </c>
      <c r="E2523">
        <v>0.44183610000000001</v>
      </c>
      <c r="F2523" t="s">
        <v>47</v>
      </c>
      <c r="G2523">
        <v>-469.19380000000001</v>
      </c>
      <c r="H2523" s="1">
        <v>3.4999219999999999E-6</v>
      </c>
      <c r="I2523">
        <v>281.31619999999998</v>
      </c>
      <c r="J2523">
        <v>-457.20440000000002</v>
      </c>
      <c r="K2523">
        <v>1.1212770000000001</v>
      </c>
      <c r="L2523">
        <v>285.5838</v>
      </c>
      <c r="M2523">
        <v>-0.99971909999999997</v>
      </c>
      <c r="N2523">
        <v>-1.411081E-2</v>
      </c>
      <c r="O2523">
        <v>1.9049529999999999E-2</v>
      </c>
      <c r="P2523">
        <v>-0.97040919999999997</v>
      </c>
      <c r="Q2523">
        <v>0.1483226</v>
      </c>
      <c r="R2523">
        <v>-0.19054309999999999</v>
      </c>
      <c r="S2523">
        <v>-2.9345089999999998</v>
      </c>
      <c r="T2523">
        <v>-0.26804210000000001</v>
      </c>
      <c r="U2523">
        <v>-1.0189820000000001</v>
      </c>
      <c r="V2523">
        <v>-0.20914460000000001</v>
      </c>
      <c r="W2523">
        <v>0.16175590000000001</v>
      </c>
      <c r="X2523">
        <v>0.96441359999999998</v>
      </c>
      <c r="Y2523">
        <v>-0.34441559999999999</v>
      </c>
      <c r="Z2523">
        <v>-1.9185549999999999E-2</v>
      </c>
      <c r="AA2523">
        <v>0.93862120000000004</v>
      </c>
      <c r="AB2523">
        <v>28</v>
      </c>
      <c r="AC2523">
        <v>-11.9893999999999</v>
      </c>
      <c r="AD2523">
        <v>-1.1212735000780001</v>
      </c>
      <c r="AE2523">
        <v>-4.2676000000000096</v>
      </c>
      <c r="AF2523">
        <v>-4.4606135877498199</v>
      </c>
      <c r="AG2523">
        <v>-1.1212735000780001</v>
      </c>
      <c r="AH2523">
        <v>11.8142083716097</v>
      </c>
      <c r="AI2523">
        <v>95.074038313819798</v>
      </c>
      <c r="AJ2523">
        <v>110.684704919589</v>
      </c>
      <c r="AK2523">
        <v>12.6779275628554</v>
      </c>
      <c r="AL2523">
        <v>80.691170477340705</v>
      </c>
      <c r="AM2523">
        <v>102.235808660732</v>
      </c>
      <c r="AN2523">
        <v>1.00000001337946</v>
      </c>
    </row>
    <row r="2524" spans="1:40" x14ac:dyDescent="0.25">
      <c r="A2524" t="str">
        <f>"20190303162304425"</f>
        <v>20190303162304425</v>
      </c>
      <c r="B2524" t="str">
        <f>"1551601384417249"</f>
        <v>1551601384417249</v>
      </c>
      <c r="C2524" t="s">
        <v>40</v>
      </c>
      <c r="D2524">
        <v>5.1010229999999996</v>
      </c>
      <c r="E2524">
        <v>0.44231219999999999</v>
      </c>
      <c r="F2524" t="s">
        <v>47</v>
      </c>
      <c r="G2524">
        <v>-469.55939999999998</v>
      </c>
      <c r="H2524" s="1">
        <v>3.6976509999999999E-6</v>
      </c>
      <c r="I2524">
        <v>281.24439999999998</v>
      </c>
      <c r="J2524">
        <v>-457.50819999999999</v>
      </c>
      <c r="K2524">
        <v>1.121278</v>
      </c>
      <c r="L2524">
        <v>285.589</v>
      </c>
      <c r="M2524">
        <v>-0.99972950000000005</v>
      </c>
      <c r="N2524">
        <v>-1.410758E-2</v>
      </c>
      <c r="O2524">
        <v>1.849319E-2</v>
      </c>
      <c r="P2524">
        <v>-0.96958900000000003</v>
      </c>
      <c r="Q2524">
        <v>0.1475523</v>
      </c>
      <c r="R2524">
        <v>-0.19525880000000001</v>
      </c>
      <c r="S2524">
        <v>-2.9300540000000002</v>
      </c>
      <c r="T2524">
        <v>-0.26591550000000003</v>
      </c>
      <c r="U2524">
        <v>-1.0291140000000001</v>
      </c>
      <c r="V2524">
        <v>-0.2133052</v>
      </c>
      <c r="W2524">
        <v>0.1609681</v>
      </c>
      <c r="X2524">
        <v>0.96363379999999998</v>
      </c>
      <c r="Y2524">
        <v>-0.3472365</v>
      </c>
      <c r="Z2524">
        <v>-1.9170690000000001E-2</v>
      </c>
      <c r="AA2524">
        <v>0.93758160000000001</v>
      </c>
      <c r="AB2524">
        <v>28</v>
      </c>
      <c r="AC2524">
        <v>-12.0511999999999</v>
      </c>
      <c r="AD2524">
        <v>-1.1212743023489999</v>
      </c>
      <c r="AE2524">
        <v>-4.3446000000000096</v>
      </c>
      <c r="AF2524">
        <v>-4.5320234372615502</v>
      </c>
      <c r="AG2524">
        <v>-1.1212743023489999</v>
      </c>
      <c r="AH2524">
        <v>11.877787080676899</v>
      </c>
      <c r="AI2524">
        <v>95.040378728937995</v>
      </c>
      <c r="AJ2524">
        <v>110.884580123418</v>
      </c>
      <c r="AK2524">
        <v>12.762379027081501</v>
      </c>
      <c r="AL2524">
        <v>80.736907048851293</v>
      </c>
      <c r="AM2524">
        <v>102.48145139503499</v>
      </c>
      <c r="AN2524">
        <v>0.99999996903354404</v>
      </c>
    </row>
    <row r="2525" spans="1:40" x14ac:dyDescent="0.25">
      <c r="A2525" t="str">
        <f>"20190303162304444"</f>
        <v>20190303162304444</v>
      </c>
      <c r="B2525" t="str">
        <f>"1551601384436770"</f>
        <v>1551601384436770</v>
      </c>
      <c r="C2525" t="s">
        <v>40</v>
      </c>
      <c r="D2525">
        <v>5.2140680000000001</v>
      </c>
      <c r="E2525">
        <v>0.4580147</v>
      </c>
      <c r="F2525" t="s">
        <v>47</v>
      </c>
      <c r="G2525">
        <v>-469.75959999999998</v>
      </c>
      <c r="H2525" s="1">
        <v>3.8042849999999999E-6</v>
      </c>
      <c r="I2525">
        <v>281.24220000000003</v>
      </c>
      <c r="J2525">
        <v>-457.76799999999997</v>
      </c>
      <c r="K2525">
        <v>1.121278</v>
      </c>
      <c r="L2525">
        <v>285.59320000000002</v>
      </c>
      <c r="M2525">
        <v>-0.99973820000000002</v>
      </c>
      <c r="N2525">
        <v>-1.4104800000000001E-2</v>
      </c>
      <c r="O2525">
        <v>1.8017180000000001E-2</v>
      </c>
      <c r="P2525">
        <v>-0.9687209</v>
      </c>
      <c r="Q2525">
        <v>0.1477927</v>
      </c>
      <c r="R2525">
        <v>-0.1993415</v>
      </c>
      <c r="S2525">
        <v>-2.9258120000000001</v>
      </c>
      <c r="T2525">
        <v>-0.2677755</v>
      </c>
      <c r="U2525">
        <v>-1.0380549999999999</v>
      </c>
      <c r="V2525">
        <v>-0.21691150000000001</v>
      </c>
      <c r="W2525">
        <v>0.16119120000000001</v>
      </c>
      <c r="X2525">
        <v>0.96279110000000001</v>
      </c>
      <c r="Y2525">
        <v>-0.34972940000000002</v>
      </c>
      <c r="Z2525">
        <v>-1.9397279999999999E-2</v>
      </c>
      <c r="AA2525">
        <v>0.93664990000000004</v>
      </c>
      <c r="AB2525">
        <v>28</v>
      </c>
      <c r="AC2525">
        <v>-11.991599999999901</v>
      </c>
      <c r="AD2525">
        <v>-1.1212741957150001</v>
      </c>
      <c r="AE2525">
        <v>-4.3509999999999902</v>
      </c>
      <c r="AF2525">
        <v>-4.5313604325793699</v>
      </c>
      <c r="AG2525">
        <v>-1.1212741957150001</v>
      </c>
      <c r="AH2525">
        <v>11.819931304835</v>
      </c>
      <c r="AI2525">
        <v>95.061877164071703</v>
      </c>
      <c r="AJ2525">
        <v>110.97512801016001</v>
      </c>
      <c r="AK2525">
        <v>12.7083145712931</v>
      </c>
      <c r="AL2525">
        <v>80.723955068214494</v>
      </c>
      <c r="AM2525">
        <v>102.696440784746</v>
      </c>
      <c r="AN2525">
        <v>0.99999995201444902</v>
      </c>
    </row>
    <row r="2526" spans="1:40" x14ac:dyDescent="0.25">
      <c r="A2526" t="str">
        <f>"20190303162304467"</f>
        <v>20190303162304467</v>
      </c>
      <c r="B2526" t="str">
        <f>"1551601384457266"</f>
        <v>1551601384457266</v>
      </c>
      <c r="C2526" t="s">
        <v>40</v>
      </c>
      <c r="D2526">
        <v>5.0978159999999999</v>
      </c>
      <c r="E2526">
        <v>0.45718979999999998</v>
      </c>
      <c r="F2526" t="s">
        <v>46</v>
      </c>
      <c r="G2526">
        <v>-470.20310000000001</v>
      </c>
      <c r="H2526" s="1">
        <v>6.267218E-6</v>
      </c>
      <c r="I2526">
        <v>281.67849999999999</v>
      </c>
      <c r="J2526">
        <v>-458.03870000000001</v>
      </c>
      <c r="K2526">
        <v>1.1212759999999999</v>
      </c>
      <c r="L2526">
        <v>285.5976</v>
      </c>
      <c r="M2526">
        <v>-0.99974719999999995</v>
      </c>
      <c r="N2526">
        <v>-1.410191E-2</v>
      </c>
      <c r="O2526">
        <v>1.751954E-2</v>
      </c>
      <c r="P2526">
        <v>-0.96806970000000003</v>
      </c>
      <c r="Q2526">
        <v>0.14850729999999901</v>
      </c>
      <c r="R2526">
        <v>-0.2019571</v>
      </c>
      <c r="S2526">
        <v>-2.9465330000000001</v>
      </c>
      <c r="T2526">
        <v>-0.26568910000000001</v>
      </c>
      <c r="U2526">
        <v>-0.92761229999999995</v>
      </c>
      <c r="V2526">
        <v>-0.2190358</v>
      </c>
      <c r="W2526">
        <v>0.161892799999999</v>
      </c>
      <c r="X2526">
        <v>0.9621923</v>
      </c>
      <c r="Y2526">
        <v>-0.31554270000000001</v>
      </c>
      <c r="Z2526">
        <v>-1.7446179999999999E-2</v>
      </c>
      <c r="AA2526">
        <v>0.94875100000000001</v>
      </c>
      <c r="AB2526">
        <v>28</v>
      </c>
      <c r="AC2526">
        <v>-12.164400000000001</v>
      </c>
      <c r="AD2526">
        <v>-1.121269732782</v>
      </c>
      <c r="AE2526">
        <v>-3.91910000000001</v>
      </c>
      <c r="AF2526">
        <v>-4.1000739711580696</v>
      </c>
      <c r="AG2526">
        <v>-1.121269732782</v>
      </c>
      <c r="AH2526">
        <v>12.001483730875499</v>
      </c>
      <c r="AI2526">
        <v>95.052421472107696</v>
      </c>
      <c r="AJ2526">
        <v>108.861736583168</v>
      </c>
      <c r="AK2526">
        <v>12.731985867298601</v>
      </c>
      <c r="AL2526">
        <v>80.683221712121707</v>
      </c>
      <c r="AM2526">
        <v>102.824406847387</v>
      </c>
      <c r="AN2526">
        <v>0.99999999127638495</v>
      </c>
    </row>
    <row r="2527" spans="1:40" x14ac:dyDescent="0.25">
      <c r="A2527" t="str">
        <f>"20190303162304488"</f>
        <v>20190303162304488</v>
      </c>
      <c r="B2527" t="str">
        <f>"1551601384476786"</f>
        <v>1551601384476786</v>
      </c>
      <c r="C2527" t="s">
        <v>40</v>
      </c>
      <c r="D2527">
        <v>5.2646569999999997</v>
      </c>
      <c r="E2527">
        <v>0.45702389999999998</v>
      </c>
      <c r="F2527" t="s">
        <v>46</v>
      </c>
      <c r="G2527">
        <v>-470.42680000000001</v>
      </c>
      <c r="H2527" s="1">
        <v>6.1633199999999996E-6</v>
      </c>
      <c r="I2527">
        <v>281.625</v>
      </c>
      <c r="J2527">
        <v>-458.32029999999997</v>
      </c>
      <c r="K2527">
        <v>1.1212799999999901</v>
      </c>
      <c r="L2527">
        <v>285.6019</v>
      </c>
      <c r="M2527">
        <v>-0.99975630000000004</v>
      </c>
      <c r="N2527">
        <v>-1.4098909999999999E-2</v>
      </c>
      <c r="O2527">
        <v>1.698823E-2</v>
      </c>
      <c r="P2527">
        <v>-0.96747479999999997</v>
      </c>
      <c r="Q2527">
        <v>0.14922589999999999</v>
      </c>
      <c r="R2527">
        <v>-0.20426559999999999</v>
      </c>
      <c r="S2527">
        <v>-2.9429319999999999</v>
      </c>
      <c r="T2527">
        <v>-0.26636900000000002</v>
      </c>
      <c r="U2527">
        <v>-0.94372560000000005</v>
      </c>
      <c r="V2527">
        <v>-0.22082360000000001</v>
      </c>
      <c r="W2527">
        <v>0.16259670000000001</v>
      </c>
      <c r="X2527">
        <v>0.96166490000000004</v>
      </c>
      <c r="Y2527">
        <v>-0.32005980000000001</v>
      </c>
      <c r="Z2527">
        <v>-1.76847999999999E-2</v>
      </c>
      <c r="AA2527">
        <v>0.94723219999999997</v>
      </c>
      <c r="AB2527">
        <v>28</v>
      </c>
      <c r="AC2527">
        <v>-12.1065</v>
      </c>
      <c r="AD2527">
        <v>-1.1212738366799999</v>
      </c>
      <c r="AE2527">
        <v>-3.9769000000000001</v>
      </c>
      <c r="AF2527">
        <v>-4.1498838455240401</v>
      </c>
      <c r="AG2527">
        <v>-1.1212738366799999</v>
      </c>
      <c r="AH2527">
        <v>11.944703190023199</v>
      </c>
      <c r="AI2527">
        <v>95.067329157919701</v>
      </c>
      <c r="AJ2527">
        <v>109.15848513726</v>
      </c>
      <c r="AK2527">
        <v>12.6946731051223</v>
      </c>
      <c r="AL2527">
        <v>80.642350371184804</v>
      </c>
      <c r="AM2527">
        <v>102.932429848263</v>
      </c>
      <c r="AN2527">
        <v>1.0000000645299201</v>
      </c>
    </row>
    <row r="2528" spans="1:40" x14ac:dyDescent="0.25">
      <c r="A2528" t="str">
        <f>"20190303162304510"</f>
        <v>20190303162304510</v>
      </c>
      <c r="B2528" t="str">
        <f>"1551601384497282"</f>
        <v>1551601384497282</v>
      </c>
      <c r="C2528" t="s">
        <v>40</v>
      </c>
      <c r="D2528">
        <v>5.2030260000000004</v>
      </c>
      <c r="E2528">
        <v>0.45722679999999999</v>
      </c>
      <c r="F2528" t="s">
        <v>46</v>
      </c>
      <c r="G2528">
        <v>-471.03460000000001</v>
      </c>
      <c r="H2528" s="1">
        <v>5.8805899999999901E-6</v>
      </c>
      <c r="I2528">
        <v>281.47390000000001</v>
      </c>
      <c r="J2528">
        <v>-458.59690000000001</v>
      </c>
      <c r="K2528">
        <v>1.121305</v>
      </c>
      <c r="L2528">
        <v>285.60599999999999</v>
      </c>
      <c r="M2528">
        <v>-0.99976560000000003</v>
      </c>
      <c r="N2528">
        <v>-1.4096060000000001E-2</v>
      </c>
      <c r="O2528">
        <v>1.643615E-2</v>
      </c>
      <c r="P2528">
        <v>-0.96710960000000001</v>
      </c>
      <c r="Q2528">
        <v>0.14839539999999901</v>
      </c>
      <c r="R2528">
        <v>-0.20658660000000001</v>
      </c>
      <c r="S2528">
        <v>-2.9393310000000001</v>
      </c>
      <c r="T2528">
        <v>-0.2592198</v>
      </c>
      <c r="U2528">
        <v>-0.95431520000000003</v>
      </c>
      <c r="V2528">
        <v>-0.22261239999999999</v>
      </c>
      <c r="W2528">
        <v>0.161748799999999</v>
      </c>
      <c r="X2528">
        <v>0.96139540000000001</v>
      </c>
      <c r="Y2528">
        <v>-0.32302199999999998</v>
      </c>
      <c r="Z2528">
        <v>-1.7386550000000001E-2</v>
      </c>
      <c r="AA2528">
        <v>0.94623170000000001</v>
      </c>
      <c r="AB2528">
        <v>28</v>
      </c>
      <c r="AC2528">
        <v>-12.4377</v>
      </c>
      <c r="AD2528">
        <v>-1.1212991194099999</v>
      </c>
      <c r="AE2528">
        <v>-4.1320999999999799</v>
      </c>
      <c r="AF2528">
        <v>-4.3044823444148603</v>
      </c>
      <c r="AG2528">
        <v>-1.1212991194099999</v>
      </c>
      <c r="AH2528">
        <v>12.2782239140975</v>
      </c>
      <c r="AI2528">
        <v>94.925669050288505</v>
      </c>
      <c r="AJ2528">
        <v>109.319573519839</v>
      </c>
      <c r="AK2528">
        <v>13.0591218101863</v>
      </c>
      <c r="AL2528">
        <v>80.6915829092503</v>
      </c>
      <c r="AM2528">
        <v>103.0371556878</v>
      </c>
      <c r="AN2528">
        <v>1.0000000350381699</v>
      </c>
    </row>
    <row r="2529" spans="1:40" x14ac:dyDescent="0.25">
      <c r="A2529" t="str">
        <f>"20190303162304534"</f>
        <v>20190303162304534</v>
      </c>
      <c r="B2529" t="str">
        <f>"1551601384526562"</f>
        <v>1551601384526562</v>
      </c>
      <c r="C2529" t="s">
        <v>40</v>
      </c>
      <c r="D2529">
        <v>5.2060690000000003</v>
      </c>
      <c r="E2529">
        <v>0.45723839999999999</v>
      </c>
      <c r="F2529" t="s">
        <v>46</v>
      </c>
      <c r="G2529">
        <v>-471.55759999999998</v>
      </c>
      <c r="H2529" s="1">
        <v>5.6388449999999999E-6</v>
      </c>
      <c r="I2529">
        <v>281.36180000000002</v>
      </c>
      <c r="J2529">
        <v>-458.88299999999998</v>
      </c>
      <c r="K2529">
        <v>1.1213390000000001</v>
      </c>
      <c r="L2529">
        <v>285.61</v>
      </c>
      <c r="M2529">
        <v>-0.99977579999999999</v>
      </c>
      <c r="N2529">
        <v>-1.4093110000000001E-2</v>
      </c>
      <c r="O2529">
        <v>1.5815369999999999E-2</v>
      </c>
      <c r="P2529">
        <v>-0.96708419999999895</v>
      </c>
      <c r="Q2529">
        <v>0.14667369999999999</v>
      </c>
      <c r="R2529">
        <v>-0.207931</v>
      </c>
      <c r="S2529">
        <v>-2.935638</v>
      </c>
      <c r="T2529">
        <v>-0.25397750000000002</v>
      </c>
      <c r="U2529">
        <v>-0.96133420000000003</v>
      </c>
      <c r="V2529">
        <v>-0.22336829999999999</v>
      </c>
      <c r="W2529">
        <v>0.16000699999999901</v>
      </c>
      <c r="X2529">
        <v>0.96151149999999996</v>
      </c>
      <c r="Y2529">
        <v>-0.32487189999999999</v>
      </c>
      <c r="Z2529">
        <v>-1.7139060000000001E-2</v>
      </c>
      <c r="AA2529">
        <v>0.94560270000000002</v>
      </c>
      <c r="AB2529">
        <v>28</v>
      </c>
      <c r="AC2529">
        <v>-12.6745999999999</v>
      </c>
      <c r="AD2529">
        <v>-1.12133336115499</v>
      </c>
      <c r="AE2529">
        <v>-4.24819999999999</v>
      </c>
      <c r="AF2529">
        <v>-4.4170608489318504</v>
      </c>
      <c r="AG2529">
        <v>-1.12133336115499</v>
      </c>
      <c r="AH2529">
        <v>12.5177386613351</v>
      </c>
      <c r="AI2529">
        <v>94.828579437685903</v>
      </c>
      <c r="AJ2529">
        <v>109.436108818078</v>
      </c>
      <c r="AK2529">
        <v>13.3214712492085</v>
      </c>
      <c r="AL2529">
        <v>80.7926974834172</v>
      </c>
      <c r="AM2529">
        <v>103.078379764396</v>
      </c>
      <c r="AN2529">
        <v>1.0000000010630601</v>
      </c>
    </row>
    <row r="2530" spans="1:40" x14ac:dyDescent="0.25">
      <c r="A2530" t="str">
        <f>"20190303162304554"</f>
        <v>20190303162304554</v>
      </c>
      <c r="B2530" t="str">
        <f>"1551601384547058"</f>
        <v>1551601384547058</v>
      </c>
      <c r="C2530" t="s">
        <v>40</v>
      </c>
      <c r="D2530">
        <v>5.3899569999999999</v>
      </c>
      <c r="E2530">
        <v>0.45733010000000002</v>
      </c>
      <c r="F2530" t="s">
        <v>46</v>
      </c>
      <c r="G2530">
        <v>-471.65210000000002</v>
      </c>
      <c r="H2530" s="1">
        <v>5.60069899999999E-6</v>
      </c>
      <c r="I2530">
        <v>281.40480000000002</v>
      </c>
      <c r="J2530">
        <v>-459.14699999999999</v>
      </c>
      <c r="K2530">
        <v>1.121383</v>
      </c>
      <c r="L2530">
        <v>285.61349999999999</v>
      </c>
      <c r="M2530">
        <v>-0.99978549999999999</v>
      </c>
      <c r="N2530">
        <v>-1.4090439999999999E-2</v>
      </c>
      <c r="O2530">
        <v>1.517897E-2</v>
      </c>
      <c r="P2530">
        <v>-0.96718839999999995</v>
      </c>
      <c r="Q2530">
        <v>0.145257</v>
      </c>
      <c r="R2530">
        <v>-0.20843919999999999</v>
      </c>
      <c r="S2530">
        <v>-2.9334720000000001</v>
      </c>
      <c r="T2530">
        <v>-0.25760480000000002</v>
      </c>
      <c r="U2530">
        <v>-0.96606449999999999</v>
      </c>
      <c r="V2530">
        <v>-0.22328100000000001</v>
      </c>
      <c r="W2530">
        <v>0.1585675</v>
      </c>
      <c r="X2530">
        <v>0.96177020000000002</v>
      </c>
      <c r="Y2530">
        <v>-0.32581389999999999</v>
      </c>
      <c r="Z2530">
        <v>-1.7361290000000001E-2</v>
      </c>
      <c r="AA2530">
        <v>0.94527450000000002</v>
      </c>
      <c r="AB2530">
        <v>28</v>
      </c>
      <c r="AC2530">
        <v>-12.505100000000001</v>
      </c>
      <c r="AD2530">
        <v>-1.1213773993009899</v>
      </c>
      <c r="AE2530">
        <v>-4.2086999999999604</v>
      </c>
      <c r="AF2530">
        <v>-4.3665083664654203</v>
      </c>
      <c r="AG2530">
        <v>-1.1213773993009899</v>
      </c>
      <c r="AH2530">
        <v>12.350558728471199</v>
      </c>
      <c r="AI2530">
        <v>94.892771219909406</v>
      </c>
      <c r="AJ2530">
        <v>109.470917347728</v>
      </c>
      <c r="AK2530">
        <v>13.1476303374977</v>
      </c>
      <c r="AL2530">
        <v>80.876241305139203</v>
      </c>
      <c r="AM2530">
        <v>103.07004810178</v>
      </c>
      <c r="AN2530">
        <v>0.99999998731264494</v>
      </c>
    </row>
    <row r="2531" spans="1:40" x14ac:dyDescent="0.25">
      <c r="A2531" t="str">
        <f>"20190303162304578"</f>
        <v>20190303162304578</v>
      </c>
      <c r="B2531" t="str">
        <f>"1551601384567554"</f>
        <v>1551601384567554</v>
      </c>
      <c r="C2531" t="s">
        <v>40</v>
      </c>
      <c r="D2531">
        <v>5.2709720000000004</v>
      </c>
      <c r="E2531">
        <v>0.4572407</v>
      </c>
      <c r="F2531" t="s">
        <v>46</v>
      </c>
      <c r="G2531">
        <v>-471.86470000000003</v>
      </c>
      <c r="H2531" s="1">
        <v>5.5081679999999898E-6</v>
      </c>
      <c r="I2531">
        <v>281.4246</v>
      </c>
      <c r="J2531">
        <v>-459.42860000000002</v>
      </c>
      <c r="K2531">
        <v>1.121445</v>
      </c>
      <c r="L2531">
        <v>285.61689999999999</v>
      </c>
      <c r="M2531">
        <v>-0.99979700000000005</v>
      </c>
      <c r="N2531">
        <v>-1.4088170000000001E-2</v>
      </c>
      <c r="O2531">
        <v>1.4411800000000001E-2</v>
      </c>
      <c r="P2531">
        <v>-0.96706490000000001</v>
      </c>
      <c r="Q2531">
        <v>0.1455833</v>
      </c>
      <c r="R2531">
        <v>-0.20878469999999999</v>
      </c>
      <c r="S2531">
        <v>-2.9324340000000002</v>
      </c>
      <c r="T2531">
        <v>-0.25856580000000001</v>
      </c>
      <c r="U2531">
        <v>-0.96588130000000005</v>
      </c>
      <c r="V2531">
        <v>-0.22290950000000001</v>
      </c>
      <c r="W2531">
        <v>0.15885839999999901</v>
      </c>
      <c r="X2531">
        <v>0.96180840000000001</v>
      </c>
      <c r="Y2531">
        <v>-0.32512929999999901</v>
      </c>
      <c r="Z2531">
        <v>-1.7333129999999999E-2</v>
      </c>
      <c r="AA2531">
        <v>0.94551070000000004</v>
      </c>
      <c r="AB2531">
        <v>28</v>
      </c>
      <c r="AC2531">
        <v>-12.4361</v>
      </c>
      <c r="AD2531">
        <v>-1.1214394918320001</v>
      </c>
      <c r="AE2531">
        <v>-4.1922999999999799</v>
      </c>
      <c r="AF2531">
        <v>-4.3394226950711303</v>
      </c>
      <c r="AG2531">
        <v>-1.1214394918320001</v>
      </c>
      <c r="AH2531">
        <v>12.2846816660089</v>
      </c>
      <c r="AI2531">
        <v>94.919626614096899</v>
      </c>
      <c r="AJ2531">
        <v>109.45518250802201</v>
      </c>
      <c r="AK2531">
        <v>13.076758753434101</v>
      </c>
      <c r="AL2531">
        <v>80.859360265153498</v>
      </c>
      <c r="AM2531">
        <v>103.048546129477</v>
      </c>
      <c r="AN2531">
        <v>1.00000001737568</v>
      </c>
    </row>
    <row r="2532" spans="1:40" x14ac:dyDescent="0.25">
      <c r="A2532" t="str">
        <f>"20190303162304604"</f>
        <v>20190303162304604</v>
      </c>
      <c r="B2532" t="str">
        <f>"1551601384596834"</f>
        <v>1551601384596834</v>
      </c>
      <c r="C2532" t="s">
        <v>40</v>
      </c>
      <c r="D2532">
        <v>5.228415</v>
      </c>
      <c r="E2532">
        <v>0.45686490000000002</v>
      </c>
      <c r="F2532" t="s">
        <v>46</v>
      </c>
      <c r="G2532">
        <v>-472.2604</v>
      </c>
      <c r="H2532" s="1">
        <v>5.3289449999999997E-6</v>
      </c>
      <c r="I2532">
        <v>281.38200000000001</v>
      </c>
      <c r="J2532">
        <v>-459.7407</v>
      </c>
      <c r="K2532">
        <v>1.1215269999999999</v>
      </c>
      <c r="L2532">
        <v>285.62040000000002</v>
      </c>
      <c r="M2532">
        <v>-0.99981059999999999</v>
      </c>
      <c r="N2532">
        <v>-1.408621E-2</v>
      </c>
      <c r="O2532">
        <v>1.3434629999999999E-2</v>
      </c>
      <c r="P2532">
        <v>-0.96685730000000003</v>
      </c>
      <c r="Q2532">
        <v>0.14595229999999901</v>
      </c>
      <c r="R2532">
        <v>-0.20948729999999999</v>
      </c>
      <c r="S2532">
        <v>-2.931854</v>
      </c>
      <c r="T2532">
        <v>-0.25623069999999998</v>
      </c>
      <c r="U2532">
        <v>-0.96762079999999995</v>
      </c>
      <c r="V2532">
        <v>-0.22270110000000001</v>
      </c>
      <c r="W2532">
        <v>0.1591786</v>
      </c>
      <c r="X2532">
        <v>0.96180370000000004</v>
      </c>
      <c r="Y2532">
        <v>-0.32479370000000002</v>
      </c>
      <c r="Z2532">
        <v>-1.7111419999999999E-2</v>
      </c>
      <c r="AA2532">
        <v>0.94563010000000003</v>
      </c>
      <c r="AB2532">
        <v>28</v>
      </c>
      <c r="AC2532">
        <v>-12.5197</v>
      </c>
      <c r="AD2532">
        <v>-1.121521671055</v>
      </c>
      <c r="AE2532">
        <v>-4.2384000000000102</v>
      </c>
      <c r="AF2532">
        <v>-4.3747355104794403</v>
      </c>
      <c r="AG2532">
        <v>-1.121521671055</v>
      </c>
      <c r="AH2532">
        <v>12.372546168617401</v>
      </c>
      <c r="AI2532">
        <v>94.884687627420405</v>
      </c>
      <c r="AJ2532">
        <v>109.472784260989</v>
      </c>
      <c r="AK2532">
        <v>13.1710295854145</v>
      </c>
      <c r="AL2532">
        <v>80.840777377996105</v>
      </c>
      <c r="AM2532">
        <v>103.036825358722</v>
      </c>
      <c r="AN2532">
        <v>0.99999998198642903</v>
      </c>
    </row>
    <row r="2533" spans="1:40" x14ac:dyDescent="0.25">
      <c r="A2533" t="str">
        <f>"20190303162304623"</f>
        <v>20190303162304623</v>
      </c>
      <c r="B2533" t="str">
        <f>"1551601384617329"</f>
        <v>1551601384617329</v>
      </c>
      <c r="C2533" t="s">
        <v>40</v>
      </c>
      <c r="D2533">
        <v>5.2885679999999997</v>
      </c>
      <c r="E2533">
        <v>0.45662920000000001</v>
      </c>
      <c r="F2533" t="s">
        <v>46</v>
      </c>
      <c r="G2533">
        <v>-472.75170000000003</v>
      </c>
      <c r="H2533" s="1">
        <v>5.1039380000000002E-6</v>
      </c>
      <c r="I2533">
        <v>281.30040000000002</v>
      </c>
      <c r="J2533">
        <v>-459.98779999999999</v>
      </c>
      <c r="K2533">
        <v>1.121591</v>
      </c>
      <c r="L2533">
        <v>285.62279999999998</v>
      </c>
      <c r="M2533">
        <v>-0.99982230000000005</v>
      </c>
      <c r="N2533">
        <v>-1.408511E-2</v>
      </c>
      <c r="O2533">
        <v>1.2541790000000001E-2</v>
      </c>
      <c r="P2533">
        <v>-0.96687780000000001</v>
      </c>
      <c r="Q2533">
        <v>0.14499400000000001</v>
      </c>
      <c r="R2533">
        <v>-0.21005679999999999</v>
      </c>
      <c r="S2533">
        <v>-2.9302060000000001</v>
      </c>
      <c r="T2533">
        <v>-0.25257679999999999</v>
      </c>
      <c r="U2533">
        <v>-0.9729004</v>
      </c>
      <c r="V2533">
        <v>-0.22243869999999999</v>
      </c>
      <c r="W2533">
        <v>0.15817999999999999</v>
      </c>
      <c r="X2533">
        <v>0.96202920000000003</v>
      </c>
      <c r="Y2533">
        <v>-0.32567669999999999</v>
      </c>
      <c r="Z2533">
        <v>-1.6884E-2</v>
      </c>
      <c r="AA2533">
        <v>0.94533040000000002</v>
      </c>
      <c r="AB2533">
        <v>28</v>
      </c>
      <c r="AC2533">
        <v>-12.7639</v>
      </c>
      <c r="AD2533">
        <v>-1.121585896062</v>
      </c>
      <c r="AE2533">
        <v>-4.3223999999999503</v>
      </c>
      <c r="AF2533">
        <v>-4.4513234234164996</v>
      </c>
      <c r="AG2533">
        <v>-1.121585896062</v>
      </c>
      <c r="AH2533">
        <v>12.621251811753</v>
      </c>
      <c r="AI2533">
        <v>94.790504637110402</v>
      </c>
      <c r="AJ2533">
        <v>109.426970609382</v>
      </c>
      <c r="AK2533">
        <v>13.430124066358401</v>
      </c>
      <c r="AL2533">
        <v>80.898727643976798</v>
      </c>
      <c r="AM2533">
        <v>103.01904003940101</v>
      </c>
      <c r="AN2533">
        <v>1.0000000346551601</v>
      </c>
    </row>
    <row r="2534" spans="1:40" x14ac:dyDescent="0.25">
      <c r="A2534" t="str">
        <f>"20190303162304645"</f>
        <v>20190303162304645</v>
      </c>
      <c r="B2534" t="str">
        <f>"1551601384636850"</f>
        <v>1551601384636850</v>
      </c>
      <c r="C2534" t="s">
        <v>40</v>
      </c>
      <c r="D2534">
        <v>5.3220340000000004</v>
      </c>
      <c r="E2534">
        <v>0.45631680000000002</v>
      </c>
      <c r="F2534" t="s">
        <v>46</v>
      </c>
      <c r="G2534">
        <v>-472.8664</v>
      </c>
      <c r="H2534" s="1">
        <v>5.0560899999999999E-6</v>
      </c>
      <c r="I2534">
        <v>281.3347</v>
      </c>
      <c r="J2534">
        <v>-460.26119999999997</v>
      </c>
      <c r="K2534">
        <v>1.121667</v>
      </c>
      <c r="L2534">
        <v>285.62509999999997</v>
      </c>
      <c r="M2534">
        <v>-0.99983540000000004</v>
      </c>
      <c r="N2534">
        <v>-1.408367E-2</v>
      </c>
      <c r="O2534">
        <v>1.144739E-2</v>
      </c>
      <c r="P2534">
        <v>-0.96682999999999997</v>
      </c>
      <c r="Q2534">
        <v>0.14336079999999901</v>
      </c>
      <c r="R2534">
        <v>-0.21139459999999999</v>
      </c>
      <c r="S2534">
        <v>-2.9291079999999998</v>
      </c>
      <c r="T2534">
        <v>-0.25509310000000002</v>
      </c>
      <c r="U2534">
        <v>-0.97528079999999995</v>
      </c>
      <c r="V2534">
        <v>-0.22274949999999999</v>
      </c>
      <c r="W2534">
        <v>0.15650220000000001</v>
      </c>
      <c r="X2534">
        <v>0.96223159999999996</v>
      </c>
      <c r="Y2534">
        <v>-0.32541890000000001</v>
      </c>
      <c r="Z2534">
        <v>-1.694302E-2</v>
      </c>
      <c r="AA2534">
        <v>0.94541819999999999</v>
      </c>
      <c r="AB2534">
        <v>28</v>
      </c>
      <c r="AC2534">
        <v>-12.6052</v>
      </c>
      <c r="AD2534">
        <v>-1.12166194391</v>
      </c>
      <c r="AE2534">
        <v>-4.2903999999999698</v>
      </c>
      <c r="AF2534">
        <v>-4.4031843990212503</v>
      </c>
      <c r="AG2534">
        <v>-1.12166194391</v>
      </c>
      <c r="AH2534">
        <v>12.466789780195899</v>
      </c>
      <c r="AI2534">
        <v>94.849134310860407</v>
      </c>
      <c r="AJ2534">
        <v>109.45287020920399</v>
      </c>
      <c r="AK2534">
        <v>13.269024296902799</v>
      </c>
      <c r="AL2534">
        <v>80.996070359118704</v>
      </c>
      <c r="AM2534">
        <v>103.03396125853</v>
      </c>
      <c r="AN2534">
        <v>0.99999996519682399</v>
      </c>
    </row>
    <row r="2535" spans="1:40" x14ac:dyDescent="0.25">
      <c r="A2535" t="str">
        <f>"20190303162304668"</f>
        <v>20190303162304668</v>
      </c>
      <c r="B2535" t="str">
        <f>"1551601384657345"</f>
        <v>1551601384657345</v>
      </c>
      <c r="C2535" t="s">
        <v>40</v>
      </c>
      <c r="D2535">
        <v>5.3237750000000004</v>
      </c>
      <c r="E2535">
        <v>0.45595330000000001</v>
      </c>
      <c r="F2535" t="s">
        <v>46</v>
      </c>
      <c r="G2535">
        <v>-472.88569999999999</v>
      </c>
      <c r="H2535" s="1">
        <v>5.0528790000000004E-6</v>
      </c>
      <c r="I2535">
        <v>281.39589999999998</v>
      </c>
      <c r="J2535">
        <v>-460.53280000000001</v>
      </c>
      <c r="K2535">
        <v>1.1217600000000001</v>
      </c>
      <c r="L2535">
        <v>285.6268</v>
      </c>
      <c r="M2535">
        <v>-0.99984850000000003</v>
      </c>
      <c r="N2535">
        <v>-1.4080179999999999E-2</v>
      </c>
      <c r="O2535">
        <v>1.023663E-2</v>
      </c>
      <c r="P2535">
        <v>-0.96668089999999995</v>
      </c>
      <c r="Q2535">
        <v>0.14291899999999999</v>
      </c>
      <c r="R2535">
        <v>-0.21237339999999999</v>
      </c>
      <c r="S2535">
        <v>-2.9270939999999999</v>
      </c>
      <c r="T2535">
        <v>-0.26006600000000002</v>
      </c>
      <c r="U2535">
        <v>-0.98056030000000005</v>
      </c>
      <c r="V2535">
        <v>-0.2225898</v>
      </c>
      <c r="W2535">
        <v>0.15601379999999901</v>
      </c>
      <c r="X2535">
        <v>0.96234790000000003</v>
      </c>
      <c r="Y2535">
        <v>-0.32595469999999999</v>
      </c>
      <c r="Z2535">
        <v>-1.717436E-2</v>
      </c>
      <c r="AA2535">
        <v>0.9452294</v>
      </c>
      <c r="AB2535">
        <v>28</v>
      </c>
      <c r="AC2535">
        <v>-12.352899999999901</v>
      </c>
      <c r="AD2535">
        <v>-1.121754947121</v>
      </c>
      <c r="AE2535">
        <v>-4.2309000000000196</v>
      </c>
      <c r="AF2535">
        <v>-4.3252206249219904</v>
      </c>
      <c r="AG2535">
        <v>-1.121754947121</v>
      </c>
      <c r="AH2535">
        <v>12.218757757885999</v>
      </c>
      <c r="AI2535">
        <v>94.946272262813693</v>
      </c>
      <c r="AJ2535">
        <v>109.493047909241</v>
      </c>
      <c r="AK2535">
        <v>13.010146377406301</v>
      </c>
      <c r="AL2535">
        <v>81.0244019725436</v>
      </c>
      <c r="AM2535">
        <v>103.023414910817</v>
      </c>
      <c r="AN2535">
        <v>1.00000000274444</v>
      </c>
    </row>
    <row r="2536" spans="1:40" x14ac:dyDescent="0.25">
      <c r="A2536" t="str">
        <f>"20190303162304690"</f>
        <v>20190303162304690</v>
      </c>
      <c r="B2536" t="str">
        <f>"1551601384676866"</f>
        <v>1551601384676866</v>
      </c>
      <c r="C2536" t="s">
        <v>40</v>
      </c>
      <c r="D2536">
        <v>5.3475060000000001</v>
      </c>
      <c r="E2536">
        <v>0.45555950000000001</v>
      </c>
      <c r="F2536" t="s">
        <v>46</v>
      </c>
      <c r="G2536">
        <v>-473.0822</v>
      </c>
      <c r="H2536" s="1">
        <v>4.9658949999999998E-6</v>
      </c>
      <c r="I2536">
        <v>281.39760000000001</v>
      </c>
      <c r="J2536">
        <v>-460.81</v>
      </c>
      <c r="K2536">
        <v>1.1218570000000001</v>
      </c>
      <c r="L2536">
        <v>285.62819999999999</v>
      </c>
      <c r="M2536">
        <v>-0.99986180000000002</v>
      </c>
      <c r="N2536">
        <v>-1.407562E-2</v>
      </c>
      <c r="O2536">
        <v>8.8499500000000005E-3</v>
      </c>
      <c r="P2536">
        <v>-0.9662231</v>
      </c>
      <c r="Q2536">
        <v>0.1436731</v>
      </c>
      <c r="R2536">
        <v>-0.21394160000000001</v>
      </c>
      <c r="S2536">
        <v>-2.9254760000000002</v>
      </c>
      <c r="T2536">
        <v>-0.2614995</v>
      </c>
      <c r="U2536">
        <v>-0.98590089999999997</v>
      </c>
      <c r="V2536">
        <v>-0.22285450000000001</v>
      </c>
      <c r="W2536">
        <v>0.1567075</v>
      </c>
      <c r="X2536">
        <v>0.96217390000000003</v>
      </c>
      <c r="Y2536">
        <v>-0.3263395</v>
      </c>
      <c r="Z2536">
        <v>-1.717813E-2</v>
      </c>
      <c r="AA2536">
        <v>0.94509650000000001</v>
      </c>
      <c r="AB2536">
        <v>28</v>
      </c>
      <c r="AC2536">
        <v>-12.2721999999999</v>
      </c>
      <c r="AD2536">
        <v>-1.12185203410499</v>
      </c>
      <c r="AE2536">
        <v>-4.2305999999999804</v>
      </c>
      <c r="AF2536">
        <v>-4.30688555358567</v>
      </c>
      <c r="AG2536">
        <v>-1.12185203410499</v>
      </c>
      <c r="AH2536">
        <v>12.1435754187693</v>
      </c>
      <c r="AI2536">
        <v>94.976107869234795</v>
      </c>
      <c r="AJ2536">
        <v>109.527749173985</v>
      </c>
      <c r="AK2536">
        <v>12.933454260538801</v>
      </c>
      <c r="AL2536">
        <v>80.9841608216298</v>
      </c>
      <c r="AM2536">
        <v>103.040650556868</v>
      </c>
      <c r="AN2536">
        <v>0.99999999128385497</v>
      </c>
    </row>
    <row r="2537" spans="1:40" x14ac:dyDescent="0.25">
      <c r="A2537" t="str">
        <f>"20190303162304712"</f>
        <v>20190303162304712</v>
      </c>
      <c r="B2537" t="str">
        <f>"1551601384707125"</f>
        <v>1551601384707125</v>
      </c>
      <c r="C2537" t="s">
        <v>40</v>
      </c>
      <c r="D2537">
        <v>5.3480210000000001</v>
      </c>
      <c r="E2537">
        <v>0.4486366</v>
      </c>
      <c r="F2537" t="s">
        <v>46</v>
      </c>
      <c r="G2537">
        <v>-473.51369999999997</v>
      </c>
      <c r="H2537" s="1">
        <v>4.7662939999999998E-6</v>
      </c>
      <c r="I2537">
        <v>281.30309999999997</v>
      </c>
      <c r="J2537">
        <v>-461.0838</v>
      </c>
      <c r="K2537">
        <v>1.121982</v>
      </c>
      <c r="L2537">
        <v>285.62900000000002</v>
      </c>
      <c r="M2537">
        <v>-0.99987440000000005</v>
      </c>
      <c r="N2537">
        <v>-1.407184E-2</v>
      </c>
      <c r="O2537">
        <v>7.3030129999999997E-3</v>
      </c>
      <c r="P2537">
        <v>-0.96585799999999999</v>
      </c>
      <c r="Q2537">
        <v>0.14378579999999999</v>
      </c>
      <c r="R2537">
        <v>-0.2155098</v>
      </c>
      <c r="S2537">
        <v>-2.922882</v>
      </c>
      <c r="T2537">
        <v>-0.2581176</v>
      </c>
      <c r="U2537">
        <v>-0.99511719999999904</v>
      </c>
      <c r="V2537">
        <v>-0.22297359999999999</v>
      </c>
      <c r="W2537">
        <v>0.156751799999999</v>
      </c>
      <c r="X2537">
        <v>0.96213910000000002</v>
      </c>
      <c r="Y2537">
        <v>-0.32783469999999998</v>
      </c>
      <c r="Z2537">
        <v>-1.695468E-2</v>
      </c>
      <c r="AA2537">
        <v>0.9445829</v>
      </c>
      <c r="AB2537">
        <v>28</v>
      </c>
      <c r="AC2537">
        <v>-12.4298999999999</v>
      </c>
      <c r="AD2537">
        <v>-1.1219772337060001</v>
      </c>
      <c r="AE2537">
        <v>-4.3259000000000398</v>
      </c>
      <c r="AF2537">
        <v>-4.3847038159510401</v>
      </c>
      <c r="AG2537">
        <v>-1.1219772337060001</v>
      </c>
      <c r="AH2537">
        <v>12.3085219791512</v>
      </c>
      <c r="AI2537">
        <v>94.907876925111196</v>
      </c>
      <c r="AJ2537">
        <v>109.607585633288</v>
      </c>
      <c r="AK2537">
        <v>13.1142736656598</v>
      </c>
      <c r="AL2537">
        <v>80.981590940907694</v>
      </c>
      <c r="AM2537">
        <v>103.047837244909</v>
      </c>
      <c r="AN2537">
        <v>1.0000000004245</v>
      </c>
    </row>
    <row r="2538" spans="1:40" x14ac:dyDescent="0.25">
      <c r="A2538" t="str">
        <f>"20190303162304734"</f>
        <v>20190303162304734</v>
      </c>
      <c r="B2538" t="str">
        <f>"1551601384726642"</f>
        <v>1551601384726642</v>
      </c>
      <c r="C2538" t="s">
        <v>40</v>
      </c>
      <c r="D2538">
        <v>5.4386049999999999</v>
      </c>
      <c r="E2538">
        <v>0.44817360000000001</v>
      </c>
      <c r="F2538" t="s">
        <v>46</v>
      </c>
      <c r="G2538">
        <v>-472.93150000000003</v>
      </c>
      <c r="H2538" s="1">
        <v>5.0271130000000003E-6</v>
      </c>
      <c r="I2538">
        <v>281.33370000000002</v>
      </c>
      <c r="J2538">
        <v>-461.35390000000001</v>
      </c>
      <c r="K2538">
        <v>1.122134</v>
      </c>
      <c r="L2538">
        <v>285.62920000000003</v>
      </c>
      <c r="M2538">
        <v>-0.99988560000000004</v>
      </c>
      <c r="N2538">
        <v>-1.4069440000000001E-2</v>
      </c>
      <c r="O2538">
        <v>5.57282E-3</v>
      </c>
      <c r="P2538">
        <v>-0.9653233</v>
      </c>
      <c r="Q2538">
        <v>0.14456859999999999</v>
      </c>
      <c r="R2538">
        <v>-0.2173737</v>
      </c>
      <c r="S2538">
        <v>-2.9115600000000001</v>
      </c>
      <c r="T2538">
        <v>-0.27572410000000003</v>
      </c>
      <c r="U2538">
        <v>-1.0555730000000001</v>
      </c>
      <c r="V2538">
        <v>-0.2232237</v>
      </c>
      <c r="W2538">
        <v>0.1574497</v>
      </c>
      <c r="X2538">
        <v>0.96196709999999996</v>
      </c>
      <c r="Y2538">
        <v>-0.3444682</v>
      </c>
      <c r="Z2538">
        <v>-1.8713420000000001E-2</v>
      </c>
      <c r="AA2538">
        <v>0.93861139999999998</v>
      </c>
      <c r="AB2538">
        <v>28</v>
      </c>
      <c r="AC2538">
        <v>-11.5776</v>
      </c>
      <c r="AD2538">
        <v>-1.1221289728870001</v>
      </c>
      <c r="AE2538">
        <v>-4.2954999999999997</v>
      </c>
      <c r="AF2538">
        <v>-4.3242528903209703</v>
      </c>
      <c r="AG2538">
        <v>-1.1221289728870001</v>
      </c>
      <c r="AH2538">
        <v>11.458860514896999</v>
      </c>
      <c r="AI2538">
        <v>95.234826105382297</v>
      </c>
      <c r="AJ2538">
        <v>110.67510134606999</v>
      </c>
      <c r="AK2538">
        <v>12.298935758475499</v>
      </c>
      <c r="AL2538">
        <v>80.941101115685299</v>
      </c>
      <c r="AM2538">
        <v>103.064226256002</v>
      </c>
      <c r="AN2538">
        <v>0.99999996487709397</v>
      </c>
    </row>
    <row r="2539" spans="1:40" x14ac:dyDescent="0.25">
      <c r="A2539" t="str">
        <f>"20190303162304756"</f>
        <v>20190303162304756</v>
      </c>
      <c r="B2539" t="str">
        <f>"1551601384747138"</f>
        <v>1551601384747138</v>
      </c>
      <c r="C2539" t="s">
        <v>40</v>
      </c>
      <c r="D2539">
        <v>5.5048069999999996</v>
      </c>
      <c r="E2539">
        <v>0.44808809999999899</v>
      </c>
      <c r="F2539" t="s">
        <v>46</v>
      </c>
      <c r="G2539">
        <v>-473.1678</v>
      </c>
      <c r="H2539" s="1">
        <v>4.9198230000000003E-6</v>
      </c>
      <c r="I2539">
        <v>281.30470000000003</v>
      </c>
      <c r="J2539">
        <v>-461.62889999999999</v>
      </c>
      <c r="K2539">
        <v>1.122315</v>
      </c>
      <c r="L2539">
        <v>285.62869999999998</v>
      </c>
      <c r="M2539">
        <v>-0.99989470000000003</v>
      </c>
      <c r="N2539">
        <v>-1.406861E-2</v>
      </c>
      <c r="O2539">
        <v>3.5634130000000001E-3</v>
      </c>
      <c r="P2539">
        <v>-0.96502319999999997</v>
      </c>
      <c r="Q2539">
        <v>0.14584069999999999</v>
      </c>
      <c r="R2539">
        <v>-0.21785560000000001</v>
      </c>
      <c r="S2539">
        <v>-2.909332</v>
      </c>
      <c r="T2539">
        <v>-0.2763389</v>
      </c>
      <c r="U2539">
        <v>-1.064972</v>
      </c>
      <c r="V2539">
        <v>-0.22184029999999999</v>
      </c>
      <c r="W2539">
        <v>0.15862960000000001</v>
      </c>
      <c r="X2539">
        <v>0.96209330000000004</v>
      </c>
      <c r="Y2539">
        <v>-0.34548420000000002</v>
      </c>
      <c r="Z2539">
        <v>-1.8650670000000001E-2</v>
      </c>
      <c r="AA2539">
        <v>0.93823920000000005</v>
      </c>
      <c r="AB2539">
        <v>28</v>
      </c>
      <c r="AC2539">
        <v>-11.5389</v>
      </c>
      <c r="AD2539">
        <v>-1.1223100801769901</v>
      </c>
      <c r="AE2539">
        <v>-4.3239999999999501</v>
      </c>
      <c r="AF2539">
        <v>-4.3291827467092396</v>
      </c>
      <c r="AG2539">
        <v>-1.1223100801769901</v>
      </c>
      <c r="AH2539">
        <v>11.428613592507901</v>
      </c>
      <c r="AI2539">
        <v>95.246976712427497</v>
      </c>
      <c r="AJ2539">
        <v>110.746792486838</v>
      </c>
      <c r="AK2539">
        <v>12.272514486336</v>
      </c>
      <c r="AL2539">
        <v>80.872637681104607</v>
      </c>
      <c r="AM2539">
        <v>102.984369195848</v>
      </c>
      <c r="AN2539">
        <v>0.99999999330256995</v>
      </c>
    </row>
    <row r="2540" spans="1:40" x14ac:dyDescent="0.25">
      <c r="A2540" t="str">
        <f>"20190303162304779"</f>
        <v>20190303162304779</v>
      </c>
      <c r="B2540" t="str">
        <f>"1551601384766658"</f>
        <v>1551601384766658</v>
      </c>
      <c r="C2540" t="s">
        <v>40</v>
      </c>
      <c r="D2540">
        <v>5.4514779999999998</v>
      </c>
      <c r="E2540">
        <v>0.44773669999999999</v>
      </c>
      <c r="F2540" t="s">
        <v>46</v>
      </c>
      <c r="G2540">
        <v>-473.64210000000003</v>
      </c>
      <c r="H2540" s="1">
        <v>4.7020820000000002E-6</v>
      </c>
      <c r="I2540">
        <v>281.2199</v>
      </c>
      <c r="J2540">
        <v>-461.90350000000001</v>
      </c>
      <c r="K2540">
        <v>1.12252</v>
      </c>
      <c r="L2540">
        <v>285.62720000000002</v>
      </c>
      <c r="M2540">
        <v>-0.99990029999999996</v>
      </c>
      <c r="N2540">
        <v>-1.4065899999999999E-2</v>
      </c>
      <c r="O2540">
        <v>1.275209E-3</v>
      </c>
      <c r="P2540">
        <v>-0.96514279999999997</v>
      </c>
      <c r="Q2540">
        <v>0.1451202</v>
      </c>
      <c r="R2540">
        <v>-0.21780669999999999</v>
      </c>
      <c r="S2540">
        <v>-2.9088129999999999</v>
      </c>
      <c r="T2540">
        <v>-0.27175050000000001</v>
      </c>
      <c r="U2540">
        <v>-1.0675049999999999</v>
      </c>
      <c r="V2540">
        <v>-0.2196613</v>
      </c>
      <c r="W2540">
        <v>0.15781229999999999</v>
      </c>
      <c r="X2540">
        <v>0.96272749999999996</v>
      </c>
      <c r="Y2540">
        <v>-0.34417360000000002</v>
      </c>
      <c r="Z2540">
        <v>-1.8138809999999998E-2</v>
      </c>
      <c r="AA2540">
        <v>0.93873079999999998</v>
      </c>
      <c r="AB2540">
        <v>27</v>
      </c>
      <c r="AC2540">
        <v>-11.7386</v>
      </c>
      <c r="AD2540">
        <v>-1.122515297918</v>
      </c>
      <c r="AE2540">
        <v>-4.4073000000000198</v>
      </c>
      <c r="AF2540">
        <v>-4.3871063570083297</v>
      </c>
      <c r="AG2540">
        <v>-1.122515297918</v>
      </c>
      <c r="AH2540">
        <v>11.639682785082099</v>
      </c>
      <c r="AI2540">
        <v>95.156492602387004</v>
      </c>
      <c r="AJ2540">
        <v>110.651899944769</v>
      </c>
      <c r="AK2540">
        <v>12.4895539599739</v>
      </c>
      <c r="AL2540">
        <v>80.920063185370296</v>
      </c>
      <c r="AM2540">
        <v>102.852901975405</v>
      </c>
      <c r="AN2540">
        <v>1.0000000240026099</v>
      </c>
    </row>
    <row r="2541" spans="1:40" x14ac:dyDescent="0.25">
      <c r="A2541" t="str">
        <f>"20190303162304802"</f>
        <v>20190303162304802</v>
      </c>
      <c r="B2541" t="str">
        <f>"1551601384796914"</f>
        <v>1551601384796914</v>
      </c>
      <c r="C2541" t="s">
        <v>40</v>
      </c>
      <c r="D2541">
        <v>5.5635560000000002</v>
      </c>
      <c r="E2541">
        <v>0.44644060000000002</v>
      </c>
      <c r="F2541" t="s">
        <v>46</v>
      </c>
      <c r="G2541">
        <v>-473.90519999999998</v>
      </c>
      <c r="H2541" s="1">
        <v>4.5841150000000001E-6</v>
      </c>
      <c r="I2541">
        <v>281.2054</v>
      </c>
      <c r="J2541">
        <v>-462.18810000000002</v>
      </c>
      <c r="K2541">
        <v>1.122733</v>
      </c>
      <c r="L2541">
        <v>285.62479999999999</v>
      </c>
      <c r="M2541">
        <v>-0.99990009999999996</v>
      </c>
      <c r="N2541">
        <v>-1.405989E-2</v>
      </c>
      <c r="O2541">
        <v>-1.4102299999999999E-3</v>
      </c>
      <c r="P2541">
        <v>-0.96523150000000002</v>
      </c>
      <c r="Q2541">
        <v>0.1430111</v>
      </c>
      <c r="R2541">
        <v>-0.21880549999999999</v>
      </c>
      <c r="S2541">
        <v>-2.9074710000000001</v>
      </c>
      <c r="T2541">
        <v>-0.27193430000000002</v>
      </c>
      <c r="U2541">
        <v>-1.0711980000000001</v>
      </c>
      <c r="V2541">
        <v>-0.21814629999999999</v>
      </c>
      <c r="W2541">
        <v>0.15559220000000001</v>
      </c>
      <c r="X2541">
        <v>0.96343299999999998</v>
      </c>
      <c r="Y2541">
        <v>-0.34285490000000002</v>
      </c>
      <c r="Z2541">
        <v>-1.7876949999999999E-2</v>
      </c>
      <c r="AA2541">
        <v>0.93921829999999995</v>
      </c>
      <c r="AB2541">
        <v>27</v>
      </c>
      <c r="AC2541">
        <v>-11.717099999999901</v>
      </c>
      <c r="AD2541">
        <v>-1.1227284158849999</v>
      </c>
      <c r="AE2541">
        <v>-4.4193999999999898</v>
      </c>
      <c r="AF2541">
        <v>-4.3677624337943799</v>
      </c>
      <c r="AG2541">
        <v>-1.1227284158849999</v>
      </c>
      <c r="AH2541">
        <v>11.6298415828534</v>
      </c>
      <c r="AI2541">
        <v>95.164082241454807</v>
      </c>
      <c r="AJ2541">
        <v>110.584425209172</v>
      </c>
      <c r="AK2541">
        <v>12.4736154749201</v>
      </c>
      <c r="AL2541">
        <v>81.048855971091797</v>
      </c>
      <c r="AM2541">
        <v>102.758127643203</v>
      </c>
      <c r="AN2541">
        <v>0.999999943196763</v>
      </c>
    </row>
    <row r="2542" spans="1:40" x14ac:dyDescent="0.25">
      <c r="A2542" t="str">
        <f>"20190303162304835"</f>
        <v>20190303162304835</v>
      </c>
      <c r="B2542" t="str">
        <f>"1551601384827169"</f>
        <v>1551601384827169</v>
      </c>
      <c r="C2542" t="s">
        <v>40</v>
      </c>
      <c r="D2542">
        <v>5.5060359999999999</v>
      </c>
      <c r="E2542">
        <v>0.43868570000000001</v>
      </c>
      <c r="F2542" t="s">
        <v>46</v>
      </c>
      <c r="G2542">
        <v>-473.75729999999999</v>
      </c>
      <c r="H2542" s="1">
        <v>4.6583550000000004E-6</v>
      </c>
      <c r="I2542">
        <v>281.30419999999998</v>
      </c>
      <c r="J2542">
        <v>-462.58859999999999</v>
      </c>
      <c r="K2542">
        <v>1.1230420000000001</v>
      </c>
      <c r="L2542">
        <v>285.61919999999998</v>
      </c>
      <c r="M2542">
        <v>-0.99988440000000001</v>
      </c>
      <c r="N2542">
        <v>-1.404975E-2</v>
      </c>
      <c r="O2542">
        <v>-5.8122249999999999E-3</v>
      </c>
      <c r="P2542">
        <v>-0.96448339999999999</v>
      </c>
      <c r="Q2542">
        <v>0.14065429999999901</v>
      </c>
      <c r="R2542">
        <v>-0.2235808</v>
      </c>
      <c r="S2542">
        <v>-2.903931</v>
      </c>
      <c r="T2542">
        <v>-0.28181149999999999</v>
      </c>
      <c r="U2542">
        <v>-1.084503</v>
      </c>
      <c r="V2542">
        <v>-0.21878210000000001</v>
      </c>
      <c r="W2542">
        <v>0.1530561</v>
      </c>
      <c r="X2542">
        <v>0.96369510000000003</v>
      </c>
      <c r="Y2542">
        <v>-0.34278429999999999</v>
      </c>
      <c r="Z2542">
        <v>-1.8082850000000001E-2</v>
      </c>
      <c r="AA2542">
        <v>0.93924010000000002</v>
      </c>
      <c r="AB2542">
        <v>27</v>
      </c>
      <c r="AC2542">
        <v>-11.168699999999999</v>
      </c>
      <c r="AD2542">
        <v>-1.1230373416449999</v>
      </c>
      <c r="AE2542">
        <v>-4.3149999999999897</v>
      </c>
      <c r="AF2542">
        <v>-4.2129420048027102</v>
      </c>
      <c r="AG2542">
        <v>-1.1230373416449999</v>
      </c>
      <c r="AH2542">
        <v>11.095975813909799</v>
      </c>
      <c r="AI2542">
        <v>95.405267164481899</v>
      </c>
      <c r="AJ2542">
        <v>110.790866992082</v>
      </c>
      <c r="AK2542">
        <v>11.92186111601</v>
      </c>
      <c r="AL2542">
        <v>81.195926309468106</v>
      </c>
      <c r="AM2542">
        <v>102.79072464790499</v>
      </c>
      <c r="AN2542">
        <v>1.0000000113958101</v>
      </c>
    </row>
    <row r="2543" spans="1:40" x14ac:dyDescent="0.25">
      <c r="A2543" t="str">
        <f>"20190303162304858"</f>
        <v>20190303162304858</v>
      </c>
      <c r="B2543" t="str">
        <f>"1551601384847666"</f>
        <v>1551601384847666</v>
      </c>
      <c r="C2543" t="s">
        <v>40</v>
      </c>
      <c r="D2543">
        <v>5.5137669999999996</v>
      </c>
      <c r="E2543">
        <v>0.43819419999999998</v>
      </c>
      <c r="F2543" t="s">
        <v>46</v>
      </c>
      <c r="G2543">
        <v>-473.1662</v>
      </c>
      <c r="H2543" s="1">
        <v>4.9267520000000004E-6</v>
      </c>
      <c r="I2543">
        <v>281.3759</v>
      </c>
      <c r="J2543">
        <v>-462.85969999999998</v>
      </c>
      <c r="K2543">
        <v>1.123235</v>
      </c>
      <c r="L2543">
        <v>285.61410000000001</v>
      </c>
      <c r="M2543">
        <v>-0.99985999999999997</v>
      </c>
      <c r="N2543">
        <v>-1.403855E-2</v>
      </c>
      <c r="O2543">
        <v>-9.1101329999999994E-3</v>
      </c>
      <c r="P2543">
        <v>-0.96316179999999996</v>
      </c>
      <c r="Q2543">
        <v>0.14146039999999999</v>
      </c>
      <c r="R2543">
        <v>-0.22871059999999999</v>
      </c>
      <c r="S2543">
        <v>-2.8867189999999998</v>
      </c>
      <c r="T2543">
        <v>-0.30648769999999997</v>
      </c>
      <c r="U2543">
        <v>-1.1580509999999999</v>
      </c>
      <c r="V2543">
        <v>-0.22081319999999999</v>
      </c>
      <c r="W2543">
        <v>0.153729</v>
      </c>
      <c r="X2543">
        <v>0.9631246</v>
      </c>
      <c r="Y2543">
        <v>-0.36187170000000002</v>
      </c>
      <c r="Z2543">
        <v>-2.0284099999999999E-2</v>
      </c>
      <c r="AA2543">
        <v>0.93200720000000004</v>
      </c>
      <c r="AB2543">
        <v>27</v>
      </c>
      <c r="AC2543">
        <v>-10.3065</v>
      </c>
      <c r="AD2543">
        <v>-1.1232300732480001</v>
      </c>
      <c r="AE2543">
        <v>-4.2382</v>
      </c>
      <c r="AF2543">
        <v>-4.1024432972628304</v>
      </c>
      <c r="AG2543">
        <v>-1.1232300732480001</v>
      </c>
      <c r="AH2543">
        <v>10.2406487526686</v>
      </c>
      <c r="AI2543">
        <v>95.813669856010193</v>
      </c>
      <c r="AJ2543">
        <v>111.83122909094401</v>
      </c>
      <c r="AK2543">
        <v>11.088849069233399</v>
      </c>
      <c r="AL2543">
        <v>81.156910446648297</v>
      </c>
      <c r="AM2543">
        <v>102.91289934360501</v>
      </c>
      <c r="AN2543">
        <v>1.0000000349301901</v>
      </c>
    </row>
    <row r="2544" spans="1:40" x14ac:dyDescent="0.25">
      <c r="A2544" t="str">
        <f>"20190303162304879"</f>
        <v>20190303162304879</v>
      </c>
      <c r="B2544" t="str">
        <f>"1551601384867186"</f>
        <v>1551601384867186</v>
      </c>
      <c r="C2544" t="s">
        <v>40</v>
      </c>
      <c r="D2544">
        <v>5.5343660000000003</v>
      </c>
      <c r="E2544">
        <v>0.43758639999999999</v>
      </c>
      <c r="F2544" t="s">
        <v>46</v>
      </c>
      <c r="G2544">
        <v>-471.76400000000001</v>
      </c>
      <c r="H2544" s="1">
        <v>5.6017589999999998E-6</v>
      </c>
      <c r="I2544">
        <v>281.98450000000003</v>
      </c>
      <c r="J2544">
        <v>-463.12920000000003</v>
      </c>
      <c r="K2544">
        <v>1.123413</v>
      </c>
      <c r="L2544">
        <v>285.60789999999997</v>
      </c>
      <c r="M2544">
        <v>-0.99982190000000004</v>
      </c>
      <c r="N2544">
        <v>-1.402542E-2</v>
      </c>
      <c r="O2544">
        <v>-1.2628800000000001E-2</v>
      </c>
      <c r="P2544">
        <v>-0.96180750000000004</v>
      </c>
      <c r="Q2544">
        <v>0.14207739999999999</v>
      </c>
      <c r="R2544">
        <v>-0.23396690000000001</v>
      </c>
      <c r="S2544">
        <v>-2.8887019999999999</v>
      </c>
      <c r="T2544">
        <v>-0.36439349999999998</v>
      </c>
      <c r="U2544">
        <v>-1.1774899999999999</v>
      </c>
      <c r="V2544">
        <v>-0.22275600000000001</v>
      </c>
      <c r="W2544">
        <v>0.15422230000000001</v>
      </c>
      <c r="X2544">
        <v>0.96259819999999996</v>
      </c>
      <c r="Y2544">
        <v>-0.36303039999999998</v>
      </c>
      <c r="Z2544">
        <v>-2.3238109999999999E-2</v>
      </c>
      <c r="AA2544">
        <v>0.93148750000000002</v>
      </c>
      <c r="AB2544">
        <v>27</v>
      </c>
      <c r="AC2544">
        <v>-8.6347999999999807</v>
      </c>
      <c r="AD2544">
        <v>-1.123407398241</v>
      </c>
      <c r="AE2544">
        <v>-3.6233999999999398</v>
      </c>
      <c r="AF2544">
        <v>-3.4641953365111999</v>
      </c>
      <c r="AG2544">
        <v>-1.123407398241</v>
      </c>
      <c r="AH2544">
        <v>8.5567239590494193</v>
      </c>
      <c r="AI2544">
        <v>96.938467045012302</v>
      </c>
      <c r="AJ2544">
        <v>112.04059621699901</v>
      </c>
      <c r="AK2544">
        <v>9.29947409390976</v>
      </c>
      <c r="AL2544">
        <v>81.128305215097498</v>
      </c>
      <c r="AM2544">
        <v>103.029533974502</v>
      </c>
      <c r="AN2544">
        <v>1.00000002399826</v>
      </c>
    </row>
    <row r="2545" spans="1:40" x14ac:dyDescent="0.25">
      <c r="A2545" t="str">
        <f>"20190303162304902"</f>
        <v>20190303162304902</v>
      </c>
      <c r="B2545" t="str">
        <f>"1551601384897441"</f>
        <v>1551601384897441</v>
      </c>
      <c r="C2545" t="s">
        <v>40</v>
      </c>
      <c r="D2545">
        <v>5.5678729999999996</v>
      </c>
      <c r="E2545">
        <v>0.43633699999999997</v>
      </c>
      <c r="F2545" t="s">
        <v>46</v>
      </c>
      <c r="G2545">
        <v>-471.96319999999997</v>
      </c>
      <c r="H2545" s="1">
        <v>5.5089239999999997E-6</v>
      </c>
      <c r="I2545">
        <v>281.93279999999999</v>
      </c>
      <c r="J2545">
        <v>-463.399</v>
      </c>
      <c r="K2545">
        <v>1.1235660000000001</v>
      </c>
      <c r="L2545">
        <v>285.60059999999999</v>
      </c>
      <c r="M2545">
        <v>-0.99976779999999998</v>
      </c>
      <c r="N2545">
        <v>-1.4013100000000001E-2</v>
      </c>
      <c r="O2545">
        <v>-1.6379879999999999E-2</v>
      </c>
      <c r="P2545">
        <v>-0.96043719999999999</v>
      </c>
      <c r="Q2545">
        <v>0.14185529999999999</v>
      </c>
      <c r="R2545">
        <v>-0.23966209999999999</v>
      </c>
      <c r="S2545">
        <v>-2.8816220000000001</v>
      </c>
      <c r="T2545">
        <v>-0.36645450000000002</v>
      </c>
      <c r="U2545">
        <v>-1.1988219999999901</v>
      </c>
      <c r="V2545">
        <v>-0.2249091</v>
      </c>
      <c r="W2545">
        <v>0.15388360000000001</v>
      </c>
      <c r="X2545">
        <v>0.9621516</v>
      </c>
      <c r="Y2545">
        <v>-0.36619459999999998</v>
      </c>
      <c r="Z2545">
        <v>-2.3183019999999999E-2</v>
      </c>
      <c r="AA2545">
        <v>0.93024949999999995</v>
      </c>
      <c r="AB2545">
        <v>27</v>
      </c>
      <c r="AC2545">
        <v>-8.5641999999999694</v>
      </c>
      <c r="AD2545">
        <v>-1.123560491076</v>
      </c>
      <c r="AE2545">
        <v>-3.6678000000000002</v>
      </c>
      <c r="AF2545">
        <v>-3.4764522317137199</v>
      </c>
      <c r="AG2545">
        <v>-1.123560491076</v>
      </c>
      <c r="AH2545">
        <v>8.4995184122275607</v>
      </c>
      <c r="AI2545">
        <v>96.975593843369694</v>
      </c>
      <c r="AJ2545">
        <v>112.245423175783</v>
      </c>
      <c r="AK2545">
        <v>9.2514821264643601</v>
      </c>
      <c r="AL2545">
        <v>81.147945390922999</v>
      </c>
      <c r="AM2545">
        <v>103.157008823444</v>
      </c>
      <c r="AN2545">
        <v>0.99999998349716401</v>
      </c>
    </row>
    <row r="2546" spans="1:40" x14ac:dyDescent="0.25">
      <c r="A2546" t="str">
        <f>"20190303162304924"</f>
        <v>20190303162304924</v>
      </c>
      <c r="B2546" t="str">
        <f>"1551601384916962"</f>
        <v>1551601384916962</v>
      </c>
      <c r="C2546" t="s">
        <v>40</v>
      </c>
      <c r="D2546">
        <v>5.5626179999999996</v>
      </c>
      <c r="E2546">
        <v>0.43581829999999999</v>
      </c>
      <c r="F2546" t="s">
        <v>46</v>
      </c>
      <c r="G2546">
        <v>-472.64089999999999</v>
      </c>
      <c r="H2546" s="1">
        <v>5.1837149999999901E-6</v>
      </c>
      <c r="I2546">
        <v>281.65050000000002</v>
      </c>
      <c r="J2546">
        <v>-463.66379999999998</v>
      </c>
      <c r="K2546">
        <v>1.1237010000000001</v>
      </c>
      <c r="L2546">
        <v>285.59199999999998</v>
      </c>
      <c r="M2546">
        <v>-0.99969649999999999</v>
      </c>
      <c r="N2546">
        <v>-1.4003099999999999E-2</v>
      </c>
      <c r="O2546">
        <v>-2.0268709999999999E-2</v>
      </c>
      <c r="P2546">
        <v>-0.9588255</v>
      </c>
      <c r="Q2546">
        <v>0.14089090000000001</v>
      </c>
      <c r="R2546">
        <v>-0.2465842</v>
      </c>
      <c r="S2546">
        <v>-2.8690799999999999</v>
      </c>
      <c r="T2546">
        <v>-0.348802099999999</v>
      </c>
      <c r="U2546">
        <v>-1.2262879999999901</v>
      </c>
      <c r="V2546">
        <v>-0.22815589999999999</v>
      </c>
      <c r="W2546">
        <v>0.1528022</v>
      </c>
      <c r="X2546">
        <v>0.96155939999999995</v>
      </c>
      <c r="Y2546">
        <v>-0.37178250000000002</v>
      </c>
      <c r="Z2546">
        <v>-2.2224219999999999E-2</v>
      </c>
      <c r="AA2546">
        <v>0.92805380000000004</v>
      </c>
      <c r="AB2546">
        <v>27</v>
      </c>
      <c r="AC2546">
        <v>-8.9771000000000001</v>
      </c>
      <c r="AD2546">
        <v>-1.1236958162849999</v>
      </c>
      <c r="AE2546">
        <v>-3.94149999999996</v>
      </c>
      <c r="AF2546">
        <v>-3.7099832991035502</v>
      </c>
      <c r="AG2546">
        <v>-1.1236958162849999</v>
      </c>
      <c r="AH2546">
        <v>8.93774519370794</v>
      </c>
      <c r="AI2546">
        <v>96.623434144996693</v>
      </c>
      <c r="AJ2546">
        <v>112.54292899558401</v>
      </c>
      <c r="AK2546">
        <v>9.74217416775193</v>
      </c>
      <c r="AL2546">
        <v>81.210647235276198</v>
      </c>
      <c r="AM2546">
        <v>103.348121420217</v>
      </c>
      <c r="AN2546">
        <v>1.0000000533790001</v>
      </c>
    </row>
    <row r="2547" spans="1:40" x14ac:dyDescent="0.25">
      <c r="A2547" t="str">
        <f>"20190303162304946"</f>
        <v>20190303162304946</v>
      </c>
      <c r="B2547" t="str">
        <f>"1551601384936482"</f>
        <v>1551601384936482</v>
      </c>
      <c r="C2547" t="s">
        <v>40</v>
      </c>
      <c r="D2547">
        <v>5.615253</v>
      </c>
      <c r="E2547">
        <v>0.43550650000000002</v>
      </c>
      <c r="F2547" t="s">
        <v>46</v>
      </c>
      <c r="G2547">
        <v>-472.56270000000001</v>
      </c>
      <c r="H2547" s="1">
        <v>5.2229840000000002E-6</v>
      </c>
      <c r="I2547">
        <v>281.70339999999999</v>
      </c>
      <c r="J2547">
        <v>-463.93459999999999</v>
      </c>
      <c r="K2547">
        <v>1.123837</v>
      </c>
      <c r="L2547">
        <v>285.58199999999999</v>
      </c>
      <c r="M2547">
        <v>-0.9996041</v>
      </c>
      <c r="N2547">
        <v>-1.3994639999999999E-2</v>
      </c>
      <c r="O2547">
        <v>-2.4410230000000002E-2</v>
      </c>
      <c r="P2547">
        <v>-0.95668989999999998</v>
      </c>
      <c r="Q2547">
        <v>0.14117349999999901</v>
      </c>
      <c r="R2547">
        <v>-0.25458730000000002</v>
      </c>
      <c r="S2547">
        <v>-2.8604430000000001</v>
      </c>
      <c r="T2547">
        <v>-0.36119699999999999</v>
      </c>
      <c r="U2547">
        <v>-1.2499389999999999</v>
      </c>
      <c r="V2547">
        <v>-0.232264</v>
      </c>
      <c r="W2547">
        <v>0.15296189999999901</v>
      </c>
      <c r="X2547">
        <v>0.96054989999999996</v>
      </c>
      <c r="Y2547">
        <v>-0.37523640000000003</v>
      </c>
      <c r="Z2547">
        <v>-2.2721060000000001E-2</v>
      </c>
      <c r="AA2547">
        <v>0.92665059999999999</v>
      </c>
      <c r="AB2547">
        <v>27</v>
      </c>
      <c r="AC2547">
        <v>-8.6281000000000105</v>
      </c>
      <c r="AD2547">
        <v>-1.123831777016</v>
      </c>
      <c r="AE2547">
        <v>-3.8786</v>
      </c>
      <c r="AF2547">
        <v>-3.6157776836123299</v>
      </c>
      <c r="AG2547">
        <v>-1.123831777016</v>
      </c>
      <c r="AH2547">
        <v>8.5988540668733506</v>
      </c>
      <c r="AI2547">
        <v>96.869749235451295</v>
      </c>
      <c r="AJ2547">
        <v>112.80652451218501</v>
      </c>
      <c r="AK2547">
        <v>9.3955913802018998</v>
      </c>
      <c r="AL2547">
        <v>81.201387865894404</v>
      </c>
      <c r="AM2547">
        <v>103.593379868688</v>
      </c>
      <c r="AN2547">
        <v>1.00000000946881</v>
      </c>
    </row>
    <row r="2548" spans="1:40" x14ac:dyDescent="0.25">
      <c r="A2548" t="str">
        <f>"20190303162304969"</f>
        <v>20190303162304969</v>
      </c>
      <c r="B2548" t="str">
        <f>"1551601384956978"</f>
        <v>1551601384956978</v>
      </c>
      <c r="C2548" t="s">
        <v>40</v>
      </c>
      <c r="D2548">
        <v>5.2689519999999996</v>
      </c>
      <c r="E2548">
        <v>0.43487700000000001</v>
      </c>
      <c r="F2548" t="s">
        <v>46</v>
      </c>
      <c r="G2548">
        <v>-472.65890000000002</v>
      </c>
      <c r="H2548" s="1">
        <v>5.1782539999999899E-6</v>
      </c>
      <c r="I2548">
        <v>281.67939999999999</v>
      </c>
      <c r="J2548">
        <v>-464.20819999999998</v>
      </c>
      <c r="K2548">
        <v>1.123936</v>
      </c>
      <c r="L2548">
        <v>285.57060000000001</v>
      </c>
      <c r="M2548">
        <v>-0.99948990000000004</v>
      </c>
      <c r="N2548">
        <v>-1.398608E-2</v>
      </c>
      <c r="O2548">
        <v>-2.8711799999999999E-2</v>
      </c>
      <c r="P2548">
        <v>-0.95420850000000002</v>
      </c>
      <c r="Q2548">
        <v>0.14249629999999999</v>
      </c>
      <c r="R2548">
        <v>-0.2630228</v>
      </c>
      <c r="S2548">
        <v>-2.8506469999999999</v>
      </c>
      <c r="T2548">
        <v>-0.36720940000000002</v>
      </c>
      <c r="U2548">
        <v>-1.275177</v>
      </c>
      <c r="V2548">
        <v>-0.23666989999999999</v>
      </c>
      <c r="W2548">
        <v>0.15416959999999999</v>
      </c>
      <c r="X2548">
        <v>0.95928060000000004</v>
      </c>
      <c r="Y2548">
        <v>-0.37917970000000001</v>
      </c>
      <c r="Z2548">
        <v>-2.2879670000000001E-2</v>
      </c>
      <c r="AA2548">
        <v>0.92504010000000003</v>
      </c>
      <c r="AB2548">
        <v>27</v>
      </c>
      <c r="AC2548">
        <v>-8.4507000000000403</v>
      </c>
      <c r="AD2548">
        <v>-1.123930821746</v>
      </c>
      <c r="AE2548">
        <v>-3.89120000000002</v>
      </c>
      <c r="AF2548">
        <v>-3.5944780516319499</v>
      </c>
      <c r="AG2548">
        <v>-1.123930821746</v>
      </c>
      <c r="AH2548">
        <v>8.4358345756566209</v>
      </c>
      <c r="AI2548">
        <v>96.987885720538699</v>
      </c>
      <c r="AJ2548">
        <v>113.07867535993</v>
      </c>
      <c r="AK2548">
        <v>9.2383330716952496</v>
      </c>
      <c r="AL2548">
        <v>81.131361827091595</v>
      </c>
      <c r="AM2548">
        <v>103.859017492253</v>
      </c>
      <c r="AN2548">
        <v>1.00000008833326</v>
      </c>
    </row>
    <row r="2549" spans="1:40" x14ac:dyDescent="0.25">
      <c r="A2549" t="str">
        <f>"20190303162304991"</f>
        <v>20190303162304991</v>
      </c>
      <c r="B2549" t="str">
        <f>"1551601384976498"</f>
        <v>1551601384976498</v>
      </c>
      <c r="C2549" t="s">
        <v>40</v>
      </c>
      <c r="D2549">
        <v>5.6292619999999998</v>
      </c>
      <c r="E2549">
        <v>0.4346506</v>
      </c>
      <c r="F2549" t="s">
        <v>46</v>
      </c>
      <c r="G2549">
        <v>-473.05369999999999</v>
      </c>
      <c r="H2549" s="1">
        <v>4.9882970000000003E-6</v>
      </c>
      <c r="I2549">
        <v>281.50920000000002</v>
      </c>
      <c r="J2549">
        <v>-464.47620000000001</v>
      </c>
      <c r="K2549">
        <v>1.1240079999999999</v>
      </c>
      <c r="L2549">
        <v>285.55810000000002</v>
      </c>
      <c r="M2549">
        <v>-0.99935739999999995</v>
      </c>
      <c r="N2549">
        <v>-1.3977369999999999E-2</v>
      </c>
      <c r="O2549">
        <v>-3.3010310000000001E-2</v>
      </c>
      <c r="P2549">
        <v>-0.95157369999999997</v>
      </c>
      <c r="Q2549">
        <v>0.1433904</v>
      </c>
      <c r="R2549">
        <v>-0.27193240000000002</v>
      </c>
      <c r="S2549">
        <v>-2.8385929999999999</v>
      </c>
      <c r="T2549">
        <v>-0.36067840000000001</v>
      </c>
      <c r="U2549">
        <v>-1.3033140000000001</v>
      </c>
      <c r="V2549">
        <v>-0.24155750000000001</v>
      </c>
      <c r="W2549">
        <v>0.1549587</v>
      </c>
      <c r="X2549">
        <v>0.95793410000000001</v>
      </c>
      <c r="Y2549">
        <v>-0.38433240000000002</v>
      </c>
      <c r="Z2549">
        <v>-2.246074E-2</v>
      </c>
      <c r="AA2549">
        <v>0.92292149999999995</v>
      </c>
      <c r="AB2549">
        <v>27</v>
      </c>
      <c r="AC2549">
        <v>-8.5774999999999793</v>
      </c>
      <c r="AD2549">
        <v>-1.124003011703</v>
      </c>
      <c r="AE2549">
        <v>-4.0488999999999997</v>
      </c>
      <c r="AF2549">
        <v>-3.71140123546154</v>
      </c>
      <c r="AG2549">
        <v>-1.124003011703</v>
      </c>
      <c r="AH2549">
        <v>8.5859232140369706</v>
      </c>
      <c r="AI2549">
        <v>96.852153482425507</v>
      </c>
      <c r="AJ2549">
        <v>113.377178816618</v>
      </c>
      <c r="AK2549">
        <v>9.4210381242324797</v>
      </c>
      <c r="AL2549">
        <v>81.085598843156703</v>
      </c>
      <c r="AM2549">
        <v>104.152935121347</v>
      </c>
      <c r="AN2549">
        <v>0.99999998222737396</v>
      </c>
    </row>
    <row r="2550" spans="1:40" x14ac:dyDescent="0.25">
      <c r="A2550" t="str">
        <f>"20190303162305014"</f>
        <v>20190303162305014</v>
      </c>
      <c r="B2550" t="str">
        <f>"1551601385006754"</f>
        <v>1551601385006754</v>
      </c>
      <c r="C2550" t="s">
        <v>40</v>
      </c>
      <c r="D2550">
        <v>5.5937549999999998</v>
      </c>
      <c r="E2550">
        <v>0.4341873</v>
      </c>
      <c r="F2550" t="s">
        <v>46</v>
      </c>
      <c r="G2550">
        <v>-473.3956</v>
      </c>
      <c r="H2550" s="1">
        <v>4.8243249999999998E-6</v>
      </c>
      <c r="I2550">
        <v>281.36810000000003</v>
      </c>
      <c r="J2550">
        <v>-464.75049999999999</v>
      </c>
      <c r="K2550">
        <v>1.12405</v>
      </c>
      <c r="L2550">
        <v>285.54419999999999</v>
      </c>
      <c r="M2550">
        <v>-0.99919999999999998</v>
      </c>
      <c r="N2550">
        <v>-1.3968609999999999E-2</v>
      </c>
      <c r="O2550">
        <v>-3.7471190000000001E-2</v>
      </c>
      <c r="P2550">
        <v>-0.94948920000000003</v>
      </c>
      <c r="Q2550">
        <v>0.1417418</v>
      </c>
      <c r="R2550">
        <v>-0.27996359999999998</v>
      </c>
      <c r="S2550">
        <v>-2.8268740000000001</v>
      </c>
      <c r="T2550">
        <v>-0.35623539999999998</v>
      </c>
      <c r="U2550">
        <v>-1.3279719999999999</v>
      </c>
      <c r="V2550">
        <v>-0.2453766</v>
      </c>
      <c r="W2550">
        <v>0.15323709999999999</v>
      </c>
      <c r="X2550">
        <v>0.95724019999999999</v>
      </c>
      <c r="Y2550">
        <v>-0.3883277</v>
      </c>
      <c r="Z2550">
        <v>-2.2063369999999999E-2</v>
      </c>
      <c r="AA2550">
        <v>0.9212572</v>
      </c>
      <c r="AB2550">
        <v>27</v>
      </c>
      <c r="AC2550">
        <v>-8.64510000000001</v>
      </c>
      <c r="AD2550">
        <v>-1.1240451756749901</v>
      </c>
      <c r="AE2550">
        <v>-4.17609999999996</v>
      </c>
      <c r="AF2550">
        <v>-3.7971453122401702</v>
      </c>
      <c r="AG2550">
        <v>-1.1240451756749901</v>
      </c>
      <c r="AH2550">
        <v>8.6765960779057103</v>
      </c>
      <c r="AI2550">
        <v>96.768298504522207</v>
      </c>
      <c r="AJ2550">
        <v>113.635665662165</v>
      </c>
      <c r="AK2550">
        <v>9.5375630838466599</v>
      </c>
      <c r="AL2550">
        <v>81.185432253858494</v>
      </c>
      <c r="AM2550">
        <v>104.37748531145</v>
      </c>
      <c r="AN2550">
        <v>1.00000004257</v>
      </c>
    </row>
    <row r="2551" spans="1:40" x14ac:dyDescent="0.25">
      <c r="A2551" t="str">
        <f>"20190303162305037"</f>
        <v>20190303162305037</v>
      </c>
      <c r="B2551" t="str">
        <f>"1551601385027250"</f>
        <v>1551601385027250</v>
      </c>
      <c r="C2551" t="s">
        <v>40</v>
      </c>
      <c r="D2551">
        <v>5.5897800000000002</v>
      </c>
      <c r="E2551">
        <v>0.43417559999999999</v>
      </c>
      <c r="F2551" t="s">
        <v>46</v>
      </c>
      <c r="G2551">
        <v>-473.34840000000003</v>
      </c>
      <c r="H2551" s="1">
        <v>4.8491319999999999E-6</v>
      </c>
      <c r="I2551">
        <v>281.4126</v>
      </c>
      <c r="J2551">
        <v>-465.0147</v>
      </c>
      <c r="K2551">
        <v>1.1240509999999999</v>
      </c>
      <c r="L2551">
        <v>285.52949999999998</v>
      </c>
      <c r="M2551">
        <v>-0.99902840000000004</v>
      </c>
      <c r="N2551">
        <v>-1.396055E-2</v>
      </c>
      <c r="O2551">
        <v>-4.1799019999999999E-2</v>
      </c>
      <c r="P2551">
        <v>-0.94837090000000002</v>
      </c>
      <c r="Q2551">
        <v>0.13855780000000001</v>
      </c>
      <c r="R2551">
        <v>-0.28529749999999998</v>
      </c>
      <c r="S2551">
        <v>-2.815582</v>
      </c>
      <c r="T2551">
        <v>-0.3680947</v>
      </c>
      <c r="U2551">
        <v>-1.352997</v>
      </c>
      <c r="V2551">
        <v>-0.24657689999999999</v>
      </c>
      <c r="W2551">
        <v>0.15002650000000001</v>
      </c>
      <c r="X2551">
        <v>0.95744030000000002</v>
      </c>
      <c r="Y2551">
        <v>-0.39225520000000003</v>
      </c>
      <c r="Z2551">
        <v>-2.2517120000000002E-2</v>
      </c>
      <c r="AA2551">
        <v>0.91958079999999998</v>
      </c>
      <c r="AB2551">
        <v>27</v>
      </c>
      <c r="AC2551">
        <v>-8.3337000000000199</v>
      </c>
      <c r="AD2551">
        <v>-1.124046150868</v>
      </c>
      <c r="AE2551">
        <v>-4.1168999999999798</v>
      </c>
      <c r="AF2551">
        <v>-3.71066316186741</v>
      </c>
      <c r="AG2551">
        <v>-1.124046150868</v>
      </c>
      <c r="AH2551">
        <v>8.3760258829220895</v>
      </c>
      <c r="AI2551">
        <v>96.995054191858998</v>
      </c>
      <c r="AJ2551">
        <v>113.893821188907</v>
      </c>
      <c r="AK2551">
        <v>9.2298597194920493</v>
      </c>
      <c r="AL2551">
        <v>81.371537926597298</v>
      </c>
      <c r="AM2551">
        <v>104.44198675201901</v>
      </c>
      <c r="AN2551">
        <v>1.0000000231899699</v>
      </c>
    </row>
    <row r="2552" spans="1:40" x14ac:dyDescent="0.25">
      <c r="A2552" t="str">
        <f>"20190303162305058"</f>
        <v>20190303162305058</v>
      </c>
      <c r="B2552" t="str">
        <f>"1551601385046772"</f>
        <v>1551601385046772</v>
      </c>
      <c r="C2552" t="s">
        <v>40</v>
      </c>
      <c r="D2552">
        <v>5.6133839999999999</v>
      </c>
      <c r="E2552">
        <v>0.4341488</v>
      </c>
      <c r="F2552" t="s">
        <v>46</v>
      </c>
      <c r="G2552">
        <v>-473.31079999999997</v>
      </c>
      <c r="H2552" s="1">
        <v>4.8725850000000004E-6</v>
      </c>
      <c r="I2552">
        <v>281.4896</v>
      </c>
      <c r="J2552">
        <v>-465.28280000000001</v>
      </c>
      <c r="K2552">
        <v>1.1240429999999999</v>
      </c>
      <c r="L2552">
        <v>285.51339999999999</v>
      </c>
      <c r="M2552">
        <v>-0.99883449999999996</v>
      </c>
      <c r="N2552">
        <v>-1.395296E-2</v>
      </c>
      <c r="O2552">
        <v>-4.6208039999999999E-2</v>
      </c>
      <c r="P2552">
        <v>-0.94658310000000001</v>
      </c>
      <c r="Q2552">
        <v>0.1355769</v>
      </c>
      <c r="R2552">
        <v>-0.29257450000000002</v>
      </c>
      <c r="S2552">
        <v>-2.807617</v>
      </c>
      <c r="T2552">
        <v>-0.38040819999999997</v>
      </c>
      <c r="U2552">
        <v>-1.367218</v>
      </c>
      <c r="V2552">
        <v>-0.249671</v>
      </c>
      <c r="W2552">
        <v>0.1470052</v>
      </c>
      <c r="X2552">
        <v>0.95710700000000004</v>
      </c>
      <c r="Y2552">
        <v>-0.39282990000000001</v>
      </c>
      <c r="Z2552">
        <v>-2.272062E-2</v>
      </c>
      <c r="AA2552">
        <v>0.91933039999999999</v>
      </c>
      <c r="AB2552">
        <v>27</v>
      </c>
      <c r="AC2552">
        <v>-8.0279999999999596</v>
      </c>
      <c r="AD2552">
        <v>-1.124038127415</v>
      </c>
      <c r="AE2552">
        <v>-4.0237999999999898</v>
      </c>
      <c r="AF2552">
        <v>-3.5922239940968002</v>
      </c>
      <c r="AG2552">
        <v>-1.124038127415</v>
      </c>
      <c r="AH2552">
        <v>8.0787947529868696</v>
      </c>
      <c r="AI2552">
        <v>97.245314976428304</v>
      </c>
      <c r="AJ2552">
        <v>113.972251409037</v>
      </c>
      <c r="AK2552">
        <v>8.9126011689369093</v>
      </c>
      <c r="AL2552">
        <v>81.546586597514306</v>
      </c>
      <c r="AM2552">
        <v>104.62036467087</v>
      </c>
      <c r="AN2552">
        <v>0.99999997325851897</v>
      </c>
    </row>
    <row r="2553" spans="1:40" x14ac:dyDescent="0.25">
      <c r="A2553" t="str">
        <f>"20190303162305092"</f>
        <v>20190303162305092</v>
      </c>
      <c r="B2553" t="str">
        <f>"1551601385086786"</f>
        <v>1551601385086786</v>
      </c>
      <c r="C2553" t="s">
        <v>40</v>
      </c>
      <c r="D2553">
        <v>5.7631550000000002</v>
      </c>
      <c r="E2553">
        <v>0.43452020000000002</v>
      </c>
      <c r="F2553" t="s">
        <v>46</v>
      </c>
      <c r="G2553">
        <v>-473.26670000000001</v>
      </c>
      <c r="H2553" s="1">
        <v>4.8980240000000002E-6</v>
      </c>
      <c r="I2553">
        <v>281.55709999999999</v>
      </c>
      <c r="J2553">
        <v>-465.68450000000001</v>
      </c>
      <c r="K2553">
        <v>1.124042</v>
      </c>
      <c r="L2553">
        <v>285.4871</v>
      </c>
      <c r="M2553">
        <v>-0.99850539999999999</v>
      </c>
      <c r="N2553">
        <v>-1.3943000000000001E-2</v>
      </c>
      <c r="O2553">
        <v>-5.2845379999999997E-2</v>
      </c>
      <c r="P2553">
        <v>-0.94386910000000002</v>
      </c>
      <c r="Q2553">
        <v>0.13256409999999999</v>
      </c>
      <c r="R2553">
        <v>-0.30255199999999999</v>
      </c>
      <c r="S2553">
        <v>-2.7972410000000001</v>
      </c>
      <c r="T2553">
        <v>-0.39382030000000001</v>
      </c>
      <c r="U2553">
        <v>-1.386139</v>
      </c>
      <c r="V2553">
        <v>-0.25337920000000003</v>
      </c>
      <c r="W2553">
        <v>0.14393880000000001</v>
      </c>
      <c r="X2553">
        <v>0.95659850000000002</v>
      </c>
      <c r="Y2553">
        <v>-0.39291199999999998</v>
      </c>
      <c r="Z2553">
        <v>-2.2652490000000001E-2</v>
      </c>
      <c r="AA2553">
        <v>0.91929700000000003</v>
      </c>
      <c r="AB2553">
        <v>27</v>
      </c>
      <c r="AC2553">
        <v>-7.5822000000000003</v>
      </c>
      <c r="AD2553">
        <v>-1.124037101976</v>
      </c>
      <c r="AE2553">
        <v>-3.93</v>
      </c>
      <c r="AF2553">
        <v>-3.4637807304717501</v>
      </c>
      <c r="AG2553">
        <v>-1.124037101976</v>
      </c>
      <c r="AH2553">
        <v>7.6468384313973399</v>
      </c>
      <c r="AI2553">
        <v>97.626403229885497</v>
      </c>
      <c r="AJ2553">
        <v>114.369052452505</v>
      </c>
      <c r="AK2553">
        <v>8.4696738043032802</v>
      </c>
      <c r="AL2553">
        <v>81.724168082360904</v>
      </c>
      <c r="AM2553">
        <v>104.835544469917</v>
      </c>
      <c r="AN2553">
        <v>1.0000000436701599</v>
      </c>
    </row>
    <row r="2554" spans="1:40" x14ac:dyDescent="0.25">
      <c r="A2554" t="str">
        <f>"20190303162305114"</f>
        <v>20190303162305114</v>
      </c>
      <c r="B2554" t="str">
        <f>"1551601385107282"</f>
        <v>1551601385107282</v>
      </c>
      <c r="C2554" t="s">
        <v>40</v>
      </c>
      <c r="D2554">
        <v>5.9643689999999996</v>
      </c>
      <c r="E2554">
        <v>0.4819831</v>
      </c>
      <c r="F2554" t="s">
        <v>46</v>
      </c>
      <c r="G2554">
        <v>-473.54640000000001</v>
      </c>
      <c r="H2554" s="1">
        <v>4.7693089999999998E-6</v>
      </c>
      <c r="I2554">
        <v>281.5034</v>
      </c>
      <c r="J2554">
        <v>-465.94709999999998</v>
      </c>
      <c r="K2554">
        <v>1.1240680000000001</v>
      </c>
      <c r="L2554">
        <v>285.4683</v>
      </c>
      <c r="M2554">
        <v>-0.99826420000000005</v>
      </c>
      <c r="N2554">
        <v>-1.3938290000000001E-2</v>
      </c>
      <c r="O2554">
        <v>-5.7223330000000003E-2</v>
      </c>
      <c r="P2554">
        <v>-0.94264360000000003</v>
      </c>
      <c r="Q2554">
        <v>0.13153999999999999</v>
      </c>
      <c r="R2554">
        <v>-0.30679050000000002</v>
      </c>
      <c r="S2554">
        <v>-2.7823790000000002</v>
      </c>
      <c r="T2554">
        <v>-0.39780520000000003</v>
      </c>
      <c r="U2554">
        <v>-1.409851</v>
      </c>
      <c r="V2554">
        <v>-0.25347439999999999</v>
      </c>
      <c r="W2554">
        <v>0.1428982</v>
      </c>
      <c r="X2554">
        <v>0.95672919999999995</v>
      </c>
      <c r="Y2554">
        <v>-0.39700829999999998</v>
      </c>
      <c r="Z2554">
        <v>-2.2684289999999999E-2</v>
      </c>
      <c r="AA2554">
        <v>0.91753459999999998</v>
      </c>
      <c r="AB2554">
        <v>27</v>
      </c>
      <c r="AC2554">
        <v>-7.5993000000000199</v>
      </c>
      <c r="AD2554">
        <v>-1.1240632306909999</v>
      </c>
      <c r="AE2554">
        <v>-3.9649000000000001</v>
      </c>
      <c r="AF2554">
        <v>-3.4639304552780801</v>
      </c>
      <c r="AG2554">
        <v>-1.1240632306909999</v>
      </c>
      <c r="AH2554">
        <v>7.6816448657030598</v>
      </c>
      <c r="AI2554">
        <v>97.598152770049197</v>
      </c>
      <c r="AJ2554">
        <v>114.27232901462099</v>
      </c>
      <c r="AK2554">
        <v>8.5011764002623007</v>
      </c>
      <c r="AL2554">
        <v>81.784412219234198</v>
      </c>
      <c r="AM2554">
        <v>104.838934578813</v>
      </c>
      <c r="AN2554">
        <v>0.99999996457561902</v>
      </c>
    </row>
    <row r="2555" spans="1:40" x14ac:dyDescent="0.25">
      <c r="A2555" t="str">
        <f>"20190303162305137"</f>
        <v>20190303162305137</v>
      </c>
      <c r="B2555" t="str">
        <f>"1551601385126802"</f>
        <v>1551601385126802</v>
      </c>
      <c r="C2555" t="s">
        <v>40</v>
      </c>
      <c r="D2555">
        <v>5.5648169999999997</v>
      </c>
      <c r="E2555">
        <v>0.49745459999999903</v>
      </c>
      <c r="F2555" t="s">
        <v>46</v>
      </c>
      <c r="G2555">
        <v>-476.07740000000001</v>
      </c>
      <c r="H2555" s="1">
        <v>3.6672260000000001E-6</v>
      </c>
      <c r="I2555">
        <v>281.73590000000002</v>
      </c>
      <c r="J2555">
        <v>-466.21230000000003</v>
      </c>
      <c r="K2555">
        <v>1.1241080000000001</v>
      </c>
      <c r="L2555">
        <v>285.44810000000001</v>
      </c>
      <c r="M2555">
        <v>-0.99799709999999997</v>
      </c>
      <c r="N2555">
        <v>-1.3928329999999999E-2</v>
      </c>
      <c r="O2555">
        <v>-6.1707949999999998E-2</v>
      </c>
      <c r="P2555">
        <v>-0.94157429999999998</v>
      </c>
      <c r="Q2555">
        <v>0.13164529999999999</v>
      </c>
      <c r="R2555">
        <v>-0.31001200000000001</v>
      </c>
      <c r="S2555">
        <v>-2.8815919999999999</v>
      </c>
      <c r="T2555">
        <v>-0.31974269999999999</v>
      </c>
      <c r="U2555">
        <v>-1.0616760000000001</v>
      </c>
      <c r="V2555">
        <v>-0.25246020000000002</v>
      </c>
      <c r="W2555">
        <v>0.14298129999999901</v>
      </c>
      <c r="X2555">
        <v>0.95698490000000003</v>
      </c>
      <c r="Y2555">
        <v>-0.28565079999999998</v>
      </c>
      <c r="Z2555">
        <v>-1.160332E-2</v>
      </c>
      <c r="AA2555">
        <v>0.95826350000000005</v>
      </c>
      <c r="AB2555">
        <v>27</v>
      </c>
      <c r="AC2555">
        <v>-9.8650999999999804</v>
      </c>
      <c r="AD2555">
        <v>-1.1241043327739999</v>
      </c>
      <c r="AE2555">
        <v>-3.71219999999999</v>
      </c>
      <c r="AF2555">
        <v>-3.0614899016263402</v>
      </c>
      <c r="AG2555">
        <v>-1.1241043327739999</v>
      </c>
      <c r="AH2555">
        <v>9.9620859236394104</v>
      </c>
      <c r="AI2555">
        <v>96.156117075370702</v>
      </c>
      <c r="AJ2555">
        <v>107.082933566837</v>
      </c>
      <c r="AK2555">
        <v>10.48234167153</v>
      </c>
      <c r="AL2555">
        <v>81.779601434905302</v>
      </c>
      <c r="AM2555">
        <v>104.77838903510001</v>
      </c>
      <c r="AN2555">
        <v>0.99999995178086898</v>
      </c>
    </row>
    <row r="2556" spans="1:40" x14ac:dyDescent="0.25">
      <c r="A2556" t="str">
        <f>"20190303162305159"</f>
        <v>20190303162305159</v>
      </c>
      <c r="B2556" t="str">
        <f>"1551601385147298"</f>
        <v>1551601385147298</v>
      </c>
      <c r="C2556" t="s">
        <v>40</v>
      </c>
      <c r="D2556">
        <v>5.4685639999999998</v>
      </c>
      <c r="E2556">
        <v>0.55560379999999998</v>
      </c>
      <c r="F2556" t="s">
        <v>46</v>
      </c>
      <c r="G2556">
        <v>-474.51400000000001</v>
      </c>
      <c r="H2556" s="1">
        <v>4.4480740000000004E-6</v>
      </c>
      <c r="I2556">
        <v>282.7373</v>
      </c>
      <c r="J2556">
        <v>-466.47969999999998</v>
      </c>
      <c r="K2556">
        <v>1.124185</v>
      </c>
      <c r="L2556">
        <v>285.42649999999998</v>
      </c>
      <c r="M2556">
        <v>-0.99769949999999996</v>
      </c>
      <c r="N2556">
        <v>-1.390625E-2</v>
      </c>
      <c r="O2556">
        <v>-6.6349969999999994E-2</v>
      </c>
      <c r="P2556">
        <v>-0.94034309999999999</v>
      </c>
      <c r="Q2556">
        <v>0.1338645</v>
      </c>
      <c r="R2556">
        <v>-0.31278650000000002</v>
      </c>
      <c r="S2556">
        <v>-2.9268800000000001</v>
      </c>
      <c r="T2556">
        <v>-0.39631739999999999</v>
      </c>
      <c r="U2556">
        <v>-0.95571899999999999</v>
      </c>
      <c r="V2556">
        <v>-0.25088949999999999</v>
      </c>
      <c r="W2556">
        <v>0.14515</v>
      </c>
      <c r="X2556">
        <v>0.95707149999999996</v>
      </c>
      <c r="Y2556">
        <v>-0.2448419</v>
      </c>
      <c r="Z2556">
        <v>-1.0048919999999999E-2</v>
      </c>
      <c r="AA2556">
        <v>0.96951100000000001</v>
      </c>
      <c r="AB2556">
        <v>27</v>
      </c>
      <c r="AC2556">
        <v>-8.0343000000000302</v>
      </c>
      <c r="AD2556">
        <v>-1.124180551926</v>
      </c>
      <c r="AE2556">
        <v>-2.6891999999999698</v>
      </c>
      <c r="AF2556">
        <v>-2.1129455643736699</v>
      </c>
      <c r="AG2556">
        <v>-1.124180551926</v>
      </c>
      <c r="AH2556">
        <v>8.0532532061488205</v>
      </c>
      <c r="AI2556">
        <v>97.689756594519807</v>
      </c>
      <c r="AJ2556">
        <v>104.701425383798</v>
      </c>
      <c r="AK2556">
        <v>8.4013813193832192</v>
      </c>
      <c r="AL2556">
        <v>81.654034212283705</v>
      </c>
      <c r="AM2556">
        <v>104.689160941381</v>
      </c>
      <c r="AN2556">
        <v>0.99999995991124901</v>
      </c>
    </row>
    <row r="2557" spans="1:40" x14ac:dyDescent="0.25">
      <c r="A2557" t="str">
        <f>"20190303162305181"</f>
        <v>20190303162305181</v>
      </c>
      <c r="B2557" t="str">
        <f>"1551601385166819"</f>
        <v>1551601385166819</v>
      </c>
      <c r="C2557" t="s">
        <v>40</v>
      </c>
      <c r="D2557">
        <v>5.4949770000000004</v>
      </c>
      <c r="E2557">
        <v>0.55721799999999999</v>
      </c>
      <c r="F2557" t="s">
        <v>42</v>
      </c>
      <c r="G2557">
        <v>-467.20409999999998</v>
      </c>
      <c r="H2557">
        <v>0.95136390000000004</v>
      </c>
      <c r="I2557">
        <v>285.30349999999999</v>
      </c>
      <c r="J2557">
        <v>-466.74889999999999</v>
      </c>
      <c r="K2557">
        <v>1.124295</v>
      </c>
      <c r="L2557">
        <v>285.40339999999998</v>
      </c>
      <c r="M2557">
        <v>-0.99736659999999999</v>
      </c>
      <c r="N2557">
        <v>-1.386505E-2</v>
      </c>
      <c r="O2557">
        <v>-7.1187550000000002E-2</v>
      </c>
      <c r="P2557">
        <v>-0.9392469</v>
      </c>
      <c r="Q2557">
        <v>0.1360912</v>
      </c>
      <c r="R2557">
        <v>-0.31511020000000001</v>
      </c>
      <c r="S2557">
        <v>-3.1198730000000001</v>
      </c>
      <c r="T2557">
        <v>-0.74481809999999904</v>
      </c>
      <c r="U2557">
        <v>-0.53051759999999903</v>
      </c>
      <c r="V2557">
        <v>-0.24868799999999999</v>
      </c>
      <c r="W2557">
        <v>0.147294799999999</v>
      </c>
      <c r="X2557">
        <v>0.95731840000000001</v>
      </c>
      <c r="Y2557">
        <v>-9.5969200000000005E-2</v>
      </c>
      <c r="Z2557">
        <v>3.7407E-3</v>
      </c>
      <c r="AA2557">
        <v>0.99537730000000002</v>
      </c>
      <c r="AB2557">
        <v>27</v>
      </c>
      <c r="AC2557">
        <v>-0.45519999999999</v>
      </c>
      <c r="AD2557">
        <v>-0.17293109999999901</v>
      </c>
      <c r="AE2557">
        <v>-9.9899999999990996E-2</v>
      </c>
      <c r="AF2557">
        <v>-5.9101009335757501E-2</v>
      </c>
      <c r="AG2557">
        <v>-0.17293109999999901</v>
      </c>
      <c r="AH2557">
        <v>0.405344128462646</v>
      </c>
      <c r="AI2557">
        <v>112.887724273022</v>
      </c>
      <c r="AJ2557">
        <v>98.295528909447995</v>
      </c>
      <c r="AK2557">
        <v>0.44463688233305299</v>
      </c>
      <c r="AL2557">
        <v>81.529811346081701</v>
      </c>
      <c r="AM2557">
        <v>104.562174622588</v>
      </c>
      <c r="AN2557">
        <v>0.99999999921479898</v>
      </c>
    </row>
    <row r="2558" spans="1:40" x14ac:dyDescent="0.25">
      <c r="A2558" t="str">
        <f>"20190303162305204"</f>
        <v>20190303162305204</v>
      </c>
      <c r="B2558" t="str">
        <f>"1551601385197074"</f>
        <v>1551601385197074</v>
      </c>
      <c r="C2558" t="s">
        <v>40</v>
      </c>
      <c r="D2558">
        <v>5.3670609999999996</v>
      </c>
      <c r="E2558">
        <v>0.55769179999999996</v>
      </c>
      <c r="F2558" t="s">
        <v>42</v>
      </c>
      <c r="G2558">
        <v>-467.44099999999997</v>
      </c>
      <c r="H2558">
        <v>0.95101959999999996</v>
      </c>
      <c r="I2558">
        <v>285.286</v>
      </c>
      <c r="J2558">
        <v>-467.01990000000001</v>
      </c>
      <c r="K2558">
        <v>1.12442</v>
      </c>
      <c r="L2558">
        <v>285.3784</v>
      </c>
      <c r="M2558">
        <v>-0.99699170000000004</v>
      </c>
      <c r="N2558">
        <v>-1.3800140000000001E-2</v>
      </c>
      <c r="O2558">
        <v>-7.6269160000000003E-2</v>
      </c>
      <c r="P2558">
        <v>-0.93842320000000001</v>
      </c>
      <c r="Q2558">
        <v>0.13803370000000001</v>
      </c>
      <c r="R2558">
        <v>-0.31671589999999999</v>
      </c>
      <c r="S2558">
        <v>-3.1295470000000001</v>
      </c>
      <c r="T2558">
        <v>-0.78353519999999999</v>
      </c>
      <c r="U2558">
        <v>-0.53067019999999998</v>
      </c>
      <c r="V2558">
        <v>-0.2455253</v>
      </c>
      <c r="W2558">
        <v>0.14912829999999999</v>
      </c>
      <c r="X2558">
        <v>0.9578508</v>
      </c>
      <c r="Y2558">
        <v>-9.0654310000000002E-2</v>
      </c>
      <c r="Z2558">
        <v>5.8615469999999999E-3</v>
      </c>
      <c r="AA2558">
        <v>0.99586520000000001</v>
      </c>
      <c r="AB2558">
        <v>27</v>
      </c>
      <c r="AC2558">
        <v>-0.421099999999967</v>
      </c>
      <c r="AD2558">
        <v>-0.17340039999999901</v>
      </c>
      <c r="AE2558">
        <v>-9.2399999999997803E-2</v>
      </c>
      <c r="AF2558">
        <v>-5.1654482828101297E-2</v>
      </c>
      <c r="AG2558">
        <v>-0.17340039999999901</v>
      </c>
      <c r="AH2558">
        <v>0.36747366349558802</v>
      </c>
      <c r="AI2558">
        <v>115.045638571121</v>
      </c>
      <c r="AJ2558">
        <v>98.001441430515797</v>
      </c>
      <c r="AK2558">
        <v>0.40960075400231799</v>
      </c>
      <c r="AL2558">
        <v>81.423586678346396</v>
      </c>
      <c r="AM2558">
        <v>104.37704639962701</v>
      </c>
      <c r="AN2558">
        <v>1.0000000389307999</v>
      </c>
    </row>
    <row r="2559" spans="1:40" x14ac:dyDescent="0.25">
      <c r="A2559" t="str">
        <f>"20190303162305226"</f>
        <v>20190303162305226</v>
      </c>
      <c r="B2559" t="str">
        <f>"1551601385216595"</f>
        <v>1551601385216595</v>
      </c>
      <c r="C2559" t="s">
        <v>40</v>
      </c>
      <c r="D2559">
        <v>5.3151679999999999</v>
      </c>
      <c r="E2559">
        <v>0.55830380000000002</v>
      </c>
      <c r="F2559" t="s">
        <v>42</v>
      </c>
      <c r="G2559">
        <v>-467.8913</v>
      </c>
      <c r="H2559">
        <v>0.90108980000000005</v>
      </c>
      <c r="I2559">
        <v>285.22980000000001</v>
      </c>
      <c r="J2559">
        <v>-467.27510000000001</v>
      </c>
      <c r="K2559">
        <v>1.124544</v>
      </c>
      <c r="L2559">
        <v>285.35329999999999</v>
      </c>
      <c r="M2559">
        <v>-0.99659900000000001</v>
      </c>
      <c r="N2559">
        <v>-1.372773E-2</v>
      </c>
      <c r="O2559">
        <v>-8.1254530000000005E-2</v>
      </c>
      <c r="P2559">
        <v>-0.93803590000000003</v>
      </c>
      <c r="Q2559">
        <v>0.1396251</v>
      </c>
      <c r="R2559">
        <v>-0.31716460000000002</v>
      </c>
      <c r="S2559">
        <v>-3.1344599999999998</v>
      </c>
      <c r="T2559">
        <v>-0.80384679999999997</v>
      </c>
      <c r="U2559">
        <v>-0.53521730000000001</v>
      </c>
      <c r="V2559">
        <v>-0.2412639</v>
      </c>
      <c r="W2559">
        <v>0.15062</v>
      </c>
      <c r="X2559">
        <v>0.95869979999999999</v>
      </c>
      <c r="Y2559">
        <v>-8.7050240000000001E-2</v>
      </c>
      <c r="Z2559">
        <v>7.6994759999999898E-3</v>
      </c>
      <c r="AA2559">
        <v>0.99617420000000001</v>
      </c>
      <c r="AB2559">
        <v>27</v>
      </c>
      <c r="AC2559">
        <v>-0.61619999999999198</v>
      </c>
      <c r="AD2559">
        <v>-0.22345419999999899</v>
      </c>
      <c r="AE2559">
        <v>-0.123499999999978</v>
      </c>
      <c r="AF2559">
        <v>-6.4822659553943299E-2</v>
      </c>
      <c r="AG2559">
        <v>-0.22345419999999899</v>
      </c>
      <c r="AH2559">
        <v>0.55414117477744995</v>
      </c>
      <c r="AI2559">
        <v>111.826752192611</v>
      </c>
      <c r="AJ2559">
        <v>96.672056952504207</v>
      </c>
      <c r="AK2559">
        <v>0.601004324670812</v>
      </c>
      <c r="AL2559">
        <v>81.337141662360807</v>
      </c>
      <c r="AM2559">
        <v>104.125584631533</v>
      </c>
      <c r="AN2559">
        <v>0.99999998018162395</v>
      </c>
    </row>
    <row r="2560" spans="1:40" x14ac:dyDescent="0.25">
      <c r="A2560" t="str">
        <f>"20190303162305249"</f>
        <v>20190303162305249</v>
      </c>
      <c r="B2560" t="str">
        <f>"1551601385237090"</f>
        <v>1551601385237090</v>
      </c>
      <c r="C2560" t="s">
        <v>40</v>
      </c>
      <c r="D2560">
        <v>5.3169779999999998</v>
      </c>
      <c r="E2560">
        <v>0.5586989</v>
      </c>
      <c r="F2560" t="s">
        <v>42</v>
      </c>
      <c r="G2560">
        <v>-468.12950000000001</v>
      </c>
      <c r="H2560">
        <v>0.90589370000000002</v>
      </c>
      <c r="I2560">
        <v>285.2079</v>
      </c>
      <c r="J2560">
        <v>-467.55020000000002</v>
      </c>
      <c r="K2560">
        <v>1.12466</v>
      </c>
      <c r="L2560">
        <v>285.32470000000001</v>
      </c>
      <c r="M2560">
        <v>-0.99613180000000001</v>
      </c>
      <c r="N2560">
        <v>-1.364776E-2</v>
      </c>
      <c r="O2560">
        <v>-8.6806830000000001E-2</v>
      </c>
      <c r="P2560">
        <v>-0.93777540000000004</v>
      </c>
      <c r="Q2560">
        <v>0.1404329</v>
      </c>
      <c r="R2560">
        <v>-0.31757849999999999</v>
      </c>
      <c r="S2560">
        <v>-3.1372680000000002</v>
      </c>
      <c r="T2560">
        <v>-0.80281950000000002</v>
      </c>
      <c r="U2560">
        <v>-0.53363039999999995</v>
      </c>
      <c r="V2560">
        <v>-0.23639540000000001</v>
      </c>
      <c r="W2560">
        <v>0.15133740000000001</v>
      </c>
      <c r="X2560">
        <v>0.95979910000000002</v>
      </c>
      <c r="Y2560">
        <v>-8.1210950000000004E-2</v>
      </c>
      <c r="Z2560">
        <v>9.7668489999999993E-3</v>
      </c>
      <c r="AA2560">
        <v>0.99664909999999995</v>
      </c>
      <c r="AB2560">
        <v>27</v>
      </c>
      <c r="AC2560">
        <v>-0.57929999999998905</v>
      </c>
      <c r="AD2560">
        <v>-0.2187663</v>
      </c>
      <c r="AE2560">
        <v>-0.11680000000001101</v>
      </c>
      <c r="AF2560">
        <v>-5.8104484827077897E-2</v>
      </c>
      <c r="AG2560">
        <v>-0.2187663</v>
      </c>
      <c r="AH2560">
        <v>0.51647491742551999</v>
      </c>
      <c r="AI2560">
        <v>112.827222705182</v>
      </c>
      <c r="AJ2560">
        <v>96.418902482297696</v>
      </c>
      <c r="AK2560">
        <v>0.56389818717779905</v>
      </c>
      <c r="AL2560">
        <v>81.2955616696036</v>
      </c>
      <c r="AM2560">
        <v>103.836370791552</v>
      </c>
      <c r="AN2560">
        <v>1.0000000530703601</v>
      </c>
    </row>
    <row r="2561" spans="1:40" x14ac:dyDescent="0.25">
      <c r="A2561" t="str">
        <f>"20190303162305272"</f>
        <v>20190303162305272</v>
      </c>
      <c r="B2561" t="str">
        <f>"1551601385267346"</f>
        <v>1551601385267346</v>
      </c>
      <c r="C2561" t="s">
        <v>40</v>
      </c>
      <c r="D2561">
        <v>5.3078339999999997</v>
      </c>
      <c r="E2561">
        <v>0.55904600000000004</v>
      </c>
      <c r="F2561" t="s">
        <v>42</v>
      </c>
      <c r="G2561">
        <v>-468.36989999999997</v>
      </c>
      <c r="H2561">
        <v>0.91578190000000004</v>
      </c>
      <c r="I2561">
        <v>285.1857</v>
      </c>
      <c r="J2561">
        <v>-467.81330000000003</v>
      </c>
      <c r="K2561">
        <v>1.1247370000000001</v>
      </c>
      <c r="L2561">
        <v>285.29570000000001</v>
      </c>
      <c r="M2561">
        <v>-0.99564140000000001</v>
      </c>
      <c r="N2561">
        <v>-1.356921E-2</v>
      </c>
      <c r="O2561">
        <v>-9.2274579999999995E-2</v>
      </c>
      <c r="P2561">
        <v>-0.9375327</v>
      </c>
      <c r="Q2561">
        <v>0.13966979999999901</v>
      </c>
      <c r="R2561">
        <v>-0.31863029999999998</v>
      </c>
      <c r="S2561">
        <v>-3.1383670000000001</v>
      </c>
      <c r="T2561">
        <v>-0.80013999999999996</v>
      </c>
      <c r="U2561">
        <v>-0.53289790000000004</v>
      </c>
      <c r="V2561">
        <v>-0.23220840000000001</v>
      </c>
      <c r="W2561">
        <v>0.15049969999999999</v>
      </c>
      <c r="X2561">
        <v>0.96095220000000003</v>
      </c>
      <c r="Y2561">
        <v>-7.5784939999999995E-2</v>
      </c>
      <c r="Z2561">
        <v>1.1730290000000001E-2</v>
      </c>
      <c r="AA2561">
        <v>0.99705520000000003</v>
      </c>
      <c r="AB2561">
        <v>27</v>
      </c>
      <c r="AC2561">
        <v>-0.55659999999994603</v>
      </c>
      <c r="AD2561">
        <v>-0.2089551</v>
      </c>
      <c r="AE2561">
        <v>-0.110000000000013</v>
      </c>
      <c r="AF2561">
        <v>-5.1218682420924998E-2</v>
      </c>
      <c r="AG2561">
        <v>-0.2089551</v>
      </c>
      <c r="AH2561">
        <v>0.49696840683704002</v>
      </c>
      <c r="AI2561">
        <v>112.696833829087</v>
      </c>
      <c r="AJ2561">
        <v>95.884256811021004</v>
      </c>
      <c r="AK2561">
        <v>0.54153779613161901</v>
      </c>
      <c r="AL2561">
        <v>81.344114131014706</v>
      </c>
      <c r="AM2561">
        <v>103.58476791077599</v>
      </c>
      <c r="AN2561">
        <v>1.00000001570774</v>
      </c>
    </row>
    <row r="2562" spans="1:40" x14ac:dyDescent="0.25">
      <c r="A2562" t="str">
        <f>"20190303162305293"</f>
        <v>20190303162305293</v>
      </c>
      <c r="B2562" t="str">
        <f>"1551601385286867"</f>
        <v>1551601385286867</v>
      </c>
      <c r="C2562" t="s">
        <v>40</v>
      </c>
      <c r="D2562">
        <v>5.4193429999999996</v>
      </c>
      <c r="E2562">
        <v>0.55909969999999998</v>
      </c>
      <c r="F2562" t="s">
        <v>42</v>
      </c>
      <c r="G2562">
        <v>-468.60849999999999</v>
      </c>
      <c r="H2562">
        <v>0.92209509999999995</v>
      </c>
      <c r="I2562">
        <v>285.16160000000002</v>
      </c>
      <c r="J2562">
        <v>-468.07600000000002</v>
      </c>
      <c r="K2562">
        <v>1.1247830000000001</v>
      </c>
      <c r="L2562">
        <v>285.26519999999999</v>
      </c>
      <c r="M2562">
        <v>-0.99510969999999999</v>
      </c>
      <c r="N2562">
        <v>-1.3488979999999999E-2</v>
      </c>
      <c r="O2562">
        <v>-9.785075E-2</v>
      </c>
      <c r="P2562">
        <v>-0.9372085</v>
      </c>
      <c r="Q2562">
        <v>0.137902</v>
      </c>
      <c r="R2562">
        <v>-0.32034869999999999</v>
      </c>
      <c r="S2562">
        <v>-3.138763</v>
      </c>
      <c r="T2562">
        <v>-0.80054740000000002</v>
      </c>
      <c r="U2562">
        <v>-0.53070069999999903</v>
      </c>
      <c r="V2562">
        <v>-0.22856019999999999</v>
      </c>
      <c r="W2562">
        <v>0.1486671</v>
      </c>
      <c r="X2562">
        <v>0.96211139999999995</v>
      </c>
      <c r="Y2562">
        <v>-6.9849069999999999E-2</v>
      </c>
      <c r="Z2562">
        <v>1.383361E-2</v>
      </c>
      <c r="AA2562">
        <v>0.99746170000000001</v>
      </c>
      <c r="AB2562">
        <v>27</v>
      </c>
      <c r="AC2562">
        <v>-0.53250000000002695</v>
      </c>
      <c r="AD2562">
        <v>-0.2026879</v>
      </c>
      <c r="AE2562">
        <v>-0.10359999999997099</v>
      </c>
      <c r="AF2562">
        <v>-4.47459968890297E-2</v>
      </c>
      <c r="AG2562">
        <v>-0.2026879</v>
      </c>
      <c r="AH2562">
        <v>0.473923311875945</v>
      </c>
      <c r="AI2562">
        <v>113.06368350066199</v>
      </c>
      <c r="AJ2562">
        <v>95.393655633537904</v>
      </c>
      <c r="AK2562">
        <v>0.51738563430333795</v>
      </c>
      <c r="AL2562">
        <v>81.450309120265104</v>
      </c>
      <c r="AM2562">
        <v>103.363529853374</v>
      </c>
      <c r="AN2562">
        <v>1.0000000088281999</v>
      </c>
    </row>
    <row r="2563" spans="1:40" x14ac:dyDescent="0.25">
      <c r="A2563" t="str">
        <f>"20190303162305316"</f>
        <v>20190303162305316</v>
      </c>
      <c r="B2563" t="str">
        <f>"1551601385307362"</f>
        <v>1551601385307362</v>
      </c>
      <c r="C2563" t="s">
        <v>40</v>
      </c>
      <c r="D2563">
        <v>5.3164989999999896</v>
      </c>
      <c r="E2563">
        <v>0.54954999999999998</v>
      </c>
      <c r="F2563" t="s">
        <v>42</v>
      </c>
      <c r="G2563">
        <v>-468.84649999999999</v>
      </c>
      <c r="H2563">
        <v>0.92754199999999998</v>
      </c>
      <c r="I2563">
        <v>285.13529999999997</v>
      </c>
      <c r="J2563">
        <v>-468.33499999999998</v>
      </c>
      <c r="K2563">
        <v>1.1248020000000001</v>
      </c>
      <c r="L2563">
        <v>285.2337</v>
      </c>
      <c r="M2563">
        <v>-0.99454730000000002</v>
      </c>
      <c r="N2563">
        <v>-1.340595E-2</v>
      </c>
      <c r="O2563">
        <v>-0.10342179999999999</v>
      </c>
      <c r="P2563">
        <v>-0.93674179999999996</v>
      </c>
      <c r="Q2563">
        <v>0.13635549999999999</v>
      </c>
      <c r="R2563">
        <v>-0.32236930000000003</v>
      </c>
      <c r="S2563">
        <v>-3.1380620000000001</v>
      </c>
      <c r="T2563">
        <v>-0.80375830000000004</v>
      </c>
      <c r="U2563">
        <v>-0.53012079999999995</v>
      </c>
      <c r="V2563">
        <v>-0.22521620000000001</v>
      </c>
      <c r="W2563">
        <v>0.14706229999999901</v>
      </c>
      <c r="X2563">
        <v>0.96314610000000001</v>
      </c>
      <c r="Y2563">
        <v>-6.4459699999999995E-2</v>
      </c>
      <c r="Z2563">
        <v>1.59306E-2</v>
      </c>
      <c r="AA2563">
        <v>0.99779309999999999</v>
      </c>
      <c r="AB2563">
        <v>27</v>
      </c>
      <c r="AC2563">
        <v>-0.51150000000001195</v>
      </c>
      <c r="AD2563">
        <v>-0.19725999999999999</v>
      </c>
      <c r="AE2563">
        <v>-9.8400000000026397E-2</v>
      </c>
      <c r="AF2563">
        <v>-3.9327026706772898E-2</v>
      </c>
      <c r="AG2563">
        <v>-0.19725999999999999</v>
      </c>
      <c r="AH2563">
        <v>0.45384462827072303</v>
      </c>
      <c r="AI2563">
        <v>113.413550577918</v>
      </c>
      <c r="AJ2563">
        <v>94.952483797498701</v>
      </c>
      <c r="AK2563">
        <v>0.49642025466310902</v>
      </c>
      <c r="AL2563">
        <v>81.543279572559697</v>
      </c>
      <c r="AM2563">
        <v>103.161218289563</v>
      </c>
      <c r="AN2563">
        <v>1.0000000333844601</v>
      </c>
    </row>
    <row r="2564" spans="1:40" x14ac:dyDescent="0.25">
      <c r="A2564" t="str">
        <f>"20190303162305338"</f>
        <v>20190303162305338</v>
      </c>
      <c r="B2564" t="str">
        <f>"1551601385326883"</f>
        <v>1551601385326883</v>
      </c>
      <c r="C2564" t="s">
        <v>40</v>
      </c>
      <c r="D2564">
        <v>5.2399139999999997</v>
      </c>
      <c r="E2564">
        <v>0.54064109999999999</v>
      </c>
      <c r="F2564" t="s">
        <v>42</v>
      </c>
      <c r="G2564">
        <v>-469.06650000000002</v>
      </c>
      <c r="H2564">
        <v>0.89480329999999997</v>
      </c>
      <c r="I2564">
        <v>285.09230000000002</v>
      </c>
      <c r="J2564">
        <v>-468.59339999999997</v>
      </c>
      <c r="K2564">
        <v>1.124808</v>
      </c>
      <c r="L2564">
        <v>285.20069999999998</v>
      </c>
      <c r="M2564">
        <v>-0.99395060000000002</v>
      </c>
      <c r="N2564">
        <v>-1.332142E-2</v>
      </c>
      <c r="O2564">
        <v>-0.1090173</v>
      </c>
      <c r="P2564">
        <v>-0.93635610000000002</v>
      </c>
      <c r="Q2564">
        <v>0.13452069999999999</v>
      </c>
      <c r="R2564">
        <v>-0.32425500000000002</v>
      </c>
      <c r="S2564">
        <v>-3.1374819999999999</v>
      </c>
      <c r="T2564">
        <v>-0.98638029999999999</v>
      </c>
      <c r="U2564">
        <v>-0.60656739999999998</v>
      </c>
      <c r="V2564">
        <v>-0.22168860000000001</v>
      </c>
      <c r="W2564">
        <v>0.14518200000000001</v>
      </c>
      <c r="X2564">
        <v>0.96424909999999997</v>
      </c>
      <c r="Y2564">
        <v>-8.2266199999999998E-2</v>
      </c>
      <c r="Z2564">
        <v>1.854654E-2</v>
      </c>
      <c r="AA2564">
        <v>0.99643780000000004</v>
      </c>
      <c r="AB2564">
        <v>27</v>
      </c>
      <c r="AC2564">
        <v>-0.47310000000004399</v>
      </c>
      <c r="AD2564">
        <v>-0.23000469999999901</v>
      </c>
      <c r="AE2564">
        <v>-0.10839999999996</v>
      </c>
      <c r="AF2564">
        <v>-4.5871845738631602E-2</v>
      </c>
      <c r="AG2564">
        <v>-0.23000469999999901</v>
      </c>
      <c r="AH2564">
        <v>0.39368880098280001</v>
      </c>
      <c r="AI2564">
        <v>120.126755121356</v>
      </c>
      <c r="AJ2564">
        <v>96.646023325814994</v>
      </c>
      <c r="AK2564">
        <v>0.45825458019842302</v>
      </c>
      <c r="AL2564">
        <v>81.652181351416701</v>
      </c>
      <c r="AM2564">
        <v>102.94775904946199</v>
      </c>
      <c r="AN2564">
        <v>0.99999998767238396</v>
      </c>
    </row>
    <row r="2565" spans="1:40" x14ac:dyDescent="0.25">
      <c r="A2565" t="str">
        <f>"20190303162305361"</f>
        <v>20190303162305361</v>
      </c>
      <c r="B2565" t="str">
        <f>"1551601385347379"</f>
        <v>1551601385347379</v>
      </c>
      <c r="C2565" t="s">
        <v>40</v>
      </c>
      <c r="D2565">
        <v>5.1931089999999998</v>
      </c>
      <c r="E2565">
        <v>0.54034040000000005</v>
      </c>
      <c r="F2565" t="s">
        <v>42</v>
      </c>
      <c r="G2565">
        <v>-469.29469999999998</v>
      </c>
      <c r="H2565">
        <v>0.8804959</v>
      </c>
      <c r="I2565">
        <v>285.0487</v>
      </c>
      <c r="J2565">
        <v>-468.86020000000002</v>
      </c>
      <c r="K2565">
        <v>1.1248069999999999</v>
      </c>
      <c r="L2565">
        <v>285.1651</v>
      </c>
      <c r="M2565">
        <v>-0.99330079999999998</v>
      </c>
      <c r="N2565">
        <v>-1.323833E-2</v>
      </c>
      <c r="O2565">
        <v>-0.1147971</v>
      </c>
      <c r="P2565">
        <v>-0.93551519999999999</v>
      </c>
      <c r="Q2565">
        <v>0.1330654</v>
      </c>
      <c r="R2565">
        <v>-0.32726870000000002</v>
      </c>
      <c r="S2565">
        <v>-3.1255799999999998</v>
      </c>
      <c r="T2565">
        <v>-1.0892599999999999</v>
      </c>
      <c r="U2565">
        <v>-0.67803959999999996</v>
      </c>
      <c r="V2565">
        <v>-0.2191437</v>
      </c>
      <c r="W2565">
        <v>0.14367729999999901</v>
      </c>
      <c r="X2565">
        <v>0.96505589999999997</v>
      </c>
      <c r="Y2565">
        <v>-9.8576179999999999E-2</v>
      </c>
      <c r="Z2565">
        <v>1.9613640000000002E-2</v>
      </c>
      <c r="AA2565">
        <v>0.99493620000000005</v>
      </c>
      <c r="AB2565">
        <v>27</v>
      </c>
      <c r="AC2565">
        <v>-0.43449999999995698</v>
      </c>
      <c r="AD2565">
        <v>-0.244311099999999</v>
      </c>
      <c r="AE2565">
        <v>-0.11639999999999801</v>
      </c>
      <c r="AF2565">
        <v>-5.0770016511796898E-2</v>
      </c>
      <c r="AG2565">
        <v>-0.244311099999999</v>
      </c>
      <c r="AH2565">
        <v>0.34362487104729</v>
      </c>
      <c r="AI2565">
        <v>125.12050542356199</v>
      </c>
      <c r="AJ2565">
        <v>98.404554369115999</v>
      </c>
      <c r="AK2565">
        <v>0.42466876523013097</v>
      </c>
      <c r="AL2565">
        <v>81.739308012791298</v>
      </c>
      <c r="AM2565">
        <v>102.79369812990301</v>
      </c>
      <c r="AN2565">
        <v>1.0000000089548899</v>
      </c>
    </row>
    <row r="2566" spans="1:40" x14ac:dyDescent="0.25">
      <c r="A2566" t="str">
        <f>"20190303162305383"</f>
        <v>20190303162305383</v>
      </c>
      <c r="B2566" t="str">
        <f>"1551601385377634"</f>
        <v>1551601385377634</v>
      </c>
      <c r="C2566" t="s">
        <v>40</v>
      </c>
      <c r="D2566">
        <v>5.1655639999999998</v>
      </c>
      <c r="E2566">
        <v>0.54115429999999998</v>
      </c>
      <c r="F2566" t="s">
        <v>42</v>
      </c>
      <c r="G2566">
        <v>-469.5326</v>
      </c>
      <c r="H2566">
        <v>0.88843320000000003</v>
      </c>
      <c r="I2566">
        <v>285.01650000000001</v>
      </c>
      <c r="J2566">
        <v>-469.12200000000001</v>
      </c>
      <c r="K2566">
        <v>1.1248009999999999</v>
      </c>
      <c r="L2566">
        <v>285.12860000000001</v>
      </c>
      <c r="M2566">
        <v>-0.99263190000000001</v>
      </c>
      <c r="N2566">
        <v>-1.3163650000000001E-2</v>
      </c>
      <c r="O2566">
        <v>-0.1204527</v>
      </c>
      <c r="P2566">
        <v>-0.93381139999999996</v>
      </c>
      <c r="Q2566">
        <v>0.13344110000000001</v>
      </c>
      <c r="R2566">
        <v>-0.33194899999999999</v>
      </c>
      <c r="S2566">
        <v>-3.1215519999999999</v>
      </c>
      <c r="T2566">
        <v>-1.0974120000000001</v>
      </c>
      <c r="U2566">
        <v>-0.68991089999999999</v>
      </c>
      <c r="V2566">
        <v>-0.21848619999999999</v>
      </c>
      <c r="W2566">
        <v>0.1439907</v>
      </c>
      <c r="X2566">
        <v>0.96515830000000002</v>
      </c>
      <c r="Y2566">
        <v>-9.7175049999999999E-2</v>
      </c>
      <c r="Z2566">
        <v>2.1857100000000001E-2</v>
      </c>
      <c r="AA2566">
        <v>0.99502729999999995</v>
      </c>
      <c r="AB2566">
        <v>27</v>
      </c>
      <c r="AC2566">
        <v>-0.41060000000004399</v>
      </c>
      <c r="AD2566">
        <v>-0.23636779999999899</v>
      </c>
      <c r="AE2566">
        <v>-0.11209999999999801</v>
      </c>
      <c r="AF2566">
        <v>-4.7249625405566903E-2</v>
      </c>
      <c r="AG2566">
        <v>-0.23636779999999899</v>
      </c>
      <c r="AH2566">
        <v>0.32185354990911202</v>
      </c>
      <c r="AI2566">
        <v>126.002434684487</v>
      </c>
      <c r="AJ2566">
        <v>98.351635630726093</v>
      </c>
      <c r="AK2566">
        <v>0.40210940248507399</v>
      </c>
      <c r="AL2566">
        <v>81.721163120023704</v>
      </c>
      <c r="AM2566">
        <v>102.755261648616</v>
      </c>
      <c r="AN2566">
        <v>1.0000000426679001</v>
      </c>
    </row>
    <row r="2567" spans="1:40" x14ac:dyDescent="0.25">
      <c r="A2567" t="str">
        <f>"20190303162305404"</f>
        <v>20190303162305404</v>
      </c>
      <c r="B2567" t="str">
        <f>"1551601385397155"</f>
        <v>1551601385397155</v>
      </c>
      <c r="C2567" t="s">
        <v>40</v>
      </c>
      <c r="D2567">
        <v>5.0593769999999996</v>
      </c>
      <c r="E2567">
        <v>0.54168799999999995</v>
      </c>
      <c r="F2567" t="s">
        <v>42</v>
      </c>
      <c r="G2567">
        <v>-469.97570000000002</v>
      </c>
      <c r="H2567">
        <v>0.82652429999999999</v>
      </c>
      <c r="I2567">
        <v>284.93729999999999</v>
      </c>
      <c r="J2567">
        <v>-469.37540000000001</v>
      </c>
      <c r="K2567">
        <v>1.124784</v>
      </c>
      <c r="L2567">
        <v>285.09179999999998</v>
      </c>
      <c r="M2567">
        <v>-0.9919578</v>
      </c>
      <c r="N2567">
        <v>-1.309769E-2</v>
      </c>
      <c r="O2567">
        <v>-0.12588920000000001</v>
      </c>
      <c r="P2567">
        <v>-0.93167820000000001</v>
      </c>
      <c r="Q2567">
        <v>0.13424069999999999</v>
      </c>
      <c r="R2567">
        <v>-0.3375725</v>
      </c>
      <c r="S2567">
        <v>-3.1196899999999999</v>
      </c>
      <c r="T2567">
        <v>-1.090549</v>
      </c>
      <c r="U2567">
        <v>-0.70001219999999997</v>
      </c>
      <c r="V2567">
        <v>-0.21903439999999999</v>
      </c>
      <c r="W2567">
        <v>0.14472579999999999</v>
      </c>
      <c r="X2567">
        <v>0.964924</v>
      </c>
      <c r="Y2567">
        <v>-9.5298250000000001E-2</v>
      </c>
      <c r="Z2567">
        <v>2.3789979999999999E-2</v>
      </c>
      <c r="AA2567">
        <v>0.99516450000000001</v>
      </c>
      <c r="AB2567">
        <v>27</v>
      </c>
      <c r="AC2567">
        <v>-0.60030000000000405</v>
      </c>
      <c r="AD2567">
        <v>-0.29825970000000002</v>
      </c>
      <c r="AE2567">
        <v>-0.15449999999998401</v>
      </c>
      <c r="AF2567">
        <v>-6.3086721098229201E-2</v>
      </c>
      <c r="AG2567">
        <v>-0.29825970000000002</v>
      </c>
      <c r="AH2567">
        <v>0.49936057395565397</v>
      </c>
      <c r="AI2567">
        <v>120.64983991071099</v>
      </c>
      <c r="AJ2567">
        <v>97.200317368945605</v>
      </c>
      <c r="AK2567">
        <v>0.585063898941248</v>
      </c>
      <c r="AL2567">
        <v>81.678598595206296</v>
      </c>
      <c r="AM2567">
        <v>102.789217501812</v>
      </c>
      <c r="AN2567">
        <v>0.99999997567249899</v>
      </c>
    </row>
    <row r="2568" spans="1:40" x14ac:dyDescent="0.25">
      <c r="A2568" t="str">
        <f>"20190303162305418"</f>
        <v>20190303162305418</v>
      </c>
      <c r="B2568" t="str">
        <f>"1551601385407890"</f>
        <v>1551601385407890</v>
      </c>
      <c r="C2568" t="s">
        <v>40</v>
      </c>
      <c r="D2568">
        <v>5.0750609999999998</v>
      </c>
      <c r="E2568">
        <v>0.54180759999999994</v>
      </c>
      <c r="F2568" t="s">
        <v>42</v>
      </c>
      <c r="G2568">
        <v>-470.2124</v>
      </c>
      <c r="H2568">
        <v>0.83404590000000001</v>
      </c>
      <c r="I2568">
        <v>284.89980000000003</v>
      </c>
      <c r="J2568">
        <v>-469.54309999999998</v>
      </c>
      <c r="K2568">
        <v>1.1247689999999999</v>
      </c>
      <c r="L2568">
        <v>285.06670000000003</v>
      </c>
      <c r="M2568">
        <v>-0.99149730000000003</v>
      </c>
      <c r="N2568">
        <v>-1.30572999999999E-2</v>
      </c>
      <c r="O2568">
        <v>-0.1294708</v>
      </c>
      <c r="P2568">
        <v>-0.92992730000000001</v>
      </c>
      <c r="Q2568">
        <v>0.13457910000000001</v>
      </c>
      <c r="R2568">
        <v>-0.34223310000000001</v>
      </c>
      <c r="S2568">
        <v>-3.1168520000000002</v>
      </c>
      <c r="T2568">
        <v>-1.0828420000000001</v>
      </c>
      <c r="U2568">
        <v>-0.71533199999999997</v>
      </c>
      <c r="V2568">
        <v>-0.2203881</v>
      </c>
      <c r="W2568">
        <v>0.14501410000000001</v>
      </c>
      <c r="X2568">
        <v>0.9645724</v>
      </c>
      <c r="Y2568">
        <v>-9.663737E-2</v>
      </c>
      <c r="Z2568">
        <v>2.452936E-2</v>
      </c>
      <c r="AA2568">
        <v>0.99501729999999999</v>
      </c>
      <c r="AB2568">
        <v>27</v>
      </c>
      <c r="AC2568">
        <v>-0.66930000000002099</v>
      </c>
      <c r="AD2568">
        <v>-0.29072309999999901</v>
      </c>
      <c r="AE2568">
        <v>-0.16689999999999799</v>
      </c>
      <c r="AF2568">
        <v>-6.6941875558537201E-2</v>
      </c>
      <c r="AG2568">
        <v>-0.29072309999999901</v>
      </c>
      <c r="AH2568">
        <v>0.58191094208074201</v>
      </c>
      <c r="AI2568">
        <v>116.39646146299199</v>
      </c>
      <c r="AJ2568">
        <v>96.562345660102807</v>
      </c>
      <c r="AK2568">
        <v>0.65392773307927599</v>
      </c>
      <c r="AL2568">
        <v>81.661903969186099</v>
      </c>
      <c r="AM2568">
        <v>102.87016975217399</v>
      </c>
      <c r="AN2568">
        <v>0.99999995933108898</v>
      </c>
    </row>
    <row r="2569" spans="1:40" x14ac:dyDescent="0.25">
      <c r="A2569" t="str">
        <f>"20190303162305439"</f>
        <v>20190303162305439</v>
      </c>
      <c r="B2569" t="str">
        <f>"1551601385427410"</f>
        <v>1551601385427410</v>
      </c>
      <c r="C2569" t="s">
        <v>40</v>
      </c>
      <c r="D2569">
        <v>4.9684039999999996</v>
      </c>
      <c r="E2569">
        <v>0.54198359999999901</v>
      </c>
      <c r="F2569" t="s">
        <v>42</v>
      </c>
      <c r="G2569">
        <v>-470.23340000000002</v>
      </c>
      <c r="H2569">
        <v>0.88508989999999998</v>
      </c>
      <c r="I2569">
        <v>284.9049</v>
      </c>
      <c r="J2569">
        <v>-469.774</v>
      </c>
      <c r="K2569">
        <v>1.1247419999999999</v>
      </c>
      <c r="L2569">
        <v>285.03100000000001</v>
      </c>
      <c r="M2569">
        <v>-0.99084510000000003</v>
      </c>
      <c r="N2569">
        <v>-1.3005839999999999E-2</v>
      </c>
      <c r="O2569">
        <v>-0.1343762</v>
      </c>
      <c r="P2569">
        <v>-0.92713610000000002</v>
      </c>
      <c r="Q2569">
        <v>0.13370099999999999</v>
      </c>
      <c r="R2569">
        <v>-0.35006140000000002</v>
      </c>
      <c r="S2569">
        <v>-3.113861</v>
      </c>
      <c r="T2569">
        <v>-1.0814999999999999</v>
      </c>
      <c r="U2569">
        <v>-0.73013309999999998</v>
      </c>
      <c r="V2569">
        <v>-0.223719</v>
      </c>
      <c r="W2569">
        <v>0.14405580000000001</v>
      </c>
      <c r="X2569">
        <v>0.96394899999999994</v>
      </c>
      <c r="Y2569">
        <v>-9.665398E-2</v>
      </c>
      <c r="Z2569">
        <v>2.606145E-2</v>
      </c>
      <c r="AA2569">
        <v>0.99497679999999999</v>
      </c>
      <c r="AB2569">
        <v>27</v>
      </c>
      <c r="AC2569">
        <v>-0.45940000000001602</v>
      </c>
      <c r="AD2569">
        <v>-0.23965209999999901</v>
      </c>
      <c r="AE2569">
        <v>-0.12610000000000801</v>
      </c>
      <c r="AF2569">
        <v>-5.0451056842316502E-2</v>
      </c>
      <c r="AG2569">
        <v>-0.23965209999999901</v>
      </c>
      <c r="AH2569">
        <v>0.37681904643223801</v>
      </c>
      <c r="AI2569">
        <v>122.225793437006</v>
      </c>
      <c r="AJ2569">
        <v>97.625792606618205</v>
      </c>
      <c r="AK2569">
        <v>0.44941187336898197</v>
      </c>
      <c r="AL2569">
        <v>81.717393257900099</v>
      </c>
      <c r="AM2569">
        <v>103.06622294979501</v>
      </c>
      <c r="AN2569">
        <v>0.999999969537819</v>
      </c>
    </row>
    <row r="2570" spans="1:40" x14ac:dyDescent="0.25">
      <c r="A2570" t="str">
        <f>"20190303162305461"</f>
        <v>20190303162305461</v>
      </c>
      <c r="B2570" t="str">
        <f>"1551601385446932"</f>
        <v>1551601385446932</v>
      </c>
      <c r="C2570" t="s">
        <v>40</v>
      </c>
      <c r="D2570">
        <v>4.9830610000000002</v>
      </c>
      <c r="E2570">
        <v>0.54222230000000005</v>
      </c>
      <c r="F2570" t="s">
        <v>42</v>
      </c>
      <c r="G2570">
        <v>-470.46620000000001</v>
      </c>
      <c r="H2570">
        <v>0.88373539999999995</v>
      </c>
      <c r="I2570">
        <v>284.8639</v>
      </c>
      <c r="J2570">
        <v>-470.04140000000001</v>
      </c>
      <c r="K2570">
        <v>1.124706</v>
      </c>
      <c r="L2570">
        <v>284.98849999999999</v>
      </c>
      <c r="M2570">
        <v>-0.99006510000000003</v>
      </c>
      <c r="N2570">
        <v>-1.2951900000000001E-2</v>
      </c>
      <c r="O2570">
        <v>-0.1400121</v>
      </c>
      <c r="P2570">
        <v>-0.92356740000000004</v>
      </c>
      <c r="Q2570">
        <v>0.13216410000000001</v>
      </c>
      <c r="R2570">
        <v>-0.35993839999999999</v>
      </c>
      <c r="S2570">
        <v>-3.1081539999999999</v>
      </c>
      <c r="T2570">
        <v>-1.082592</v>
      </c>
      <c r="U2570">
        <v>-0.75140379999999996</v>
      </c>
      <c r="V2570">
        <v>-0.2284745</v>
      </c>
      <c r="W2570">
        <v>0.14242289999999999</v>
      </c>
      <c r="X2570">
        <v>0.96307589999999998</v>
      </c>
      <c r="Y2570">
        <v>-9.8052269999999997E-2</v>
      </c>
      <c r="Z2570">
        <v>2.7660959999999998E-2</v>
      </c>
      <c r="AA2570">
        <v>0.99479680000000004</v>
      </c>
      <c r="AB2570">
        <v>27</v>
      </c>
      <c r="AC2570">
        <v>-0.42480000000000401</v>
      </c>
      <c r="AD2570">
        <v>-0.24097060000000001</v>
      </c>
      <c r="AE2570">
        <v>-0.124599999999986</v>
      </c>
      <c r="AF2570">
        <v>-4.9287092531755401E-2</v>
      </c>
      <c r="AG2570">
        <v>-0.24097060000000001</v>
      </c>
      <c r="AH2570">
        <v>0.33793529575556502</v>
      </c>
      <c r="AI2570">
        <v>125.20687566731</v>
      </c>
      <c r="AJ2570">
        <v>98.297952120896497</v>
      </c>
      <c r="AK2570">
        <v>0.41796687867819798</v>
      </c>
      <c r="AL2570">
        <v>81.811926903227402</v>
      </c>
      <c r="AM2570">
        <v>103.345799230404</v>
      </c>
      <c r="AN2570">
        <v>1.00000003437773</v>
      </c>
    </row>
    <row r="2571" spans="1:40" x14ac:dyDescent="0.25">
      <c r="A2571" t="str">
        <f>"20190303162305484"</f>
        <v>20190303162305484</v>
      </c>
      <c r="B2571" t="str">
        <f>"1551601385467427"</f>
        <v>1551601385467427</v>
      </c>
      <c r="C2571" t="s">
        <v>40</v>
      </c>
      <c r="D2571">
        <v>4.9211489999999998</v>
      </c>
      <c r="E2571">
        <v>0.54238649999999999</v>
      </c>
      <c r="F2571" t="s">
        <v>42</v>
      </c>
      <c r="G2571">
        <v>-470.70339999999999</v>
      </c>
      <c r="H2571">
        <v>0.89302959999999998</v>
      </c>
      <c r="I2571">
        <v>284.82220000000001</v>
      </c>
      <c r="J2571">
        <v>-470.29950000000002</v>
      </c>
      <c r="K2571">
        <v>1.124671</v>
      </c>
      <c r="L2571">
        <v>284.94589999999999</v>
      </c>
      <c r="M2571">
        <v>-0.98928729999999998</v>
      </c>
      <c r="N2571">
        <v>-1.290552E-2</v>
      </c>
      <c r="O2571">
        <v>-0.14540989999999901</v>
      </c>
      <c r="P2571">
        <v>-0.91981659999999998</v>
      </c>
      <c r="Q2571">
        <v>0.13061</v>
      </c>
      <c r="R2571">
        <v>-0.3699712</v>
      </c>
      <c r="S2571">
        <v>-3.099701</v>
      </c>
      <c r="T2571">
        <v>-1.0851839999999999</v>
      </c>
      <c r="U2571">
        <v>-0.7795105</v>
      </c>
      <c r="V2571">
        <v>-0.23365459999999999</v>
      </c>
      <c r="W2571">
        <v>0.14077600000000001</v>
      </c>
      <c r="X2571">
        <v>0.9620746</v>
      </c>
      <c r="Y2571">
        <v>-0.10181759999999999</v>
      </c>
      <c r="Z2571">
        <v>2.8832699999999999E-2</v>
      </c>
      <c r="AA2571">
        <v>0.99438519999999997</v>
      </c>
      <c r="AB2571">
        <v>27</v>
      </c>
      <c r="AC2571">
        <v>-0.40389999999996401</v>
      </c>
      <c r="AD2571">
        <v>-0.231641399999999</v>
      </c>
      <c r="AE2571">
        <v>-0.123699999999985</v>
      </c>
      <c r="AF2571">
        <v>-4.8934111826224598E-2</v>
      </c>
      <c r="AG2571">
        <v>-0.231641399999999</v>
      </c>
      <c r="AH2571">
        <v>0.32105171146183997</v>
      </c>
      <c r="AI2571">
        <v>125.49914433782</v>
      </c>
      <c r="AJ2571">
        <v>98.666219005365093</v>
      </c>
      <c r="AK2571">
        <v>0.39890661429306701</v>
      </c>
      <c r="AL2571">
        <v>81.907247053364003</v>
      </c>
      <c r="AM2571">
        <v>103.650864053175</v>
      </c>
      <c r="AN2571">
        <v>0.99999994512115797</v>
      </c>
    </row>
    <row r="2572" spans="1:40" x14ac:dyDescent="0.25">
      <c r="A2572" t="str">
        <f>"20190303162305504"</f>
        <v>20190303162305504</v>
      </c>
      <c r="B2572" t="str">
        <f>"1551601385496853"</f>
        <v>1551601385496853</v>
      </c>
      <c r="C2572" t="s">
        <v>40</v>
      </c>
      <c r="D2572">
        <v>4.8292950000000001</v>
      </c>
      <c r="E2572">
        <v>0.54248509999999905</v>
      </c>
      <c r="F2572" t="s">
        <v>42</v>
      </c>
      <c r="G2572">
        <v>-471.14359999999999</v>
      </c>
      <c r="H2572">
        <v>0.82729490000000006</v>
      </c>
      <c r="I2572">
        <v>284.72480000000002</v>
      </c>
      <c r="J2572">
        <v>-470.55149999999998</v>
      </c>
      <c r="K2572">
        <v>1.1246430000000001</v>
      </c>
      <c r="L2572">
        <v>284.90289999999999</v>
      </c>
      <c r="M2572">
        <v>-0.98850360000000004</v>
      </c>
      <c r="N2572">
        <v>-1.286561E-2</v>
      </c>
      <c r="O2572">
        <v>-0.15064900000000001</v>
      </c>
      <c r="P2572">
        <v>-0.91557129999999998</v>
      </c>
      <c r="Q2572">
        <v>0.13001740000000001</v>
      </c>
      <c r="R2572">
        <v>-0.38055820000000001</v>
      </c>
      <c r="S2572">
        <v>-3.0903320000000001</v>
      </c>
      <c r="T2572">
        <v>-1.089032</v>
      </c>
      <c r="U2572">
        <v>-0.81015009999999998</v>
      </c>
      <c r="V2572">
        <v>-0.23963580000000001</v>
      </c>
      <c r="W2572">
        <v>0.1400834</v>
      </c>
      <c r="X2572">
        <v>0.96070359999999999</v>
      </c>
      <c r="Y2572">
        <v>-0.10652150000000001</v>
      </c>
      <c r="Z2572">
        <v>2.98345E-2</v>
      </c>
      <c r="AA2572">
        <v>0.99386269999999999</v>
      </c>
      <c r="AB2572">
        <v>27</v>
      </c>
      <c r="AC2572">
        <v>-0.59210000000001595</v>
      </c>
      <c r="AD2572">
        <v>-0.2973481</v>
      </c>
      <c r="AE2572">
        <v>-0.178099999999972</v>
      </c>
      <c r="AF2572">
        <v>-7.0545241799988098E-2</v>
      </c>
      <c r="AG2572">
        <v>-0.2973481</v>
      </c>
      <c r="AH2572">
        <v>0.497188313957798</v>
      </c>
      <c r="AI2572">
        <v>120.63098650349001</v>
      </c>
      <c r="AJ2572">
        <v>98.075698793118505</v>
      </c>
      <c r="AK2572">
        <v>0.58359981429951302</v>
      </c>
      <c r="AL2572">
        <v>81.947328062106905</v>
      </c>
      <c r="AM2572">
        <v>104.005923002411</v>
      </c>
      <c r="AN2572">
        <v>1.00000004132507</v>
      </c>
    </row>
    <row r="2573" spans="1:40" x14ac:dyDescent="0.25">
      <c r="A2573" t="str">
        <f>"20190303162305518"</f>
        <v>20190303162305518</v>
      </c>
      <c r="B2573" t="str">
        <f>"1551601385507590"</f>
        <v>1551601385507590</v>
      </c>
      <c r="C2573" t="s">
        <v>40</v>
      </c>
      <c r="D2573">
        <v>4.8275489999999897</v>
      </c>
      <c r="E2573">
        <v>0.54247290000000004</v>
      </c>
      <c r="F2573" t="s">
        <v>42</v>
      </c>
      <c r="G2573">
        <v>-471.37819999999999</v>
      </c>
      <c r="H2573">
        <v>0.83223609999999903</v>
      </c>
      <c r="I2573">
        <v>284.67669999999998</v>
      </c>
      <c r="J2573">
        <v>-470.71379999999999</v>
      </c>
      <c r="K2573">
        <v>1.124627</v>
      </c>
      <c r="L2573">
        <v>284.87450000000001</v>
      </c>
      <c r="M2573">
        <v>-0.98798560000000002</v>
      </c>
      <c r="N2573">
        <v>-1.284249E-2</v>
      </c>
      <c r="O2573">
        <v>-0.15401139999999999</v>
      </c>
      <c r="P2573">
        <v>-0.91259089999999998</v>
      </c>
      <c r="Q2573">
        <v>0.13042339999999999</v>
      </c>
      <c r="R2573">
        <v>-0.38751459999999999</v>
      </c>
      <c r="S2573">
        <v>-3.0810550000000001</v>
      </c>
      <c r="T2573">
        <v>-1.089853</v>
      </c>
      <c r="U2573">
        <v>-0.84304809999999997</v>
      </c>
      <c r="V2573">
        <v>-0.24369150000000001</v>
      </c>
      <c r="W2573">
        <v>0.14042199999999999</v>
      </c>
      <c r="X2573">
        <v>0.95963330000000002</v>
      </c>
      <c r="Y2573">
        <v>-0.1135419</v>
      </c>
      <c r="Z2573">
        <v>2.9741920000000002E-2</v>
      </c>
      <c r="AA2573">
        <v>0.99308790000000002</v>
      </c>
      <c r="AB2573">
        <v>27</v>
      </c>
      <c r="AC2573">
        <v>-0.66439999999999999</v>
      </c>
      <c r="AD2573">
        <v>-0.29239090000000001</v>
      </c>
      <c r="AE2573">
        <v>-0.19780000000002901</v>
      </c>
      <c r="AF2573">
        <v>-7.9043801872749397E-2</v>
      </c>
      <c r="AG2573">
        <v>-0.29239090000000001</v>
      </c>
      <c r="AH2573">
        <v>0.58318623848789497</v>
      </c>
      <c r="AI2573">
        <v>116.41934762220799</v>
      </c>
      <c r="AJ2573">
        <v>97.718709885910101</v>
      </c>
      <c r="AK2573">
        <v>0.65715032509994897</v>
      </c>
      <c r="AL2573">
        <v>81.927733523779693</v>
      </c>
      <c r="AM2573">
        <v>104.248636448437</v>
      </c>
      <c r="AN2573">
        <v>0.999999977862569</v>
      </c>
    </row>
    <row r="2574" spans="1:40" x14ac:dyDescent="0.25">
      <c r="A2574" t="str">
        <f>"20190303162305538"</f>
        <v>20190303162305538</v>
      </c>
      <c r="B2574" t="str">
        <f>"1551601385527109"</f>
        <v>1551601385527109</v>
      </c>
      <c r="C2574" t="s">
        <v>40</v>
      </c>
      <c r="D2574">
        <v>4.9024700000000001</v>
      </c>
      <c r="E2574">
        <v>0.54252040000000001</v>
      </c>
      <c r="F2574" t="s">
        <v>42</v>
      </c>
      <c r="G2574">
        <v>-471.3965</v>
      </c>
      <c r="H2574">
        <v>0.88290550000000001</v>
      </c>
      <c r="I2574">
        <v>284.6823</v>
      </c>
      <c r="J2574">
        <v>-470.94819999999999</v>
      </c>
      <c r="K2574">
        <v>1.1246179999999999</v>
      </c>
      <c r="L2574">
        <v>284.83249999999998</v>
      </c>
      <c r="M2574">
        <v>-0.98721859999999995</v>
      </c>
      <c r="N2574">
        <v>-1.281265E-2</v>
      </c>
      <c r="O2574">
        <v>-0.15885629999999901</v>
      </c>
      <c r="P2574">
        <v>-0.90641360000000004</v>
      </c>
      <c r="Q2574">
        <v>0.13145100000000001</v>
      </c>
      <c r="R2574">
        <v>-0.40141650000000001</v>
      </c>
      <c r="S2574">
        <v>-3.0751949999999999</v>
      </c>
      <c r="T2574">
        <v>-1.0889139999999999</v>
      </c>
      <c r="U2574">
        <v>-0.86614990000000003</v>
      </c>
      <c r="V2574">
        <v>-0.25368239999999997</v>
      </c>
      <c r="W2574">
        <v>0.14129910000000001</v>
      </c>
      <c r="X2574">
        <v>0.95691159999999997</v>
      </c>
      <c r="Y2574">
        <v>-0.1161698</v>
      </c>
      <c r="Z2574">
        <v>3.0823639999999999E-2</v>
      </c>
      <c r="AA2574">
        <v>0.99275089999999999</v>
      </c>
      <c r="AB2574">
        <v>27</v>
      </c>
      <c r="AC2574">
        <v>-0.44830000000001702</v>
      </c>
      <c r="AD2574">
        <v>-0.2417125</v>
      </c>
      <c r="AE2574">
        <v>-0.15019999999998301</v>
      </c>
      <c r="AF2574">
        <v>-6.1101217805847298E-2</v>
      </c>
      <c r="AG2574">
        <v>-0.2417125</v>
      </c>
      <c r="AH2574">
        <v>0.369810901166017</v>
      </c>
      <c r="AI2574">
        <v>122.816688371775</v>
      </c>
      <c r="AJ2574">
        <v>99.381815628832399</v>
      </c>
      <c r="AK2574">
        <v>0.44600268395473702</v>
      </c>
      <c r="AL2574">
        <v>81.876973490374397</v>
      </c>
      <c r="AM2574">
        <v>104.847867808891</v>
      </c>
      <c r="AN2574">
        <v>1.00000000297256</v>
      </c>
    </row>
    <row r="2575" spans="1:40" x14ac:dyDescent="0.25">
      <c r="A2575" t="str">
        <f>"20190303162305553"</f>
        <v>20190303162305553</v>
      </c>
      <c r="B2575" t="str">
        <f>"1551601385547606"</f>
        <v>1551601385547606</v>
      </c>
      <c r="C2575" t="s">
        <v>40</v>
      </c>
      <c r="D2575">
        <v>4.7877989999999997</v>
      </c>
      <c r="E2575">
        <v>0.54089279999999995</v>
      </c>
      <c r="F2575" t="s">
        <v>42</v>
      </c>
      <c r="G2575">
        <v>-471.6284</v>
      </c>
      <c r="H2575">
        <v>0.88374039999999998</v>
      </c>
      <c r="I2575">
        <v>284.63010000000003</v>
      </c>
      <c r="J2575">
        <v>-471.11219999999997</v>
      </c>
      <c r="K2575">
        <v>1.124619</v>
      </c>
      <c r="L2575">
        <v>284.8023</v>
      </c>
      <c r="M2575">
        <v>-0.9866682</v>
      </c>
      <c r="N2575">
        <v>-1.2794089999999999E-2</v>
      </c>
      <c r="O2575">
        <v>-0.162242</v>
      </c>
      <c r="P2575">
        <v>-0.90079679999999995</v>
      </c>
      <c r="Q2575">
        <v>0.1319467</v>
      </c>
      <c r="R2575">
        <v>-0.41370950000000001</v>
      </c>
      <c r="S2575">
        <v>-3.0629879999999998</v>
      </c>
      <c r="T2575">
        <v>-1.085367</v>
      </c>
      <c r="U2575">
        <v>-0.91268919999999998</v>
      </c>
      <c r="V2575">
        <v>-0.26343519999999998</v>
      </c>
      <c r="W2575">
        <v>0.1416531</v>
      </c>
      <c r="X2575">
        <v>0.95422019999999996</v>
      </c>
      <c r="Y2575">
        <v>-0.12722749999999999</v>
      </c>
      <c r="Z2575">
        <v>2.9904630000000001E-2</v>
      </c>
      <c r="AA2575">
        <v>0.99142269999999999</v>
      </c>
      <c r="AB2575">
        <v>27</v>
      </c>
      <c r="AC2575">
        <v>-0.51620000000002597</v>
      </c>
      <c r="AD2575">
        <v>-0.240878599999999</v>
      </c>
      <c r="AE2575">
        <v>-0.17219999999997501</v>
      </c>
      <c r="AF2575">
        <v>-7.20450661571857E-2</v>
      </c>
      <c r="AG2575">
        <v>-0.240878599999999</v>
      </c>
      <c r="AH2575">
        <v>0.44926798902294801</v>
      </c>
      <c r="AI2575">
        <v>117.89648891520299</v>
      </c>
      <c r="AJ2575">
        <v>99.110443542689296</v>
      </c>
      <c r="AK2575">
        <v>0.514834650597915</v>
      </c>
      <c r="AL2575">
        <v>81.856484248345893</v>
      </c>
      <c r="AM2575">
        <v>105.433434284547</v>
      </c>
      <c r="AN2575">
        <v>0.999999947713343</v>
      </c>
    </row>
    <row r="2576" spans="1:40" x14ac:dyDescent="0.25">
      <c r="A2576" t="str">
        <f>"20190303162305584"</f>
        <v>20190303162305584</v>
      </c>
      <c r="B2576" t="str">
        <f>"1551601385576885"</f>
        <v>1551601385576885</v>
      </c>
      <c r="C2576" t="s">
        <v>40</v>
      </c>
      <c r="D2576">
        <v>4.7369479999999999</v>
      </c>
      <c r="E2576">
        <v>0.46642410000000001</v>
      </c>
      <c r="F2576" t="s">
        <v>46</v>
      </c>
      <c r="G2576">
        <v>-475.84140000000002</v>
      </c>
      <c r="H2576" s="1">
        <v>3.9073979999999996E-6</v>
      </c>
      <c r="I2576">
        <v>283.28579999999999</v>
      </c>
      <c r="J2576">
        <v>-471.46969999999999</v>
      </c>
      <c r="K2576">
        <v>1.124601</v>
      </c>
      <c r="L2576">
        <v>284.73489999999998</v>
      </c>
      <c r="M2576">
        <v>-0.98542810000000003</v>
      </c>
      <c r="N2576">
        <v>-1.275329E-2</v>
      </c>
      <c r="O2576">
        <v>-0.16961370000000001</v>
      </c>
      <c r="P2576">
        <v>-0.88898999999999995</v>
      </c>
      <c r="Q2576">
        <v>0.132683</v>
      </c>
      <c r="R2576">
        <v>-0.43828299999999998</v>
      </c>
      <c r="S2576">
        <v>-2.9938349999999998</v>
      </c>
      <c r="T2576">
        <v>-0.71194539999999995</v>
      </c>
      <c r="U2576">
        <v>-0.96002200000000004</v>
      </c>
      <c r="V2576">
        <v>-0.28250370000000002</v>
      </c>
      <c r="W2576">
        <v>0.14210339999999999</v>
      </c>
      <c r="X2576">
        <v>0.94868240000000004</v>
      </c>
      <c r="Y2576">
        <v>-0.1394658</v>
      </c>
      <c r="Z2576">
        <v>1.9449839999999999E-2</v>
      </c>
      <c r="AA2576">
        <v>0.99003580000000002</v>
      </c>
      <c r="AB2576">
        <v>27</v>
      </c>
      <c r="AC2576">
        <v>-4.3717000000000299</v>
      </c>
      <c r="AD2576">
        <v>-1.1245970926019999</v>
      </c>
      <c r="AE2576">
        <v>-1.4490999999999801</v>
      </c>
      <c r="AF2576">
        <v>-0.647908723331728</v>
      </c>
      <c r="AG2576">
        <v>-1.1245970926019999</v>
      </c>
      <c r="AH2576">
        <v>4.2978968177724903</v>
      </c>
      <c r="AI2576">
        <v>104.50650459501399</v>
      </c>
      <c r="AJ2576">
        <v>98.572797364982193</v>
      </c>
      <c r="AK2576">
        <v>4.4895903366206102</v>
      </c>
      <c r="AL2576">
        <v>81.8304207803303</v>
      </c>
      <c r="AM2576">
        <v>106.582759320688</v>
      </c>
      <c r="AN2576">
        <v>1.0000000064375001</v>
      </c>
    </row>
    <row r="2577" spans="1:40" x14ac:dyDescent="0.25">
      <c r="A2577" t="str">
        <f>"20190303162305605"</f>
        <v>20190303162305605</v>
      </c>
      <c r="B2577" t="str">
        <f>"1551601385596955"</f>
        <v>1551601385596955</v>
      </c>
      <c r="C2577" t="s">
        <v>40</v>
      </c>
      <c r="D2577">
        <v>4.8991100000000003</v>
      </c>
      <c r="E2577">
        <v>0.44518970000000002</v>
      </c>
      <c r="F2577" t="s">
        <v>46</v>
      </c>
      <c r="G2577">
        <v>-487.56479999999999</v>
      </c>
      <c r="H2577" s="1">
        <v>1.649328E-6</v>
      </c>
      <c r="I2577">
        <v>275.15050000000002</v>
      </c>
      <c r="J2577">
        <v>-471.72640000000001</v>
      </c>
      <c r="K2577">
        <v>1.124579</v>
      </c>
      <c r="L2577">
        <v>284.68459999999999</v>
      </c>
      <c r="M2577">
        <v>-0.98450199999999999</v>
      </c>
      <c r="N2577">
        <v>-1.2722270000000001E-2</v>
      </c>
      <c r="O2577">
        <v>-0.1749117</v>
      </c>
      <c r="P2577">
        <v>-0.88306289999999998</v>
      </c>
      <c r="Q2577">
        <v>0.12980849999999999</v>
      </c>
      <c r="R2577">
        <v>-0.45094329999999999</v>
      </c>
      <c r="S2577">
        <v>-2.6299130000000002</v>
      </c>
      <c r="T2577">
        <v>-0.18375739999999999</v>
      </c>
      <c r="U2577">
        <v>-1.566071</v>
      </c>
      <c r="V2577">
        <v>-0.29086060000000002</v>
      </c>
      <c r="W2577">
        <v>0.1390942</v>
      </c>
      <c r="X2577">
        <v>0.94660069999999996</v>
      </c>
      <c r="Y2577">
        <v>-0.35288999999999998</v>
      </c>
      <c r="Z2577">
        <v>-4.7852909999999997E-3</v>
      </c>
      <c r="AA2577">
        <v>0.93565259999999995</v>
      </c>
      <c r="AB2577">
        <v>27</v>
      </c>
      <c r="AC2577">
        <v>-15.838399999999901</v>
      </c>
      <c r="AD2577">
        <v>-1.124577350672</v>
      </c>
      <c r="AE2577">
        <v>-9.5340999999999596</v>
      </c>
      <c r="AF2577">
        <v>-6.5921595003430697</v>
      </c>
      <c r="AG2577">
        <v>-1.124577350672</v>
      </c>
      <c r="AH2577">
        <v>17.198314831229101</v>
      </c>
      <c r="AI2577">
        <v>93.4939808749658</v>
      </c>
      <c r="AJ2577">
        <v>110.971960179432</v>
      </c>
      <c r="AK2577">
        <v>18.4527308041298</v>
      </c>
      <c r="AL2577">
        <v>82.004564974563394</v>
      </c>
      <c r="AM2577">
        <v>107.080545295725</v>
      </c>
      <c r="AN2577">
        <v>0.99999998517324395</v>
      </c>
    </row>
    <row r="2578" spans="1:40" x14ac:dyDescent="0.25">
      <c r="A2578" t="str">
        <f>"20190303162305629"</f>
        <v>20190303162305629</v>
      </c>
      <c r="B2578" t="str">
        <f>"1551601385617451"</f>
        <v>1551601385617451</v>
      </c>
      <c r="C2578" t="s">
        <v>40</v>
      </c>
      <c r="D2578">
        <v>4.906129</v>
      </c>
      <c r="E2578">
        <v>0.43328060000000002</v>
      </c>
      <c r="F2578" t="s">
        <v>42</v>
      </c>
      <c r="G2578">
        <v>-472.56849999999997</v>
      </c>
      <c r="H2578">
        <v>1.0694410000000001</v>
      </c>
      <c r="I2578">
        <v>284.10070000000002</v>
      </c>
      <c r="J2578">
        <v>-471.99110000000002</v>
      </c>
      <c r="K2578">
        <v>1.1245620000000001</v>
      </c>
      <c r="L2578">
        <v>284.63119999999998</v>
      </c>
      <c r="M2578">
        <v>-0.98351560000000005</v>
      </c>
      <c r="N2578">
        <v>-1.268994E-2</v>
      </c>
      <c r="O2578">
        <v>-0.18037829999999999</v>
      </c>
      <c r="P2578">
        <v>-0.87826649999999995</v>
      </c>
      <c r="Q2578">
        <v>0.12711829999999999</v>
      </c>
      <c r="R2578">
        <v>-0.46096549999999997</v>
      </c>
      <c r="S2578">
        <v>-2.5265200000000001</v>
      </c>
      <c r="T2578">
        <v>-0.1654243</v>
      </c>
      <c r="U2578">
        <v>-1.7528379999999999</v>
      </c>
      <c r="V2578">
        <v>-0.29628330000000003</v>
      </c>
      <c r="W2578">
        <v>0.13630629999999999</v>
      </c>
      <c r="X2578">
        <v>0.94532360000000004</v>
      </c>
      <c r="Y2578">
        <v>-0.41188409999999898</v>
      </c>
      <c r="Z2578">
        <v>-6.679038E-3</v>
      </c>
      <c r="AA2578">
        <v>0.91121180000000002</v>
      </c>
      <c r="AB2578">
        <v>27</v>
      </c>
      <c r="AC2578">
        <v>-0.57739999999995395</v>
      </c>
      <c r="AD2578">
        <v>-5.5120999999999899E-2</v>
      </c>
      <c r="AE2578">
        <v>-0.53049999999996</v>
      </c>
      <c r="AF2578">
        <v>-0.41558442436147802</v>
      </c>
      <c r="AG2578">
        <v>-5.5120999999999899E-2</v>
      </c>
      <c r="AH2578">
        <v>0.66036254919413195</v>
      </c>
      <c r="AI2578">
        <v>94.040967456075705</v>
      </c>
      <c r="AJ2578">
        <v>122.183342814713</v>
      </c>
      <c r="AK2578">
        <v>0.78219398795377704</v>
      </c>
      <c r="AL2578">
        <v>82.165835976847603</v>
      </c>
      <c r="AM2578">
        <v>107.402033223776</v>
      </c>
      <c r="AN2578">
        <v>0.99999995499776895</v>
      </c>
    </row>
    <row r="2579" spans="1:40" x14ac:dyDescent="0.25">
      <c r="A2579" t="str">
        <f>"20190303162305651"</f>
        <v>20190303162305651</v>
      </c>
      <c r="B2579" t="str">
        <f>"1551601385636971"</f>
        <v>1551601385636971</v>
      </c>
      <c r="C2579" t="s">
        <v>40</v>
      </c>
      <c r="D2579">
        <v>4.8397240000000004</v>
      </c>
      <c r="E2579">
        <v>0.43056410000000001</v>
      </c>
      <c r="F2579" t="s">
        <v>42</v>
      </c>
      <c r="G2579">
        <v>-472.7878</v>
      </c>
      <c r="H2579">
        <v>1.0604420000000001</v>
      </c>
      <c r="I2579">
        <v>284.02890000000002</v>
      </c>
      <c r="J2579">
        <v>-472.24849999999998</v>
      </c>
      <c r="K2579">
        <v>1.124552</v>
      </c>
      <c r="L2579">
        <v>284.5779</v>
      </c>
      <c r="M2579">
        <v>-0.98252390000000001</v>
      </c>
      <c r="N2579">
        <v>-1.264902E-2</v>
      </c>
      <c r="O2579">
        <v>-0.18570729999999999</v>
      </c>
      <c r="P2579">
        <v>-0.87396200000000002</v>
      </c>
      <c r="Q2579">
        <v>0.1255445</v>
      </c>
      <c r="R2579">
        <v>-0.46949879999999999</v>
      </c>
      <c r="S2579">
        <v>-2.4658509999999998</v>
      </c>
      <c r="T2579">
        <v>-0.19846949999999999</v>
      </c>
      <c r="U2579">
        <v>-1.8647769999999999</v>
      </c>
      <c r="V2579">
        <v>-0.30031449999999998</v>
      </c>
      <c r="W2579">
        <v>0.13464139999999999</v>
      </c>
      <c r="X2579">
        <v>0.94428959999999995</v>
      </c>
      <c r="Y2579">
        <v>-0.44372499999999998</v>
      </c>
      <c r="Z2579">
        <v>-8.0970799999999996E-3</v>
      </c>
      <c r="AA2579">
        <v>0.89612639999999999</v>
      </c>
      <c r="AB2579">
        <v>27</v>
      </c>
      <c r="AC2579">
        <v>-0.53930000000002498</v>
      </c>
      <c r="AD2579">
        <v>-6.4109999999999806E-2</v>
      </c>
      <c r="AE2579">
        <v>-0.54899999999997795</v>
      </c>
      <c r="AF2579">
        <v>-0.43626114262386101</v>
      </c>
      <c r="AG2579">
        <v>-6.4109999999999806E-2</v>
      </c>
      <c r="AH2579">
        <v>0.62752394891895003</v>
      </c>
      <c r="AI2579">
        <v>94.794965749114397</v>
      </c>
      <c r="AJ2579">
        <v>124.807426359998</v>
      </c>
      <c r="AK2579">
        <v>0.76695513762560497</v>
      </c>
      <c r="AL2579">
        <v>82.262115515311194</v>
      </c>
      <c r="AM2579">
        <v>107.642339542429</v>
      </c>
      <c r="AN2579">
        <v>0.99999997708618404</v>
      </c>
    </row>
    <row r="2580" spans="1:40" x14ac:dyDescent="0.25">
      <c r="A2580" t="str">
        <f>"20190303162305674"</f>
        <v>20190303162305674</v>
      </c>
      <c r="B2580" t="str">
        <f>"1551601385667226"</f>
        <v>1551601385667226</v>
      </c>
      <c r="C2580" t="s">
        <v>40</v>
      </c>
      <c r="D2580">
        <v>4.797574</v>
      </c>
      <c r="E2580">
        <v>0.43076589999999998</v>
      </c>
      <c r="F2580" t="s">
        <v>42</v>
      </c>
      <c r="G2580">
        <v>-473.01679999999999</v>
      </c>
      <c r="H2580">
        <v>1.0556700000000001</v>
      </c>
      <c r="I2580">
        <v>283.97739999999999</v>
      </c>
      <c r="J2580">
        <v>-472.50940000000003</v>
      </c>
      <c r="K2580">
        <v>1.1245309999999999</v>
      </c>
      <c r="L2580">
        <v>284.5224</v>
      </c>
      <c r="M2580">
        <v>-0.98148469999999999</v>
      </c>
      <c r="N2580">
        <v>-1.259643E-2</v>
      </c>
      <c r="O2580">
        <v>-0.19112580000000001</v>
      </c>
      <c r="P2580">
        <v>-0.86999159999999998</v>
      </c>
      <c r="Q2580">
        <v>0.1235831</v>
      </c>
      <c r="R2580">
        <v>-0.47732740000000001</v>
      </c>
      <c r="S2580">
        <v>-2.4395449999999999</v>
      </c>
      <c r="T2580">
        <v>-0.21871579999999999</v>
      </c>
      <c r="U2580">
        <v>-1.907135</v>
      </c>
      <c r="V2580">
        <v>-0.30351640000000002</v>
      </c>
      <c r="W2580">
        <v>0.1325858</v>
      </c>
      <c r="X2580">
        <v>0.94355650000000002</v>
      </c>
      <c r="Y2580">
        <v>-0.45296629999999899</v>
      </c>
      <c r="Z2580">
        <v>-8.4706829999999997E-3</v>
      </c>
      <c r="AA2580">
        <v>0.89148739999999904</v>
      </c>
      <c r="AB2580">
        <v>27</v>
      </c>
      <c r="AC2580">
        <v>-0.50739999999996099</v>
      </c>
      <c r="AD2580">
        <v>-6.8860999999999797E-2</v>
      </c>
      <c r="AE2580">
        <v>-0.54500000000001503</v>
      </c>
      <c r="AF2580">
        <v>-0.43425301315857701</v>
      </c>
      <c r="AG2580">
        <v>-6.8860999999999797E-2</v>
      </c>
      <c r="AH2580">
        <v>0.59711028137407396</v>
      </c>
      <c r="AI2580">
        <v>95.328399678611206</v>
      </c>
      <c r="AJ2580">
        <v>126.026807936425</v>
      </c>
      <c r="AK2580">
        <v>0.74152424429746699</v>
      </c>
      <c r="AL2580">
        <v>82.380958785161695</v>
      </c>
      <c r="AM2580">
        <v>107.83156755223099</v>
      </c>
      <c r="AN2580">
        <v>1.0000000340614199</v>
      </c>
    </row>
    <row r="2581" spans="1:40" x14ac:dyDescent="0.25">
      <c r="A2581" t="str">
        <f>"20190303162305695"</f>
        <v>20190303162305695</v>
      </c>
      <c r="B2581" t="str">
        <f>"1551601385687462"</f>
        <v>1551601385687462</v>
      </c>
      <c r="C2581" t="s">
        <v>40</v>
      </c>
      <c r="D2581">
        <v>4.8596139999999997</v>
      </c>
      <c r="E2581">
        <v>0.43185790000000002</v>
      </c>
      <c r="F2581" t="s">
        <v>42</v>
      </c>
      <c r="G2581">
        <v>-473.24939999999998</v>
      </c>
      <c r="H2581">
        <v>1.0536099999999999</v>
      </c>
      <c r="I2581">
        <v>283.93380000000002</v>
      </c>
      <c r="J2581">
        <v>-472.75819999999999</v>
      </c>
      <c r="K2581">
        <v>1.124522</v>
      </c>
      <c r="L2581">
        <v>284.46809999999999</v>
      </c>
      <c r="M2581">
        <v>-0.98046009999999995</v>
      </c>
      <c r="N2581">
        <v>-1.2538799999999999E-2</v>
      </c>
      <c r="O2581">
        <v>-0.19631779999999999</v>
      </c>
      <c r="P2581">
        <v>-0.86646599999999996</v>
      </c>
      <c r="Q2581">
        <v>0.121647699999999</v>
      </c>
      <c r="R2581">
        <v>-0.48418840000000002</v>
      </c>
      <c r="S2581">
        <v>-2.4239199999999999</v>
      </c>
      <c r="T2581">
        <v>-0.2323163</v>
      </c>
      <c r="U2581">
        <v>-1.9271849999999999</v>
      </c>
      <c r="V2581">
        <v>-0.30591380000000001</v>
      </c>
      <c r="W2581">
        <v>0.13055649999999999</v>
      </c>
      <c r="X2581">
        <v>0.94306500000000004</v>
      </c>
      <c r="Y2581">
        <v>-0.4554646</v>
      </c>
      <c r="Z2581">
        <v>-8.4201580000000005E-3</v>
      </c>
      <c r="AA2581">
        <v>0.89021410000000001</v>
      </c>
      <c r="AB2581">
        <v>27</v>
      </c>
      <c r="AC2581">
        <v>-0.49119999999999198</v>
      </c>
      <c r="AD2581">
        <v>-7.0912000000000003E-2</v>
      </c>
      <c r="AE2581">
        <v>-0.53429999999997302</v>
      </c>
      <c r="AF2581">
        <v>-0.42342008861804697</v>
      </c>
      <c r="AG2581">
        <v>-7.0912000000000003E-2</v>
      </c>
      <c r="AH2581">
        <v>0.58099443509353899</v>
      </c>
      <c r="AI2581">
        <v>95.633290118990203</v>
      </c>
      <c r="AJ2581">
        <v>126.084008164587</v>
      </c>
      <c r="AK2581">
        <v>0.72240405369777405</v>
      </c>
      <c r="AL2581">
        <v>82.498247926956395</v>
      </c>
      <c r="AM2581">
        <v>107.97215663912201</v>
      </c>
      <c r="AN2581">
        <v>0.99999992347384203</v>
      </c>
    </row>
    <row r="2582" spans="1:40" x14ac:dyDescent="0.25">
      <c r="A2582" t="str">
        <f>"20190303162305717"</f>
        <v>20190303162305717</v>
      </c>
      <c r="B2582" t="str">
        <f>"1551601385706982"</f>
        <v>1551601385706982</v>
      </c>
      <c r="C2582" t="s">
        <v>40</v>
      </c>
      <c r="D2582">
        <v>4.8976660000000001</v>
      </c>
      <c r="E2582">
        <v>0.43272709999999998</v>
      </c>
      <c r="F2582" t="s">
        <v>42</v>
      </c>
      <c r="G2582">
        <v>-473.48200000000003</v>
      </c>
      <c r="H2582">
        <v>1.053199</v>
      </c>
      <c r="I2582">
        <v>283.88650000000001</v>
      </c>
      <c r="J2582">
        <v>-473.01960000000003</v>
      </c>
      <c r="K2582">
        <v>1.1245309999999999</v>
      </c>
      <c r="L2582">
        <v>284.40949999999998</v>
      </c>
      <c r="M2582">
        <v>-0.97934509999999997</v>
      </c>
      <c r="N2582">
        <v>-1.247594E-2</v>
      </c>
      <c r="O2582">
        <v>-0.20181099999999999</v>
      </c>
      <c r="P2582">
        <v>-0.86366549999999997</v>
      </c>
      <c r="Q2582">
        <v>0.12038939999999999</v>
      </c>
      <c r="R2582">
        <v>-0.48947790000000002</v>
      </c>
      <c r="S2582">
        <v>-2.4123540000000001</v>
      </c>
      <c r="T2582">
        <v>-0.2377195</v>
      </c>
      <c r="U2582">
        <v>-1.9385380000000001</v>
      </c>
      <c r="V2582">
        <v>-0.3063553</v>
      </c>
      <c r="W2582">
        <v>0.12921659999999999</v>
      </c>
      <c r="X2582">
        <v>0.94310629999999995</v>
      </c>
      <c r="Y2582">
        <v>-0.45507370000000003</v>
      </c>
      <c r="Z2582">
        <v>-8.0670729999999993E-3</v>
      </c>
      <c r="AA2582">
        <v>0.89041729999999997</v>
      </c>
      <c r="AB2582">
        <v>27</v>
      </c>
      <c r="AC2582">
        <v>-0.46239999999994502</v>
      </c>
      <c r="AD2582">
        <v>-7.1331999999999895E-2</v>
      </c>
      <c r="AE2582">
        <v>-0.52299999999996705</v>
      </c>
      <c r="AF2582">
        <v>-0.41458405738262399</v>
      </c>
      <c r="AG2582">
        <v>-7.1331999999999895E-2</v>
      </c>
      <c r="AH2582">
        <v>0.55266942862811397</v>
      </c>
      <c r="AI2582">
        <v>95.894738537550097</v>
      </c>
      <c r="AJ2582">
        <v>126.87533697661701</v>
      </c>
      <c r="AK2582">
        <v>0.69455863121839101</v>
      </c>
      <c r="AL2582">
        <v>82.575674988693905</v>
      </c>
      <c r="AM2582">
        <v>107.995685563002</v>
      </c>
      <c r="AN2582">
        <v>0.99999999632666903</v>
      </c>
    </row>
    <row r="2583" spans="1:40" x14ac:dyDescent="0.25">
      <c r="A2583" t="str">
        <f>"20190303162305740"</f>
        <v>20190303162305740</v>
      </c>
      <c r="B2583" t="str">
        <f>"1551601385727478"</f>
        <v>1551601385727478</v>
      </c>
      <c r="C2583" t="s">
        <v>40</v>
      </c>
      <c r="D2583">
        <v>4.8870750000000003</v>
      </c>
      <c r="E2583">
        <v>0.43367539999999999</v>
      </c>
      <c r="F2583" t="s">
        <v>42</v>
      </c>
      <c r="G2583">
        <v>-473.74459999999999</v>
      </c>
      <c r="H2583">
        <v>1.051607</v>
      </c>
      <c r="I2583">
        <v>283.82190000000003</v>
      </c>
      <c r="J2583">
        <v>-473.27949999999998</v>
      </c>
      <c r="K2583">
        <v>1.1245590000000001</v>
      </c>
      <c r="L2583">
        <v>284.34969999999998</v>
      </c>
      <c r="M2583">
        <v>-0.97819259999999997</v>
      </c>
      <c r="N2583">
        <v>-1.2412650000000001E-2</v>
      </c>
      <c r="O2583">
        <v>-0.2073294</v>
      </c>
      <c r="P2583">
        <v>-0.86131460000000004</v>
      </c>
      <c r="Q2583">
        <v>0.1197105</v>
      </c>
      <c r="R2583">
        <v>-0.49376819999999999</v>
      </c>
      <c r="S2583">
        <v>-2.4034119999999999</v>
      </c>
      <c r="T2583">
        <v>-0.24173320000000001</v>
      </c>
      <c r="U2583">
        <v>-1.9477230000000001</v>
      </c>
      <c r="V2583">
        <v>-0.30571310000000002</v>
      </c>
      <c r="W2583">
        <v>0.12845999999999999</v>
      </c>
      <c r="X2583">
        <v>0.94341799999999998</v>
      </c>
      <c r="Y2583">
        <v>-0.45371479999999997</v>
      </c>
      <c r="Z2583">
        <v>-7.6254719999999899E-3</v>
      </c>
      <c r="AA2583">
        <v>0.89111439999999997</v>
      </c>
      <c r="AB2583">
        <v>27</v>
      </c>
      <c r="AC2583">
        <v>-0.46510000000000601</v>
      </c>
      <c r="AD2583">
        <v>-7.29520000000001E-2</v>
      </c>
      <c r="AE2583">
        <v>-0.52779999999995597</v>
      </c>
      <c r="AF2583">
        <v>-0.41542599322724</v>
      </c>
      <c r="AG2583">
        <v>-7.29520000000001E-2</v>
      </c>
      <c r="AH2583">
        <v>0.55842400784013102</v>
      </c>
      <c r="AI2583">
        <v>95.983669713455001</v>
      </c>
      <c r="AJ2583">
        <v>126.646508593316</v>
      </c>
      <c r="AK2583">
        <v>0.69981291977575899</v>
      </c>
      <c r="AL2583">
        <v>82.619389313089698</v>
      </c>
      <c r="AM2583">
        <v>107.954834296271</v>
      </c>
      <c r="AN2583">
        <v>0.99999999691780495</v>
      </c>
    </row>
    <row r="2584" spans="1:40" x14ac:dyDescent="0.25">
      <c r="A2584" t="str">
        <f>"20190303162305762"</f>
        <v>20190303162305762</v>
      </c>
      <c r="B2584" t="str">
        <f>"1551601385756759"</f>
        <v>1551601385756759</v>
      </c>
      <c r="C2584" t="s">
        <v>40</v>
      </c>
      <c r="D2584">
        <v>4.9250150000000001</v>
      </c>
      <c r="E2584">
        <v>0.43543340000000003</v>
      </c>
      <c r="F2584" t="s">
        <v>42</v>
      </c>
      <c r="G2584">
        <v>-474.02670000000001</v>
      </c>
      <c r="H2584">
        <v>1.0494460000000001</v>
      </c>
      <c r="I2584">
        <v>283.74099999999999</v>
      </c>
      <c r="J2584">
        <v>-473.5401</v>
      </c>
      <c r="K2584">
        <v>1.1245969999999901</v>
      </c>
      <c r="L2584">
        <v>284.28809999999999</v>
      </c>
      <c r="M2584">
        <v>-0.97698799999999997</v>
      </c>
      <c r="N2584">
        <v>-1.2350079999999999E-2</v>
      </c>
      <c r="O2584">
        <v>-0.21293719999999999</v>
      </c>
      <c r="P2584">
        <v>-0.85906090000000002</v>
      </c>
      <c r="Q2584">
        <v>0.1182135</v>
      </c>
      <c r="R2584">
        <v>-0.49803609999999998</v>
      </c>
      <c r="S2584">
        <v>-2.3966980000000002</v>
      </c>
      <c r="T2584">
        <v>-0.24093210000000001</v>
      </c>
      <c r="U2584">
        <v>-1.95343</v>
      </c>
      <c r="V2584">
        <v>-0.30493890000000001</v>
      </c>
      <c r="W2584">
        <v>0.12687850000000001</v>
      </c>
      <c r="X2584">
        <v>0.94388249999999996</v>
      </c>
      <c r="Y2584">
        <v>-0.45112790000000003</v>
      </c>
      <c r="Z2584">
        <v>-7.0633179999999999E-3</v>
      </c>
      <c r="AA2584">
        <v>0.89243139999999999</v>
      </c>
      <c r="AB2584">
        <v>27</v>
      </c>
      <c r="AC2584">
        <v>-0.48660000000000903</v>
      </c>
      <c r="AD2584">
        <v>-7.5150999999999898E-2</v>
      </c>
      <c r="AE2584">
        <v>-0.54710000000000003</v>
      </c>
      <c r="AF2584">
        <v>-0.42643528657895802</v>
      </c>
      <c r="AG2584">
        <v>-7.5150999999999898E-2</v>
      </c>
      <c r="AH2584">
        <v>0.58577434831155195</v>
      </c>
      <c r="AI2584">
        <v>95.921563964834405</v>
      </c>
      <c r="AJ2584">
        <v>126.05407865715701</v>
      </c>
      <c r="AK2584">
        <v>0.72844101585543797</v>
      </c>
      <c r="AL2584">
        <v>82.710750467010897</v>
      </c>
      <c r="AM2584">
        <v>107.904021314633</v>
      </c>
      <c r="AN2584">
        <v>1.00000003015085</v>
      </c>
    </row>
    <row r="2585" spans="1:40" x14ac:dyDescent="0.25">
      <c r="A2585" t="str">
        <f>"20190303162305785"</f>
        <v>20190303162305785</v>
      </c>
      <c r="B2585" t="str">
        <f>"1551601385777254"</f>
        <v>1551601385777254</v>
      </c>
      <c r="C2585" t="s">
        <v>40</v>
      </c>
      <c r="D2585">
        <v>4.9247779999999999</v>
      </c>
      <c r="E2585">
        <v>0.43637540000000002</v>
      </c>
      <c r="F2585" t="s">
        <v>46</v>
      </c>
      <c r="G2585">
        <v>-484.72280000000001</v>
      </c>
      <c r="H2585" s="1">
        <v>1.39882E-6</v>
      </c>
      <c r="I2585">
        <v>275.15929999999997</v>
      </c>
      <c r="J2585">
        <v>-473.79790000000003</v>
      </c>
      <c r="K2585">
        <v>1.12466</v>
      </c>
      <c r="L2585">
        <v>284.22550000000001</v>
      </c>
      <c r="M2585">
        <v>-0.9757403</v>
      </c>
      <c r="N2585">
        <v>-1.229368E-2</v>
      </c>
      <c r="O2585">
        <v>-0.2185869</v>
      </c>
      <c r="P2585">
        <v>-0.85683209999999999</v>
      </c>
      <c r="Q2585">
        <v>0.1165563</v>
      </c>
      <c r="R2585">
        <v>-0.5022491</v>
      </c>
      <c r="S2585">
        <v>-2.3928530000000001</v>
      </c>
      <c r="T2585">
        <v>-0.2406393</v>
      </c>
      <c r="U2585">
        <v>-1.9533689999999999</v>
      </c>
      <c r="V2585">
        <v>-0.30406559999999999</v>
      </c>
      <c r="W2585">
        <v>0.12513250000000001</v>
      </c>
      <c r="X2585">
        <v>0.94439720000000005</v>
      </c>
      <c r="Y2585">
        <v>-0.44667970000000001</v>
      </c>
      <c r="Z2585">
        <v>-6.4095089999999999E-3</v>
      </c>
      <c r="AA2585">
        <v>0.89467099999999899</v>
      </c>
      <c r="AB2585">
        <v>27</v>
      </c>
      <c r="AC2585">
        <v>-10.9248999999999</v>
      </c>
      <c r="AD2585">
        <v>-1.1246586011799999</v>
      </c>
      <c r="AE2585">
        <v>-9.0662000000000305</v>
      </c>
      <c r="AF2585">
        <v>-6.4184232686239104</v>
      </c>
      <c r="AG2585">
        <v>-1.1246586011799999</v>
      </c>
      <c r="AH2585">
        <v>12.5637242491654</v>
      </c>
      <c r="AI2585">
        <v>94.557767027675993</v>
      </c>
      <c r="AJ2585">
        <v>117.061102245863</v>
      </c>
      <c r="AK2585">
        <v>14.153027281591999</v>
      </c>
      <c r="AL2585">
        <v>82.811592821317902</v>
      </c>
      <c r="AM2585">
        <v>107.846893040894</v>
      </c>
      <c r="AN2585">
        <v>1.00000005151372</v>
      </c>
    </row>
    <row r="2586" spans="1:40" x14ac:dyDescent="0.25">
      <c r="A2586" t="str">
        <f>"20190303162305806"</f>
        <v>20190303162305806</v>
      </c>
      <c r="B2586" t="str">
        <f>"1551601385797281"</f>
        <v>1551601385797281</v>
      </c>
      <c r="C2586" t="s">
        <v>40</v>
      </c>
      <c r="D2586">
        <v>5.0298020000000001</v>
      </c>
      <c r="E2586">
        <v>0.43699549999999998</v>
      </c>
      <c r="F2586" t="s">
        <v>42</v>
      </c>
      <c r="G2586">
        <v>-474.60379999999998</v>
      </c>
      <c r="H2586">
        <v>1.042718</v>
      </c>
      <c r="I2586">
        <v>283.56439999999998</v>
      </c>
      <c r="J2586">
        <v>-474.04199999999997</v>
      </c>
      <c r="K2586">
        <v>1.1247339999999999</v>
      </c>
      <c r="L2586">
        <v>284.16460000000001</v>
      </c>
      <c r="M2586">
        <v>-0.97450349999999997</v>
      </c>
      <c r="N2586">
        <v>-1.224657E-2</v>
      </c>
      <c r="O2586">
        <v>-0.2240383</v>
      </c>
      <c r="P2586">
        <v>-0.85350499999999996</v>
      </c>
      <c r="Q2586">
        <v>0.1166582</v>
      </c>
      <c r="R2586">
        <v>-0.50785849999999999</v>
      </c>
      <c r="S2586">
        <v>-2.3869020000000001</v>
      </c>
      <c r="T2586">
        <v>-0.2426971</v>
      </c>
      <c r="U2586">
        <v>-1.9575499999999999</v>
      </c>
      <c r="V2586">
        <v>-0.30500929999999998</v>
      </c>
      <c r="W2586">
        <v>0.1251207</v>
      </c>
      <c r="X2586">
        <v>0.9440944</v>
      </c>
      <c r="Y2586">
        <v>-0.44371529999999998</v>
      </c>
      <c r="Z2586">
        <v>-5.8541469999999996E-3</v>
      </c>
      <c r="AA2586">
        <v>0.89614869999999902</v>
      </c>
      <c r="AB2586">
        <v>27</v>
      </c>
      <c r="AC2586">
        <v>-0.56180000000000496</v>
      </c>
      <c r="AD2586">
        <v>-8.2016000000000006E-2</v>
      </c>
      <c r="AE2586">
        <v>-0.60020000000002904</v>
      </c>
      <c r="AF2586">
        <v>-0.45454273473078799</v>
      </c>
      <c r="AG2586">
        <v>-8.2016000000000006E-2</v>
      </c>
      <c r="AH2586">
        <v>0.67527412619606497</v>
      </c>
      <c r="AI2586">
        <v>95.753484036028695</v>
      </c>
      <c r="AJ2586">
        <v>123.94541492069899</v>
      </c>
      <c r="AK2586">
        <v>0.81812643733252099</v>
      </c>
      <c r="AL2586">
        <v>82.812274251716204</v>
      </c>
      <c r="AM2586">
        <v>107.904128019015</v>
      </c>
      <c r="AN2586">
        <v>1.00000004938316</v>
      </c>
    </row>
    <row r="2587" spans="1:40" x14ac:dyDescent="0.25">
      <c r="A2587" t="str">
        <f>"20190303162305829"</f>
        <v>20190303162305829</v>
      </c>
      <c r="B2587" t="str">
        <f>"1551601385816801"</f>
        <v>1551601385816801</v>
      </c>
      <c r="C2587" t="s">
        <v>40</v>
      </c>
      <c r="D2587">
        <v>5.0984689999999997</v>
      </c>
      <c r="E2587">
        <v>0.43766050000000001</v>
      </c>
      <c r="F2587" t="s">
        <v>42</v>
      </c>
      <c r="G2587">
        <v>-474.83330000000001</v>
      </c>
      <c r="H2587">
        <v>1.043893</v>
      </c>
      <c r="I2587">
        <v>283.5095</v>
      </c>
      <c r="J2587">
        <v>-474.30680000000001</v>
      </c>
      <c r="K2587">
        <v>1.124824</v>
      </c>
      <c r="L2587">
        <v>284.0967</v>
      </c>
      <c r="M2587">
        <v>-0.97309950000000001</v>
      </c>
      <c r="N2587">
        <v>-1.220187E-2</v>
      </c>
      <c r="O2587">
        <v>-0.2300623</v>
      </c>
      <c r="P2587">
        <v>-0.84870389999999996</v>
      </c>
      <c r="Q2587">
        <v>0.1187976</v>
      </c>
      <c r="R2587">
        <v>-0.51535319999999996</v>
      </c>
      <c r="S2587">
        <v>-2.3769529999999999</v>
      </c>
      <c r="T2587">
        <v>-0.24280869999999999</v>
      </c>
      <c r="U2587">
        <v>-1.9682919999999999</v>
      </c>
      <c r="V2587">
        <v>-0.30759950000000003</v>
      </c>
      <c r="W2587">
        <v>0.12711449999999999</v>
      </c>
      <c r="X2587">
        <v>0.94298700000000002</v>
      </c>
      <c r="Y2587">
        <v>-0.44243480000000002</v>
      </c>
      <c r="Z2587">
        <v>-5.3378119999999999E-3</v>
      </c>
      <c r="AA2587">
        <v>0.89678480000000005</v>
      </c>
      <c r="AB2587">
        <v>27</v>
      </c>
      <c r="AC2587">
        <v>-0.52649999999999797</v>
      </c>
      <c r="AD2587">
        <v>-8.0931000000000003E-2</v>
      </c>
      <c r="AE2587">
        <v>-0.58719999999999495</v>
      </c>
      <c r="AF2587">
        <v>-0.44561728396717099</v>
      </c>
      <c r="AG2587">
        <v>-8.0931000000000003E-2</v>
      </c>
      <c r="AH2587">
        <v>0.64073061238332496</v>
      </c>
      <c r="AI2587">
        <v>95.920249883676505</v>
      </c>
      <c r="AJ2587">
        <v>124.81795883916701</v>
      </c>
      <c r="AK2587">
        <v>0.784640241242055</v>
      </c>
      <c r="AL2587">
        <v>82.697118177154096</v>
      </c>
      <c r="AM2587">
        <v>108.06616911299</v>
      </c>
      <c r="AN2587">
        <v>1.0000000153397499</v>
      </c>
    </row>
    <row r="2588" spans="1:40" x14ac:dyDescent="0.25">
      <c r="A2588" t="str">
        <f>"20190303162305852"</f>
        <v>20190303162305852</v>
      </c>
      <c r="B2588" t="str">
        <f>"1551601385847057"</f>
        <v>1551601385847057</v>
      </c>
      <c r="C2588" t="s">
        <v>40</v>
      </c>
      <c r="D2588">
        <v>5.1505780000000003</v>
      </c>
      <c r="E2588">
        <v>0.43795190000000001</v>
      </c>
      <c r="F2588" t="s">
        <v>42</v>
      </c>
      <c r="G2588">
        <v>-475.06529999999998</v>
      </c>
      <c r="H2588">
        <v>1.0496719999999999</v>
      </c>
      <c r="I2588">
        <v>283.45859999999999</v>
      </c>
      <c r="J2588">
        <v>-474.57049999999998</v>
      </c>
      <c r="K2588">
        <v>1.124919</v>
      </c>
      <c r="L2588">
        <v>284.02730000000003</v>
      </c>
      <c r="M2588">
        <v>-0.97163160000000004</v>
      </c>
      <c r="N2588">
        <v>-1.216308E-2</v>
      </c>
      <c r="O2588">
        <v>-0.23618690000000001</v>
      </c>
      <c r="P2588">
        <v>-0.84440780000000004</v>
      </c>
      <c r="Q2588">
        <v>0.1206583</v>
      </c>
      <c r="R2588">
        <v>-0.52193599999999996</v>
      </c>
      <c r="S2588">
        <v>-2.3615110000000001</v>
      </c>
      <c r="T2588">
        <v>-0.23400899999999999</v>
      </c>
      <c r="U2588">
        <v>-1.9861150000000001</v>
      </c>
      <c r="V2588">
        <v>-0.30910270000000001</v>
      </c>
      <c r="W2588">
        <v>0.12884680000000001</v>
      </c>
      <c r="X2588">
        <v>0.94226010000000004</v>
      </c>
      <c r="Y2588">
        <v>-0.44370730000000003</v>
      </c>
      <c r="Z2588">
        <v>-4.9730319999999996E-3</v>
      </c>
      <c r="AA2588">
        <v>0.89615789999999995</v>
      </c>
      <c r="AB2588">
        <v>27</v>
      </c>
      <c r="AC2588">
        <v>-0.49479999999999702</v>
      </c>
      <c r="AD2588">
        <v>-7.5246999999999994E-2</v>
      </c>
      <c r="AE2588">
        <v>-0.56870000000003496</v>
      </c>
      <c r="AF2588">
        <v>-0.43143491694408598</v>
      </c>
      <c r="AG2588">
        <v>-7.5246999999999994E-2</v>
      </c>
      <c r="AH2588">
        <v>0.60905948336946503</v>
      </c>
      <c r="AI2588">
        <v>95.756843299222396</v>
      </c>
      <c r="AJ2588">
        <v>125.31232738958001</v>
      </c>
      <c r="AK2588">
        <v>0.75016774980655598</v>
      </c>
      <c r="AL2588">
        <v>82.597041882191903</v>
      </c>
      <c r="AM2588">
        <v>108.161762609229</v>
      </c>
      <c r="AN2588">
        <v>1.0000000365347601</v>
      </c>
    </row>
    <row r="2589" spans="1:40" x14ac:dyDescent="0.25">
      <c r="A2589" t="str">
        <f>"20190303162305874"</f>
        <v>20190303162305874</v>
      </c>
      <c r="B2589" t="str">
        <f>"1551601385867553"</f>
        <v>1551601385867553</v>
      </c>
      <c r="C2589" t="s">
        <v>40</v>
      </c>
      <c r="D2589">
        <v>5.0077480000000003</v>
      </c>
      <c r="E2589">
        <v>0.39100059999999998</v>
      </c>
      <c r="F2589" t="s">
        <v>42</v>
      </c>
      <c r="G2589">
        <v>-475.29719999999998</v>
      </c>
      <c r="H2589">
        <v>1.0554399999999999</v>
      </c>
      <c r="I2589">
        <v>283.40710000000001</v>
      </c>
      <c r="J2589">
        <v>-474.82069999999999</v>
      </c>
      <c r="K2589">
        <v>1.125022</v>
      </c>
      <c r="L2589">
        <v>283.9597</v>
      </c>
      <c r="M2589">
        <v>-0.97016290000000005</v>
      </c>
      <c r="N2589">
        <v>-1.2132779999999999E-2</v>
      </c>
      <c r="O2589">
        <v>-0.24215059999999999</v>
      </c>
      <c r="P2589">
        <v>-0.84023829999999999</v>
      </c>
      <c r="Q2589">
        <v>0.1217835</v>
      </c>
      <c r="R2589">
        <v>-0.52836450000000001</v>
      </c>
      <c r="S2589">
        <v>-2.3463440000000002</v>
      </c>
      <c r="T2589">
        <v>-0.22428809999999999</v>
      </c>
      <c r="U2589">
        <v>-2.0036930000000002</v>
      </c>
      <c r="V2589">
        <v>-0.31058960000000002</v>
      </c>
      <c r="W2589">
        <v>0.12984490000000001</v>
      </c>
      <c r="X2589">
        <v>0.94163390000000002</v>
      </c>
      <c r="Y2589">
        <v>-0.44501669999999999</v>
      </c>
      <c r="Z2589">
        <v>-4.6600239999999996E-3</v>
      </c>
      <c r="AA2589">
        <v>0.89551009999999998</v>
      </c>
      <c r="AB2589">
        <v>27</v>
      </c>
      <c r="AC2589">
        <v>-0.47649999999998699</v>
      </c>
      <c r="AD2589">
        <v>-6.9582000000000005E-2</v>
      </c>
      <c r="AE2589">
        <v>-0.55259999999998399</v>
      </c>
      <c r="AF2589">
        <v>-0.41696642729181399</v>
      </c>
      <c r="AG2589">
        <v>-6.9582000000000005E-2</v>
      </c>
      <c r="AH2589">
        <v>0.590766621519215</v>
      </c>
      <c r="AI2589">
        <v>95.496536355533394</v>
      </c>
      <c r="AJ2589">
        <v>125.21466015985401</v>
      </c>
      <c r="AK2589">
        <v>0.72643503309912605</v>
      </c>
      <c r="AL2589">
        <v>82.539370221491296</v>
      </c>
      <c r="AM2589">
        <v>108.254681465963</v>
      </c>
      <c r="AN2589">
        <v>0.99999999965668995</v>
      </c>
    </row>
    <row r="2590" spans="1:40" x14ac:dyDescent="0.25">
      <c r="A2590" t="str">
        <f>"20190303162305895"</f>
        <v>20190303162305895</v>
      </c>
      <c r="B2590" t="str">
        <f>"1551601385887073"</f>
        <v>1551601385887073</v>
      </c>
      <c r="C2590" t="s">
        <v>40</v>
      </c>
      <c r="D2590">
        <v>5.0645879999999996</v>
      </c>
      <c r="E2590">
        <v>0.37413380000000002</v>
      </c>
      <c r="F2590" t="s">
        <v>42</v>
      </c>
      <c r="G2590">
        <v>-475.47480000000002</v>
      </c>
      <c r="H2590">
        <v>1.0335920000000001</v>
      </c>
      <c r="I2590">
        <v>283.24459999999999</v>
      </c>
      <c r="J2590">
        <v>-475.06970000000001</v>
      </c>
      <c r="K2590">
        <v>1.125146</v>
      </c>
      <c r="L2590">
        <v>283.89069999999998</v>
      </c>
      <c r="M2590">
        <v>-0.96861989999999998</v>
      </c>
      <c r="N2590">
        <v>-1.2109979999999999E-2</v>
      </c>
      <c r="O2590">
        <v>-0.24825159999999999</v>
      </c>
      <c r="P2590">
        <v>-0.83561439999999998</v>
      </c>
      <c r="Q2590">
        <v>0.1229982</v>
      </c>
      <c r="R2590">
        <v>-0.53536930000000005</v>
      </c>
      <c r="S2590">
        <v>-2.1414490000000002</v>
      </c>
      <c r="T2590">
        <v>-0.29933939999999998</v>
      </c>
      <c r="U2590">
        <v>-2.3413390000000001</v>
      </c>
      <c r="V2590">
        <v>-0.31263239999999998</v>
      </c>
      <c r="W2590">
        <v>0.13091530000000001</v>
      </c>
      <c r="X2590">
        <v>0.94080929999999996</v>
      </c>
      <c r="Y2590">
        <v>-0.54543419999999998</v>
      </c>
      <c r="Z2590">
        <v>-1.018223E-2</v>
      </c>
      <c r="AA2590">
        <v>0.83809179999999905</v>
      </c>
      <c r="AB2590">
        <v>27</v>
      </c>
      <c r="AC2590">
        <v>-0.40510000000000401</v>
      </c>
      <c r="AD2590">
        <v>-9.1553999999999899E-2</v>
      </c>
      <c r="AE2590">
        <v>-0.64609999999998902</v>
      </c>
      <c r="AF2590">
        <v>-0.51783336495114796</v>
      </c>
      <c r="AG2590">
        <v>-9.1553999999999899E-2</v>
      </c>
      <c r="AH2590">
        <v>0.54496895290256797</v>
      </c>
      <c r="AI2590">
        <v>96.943644698130896</v>
      </c>
      <c r="AJ2590">
        <v>133.53743548745399</v>
      </c>
      <c r="AK2590">
        <v>0.75731412795507203</v>
      </c>
      <c r="AL2590">
        <v>82.477512703930998</v>
      </c>
      <c r="AM2590">
        <v>108.381727839729</v>
      </c>
      <c r="AN2590">
        <v>0.99999998613516905</v>
      </c>
    </row>
    <row r="2591" spans="1:40" x14ac:dyDescent="0.25">
      <c r="A2591" t="str">
        <f>"20190303162305919"</f>
        <v>20190303162305919</v>
      </c>
      <c r="B2591" t="str">
        <f>"1551601385907570"</f>
        <v>1551601385907570</v>
      </c>
      <c r="C2591" t="s">
        <v>40</v>
      </c>
      <c r="D2591">
        <v>5.0168910000000002</v>
      </c>
      <c r="E2591">
        <v>0.36978620000000001</v>
      </c>
      <c r="F2591" t="s">
        <v>42</v>
      </c>
      <c r="G2591">
        <v>-475.68509999999998</v>
      </c>
      <c r="H2591">
        <v>1.0234099999999999</v>
      </c>
      <c r="I2591">
        <v>283.14980000000003</v>
      </c>
      <c r="J2591">
        <v>-475.33339999999998</v>
      </c>
      <c r="K2591">
        <v>1.125302</v>
      </c>
      <c r="L2591">
        <v>283.81549999999999</v>
      </c>
      <c r="M2591">
        <v>-0.96688700000000005</v>
      </c>
      <c r="N2591">
        <v>-1.2093659999999999E-2</v>
      </c>
      <c r="O2591">
        <v>-0.2549189</v>
      </c>
      <c r="P2591">
        <v>-0.83047260000000001</v>
      </c>
      <c r="Q2591">
        <v>0.12368800000000001</v>
      </c>
      <c r="R2591">
        <v>-0.54315440000000004</v>
      </c>
      <c r="S2591">
        <v>-2.0546259999999998</v>
      </c>
      <c r="T2591">
        <v>-0.33963379999999999</v>
      </c>
      <c r="U2591">
        <v>-2.4747309999999998</v>
      </c>
      <c r="V2591">
        <v>-0.3150269</v>
      </c>
      <c r="W2591">
        <v>0.1314372</v>
      </c>
      <c r="X2591">
        <v>0.93993740000000003</v>
      </c>
      <c r="Y2591">
        <v>-0.57877109999999998</v>
      </c>
      <c r="Z2591">
        <v>-1.243815E-2</v>
      </c>
      <c r="AA2591">
        <v>0.81539519999999999</v>
      </c>
      <c r="AB2591">
        <v>27</v>
      </c>
      <c r="AC2591">
        <v>-0.35169999999999302</v>
      </c>
      <c r="AD2591">
        <v>-0.101892</v>
      </c>
      <c r="AE2591">
        <v>-0.66569999999995799</v>
      </c>
      <c r="AF2591">
        <v>-0.54407721105200602</v>
      </c>
      <c r="AG2591">
        <v>-0.101892</v>
      </c>
      <c r="AH2591">
        <v>0.50062184919575403</v>
      </c>
      <c r="AI2591">
        <v>97.846646309262198</v>
      </c>
      <c r="AJ2591">
        <v>137.38190540500099</v>
      </c>
      <c r="AK2591">
        <v>0.74634055707988001</v>
      </c>
      <c r="AL2591">
        <v>82.447349506406397</v>
      </c>
      <c r="AM2591">
        <v>108.52895336636</v>
      </c>
      <c r="AN2591">
        <v>1.0000000005931</v>
      </c>
    </row>
    <row r="2592" spans="1:40" x14ac:dyDescent="0.25">
      <c r="A2592" t="str">
        <f>"20190303162305941"</f>
        <v>20190303162305941</v>
      </c>
      <c r="B2592" t="str">
        <f>"1551601385936851"</f>
        <v>1551601385936851</v>
      </c>
      <c r="C2592" t="s">
        <v>40</v>
      </c>
      <c r="D2592">
        <v>4.9476820000000004</v>
      </c>
      <c r="E2592">
        <v>0.36805369999999998</v>
      </c>
      <c r="F2592" t="s">
        <v>42</v>
      </c>
      <c r="G2592">
        <v>-475.9126</v>
      </c>
      <c r="H2592">
        <v>1.0266489999999999</v>
      </c>
      <c r="I2592">
        <v>283.08909999999997</v>
      </c>
      <c r="J2592">
        <v>-475.58510000000001</v>
      </c>
      <c r="K2592">
        <v>1.1254679999999999</v>
      </c>
      <c r="L2592">
        <v>283.74169999999998</v>
      </c>
      <c r="M2592">
        <v>-0.9651265</v>
      </c>
      <c r="N2592">
        <v>-1.208477E-2</v>
      </c>
      <c r="O2592">
        <v>-0.2615056</v>
      </c>
      <c r="P2592">
        <v>-0.82560529999999999</v>
      </c>
      <c r="Q2592">
        <v>0.12404220000000001</v>
      </c>
      <c r="R2592">
        <v>-0.55044510000000002</v>
      </c>
      <c r="S2592">
        <v>-2.0127869999999999</v>
      </c>
      <c r="T2592">
        <v>-0.34282309999999999</v>
      </c>
      <c r="U2592">
        <v>-2.5238339999999999</v>
      </c>
      <c r="V2592">
        <v>-0.316967</v>
      </c>
      <c r="W2592">
        <v>0.13162579999999999</v>
      </c>
      <c r="X2592">
        <v>0.9392585</v>
      </c>
      <c r="Y2592">
        <v>-0.58914820000000001</v>
      </c>
      <c r="Z2592">
        <v>-1.2584939999999999E-2</v>
      </c>
      <c r="AA2592">
        <v>0.80792699999999995</v>
      </c>
      <c r="AB2592">
        <v>27</v>
      </c>
      <c r="AC2592">
        <v>-0.32749999999998602</v>
      </c>
      <c r="AD2592">
        <v>-9.8819000000000198E-2</v>
      </c>
      <c r="AE2592">
        <v>-0.65260000000000595</v>
      </c>
      <c r="AF2592">
        <v>-0.53444899274813595</v>
      </c>
      <c r="AG2592">
        <v>-9.8819000000000198E-2</v>
      </c>
      <c r="AH2592">
        <v>0.47801743679210101</v>
      </c>
      <c r="AI2592">
        <v>97.846874520098396</v>
      </c>
      <c r="AJ2592">
        <v>138.190177926399</v>
      </c>
      <c r="AK2592">
        <v>0.72381046585952902</v>
      </c>
      <c r="AL2592">
        <v>82.436448660950902</v>
      </c>
      <c r="AM2592">
        <v>108.647745582415</v>
      </c>
      <c r="AN2592">
        <v>0.99999998006844404</v>
      </c>
    </row>
    <row r="2593" spans="1:40" x14ac:dyDescent="0.25">
      <c r="A2593" t="str">
        <f>"20190303162305963"</f>
        <v>20190303162305963</v>
      </c>
      <c r="B2593" t="str">
        <f>"1551601385957345"</f>
        <v>1551601385957345</v>
      </c>
      <c r="C2593" t="s">
        <v>40</v>
      </c>
      <c r="D2593">
        <v>4.9391790000000002</v>
      </c>
      <c r="E2593">
        <v>0.36716919999999997</v>
      </c>
      <c r="F2593" t="s">
        <v>42</v>
      </c>
      <c r="G2593">
        <v>-476.13979999999998</v>
      </c>
      <c r="H2593">
        <v>1.029398</v>
      </c>
      <c r="I2593">
        <v>283.02730000000003</v>
      </c>
      <c r="J2593">
        <v>-475.83440000000002</v>
      </c>
      <c r="K2593">
        <v>1.1256459999999999</v>
      </c>
      <c r="L2593">
        <v>283.66640000000001</v>
      </c>
      <c r="M2593">
        <v>-0.96326789999999995</v>
      </c>
      <c r="N2593">
        <v>-1.208214E-2</v>
      </c>
      <c r="O2593">
        <v>-0.26827119999999999</v>
      </c>
      <c r="P2593">
        <v>-0.82035069999999999</v>
      </c>
      <c r="Q2593">
        <v>0.1241545</v>
      </c>
      <c r="R2593">
        <v>-0.55822090000000002</v>
      </c>
      <c r="S2593">
        <v>-1.9826349999999999</v>
      </c>
      <c r="T2593">
        <v>-0.34339799999999998</v>
      </c>
      <c r="U2593">
        <v>-2.553741</v>
      </c>
      <c r="V2593">
        <v>-0.31931710000000002</v>
      </c>
      <c r="W2593">
        <v>0.1315586</v>
      </c>
      <c r="X2593">
        <v>0.93847159999999996</v>
      </c>
      <c r="Y2593">
        <v>-0.59401479999999995</v>
      </c>
      <c r="Z2593">
        <v>-1.2257540000000001E-2</v>
      </c>
      <c r="AA2593">
        <v>0.80436070000000004</v>
      </c>
      <c r="AB2593">
        <v>27</v>
      </c>
      <c r="AC2593">
        <v>-0.30539999999996298</v>
      </c>
      <c r="AD2593">
        <v>-9.6247999999999806E-2</v>
      </c>
      <c r="AE2593">
        <v>-0.63909999999998401</v>
      </c>
      <c r="AF2593">
        <v>-0.52405717848283795</v>
      </c>
      <c r="AG2593">
        <v>-9.6247999999999806E-2</v>
      </c>
      <c r="AH2593">
        <v>0.45722584419066198</v>
      </c>
      <c r="AI2593">
        <v>97.879168085313196</v>
      </c>
      <c r="AJ2593">
        <v>138.89617398752901</v>
      </c>
      <c r="AK2593">
        <v>0.70210759604155903</v>
      </c>
      <c r="AL2593">
        <v>82.440332939429993</v>
      </c>
      <c r="AM2593">
        <v>108.790988913665</v>
      </c>
      <c r="AN2593">
        <v>1.0000000097964601</v>
      </c>
    </row>
    <row r="2594" spans="1:40" x14ac:dyDescent="0.25">
      <c r="A2594" t="str">
        <f>"20190303162305985"</f>
        <v>20190303162305985</v>
      </c>
      <c r="B2594" t="str">
        <f>"1551601385976865"</f>
        <v>1551601385976865</v>
      </c>
      <c r="C2594" t="s">
        <v>40</v>
      </c>
      <c r="D2594">
        <v>4.9475819999999997</v>
      </c>
      <c r="E2594">
        <v>0.36691370000000001</v>
      </c>
      <c r="F2594" t="s">
        <v>46</v>
      </c>
      <c r="G2594">
        <v>-482.34780000000001</v>
      </c>
      <c r="H2594" s="1">
        <v>1.1729489999999999E-6</v>
      </c>
      <c r="I2594">
        <v>275.0729</v>
      </c>
      <c r="J2594">
        <v>-476.08460000000002</v>
      </c>
      <c r="K2594">
        <v>1.125842</v>
      </c>
      <c r="L2594">
        <v>283.58850000000001</v>
      </c>
      <c r="M2594">
        <v>-0.96127070000000003</v>
      </c>
      <c r="N2594">
        <v>-1.208567E-2</v>
      </c>
      <c r="O2594">
        <v>-0.27534049999999999</v>
      </c>
      <c r="P2594">
        <v>-0.81458989999999998</v>
      </c>
      <c r="Q2594">
        <v>0.1247016</v>
      </c>
      <c r="R2594">
        <v>-0.56647400000000003</v>
      </c>
      <c r="S2594">
        <v>-1.953918</v>
      </c>
      <c r="T2594">
        <v>-0.33767459999999999</v>
      </c>
      <c r="U2594">
        <v>-2.5779109999999998</v>
      </c>
      <c r="V2594">
        <v>-0.32199129999999998</v>
      </c>
      <c r="W2594">
        <v>0.13191320000000001</v>
      </c>
      <c r="X2594">
        <v>0.9375076</v>
      </c>
      <c r="Y2594">
        <v>-0.59750400000000004</v>
      </c>
      <c r="Z2594">
        <v>-1.1712449999999999E-2</v>
      </c>
      <c r="AA2594">
        <v>0.80178050000000001</v>
      </c>
      <c r="AB2594">
        <v>27</v>
      </c>
      <c r="AC2594">
        <v>-6.2631999999999799</v>
      </c>
      <c r="AD2594">
        <v>-1.1258408270510001</v>
      </c>
      <c r="AE2594">
        <v>-8.5155999999999992</v>
      </c>
      <c r="AF2594">
        <v>-6.3892821803322599</v>
      </c>
      <c r="AG2594">
        <v>-1.1258408270510001</v>
      </c>
      <c r="AH2594">
        <v>8.2721004188181908</v>
      </c>
      <c r="AI2594">
        <v>96.147755670068193</v>
      </c>
      <c r="AJ2594">
        <v>127.682115231803</v>
      </c>
      <c r="AK2594">
        <v>10.512758424256599</v>
      </c>
      <c r="AL2594">
        <v>82.419837118848903</v>
      </c>
      <c r="AM2594">
        <v>108.955269982674</v>
      </c>
      <c r="AN2594">
        <v>0.99999999483384405</v>
      </c>
    </row>
    <row r="2595" spans="1:40" x14ac:dyDescent="0.25">
      <c r="A2595" t="str">
        <f>"20190303162306007"</f>
        <v>20190303162306007</v>
      </c>
      <c r="B2595" t="str">
        <f>"1551601385996892"</f>
        <v>1551601385996892</v>
      </c>
      <c r="C2595" t="s">
        <v>40</v>
      </c>
      <c r="D2595">
        <v>4.958494</v>
      </c>
      <c r="E2595">
        <v>0.36695240000000001</v>
      </c>
      <c r="F2595" t="s">
        <v>46</v>
      </c>
      <c r="G2595">
        <v>-482.57799999999997</v>
      </c>
      <c r="H2595" s="1">
        <v>1.15082E-6</v>
      </c>
      <c r="I2595">
        <v>274.8313</v>
      </c>
      <c r="J2595">
        <v>-476.33870000000002</v>
      </c>
      <c r="K2595">
        <v>1.126026</v>
      </c>
      <c r="L2595">
        <v>283.50700000000001</v>
      </c>
      <c r="M2595">
        <v>-0.9591151</v>
      </c>
      <c r="N2595">
        <v>-1.209292E-2</v>
      </c>
      <c r="O2595">
        <v>-0.2827578</v>
      </c>
      <c r="P2595">
        <v>-0.80809310000000001</v>
      </c>
      <c r="Q2595">
        <v>0.12515490000000001</v>
      </c>
      <c r="R2595">
        <v>-0.57560579999999995</v>
      </c>
      <c r="S2595">
        <v>-1.9268799999999999</v>
      </c>
      <c r="T2595">
        <v>-0.3340883</v>
      </c>
      <c r="U2595">
        <v>-2.5986630000000002</v>
      </c>
      <c r="V2595">
        <v>-0.32538840000000002</v>
      </c>
      <c r="W2595">
        <v>0.132169799999999</v>
      </c>
      <c r="X2595">
        <v>0.93629779999999996</v>
      </c>
      <c r="Y2595">
        <v>-0.59981479999999998</v>
      </c>
      <c r="Z2595">
        <v>-1.108781E-2</v>
      </c>
      <c r="AA2595">
        <v>0.80006199999999905</v>
      </c>
      <c r="AB2595">
        <v>27</v>
      </c>
      <c r="AC2595">
        <v>-6.2393000000000098</v>
      </c>
      <c r="AD2595">
        <v>-1.12602484918</v>
      </c>
      <c r="AE2595">
        <v>-8.6757000000000009</v>
      </c>
      <c r="AF2595">
        <v>-6.4852574585062603</v>
      </c>
      <c r="AG2595">
        <v>-1.12602484918</v>
      </c>
      <c r="AH2595">
        <v>8.3452875238588096</v>
      </c>
      <c r="AI2595">
        <v>96.081408567220706</v>
      </c>
      <c r="AJ2595">
        <v>127.851355096411</v>
      </c>
      <c r="AK2595">
        <v>10.6287496969284</v>
      </c>
      <c r="AL2595">
        <v>82.405005337300295</v>
      </c>
      <c r="AM2595">
        <v>109.163699690537</v>
      </c>
      <c r="AN2595">
        <v>1.0000000185857101</v>
      </c>
    </row>
    <row r="2596" spans="1:40" x14ac:dyDescent="0.25">
      <c r="A2596" t="str">
        <f>"20190303162306030"</f>
        <v>20190303162306030</v>
      </c>
      <c r="B2596" t="str">
        <f>"1551601386027149"</f>
        <v>1551601386027149</v>
      </c>
      <c r="C2596" t="s">
        <v>40</v>
      </c>
      <c r="D2596">
        <v>4.9360039999999996</v>
      </c>
      <c r="E2596">
        <v>0.3674192</v>
      </c>
      <c r="F2596" t="s">
        <v>46</v>
      </c>
      <c r="G2596">
        <v>-482.8612</v>
      </c>
      <c r="H2596" s="1">
        <v>1.0953279999999901E-6</v>
      </c>
      <c r="I2596">
        <v>274.49540000000002</v>
      </c>
      <c r="J2596">
        <v>-476.58710000000002</v>
      </c>
      <c r="K2596">
        <v>1.126199</v>
      </c>
      <c r="L2596">
        <v>283.42509999999999</v>
      </c>
      <c r="M2596">
        <v>-0.95687719999999998</v>
      </c>
      <c r="N2596">
        <v>-1.210191E-2</v>
      </c>
      <c r="O2596">
        <v>-0.29024080000000002</v>
      </c>
      <c r="P2596">
        <v>-0.8008286</v>
      </c>
      <c r="Q2596">
        <v>0.12540670000000001</v>
      </c>
      <c r="R2596">
        <v>-0.58561609999999997</v>
      </c>
      <c r="S2596">
        <v>-1.8966369999999999</v>
      </c>
      <c r="T2596">
        <v>-0.32742769999999999</v>
      </c>
      <c r="U2596">
        <v>-2.620422</v>
      </c>
      <c r="V2596">
        <v>-0.32979920000000001</v>
      </c>
      <c r="W2596">
        <v>0.1322152</v>
      </c>
      <c r="X2596">
        <v>0.93474690000000005</v>
      </c>
      <c r="Y2596">
        <v>-0.6028618</v>
      </c>
      <c r="Z2596">
        <v>-1.049748E-2</v>
      </c>
      <c r="AA2596">
        <v>0.79777659999999995</v>
      </c>
      <c r="AB2596">
        <v>27</v>
      </c>
      <c r="AC2596">
        <v>-6.2740999999999696</v>
      </c>
      <c r="AD2596">
        <v>-1.1261979046720001</v>
      </c>
      <c r="AE2596">
        <v>-8.9296999999999596</v>
      </c>
      <c r="AF2596">
        <v>-6.65326862786688</v>
      </c>
      <c r="AG2596">
        <v>-1.1261979046720001</v>
      </c>
      <c r="AH2596">
        <v>8.5053628296625092</v>
      </c>
      <c r="AI2596">
        <v>95.953981543199305</v>
      </c>
      <c r="AJ2596">
        <v>128.03407985704399</v>
      </c>
      <c r="AK2596">
        <v>10.857048494837301</v>
      </c>
      <c r="AL2596">
        <v>82.402381465797106</v>
      </c>
      <c r="AM2596">
        <v>109.433958802135</v>
      </c>
      <c r="AN2596">
        <v>1.0000000692456401</v>
      </c>
    </row>
    <row r="2597" spans="1:40" x14ac:dyDescent="0.25">
      <c r="A2597" t="str">
        <f>"20190303162306053"</f>
        <v>20190303162306053</v>
      </c>
      <c r="B2597" t="str">
        <f>"1551601386047643"</f>
        <v>1551601386047643</v>
      </c>
      <c r="C2597" t="s">
        <v>40</v>
      </c>
      <c r="D2597">
        <v>4.967943</v>
      </c>
      <c r="E2597">
        <v>0.36791679999999999</v>
      </c>
      <c r="F2597" t="s">
        <v>46</v>
      </c>
      <c r="G2597">
        <v>-483.13830000000002</v>
      </c>
      <c r="H2597" s="1">
        <v>9.9605900000000001E-7</v>
      </c>
      <c r="I2597">
        <v>274.14510000000001</v>
      </c>
      <c r="J2597">
        <v>-476.84460000000001</v>
      </c>
      <c r="K2597">
        <v>1.1263749999999999</v>
      </c>
      <c r="L2597">
        <v>283.33760000000001</v>
      </c>
      <c r="M2597">
        <v>-0.95440460000000005</v>
      </c>
      <c r="N2597">
        <v>-1.2114710000000001E-2</v>
      </c>
      <c r="O2597">
        <v>-0.29827009999999998</v>
      </c>
      <c r="P2597">
        <v>-0.7935894</v>
      </c>
      <c r="Q2597">
        <v>0.1252277</v>
      </c>
      <c r="R2597">
        <v>-0.59542740000000005</v>
      </c>
      <c r="S2597">
        <v>-1.864716</v>
      </c>
      <c r="T2597">
        <v>-0.3205575</v>
      </c>
      <c r="U2597">
        <v>-2.6414490000000002</v>
      </c>
      <c r="V2597">
        <v>-0.33350010000000002</v>
      </c>
      <c r="W2597">
        <v>0.13183610000000001</v>
      </c>
      <c r="X2597">
        <v>0.9334865</v>
      </c>
      <c r="Y2597">
        <v>-0.60566619999999904</v>
      </c>
      <c r="Z2597">
        <v>-9.8598039999999998E-3</v>
      </c>
      <c r="AA2597">
        <v>0.79565779999999997</v>
      </c>
      <c r="AB2597">
        <v>27</v>
      </c>
      <c r="AC2597">
        <v>-6.2937000000000003</v>
      </c>
      <c r="AD2597">
        <v>-1.126374003941</v>
      </c>
      <c r="AE2597">
        <v>-9.1924999999999901</v>
      </c>
      <c r="AF2597">
        <v>-6.8268617310122002</v>
      </c>
      <c r="AG2597">
        <v>-1.126374003941</v>
      </c>
      <c r="AH2597">
        <v>8.6606940908074996</v>
      </c>
      <c r="AI2597">
        <v>95.831907271495197</v>
      </c>
      <c r="AJ2597">
        <v>128.24722970054401</v>
      </c>
      <c r="AK2597">
        <v>11.085232592312201</v>
      </c>
      <c r="AL2597">
        <v>82.424294039333304</v>
      </c>
      <c r="AM2597">
        <v>109.65992404773699</v>
      </c>
      <c r="AN2597">
        <v>1.0000000598227301</v>
      </c>
    </row>
    <row r="2598" spans="1:40" x14ac:dyDescent="0.25">
      <c r="A2598" t="str">
        <f>"20190303162306074"</f>
        <v>20190303162306074</v>
      </c>
      <c r="B2598" t="str">
        <f>"1551601386067163"</f>
        <v>1551601386067163</v>
      </c>
      <c r="C2598" t="s">
        <v>40</v>
      </c>
      <c r="D2598">
        <v>4.9659969999999998</v>
      </c>
      <c r="E2598">
        <v>0.36854029999999999</v>
      </c>
      <c r="F2598" t="s">
        <v>46</v>
      </c>
      <c r="G2598">
        <v>-483.29419999999999</v>
      </c>
      <c r="H2598" s="1">
        <v>9.5209489999999998E-7</v>
      </c>
      <c r="I2598">
        <v>273.98149999999998</v>
      </c>
      <c r="J2598">
        <v>-477.09190000000001</v>
      </c>
      <c r="K2598">
        <v>1.126565</v>
      </c>
      <c r="L2598">
        <v>283.25099999999998</v>
      </c>
      <c r="M2598">
        <v>-0.95187469999999996</v>
      </c>
      <c r="N2598">
        <v>-1.213241E-2</v>
      </c>
      <c r="O2598">
        <v>-0.3062473</v>
      </c>
      <c r="P2598">
        <v>-0.78712230000000005</v>
      </c>
      <c r="Q2598">
        <v>0.12451520000000001</v>
      </c>
      <c r="R2598">
        <v>-0.60409820000000003</v>
      </c>
      <c r="S2598">
        <v>-1.8343510000000001</v>
      </c>
      <c r="T2598">
        <v>-0.32035580000000002</v>
      </c>
      <c r="U2598">
        <v>-2.6609799999999999</v>
      </c>
      <c r="V2598">
        <v>-0.33594629999999998</v>
      </c>
      <c r="W2598">
        <v>0.13094459999999999</v>
      </c>
      <c r="X2598">
        <v>0.93273450000000002</v>
      </c>
      <c r="Y2598">
        <v>-0.60790330000000004</v>
      </c>
      <c r="Z2598">
        <v>-9.2485190000000002E-3</v>
      </c>
      <c r="AA2598">
        <v>0.79395719999999903</v>
      </c>
      <c r="AB2598">
        <v>27</v>
      </c>
      <c r="AC2598">
        <v>-6.2022999999999797</v>
      </c>
      <c r="AD2598">
        <v>-1.1265640479051</v>
      </c>
      <c r="AE2598">
        <v>-9.2694999999999901</v>
      </c>
      <c r="AF2598">
        <v>-6.8545389835444297</v>
      </c>
      <c r="AG2598">
        <v>-1.1265640479051</v>
      </c>
      <c r="AH2598">
        <v>8.6549108862503399</v>
      </c>
      <c r="AI2598">
        <v>95.826262466942893</v>
      </c>
      <c r="AJ2598">
        <v>128.37861189954199</v>
      </c>
      <c r="AK2598">
        <v>11.0978076069058</v>
      </c>
      <c r="AL2598">
        <v>82.475819663234503</v>
      </c>
      <c r="AM2598">
        <v>109.80767891625899</v>
      </c>
      <c r="AN2598">
        <v>1.00000002612154</v>
      </c>
    </row>
    <row r="2599" spans="1:40" x14ac:dyDescent="0.25">
      <c r="A2599" t="str">
        <f>"20190303162306097"</f>
        <v>20190303162306097</v>
      </c>
      <c r="B2599" t="str">
        <f>"1551601386087660"</f>
        <v>1551601386087660</v>
      </c>
      <c r="C2599" t="s">
        <v>40</v>
      </c>
      <c r="D2599">
        <v>4.9909559999999997</v>
      </c>
      <c r="E2599">
        <v>0.36924050000000003</v>
      </c>
      <c r="F2599" t="s">
        <v>46</v>
      </c>
      <c r="G2599">
        <v>-483.40159999999997</v>
      </c>
      <c r="H2599" s="1">
        <v>9.3961529999999999E-7</v>
      </c>
      <c r="I2599">
        <v>273.91930000000002</v>
      </c>
      <c r="J2599">
        <v>-477.34199999999998</v>
      </c>
      <c r="K2599">
        <v>1.1267739999999999</v>
      </c>
      <c r="L2599">
        <v>283.16090000000003</v>
      </c>
      <c r="M2599">
        <v>-0.94914659999999995</v>
      </c>
      <c r="N2599">
        <v>-1.2156139999999999E-2</v>
      </c>
      <c r="O2599">
        <v>-0.31459979999999999</v>
      </c>
      <c r="P2599">
        <v>-0.7816111</v>
      </c>
      <c r="Q2599">
        <v>0.1244012</v>
      </c>
      <c r="R2599">
        <v>-0.61123519999999998</v>
      </c>
      <c r="S2599">
        <v>-1.8090820000000001</v>
      </c>
      <c r="T2599">
        <v>-0.32300129999999999</v>
      </c>
      <c r="U2599">
        <v>-2.6755369999999998</v>
      </c>
      <c r="V2599">
        <v>-0.33629710000000002</v>
      </c>
      <c r="W2599">
        <v>0.1306766</v>
      </c>
      <c r="X2599">
        <v>0.93264559999999996</v>
      </c>
      <c r="Y2599">
        <v>-0.60807469999999997</v>
      </c>
      <c r="Z2599">
        <v>-8.4545239999999997E-3</v>
      </c>
      <c r="AA2599">
        <v>0.79383479999999995</v>
      </c>
      <c r="AB2599">
        <v>27</v>
      </c>
      <c r="AC2599">
        <v>-6.0595999999999801</v>
      </c>
      <c r="AD2599">
        <v>-1.1267730603846999</v>
      </c>
      <c r="AE2599">
        <v>-9.2416</v>
      </c>
      <c r="AF2599">
        <v>-6.7951491471883596</v>
      </c>
      <c r="AG2599">
        <v>-1.1267730603846999</v>
      </c>
      <c r="AH2599">
        <v>8.5703961770367503</v>
      </c>
      <c r="AI2599">
        <v>95.881896250420695</v>
      </c>
      <c r="AJ2599">
        <v>128.40959368891501</v>
      </c>
      <c r="AK2599">
        <v>10.995242611853</v>
      </c>
      <c r="AL2599">
        <v>82.491307549953902</v>
      </c>
      <c r="AM2599">
        <v>109.82849362672199</v>
      </c>
      <c r="AN2599">
        <v>0.99999996422766402</v>
      </c>
    </row>
    <row r="2600" spans="1:40" x14ac:dyDescent="0.25">
      <c r="A2600" t="str">
        <f>"20190303162306119"</f>
        <v>20190303162306119</v>
      </c>
      <c r="B2600" t="str">
        <f>"1551601386116940"</f>
        <v>1551601386116940</v>
      </c>
      <c r="C2600" t="s">
        <v>40</v>
      </c>
      <c r="D2600">
        <v>5.0260099999999897</v>
      </c>
      <c r="E2600">
        <v>0.37031330000000001</v>
      </c>
      <c r="F2600" t="s">
        <v>42</v>
      </c>
      <c r="G2600">
        <v>-477.87279999999998</v>
      </c>
      <c r="H2600">
        <v>1.0310269999999999</v>
      </c>
      <c r="I2600">
        <v>282.363</v>
      </c>
      <c r="J2600">
        <v>-477.5872</v>
      </c>
      <c r="K2600">
        <v>1.126992</v>
      </c>
      <c r="L2600">
        <v>283.06959999999998</v>
      </c>
      <c r="M2600">
        <v>-0.94629229999999998</v>
      </c>
      <c r="N2600">
        <v>-1.2184459999999999E-2</v>
      </c>
      <c r="O2600">
        <v>-0.32308300000000001</v>
      </c>
      <c r="P2600">
        <v>-0.77460830000000003</v>
      </c>
      <c r="Q2600">
        <v>0.1242945</v>
      </c>
      <c r="R2600">
        <v>-0.62010699999999996</v>
      </c>
      <c r="S2600">
        <v>-1.7878719999999999</v>
      </c>
      <c r="T2600">
        <v>-0.32244339999999999</v>
      </c>
      <c r="U2600">
        <v>-2.6875309999999999</v>
      </c>
      <c r="V2600">
        <v>-0.33864919999999998</v>
      </c>
      <c r="W2600">
        <v>0.13036880000000001</v>
      </c>
      <c r="X2600">
        <v>0.93183729999999998</v>
      </c>
      <c r="Y2600">
        <v>-0.60698739999999995</v>
      </c>
      <c r="Z2600">
        <v>-7.5397659999999998E-3</v>
      </c>
      <c r="AA2600">
        <v>0.79467559999999904</v>
      </c>
      <c r="AB2600">
        <v>27</v>
      </c>
      <c r="AC2600">
        <v>-0.28559999999998797</v>
      </c>
      <c r="AD2600">
        <v>-9.59649999999998E-2</v>
      </c>
      <c r="AE2600">
        <v>-0.70659999999998002</v>
      </c>
      <c r="AF2600">
        <v>-0.56742396603456902</v>
      </c>
      <c r="AG2600">
        <v>-9.59649999999998E-2</v>
      </c>
      <c r="AH2600">
        <v>0.49080684051958401</v>
      </c>
      <c r="AI2600">
        <v>97.289250093575106</v>
      </c>
      <c r="AJ2600">
        <v>139.14105461274099</v>
      </c>
      <c r="AK2600">
        <v>0.75635348426262705</v>
      </c>
      <c r="AL2600">
        <v>82.509095849900405</v>
      </c>
      <c r="AM2600">
        <v>109.97220508437</v>
      </c>
      <c r="AN2600">
        <v>1.00000002917268</v>
      </c>
    </row>
    <row r="2601" spans="1:40" x14ac:dyDescent="0.25">
      <c r="A2601" t="str">
        <f>"20190303162306133"</f>
        <v>20190303162306133</v>
      </c>
      <c r="B2601" t="str">
        <f>"1551601386127677"</f>
        <v>1551601386127677</v>
      </c>
      <c r="C2601" t="s">
        <v>40</v>
      </c>
      <c r="D2601">
        <v>5.0288059999999897</v>
      </c>
      <c r="E2601">
        <v>0.37015439999999999</v>
      </c>
      <c r="F2601" t="s">
        <v>42</v>
      </c>
      <c r="G2601">
        <v>-478.09620000000001</v>
      </c>
      <c r="H2601">
        <v>1.0336939999999999</v>
      </c>
      <c r="I2601">
        <v>282.2901</v>
      </c>
      <c r="J2601">
        <v>-477.73930000000001</v>
      </c>
      <c r="K2601">
        <v>1.12714</v>
      </c>
      <c r="L2601">
        <v>283.01150000000001</v>
      </c>
      <c r="M2601">
        <v>-0.94441819999999999</v>
      </c>
      <c r="N2601">
        <v>-1.220502E-2</v>
      </c>
      <c r="O2601">
        <v>-0.32851970000000003</v>
      </c>
      <c r="P2601">
        <v>-0.77003199999999905</v>
      </c>
      <c r="Q2601">
        <v>0.12399789999999999</v>
      </c>
      <c r="R2601">
        <v>-0.62583959999999905</v>
      </c>
      <c r="S2601">
        <v>-1.762848</v>
      </c>
      <c r="T2601">
        <v>-0.32318560000000002</v>
      </c>
      <c r="U2601">
        <v>-2.7005309999999998</v>
      </c>
      <c r="V2601">
        <v>-0.3402347</v>
      </c>
      <c r="W2601">
        <v>0.12993950000000001</v>
      </c>
      <c r="X2601">
        <v>0.93131949999999997</v>
      </c>
      <c r="Y2601">
        <v>-0.60931880000000005</v>
      </c>
      <c r="Z2601">
        <v>-7.1768609999999997E-3</v>
      </c>
      <c r="AA2601">
        <v>0.79289290000000001</v>
      </c>
      <c r="AB2601">
        <v>27</v>
      </c>
      <c r="AC2601">
        <v>-0.356899999999996</v>
      </c>
      <c r="AD2601">
        <v>-9.3445999999999904E-2</v>
      </c>
      <c r="AE2601">
        <v>-0.72140000000001603</v>
      </c>
      <c r="AF2601">
        <v>-0.55659388076499094</v>
      </c>
      <c r="AG2601">
        <v>-9.3445999999999904E-2</v>
      </c>
      <c r="AH2601">
        <v>0.56646393857702704</v>
      </c>
      <c r="AI2601">
        <v>96.710996600341502</v>
      </c>
      <c r="AJ2601">
        <v>134.496465731961</v>
      </c>
      <c r="AK2601">
        <v>0.79963135051674294</v>
      </c>
      <c r="AL2601">
        <v>82.533903490932005</v>
      </c>
      <c r="AM2601">
        <v>110.068534313444</v>
      </c>
      <c r="AN2601">
        <v>0.99999996791229395</v>
      </c>
    </row>
    <row r="2602" spans="1:40" x14ac:dyDescent="0.25">
      <c r="A2602" t="str">
        <f>"20190303162306146"</f>
        <v>20190303162306146</v>
      </c>
      <c r="B2602" t="str">
        <f>"1551601386137436"</f>
        <v>1551601386137436</v>
      </c>
      <c r="C2602" t="s">
        <v>40</v>
      </c>
      <c r="D2602">
        <v>5.0651400000000004</v>
      </c>
      <c r="E2602">
        <v>0.36999720000000003</v>
      </c>
      <c r="F2602" t="s">
        <v>46</v>
      </c>
      <c r="G2602">
        <v>-483.7826</v>
      </c>
      <c r="H2602" s="1">
        <v>8.5962610000000002E-7</v>
      </c>
      <c r="I2602">
        <v>273.59739999999999</v>
      </c>
      <c r="J2602">
        <v>-477.87290000000002</v>
      </c>
      <c r="K2602">
        <v>1.127265</v>
      </c>
      <c r="L2602">
        <v>282.9597</v>
      </c>
      <c r="M2602">
        <v>-0.9427162</v>
      </c>
      <c r="N2602">
        <v>-1.2223670000000001E-2</v>
      </c>
      <c r="O2602">
        <v>-0.3333719</v>
      </c>
      <c r="P2602">
        <v>-0.76571959999999994</v>
      </c>
      <c r="Q2602">
        <v>0.1239576</v>
      </c>
      <c r="R2602">
        <v>-0.63111660000000003</v>
      </c>
      <c r="S2602">
        <v>-1.7423709999999999</v>
      </c>
      <c r="T2602">
        <v>-0.32496960000000003</v>
      </c>
      <c r="U2602">
        <v>-2.7142029999999999</v>
      </c>
      <c r="V2602">
        <v>-0.34188659999999998</v>
      </c>
      <c r="W2602">
        <v>0.12977359999999999</v>
      </c>
      <c r="X2602">
        <v>0.93073760000000005</v>
      </c>
      <c r="Y2602">
        <v>-0.61128070000000001</v>
      </c>
      <c r="Z2602">
        <v>-6.8378500000000004E-3</v>
      </c>
      <c r="AA2602">
        <v>0.79138439999999999</v>
      </c>
      <c r="AB2602">
        <v>27</v>
      </c>
      <c r="AC2602">
        <v>-5.9096999999999804</v>
      </c>
      <c r="AD2602">
        <v>-1.1272641403739001</v>
      </c>
      <c r="AE2602">
        <v>-9.3622999999999994</v>
      </c>
      <c r="AF2602">
        <v>-6.7860270699906904</v>
      </c>
      <c r="AG2602">
        <v>-1.1272641403739001</v>
      </c>
      <c r="AH2602">
        <v>8.6037540408851392</v>
      </c>
      <c r="AI2602">
        <v>95.873506455123703</v>
      </c>
      <c r="AJ2602">
        <v>128.263855543425</v>
      </c>
      <c r="AK2602">
        <v>11.015692054195499</v>
      </c>
      <c r="AL2602">
        <v>82.543490702518199</v>
      </c>
      <c r="AM2602">
        <v>110.169730880759</v>
      </c>
      <c r="AN2602">
        <v>1.00000005728513</v>
      </c>
    </row>
    <row r="2603" spans="1:40" x14ac:dyDescent="0.25">
      <c r="A2603" t="str">
        <f>"20190303162306163"</f>
        <v>20190303162306163</v>
      </c>
      <c r="B2603" t="str">
        <f>"1551601386156956"</f>
        <v>1551601386156956</v>
      </c>
      <c r="C2603" t="s">
        <v>40</v>
      </c>
      <c r="D2603">
        <v>5.0607519999999999</v>
      </c>
      <c r="E2603">
        <v>0.36943510000000002</v>
      </c>
      <c r="F2603" t="s">
        <v>46</v>
      </c>
      <c r="G2603">
        <v>-483.81650000000002</v>
      </c>
      <c r="H2603" s="1">
        <v>8.4704040000000001E-7</v>
      </c>
      <c r="I2603">
        <v>273.55329999999998</v>
      </c>
      <c r="J2603">
        <v>-478.07420000000002</v>
      </c>
      <c r="K2603">
        <v>1.127472</v>
      </c>
      <c r="L2603">
        <v>282.87990000000002</v>
      </c>
      <c r="M2603">
        <v>-0.94002490000000005</v>
      </c>
      <c r="N2603">
        <v>-1.2254940000000001E-2</v>
      </c>
      <c r="O2603">
        <v>-0.34088580000000002</v>
      </c>
      <c r="P2603">
        <v>-0.75879700000000005</v>
      </c>
      <c r="Q2603">
        <v>0.124309199999999</v>
      </c>
      <c r="R2603">
        <v>-0.6393548</v>
      </c>
      <c r="S2603">
        <v>-1.7231449999999999</v>
      </c>
      <c r="T2603">
        <v>-0.32681070000000001</v>
      </c>
      <c r="U2603">
        <v>-2.7270509999999999</v>
      </c>
      <c r="V2603">
        <v>-0.34460990000000002</v>
      </c>
      <c r="W2603">
        <v>0.1299254</v>
      </c>
      <c r="X2603">
        <v>0.92971150000000002</v>
      </c>
      <c r="Y2603">
        <v>-0.61065259999999999</v>
      </c>
      <c r="Z2603">
        <v>-6.0326119999999997E-3</v>
      </c>
      <c r="AA2603">
        <v>0.79187569999999996</v>
      </c>
      <c r="AB2603">
        <v>27</v>
      </c>
      <c r="AC2603">
        <v>-5.7423000000000002</v>
      </c>
      <c r="AD2603">
        <v>-1.1274711529596</v>
      </c>
      <c r="AE2603">
        <v>-9.32660000000004</v>
      </c>
      <c r="AF2603">
        <v>-6.7388679973543999</v>
      </c>
      <c r="AG2603">
        <v>-1.1274711529596</v>
      </c>
      <c r="AH2603">
        <v>8.4879090988935708</v>
      </c>
      <c r="AI2603">
        <v>95.939218329549405</v>
      </c>
      <c r="AJ2603">
        <v>128.447373250971</v>
      </c>
      <c r="AK2603">
        <v>10.8962440298299</v>
      </c>
      <c r="AL2603">
        <v>82.534718757016293</v>
      </c>
      <c r="AM2603">
        <v>110.337892720914</v>
      </c>
      <c r="AN2603">
        <v>1.0000000329876999</v>
      </c>
    </row>
    <row r="2604" spans="1:40" x14ac:dyDescent="0.25">
      <c r="A2604" t="str">
        <f>"20190303162306176"</f>
        <v>20190303162306176</v>
      </c>
      <c r="B2604" t="str">
        <f>"1551601386167692"</f>
        <v>1551601386167692</v>
      </c>
      <c r="C2604" t="s">
        <v>40</v>
      </c>
      <c r="D2604">
        <v>5.063396</v>
      </c>
      <c r="E2604">
        <v>0.36920750000000002</v>
      </c>
      <c r="F2604" t="s">
        <v>46</v>
      </c>
      <c r="G2604">
        <v>-483.90940000000001</v>
      </c>
      <c r="H2604" s="1">
        <v>7.9772109999999999E-7</v>
      </c>
      <c r="I2604">
        <v>273.39049999999997</v>
      </c>
      <c r="J2604">
        <v>-478.21629999999999</v>
      </c>
      <c r="K2604">
        <v>1.1276200000000001</v>
      </c>
      <c r="L2604">
        <v>282.82190000000003</v>
      </c>
      <c r="M2604">
        <v>-0.93802269999999999</v>
      </c>
      <c r="N2604">
        <v>-1.2279399999999999E-2</v>
      </c>
      <c r="O2604">
        <v>-0.34635630000000001</v>
      </c>
      <c r="P2604">
        <v>-0.75454549999999998</v>
      </c>
      <c r="Q2604">
        <v>0.1252501</v>
      </c>
      <c r="R2604">
        <v>-0.6441846</v>
      </c>
      <c r="S2604">
        <v>-1.6906129999999999</v>
      </c>
      <c r="T2604">
        <v>-0.3266559</v>
      </c>
      <c r="U2604">
        <v>-2.749298</v>
      </c>
      <c r="V2604">
        <v>-0.34524440000000001</v>
      </c>
      <c r="W2604">
        <v>0.1307527</v>
      </c>
      <c r="X2604">
        <v>0.92935999999999996</v>
      </c>
      <c r="Y2604">
        <v>-0.61568129999999999</v>
      </c>
      <c r="Z2604">
        <v>-5.8660319999999898E-3</v>
      </c>
      <c r="AA2604">
        <v>0.78797340000000005</v>
      </c>
      <c r="AB2604">
        <v>27</v>
      </c>
      <c r="AC2604">
        <v>-5.69310000000001</v>
      </c>
      <c r="AD2604">
        <v>-1.12761920227889</v>
      </c>
      <c r="AE2604">
        <v>-9.4314000000000497</v>
      </c>
      <c r="AF2604">
        <v>-6.8042557850152896</v>
      </c>
      <c r="AG2604">
        <v>-1.12761920227889</v>
      </c>
      <c r="AH2604">
        <v>8.5182839314096999</v>
      </c>
      <c r="AI2604">
        <v>95.905102319707396</v>
      </c>
      <c r="AJ2604">
        <v>128.61724642137</v>
      </c>
      <c r="AK2604">
        <v>10.960409800248099</v>
      </c>
      <c r="AL2604">
        <v>82.486909778419601</v>
      </c>
      <c r="AM2604">
        <v>110.379335930742</v>
      </c>
      <c r="AN2604">
        <v>0.99999998694432402</v>
      </c>
    </row>
    <row r="2605" spans="1:40" x14ac:dyDescent="0.25">
      <c r="A2605" t="str">
        <f>"20190303162306191"</f>
        <v>20190303162306191</v>
      </c>
      <c r="B2605" t="str">
        <f>"1551601386177453"</f>
        <v>1551601386177453</v>
      </c>
      <c r="C2605" t="s">
        <v>40</v>
      </c>
      <c r="D2605">
        <v>5.1481830000000004</v>
      </c>
      <c r="E2605">
        <v>0.36921850000000001</v>
      </c>
      <c r="F2605" t="s">
        <v>42</v>
      </c>
      <c r="G2605">
        <v>-478.71870000000001</v>
      </c>
      <c r="H2605">
        <v>1.030238</v>
      </c>
      <c r="I2605">
        <v>281.99189999999999</v>
      </c>
      <c r="J2605">
        <v>-478.36419999999998</v>
      </c>
      <c r="K2605">
        <v>1.127769</v>
      </c>
      <c r="L2605">
        <v>282.76069999999999</v>
      </c>
      <c r="M2605">
        <v>-0.93586420000000003</v>
      </c>
      <c r="N2605">
        <v>-1.2305200000000001E-2</v>
      </c>
      <c r="O2605">
        <v>-0.35214649999999997</v>
      </c>
      <c r="P2605">
        <v>-0.7502875</v>
      </c>
      <c r="Q2605">
        <v>0.1266804</v>
      </c>
      <c r="R2605">
        <v>-0.64886119999999903</v>
      </c>
      <c r="S2605">
        <v>-1.67147799999999</v>
      </c>
      <c r="T2605">
        <v>-0.32400630000000002</v>
      </c>
      <c r="U2605">
        <v>-2.7622070000000001</v>
      </c>
      <c r="V2605">
        <v>-0.34543359999999901</v>
      </c>
      <c r="W2605">
        <v>0.13207720000000001</v>
      </c>
      <c r="X2605">
        <v>0.92910239999999999</v>
      </c>
      <c r="Y2605">
        <v>-0.6164849</v>
      </c>
      <c r="Z2605">
        <v>-5.3706450000000003E-3</v>
      </c>
      <c r="AA2605">
        <v>0.78734839999999995</v>
      </c>
      <c r="AB2605">
        <v>27</v>
      </c>
      <c r="AC2605">
        <v>-0.35450000000003001</v>
      </c>
      <c r="AD2605">
        <v>-9.7531000000000007E-2</v>
      </c>
      <c r="AE2605">
        <v>-0.76879999999999804</v>
      </c>
      <c r="AF2605">
        <v>-0.58691193143547404</v>
      </c>
      <c r="AG2605">
        <v>-9.7531000000000007E-2</v>
      </c>
      <c r="AH2605">
        <v>0.59464748321031302</v>
      </c>
      <c r="AI2605">
        <v>96.658161777144201</v>
      </c>
      <c r="AJ2605">
        <v>134.62489559878699</v>
      </c>
      <c r="AK2605">
        <v>0.84117985027619302</v>
      </c>
      <c r="AL2605">
        <v>82.410357817188697</v>
      </c>
      <c r="AM2605">
        <v>110.39477272571401</v>
      </c>
      <c r="AN2605">
        <v>1.00000001422728</v>
      </c>
    </row>
    <row r="2606" spans="1:40" x14ac:dyDescent="0.25">
      <c r="A2606" t="str">
        <f>"20190303162306203"</f>
        <v>20190303162306203</v>
      </c>
      <c r="B2606" t="str">
        <f>"1551601386196973"</f>
        <v>1551601386196973</v>
      </c>
      <c r="C2606" t="s">
        <v>40</v>
      </c>
      <c r="D2606">
        <v>5.1400819999999996</v>
      </c>
      <c r="E2606">
        <v>0.36916559999999998</v>
      </c>
      <c r="F2606" t="s">
        <v>46</v>
      </c>
      <c r="G2606">
        <v>-484.17750000000001</v>
      </c>
      <c r="H2606" s="1">
        <v>6.8749029999999995E-7</v>
      </c>
      <c r="I2606">
        <v>273.01139999999998</v>
      </c>
      <c r="J2606">
        <v>-478.51260000000002</v>
      </c>
      <c r="K2606">
        <v>1.1279189999999999</v>
      </c>
      <c r="L2606">
        <v>282.69819999999999</v>
      </c>
      <c r="M2606">
        <v>-0.93362270000000003</v>
      </c>
      <c r="N2606">
        <v>-1.233121E-2</v>
      </c>
      <c r="O2606">
        <v>-0.35804550000000002</v>
      </c>
      <c r="P2606">
        <v>-0.74594380000000005</v>
      </c>
      <c r="Q2606">
        <v>0.1283581</v>
      </c>
      <c r="R2606">
        <v>-0.65352270000000001</v>
      </c>
      <c r="S2606">
        <v>-1.6538999999999999</v>
      </c>
      <c r="T2606">
        <v>-0.32085259999999999</v>
      </c>
      <c r="U2606">
        <v>-2.773682</v>
      </c>
      <c r="V2606">
        <v>-0.34553800000000001</v>
      </c>
      <c r="W2606">
        <v>0.13365239999999901</v>
      </c>
      <c r="X2606">
        <v>0.92883830000000001</v>
      </c>
      <c r="Y2606">
        <v>-0.6166838</v>
      </c>
      <c r="Z2606">
        <v>-4.8334279999999999E-3</v>
      </c>
      <c r="AA2606">
        <v>0.78719609999999995</v>
      </c>
      <c r="AB2606">
        <v>27</v>
      </c>
      <c r="AC2606">
        <v>-5.6648999999999798</v>
      </c>
      <c r="AD2606">
        <v>-1.1279183125096901</v>
      </c>
      <c r="AE2606">
        <v>-9.6867999999999999</v>
      </c>
      <c r="AF2606">
        <v>-6.9458848802526099</v>
      </c>
      <c r="AG2606">
        <v>-1.1279183125096901</v>
      </c>
      <c r="AH2606">
        <v>8.6702661749410197</v>
      </c>
      <c r="AI2606">
        <v>95.797275684111895</v>
      </c>
      <c r="AJ2606">
        <v>128.69875970437201</v>
      </c>
      <c r="AK2606">
        <v>11.166513871112199</v>
      </c>
      <c r="AL2606">
        <v>82.319298303205301</v>
      </c>
      <c r="AM2606">
        <v>110.405751165472</v>
      </c>
      <c r="AN2606">
        <v>1.0000000305083201</v>
      </c>
    </row>
    <row r="2607" spans="1:40" x14ac:dyDescent="0.25">
      <c r="A2607" t="str">
        <f>"20190303162306217"</f>
        <v>20190303162306217</v>
      </c>
      <c r="B2607" t="str">
        <f>"1551601386207708"</f>
        <v>1551601386207708</v>
      </c>
      <c r="C2607" t="s">
        <v>40</v>
      </c>
      <c r="D2607">
        <v>5.1332199999999997</v>
      </c>
      <c r="E2607">
        <v>0.36914409999999998</v>
      </c>
      <c r="F2607" t="s">
        <v>46</v>
      </c>
      <c r="G2607">
        <v>-484.33699999999999</v>
      </c>
      <c r="H2607" s="1">
        <v>6.2366619999999995E-7</v>
      </c>
      <c r="I2607">
        <v>272.79079999999999</v>
      </c>
      <c r="J2607">
        <v>-478.65989999999999</v>
      </c>
      <c r="K2607">
        <v>1.128072</v>
      </c>
      <c r="L2607">
        <v>282.63459999999998</v>
      </c>
      <c r="M2607">
        <v>-0.93128809999999995</v>
      </c>
      <c r="N2607">
        <v>-1.235876E-2</v>
      </c>
      <c r="O2607">
        <v>-0.3640738</v>
      </c>
      <c r="P2607">
        <v>-0.74174640000000003</v>
      </c>
      <c r="Q2607">
        <v>0.1294495</v>
      </c>
      <c r="R2607">
        <v>-0.65806909999999996</v>
      </c>
      <c r="S2607">
        <v>-1.636871</v>
      </c>
      <c r="T2607">
        <v>-0.31698850000000001</v>
      </c>
      <c r="U2607">
        <v>-2.7843629999999999</v>
      </c>
      <c r="V2607">
        <v>-0.34534609999999999</v>
      </c>
      <c r="W2607">
        <v>0.1346504</v>
      </c>
      <c r="X2607">
        <v>0.92876550000000002</v>
      </c>
      <c r="Y2607">
        <v>-0.61655309999999997</v>
      </c>
      <c r="Z2607">
        <v>-4.2807349999999999E-3</v>
      </c>
      <c r="AA2607">
        <v>0.78730169999999999</v>
      </c>
      <c r="AB2607">
        <v>27</v>
      </c>
      <c r="AC2607">
        <v>-5.6770999999999896</v>
      </c>
      <c r="AD2607">
        <v>-1.1280713763337999</v>
      </c>
      <c r="AE2607">
        <v>-9.8437999999999803</v>
      </c>
      <c r="AF2607">
        <v>-7.0317762351554096</v>
      </c>
      <c r="AG2607">
        <v>-1.1280713763337999</v>
      </c>
      <c r="AH2607">
        <v>8.7849888651135295</v>
      </c>
      <c r="AI2607">
        <v>95.724745766983901</v>
      </c>
      <c r="AJ2607">
        <v>128.67485797992501</v>
      </c>
      <c r="AK2607">
        <v>11.3090429043119</v>
      </c>
      <c r="AL2607">
        <v>82.261595343390994</v>
      </c>
      <c r="AM2607">
        <v>110.39681906804</v>
      </c>
      <c r="AN2607">
        <v>1.0000000064978101</v>
      </c>
    </row>
    <row r="2608" spans="1:40" x14ac:dyDescent="0.25">
      <c r="A2608" t="str">
        <f>"20190303162306232"</f>
        <v>20190303162306232</v>
      </c>
      <c r="B2608" t="str">
        <f>"1551601386217469"</f>
        <v>1551601386217469</v>
      </c>
      <c r="C2608" t="s">
        <v>40</v>
      </c>
      <c r="D2608">
        <v>5.1628930000000004</v>
      </c>
      <c r="E2608">
        <v>0.36912610000000001</v>
      </c>
      <c r="F2608" t="s">
        <v>42</v>
      </c>
      <c r="G2608">
        <v>-479.1413</v>
      </c>
      <c r="H2608">
        <v>1.0346550000000001</v>
      </c>
      <c r="I2608">
        <v>281.80450000000002</v>
      </c>
      <c r="J2608">
        <v>-478.80860000000001</v>
      </c>
      <c r="K2608">
        <v>1.128217</v>
      </c>
      <c r="L2608">
        <v>282.56920000000002</v>
      </c>
      <c r="M2608">
        <v>-0.92883959999999999</v>
      </c>
      <c r="N2608">
        <v>-1.2387560000000001E-2</v>
      </c>
      <c r="O2608">
        <v>-0.37027529999999997</v>
      </c>
      <c r="P2608">
        <v>-0.73759830000000004</v>
      </c>
      <c r="Q2608">
        <v>0.1307373</v>
      </c>
      <c r="R2608">
        <v>-0.66246269999999996</v>
      </c>
      <c r="S2608">
        <v>-1.61972</v>
      </c>
      <c r="T2608">
        <v>-0.31434000000000001</v>
      </c>
      <c r="U2608">
        <v>-2.7949220000000001</v>
      </c>
      <c r="V2608">
        <v>-0.34482400000000002</v>
      </c>
      <c r="W2608">
        <v>0.13585329999999901</v>
      </c>
      <c r="X2608">
        <v>0.92878430000000001</v>
      </c>
      <c r="Y2608">
        <v>-0.61626040000000004</v>
      </c>
      <c r="Z2608">
        <v>-3.6965520000000001E-3</v>
      </c>
      <c r="AA2608">
        <v>0.78753379999999995</v>
      </c>
      <c r="AB2608">
        <v>27</v>
      </c>
      <c r="AC2608">
        <v>-0.33269999999998801</v>
      </c>
      <c r="AD2608">
        <v>-9.3562000000000103E-2</v>
      </c>
      <c r="AE2608">
        <v>-0.76470000000000404</v>
      </c>
      <c r="AF2608">
        <v>-0.57983946103899098</v>
      </c>
      <c r="AG2608">
        <v>-9.3562000000000103E-2</v>
      </c>
      <c r="AH2608">
        <v>0.58485808680664297</v>
      </c>
      <c r="AI2608">
        <v>96.481297457467207</v>
      </c>
      <c r="AJ2608">
        <v>134.753116767211</v>
      </c>
      <c r="AK2608">
        <v>0.82887069566073701</v>
      </c>
      <c r="AL2608">
        <v>82.192034968462707</v>
      </c>
      <c r="AM2608">
        <v>110.368139211802</v>
      </c>
      <c r="AN2608">
        <v>0.99999999301168996</v>
      </c>
    </row>
    <row r="2609" spans="1:40" x14ac:dyDescent="0.25">
      <c r="A2609" t="str">
        <f>"20190303162306246"</f>
        <v>20190303162306246</v>
      </c>
      <c r="B2609" t="str">
        <f>"1551601386236989"</f>
        <v>1551601386236989</v>
      </c>
      <c r="C2609" t="s">
        <v>40</v>
      </c>
      <c r="D2609">
        <v>5.1689790000000002</v>
      </c>
      <c r="E2609">
        <v>0.36913760000000001</v>
      </c>
      <c r="F2609" t="s">
        <v>46</v>
      </c>
      <c r="G2609">
        <v>-484.61619999999999</v>
      </c>
      <c r="H2609" s="1">
        <v>5.1368450000000005E-7</v>
      </c>
      <c r="I2609">
        <v>272.40969999999999</v>
      </c>
      <c r="J2609">
        <v>-478.96769999999998</v>
      </c>
      <c r="K2609">
        <v>1.1283810000000001</v>
      </c>
      <c r="L2609">
        <v>282.49810000000002</v>
      </c>
      <c r="M2609">
        <v>-0.92612050000000001</v>
      </c>
      <c r="N2609">
        <v>-1.241924E-2</v>
      </c>
      <c r="O2609">
        <v>-0.37702350000000001</v>
      </c>
      <c r="P2609">
        <v>-0.73331550000000001</v>
      </c>
      <c r="Q2609">
        <v>0.1304747</v>
      </c>
      <c r="R2609">
        <v>-0.6672517</v>
      </c>
      <c r="S2609">
        <v>-1.6033630000000001</v>
      </c>
      <c r="T2609">
        <v>-0.31147599999999998</v>
      </c>
      <c r="U2609">
        <v>-2.80484</v>
      </c>
      <c r="V2609">
        <v>-0.34414280000000003</v>
      </c>
      <c r="W2609">
        <v>0.13550599999999999</v>
      </c>
      <c r="X2609">
        <v>0.92908760000000001</v>
      </c>
      <c r="Y2609">
        <v>-0.61524820000000002</v>
      </c>
      <c r="Z2609">
        <v>-3.0232050000000002E-3</v>
      </c>
      <c r="AA2609">
        <v>0.78832769999999996</v>
      </c>
      <c r="AB2609">
        <v>27</v>
      </c>
      <c r="AC2609">
        <v>-5.6485000000000101</v>
      </c>
      <c r="AD2609">
        <v>-1.12838048631549</v>
      </c>
      <c r="AE2609">
        <v>-10.0884</v>
      </c>
      <c r="AF2609">
        <v>-7.1459513618912798</v>
      </c>
      <c r="AG2609">
        <v>-1.12838048631549</v>
      </c>
      <c r="AH2609">
        <v>8.9502058725657605</v>
      </c>
      <c r="AI2609">
        <v>95.626784536058594</v>
      </c>
      <c r="AJ2609">
        <v>128.60428457819799</v>
      </c>
      <c r="AK2609">
        <v>11.5084338009011</v>
      </c>
      <c r="AL2609">
        <v>82.212119226822594</v>
      </c>
      <c r="AM2609">
        <v>110.325104346488</v>
      </c>
      <c r="AN2609">
        <v>0.99999995565079902</v>
      </c>
    </row>
    <row r="2610" spans="1:40" x14ac:dyDescent="0.25">
      <c r="A2610" t="str">
        <f>"20190303162306264"</f>
        <v>20190303162306264</v>
      </c>
      <c r="B2610" t="str">
        <f>"1551601386257485"</f>
        <v>1551601386257485</v>
      </c>
      <c r="C2610" t="s">
        <v>40</v>
      </c>
      <c r="D2610">
        <v>5.1859380000000002</v>
      </c>
      <c r="E2610">
        <v>0.36910169999999998</v>
      </c>
      <c r="F2610" t="s">
        <v>46</v>
      </c>
      <c r="G2610">
        <v>-484.68389999999999</v>
      </c>
      <c r="H2610" s="1">
        <v>4.977077E-7</v>
      </c>
      <c r="I2610">
        <v>272.34750000000003</v>
      </c>
      <c r="J2610">
        <v>-479.15539999999999</v>
      </c>
      <c r="K2610">
        <v>1.128566</v>
      </c>
      <c r="L2610">
        <v>282.41199999999998</v>
      </c>
      <c r="M2610">
        <v>-0.92275879999999999</v>
      </c>
      <c r="N2610">
        <v>-1.2459049999999999E-2</v>
      </c>
      <c r="O2610">
        <v>-0.38517659999999998</v>
      </c>
      <c r="P2610">
        <v>-0.72793069999999904</v>
      </c>
      <c r="Q2610">
        <v>0.13014609999999999</v>
      </c>
      <c r="R2610">
        <v>-0.67318559999999905</v>
      </c>
      <c r="S2610">
        <v>-1.5852660000000001</v>
      </c>
      <c r="T2610">
        <v>-0.3129305</v>
      </c>
      <c r="U2610">
        <v>-2.8150330000000001</v>
      </c>
      <c r="V2610">
        <v>-0.34352700000000003</v>
      </c>
      <c r="W2610">
        <v>0.13507520000000001</v>
      </c>
      <c r="X2610">
        <v>0.92937829999999999</v>
      </c>
      <c r="Y2610">
        <v>-0.61338879999999996</v>
      </c>
      <c r="Z2610">
        <v>-2.078852E-3</v>
      </c>
      <c r="AA2610">
        <v>0.78977839999999999</v>
      </c>
      <c r="AB2610">
        <v>27</v>
      </c>
      <c r="AC2610">
        <v>-5.5285000000000002</v>
      </c>
      <c r="AD2610">
        <v>-1.1285655022923</v>
      </c>
      <c r="AE2610">
        <v>-10.064500000000001</v>
      </c>
      <c r="AF2610">
        <v>-7.0897307385841097</v>
      </c>
      <c r="AG2610">
        <v>-1.1285655022923</v>
      </c>
      <c r="AH2610">
        <v>8.8928796620410697</v>
      </c>
      <c r="AI2610">
        <v>95.666968606667893</v>
      </c>
      <c r="AJ2610">
        <v>128.56314091478399</v>
      </c>
      <c r="AK2610">
        <v>11.4289654265874</v>
      </c>
      <c r="AL2610">
        <v>82.237032161763494</v>
      </c>
      <c r="AM2610">
        <v>110.28587351979</v>
      </c>
      <c r="AN2610">
        <v>1.00000006694746</v>
      </c>
    </row>
    <row r="2611" spans="1:40" x14ac:dyDescent="0.25">
      <c r="A2611" t="str">
        <f>"20190303162306280"</f>
        <v>20190303162306280</v>
      </c>
      <c r="B2611" t="str">
        <f>"1551601386267244"</f>
        <v>1551601386267244</v>
      </c>
      <c r="C2611" t="s">
        <v>40</v>
      </c>
      <c r="D2611">
        <v>5.2348189999999999</v>
      </c>
      <c r="E2611">
        <v>0.36910470000000001</v>
      </c>
      <c r="F2611" t="s">
        <v>46</v>
      </c>
      <c r="G2611">
        <v>-484.76830000000001</v>
      </c>
      <c r="H2611" s="1">
        <v>4.7081449999999998E-7</v>
      </c>
      <c r="I2611">
        <v>272.25020000000001</v>
      </c>
      <c r="J2611">
        <v>-479.33699999999999</v>
      </c>
      <c r="K2611">
        <v>1.1287469999999999</v>
      </c>
      <c r="L2611">
        <v>282.32639999999998</v>
      </c>
      <c r="M2611">
        <v>-0.9193384</v>
      </c>
      <c r="N2611">
        <v>-1.249956E-2</v>
      </c>
      <c r="O2611">
        <v>-0.39326939999999999</v>
      </c>
      <c r="P2611">
        <v>-0.72333570000000003</v>
      </c>
      <c r="Q2611">
        <v>0.12907179999999999</v>
      </c>
      <c r="R2611">
        <v>-0.67832619999999999</v>
      </c>
      <c r="S2611">
        <v>-1.562073</v>
      </c>
      <c r="T2611">
        <v>-0.31408079999999999</v>
      </c>
      <c r="U2611">
        <v>-2.828033</v>
      </c>
      <c r="V2611">
        <v>-0.34190470000000001</v>
      </c>
      <c r="W2611">
        <v>0.1339331</v>
      </c>
      <c r="X2611">
        <v>0.93014140000000001</v>
      </c>
      <c r="Y2611">
        <v>-0.61297009999999996</v>
      </c>
      <c r="Z2611">
        <v>-1.240475E-3</v>
      </c>
      <c r="AA2611">
        <v>0.79010519999999995</v>
      </c>
      <c r="AB2611">
        <v>27</v>
      </c>
      <c r="AC2611">
        <v>-5.4313000000000198</v>
      </c>
      <c r="AD2611">
        <v>-1.1287465291854999</v>
      </c>
      <c r="AE2611">
        <v>-10.076199999999901</v>
      </c>
      <c r="AF2611">
        <v>-7.0593873180172002</v>
      </c>
      <c r="AG2611">
        <v>-1.1287465291854999</v>
      </c>
      <c r="AH2611">
        <v>8.8703116533926991</v>
      </c>
      <c r="AI2611">
        <v>95.686029656752893</v>
      </c>
      <c r="AJ2611">
        <v>128.51432962606901</v>
      </c>
      <c r="AK2611">
        <v>11.392604919913801</v>
      </c>
      <c r="AL2611">
        <v>82.303068936539205</v>
      </c>
      <c r="AM2611">
        <v>110.18259863146601</v>
      </c>
      <c r="AN2611">
        <v>0.99999996157582904</v>
      </c>
    </row>
    <row r="2612" spans="1:40" x14ac:dyDescent="0.25">
      <c r="A2612" t="str">
        <f>"20190303162306299"</f>
        <v>20190303162306299</v>
      </c>
      <c r="B2612" t="str">
        <f>"1551601386286765"</f>
        <v>1551601386286765</v>
      </c>
      <c r="C2612" t="s">
        <v>40</v>
      </c>
      <c r="D2612">
        <v>5.1479739999999996</v>
      </c>
      <c r="E2612">
        <v>0.36899369999999998</v>
      </c>
      <c r="F2612" t="s">
        <v>42</v>
      </c>
      <c r="G2612">
        <v>-479.77530000000002</v>
      </c>
      <c r="H2612">
        <v>1.0379929999999999</v>
      </c>
      <c r="I2612">
        <v>281.52010000000001</v>
      </c>
      <c r="J2612">
        <v>-479.53109999999998</v>
      </c>
      <c r="K2612">
        <v>1.128925</v>
      </c>
      <c r="L2612">
        <v>282.23250000000002</v>
      </c>
      <c r="M2612">
        <v>-0.91550969999999998</v>
      </c>
      <c r="N2612">
        <v>-1.254283E-2</v>
      </c>
      <c r="O2612">
        <v>-0.40210040000000002</v>
      </c>
      <c r="P2612">
        <v>-0.71781139999999999</v>
      </c>
      <c r="Q2612">
        <v>0.1278234</v>
      </c>
      <c r="R2612">
        <v>-0.6844036</v>
      </c>
      <c r="S2612">
        <v>-1.5433349999999999</v>
      </c>
      <c r="T2612">
        <v>-0.31956820000000002</v>
      </c>
      <c r="U2612">
        <v>-2.8377080000000001</v>
      </c>
      <c r="V2612">
        <v>-0.34073940000000003</v>
      </c>
      <c r="W2612">
        <v>0.132607</v>
      </c>
      <c r="X2612">
        <v>0.9307588</v>
      </c>
      <c r="Y2612">
        <v>-0.61051739999999999</v>
      </c>
      <c r="Z2612" s="1">
        <v>-5.3813680000000001E-5</v>
      </c>
      <c r="AA2612">
        <v>0.79200289999999995</v>
      </c>
      <c r="AB2612">
        <v>27</v>
      </c>
      <c r="AC2612">
        <v>-0.244200000000034</v>
      </c>
      <c r="AD2612">
        <v>-9.0931999999999999E-2</v>
      </c>
      <c r="AE2612">
        <v>-0.71240000000000203</v>
      </c>
      <c r="AF2612">
        <v>-0.54609801661122603</v>
      </c>
      <c r="AG2612">
        <v>-9.0931999999999999E-2</v>
      </c>
      <c r="AH2612">
        <v>0.50273437109665997</v>
      </c>
      <c r="AI2612">
        <v>96.984235080585094</v>
      </c>
      <c r="AJ2612">
        <v>137.367527611497</v>
      </c>
      <c r="AK2612">
        <v>0.74781917617340399</v>
      </c>
      <c r="AL2612">
        <v>82.379732645286595</v>
      </c>
      <c r="AM2612">
        <v>110.10705971202</v>
      </c>
      <c r="AN2612">
        <v>0.99999994946939796</v>
      </c>
    </row>
    <row r="2613" spans="1:40" x14ac:dyDescent="0.25">
      <c r="A2613" t="str">
        <f>"20190303162306320"</f>
        <v>20190303162306320</v>
      </c>
      <c r="B2613" t="str">
        <f>"1551601386317020"</f>
        <v>1551601386317020</v>
      </c>
      <c r="C2613" t="s">
        <v>40</v>
      </c>
      <c r="D2613">
        <v>5.2560659999999997</v>
      </c>
      <c r="E2613">
        <v>0.36878880000000003</v>
      </c>
      <c r="F2613" t="s">
        <v>42</v>
      </c>
      <c r="G2613">
        <v>-479.9726</v>
      </c>
      <c r="H2613">
        <v>1.034486</v>
      </c>
      <c r="I2613">
        <v>281.40460000000002</v>
      </c>
      <c r="J2613">
        <v>-479.7593</v>
      </c>
      <c r="K2613">
        <v>1.1291180000000001</v>
      </c>
      <c r="L2613">
        <v>282.11919999999998</v>
      </c>
      <c r="M2613">
        <v>-0.91077569999999997</v>
      </c>
      <c r="N2613">
        <v>-1.259305E-2</v>
      </c>
      <c r="O2613">
        <v>-0.41270950000000001</v>
      </c>
      <c r="P2613">
        <v>-0.71148820000000002</v>
      </c>
      <c r="Q2613">
        <v>0.1251592</v>
      </c>
      <c r="R2613">
        <v>-0.69146209999999997</v>
      </c>
      <c r="S2613">
        <v>-1.5189509999999999</v>
      </c>
      <c r="T2613">
        <v>-0.32494889999999998</v>
      </c>
      <c r="U2613">
        <v>-2.8509519999999999</v>
      </c>
      <c r="V2613">
        <v>-0.33893499999999999</v>
      </c>
      <c r="W2613">
        <v>0.1298705</v>
      </c>
      <c r="X2613">
        <v>0.93180289999999999</v>
      </c>
      <c r="Y2613">
        <v>-0.60812569999999999</v>
      </c>
      <c r="Z2613">
        <v>1.3461839999999901E-3</v>
      </c>
      <c r="AA2613">
        <v>0.79383959999999998</v>
      </c>
      <c r="AB2613">
        <v>27</v>
      </c>
      <c r="AC2613">
        <v>-0.21330000000000299</v>
      </c>
      <c r="AD2613">
        <v>-9.4631999999999994E-2</v>
      </c>
      <c r="AE2613">
        <v>-0.71459999999996104</v>
      </c>
      <c r="AF2613">
        <v>-0.55393444540644898</v>
      </c>
      <c r="AG2613">
        <v>-9.4631999999999994E-2</v>
      </c>
      <c r="AH2613">
        <v>0.48147662453915202</v>
      </c>
      <c r="AI2613">
        <v>97.347041589282398</v>
      </c>
      <c r="AJ2613">
        <v>139.00301907535601</v>
      </c>
      <c r="AK2613">
        <v>0.74001238179463302</v>
      </c>
      <c r="AL2613">
        <v>82.537890646609299</v>
      </c>
      <c r="AM2613">
        <v>109.98840581176501</v>
      </c>
      <c r="AN2613">
        <v>0.99999996272182901</v>
      </c>
    </row>
    <row r="2614" spans="1:40" x14ac:dyDescent="0.25">
      <c r="A2614" t="str">
        <f>"20190303162306334"</f>
        <v>20190303162306334</v>
      </c>
      <c r="B2614" t="str">
        <f>"1551601386326781"</f>
        <v>1551601386326781</v>
      </c>
      <c r="C2614" t="s">
        <v>40</v>
      </c>
      <c r="D2614">
        <v>5.2589309999999996</v>
      </c>
      <c r="E2614">
        <v>0.36882090000000001</v>
      </c>
      <c r="F2614" t="s">
        <v>42</v>
      </c>
      <c r="G2614">
        <v>-480.18209999999999</v>
      </c>
      <c r="H2614">
        <v>1.034748</v>
      </c>
      <c r="I2614">
        <v>281.30560000000003</v>
      </c>
      <c r="J2614">
        <v>-479.90010000000001</v>
      </c>
      <c r="K2614">
        <v>1.1292340000000001</v>
      </c>
      <c r="L2614">
        <v>282.04700000000003</v>
      </c>
      <c r="M2614">
        <v>-0.90770450000000003</v>
      </c>
      <c r="N2614">
        <v>-1.262476E-2</v>
      </c>
      <c r="O2614">
        <v>-0.41942020000000002</v>
      </c>
      <c r="P2614">
        <v>-0.70725469999999901</v>
      </c>
      <c r="Q2614">
        <v>0.1240101</v>
      </c>
      <c r="R2614">
        <v>-0.69599750000000005</v>
      </c>
      <c r="S2614">
        <v>-1.489471</v>
      </c>
      <c r="T2614">
        <v>-0.33243119999999998</v>
      </c>
      <c r="U2614">
        <v>-2.8661500000000002</v>
      </c>
      <c r="V2614">
        <v>-0.337945</v>
      </c>
      <c r="W2614">
        <v>0.12867709999999999</v>
      </c>
      <c r="X2614">
        <v>0.93232800000000005</v>
      </c>
      <c r="Y2614">
        <v>-0.61036509999999999</v>
      </c>
      <c r="Z2614">
        <v>2.1230860000000002E-3</v>
      </c>
      <c r="AA2614">
        <v>0.79211739999999997</v>
      </c>
      <c r="AB2614">
        <v>27</v>
      </c>
      <c r="AC2614">
        <v>-0.28199999999998199</v>
      </c>
      <c r="AD2614">
        <v>-9.4486000000000001E-2</v>
      </c>
      <c r="AE2614">
        <v>-0.74139999999999795</v>
      </c>
      <c r="AF2614">
        <v>-0.546978781605861</v>
      </c>
      <c r="AG2614">
        <v>-9.4486000000000001E-2</v>
      </c>
      <c r="AH2614">
        <v>0.55904375300957998</v>
      </c>
      <c r="AI2614">
        <v>96.888358995789304</v>
      </c>
      <c r="AJ2614">
        <v>134.37501768485001</v>
      </c>
      <c r="AK2614">
        <v>0.78780918343344397</v>
      </c>
      <c r="AL2614">
        <v>82.606846764164203</v>
      </c>
      <c r="AM2614">
        <v>109.924282472548</v>
      </c>
      <c r="AN2614">
        <v>1.0000000593367</v>
      </c>
    </row>
    <row r="2615" spans="1:40" x14ac:dyDescent="0.25">
      <c r="A2615" t="str">
        <f>"20190303162306346"</f>
        <v>20190303162306346</v>
      </c>
      <c r="B2615" t="str">
        <f>"1551601386337517"</f>
        <v>1551601386337517</v>
      </c>
      <c r="C2615" t="s">
        <v>40</v>
      </c>
      <c r="D2615">
        <v>5.284421</v>
      </c>
      <c r="E2615">
        <v>0.36885059999999997</v>
      </c>
      <c r="F2615" t="s">
        <v>46</v>
      </c>
      <c r="G2615">
        <v>-484.84910000000002</v>
      </c>
      <c r="H2615" s="1">
        <v>5.2144199999999999E-7</v>
      </c>
      <c r="I2615">
        <v>272.3732</v>
      </c>
      <c r="J2615">
        <v>-480.02859999999998</v>
      </c>
      <c r="K2615">
        <v>1.1293359999999999</v>
      </c>
      <c r="L2615">
        <v>281.9803</v>
      </c>
      <c r="M2615">
        <v>-0.90482739999999995</v>
      </c>
      <c r="N2615">
        <v>-1.265492E-2</v>
      </c>
      <c r="O2615">
        <v>-0.42559069999999999</v>
      </c>
      <c r="P2615">
        <v>-0.70327390000000001</v>
      </c>
      <c r="Q2615">
        <v>0.1228418</v>
      </c>
      <c r="R2615">
        <v>-0.70022580000000001</v>
      </c>
      <c r="S2615">
        <v>-1.4710080000000001</v>
      </c>
      <c r="T2615">
        <v>-0.33564719999999998</v>
      </c>
      <c r="U2615">
        <v>-2.875397</v>
      </c>
      <c r="V2615">
        <v>-0.33710909999999999</v>
      </c>
      <c r="W2615">
        <v>0.12747069999999999</v>
      </c>
      <c r="X2615">
        <v>0.93279619999999996</v>
      </c>
      <c r="Y2615">
        <v>-0.61003509999999905</v>
      </c>
      <c r="Z2615">
        <v>2.91121E-3</v>
      </c>
      <c r="AA2615">
        <v>0.79236909999999905</v>
      </c>
      <c r="AB2615">
        <v>27</v>
      </c>
      <c r="AC2615">
        <v>-4.8205000000000302</v>
      </c>
      <c r="AD2615">
        <v>-1.1293354785580001</v>
      </c>
      <c r="AE2615">
        <v>-9.6071000000000009</v>
      </c>
      <c r="AF2615">
        <v>-6.5692195403850597</v>
      </c>
      <c r="AG2615">
        <v>-1.1293354785580001</v>
      </c>
      <c r="AH2615">
        <v>8.3588140880383008</v>
      </c>
      <c r="AI2615">
        <v>96.063645888360696</v>
      </c>
      <c r="AJ2615">
        <v>128.16392180097199</v>
      </c>
      <c r="AK2615">
        <v>10.6911092479356</v>
      </c>
      <c r="AL2615">
        <v>82.676542202752302</v>
      </c>
      <c r="AM2615">
        <v>109.869668455951</v>
      </c>
      <c r="AN2615">
        <v>1.0000000376978599</v>
      </c>
    </row>
    <row r="2616" spans="1:40" x14ac:dyDescent="0.25">
      <c r="A2616" t="str">
        <f>"20190303162306358"</f>
        <v>20190303162306358</v>
      </c>
      <c r="B2616" t="str">
        <f>"1551601386347277"</f>
        <v>1551601386347277</v>
      </c>
      <c r="C2616" t="s">
        <v>40</v>
      </c>
      <c r="D2616">
        <v>5.2624250000000004</v>
      </c>
      <c r="E2616">
        <v>0.36889749999999999</v>
      </c>
      <c r="F2616" t="s">
        <v>46</v>
      </c>
      <c r="G2616">
        <v>-484.86739999999998</v>
      </c>
      <c r="H2616" s="1">
        <v>5.268951E-7</v>
      </c>
      <c r="I2616">
        <v>272.38400000000001</v>
      </c>
      <c r="J2616">
        <v>-480.16239999999999</v>
      </c>
      <c r="K2616">
        <v>1.129437</v>
      </c>
      <c r="L2616">
        <v>281.90940000000001</v>
      </c>
      <c r="M2616">
        <v>-0.90173099999999995</v>
      </c>
      <c r="N2616">
        <v>-1.269056E-2</v>
      </c>
      <c r="O2616">
        <v>-0.43211159999999998</v>
      </c>
      <c r="P2616">
        <v>-0.6982275</v>
      </c>
      <c r="Q2616">
        <v>0.121547</v>
      </c>
      <c r="R2616">
        <v>-0.7054821</v>
      </c>
      <c r="S2616">
        <v>-1.4539789999999999</v>
      </c>
      <c r="T2616">
        <v>-0.33934839999999999</v>
      </c>
      <c r="U2616">
        <v>-2.8835449999999998</v>
      </c>
      <c r="V2616">
        <v>-0.33728269999999999</v>
      </c>
      <c r="W2616">
        <v>0.12611649999999999</v>
      </c>
      <c r="X2616">
        <v>0.93291749999999996</v>
      </c>
      <c r="Y2616">
        <v>-0.60894689999999996</v>
      </c>
      <c r="Z2616">
        <v>3.8264839999999998E-3</v>
      </c>
      <c r="AA2616">
        <v>0.79320179999999996</v>
      </c>
      <c r="AB2616">
        <v>27</v>
      </c>
      <c r="AC2616">
        <v>-4.7049999999999796</v>
      </c>
      <c r="AD2616">
        <v>-1.1294364731049</v>
      </c>
      <c r="AE2616">
        <v>-9.5253999999999905</v>
      </c>
      <c r="AF2616">
        <v>-6.4835156782742001</v>
      </c>
      <c r="AG2616">
        <v>-1.1294364731049</v>
      </c>
      <c r="AH2616">
        <v>8.2659330231957497</v>
      </c>
      <c r="AI2616">
        <v>96.136354501108002</v>
      </c>
      <c r="AJ2616">
        <v>128.10942631025901</v>
      </c>
      <c r="AK2616">
        <v>10.565853067365801</v>
      </c>
      <c r="AL2616">
        <v>82.754763383774105</v>
      </c>
      <c r="AM2616">
        <v>109.876716975908</v>
      </c>
      <c r="AN2616">
        <v>1.00000002654889</v>
      </c>
    </row>
    <row r="2617" spans="1:40" x14ac:dyDescent="0.25">
      <c r="A2617" t="str">
        <f>"20190303162306371"</f>
        <v>20190303162306371</v>
      </c>
      <c r="B2617" t="str">
        <f>"1551601386366797"</f>
        <v>1551601386366797</v>
      </c>
      <c r="C2617" t="s">
        <v>40</v>
      </c>
      <c r="D2617">
        <v>5.3357010000000002</v>
      </c>
      <c r="E2617">
        <v>0.36893819999999999</v>
      </c>
      <c r="F2617" t="s">
        <v>42</v>
      </c>
      <c r="G2617">
        <v>-480.57650000000001</v>
      </c>
      <c r="H2617">
        <v>1.030181</v>
      </c>
      <c r="I2617">
        <v>281.07339999999999</v>
      </c>
      <c r="J2617">
        <v>-480.28550000000001</v>
      </c>
      <c r="K2617">
        <v>1.129529</v>
      </c>
      <c r="L2617">
        <v>281.84289999999999</v>
      </c>
      <c r="M2617">
        <v>-0.89879379999999998</v>
      </c>
      <c r="N2617">
        <v>-1.272673E-2</v>
      </c>
      <c r="O2617">
        <v>-0.43818689999999999</v>
      </c>
      <c r="P2617">
        <v>-0.69301020000000002</v>
      </c>
      <c r="Q2617">
        <v>0.120244</v>
      </c>
      <c r="R2617">
        <v>-0.7108295</v>
      </c>
      <c r="S2617">
        <v>-1.432831</v>
      </c>
      <c r="T2617">
        <v>-0.34348459999999997</v>
      </c>
      <c r="U2617">
        <v>-2.8935240000000002</v>
      </c>
      <c r="V2617">
        <v>-0.33806249999999999</v>
      </c>
      <c r="W2617">
        <v>0.12475070000000001</v>
      </c>
      <c r="X2617">
        <v>0.93281879999999995</v>
      </c>
      <c r="Y2617">
        <v>-0.6093248</v>
      </c>
      <c r="Z2617">
        <v>4.6195819999999997E-3</v>
      </c>
      <c r="AA2617">
        <v>0.79290719999999904</v>
      </c>
      <c r="AB2617">
        <v>27</v>
      </c>
      <c r="AC2617">
        <v>-0.29099999999999598</v>
      </c>
      <c r="AD2617">
        <v>-9.9348000000000006E-2</v>
      </c>
      <c r="AE2617">
        <v>-0.76949999999999297</v>
      </c>
      <c r="AF2617">
        <v>-0.55604623094121297</v>
      </c>
      <c r="AG2617">
        <v>-9.9348000000000006E-2</v>
      </c>
      <c r="AH2617">
        <v>0.59017569472726505</v>
      </c>
      <c r="AI2617">
        <v>96.985161853108295</v>
      </c>
      <c r="AJ2617">
        <v>133.294486786644</v>
      </c>
      <c r="AK2617">
        <v>0.81692397852844301</v>
      </c>
      <c r="AL2617">
        <v>82.833640402819796</v>
      </c>
      <c r="AM2617">
        <v>109.92100320206799</v>
      </c>
      <c r="AN2617">
        <v>0.99999995234508798</v>
      </c>
    </row>
    <row r="2618" spans="1:40" x14ac:dyDescent="0.25">
      <c r="A2618" t="str">
        <f>"20190303162306383"</f>
        <v>20190303162306383</v>
      </c>
      <c r="B2618" t="str">
        <f>"1551601386377532"</f>
        <v>1551601386377532</v>
      </c>
      <c r="C2618" t="s">
        <v>40</v>
      </c>
      <c r="D2618">
        <v>5.4221849999999998</v>
      </c>
      <c r="E2618">
        <v>0.36893819999999999</v>
      </c>
      <c r="F2618" t="s">
        <v>46</v>
      </c>
      <c r="G2618">
        <v>-484.85599999999999</v>
      </c>
      <c r="H2618" s="1">
        <v>5.4618899999999997E-7</v>
      </c>
      <c r="I2618">
        <v>272.44150000000002</v>
      </c>
      <c r="J2618">
        <v>-480.40859999999998</v>
      </c>
      <c r="K2618">
        <v>1.1296200000000001</v>
      </c>
      <c r="L2618">
        <v>281.7756</v>
      </c>
      <c r="M2618">
        <v>-0.89578840000000004</v>
      </c>
      <c r="N2618">
        <v>-1.2763460000000001E-2</v>
      </c>
      <c r="O2618">
        <v>-0.44429780000000002</v>
      </c>
      <c r="P2618">
        <v>-0.68730959999999997</v>
      </c>
      <c r="Q2618">
        <v>0.1191209</v>
      </c>
      <c r="R2618">
        <v>-0.71653040000000001</v>
      </c>
      <c r="S2618">
        <v>-1.4114990000000001</v>
      </c>
      <c r="T2618">
        <v>-0.34882819999999998</v>
      </c>
      <c r="U2618">
        <v>-2.9034119999999999</v>
      </c>
      <c r="V2618">
        <v>-0.33933489999999999</v>
      </c>
      <c r="W2618">
        <v>0.1235532</v>
      </c>
      <c r="X2618">
        <v>0.93251620000000002</v>
      </c>
      <c r="Y2618">
        <v>-0.60967740000000004</v>
      </c>
      <c r="Z2618">
        <v>5.4894969999999899E-3</v>
      </c>
      <c r="AA2618">
        <v>0.79263070000000002</v>
      </c>
      <c r="AB2618">
        <v>27</v>
      </c>
      <c r="AC2618">
        <v>-4.4474000000000098</v>
      </c>
      <c r="AD2618">
        <v>-1.129619453811</v>
      </c>
      <c r="AE2618">
        <v>-9.3340999999999692</v>
      </c>
      <c r="AF2618">
        <v>-6.3106028844344699</v>
      </c>
      <c r="AG2618">
        <v>-1.129619453811</v>
      </c>
      <c r="AH2618">
        <v>8.0357935137787404</v>
      </c>
      <c r="AI2618">
        <v>96.3088357170937</v>
      </c>
      <c r="AJ2618">
        <v>128.142962851264</v>
      </c>
      <c r="AK2618">
        <v>10.2797726760638</v>
      </c>
      <c r="AL2618">
        <v>82.902787529243298</v>
      </c>
      <c r="AM2618">
        <v>109.996026293196</v>
      </c>
      <c r="AN2618">
        <v>1.0000000154253399</v>
      </c>
    </row>
    <row r="2619" spans="1:40" x14ac:dyDescent="0.25">
      <c r="A2619" t="str">
        <f>"20190303162306397"</f>
        <v>20190303162306397</v>
      </c>
      <c r="B2619" t="str">
        <f>"1551601386387293"</f>
        <v>1551601386387293</v>
      </c>
      <c r="C2619" t="s">
        <v>40</v>
      </c>
      <c r="D2619">
        <v>5.5342269999999996</v>
      </c>
      <c r="E2619">
        <v>0.39001019999999997</v>
      </c>
      <c r="F2619" t="s">
        <v>46</v>
      </c>
      <c r="G2619">
        <v>-484.84519999999998</v>
      </c>
      <c r="H2619" s="1">
        <v>5.5246219999999905E-7</v>
      </c>
      <c r="I2619">
        <v>272.46190000000001</v>
      </c>
      <c r="J2619">
        <v>-480.55149999999998</v>
      </c>
      <c r="K2619">
        <v>1.1297250000000001</v>
      </c>
      <c r="L2619">
        <v>281.69549999999998</v>
      </c>
      <c r="M2619">
        <v>-0.89217139999999995</v>
      </c>
      <c r="N2619">
        <v>-1.2807549999999999E-2</v>
      </c>
      <c r="O2619">
        <v>-0.45151540000000001</v>
      </c>
      <c r="P2619">
        <v>-0.68055980000000005</v>
      </c>
      <c r="Q2619">
        <v>0.117961999999999</v>
      </c>
      <c r="R2619">
        <v>-0.72313439999999995</v>
      </c>
      <c r="S2619">
        <v>-1.388123</v>
      </c>
      <c r="T2619">
        <v>-0.35343289999999999</v>
      </c>
      <c r="U2619">
        <v>-2.9140630000000001</v>
      </c>
      <c r="V2619">
        <v>-0.34072780000000003</v>
      </c>
      <c r="W2619">
        <v>0.1223152</v>
      </c>
      <c r="X2619">
        <v>0.93217139999999998</v>
      </c>
      <c r="Y2619">
        <v>-0.609577699999999</v>
      </c>
      <c r="Z2619">
        <v>6.5100829999999998E-3</v>
      </c>
      <c r="AA2619">
        <v>0.79269959999999995</v>
      </c>
      <c r="AB2619">
        <v>27</v>
      </c>
      <c r="AC2619">
        <v>-4.2937000000000003</v>
      </c>
      <c r="AD2619">
        <v>-1.1297244475378001</v>
      </c>
      <c r="AE2619">
        <v>-9.2335999999999601</v>
      </c>
      <c r="AF2619">
        <v>-6.2232039051958203</v>
      </c>
      <c r="AG2619">
        <v>-1.1297244475378001</v>
      </c>
      <c r="AH2619">
        <v>7.9032126793320199</v>
      </c>
      <c r="AI2619">
        <v>96.407851519946306</v>
      </c>
      <c r="AJ2619">
        <v>128.21785419038099</v>
      </c>
      <c r="AK2619">
        <v>10.1225152421601</v>
      </c>
      <c r="AL2619">
        <v>82.974261606080802</v>
      </c>
      <c r="AM2619">
        <v>110.07839655209</v>
      </c>
      <c r="AN2619">
        <v>0.99999998041091898</v>
      </c>
    </row>
    <row r="2620" spans="1:40" x14ac:dyDescent="0.25">
      <c r="A2620" t="str">
        <f>"20190303162306411"</f>
        <v>20190303162306411</v>
      </c>
      <c r="B2620" t="str">
        <f>"1551601386406813"</f>
        <v>1551601386406813</v>
      </c>
      <c r="C2620" t="s">
        <v>40</v>
      </c>
      <c r="D2620">
        <v>5.4626809999999999</v>
      </c>
      <c r="E2620">
        <v>0.40478609999999998</v>
      </c>
      <c r="F2620" t="s">
        <v>42</v>
      </c>
      <c r="G2620">
        <v>-480.98989999999998</v>
      </c>
      <c r="H2620">
        <v>1.0348710000000001</v>
      </c>
      <c r="I2620">
        <v>280.86349999999999</v>
      </c>
      <c r="J2620">
        <v>-480.68520000000001</v>
      </c>
      <c r="K2620">
        <v>1.1298140000000001</v>
      </c>
      <c r="L2620">
        <v>281.61919999999998</v>
      </c>
      <c r="M2620">
        <v>-0.88868760000000002</v>
      </c>
      <c r="N2620">
        <v>-1.2847890000000001E-2</v>
      </c>
      <c r="O2620">
        <v>-0.45833309999999999</v>
      </c>
      <c r="P2620">
        <v>-0.67351569999999905</v>
      </c>
      <c r="Q2620">
        <v>0.1181358</v>
      </c>
      <c r="R2620">
        <v>-0.72967139999999997</v>
      </c>
      <c r="S2620">
        <v>-1.4793700000000001</v>
      </c>
      <c r="T2620">
        <v>-0.32007729999999901</v>
      </c>
      <c r="U2620">
        <v>-2.8085629999999999</v>
      </c>
      <c r="V2620">
        <v>-0.34263890000000002</v>
      </c>
      <c r="W2620">
        <v>0.1223981</v>
      </c>
      <c r="X2620">
        <v>0.93145979999999995</v>
      </c>
      <c r="Y2620">
        <v>-0.57137799999999905</v>
      </c>
      <c r="Z2620">
        <v>8.5789239999999999E-3</v>
      </c>
      <c r="AA2620">
        <v>0.82064219999999899</v>
      </c>
      <c r="AB2620">
        <v>27</v>
      </c>
      <c r="AC2620">
        <v>-0.304699999999968</v>
      </c>
      <c r="AD2620">
        <v>-9.4943E-2</v>
      </c>
      <c r="AE2620">
        <v>-0.75569999999999005</v>
      </c>
      <c r="AF2620">
        <v>-0.52484516727917097</v>
      </c>
      <c r="AG2620">
        <v>-9.4943E-2</v>
      </c>
      <c r="AH2620">
        <v>0.60892890174379</v>
      </c>
      <c r="AI2620">
        <v>96.735593689524293</v>
      </c>
      <c r="AJ2620">
        <v>130.75855563983299</v>
      </c>
      <c r="AK2620">
        <v>0.809488128538152</v>
      </c>
      <c r="AL2620">
        <v>82.969476211097998</v>
      </c>
      <c r="AM2620">
        <v>110.19612203221099</v>
      </c>
      <c r="AN2620">
        <v>1.00000003484642</v>
      </c>
    </row>
    <row r="2621" spans="1:40" x14ac:dyDescent="0.25">
      <c r="A2621" t="str">
        <f>"20190303162306423"</f>
        <v>20190303162306423</v>
      </c>
      <c r="B2621" t="str">
        <f>"1551601386417548"</f>
        <v>1551601386417548</v>
      </c>
      <c r="C2621" t="s">
        <v>40</v>
      </c>
      <c r="D2621">
        <v>5.4691799999999997</v>
      </c>
      <c r="E2621">
        <v>0.40865760000000001</v>
      </c>
      <c r="F2621" t="s">
        <v>42</v>
      </c>
      <c r="G2621">
        <v>-481.17910000000001</v>
      </c>
      <c r="H2621">
        <v>1.0360400000000001</v>
      </c>
      <c r="I2621">
        <v>280.73610000000002</v>
      </c>
      <c r="J2621">
        <v>-480.81920000000002</v>
      </c>
      <c r="K2621">
        <v>1.1298969999999999</v>
      </c>
      <c r="L2621">
        <v>281.54169999999999</v>
      </c>
      <c r="M2621">
        <v>-0.88510909999999998</v>
      </c>
      <c r="N2621">
        <v>-1.2887289999999999E-2</v>
      </c>
      <c r="O2621">
        <v>-0.46520499999999998</v>
      </c>
      <c r="P2621">
        <v>-0.66774650000000002</v>
      </c>
      <c r="Q2621">
        <v>0.117829</v>
      </c>
      <c r="R2621">
        <v>-0.73500390000000004</v>
      </c>
      <c r="S2621">
        <v>-1.533539</v>
      </c>
      <c r="T2621">
        <v>-0.29113610000000001</v>
      </c>
      <c r="U2621">
        <v>-2.7429199999999998</v>
      </c>
      <c r="V2621">
        <v>-0.34282390000000001</v>
      </c>
      <c r="W2621">
        <v>0.1220493</v>
      </c>
      <c r="X2621">
        <v>0.93143750000000003</v>
      </c>
      <c r="Y2621">
        <v>-0.54451959999999999</v>
      </c>
      <c r="Z2621">
        <v>9.4041809999999993E-3</v>
      </c>
      <c r="AA2621">
        <v>0.83869539999999998</v>
      </c>
      <c r="AB2621">
        <v>27</v>
      </c>
      <c r="AC2621">
        <v>-0.35989999999998101</v>
      </c>
      <c r="AD2621">
        <v>-9.3856999999999802E-2</v>
      </c>
      <c r="AE2621">
        <v>-0.80559999999996901</v>
      </c>
      <c r="AF2621">
        <v>-0.539556738844721</v>
      </c>
      <c r="AG2621">
        <v>-9.3856999999999802E-2</v>
      </c>
      <c r="AH2621">
        <v>0.68561957870369294</v>
      </c>
      <c r="AI2621">
        <v>96.140081796132193</v>
      </c>
      <c r="AJ2621">
        <v>128.20141054939799</v>
      </c>
      <c r="AK2621">
        <v>0.87749918380792802</v>
      </c>
      <c r="AL2621">
        <v>82.989611961236207</v>
      </c>
      <c r="AM2621">
        <v>110.206589400664</v>
      </c>
      <c r="AN2621">
        <v>1.0000000372239699</v>
      </c>
    </row>
    <row r="2622" spans="1:40" x14ac:dyDescent="0.25">
      <c r="A2622" t="str">
        <f>"20190303162306436"</f>
        <v>20190303162306436</v>
      </c>
      <c r="B2622" t="str">
        <f>"1551601386427309"</f>
        <v>1551601386427309</v>
      </c>
      <c r="C2622" t="s">
        <v>40</v>
      </c>
      <c r="D2622">
        <v>5.5233860000000004</v>
      </c>
      <c r="E2622">
        <v>0.4114738</v>
      </c>
      <c r="F2622" t="s">
        <v>42</v>
      </c>
      <c r="G2622">
        <v>-481.35239999999999</v>
      </c>
      <c r="H2622">
        <v>1.031566</v>
      </c>
      <c r="I2622">
        <v>280.58980000000003</v>
      </c>
      <c r="J2622">
        <v>-480.94369999999998</v>
      </c>
      <c r="K2622">
        <v>1.129969</v>
      </c>
      <c r="L2622">
        <v>281.46769999999998</v>
      </c>
      <c r="M2622">
        <v>-0.88166610000000001</v>
      </c>
      <c r="N2622">
        <v>-1.292368E-2</v>
      </c>
      <c r="O2622">
        <v>-0.47169689999999997</v>
      </c>
      <c r="P2622">
        <v>-0.66280699999999904</v>
      </c>
      <c r="Q2622">
        <v>0.1171905</v>
      </c>
      <c r="R2622">
        <v>-0.73956290000000002</v>
      </c>
      <c r="S2622">
        <v>-1.5321659999999999</v>
      </c>
      <c r="T2622">
        <v>-0.28253660000000003</v>
      </c>
      <c r="U2622">
        <v>-2.7349239999999999</v>
      </c>
      <c r="V2622">
        <v>-0.3423177</v>
      </c>
      <c r="W2622">
        <v>0.1213928</v>
      </c>
      <c r="X2622">
        <v>0.93170940000000002</v>
      </c>
      <c r="Y2622">
        <v>-0.53770090000000004</v>
      </c>
      <c r="Z2622">
        <v>9.8737760000000008E-3</v>
      </c>
      <c r="AA2622">
        <v>0.84307779999999999</v>
      </c>
      <c r="AB2622">
        <v>27</v>
      </c>
      <c r="AC2622">
        <v>-0.40870000000001</v>
      </c>
      <c r="AD2622">
        <v>-9.8403000000000004E-2</v>
      </c>
      <c r="AE2622">
        <v>-0.87789999999995405</v>
      </c>
      <c r="AF2622">
        <v>-0.57533970190963002</v>
      </c>
      <c r="AG2622">
        <v>-9.8403000000000004E-2</v>
      </c>
      <c r="AH2622">
        <v>0.76658849072276003</v>
      </c>
      <c r="AI2622">
        <v>95.861805232028402</v>
      </c>
      <c r="AJ2622">
        <v>126.888946954635</v>
      </c>
      <c r="AK2622">
        <v>0.96351275918436197</v>
      </c>
      <c r="AL2622">
        <v>83.027508253791595</v>
      </c>
      <c r="AM2622">
        <v>110.17374745484599</v>
      </c>
      <c r="AN2622">
        <v>1.0000000128367399</v>
      </c>
    </row>
    <row r="2623" spans="1:40" x14ac:dyDescent="0.25">
      <c r="A2623" t="str">
        <f>"20190303162306448"</f>
        <v>20190303162306448</v>
      </c>
      <c r="B2623" t="str">
        <f>"1551601386437070"</f>
        <v>1551601386437070</v>
      </c>
      <c r="C2623" t="s">
        <v>40</v>
      </c>
      <c r="D2623">
        <v>5.4205310000000004</v>
      </c>
      <c r="E2623">
        <v>0.41370590000000002</v>
      </c>
      <c r="F2623" t="s">
        <v>42</v>
      </c>
      <c r="G2623">
        <v>-481.40210000000002</v>
      </c>
      <c r="H2623">
        <v>1.0479959999999999</v>
      </c>
      <c r="I2623">
        <v>280.64800000000002</v>
      </c>
      <c r="J2623">
        <v>-481.06670000000003</v>
      </c>
      <c r="K2623">
        <v>1.130039</v>
      </c>
      <c r="L2623">
        <v>281.3938</v>
      </c>
      <c r="M2623">
        <v>-0.87818969999999896</v>
      </c>
      <c r="N2623">
        <v>-1.2958890000000001E-2</v>
      </c>
      <c r="O2623">
        <v>-0.47813699999999998</v>
      </c>
      <c r="P2623">
        <v>-0.65762900000000002</v>
      </c>
      <c r="Q2623">
        <v>0.115658</v>
      </c>
      <c r="R2623">
        <v>-0.74441059999999903</v>
      </c>
      <c r="S2623">
        <v>-1.5272520000000001</v>
      </c>
      <c r="T2623">
        <v>-0.27311790000000002</v>
      </c>
      <c r="U2623">
        <v>-2.7310180000000002</v>
      </c>
      <c r="V2623">
        <v>-0.34219899999999998</v>
      </c>
      <c r="W2623">
        <v>0.119835</v>
      </c>
      <c r="X2623">
        <v>0.93195459999999997</v>
      </c>
      <c r="Y2623">
        <v>-0.53223860000000001</v>
      </c>
      <c r="Z2623">
        <v>1.012878E-2</v>
      </c>
      <c r="AA2623">
        <v>0.8465338</v>
      </c>
      <c r="AB2623">
        <v>27</v>
      </c>
      <c r="AC2623">
        <v>-0.33539999999999198</v>
      </c>
      <c r="AD2623">
        <v>-8.2043000000000005E-2</v>
      </c>
      <c r="AE2623">
        <v>-0.74580000000003099</v>
      </c>
      <c r="AF2623">
        <v>-0.48969907195569901</v>
      </c>
      <c r="AG2623">
        <v>-8.2043000000000005E-2</v>
      </c>
      <c r="AH2623">
        <v>0.64470464235226499</v>
      </c>
      <c r="AI2623">
        <v>95.786481343910907</v>
      </c>
      <c r="AJ2623">
        <v>127.219257081435</v>
      </c>
      <c r="AK2623">
        <v>0.81374462258981095</v>
      </c>
      <c r="AL2623">
        <v>83.117419799333206</v>
      </c>
      <c r="AM2623">
        <v>110.16243714875699</v>
      </c>
      <c r="AN2623">
        <v>0.99999997964357901</v>
      </c>
    </row>
    <row r="2624" spans="1:40" x14ac:dyDescent="0.25">
      <c r="A2624" t="str">
        <f>"20190303162306467"</f>
        <v>20190303162306467</v>
      </c>
      <c r="B2624" t="str">
        <f>"1551601386457564"</f>
        <v>1551601386457564</v>
      </c>
      <c r="C2624" t="s">
        <v>40</v>
      </c>
      <c r="D2624">
        <v>5.4986050000000004</v>
      </c>
      <c r="E2624">
        <v>0.41682269999999999</v>
      </c>
      <c r="F2624" t="s">
        <v>42</v>
      </c>
      <c r="G2624">
        <v>-481.56819999999999</v>
      </c>
      <c r="H2624">
        <v>1.038843</v>
      </c>
      <c r="I2624">
        <v>280.49299999999999</v>
      </c>
      <c r="J2624">
        <v>-481.2509</v>
      </c>
      <c r="K2624">
        <v>1.130126</v>
      </c>
      <c r="L2624">
        <v>281.28039999999999</v>
      </c>
      <c r="M2624">
        <v>-0.87280650000000004</v>
      </c>
      <c r="N2624">
        <v>-1.301098E-2</v>
      </c>
      <c r="O2624">
        <v>-0.48789310000000002</v>
      </c>
      <c r="P2624">
        <v>-0.64918929999999997</v>
      </c>
      <c r="Q2624">
        <v>0.1093301</v>
      </c>
      <c r="R2624">
        <v>-0.75272890000000003</v>
      </c>
      <c r="S2624">
        <v>-1.5195620000000001</v>
      </c>
      <c r="T2624">
        <v>-0.27631030000000001</v>
      </c>
      <c r="U2624">
        <v>-2.7305299999999999</v>
      </c>
      <c r="V2624">
        <v>-0.34303929999999999</v>
      </c>
      <c r="W2624">
        <v>0.1134469</v>
      </c>
      <c r="X2624">
        <v>0.93244510000000003</v>
      </c>
      <c r="Y2624">
        <v>-0.52457580000000004</v>
      </c>
      <c r="Z2624">
        <v>1.1667719999999999E-2</v>
      </c>
      <c r="AA2624">
        <v>0.85128379999999904</v>
      </c>
      <c r="AB2624">
        <v>27</v>
      </c>
      <c r="AC2624">
        <v>-0.31729999999998798</v>
      </c>
      <c r="AD2624">
        <v>-9.1283000000000003E-2</v>
      </c>
      <c r="AE2624">
        <v>-0.78739999999999</v>
      </c>
      <c r="AF2624">
        <v>-0.52639809807396898</v>
      </c>
      <c r="AG2624">
        <v>-9.1283000000000003E-2</v>
      </c>
      <c r="AH2624">
        <v>0.65360734064625703</v>
      </c>
      <c r="AI2624">
        <v>96.2076962154228</v>
      </c>
      <c r="AJ2624">
        <v>128.847051345437</v>
      </c>
      <c r="AK2624">
        <v>0.84417421157695005</v>
      </c>
      <c r="AL2624">
        <v>83.485947360938695</v>
      </c>
      <c r="AM2624">
        <v>110.198176298126</v>
      </c>
      <c r="AN2624">
        <v>1.00000001248905</v>
      </c>
    </row>
    <row r="2625" spans="1:40" x14ac:dyDescent="0.25">
      <c r="A2625" t="str">
        <f>"20190303162306483"</f>
        <v>20190303162306483</v>
      </c>
      <c r="B2625" t="str">
        <f>"1551601386477085"</f>
        <v>1551601386477085</v>
      </c>
      <c r="C2625" t="s">
        <v>40</v>
      </c>
      <c r="D2625">
        <v>5.5147329999999997</v>
      </c>
      <c r="E2625">
        <v>0.41852719999999999</v>
      </c>
      <c r="F2625" t="s">
        <v>42</v>
      </c>
      <c r="G2625">
        <v>-481.75580000000002</v>
      </c>
      <c r="H2625">
        <v>1.033914</v>
      </c>
      <c r="I2625">
        <v>280.36279999999999</v>
      </c>
      <c r="J2625">
        <v>-481.41770000000002</v>
      </c>
      <c r="K2625">
        <v>1.1302099999999999</v>
      </c>
      <c r="L2625">
        <v>281.17540000000002</v>
      </c>
      <c r="M2625">
        <v>-0.86775069999999999</v>
      </c>
      <c r="N2625">
        <v>-1.305743E-2</v>
      </c>
      <c r="O2625">
        <v>-0.49682809999999999</v>
      </c>
      <c r="P2625">
        <v>-0.64078009999999996</v>
      </c>
      <c r="Q2625">
        <v>0.10541059999999999</v>
      </c>
      <c r="R2625">
        <v>-0.76045379999999996</v>
      </c>
      <c r="S2625">
        <v>-1.5025329999999999</v>
      </c>
      <c r="T2625">
        <v>-0.28635929999999998</v>
      </c>
      <c r="U2625">
        <v>-2.7312319999999999</v>
      </c>
      <c r="V2625">
        <v>-0.34425040000000001</v>
      </c>
      <c r="W2625">
        <v>0.1094569</v>
      </c>
      <c r="X2625">
        <v>0.93247570000000002</v>
      </c>
      <c r="Y2625">
        <v>-0.51998219999999995</v>
      </c>
      <c r="Z2625">
        <v>1.3572580000000001E-2</v>
      </c>
      <c r="AA2625">
        <v>0.85406919999999897</v>
      </c>
      <c r="AB2625">
        <v>27</v>
      </c>
      <c r="AC2625">
        <v>-0.33809999999999701</v>
      </c>
      <c r="AD2625">
        <v>-9.6295999999999896E-2</v>
      </c>
      <c r="AE2625">
        <v>-0.81260000000003096</v>
      </c>
      <c r="AF2625">
        <v>-0.53084779798067905</v>
      </c>
      <c r="AG2625">
        <v>-9.6295999999999896E-2</v>
      </c>
      <c r="AH2625">
        <v>0.68892156391175496</v>
      </c>
      <c r="AI2625">
        <v>96.318096585798301</v>
      </c>
      <c r="AJ2625">
        <v>127.616011888681</v>
      </c>
      <c r="AK2625">
        <v>0.875034413871565</v>
      </c>
      <c r="AL2625">
        <v>83.715991067774695</v>
      </c>
      <c r="AM2625">
        <v>110.26308462169099</v>
      </c>
      <c r="AN2625">
        <v>1.0000000409741201</v>
      </c>
    </row>
    <row r="2626" spans="1:40" x14ac:dyDescent="0.25">
      <c r="A2626" t="str">
        <f>"20190303162306500"</f>
        <v>20190303162306500</v>
      </c>
      <c r="B2626" t="str">
        <f>"1551601386486844"</f>
        <v>1551601386486844</v>
      </c>
      <c r="C2626" t="s">
        <v>40</v>
      </c>
      <c r="D2626">
        <v>5.4833749999999997</v>
      </c>
      <c r="E2626">
        <v>0.41927300000000001</v>
      </c>
      <c r="F2626" t="s">
        <v>42</v>
      </c>
      <c r="G2626">
        <v>-481.93340000000001</v>
      </c>
      <c r="H2626">
        <v>1.027331</v>
      </c>
      <c r="I2626">
        <v>280.22160000000002</v>
      </c>
      <c r="J2626">
        <v>-481.5847</v>
      </c>
      <c r="K2626">
        <v>1.1302760000000001</v>
      </c>
      <c r="L2626">
        <v>281.06729999999999</v>
      </c>
      <c r="M2626">
        <v>-0.86249149999999997</v>
      </c>
      <c r="N2626">
        <v>-1.310397E-2</v>
      </c>
      <c r="O2626">
        <v>-0.50590199999999996</v>
      </c>
      <c r="P2626">
        <v>-0.63040739999999995</v>
      </c>
      <c r="Q2626">
        <v>0.1002456</v>
      </c>
      <c r="R2626">
        <v>-0.76976499999999903</v>
      </c>
      <c r="S2626">
        <v>-1.480194</v>
      </c>
      <c r="T2626">
        <v>-0.2953057</v>
      </c>
      <c r="U2626">
        <v>-2.7386780000000002</v>
      </c>
      <c r="V2626">
        <v>-0.3476185</v>
      </c>
      <c r="W2626">
        <v>0.10415870000000001</v>
      </c>
      <c r="X2626">
        <v>0.93183280000000002</v>
      </c>
      <c r="Y2626">
        <v>-0.51737449999999996</v>
      </c>
      <c r="Z2626">
        <v>1.534394E-2</v>
      </c>
      <c r="AA2626">
        <v>0.85562159999999998</v>
      </c>
      <c r="AB2626">
        <v>27</v>
      </c>
      <c r="AC2626">
        <v>-0.348700000000007</v>
      </c>
      <c r="AD2626">
        <v>-0.10294499999999999</v>
      </c>
      <c r="AE2626">
        <v>-0.84569999999996504</v>
      </c>
      <c r="AF2626">
        <v>-0.54613198221077797</v>
      </c>
      <c r="AG2626">
        <v>-0.10294499999999999</v>
      </c>
      <c r="AH2626">
        <v>0.71954196699907702</v>
      </c>
      <c r="AI2626">
        <v>96.501491377533995</v>
      </c>
      <c r="AJ2626">
        <v>127.19847943228</v>
      </c>
      <c r="AK2626">
        <v>0.909174602203216</v>
      </c>
      <c r="AL2626">
        <v>84.021302227111605</v>
      </c>
      <c r="AM2626">
        <v>110.45793707726899</v>
      </c>
      <c r="AN2626">
        <v>1.0000000117418899</v>
      </c>
    </row>
    <row r="2627" spans="1:40" x14ac:dyDescent="0.25">
      <c r="A2627" t="str">
        <f>"20190303162306516"</f>
        <v>20190303162306516</v>
      </c>
      <c r="B2627" t="str">
        <f>"1551601386507341"</f>
        <v>1551601386507341</v>
      </c>
      <c r="C2627" t="s">
        <v>40</v>
      </c>
      <c r="D2627">
        <v>5.5164339999999896</v>
      </c>
      <c r="E2627">
        <v>0.42110940000000002</v>
      </c>
      <c r="F2627" t="s">
        <v>42</v>
      </c>
      <c r="G2627">
        <v>-481.9939</v>
      </c>
      <c r="H2627">
        <v>1.0420689999999999</v>
      </c>
      <c r="I2627">
        <v>280.28739999999999</v>
      </c>
      <c r="J2627">
        <v>-481.73090000000002</v>
      </c>
      <c r="K2627">
        <v>1.1303589999999999</v>
      </c>
      <c r="L2627">
        <v>280.97039999999998</v>
      </c>
      <c r="M2627">
        <v>-0.85772399999999904</v>
      </c>
      <c r="N2627">
        <v>-1.3144650000000001E-2</v>
      </c>
      <c r="O2627">
        <v>-0.51394240000000002</v>
      </c>
      <c r="P2627">
        <v>-0.62139109999999997</v>
      </c>
      <c r="Q2627">
        <v>9.9646059999999995E-2</v>
      </c>
      <c r="R2627">
        <v>-0.77713809999999905</v>
      </c>
      <c r="S2627">
        <v>-1.4444269999999999</v>
      </c>
      <c r="T2627">
        <v>-0.3114402</v>
      </c>
      <c r="U2627">
        <v>-2.7549130000000002</v>
      </c>
      <c r="V2627">
        <v>-0.34984759999999998</v>
      </c>
      <c r="W2627">
        <v>0.1034568</v>
      </c>
      <c r="X2627">
        <v>0.93107640000000003</v>
      </c>
      <c r="Y2627">
        <v>-0.52009879999999997</v>
      </c>
      <c r="Z2627">
        <v>1.7381029999999999E-2</v>
      </c>
      <c r="AA2627">
        <v>0.85392919999999894</v>
      </c>
      <c r="AB2627">
        <v>27</v>
      </c>
      <c r="AC2627">
        <v>-0.26299999999997598</v>
      </c>
      <c r="AD2627">
        <v>-8.8289999999999896E-2</v>
      </c>
      <c r="AE2627">
        <v>-0.68299999999999195</v>
      </c>
      <c r="AF2627">
        <v>-0.44423290428608597</v>
      </c>
      <c r="AG2627">
        <v>-8.8289999999999896E-2</v>
      </c>
      <c r="AH2627">
        <v>0.568382536097915</v>
      </c>
      <c r="AI2627">
        <v>96.977668819059403</v>
      </c>
      <c r="AJ2627">
        <v>128.010251686819</v>
      </c>
      <c r="AK2627">
        <v>0.72677142534056005</v>
      </c>
      <c r="AL2627">
        <v>84.061736264279006</v>
      </c>
      <c r="AM2627">
        <v>110.59347490187599</v>
      </c>
      <c r="AN2627">
        <v>0.99999995766447902</v>
      </c>
    </row>
    <row r="2628" spans="1:40" x14ac:dyDescent="0.25">
      <c r="A2628" t="str">
        <f>"20190303162306534"</f>
        <v>20190303162306534</v>
      </c>
      <c r="B2628" t="str">
        <f>"1551601386526861"</f>
        <v>1551601386526861</v>
      </c>
      <c r="C2628" t="s">
        <v>40</v>
      </c>
      <c r="D2628">
        <v>5.5062689999999996</v>
      </c>
      <c r="E2628">
        <v>0.42263590000000001</v>
      </c>
      <c r="F2628" t="s">
        <v>42</v>
      </c>
      <c r="G2628">
        <v>-482.16180000000003</v>
      </c>
      <c r="H2628">
        <v>1.035075</v>
      </c>
      <c r="I2628">
        <v>280.1343</v>
      </c>
      <c r="J2628">
        <v>-481.91489999999999</v>
      </c>
      <c r="K2628">
        <v>1.1304780000000001</v>
      </c>
      <c r="L2628">
        <v>280.8458</v>
      </c>
      <c r="M2628">
        <v>-0.85150369999999997</v>
      </c>
      <c r="N2628">
        <v>-1.3196909999999999E-2</v>
      </c>
      <c r="O2628">
        <v>-0.5241827</v>
      </c>
      <c r="P2628">
        <v>-0.60847010000000001</v>
      </c>
      <c r="Q2628">
        <v>0.1010915</v>
      </c>
      <c r="R2628">
        <v>-0.78711160000000002</v>
      </c>
      <c r="S2628">
        <v>-1.4237059999999999</v>
      </c>
      <c r="T2628">
        <v>-0.31484139999999999</v>
      </c>
      <c r="U2628">
        <v>-2.7623289999999998</v>
      </c>
      <c r="V2628">
        <v>-0.35398269999999998</v>
      </c>
      <c r="W2628">
        <v>0.1047212</v>
      </c>
      <c r="X2628">
        <v>0.92937060000000005</v>
      </c>
      <c r="Y2628">
        <v>-0.51588509999999999</v>
      </c>
      <c r="Z2628">
        <v>1.90209E-2</v>
      </c>
      <c r="AA2628">
        <v>0.85644659999999995</v>
      </c>
      <c r="AB2628">
        <v>27</v>
      </c>
      <c r="AC2628">
        <v>-0.246900000000039</v>
      </c>
      <c r="AD2628">
        <v>-9.5403000000000099E-2</v>
      </c>
      <c r="AE2628">
        <v>-0.71150000000000002</v>
      </c>
      <c r="AF2628">
        <v>-0.46894052294306698</v>
      </c>
      <c r="AG2628">
        <v>-9.5403000000000099E-2</v>
      </c>
      <c r="AH2628">
        <v>0.574031495062299</v>
      </c>
      <c r="AI2628">
        <v>97.3341927136929</v>
      </c>
      <c r="AJ2628">
        <v>129.246236007417</v>
      </c>
      <c r="AK2628">
        <v>0.74734135693843096</v>
      </c>
      <c r="AL2628">
        <v>83.988896038797705</v>
      </c>
      <c r="AM2628">
        <v>110.851053156311</v>
      </c>
      <c r="AN2628">
        <v>0.99999999688654495</v>
      </c>
    </row>
    <row r="2629" spans="1:40" x14ac:dyDescent="0.25">
      <c r="A2629" t="str">
        <f>"20190303162306550"</f>
        <v>20190303162306550</v>
      </c>
      <c r="B2629" t="str">
        <f>"1551601386537596"</f>
        <v>1551601386537596</v>
      </c>
      <c r="C2629" t="s">
        <v>40</v>
      </c>
      <c r="D2629">
        <v>5.5183059999999999</v>
      </c>
      <c r="E2629">
        <v>0.42320079999999999</v>
      </c>
      <c r="F2629" t="s">
        <v>42</v>
      </c>
      <c r="G2629">
        <v>-482.34089999999998</v>
      </c>
      <c r="H2629">
        <v>1.0339750000000001</v>
      </c>
      <c r="I2629">
        <v>279.99340000000001</v>
      </c>
      <c r="J2629">
        <v>-482.04450000000003</v>
      </c>
      <c r="K2629">
        <v>1.1305909999999999</v>
      </c>
      <c r="L2629">
        <v>280.75599999999997</v>
      </c>
      <c r="M2629">
        <v>-0.84695969999999998</v>
      </c>
      <c r="N2629">
        <v>-1.3236400000000001E-2</v>
      </c>
      <c r="O2629">
        <v>-0.53149250000000003</v>
      </c>
      <c r="P2629">
        <v>-0.60027929999999996</v>
      </c>
      <c r="Q2629">
        <v>0.1030591</v>
      </c>
      <c r="R2629">
        <v>-0.79312269999999996</v>
      </c>
      <c r="S2629">
        <v>-1.388031</v>
      </c>
      <c r="T2629">
        <v>-0.31446160000000001</v>
      </c>
      <c r="U2629">
        <v>-2.7787169999999999</v>
      </c>
      <c r="V2629">
        <v>-0.35547719999999999</v>
      </c>
      <c r="W2629">
        <v>0.1065946</v>
      </c>
      <c r="X2629">
        <v>0.92858680000000005</v>
      </c>
      <c r="Y2629">
        <v>-0.5193257</v>
      </c>
      <c r="Z2629">
        <v>1.954583E-2</v>
      </c>
      <c r="AA2629">
        <v>0.85435280000000002</v>
      </c>
      <c r="AB2629">
        <v>27</v>
      </c>
      <c r="AC2629">
        <v>-0.29639999999994798</v>
      </c>
      <c r="AD2629">
        <v>-9.6615999999999799E-2</v>
      </c>
      <c r="AE2629">
        <v>-0.76259999999996297</v>
      </c>
      <c r="AF2629">
        <v>-0.48168296766458202</v>
      </c>
      <c r="AG2629">
        <v>-9.6615999999999799E-2</v>
      </c>
      <c r="AH2629">
        <v>0.64738497241294102</v>
      </c>
      <c r="AI2629">
        <v>96.827734835277298</v>
      </c>
      <c r="AJ2629">
        <v>126.650873795498</v>
      </c>
      <c r="AK2629">
        <v>0.81268716939561902</v>
      </c>
      <c r="AL2629">
        <v>83.8809535991156</v>
      </c>
      <c r="AM2629">
        <v>110.94760865768799</v>
      </c>
      <c r="AN2629">
        <v>0.99999994680161797</v>
      </c>
    </row>
    <row r="2630" spans="1:40" x14ac:dyDescent="0.25">
      <c r="A2630" t="str">
        <f>"20190303162306563"</f>
        <v>20190303162306563</v>
      </c>
      <c r="B2630" t="str">
        <f>"1551601386557117"</f>
        <v>1551601386557117</v>
      </c>
      <c r="C2630" t="s">
        <v>40</v>
      </c>
      <c r="D2630">
        <v>5.5469429999999997</v>
      </c>
      <c r="E2630">
        <v>0.42447010000000002</v>
      </c>
      <c r="F2630" t="s">
        <v>42</v>
      </c>
      <c r="G2630">
        <v>-482.49680000000001</v>
      </c>
      <c r="H2630">
        <v>1.0296829999999999</v>
      </c>
      <c r="I2630">
        <v>279.82909999999998</v>
      </c>
      <c r="J2630">
        <v>-482.19619999999998</v>
      </c>
      <c r="K2630">
        <v>1.130727</v>
      </c>
      <c r="L2630">
        <v>280.64890000000003</v>
      </c>
      <c r="M2630">
        <v>-0.84146109999999896</v>
      </c>
      <c r="N2630">
        <v>-1.328703E-2</v>
      </c>
      <c r="O2630">
        <v>-0.54015419999999903</v>
      </c>
      <c r="P2630">
        <v>-0.59177389999999996</v>
      </c>
      <c r="Q2630">
        <v>0.105306399999999</v>
      </c>
      <c r="R2630">
        <v>-0.79919569999999995</v>
      </c>
      <c r="S2630">
        <v>-1.362579</v>
      </c>
      <c r="T2630">
        <v>-0.30391970000000001</v>
      </c>
      <c r="U2630">
        <v>-2.7908019999999998</v>
      </c>
      <c r="V2630">
        <v>-0.35571120000000001</v>
      </c>
      <c r="W2630">
        <v>0.10877149999999999</v>
      </c>
      <c r="X2630">
        <v>0.92824479999999998</v>
      </c>
      <c r="Y2630">
        <v>-0.51836910000000003</v>
      </c>
      <c r="Z2630">
        <v>1.9476770000000001E-2</v>
      </c>
      <c r="AA2630">
        <v>0.85493519999999901</v>
      </c>
      <c r="AB2630">
        <v>27</v>
      </c>
      <c r="AC2630">
        <v>-0.30060000000003101</v>
      </c>
      <c r="AD2630">
        <v>-0.10104399999999999</v>
      </c>
      <c r="AE2630">
        <v>-0.81980000000004305</v>
      </c>
      <c r="AF2630">
        <v>-0.52053545531777401</v>
      </c>
      <c r="AG2630">
        <v>-0.10104399999999999</v>
      </c>
      <c r="AH2630">
        <v>0.68662830210118797</v>
      </c>
      <c r="AI2630">
        <v>96.688527919782501</v>
      </c>
      <c r="AJ2630">
        <v>127.165900559729</v>
      </c>
      <c r="AK2630">
        <v>0.86753989846302904</v>
      </c>
      <c r="AL2630">
        <v>83.755497552887704</v>
      </c>
      <c r="AM2630">
        <v>110.967251849118</v>
      </c>
      <c r="AN2630">
        <v>1.00000005287236</v>
      </c>
    </row>
    <row r="2631" spans="1:40" x14ac:dyDescent="0.25">
      <c r="A2631" t="str">
        <f>"20190303162306577"</f>
        <v>20190303162306577</v>
      </c>
      <c r="B2631" t="str">
        <f>"1551601386566876"</f>
        <v>1551601386566876</v>
      </c>
      <c r="C2631" t="s">
        <v>40</v>
      </c>
      <c r="D2631">
        <v>5.6373449999999998</v>
      </c>
      <c r="E2631">
        <v>0.42447010000000002</v>
      </c>
      <c r="F2631" t="s">
        <v>42</v>
      </c>
      <c r="G2631">
        <v>-482.6628</v>
      </c>
      <c r="H2631">
        <v>1.029468</v>
      </c>
      <c r="I2631">
        <v>279.6755</v>
      </c>
      <c r="J2631">
        <v>-482.33300000000003</v>
      </c>
      <c r="K2631">
        <v>1.1308670000000001</v>
      </c>
      <c r="L2631">
        <v>280.54939999999999</v>
      </c>
      <c r="M2631">
        <v>-0.83629240000000005</v>
      </c>
      <c r="N2631">
        <v>-1.3339449999999999E-2</v>
      </c>
      <c r="O2631">
        <v>-0.54812159999999999</v>
      </c>
      <c r="P2631">
        <v>-0.58515980000000001</v>
      </c>
      <c r="Q2631">
        <v>0.1089069</v>
      </c>
      <c r="R2631">
        <v>-0.80357179999999995</v>
      </c>
      <c r="S2631">
        <v>-1.3413389999999901</v>
      </c>
      <c r="T2631">
        <v>-0.29114250000000003</v>
      </c>
      <c r="U2631">
        <v>-2.7989199999999999</v>
      </c>
      <c r="V2631">
        <v>-0.35427720000000001</v>
      </c>
      <c r="W2631">
        <v>0.11235290000000001</v>
      </c>
      <c r="X2631">
        <v>0.92836649999999998</v>
      </c>
      <c r="Y2631">
        <v>-0.51655059999999997</v>
      </c>
      <c r="Z2631">
        <v>1.9103829999999999E-2</v>
      </c>
      <c r="AA2631">
        <v>0.85604360000000002</v>
      </c>
      <c r="AB2631">
        <v>27</v>
      </c>
      <c r="AC2631">
        <v>-0.329799999999977</v>
      </c>
      <c r="AD2631">
        <v>-0.101399</v>
      </c>
      <c r="AE2631">
        <v>-0.87389999999999102</v>
      </c>
      <c r="AF2631">
        <v>-0.54370691027165796</v>
      </c>
      <c r="AG2631">
        <v>-0.101399</v>
      </c>
      <c r="AH2631">
        <v>0.74608739689292203</v>
      </c>
      <c r="AI2631">
        <v>96.268042667520206</v>
      </c>
      <c r="AJ2631">
        <v>126.082479919324</v>
      </c>
      <c r="AK2631">
        <v>0.92873320457524799</v>
      </c>
      <c r="AL2631">
        <v>83.549031776050398</v>
      </c>
      <c r="AM2631">
        <v>110.88753011840301</v>
      </c>
      <c r="AN2631">
        <v>0.99999993345024696</v>
      </c>
    </row>
    <row r="2632" spans="1:40" x14ac:dyDescent="0.25">
      <c r="A2632" t="str">
        <f>"20190303162306602"</f>
        <v>20190303162306602</v>
      </c>
      <c r="B2632" t="str">
        <f>"1551601386597132"</f>
        <v>1551601386597132</v>
      </c>
      <c r="C2632" t="s">
        <v>40</v>
      </c>
      <c r="D2632">
        <v>5.4651809999999896</v>
      </c>
      <c r="E2632">
        <v>0.44153300000000001</v>
      </c>
      <c r="F2632" t="s">
        <v>42</v>
      </c>
      <c r="G2632">
        <v>-482.71769999999998</v>
      </c>
      <c r="H2632">
        <v>1.049461</v>
      </c>
      <c r="I2632">
        <v>279.7294</v>
      </c>
      <c r="J2632">
        <v>-482.5643</v>
      </c>
      <c r="K2632">
        <v>1.131111</v>
      </c>
      <c r="L2632">
        <v>280.37729999999999</v>
      </c>
      <c r="M2632">
        <v>-0.82717050000000003</v>
      </c>
      <c r="N2632">
        <v>-1.343193E-2</v>
      </c>
      <c r="O2632">
        <v>-0.56179080000000003</v>
      </c>
      <c r="P2632">
        <v>-0.57606299999999999</v>
      </c>
      <c r="Q2632">
        <v>0.10853690000000001</v>
      </c>
      <c r="R2632">
        <v>-0.81016769999999905</v>
      </c>
      <c r="S2632">
        <v>-1.3183590000000001</v>
      </c>
      <c r="T2632">
        <v>-0.2790204</v>
      </c>
      <c r="U2632">
        <v>-2.8111570000000001</v>
      </c>
      <c r="V2632">
        <v>-0.3495703</v>
      </c>
      <c r="W2632">
        <v>0.112024</v>
      </c>
      <c r="X2632">
        <v>0.93018880000000004</v>
      </c>
      <c r="Y2632">
        <v>-0.50972419999999996</v>
      </c>
      <c r="Z2632">
        <v>1.9465050000000001E-2</v>
      </c>
      <c r="AA2632">
        <v>0.86011769999999999</v>
      </c>
      <c r="AB2632">
        <v>27</v>
      </c>
      <c r="AC2632">
        <v>-0.153399999999976</v>
      </c>
      <c r="AD2632">
        <v>-8.165E-2</v>
      </c>
      <c r="AE2632">
        <v>-0.64789999999999204</v>
      </c>
      <c r="AF2632">
        <v>-0.44312160457037603</v>
      </c>
      <c r="AG2632">
        <v>-8.165E-2</v>
      </c>
      <c r="AH2632">
        <v>0.48364307541607998</v>
      </c>
      <c r="AI2632">
        <v>97.095475239752105</v>
      </c>
      <c r="AJ2632">
        <v>132.496417921882</v>
      </c>
      <c r="AK2632">
        <v>0.66100991167678302</v>
      </c>
      <c r="AL2632">
        <v>83.567996430606001</v>
      </c>
      <c r="AM2632">
        <v>110.596508880624</v>
      </c>
      <c r="AN2632">
        <v>0.99999998743176399</v>
      </c>
    </row>
    <row r="2633" spans="1:40" x14ac:dyDescent="0.25">
      <c r="A2633" t="str">
        <f>"20190303162306635"</f>
        <v>20190303162306635</v>
      </c>
      <c r="B2633" t="str">
        <f>"1551601386627389"</f>
        <v>1551601386627389</v>
      </c>
      <c r="C2633" t="s">
        <v>40</v>
      </c>
      <c r="D2633">
        <v>5.7513059999999996</v>
      </c>
      <c r="E2633">
        <v>0.44242870000000001</v>
      </c>
      <c r="F2633" t="s">
        <v>42</v>
      </c>
      <c r="G2633">
        <v>-483.04939999999999</v>
      </c>
      <c r="H2633">
        <v>1.0667469999999999</v>
      </c>
      <c r="I2633">
        <v>279.42059999999998</v>
      </c>
      <c r="J2633">
        <v>-482.85680000000002</v>
      </c>
      <c r="K2633">
        <v>1.1314519999999999</v>
      </c>
      <c r="L2633">
        <v>280.14929999999998</v>
      </c>
      <c r="M2633">
        <v>-0.81471139999999997</v>
      </c>
      <c r="N2633">
        <v>-1.356048E-2</v>
      </c>
      <c r="O2633">
        <v>-0.57970829999999995</v>
      </c>
      <c r="P2633">
        <v>-0.56592330000000002</v>
      </c>
      <c r="Q2633">
        <v>0.1061999</v>
      </c>
      <c r="R2633">
        <v>-0.81758940000000002</v>
      </c>
      <c r="S2633">
        <v>-1.3887940000000001</v>
      </c>
      <c r="T2633">
        <v>-0.18425800000000001</v>
      </c>
      <c r="U2633">
        <v>-2.740173</v>
      </c>
      <c r="V2633">
        <v>-0.3411131</v>
      </c>
      <c r="W2633">
        <v>0.1098039</v>
      </c>
      <c r="X2633">
        <v>0.9335871</v>
      </c>
      <c r="Y2633">
        <v>-0.46430979999999999</v>
      </c>
      <c r="Z2633">
        <v>1.21361E-2</v>
      </c>
      <c r="AA2633">
        <v>0.88558969999999904</v>
      </c>
      <c r="AB2633">
        <v>27</v>
      </c>
      <c r="AC2633">
        <v>-0.19259999999996999</v>
      </c>
      <c r="AD2633">
        <v>-6.4705000000000207E-2</v>
      </c>
      <c r="AE2633">
        <v>-0.72870000000000301</v>
      </c>
      <c r="AF2633">
        <v>-0.47854588209524601</v>
      </c>
      <c r="AG2633">
        <v>-6.4705000000000207E-2</v>
      </c>
      <c r="AH2633">
        <v>0.57516126336784901</v>
      </c>
      <c r="AI2633">
        <v>94.942633436684801</v>
      </c>
      <c r="AJ2633">
        <v>129.76114570268601</v>
      </c>
      <c r="AK2633">
        <v>0.75100158267091399</v>
      </c>
      <c r="AL2633">
        <v>83.695988345312003</v>
      </c>
      <c r="AM2633">
        <v>110.071240883318</v>
      </c>
      <c r="AN2633">
        <v>0.99999995836661404</v>
      </c>
    </row>
    <row r="2634" spans="1:40" x14ac:dyDescent="0.25">
      <c r="A2634" t="str">
        <f>"20190303162306648"</f>
        <v>20190303162306648</v>
      </c>
      <c r="B2634" t="str">
        <f>"1551601386637149"</f>
        <v>1551601386637149</v>
      </c>
      <c r="C2634" t="s">
        <v>40</v>
      </c>
      <c r="D2634">
        <v>5.7469349999999997</v>
      </c>
      <c r="E2634">
        <v>0.443268</v>
      </c>
      <c r="F2634" t="s">
        <v>42</v>
      </c>
      <c r="G2634">
        <v>-483.26870000000002</v>
      </c>
      <c r="H2634">
        <v>1.0697909999999999</v>
      </c>
      <c r="I2634">
        <v>279.31509999999997</v>
      </c>
      <c r="J2634">
        <v>-482.97949999999997</v>
      </c>
      <c r="K2634">
        <v>1.1315980000000001</v>
      </c>
      <c r="L2634">
        <v>280.0505</v>
      </c>
      <c r="M2634">
        <v>-0.80918159999999995</v>
      </c>
      <c r="N2634">
        <v>-1.3617539999999999E-2</v>
      </c>
      <c r="O2634">
        <v>-0.58740099999999995</v>
      </c>
      <c r="P2634">
        <v>-0.56025979999999997</v>
      </c>
      <c r="Q2634">
        <v>0.1060519</v>
      </c>
      <c r="R2634">
        <v>-0.82149989999999995</v>
      </c>
      <c r="S2634">
        <v>-1.360077</v>
      </c>
      <c r="T2634">
        <v>-0.2035776</v>
      </c>
      <c r="U2634">
        <v>-2.7542719999999998</v>
      </c>
      <c r="V2634">
        <v>-0.33876709999999999</v>
      </c>
      <c r="W2634">
        <v>0.1096655</v>
      </c>
      <c r="X2634">
        <v>0.93445719999999999</v>
      </c>
      <c r="Y2634">
        <v>-0.46511520000000001</v>
      </c>
      <c r="Z2634">
        <v>1.495205E-2</v>
      </c>
      <c r="AA2634">
        <v>0.88512389999999996</v>
      </c>
      <c r="AB2634">
        <v>27</v>
      </c>
      <c r="AC2634">
        <v>-0.28920000000004997</v>
      </c>
      <c r="AD2634">
        <v>-6.1806999999999897E-2</v>
      </c>
      <c r="AE2634">
        <v>-0.73540000000002603</v>
      </c>
      <c r="AF2634">
        <v>-0.42264957723759999</v>
      </c>
      <c r="AG2634">
        <v>-6.1806999999999897E-2</v>
      </c>
      <c r="AH2634">
        <v>0.66200186249033699</v>
      </c>
      <c r="AI2634">
        <v>94.499519919336606</v>
      </c>
      <c r="AJ2634">
        <v>122.555857226539</v>
      </c>
      <c r="AK2634">
        <v>0.78784467779429601</v>
      </c>
      <c r="AL2634">
        <v>83.703966298262998</v>
      </c>
      <c r="AM2634">
        <v>109.927009448487</v>
      </c>
      <c r="AN2634">
        <v>0.99999996428224902</v>
      </c>
    </row>
    <row r="2635" spans="1:40" x14ac:dyDescent="0.25">
      <c r="A2635" t="str">
        <f>"20190303162306668"</f>
        <v>20190303162306668</v>
      </c>
      <c r="B2635" t="str">
        <f>"1551601386656669"</f>
        <v>1551601386656669</v>
      </c>
      <c r="C2635" t="s">
        <v>40</v>
      </c>
      <c r="D2635">
        <v>5.7469440000000001</v>
      </c>
      <c r="E2635">
        <v>0.44410270000000002</v>
      </c>
      <c r="F2635" t="s">
        <v>42</v>
      </c>
      <c r="G2635">
        <v>-483.42039999999997</v>
      </c>
      <c r="H2635">
        <v>1.0633280000000001</v>
      </c>
      <c r="I2635">
        <v>279.14760000000001</v>
      </c>
      <c r="J2635">
        <v>-483.15440000000001</v>
      </c>
      <c r="K2635">
        <v>1.1318049999999999</v>
      </c>
      <c r="L2635">
        <v>279.9058</v>
      </c>
      <c r="M2635">
        <v>-0.80093149999999902</v>
      </c>
      <c r="N2635">
        <v>-1.3703119999999999E-2</v>
      </c>
      <c r="O2635">
        <v>-0.59859949999999995</v>
      </c>
      <c r="P2635">
        <v>-0.552122</v>
      </c>
      <c r="Q2635">
        <v>0.1059997</v>
      </c>
      <c r="R2635">
        <v>-0.82699789999999995</v>
      </c>
      <c r="S2635">
        <v>-1.3468929999999999</v>
      </c>
      <c r="T2635">
        <v>-0.20857200000000001</v>
      </c>
      <c r="U2635">
        <v>-2.7602540000000002</v>
      </c>
      <c r="V2635">
        <v>-0.33505020000000002</v>
      </c>
      <c r="W2635">
        <v>0.1096384</v>
      </c>
      <c r="X2635">
        <v>0.93579950000000001</v>
      </c>
      <c r="Y2635">
        <v>-0.4569723</v>
      </c>
      <c r="Z2635">
        <v>1.6605829999999999E-2</v>
      </c>
      <c r="AA2635">
        <v>0.8893259</v>
      </c>
      <c r="AB2635">
        <v>27</v>
      </c>
      <c r="AC2635">
        <v>-0.26599999999996199</v>
      </c>
      <c r="AD2635">
        <v>-6.8476999999999899E-2</v>
      </c>
      <c r="AE2635">
        <v>-0.758199999999987</v>
      </c>
      <c r="AF2635">
        <v>-0.444849875038067</v>
      </c>
      <c r="AG2635">
        <v>-6.8476999999999899E-2</v>
      </c>
      <c r="AH2635">
        <v>0.66215920938013995</v>
      </c>
      <c r="AI2635">
        <v>94.906335812631994</v>
      </c>
      <c r="AJ2635">
        <v>123.893880571477</v>
      </c>
      <c r="AK2635">
        <v>0.80064681940123705</v>
      </c>
      <c r="AL2635">
        <v>83.705528404827007</v>
      </c>
      <c r="AM2635">
        <v>109.699211442707</v>
      </c>
      <c r="AN2635">
        <v>0.99999995973742395</v>
      </c>
    </row>
    <row r="2636" spans="1:40" x14ac:dyDescent="0.25">
      <c r="A2636" t="str">
        <f>"20190303162306684"</f>
        <v>20190303162306684</v>
      </c>
      <c r="B2636" t="str">
        <f>"1551601386677165"</f>
        <v>1551601386677165</v>
      </c>
      <c r="C2636" t="s">
        <v>40</v>
      </c>
      <c r="D2636">
        <v>5.7616610000000001</v>
      </c>
      <c r="E2636">
        <v>0.44496150000000001</v>
      </c>
      <c r="F2636" t="s">
        <v>42</v>
      </c>
      <c r="G2636">
        <v>-483.58949999999999</v>
      </c>
      <c r="H2636">
        <v>1.062478</v>
      </c>
      <c r="I2636">
        <v>278.99549999999999</v>
      </c>
      <c r="J2636">
        <v>-483.29910000000001</v>
      </c>
      <c r="K2636">
        <v>1.13198</v>
      </c>
      <c r="L2636">
        <v>279.78309999999999</v>
      </c>
      <c r="M2636">
        <v>-0.79379449999999996</v>
      </c>
      <c r="N2636">
        <v>-1.377632E-2</v>
      </c>
      <c r="O2636">
        <v>-0.60803019999999997</v>
      </c>
      <c r="P2636">
        <v>-0.54362670000000002</v>
      </c>
      <c r="Q2636">
        <v>0.1048106</v>
      </c>
      <c r="R2636">
        <v>-0.83275769999999905</v>
      </c>
      <c r="S2636">
        <v>-1.3247070000000001</v>
      </c>
      <c r="T2636">
        <v>-0.2110456</v>
      </c>
      <c r="U2636">
        <v>-2.7702640000000001</v>
      </c>
      <c r="V2636">
        <v>-0.3336964</v>
      </c>
      <c r="W2636">
        <v>0.108417</v>
      </c>
      <c r="X2636">
        <v>0.93642539999999996</v>
      </c>
      <c r="Y2636">
        <v>-0.45350760000000001</v>
      </c>
      <c r="Z2636">
        <v>1.7672509999999999E-2</v>
      </c>
      <c r="AA2636">
        <v>0.89107719999999901</v>
      </c>
      <c r="AB2636">
        <v>27</v>
      </c>
      <c r="AC2636">
        <v>-0.29039999999997601</v>
      </c>
      <c r="AD2636">
        <v>-6.9501999999999897E-2</v>
      </c>
      <c r="AE2636">
        <v>-0.78759999999999697</v>
      </c>
      <c r="AF2636">
        <v>-0.44560834695413098</v>
      </c>
      <c r="AG2636">
        <v>-6.9501999999999897E-2</v>
      </c>
      <c r="AH2636">
        <v>0.70463927531432902</v>
      </c>
      <c r="AI2636">
        <v>94.765390219045202</v>
      </c>
      <c r="AJ2636">
        <v>122.308939256679</v>
      </c>
      <c r="AK2636">
        <v>0.83660853162915805</v>
      </c>
      <c r="AL2636">
        <v>83.775929605009793</v>
      </c>
      <c r="AM2636">
        <v>109.61359104149901</v>
      </c>
      <c r="AN2636">
        <v>1.00000003151355</v>
      </c>
    </row>
    <row r="2637" spans="1:40" x14ac:dyDescent="0.25">
      <c r="A2637" t="str">
        <f>"20190303162306696"</f>
        <v>20190303162306696</v>
      </c>
      <c r="B2637" t="str">
        <f>"1551601386686925"</f>
        <v>1551601386686925</v>
      </c>
      <c r="C2637" t="s">
        <v>40</v>
      </c>
      <c r="D2637">
        <v>5.7467769999999998</v>
      </c>
      <c r="E2637">
        <v>0.44530110000000001</v>
      </c>
      <c r="F2637" t="s">
        <v>42</v>
      </c>
      <c r="G2637">
        <v>-483.7448</v>
      </c>
      <c r="H2637">
        <v>1.0581700000000001</v>
      </c>
      <c r="I2637">
        <v>278.83170000000001</v>
      </c>
      <c r="J2637">
        <v>-483.41300000000001</v>
      </c>
      <c r="K2637">
        <v>1.132117</v>
      </c>
      <c r="L2637">
        <v>279.68360000000001</v>
      </c>
      <c r="M2637">
        <v>-0.78791580000000006</v>
      </c>
      <c r="N2637">
        <v>-1.3836660000000001E-2</v>
      </c>
      <c r="O2637">
        <v>-0.61562740000000005</v>
      </c>
      <c r="P2637">
        <v>-0.53765649999999998</v>
      </c>
      <c r="Q2637">
        <v>0.1022922</v>
      </c>
      <c r="R2637">
        <v>-0.83693609999999896</v>
      </c>
      <c r="S2637">
        <v>-1.301941</v>
      </c>
      <c r="T2637">
        <v>-0.2156401</v>
      </c>
      <c r="U2637">
        <v>-2.7797550000000002</v>
      </c>
      <c r="V2637">
        <v>-0.33160729999999999</v>
      </c>
      <c r="W2637">
        <v>0.1059123</v>
      </c>
      <c r="X2637">
        <v>0.9374536</v>
      </c>
      <c r="Y2637">
        <v>-0.45210139999999999</v>
      </c>
      <c r="Z2637">
        <v>1.885906E-2</v>
      </c>
      <c r="AA2637">
        <v>0.89176710000000003</v>
      </c>
      <c r="AB2637">
        <v>27</v>
      </c>
      <c r="AC2637">
        <v>-0.33179999999998699</v>
      </c>
      <c r="AD2637">
        <v>-7.3946999999999902E-2</v>
      </c>
      <c r="AE2637">
        <v>-0.85189999999999999</v>
      </c>
      <c r="AF2637">
        <v>-0.46396964276550501</v>
      </c>
      <c r="AG2637">
        <v>-7.3946999999999902E-2</v>
      </c>
      <c r="AH2637">
        <v>0.78085023933529996</v>
      </c>
      <c r="AI2637">
        <v>94.654368670096005</v>
      </c>
      <c r="AJ2637">
        <v>120.718154118987</v>
      </c>
      <c r="AK2637">
        <v>0.91129747310466402</v>
      </c>
      <c r="AL2637">
        <v>83.920269608923803</v>
      </c>
      <c r="AM2637">
        <v>109.480314625288</v>
      </c>
      <c r="AN2637">
        <v>1.0000000344287601</v>
      </c>
    </row>
    <row r="2638" spans="1:40" x14ac:dyDescent="0.25">
      <c r="A2638" t="str">
        <f>"20190303162306713"</f>
        <v>20190303162306713</v>
      </c>
      <c r="B2638" t="str">
        <f>"1551601386707421"</f>
        <v>1551601386707421</v>
      </c>
      <c r="C2638" t="s">
        <v>40</v>
      </c>
      <c r="D2638">
        <v>5.7471550000000002</v>
      </c>
      <c r="E2638">
        <v>0.44592340000000003</v>
      </c>
      <c r="F2638" t="s">
        <v>42</v>
      </c>
      <c r="G2638">
        <v>-483.81549999999999</v>
      </c>
      <c r="H2638">
        <v>1.0621620000000001</v>
      </c>
      <c r="I2638">
        <v>278.8098</v>
      </c>
      <c r="J2638">
        <v>-483.54610000000002</v>
      </c>
      <c r="K2638">
        <v>1.1322669999999999</v>
      </c>
      <c r="L2638">
        <v>279.56479999999999</v>
      </c>
      <c r="M2638">
        <v>-0.78079619999999905</v>
      </c>
      <c r="N2638">
        <v>-1.3907249999999999E-2</v>
      </c>
      <c r="O2638">
        <v>-0.62463100000000005</v>
      </c>
      <c r="P2638">
        <v>-0.53203330000000004</v>
      </c>
      <c r="Q2638">
        <v>9.7107890000000002E-2</v>
      </c>
      <c r="R2638">
        <v>-0.84113680000000002</v>
      </c>
      <c r="S2638">
        <v>-1.2837829999999999</v>
      </c>
      <c r="T2638">
        <v>-0.22310289999999999</v>
      </c>
      <c r="U2638">
        <v>-2.7870789999999999</v>
      </c>
      <c r="V2638">
        <v>-0.32749800000000001</v>
      </c>
      <c r="W2638">
        <v>0.1008067</v>
      </c>
      <c r="X2638">
        <v>0.93945900000000004</v>
      </c>
      <c r="Y2638">
        <v>-0.44755089999999997</v>
      </c>
      <c r="Z2638">
        <v>2.0704E-2</v>
      </c>
      <c r="AA2638">
        <v>0.8940188</v>
      </c>
      <c r="AB2638">
        <v>27</v>
      </c>
      <c r="AC2638">
        <v>-0.269399999999961</v>
      </c>
      <c r="AD2638">
        <v>-7.0104999999999806E-2</v>
      </c>
      <c r="AE2638">
        <v>-0.75499999999999501</v>
      </c>
      <c r="AF2638">
        <v>-0.41806882695386699</v>
      </c>
      <c r="AG2638">
        <v>-7.0104999999999806E-2</v>
      </c>
      <c r="AH2638">
        <v>0.67683234273579895</v>
      </c>
      <c r="AI2638">
        <v>95.036041483718904</v>
      </c>
      <c r="AJ2638">
        <v>121.702981236555</v>
      </c>
      <c r="AK2638">
        <v>0.798622736508805</v>
      </c>
      <c r="AL2638">
        <v>84.214374685555995</v>
      </c>
      <c r="AM2638">
        <v>109.218695818228</v>
      </c>
      <c r="AN2638">
        <v>1.00000007172494</v>
      </c>
    </row>
    <row r="2639" spans="1:40" x14ac:dyDescent="0.25">
      <c r="A2639" t="str">
        <f>"20190303162306725"</f>
        <v>20190303162306725</v>
      </c>
      <c r="B2639" t="str">
        <f>"1551601386717180"</f>
        <v>1551601386717180</v>
      </c>
      <c r="C2639" t="s">
        <v>40</v>
      </c>
      <c r="D2639">
        <v>5.805631</v>
      </c>
      <c r="E2639">
        <v>0.44611790000000001</v>
      </c>
      <c r="F2639" t="s">
        <v>42</v>
      </c>
      <c r="G2639">
        <v>-483.94499999999999</v>
      </c>
      <c r="H2639">
        <v>1.055833</v>
      </c>
      <c r="I2639">
        <v>278.68630000000002</v>
      </c>
      <c r="J2639">
        <v>-483.65609999999998</v>
      </c>
      <c r="K2639">
        <v>1.132395</v>
      </c>
      <c r="L2639">
        <v>279.4649</v>
      </c>
      <c r="M2639">
        <v>-0.77472580000000002</v>
      </c>
      <c r="N2639">
        <v>-1.396526E-2</v>
      </c>
      <c r="O2639">
        <v>-0.63214309999999996</v>
      </c>
      <c r="P2639">
        <v>-0.52543209999999996</v>
      </c>
      <c r="Q2639">
        <v>9.5344310000000002E-2</v>
      </c>
      <c r="R2639">
        <v>-0.84547659999999902</v>
      </c>
      <c r="S2639">
        <v>-1.2679750000000001</v>
      </c>
      <c r="T2639">
        <v>-0.2429885</v>
      </c>
      <c r="U2639">
        <v>-2.7926639999999998</v>
      </c>
      <c r="V2639">
        <v>-0.32591490000000001</v>
      </c>
      <c r="W2639">
        <v>9.9046019999999999E-2</v>
      </c>
      <c r="X2639">
        <v>0.94019649999999999</v>
      </c>
      <c r="Y2639">
        <v>-0.4437816</v>
      </c>
      <c r="Z2639">
        <v>2.4294509999999998E-2</v>
      </c>
      <c r="AA2639">
        <v>0.89580559999999998</v>
      </c>
      <c r="AB2639">
        <v>27</v>
      </c>
      <c r="AC2639">
        <v>-0.28890000000001198</v>
      </c>
      <c r="AD2639">
        <v>-7.6562000000000005E-2</v>
      </c>
      <c r="AE2639">
        <v>-0.77859999999998297</v>
      </c>
      <c r="AF2639">
        <v>-0.41707160992436698</v>
      </c>
      <c r="AG2639">
        <v>-7.6562000000000005E-2</v>
      </c>
      <c r="AH2639">
        <v>0.71003996150523496</v>
      </c>
      <c r="AI2639">
        <v>95.311785764335895</v>
      </c>
      <c r="AJ2639">
        <v>120.429624381308</v>
      </c>
      <c r="AK2639">
        <v>0.82702310402023205</v>
      </c>
      <c r="AL2639">
        <v>84.315761544570293</v>
      </c>
      <c r="AM2639">
        <v>109.11864444296999</v>
      </c>
      <c r="AN2639">
        <v>1.00000004736604</v>
      </c>
    </row>
    <row r="2640" spans="1:40" x14ac:dyDescent="0.25">
      <c r="A2640" t="str">
        <f>"20190303162306739"</f>
        <v>20190303162306739</v>
      </c>
      <c r="B2640" t="str">
        <f>"1551601386726941"</f>
        <v>1551601386726941</v>
      </c>
      <c r="C2640" t="s">
        <v>40</v>
      </c>
      <c r="D2640">
        <v>5.7520860000000003</v>
      </c>
      <c r="E2640">
        <v>0.44642189999999998</v>
      </c>
      <c r="F2640" t="s">
        <v>42</v>
      </c>
      <c r="G2640">
        <v>-484.0763</v>
      </c>
      <c r="H2640">
        <v>1.0489379999999999</v>
      </c>
      <c r="I2640">
        <v>278.52109999999999</v>
      </c>
      <c r="J2640">
        <v>-483.77679999999998</v>
      </c>
      <c r="K2640">
        <v>1.1325419999999999</v>
      </c>
      <c r="L2640">
        <v>279.35239999999999</v>
      </c>
      <c r="M2640">
        <v>-0.767787</v>
      </c>
      <c r="N2640">
        <v>-1.403048E-2</v>
      </c>
      <c r="O2640">
        <v>-0.64055150000000005</v>
      </c>
      <c r="P2640">
        <v>-0.51747310000000002</v>
      </c>
      <c r="Q2640">
        <v>9.5186850000000003E-2</v>
      </c>
      <c r="R2640">
        <v>-0.85038879999999994</v>
      </c>
      <c r="S2640">
        <v>-1.2468870000000001</v>
      </c>
      <c r="T2640">
        <v>-0.24768419999999999</v>
      </c>
      <c r="U2640">
        <v>-2.801361</v>
      </c>
      <c r="V2640">
        <v>-0.32453369999999998</v>
      </c>
      <c r="W2640">
        <v>9.8881360000000001E-2</v>
      </c>
      <c r="X2640">
        <v>0.94069139999999996</v>
      </c>
      <c r="Y2640">
        <v>-0.44068580000000002</v>
      </c>
      <c r="Z2640">
        <v>2.578161E-2</v>
      </c>
      <c r="AA2640">
        <v>0.89729110000000001</v>
      </c>
      <c r="AB2640">
        <v>27</v>
      </c>
      <c r="AC2640">
        <v>-0.29950000000002303</v>
      </c>
      <c r="AD2640">
        <v>-8.3603999999999998E-2</v>
      </c>
      <c r="AE2640">
        <v>-0.83129999999999804</v>
      </c>
      <c r="AF2640">
        <v>-0.44249871550931202</v>
      </c>
      <c r="AG2640">
        <v>-8.3603999999999998E-2</v>
      </c>
      <c r="AH2640">
        <v>0.75575199228395196</v>
      </c>
      <c r="AI2640">
        <v>95.453150315614096</v>
      </c>
      <c r="AJ2640">
        <v>120.349307510269</v>
      </c>
      <c r="AK2640">
        <v>0.87974758646133999</v>
      </c>
      <c r="AL2640">
        <v>84.325242012891493</v>
      </c>
      <c r="AM2640">
        <v>109.034171295842</v>
      </c>
      <c r="AN2640">
        <v>0.99999997791254902</v>
      </c>
    </row>
    <row r="2641" spans="1:40" x14ac:dyDescent="0.25">
      <c r="A2641" t="str">
        <f>"20190303162306752"</f>
        <v>20190303162306752</v>
      </c>
      <c r="B2641" t="str">
        <f>"1551601386747438"</f>
        <v>1551601386747438</v>
      </c>
      <c r="C2641" t="s">
        <v>40</v>
      </c>
      <c r="D2641">
        <v>5.659986</v>
      </c>
      <c r="E2641">
        <v>0.45467079999999999</v>
      </c>
      <c r="F2641" t="s">
        <v>41</v>
      </c>
      <c r="G2641">
        <v>-489.37810000000002</v>
      </c>
      <c r="H2641" s="1">
        <v>-3.0450160000000001E-6</v>
      </c>
      <c r="I2641">
        <v>266.47359999999998</v>
      </c>
      <c r="J2641">
        <v>-483.87959999999998</v>
      </c>
      <c r="K2641">
        <v>1.132666</v>
      </c>
      <c r="L2641">
        <v>279.25420000000003</v>
      </c>
      <c r="M2641">
        <v>-0.76164829999999994</v>
      </c>
      <c r="N2641">
        <v>-1.4087189999999999E-2</v>
      </c>
      <c r="O2641">
        <v>-0.64783769999999996</v>
      </c>
      <c r="P2641">
        <v>-0.50966499999999904</v>
      </c>
      <c r="Q2641">
        <v>9.5781699999999997E-2</v>
      </c>
      <c r="R2641">
        <v>-0.85502489999999998</v>
      </c>
      <c r="S2641">
        <v>-1.2227479999999999</v>
      </c>
      <c r="T2641">
        <v>-0.2472337</v>
      </c>
      <c r="U2641">
        <v>-2.8114319999999999</v>
      </c>
      <c r="V2641">
        <v>-0.32418209999999997</v>
      </c>
      <c r="W2641">
        <v>9.9443610000000002E-2</v>
      </c>
      <c r="X2641">
        <v>0.94075339999999996</v>
      </c>
      <c r="Y2641">
        <v>-0.4397972</v>
      </c>
      <c r="Z2641">
        <v>2.632955E-2</v>
      </c>
      <c r="AA2641">
        <v>0.89771109999999898</v>
      </c>
      <c r="AB2641">
        <v>27</v>
      </c>
      <c r="AC2641">
        <v>-5.4985000000000301</v>
      </c>
      <c r="AD2641">
        <v>-1.132669045016</v>
      </c>
      <c r="AE2641">
        <v>-12.7806</v>
      </c>
      <c r="AF2641">
        <v>-6.1321573041321598</v>
      </c>
      <c r="AG2641">
        <v>-1.132669045016</v>
      </c>
      <c r="AH2641">
        <v>12.386819272048101</v>
      </c>
      <c r="AI2641">
        <v>94.684874353850702</v>
      </c>
      <c r="AJ2641">
        <v>116.33794285474301</v>
      </c>
      <c r="AK2641">
        <v>13.8679336617444</v>
      </c>
      <c r="AL2641">
        <v>84.292868094374199</v>
      </c>
      <c r="AM2641">
        <v>109.013868384837</v>
      </c>
      <c r="AN2641">
        <v>1.0000000125709001</v>
      </c>
    </row>
    <row r="2642" spans="1:40" x14ac:dyDescent="0.25">
      <c r="A2642" t="str">
        <f>"20190303162306765"</f>
        <v>20190303162306765</v>
      </c>
      <c r="B2642" t="str">
        <f>"1551601386757197"</f>
        <v>1551601386757197</v>
      </c>
      <c r="C2642" t="s">
        <v>40</v>
      </c>
      <c r="D2642">
        <v>5.8278600000000003</v>
      </c>
      <c r="E2642">
        <v>0.4551519</v>
      </c>
      <c r="F2642" t="s">
        <v>41</v>
      </c>
      <c r="G2642">
        <v>-490.86799999999999</v>
      </c>
      <c r="H2642" s="1">
        <v>-1.9916039999999998E-6</v>
      </c>
      <c r="I2642">
        <v>263.69330000000002</v>
      </c>
      <c r="J2642">
        <v>-483.99189999999999</v>
      </c>
      <c r="K2642">
        <v>1.132803</v>
      </c>
      <c r="L2642">
        <v>279.14530000000002</v>
      </c>
      <c r="M2642">
        <v>-0.75476769999999904</v>
      </c>
      <c r="N2642">
        <v>-1.4148590000000001E-2</v>
      </c>
      <c r="O2642">
        <v>-0.65583959999999997</v>
      </c>
      <c r="P2642">
        <v>-0.50043269999999995</v>
      </c>
      <c r="Q2642">
        <v>9.7257940000000001E-2</v>
      </c>
      <c r="R2642">
        <v>-0.86029549999999999</v>
      </c>
      <c r="S2642">
        <v>-1.251007</v>
      </c>
      <c r="T2642">
        <v>-0.20276330000000001</v>
      </c>
      <c r="U2642">
        <v>-2.7856139999999998</v>
      </c>
      <c r="V2642">
        <v>-0.32433279999999998</v>
      </c>
      <c r="W2642">
        <v>0.1008655</v>
      </c>
      <c r="X2642">
        <v>0.94055</v>
      </c>
      <c r="Y2642">
        <v>-0.41962509999999997</v>
      </c>
      <c r="Z2642">
        <v>2.085656E-2</v>
      </c>
      <c r="AA2642">
        <v>0.90745790000000004</v>
      </c>
      <c r="AB2642">
        <v>27</v>
      </c>
      <c r="AC2642">
        <v>-6.8761000000000596</v>
      </c>
      <c r="AD2642">
        <v>-1.1328049916039999</v>
      </c>
      <c r="AE2642">
        <v>-15.4519999999999</v>
      </c>
      <c r="AF2642">
        <v>-7.1218180369600796</v>
      </c>
      <c r="AG2642">
        <v>-1.1328049916039999</v>
      </c>
      <c r="AH2642">
        <v>15.2569799315423</v>
      </c>
      <c r="AI2642">
        <v>93.849023195150707</v>
      </c>
      <c r="AJ2642">
        <v>115.02273412734</v>
      </c>
      <c r="AK2642">
        <v>16.8753955785355</v>
      </c>
      <c r="AL2642">
        <v>84.210987775977401</v>
      </c>
      <c r="AM2642">
        <v>109.025889894934</v>
      </c>
      <c r="AN2642">
        <v>0.99999995837304401</v>
      </c>
    </row>
    <row r="2643" spans="1:40" x14ac:dyDescent="0.25">
      <c r="A2643" t="str">
        <f>"20190303162306779"</f>
        <v>20190303162306779</v>
      </c>
      <c r="B2643" t="str">
        <f>"1551601386766960"</f>
        <v>1551601386766960</v>
      </c>
      <c r="C2643" t="s">
        <v>40</v>
      </c>
      <c r="D2643">
        <v>5.8322320000000003</v>
      </c>
      <c r="E2643">
        <v>0.45490659999999999</v>
      </c>
      <c r="F2643" t="s">
        <v>42</v>
      </c>
      <c r="G2643">
        <v>-484.41340000000002</v>
      </c>
      <c r="H2643">
        <v>1.0646719999999901</v>
      </c>
      <c r="I2643">
        <v>278.18310000000002</v>
      </c>
      <c r="J2643">
        <v>-484.11169999999998</v>
      </c>
      <c r="K2643">
        <v>1.132959</v>
      </c>
      <c r="L2643">
        <v>279.02589999999998</v>
      </c>
      <c r="M2643">
        <v>-0.74712140000000005</v>
      </c>
      <c r="N2643">
        <v>-1.4215810000000001E-2</v>
      </c>
      <c r="O2643">
        <v>-0.66453589999999996</v>
      </c>
      <c r="P2643">
        <v>-0.48998120000000001</v>
      </c>
      <c r="Q2643">
        <v>0.1005545</v>
      </c>
      <c r="R2643">
        <v>-0.86591430000000003</v>
      </c>
      <c r="S2643">
        <v>-1.22439599999999</v>
      </c>
      <c r="T2643">
        <v>-0.19794729999999999</v>
      </c>
      <c r="U2643">
        <v>-2.7973020000000002</v>
      </c>
      <c r="V2643">
        <v>-0.32468330000000001</v>
      </c>
      <c r="W2643">
        <v>0.104099499999999</v>
      </c>
      <c r="X2643">
        <v>0.94007660000000004</v>
      </c>
      <c r="Y2643">
        <v>-0.41776039999999998</v>
      </c>
      <c r="Z2643">
        <v>2.0668269999999999E-2</v>
      </c>
      <c r="AA2643">
        <v>0.90832219999999997</v>
      </c>
      <c r="AB2643">
        <v>27</v>
      </c>
      <c r="AC2643">
        <v>-0.30170000000003899</v>
      </c>
      <c r="AD2643">
        <v>-6.8287000000000195E-2</v>
      </c>
      <c r="AE2643">
        <v>-0.84279999999995403</v>
      </c>
      <c r="AF2643">
        <v>-0.426743415603412</v>
      </c>
      <c r="AG2643">
        <v>-6.8287000000000195E-2</v>
      </c>
      <c r="AH2643">
        <v>0.78101173998929596</v>
      </c>
      <c r="AI2643">
        <v>94.387564544032799</v>
      </c>
      <c r="AJ2643">
        <v>118.652113310324</v>
      </c>
      <c r="AK2643">
        <v>0.89260987846369599</v>
      </c>
      <c r="AL2643">
        <v>84.024712501979906</v>
      </c>
      <c r="AM2643">
        <v>109.05386926105901</v>
      </c>
      <c r="AN2643">
        <v>0.99999998253334899</v>
      </c>
    </row>
    <row r="2644" spans="1:40" x14ac:dyDescent="0.25">
      <c r="A2644" t="str">
        <f>"20190303162306802"</f>
        <v>20190303162306802</v>
      </c>
      <c r="B2644" t="str">
        <f>"1551601386797213"</f>
        <v>1551601386797213</v>
      </c>
      <c r="C2644" t="s">
        <v>40</v>
      </c>
      <c r="D2644">
        <v>5.8315109999999999</v>
      </c>
      <c r="E2644">
        <v>0.45569019999999999</v>
      </c>
      <c r="F2644" t="s">
        <v>41</v>
      </c>
      <c r="G2644">
        <v>-491.34980000000002</v>
      </c>
      <c r="H2644" s="1">
        <v>-1.3576759999999999E-6</v>
      </c>
      <c r="I2644">
        <v>261.91669999999999</v>
      </c>
      <c r="J2644">
        <v>-484.29050000000001</v>
      </c>
      <c r="K2644">
        <v>1.1331709999999999</v>
      </c>
      <c r="L2644">
        <v>278.84249999999997</v>
      </c>
      <c r="M2644">
        <v>-0.73517829999999995</v>
      </c>
      <c r="N2644">
        <v>-1.431544E-2</v>
      </c>
      <c r="O2644">
        <v>-0.67772250000000001</v>
      </c>
      <c r="P2644">
        <v>-0.47537590000000002</v>
      </c>
      <c r="Q2644">
        <v>0.10268919999999999</v>
      </c>
      <c r="R2644">
        <v>-0.87376929999999997</v>
      </c>
      <c r="S2644">
        <v>-1.189972</v>
      </c>
      <c r="T2644">
        <v>-0.18626419999999999</v>
      </c>
      <c r="U2644">
        <v>-2.8128359999999999</v>
      </c>
      <c r="V2644">
        <v>-0.32367479999999998</v>
      </c>
      <c r="W2644">
        <v>0.1062039</v>
      </c>
      <c r="X2644">
        <v>0.94018900000000005</v>
      </c>
      <c r="Y2644">
        <v>-0.41283819999999999</v>
      </c>
      <c r="Z2644">
        <v>1.963662E-2</v>
      </c>
      <c r="AA2644">
        <v>0.91059270000000003</v>
      </c>
      <c r="AB2644">
        <v>27</v>
      </c>
      <c r="AC2644">
        <v>-7.0593000000000004</v>
      </c>
      <c r="AD2644">
        <v>-1.133172357676</v>
      </c>
      <c r="AE2644">
        <v>-16.925799999999899</v>
      </c>
      <c r="AF2644">
        <v>-7.6308846746612904</v>
      </c>
      <c r="AG2644">
        <v>-1.133172357676</v>
      </c>
      <c r="AH2644">
        <v>16.599171534284</v>
      </c>
      <c r="AI2644">
        <v>93.549306887436899</v>
      </c>
      <c r="AJ2644">
        <v>114.68894142417599</v>
      </c>
      <c r="AK2644">
        <v>18.304288462946701</v>
      </c>
      <c r="AL2644">
        <v>83.903467184625597</v>
      </c>
      <c r="AM2644">
        <v>108.996827252092</v>
      </c>
      <c r="AN2644">
        <v>1.00000000012562</v>
      </c>
    </row>
    <row r="2645" spans="1:40" x14ac:dyDescent="0.25">
      <c r="A2645" t="str">
        <f>"20190303162306815"</f>
        <v>20190303162306815</v>
      </c>
      <c r="B2645" t="str">
        <f>"1551601386806973"</f>
        <v>1551601386806973</v>
      </c>
      <c r="C2645" t="s">
        <v>40</v>
      </c>
      <c r="D2645">
        <v>5.6642150000000004</v>
      </c>
      <c r="E2645">
        <v>0.45590930000000002</v>
      </c>
      <c r="F2645" t="s">
        <v>41</v>
      </c>
      <c r="G2645">
        <v>-491.37729999999999</v>
      </c>
      <c r="H2645" s="1">
        <v>-1.1457140000000001E-6</v>
      </c>
      <c r="I2645">
        <v>261.40559999999999</v>
      </c>
      <c r="J2645">
        <v>-484.39069999999998</v>
      </c>
      <c r="K2645">
        <v>1.1332719999999901</v>
      </c>
      <c r="L2645">
        <v>278.73590000000002</v>
      </c>
      <c r="M2645">
        <v>-0.7281514</v>
      </c>
      <c r="N2645">
        <v>-1.437048E-2</v>
      </c>
      <c r="O2645">
        <v>-0.68526580000000004</v>
      </c>
      <c r="P2645">
        <v>-0.46710170000000001</v>
      </c>
      <c r="Q2645">
        <v>0.1028593</v>
      </c>
      <c r="R2645">
        <v>-0.8782008</v>
      </c>
      <c r="S2645">
        <v>-1.1499330000000001</v>
      </c>
      <c r="T2645">
        <v>-0.18387510000000001</v>
      </c>
      <c r="U2645">
        <v>-2.8294069999999998</v>
      </c>
      <c r="V2645">
        <v>-0.32287969999999999</v>
      </c>
      <c r="W2645">
        <v>0.1063732</v>
      </c>
      <c r="X2645">
        <v>0.94044320000000003</v>
      </c>
      <c r="Y2645">
        <v>-0.41636329999999999</v>
      </c>
      <c r="Z2645">
        <v>1.9534550000000001E-2</v>
      </c>
      <c r="AA2645">
        <v>0.90898849999999998</v>
      </c>
      <c r="AB2645">
        <v>27</v>
      </c>
      <c r="AC2645">
        <v>-6.9866000000000099</v>
      </c>
      <c r="AD2645">
        <v>-1.13327314571399</v>
      </c>
      <c r="AE2645">
        <v>-17.330300000000001</v>
      </c>
      <c r="AF2645">
        <v>-7.8035080394519101</v>
      </c>
      <c r="AG2645">
        <v>-1.13327314571399</v>
      </c>
      <c r="AH2645">
        <v>16.902740226157</v>
      </c>
      <c r="AI2645">
        <v>93.483445649006299</v>
      </c>
      <c r="AJ2645">
        <v>114.781409126051</v>
      </c>
      <c r="AK2645">
        <v>18.651586337293999</v>
      </c>
      <c r="AL2645">
        <v>83.893711657458795</v>
      </c>
      <c r="AM2645">
        <v>108.94873865454301</v>
      </c>
      <c r="AN2645">
        <v>0.99999998538828405</v>
      </c>
    </row>
    <row r="2646" spans="1:40" x14ac:dyDescent="0.25">
      <c r="A2646" t="str">
        <f>"20190303162306829"</f>
        <v>20190303162306829</v>
      </c>
      <c r="B2646" t="str">
        <f>"1551601386816733"</f>
        <v>1551601386816733</v>
      </c>
      <c r="C2646" t="s">
        <v>40</v>
      </c>
      <c r="D2646">
        <v>5.63523</v>
      </c>
      <c r="E2646">
        <v>0.45631300000000002</v>
      </c>
      <c r="F2646" t="s">
        <v>41</v>
      </c>
      <c r="G2646">
        <v>-491.44580000000002</v>
      </c>
      <c r="H2646" s="1">
        <v>-9.5868759999999994E-7</v>
      </c>
      <c r="I2646">
        <v>260.9271</v>
      </c>
      <c r="J2646">
        <v>-484.50119999999998</v>
      </c>
      <c r="K2646">
        <v>1.1333770000000001</v>
      </c>
      <c r="L2646">
        <v>278.6164</v>
      </c>
      <c r="M2646">
        <v>-0.72020280000000003</v>
      </c>
      <c r="N2646">
        <v>-1.442849E-2</v>
      </c>
      <c r="O2646">
        <v>-0.6936137</v>
      </c>
      <c r="P2646">
        <v>-0.45776240000000001</v>
      </c>
      <c r="Q2646">
        <v>0.1020687</v>
      </c>
      <c r="R2646">
        <v>-0.88319639999999999</v>
      </c>
      <c r="S2646">
        <v>-1.124695</v>
      </c>
      <c r="T2646">
        <v>-0.18066119999999999</v>
      </c>
      <c r="U2646">
        <v>-2.8389890000000002</v>
      </c>
      <c r="V2646">
        <v>-0.32208170000000003</v>
      </c>
      <c r="W2646">
        <v>0.1055833</v>
      </c>
      <c r="X2646">
        <v>0.94080580000000003</v>
      </c>
      <c r="Y2646">
        <v>-0.4139235</v>
      </c>
      <c r="Z2646">
        <v>1.9513059999999999E-2</v>
      </c>
      <c r="AA2646">
        <v>0.91010250000000004</v>
      </c>
      <c r="AB2646">
        <v>27</v>
      </c>
      <c r="AC2646">
        <v>-6.9446000000000296</v>
      </c>
      <c r="AD2646">
        <v>-1.1333779586876001</v>
      </c>
      <c r="AE2646">
        <v>-17.689299999999999</v>
      </c>
      <c r="AF2646">
        <v>-7.8957530164925398</v>
      </c>
      <c r="AG2646">
        <v>-1.1333779586876001</v>
      </c>
      <c r="AH2646">
        <v>17.211636736719498</v>
      </c>
      <c r="AI2646">
        <v>93.425189051048307</v>
      </c>
      <c r="AJ2646">
        <v>114.643055804881</v>
      </c>
      <c r="AK2646">
        <v>18.970184512847599</v>
      </c>
      <c r="AL2646">
        <v>83.9392260247877</v>
      </c>
      <c r="AM2646">
        <v>108.898467074838</v>
      </c>
      <c r="AN2646">
        <v>1.00000000401371</v>
      </c>
    </row>
    <row r="2647" spans="1:40" x14ac:dyDescent="0.25">
      <c r="A2647" t="str">
        <f>"20190303162306842"</f>
        <v>20190303162306842</v>
      </c>
      <c r="B2647" t="str">
        <f>"1551601386837229"</f>
        <v>1551601386837229</v>
      </c>
      <c r="C2647" t="s">
        <v>40</v>
      </c>
      <c r="D2647">
        <v>5.6965339999999998</v>
      </c>
      <c r="E2647">
        <v>0.45673950000000002</v>
      </c>
      <c r="F2647" t="s">
        <v>41</v>
      </c>
      <c r="G2647">
        <v>-491.31560000000002</v>
      </c>
      <c r="H2647" s="1">
        <v>-9.271322E-7</v>
      </c>
      <c r="I2647">
        <v>260.93439999999998</v>
      </c>
      <c r="J2647">
        <v>-484.60309999999998</v>
      </c>
      <c r="K2647">
        <v>1.1334679999999999</v>
      </c>
      <c r="L2647">
        <v>278.50389999999999</v>
      </c>
      <c r="M2647">
        <v>-0.71264859999999997</v>
      </c>
      <c r="N2647">
        <v>-1.447969E-2</v>
      </c>
      <c r="O2647">
        <v>-0.701372</v>
      </c>
      <c r="P2647">
        <v>-0.44905919999999999</v>
      </c>
      <c r="Q2647">
        <v>0.1004906</v>
      </c>
      <c r="R2647">
        <v>-0.887833599999999</v>
      </c>
      <c r="S2647">
        <v>-1.0979000000000001</v>
      </c>
      <c r="T2647">
        <v>-0.18260460000000001</v>
      </c>
      <c r="U2647">
        <v>-2.848846</v>
      </c>
      <c r="V2647">
        <v>-0.32124320000000001</v>
      </c>
      <c r="W2647">
        <v>0.1040136</v>
      </c>
      <c r="X2647">
        <v>0.94126730000000003</v>
      </c>
      <c r="Y2647">
        <v>-0.41257860000000002</v>
      </c>
      <c r="Z2647">
        <v>2.0329989999999999E-2</v>
      </c>
      <c r="AA2647">
        <v>0.91069509999999998</v>
      </c>
      <c r="AB2647">
        <v>27</v>
      </c>
      <c r="AC2647">
        <v>-6.7125000000000297</v>
      </c>
      <c r="AD2647">
        <v>-1.1334689271321901</v>
      </c>
      <c r="AE2647">
        <v>-17.569500000000001</v>
      </c>
      <c r="AF2647">
        <v>-7.7854620430614503</v>
      </c>
      <c r="AG2647">
        <v>-1.1334689271321901</v>
      </c>
      <c r="AH2647">
        <v>17.046289751452498</v>
      </c>
      <c r="AI2647">
        <v>93.461248573258104</v>
      </c>
      <c r="AJ2647">
        <v>114.54735225459299</v>
      </c>
      <c r="AK2647">
        <v>18.774295334930599</v>
      </c>
      <c r="AL2647">
        <v>84.029661635226503</v>
      </c>
      <c r="AM2647">
        <v>108.84415538903799</v>
      </c>
      <c r="AN2647">
        <v>1.0000000762902399</v>
      </c>
    </row>
    <row r="2648" spans="1:40" x14ac:dyDescent="0.25">
      <c r="A2648" t="str">
        <f>"20190303162306857"</f>
        <v>20190303162306857</v>
      </c>
      <c r="B2648" t="str">
        <f>"1551601386846990"</f>
        <v>1551601386846990</v>
      </c>
      <c r="C2648" t="s">
        <v>40</v>
      </c>
      <c r="D2648">
        <v>5.8720359999999996</v>
      </c>
      <c r="E2648">
        <v>0.45734029999999998</v>
      </c>
      <c r="F2648" t="s">
        <v>41</v>
      </c>
      <c r="G2648">
        <v>-491.07060000000001</v>
      </c>
      <c r="H2648" s="1">
        <v>-1.002334E-6</v>
      </c>
      <c r="I2648">
        <v>261.26150000000001</v>
      </c>
      <c r="J2648">
        <v>-484.72280000000001</v>
      </c>
      <c r="K2648">
        <v>1.1335580000000001</v>
      </c>
      <c r="L2648">
        <v>278.36739999999998</v>
      </c>
      <c r="M2648">
        <v>-0.70342640000000001</v>
      </c>
      <c r="N2648">
        <v>-1.4535859999999999E-2</v>
      </c>
      <c r="O2648">
        <v>-0.71061960000000002</v>
      </c>
      <c r="P2648">
        <v>-0.43906070000000003</v>
      </c>
      <c r="Q2648">
        <v>9.7182099999999993E-2</v>
      </c>
      <c r="R2648">
        <v>-0.89318629999999999</v>
      </c>
      <c r="S2648">
        <v>-1.072052</v>
      </c>
      <c r="T2648">
        <v>-0.18788170000000001</v>
      </c>
      <c r="U2648">
        <v>-2.858063</v>
      </c>
      <c r="V2648">
        <v>-0.31969370000000003</v>
      </c>
      <c r="W2648">
        <v>0.1007464</v>
      </c>
      <c r="X2648">
        <v>0.94214980000000004</v>
      </c>
      <c r="Y2648">
        <v>-0.40887250000000003</v>
      </c>
      <c r="Z2648">
        <v>2.1930359999999999E-2</v>
      </c>
      <c r="AA2648">
        <v>0.91232800000000003</v>
      </c>
      <c r="AB2648">
        <v>27</v>
      </c>
      <c r="AC2648">
        <v>-6.3478000000000003</v>
      </c>
      <c r="AD2648">
        <v>-1.1335590023340001</v>
      </c>
      <c r="AE2648">
        <v>-17.105899999999899</v>
      </c>
      <c r="AF2648">
        <v>-7.4937401299250297</v>
      </c>
      <c r="AG2648">
        <v>-1.1335590023340001</v>
      </c>
      <c r="AH2648">
        <v>16.5588384058507</v>
      </c>
      <c r="AI2648">
        <v>93.568754161952697</v>
      </c>
      <c r="AJ2648">
        <v>114.349238295879</v>
      </c>
      <c r="AK2648">
        <v>18.2108820900498</v>
      </c>
      <c r="AL2648">
        <v>84.217847302851695</v>
      </c>
      <c r="AM2648">
        <v>108.74328911000801</v>
      </c>
      <c r="AN2648">
        <v>1.00000007228634</v>
      </c>
    </row>
    <row r="2649" spans="1:40" x14ac:dyDescent="0.25">
      <c r="A2649" t="str">
        <f>"20190303162306872"</f>
        <v>20190303162306872</v>
      </c>
      <c r="B2649" t="str">
        <f>"1551601386856749"</f>
        <v>1551601386856749</v>
      </c>
      <c r="C2649" t="s">
        <v>40</v>
      </c>
      <c r="D2649">
        <v>5.8744449999999997</v>
      </c>
      <c r="E2649">
        <v>0.45787749999999999</v>
      </c>
      <c r="F2649" t="s">
        <v>41</v>
      </c>
      <c r="G2649">
        <v>-490.66379999999998</v>
      </c>
      <c r="H2649" s="1">
        <v>-1.221835E-6</v>
      </c>
      <c r="I2649">
        <v>262.0256</v>
      </c>
      <c r="J2649">
        <v>-484.82769999999999</v>
      </c>
      <c r="K2649">
        <v>1.133621</v>
      </c>
      <c r="L2649">
        <v>278.24489999999997</v>
      </c>
      <c r="M2649">
        <v>-0.69508419999999904</v>
      </c>
      <c r="N2649">
        <v>-1.458134E-2</v>
      </c>
      <c r="O2649">
        <v>-0.71878059999999999</v>
      </c>
      <c r="P2649">
        <v>-0.42962080000000002</v>
      </c>
      <c r="Q2649">
        <v>9.6812029999999993E-2</v>
      </c>
      <c r="R2649">
        <v>-0.89780509999999902</v>
      </c>
      <c r="S2649">
        <v>-1.0426029999999999</v>
      </c>
      <c r="T2649">
        <v>-0.1989322</v>
      </c>
      <c r="U2649">
        <v>-2.8678889999999999</v>
      </c>
      <c r="V2649">
        <v>-0.31866270000000002</v>
      </c>
      <c r="W2649">
        <v>0.1004039</v>
      </c>
      <c r="X2649">
        <v>0.94253549999999997</v>
      </c>
      <c r="Y2649">
        <v>-0.40750500000000001</v>
      </c>
      <c r="Z2649">
        <v>2.4521149999999999E-2</v>
      </c>
      <c r="AA2649">
        <v>0.91287370000000001</v>
      </c>
      <c r="AB2649">
        <v>26</v>
      </c>
      <c r="AC2649">
        <v>-5.8360999999999796</v>
      </c>
      <c r="AD2649">
        <v>-1.1336222218350001</v>
      </c>
      <c r="AE2649">
        <v>-16.219299999999901</v>
      </c>
      <c r="AF2649">
        <v>-7.0491672481007601</v>
      </c>
      <c r="AG2649">
        <v>-1.1336222218350001</v>
      </c>
      <c r="AH2649">
        <v>15.648686112321</v>
      </c>
      <c r="AI2649">
        <v>93.778894708374594</v>
      </c>
      <c r="AJ2649">
        <v>114.24984220032</v>
      </c>
      <c r="AK2649">
        <v>17.200501018152998</v>
      </c>
      <c r="AL2649">
        <v>84.237570780062498</v>
      </c>
      <c r="AM2649">
        <v>108.679928656957</v>
      </c>
      <c r="AN2649">
        <v>1.00000001413337</v>
      </c>
    </row>
    <row r="2650" spans="1:40" x14ac:dyDescent="0.25">
      <c r="A2650" t="str">
        <f>"20190303162306893"</f>
        <v>20190303162306893</v>
      </c>
      <c r="B2650" t="str">
        <f>"1551601386887005"</f>
        <v>1551601386887005</v>
      </c>
      <c r="C2650" t="s">
        <v>40</v>
      </c>
      <c r="D2650">
        <v>5.8202759999999998</v>
      </c>
      <c r="E2650">
        <v>0.46745779999999998</v>
      </c>
      <c r="F2650" t="s">
        <v>41</v>
      </c>
      <c r="G2650">
        <v>-490.58600000000001</v>
      </c>
      <c r="H2650" s="1">
        <v>-1.1572149999999999E-6</v>
      </c>
      <c r="I2650">
        <v>261.92320000000001</v>
      </c>
      <c r="J2650">
        <v>-484.98340000000002</v>
      </c>
      <c r="K2650">
        <v>1.133704</v>
      </c>
      <c r="L2650">
        <v>278.05770000000001</v>
      </c>
      <c r="M2650">
        <v>-0.68224640000000003</v>
      </c>
      <c r="N2650">
        <v>-1.4642489999999999E-2</v>
      </c>
      <c r="O2650">
        <v>-0.73097590000000001</v>
      </c>
      <c r="P2650">
        <v>-0.4167651</v>
      </c>
      <c r="Q2650">
        <v>9.7815979999999997E-2</v>
      </c>
      <c r="R2650">
        <v>-0.90373619999999999</v>
      </c>
      <c r="S2650">
        <v>-1.0151059999999901</v>
      </c>
      <c r="T2650">
        <v>-0.1998413</v>
      </c>
      <c r="U2650">
        <v>-2.8772890000000002</v>
      </c>
      <c r="V2650">
        <v>-0.31539850000000003</v>
      </c>
      <c r="W2650">
        <v>0.1015202</v>
      </c>
      <c r="X2650">
        <v>0.94351339999999995</v>
      </c>
      <c r="Y2650">
        <v>-0.40003319999999998</v>
      </c>
      <c r="Z2650">
        <v>2.5713099999999999E-2</v>
      </c>
      <c r="AA2650">
        <v>0.91613990000000001</v>
      </c>
      <c r="AB2650">
        <v>26</v>
      </c>
      <c r="AC2650">
        <v>-5.60259999999999</v>
      </c>
      <c r="AD2650">
        <v>-1.1337051572149901</v>
      </c>
      <c r="AE2650">
        <v>-16.134499999999999</v>
      </c>
      <c r="AF2650">
        <v>-6.8827533958855103</v>
      </c>
      <c r="AG2650">
        <v>-1.1337051572149901</v>
      </c>
      <c r="AH2650">
        <v>15.549444932438901</v>
      </c>
      <c r="AI2650">
        <v>93.814286100309701</v>
      </c>
      <c r="AJ2650">
        <v>113.87593465100601</v>
      </c>
      <c r="AK2650">
        <v>17.042383031695401</v>
      </c>
      <c r="AL2650">
        <v>84.173283218185304</v>
      </c>
      <c r="AM2650">
        <v>108.483796873584</v>
      </c>
      <c r="AN2650">
        <v>1.00000005039492</v>
      </c>
    </row>
    <row r="2651" spans="1:40" x14ac:dyDescent="0.25">
      <c r="A2651" t="str">
        <f>"20190303162306915"</f>
        <v>20190303162306915</v>
      </c>
      <c r="B2651" t="str">
        <f>"1551601386907502"</f>
        <v>1551601386907502</v>
      </c>
      <c r="C2651" t="s">
        <v>40</v>
      </c>
      <c r="D2651">
        <v>5.68764</v>
      </c>
      <c r="E2651">
        <v>0.46732760000000001</v>
      </c>
      <c r="F2651" t="s">
        <v>41</v>
      </c>
      <c r="G2651">
        <v>-490.82380000000001</v>
      </c>
      <c r="H2651" s="1">
        <v>-1.276072E-6</v>
      </c>
      <c r="I2651">
        <v>262.05270000000002</v>
      </c>
      <c r="J2651">
        <v>-485.14170000000001</v>
      </c>
      <c r="K2651">
        <v>1.133761</v>
      </c>
      <c r="L2651">
        <v>277.86040000000003</v>
      </c>
      <c r="M2651">
        <v>-0.66860909999999996</v>
      </c>
      <c r="N2651">
        <v>-1.469672E-2</v>
      </c>
      <c r="O2651">
        <v>-0.74346889999999999</v>
      </c>
      <c r="P2651">
        <v>-0.40567619999999999</v>
      </c>
      <c r="Q2651">
        <v>9.881537E-2</v>
      </c>
      <c r="R2651">
        <v>-0.90865969999999996</v>
      </c>
      <c r="S2651">
        <v>-1.043701</v>
      </c>
      <c r="T2651">
        <v>-0.20259830000000001</v>
      </c>
      <c r="U2651">
        <v>-2.8601679999999998</v>
      </c>
      <c r="V2651">
        <v>-0.30945689999999998</v>
      </c>
      <c r="W2651">
        <v>0.1027426</v>
      </c>
      <c r="X2651">
        <v>0.94534669999999998</v>
      </c>
      <c r="Y2651">
        <v>-0.37314059999999999</v>
      </c>
      <c r="Z2651">
        <v>2.7977680000000001E-2</v>
      </c>
      <c r="AA2651">
        <v>0.92735279999999998</v>
      </c>
      <c r="AB2651">
        <v>26</v>
      </c>
      <c r="AC2651">
        <v>-5.6820999999999904</v>
      </c>
      <c r="AD2651">
        <v>-1.1337622760719901</v>
      </c>
      <c r="AE2651">
        <v>-15.807700000000001</v>
      </c>
      <c r="AF2651">
        <v>-6.3166171529000001</v>
      </c>
      <c r="AG2651">
        <v>-1.1337622760719901</v>
      </c>
      <c r="AH2651">
        <v>15.4827844590301</v>
      </c>
      <c r="AI2651">
        <v>93.878816600077798</v>
      </c>
      <c r="AJ2651">
        <v>112.194320887385</v>
      </c>
      <c r="AK2651">
        <v>16.760121830098299</v>
      </c>
      <c r="AL2651">
        <v>84.102876390650707</v>
      </c>
      <c r="AM2651">
        <v>108.125731007814</v>
      </c>
      <c r="AN2651">
        <v>0.99999999900662995</v>
      </c>
    </row>
    <row r="2652" spans="1:40" x14ac:dyDescent="0.25">
      <c r="A2652" t="str">
        <f>"20190303162306928"</f>
        <v>20190303162306928</v>
      </c>
      <c r="B2652" t="str">
        <f>"1551601386917261"</f>
        <v>1551601386917261</v>
      </c>
      <c r="C2652" t="s">
        <v>40</v>
      </c>
      <c r="D2652">
        <v>5.7214780000000003</v>
      </c>
      <c r="E2652">
        <v>0.46732760000000001</v>
      </c>
      <c r="F2652" t="s">
        <v>41</v>
      </c>
      <c r="G2652">
        <v>-490.78100000000001</v>
      </c>
      <c r="H2652" s="1">
        <v>-1.1597680000000001E-6</v>
      </c>
      <c r="I2652">
        <v>261.8082</v>
      </c>
      <c r="J2652">
        <v>-485.23329999999999</v>
      </c>
      <c r="K2652">
        <v>1.1337820000000001</v>
      </c>
      <c r="L2652">
        <v>277.74259999999998</v>
      </c>
      <c r="M2652">
        <v>-0.66042939999999895</v>
      </c>
      <c r="N2652">
        <v>-1.4724589999999999E-2</v>
      </c>
      <c r="O2652">
        <v>-0.75074399999999997</v>
      </c>
      <c r="P2652">
        <v>-0.40000629999999998</v>
      </c>
      <c r="Q2652">
        <v>9.8309579999999994E-2</v>
      </c>
      <c r="R2652">
        <v>-0.9112247</v>
      </c>
      <c r="S2652">
        <v>-1.0093379999999901</v>
      </c>
      <c r="T2652">
        <v>-0.20292170000000001</v>
      </c>
      <c r="U2652">
        <v>-2.8730470000000001</v>
      </c>
      <c r="V2652">
        <v>-0.3050175</v>
      </c>
      <c r="W2652">
        <v>0.1024091</v>
      </c>
      <c r="X2652">
        <v>0.94682460000000002</v>
      </c>
      <c r="Y2652">
        <v>-0.37416199999999999</v>
      </c>
      <c r="Z2652">
        <v>2.8485770000000001E-2</v>
      </c>
      <c r="AA2652">
        <v>0.92692569999999996</v>
      </c>
      <c r="AB2652">
        <v>26</v>
      </c>
      <c r="AC2652">
        <v>-5.5477000000000096</v>
      </c>
      <c r="AD2652">
        <v>-1.1337831597679999</v>
      </c>
      <c r="AE2652">
        <v>-15.934399999999901</v>
      </c>
      <c r="AF2652">
        <v>-6.3307459411974403</v>
      </c>
      <c r="AG2652">
        <v>-1.1337831597679999</v>
      </c>
      <c r="AH2652">
        <v>15.5579598605882</v>
      </c>
      <c r="AI2652">
        <v>93.861632060237099</v>
      </c>
      <c r="AJ2652">
        <v>112.14207769336799</v>
      </c>
      <c r="AK2652">
        <v>16.834901943552701</v>
      </c>
      <c r="AL2652">
        <v>84.122086225978407</v>
      </c>
      <c r="AM2652">
        <v>107.85623308148401</v>
      </c>
      <c r="AN2652">
        <v>1.0000000611171</v>
      </c>
    </row>
    <row r="2653" spans="1:40" x14ac:dyDescent="0.25">
      <c r="A2653" t="str">
        <f>"20190303162306941"</f>
        <v>20190303162306941</v>
      </c>
      <c r="B2653" t="str">
        <f>"1551601386936781"</f>
        <v>1551601386936781</v>
      </c>
      <c r="C2653" t="s">
        <v>40</v>
      </c>
      <c r="D2653">
        <v>5.7056180000000003</v>
      </c>
      <c r="E2653">
        <v>0.45030019999999998</v>
      </c>
      <c r="F2653" t="s">
        <v>41</v>
      </c>
      <c r="G2653">
        <v>-490.72770000000003</v>
      </c>
      <c r="H2653" s="1">
        <v>-1.130935E-6</v>
      </c>
      <c r="I2653">
        <v>261.774</v>
      </c>
      <c r="J2653">
        <v>-485.33370000000002</v>
      </c>
      <c r="K2653">
        <v>1.1338029999999999</v>
      </c>
      <c r="L2653">
        <v>277.61079999999998</v>
      </c>
      <c r="M2653">
        <v>-0.65124059999999995</v>
      </c>
      <c r="N2653">
        <v>-1.475244E-2</v>
      </c>
      <c r="O2653">
        <v>-0.75872779999999995</v>
      </c>
      <c r="P2653">
        <v>-0.39239360000000001</v>
      </c>
      <c r="Q2653">
        <v>9.7778649999999995E-2</v>
      </c>
      <c r="R2653">
        <v>-0.9145856</v>
      </c>
      <c r="S2653">
        <v>-0.99072269999999896</v>
      </c>
      <c r="T2653">
        <v>-0.2044395</v>
      </c>
      <c r="U2653">
        <v>-2.8793950000000001</v>
      </c>
      <c r="V2653">
        <v>-0.30140739999999999</v>
      </c>
      <c r="W2653">
        <v>0.102023</v>
      </c>
      <c r="X2653">
        <v>0.94802160000000002</v>
      </c>
      <c r="Y2653">
        <v>-0.36886849999999999</v>
      </c>
      <c r="Z2653">
        <v>2.9492239999999999E-2</v>
      </c>
      <c r="AA2653">
        <v>0.92901359999999999</v>
      </c>
      <c r="AB2653">
        <v>26</v>
      </c>
      <c r="AC2653">
        <v>-5.3940000000000001</v>
      </c>
      <c r="AD2653">
        <v>-1.133804130935</v>
      </c>
      <c r="AE2653">
        <v>-15.836799999999901</v>
      </c>
      <c r="AF2653">
        <v>-6.19322297467947</v>
      </c>
      <c r="AG2653">
        <v>-1.133804130935</v>
      </c>
      <c r="AH2653">
        <v>15.4593027047926</v>
      </c>
      <c r="AI2653">
        <v>93.894753949313994</v>
      </c>
      <c r="AJ2653">
        <v>111.831761869064</v>
      </c>
      <c r="AK2653">
        <v>16.6922605641007</v>
      </c>
      <c r="AL2653">
        <v>84.144324443713998</v>
      </c>
      <c r="AM2653">
        <v>107.63718033833401</v>
      </c>
      <c r="AN2653">
        <v>1.00000003368515</v>
      </c>
    </row>
    <row r="2654" spans="1:40" x14ac:dyDescent="0.25">
      <c r="A2654" t="str">
        <f>"20190303162306955"</f>
        <v>20190303162306955</v>
      </c>
      <c r="B2654" t="str">
        <f>"1551601386947517"</f>
        <v>1551601386947517</v>
      </c>
      <c r="C2654" t="s">
        <v>40</v>
      </c>
      <c r="D2654">
        <v>5.6911630000000004</v>
      </c>
      <c r="E2654">
        <v>0.45030019999999998</v>
      </c>
      <c r="F2654" t="s">
        <v>41</v>
      </c>
      <c r="G2654">
        <v>-488.63240000000002</v>
      </c>
      <c r="H2654" s="1">
        <v>-3.0281919999999999E-6</v>
      </c>
      <c r="I2654">
        <v>266.12610000000001</v>
      </c>
      <c r="J2654">
        <v>-485.42110000000002</v>
      </c>
      <c r="K2654">
        <v>1.1338060000000001</v>
      </c>
      <c r="L2654">
        <v>277.49200000000002</v>
      </c>
      <c r="M2654">
        <v>-0.64297249999999995</v>
      </c>
      <c r="N2654">
        <v>-1.47726E-2</v>
      </c>
      <c r="O2654">
        <v>-0.76574679999999995</v>
      </c>
      <c r="P2654">
        <v>-0.38602500000000001</v>
      </c>
      <c r="Q2654">
        <v>9.7041450000000001E-2</v>
      </c>
      <c r="R2654">
        <v>-0.91736989999999996</v>
      </c>
      <c r="S2654">
        <v>-0.84674069999999901</v>
      </c>
      <c r="T2654">
        <v>-0.29103040000000002</v>
      </c>
      <c r="U2654">
        <v>-2.947937</v>
      </c>
      <c r="V2654">
        <v>-0.29773889999999997</v>
      </c>
      <c r="W2654">
        <v>0.1014357</v>
      </c>
      <c r="X2654">
        <v>0.94924310000000001</v>
      </c>
      <c r="Y2654">
        <v>-0.40649429999999998</v>
      </c>
      <c r="Z2654">
        <v>4.6193440000000002E-2</v>
      </c>
      <c r="AA2654">
        <v>0.91248479999999998</v>
      </c>
      <c r="AB2654">
        <v>26</v>
      </c>
      <c r="AC2654">
        <v>-3.2112999999999898</v>
      </c>
      <c r="AD2654">
        <v>-1.1338090281919999</v>
      </c>
      <c r="AE2654">
        <v>-11.3659</v>
      </c>
      <c r="AF2654">
        <v>-4.8051656711052901</v>
      </c>
      <c r="AG2654">
        <v>-1.1338090281919999</v>
      </c>
      <c r="AH2654">
        <v>10.671015693896599</v>
      </c>
      <c r="AI2654">
        <v>95.533655015264401</v>
      </c>
      <c r="AJ2654">
        <v>114.242070484899</v>
      </c>
      <c r="AK2654">
        <v>11.7577938397714</v>
      </c>
      <c r="AL2654">
        <v>84.178149880296502</v>
      </c>
      <c r="AM2654">
        <v>107.41451668184</v>
      </c>
      <c r="AN2654">
        <v>1.00000005835265</v>
      </c>
    </row>
    <row r="2655" spans="1:40" x14ac:dyDescent="0.25">
      <c r="A2655" t="str">
        <f>"20190303162306970"</f>
        <v>20190303162306970</v>
      </c>
      <c r="B2655" t="str">
        <f>"1551601386957277"</f>
        <v>1551601386957277</v>
      </c>
      <c r="C2655" t="s">
        <v>40</v>
      </c>
      <c r="D2655">
        <v>5.9357939999999996</v>
      </c>
      <c r="E2655">
        <v>0.45154420000000001</v>
      </c>
      <c r="F2655" t="s">
        <v>41</v>
      </c>
      <c r="G2655">
        <v>-488.61810000000003</v>
      </c>
      <c r="H2655" s="1">
        <v>-2.9988380000000002E-6</v>
      </c>
      <c r="I2655">
        <v>266.05180000000001</v>
      </c>
      <c r="J2655">
        <v>-485.52449999999999</v>
      </c>
      <c r="K2655">
        <v>1.1337980000000001</v>
      </c>
      <c r="L2655">
        <v>277.34899999999999</v>
      </c>
      <c r="M2655">
        <v>-0.63298769999999904</v>
      </c>
      <c r="N2655">
        <v>-1.479314E-2</v>
      </c>
      <c r="O2655">
        <v>-0.77402059999999995</v>
      </c>
      <c r="P2655">
        <v>-0.38088860000000002</v>
      </c>
      <c r="Q2655">
        <v>9.6202599999999999E-2</v>
      </c>
      <c r="R2655">
        <v>-0.91960249999999999</v>
      </c>
      <c r="S2655">
        <v>-0.82543949999999999</v>
      </c>
      <c r="T2655">
        <v>-0.29274679999999997</v>
      </c>
      <c r="U2655">
        <v>-2.9538570000000002</v>
      </c>
      <c r="V2655">
        <v>-0.29075200000000001</v>
      </c>
      <c r="W2655">
        <v>0.10087500000000001</v>
      </c>
      <c r="X2655">
        <v>0.95146600000000003</v>
      </c>
      <c r="Y2655">
        <v>-0.40124470000000001</v>
      </c>
      <c r="Z2655">
        <v>4.7630779999999998E-2</v>
      </c>
      <c r="AA2655">
        <v>0.91473170000000004</v>
      </c>
      <c r="AB2655">
        <v>26</v>
      </c>
      <c r="AC2655">
        <v>-3.0936000000000301</v>
      </c>
      <c r="AD2655">
        <v>-1.13380099883799</v>
      </c>
      <c r="AE2655">
        <v>-11.297199999999901</v>
      </c>
      <c r="AF2655">
        <v>-4.7128404653758498</v>
      </c>
      <c r="AG2655">
        <v>-1.13380099883799</v>
      </c>
      <c r="AH2655">
        <v>10.6042869903112</v>
      </c>
      <c r="AI2655">
        <v>95.580344941240199</v>
      </c>
      <c r="AJ2655">
        <v>113.96169499833699</v>
      </c>
      <c r="AK2655">
        <v>11.6596428989027</v>
      </c>
      <c r="AL2655">
        <v>84.2104410344526</v>
      </c>
      <c r="AM2655">
        <v>106.992270562765</v>
      </c>
      <c r="AN2655">
        <v>1.0000000201424999</v>
      </c>
    </row>
    <row r="2656" spans="1:40" x14ac:dyDescent="0.25">
      <c r="A2656" t="str">
        <f>"20190303162306983"</f>
        <v>20190303162306983</v>
      </c>
      <c r="B2656" t="str">
        <f>"1551601386976797"</f>
        <v>1551601386976797</v>
      </c>
      <c r="C2656" t="s">
        <v>40</v>
      </c>
      <c r="D2656">
        <v>5.9243069999999998</v>
      </c>
      <c r="E2656">
        <v>0.45300980000000002</v>
      </c>
      <c r="F2656" t="s">
        <v>41</v>
      </c>
      <c r="G2656">
        <v>-488.72390000000001</v>
      </c>
      <c r="H2656" s="1">
        <v>-2.8629039999999998E-6</v>
      </c>
      <c r="I2656">
        <v>265.77859999999998</v>
      </c>
      <c r="J2656">
        <v>-485.6105</v>
      </c>
      <c r="K2656">
        <v>1.133786</v>
      </c>
      <c r="L2656">
        <v>277.22770000000003</v>
      </c>
      <c r="M2656">
        <v>-0.62449100000000002</v>
      </c>
      <c r="N2656">
        <v>-1.480763E-2</v>
      </c>
      <c r="O2656">
        <v>-0.78089180000000002</v>
      </c>
      <c r="P2656">
        <v>-0.37372440000000001</v>
      </c>
      <c r="Q2656">
        <v>9.5781400000000003E-2</v>
      </c>
      <c r="R2656">
        <v>-0.92258130000000005</v>
      </c>
      <c r="S2656">
        <v>-0.81689449999999997</v>
      </c>
      <c r="T2656">
        <v>-0.28948889999999999</v>
      </c>
      <c r="U2656">
        <v>-2.954224</v>
      </c>
      <c r="V2656">
        <v>-0.2877634</v>
      </c>
      <c r="W2656">
        <v>0.1005823</v>
      </c>
      <c r="X2656">
        <v>0.9524051</v>
      </c>
      <c r="Y2656">
        <v>-0.39373170000000002</v>
      </c>
      <c r="Z2656">
        <v>4.8008870000000002E-2</v>
      </c>
      <c r="AA2656">
        <v>0.91797079999999998</v>
      </c>
      <c r="AB2656">
        <v>26</v>
      </c>
      <c r="AC2656">
        <v>-3.1134000000000102</v>
      </c>
      <c r="AD2656">
        <v>-1.133788862904</v>
      </c>
      <c r="AE2656">
        <v>-11.4491</v>
      </c>
      <c r="AF2656">
        <v>-4.6764455301343002</v>
      </c>
      <c r="AG2656">
        <v>-1.133788862904</v>
      </c>
      <c r="AH2656">
        <v>10.787485527074599</v>
      </c>
      <c r="AI2656">
        <v>95.508061504930097</v>
      </c>
      <c r="AJ2656">
        <v>113.437047406075</v>
      </c>
      <c r="AK2656">
        <v>11.8120474084217</v>
      </c>
      <c r="AL2656">
        <v>84.227297262813394</v>
      </c>
      <c r="AM2656">
        <v>106.811872076263</v>
      </c>
      <c r="AN2656">
        <v>1.00000002397942</v>
      </c>
    </row>
    <row r="2657" spans="1:40" x14ac:dyDescent="0.25">
      <c r="A2657" t="str">
        <f>"20190303162306997"</f>
        <v>20190303162306997</v>
      </c>
      <c r="B2657" t="str">
        <f>"1551601386987532"</f>
        <v>1551601386987532</v>
      </c>
      <c r="C2657" t="s">
        <v>40</v>
      </c>
      <c r="D2657">
        <v>5.9318160000000004</v>
      </c>
      <c r="E2657">
        <v>0.45358110000000001</v>
      </c>
      <c r="F2657" t="s">
        <v>41</v>
      </c>
      <c r="G2657">
        <v>-488.79349999999999</v>
      </c>
      <c r="H2657" s="1">
        <v>-2.7409810000000002E-6</v>
      </c>
      <c r="I2657">
        <v>265.52319999999997</v>
      </c>
      <c r="J2657">
        <v>-485.69909999999999</v>
      </c>
      <c r="K2657">
        <v>1.1337619999999999</v>
      </c>
      <c r="L2657">
        <v>277.09829999999999</v>
      </c>
      <c r="M2657">
        <v>-0.61547830000000003</v>
      </c>
      <c r="N2657">
        <v>-1.481705E-2</v>
      </c>
      <c r="O2657">
        <v>-0.78801469999999996</v>
      </c>
      <c r="P2657">
        <v>-0.36562739999999999</v>
      </c>
      <c r="Q2657">
        <v>9.5166710000000002E-2</v>
      </c>
      <c r="R2657">
        <v>-0.92588340000000002</v>
      </c>
      <c r="S2657">
        <v>-0.80383300000000002</v>
      </c>
      <c r="T2657">
        <v>-0.28632990000000003</v>
      </c>
      <c r="U2657">
        <v>-2.9558719999999998</v>
      </c>
      <c r="V2657">
        <v>-0.28517680000000001</v>
      </c>
      <c r="W2657">
        <v>0.1000846</v>
      </c>
      <c r="X2657">
        <v>0.9532351</v>
      </c>
      <c r="Y2657">
        <v>-0.38708720000000002</v>
      </c>
      <c r="Z2657">
        <v>4.8376959999999997E-2</v>
      </c>
      <c r="AA2657">
        <v>0.92077310000000001</v>
      </c>
      <c r="AB2657">
        <v>26</v>
      </c>
      <c r="AC2657">
        <v>-3.0943999999999998</v>
      </c>
      <c r="AD2657">
        <v>-1.1337647409810001</v>
      </c>
      <c r="AE2657">
        <v>-11.575100000000001</v>
      </c>
      <c r="AF2657">
        <v>-4.6447152102775204</v>
      </c>
      <c r="AG2657">
        <v>-1.1337647409810001</v>
      </c>
      <c r="AH2657">
        <v>10.929233660822501</v>
      </c>
      <c r="AI2657">
        <v>95.453665682363194</v>
      </c>
      <c r="AJ2657">
        <v>113.02456353660899</v>
      </c>
      <c r="AK2657">
        <v>11.929247683124499</v>
      </c>
      <c r="AL2657">
        <v>84.255957543394601</v>
      </c>
      <c r="AM2657">
        <v>106.655464979618</v>
      </c>
      <c r="AN2657">
        <v>0.99999994514370305</v>
      </c>
    </row>
    <row r="2658" spans="1:40" x14ac:dyDescent="0.25">
      <c r="A2658" t="str">
        <f>"20190303162307022"</f>
        <v>20190303162307022</v>
      </c>
      <c r="B2658" t="str">
        <f>"1551601387016813"</f>
        <v>1551601387016813</v>
      </c>
      <c r="C2658" t="s">
        <v>40</v>
      </c>
      <c r="D2658">
        <v>5.7385349999999997</v>
      </c>
      <c r="E2658">
        <v>0.45471400000000001</v>
      </c>
      <c r="F2658" t="s">
        <v>41</v>
      </c>
      <c r="G2658">
        <v>-488.78339999999997</v>
      </c>
      <c r="H2658" s="1">
        <v>-2.693977E-6</v>
      </c>
      <c r="I2658">
        <v>265.40949999999998</v>
      </c>
      <c r="J2658">
        <v>-485.86399999999998</v>
      </c>
      <c r="K2658">
        <v>1.1336930000000001</v>
      </c>
      <c r="L2658">
        <v>276.85059999999999</v>
      </c>
      <c r="M2658">
        <v>-0.59819869999999997</v>
      </c>
      <c r="N2658">
        <v>-1.48267E-2</v>
      </c>
      <c r="O2658">
        <v>-0.80121089999999995</v>
      </c>
      <c r="P2658">
        <v>-0.35062659999999901</v>
      </c>
      <c r="Q2658">
        <v>9.2959799999999995E-2</v>
      </c>
      <c r="R2658">
        <v>-0.93189010000000005</v>
      </c>
      <c r="S2658">
        <v>-0.78134159999999997</v>
      </c>
      <c r="T2658">
        <v>-0.28721550000000001</v>
      </c>
      <c r="U2658">
        <v>-2.9611209999999999</v>
      </c>
      <c r="V2658">
        <v>-0.2798853</v>
      </c>
      <c r="W2658">
        <v>9.8116900000000007E-2</v>
      </c>
      <c r="X2658">
        <v>0.95500649999999998</v>
      </c>
      <c r="Y2658">
        <v>-0.37398979999999998</v>
      </c>
      <c r="Z2658">
        <v>5.046254E-2</v>
      </c>
      <c r="AA2658">
        <v>0.92605890000000002</v>
      </c>
      <c r="AB2658">
        <v>26</v>
      </c>
      <c r="AC2658">
        <v>-2.9193999999999298</v>
      </c>
      <c r="AD2658">
        <v>-1.133695693977</v>
      </c>
      <c r="AE2658">
        <v>-11.4411</v>
      </c>
      <c r="AF2658">
        <v>-4.4643356330181501</v>
      </c>
      <c r="AG2658">
        <v>-1.133695693977</v>
      </c>
      <c r="AH2658">
        <v>10.8146176090249</v>
      </c>
      <c r="AI2658">
        <v>95.534590332395894</v>
      </c>
      <c r="AJ2658">
        <v>112.431113504815</v>
      </c>
      <c r="AK2658">
        <v>11.75463791872</v>
      </c>
      <c r="AL2658">
        <v>84.369256852535401</v>
      </c>
      <c r="AM2658">
        <v>106.334363407914</v>
      </c>
      <c r="AN2658">
        <v>1.0000000611319699</v>
      </c>
    </row>
    <row r="2659" spans="1:40" x14ac:dyDescent="0.25">
      <c r="A2659" t="str">
        <f>"20190303162307049"</f>
        <v>20190303162307049</v>
      </c>
      <c r="B2659" t="str">
        <f>"1551601387037309"</f>
        <v>1551601387037309</v>
      </c>
      <c r="C2659" t="s">
        <v>40</v>
      </c>
      <c r="D2659">
        <v>5.80884</v>
      </c>
      <c r="E2659">
        <v>0.45471400000000001</v>
      </c>
      <c r="F2659" t="s">
        <v>41</v>
      </c>
      <c r="G2659">
        <v>-488.76190000000003</v>
      </c>
      <c r="H2659" s="1">
        <v>-2.6139940000000001E-6</v>
      </c>
      <c r="I2659">
        <v>265.21409999999997</v>
      </c>
      <c r="J2659">
        <v>-486.02719999999999</v>
      </c>
      <c r="K2659">
        <v>1.1335930000000001</v>
      </c>
      <c r="L2659">
        <v>276.59230000000002</v>
      </c>
      <c r="M2659">
        <v>-0.58030999999999999</v>
      </c>
      <c r="N2659">
        <v>-1.482093E-2</v>
      </c>
      <c r="O2659">
        <v>-0.81426089999999995</v>
      </c>
      <c r="P2659">
        <v>-0.33883750000000001</v>
      </c>
      <c r="Q2659">
        <v>8.8668040000000004E-2</v>
      </c>
      <c r="R2659">
        <v>-0.93665759999999998</v>
      </c>
      <c r="S2659">
        <v>-0.73959350000000001</v>
      </c>
      <c r="T2659">
        <v>-0.28933700000000001</v>
      </c>
      <c r="U2659">
        <v>-2.9698180000000001</v>
      </c>
      <c r="V2659">
        <v>-0.27085130000000002</v>
      </c>
      <c r="W2659">
        <v>9.4209780000000007E-2</v>
      </c>
      <c r="X2659">
        <v>0.95800010000000002</v>
      </c>
      <c r="Y2659">
        <v>-0.36636439999999998</v>
      </c>
      <c r="Z2659">
        <v>5.266005E-2</v>
      </c>
      <c r="AA2659">
        <v>0.92898009999999998</v>
      </c>
      <c r="AB2659">
        <v>26</v>
      </c>
      <c r="AC2659">
        <v>-2.7347000000000299</v>
      </c>
      <c r="AD2659">
        <v>-1.133595613994</v>
      </c>
      <c r="AE2659">
        <v>-11.3782</v>
      </c>
      <c r="AF2659">
        <v>-4.3359168414912803</v>
      </c>
      <c r="AG2659">
        <v>-1.133595613994</v>
      </c>
      <c r="AH2659">
        <v>10.752092577137701</v>
      </c>
      <c r="AI2659">
        <v>95.584578540208</v>
      </c>
      <c r="AJ2659">
        <v>111.962377440281</v>
      </c>
      <c r="AK2659">
        <v>11.648721331534</v>
      </c>
      <c r="AL2659">
        <v>84.594160716912498</v>
      </c>
      <c r="AM2659">
        <v>105.786963984952</v>
      </c>
      <c r="AN2659">
        <v>1.00000005047967</v>
      </c>
    </row>
    <row r="2660" spans="1:40" x14ac:dyDescent="0.25">
      <c r="A2660" t="str">
        <f>"20190303162307062"</f>
        <v>20190303162307062</v>
      </c>
      <c r="B2660" t="str">
        <f>"1551601387056829"</f>
        <v>1551601387056829</v>
      </c>
      <c r="C2660" t="s">
        <v>40</v>
      </c>
      <c r="D2660">
        <v>5.8725319999999996</v>
      </c>
      <c r="E2660">
        <v>0.45564690000000002</v>
      </c>
      <c r="F2660" t="s">
        <v>41</v>
      </c>
      <c r="G2660">
        <v>-488.65660000000003</v>
      </c>
      <c r="H2660" s="1">
        <v>-2.7178449999999998E-6</v>
      </c>
      <c r="I2660">
        <v>265.41269999999997</v>
      </c>
      <c r="J2660">
        <v>-486.10469999999998</v>
      </c>
      <c r="K2660">
        <v>1.1335379999999999</v>
      </c>
      <c r="L2660">
        <v>276.46629999999999</v>
      </c>
      <c r="M2660">
        <v>-0.57158509999999996</v>
      </c>
      <c r="N2660">
        <v>-1.481496E-2</v>
      </c>
      <c r="O2660">
        <v>-0.82040919999999895</v>
      </c>
      <c r="P2660">
        <v>-0.33205970000000001</v>
      </c>
      <c r="Q2660">
        <v>8.7980920000000004E-2</v>
      </c>
      <c r="R2660">
        <v>-0.93914679999999995</v>
      </c>
      <c r="S2660">
        <v>-0.70043949999999999</v>
      </c>
      <c r="T2660">
        <v>-0.30197469999999998</v>
      </c>
      <c r="U2660">
        <v>-2.978119</v>
      </c>
      <c r="V2660">
        <v>-0.2675478</v>
      </c>
      <c r="W2660">
        <v>9.3668589999999996E-2</v>
      </c>
      <c r="X2660">
        <v>0.95898090000000002</v>
      </c>
      <c r="Y2660">
        <v>-0.36860369999999998</v>
      </c>
      <c r="Z2660">
        <v>5.6187569999999999E-2</v>
      </c>
      <c r="AA2660">
        <v>0.92788700000000002</v>
      </c>
      <c r="AB2660">
        <v>26</v>
      </c>
      <c r="AC2660">
        <v>-2.5519000000000398</v>
      </c>
      <c r="AD2660">
        <v>-1.1335407178450001</v>
      </c>
      <c r="AE2660">
        <v>-11.053599999999999</v>
      </c>
      <c r="AF2660">
        <v>-4.1831681812560904</v>
      </c>
      <c r="AG2660">
        <v>-1.1335407178450001</v>
      </c>
      <c r="AH2660">
        <v>10.424179683797799</v>
      </c>
      <c r="AI2660">
        <v>95.762711116270395</v>
      </c>
      <c r="AJ2660">
        <v>111.865330506573</v>
      </c>
      <c r="AK2660">
        <v>11.289257401254901</v>
      </c>
      <c r="AL2660">
        <v>84.625306065293401</v>
      </c>
      <c r="AM2660">
        <v>105.58866600539299</v>
      </c>
      <c r="AN2660">
        <v>0.99999999830111896</v>
      </c>
    </row>
    <row r="2661" spans="1:40" x14ac:dyDescent="0.25">
      <c r="A2661" t="str">
        <f>"20190303162307084"</f>
        <v>20190303162307084</v>
      </c>
      <c r="B2661" t="str">
        <f>"1551601387077325"</f>
        <v>1551601387077325</v>
      </c>
      <c r="C2661" t="s">
        <v>40</v>
      </c>
      <c r="D2661">
        <v>5.8781730000000003</v>
      </c>
      <c r="E2661">
        <v>0.45663239999999999</v>
      </c>
      <c r="F2661" t="s">
        <v>41</v>
      </c>
      <c r="G2661">
        <v>-488.66950000000003</v>
      </c>
      <c r="H2661" s="1">
        <v>-2.6779089999999998E-6</v>
      </c>
      <c r="I2661">
        <v>265.32490000000001</v>
      </c>
      <c r="J2661">
        <v>-486.2269</v>
      </c>
      <c r="K2661">
        <v>1.133443</v>
      </c>
      <c r="L2661">
        <v>276.26029999999997</v>
      </c>
      <c r="M2661">
        <v>-0.55744209999999905</v>
      </c>
      <c r="N2661">
        <v>-1.479714E-2</v>
      </c>
      <c r="O2661">
        <v>-0.83008409999999999</v>
      </c>
      <c r="P2661">
        <v>-0.3224843</v>
      </c>
      <c r="Q2661">
        <v>8.7190809999999994E-2</v>
      </c>
      <c r="R2661">
        <v>-0.94255069999999996</v>
      </c>
      <c r="S2661">
        <v>-0.686065699999999</v>
      </c>
      <c r="T2661">
        <v>-0.30321479999999901</v>
      </c>
      <c r="U2661">
        <v>-2.9802550000000001</v>
      </c>
      <c r="V2661">
        <v>-0.26085419999999998</v>
      </c>
      <c r="W2661">
        <v>9.3164380000000005E-2</v>
      </c>
      <c r="X2661">
        <v>0.96087219999999995</v>
      </c>
      <c r="Y2661">
        <v>-0.35708250000000002</v>
      </c>
      <c r="Z2661">
        <v>5.8038119999999999E-2</v>
      </c>
      <c r="AA2661">
        <v>0.93226799999999999</v>
      </c>
      <c r="AB2661">
        <v>26</v>
      </c>
      <c r="AC2661">
        <v>-2.4426000000000201</v>
      </c>
      <c r="AD2661">
        <v>-1.1334456779090001</v>
      </c>
      <c r="AE2661">
        <v>-10.9353999999999</v>
      </c>
      <c r="AF2661">
        <v>-4.0275217057257704</v>
      </c>
      <c r="AG2661">
        <v>-1.1334456779090001</v>
      </c>
      <c r="AH2661">
        <v>10.334304277571899</v>
      </c>
      <c r="AI2661">
        <v>95.834889618537602</v>
      </c>
      <c r="AJ2661">
        <v>111.292033817497</v>
      </c>
      <c r="AK2661">
        <v>11.149146832664099</v>
      </c>
      <c r="AL2661">
        <v>84.654321795401302</v>
      </c>
      <c r="AM2661">
        <v>105.188393692613</v>
      </c>
      <c r="AN2661">
        <v>0.99999995004563003</v>
      </c>
    </row>
    <row r="2662" spans="1:40" x14ac:dyDescent="0.25">
      <c r="A2662" t="str">
        <f>"20190303162307105"</f>
        <v>20190303162307105</v>
      </c>
      <c r="B2662" t="str">
        <f>"1551601387096846"</f>
        <v>1551601387096846</v>
      </c>
      <c r="C2662" t="s">
        <v>40</v>
      </c>
      <c r="D2662">
        <v>5.9303990000000004</v>
      </c>
      <c r="E2662">
        <v>0.4572039</v>
      </c>
      <c r="F2662" t="s">
        <v>41</v>
      </c>
      <c r="G2662">
        <v>-488.71620000000001</v>
      </c>
      <c r="H2662" s="1">
        <v>-2.5409780000000001E-6</v>
      </c>
      <c r="I2662">
        <v>265.02510000000001</v>
      </c>
      <c r="J2662">
        <v>-486.35430000000002</v>
      </c>
      <c r="K2662">
        <v>1.133311</v>
      </c>
      <c r="L2662">
        <v>276.03629999999998</v>
      </c>
      <c r="M2662">
        <v>-0.54222389999999998</v>
      </c>
      <c r="N2662">
        <v>-1.476826E-2</v>
      </c>
      <c r="O2662">
        <v>-0.84010439999999997</v>
      </c>
      <c r="P2662">
        <v>-0.31346210000000002</v>
      </c>
      <c r="Q2662">
        <v>8.6837999999999999E-2</v>
      </c>
      <c r="R2662">
        <v>-0.94562210000000002</v>
      </c>
      <c r="S2662">
        <v>-0.66125489999999998</v>
      </c>
      <c r="T2662">
        <v>-0.30108000000000001</v>
      </c>
      <c r="U2662">
        <v>-2.9844360000000001</v>
      </c>
      <c r="V2662">
        <v>-0.25248730000000003</v>
      </c>
      <c r="W2662">
        <v>9.3160129999999994E-2</v>
      </c>
      <c r="X2662">
        <v>0.96310510000000005</v>
      </c>
      <c r="Y2662">
        <v>-0.34773490000000001</v>
      </c>
      <c r="Z2662">
        <v>5.9061009999999997E-2</v>
      </c>
      <c r="AA2662">
        <v>0.93573090000000003</v>
      </c>
      <c r="AB2662">
        <v>26</v>
      </c>
      <c r="AC2662">
        <v>-2.3618999999999901</v>
      </c>
      <c r="AD2662">
        <v>-1.133313540978</v>
      </c>
      <c r="AE2662">
        <v>-11.011199999999899</v>
      </c>
      <c r="AF2662">
        <v>-3.9467573686386701</v>
      </c>
      <c r="AG2662">
        <v>-1.133313540978</v>
      </c>
      <c r="AH2662">
        <v>10.4267879251952</v>
      </c>
      <c r="AI2662">
        <v>95.804395007898094</v>
      </c>
      <c r="AJ2662">
        <v>110.73270277637999</v>
      </c>
      <c r="AK2662">
        <v>11.2062125513513</v>
      </c>
      <c r="AL2662">
        <v>84.654566848719995</v>
      </c>
      <c r="AM2662">
        <v>104.690059076312</v>
      </c>
      <c r="AN2662">
        <v>1.00000004006445</v>
      </c>
    </row>
    <row r="2663" spans="1:40" x14ac:dyDescent="0.25">
      <c r="A2663" t="str">
        <f>"20190303162307120"</f>
        <v>20190303162307120</v>
      </c>
      <c r="B2663" t="str">
        <f>"1551601387107580"</f>
        <v>1551601387107580</v>
      </c>
      <c r="C2663" t="s">
        <v>40</v>
      </c>
      <c r="D2663">
        <v>5.5060320000000003</v>
      </c>
      <c r="E2663">
        <v>0.45732719999999999</v>
      </c>
      <c r="F2663" t="s">
        <v>41</v>
      </c>
      <c r="G2663">
        <v>-488.76569999999998</v>
      </c>
      <c r="H2663" s="1">
        <v>-2.3837350000000001E-6</v>
      </c>
      <c r="I2663">
        <v>264.67899999999997</v>
      </c>
      <c r="J2663">
        <v>-486.43610000000001</v>
      </c>
      <c r="K2663">
        <v>1.133222</v>
      </c>
      <c r="L2663">
        <v>275.8879</v>
      </c>
      <c r="M2663">
        <v>-0.53220049999999997</v>
      </c>
      <c r="N2663">
        <v>-1.474557E-2</v>
      </c>
      <c r="O2663">
        <v>-0.84648989999999902</v>
      </c>
      <c r="P2663">
        <v>-0.30704500000000001</v>
      </c>
      <c r="Q2663">
        <v>8.7233420000000006E-2</v>
      </c>
      <c r="R2663">
        <v>-0.94768850000000004</v>
      </c>
      <c r="S2663">
        <v>-0.6347351</v>
      </c>
      <c r="T2663">
        <v>-0.29831180000000002</v>
      </c>
      <c r="U2663">
        <v>-2.9895019999999999</v>
      </c>
      <c r="V2663">
        <v>-0.24753359999999999</v>
      </c>
      <c r="W2663">
        <v>9.3759720000000005E-2</v>
      </c>
      <c r="X2663">
        <v>0.96433199999999997</v>
      </c>
      <c r="Y2663">
        <v>-0.34486220000000001</v>
      </c>
      <c r="Z2663">
        <v>5.9253720000000003E-2</v>
      </c>
      <c r="AA2663">
        <v>0.93678119999999998</v>
      </c>
      <c r="AB2663">
        <v>26</v>
      </c>
      <c r="AC2663">
        <v>-2.3295999999999699</v>
      </c>
      <c r="AD2663">
        <v>-1.133224383735</v>
      </c>
      <c r="AE2663">
        <v>-11.2088999999999</v>
      </c>
      <c r="AF2663">
        <v>-3.95508148531666</v>
      </c>
      <c r="AG2663">
        <v>-1.133224383735</v>
      </c>
      <c r="AH2663">
        <v>10.6250963090165</v>
      </c>
      <c r="AI2663">
        <v>95.708041779706704</v>
      </c>
      <c r="AJ2663">
        <v>110.417258813589</v>
      </c>
      <c r="AK2663">
        <v>11.3938377483297</v>
      </c>
      <c r="AL2663">
        <v>84.620061561083602</v>
      </c>
      <c r="AM2663">
        <v>104.396389386349</v>
      </c>
      <c r="AN2663">
        <v>0.99999998722371897</v>
      </c>
    </row>
    <row r="2664" spans="1:40" x14ac:dyDescent="0.25">
      <c r="A2664" t="str">
        <f>"20190303162307137"</f>
        <v>20190303162307137</v>
      </c>
      <c r="B2664" t="str">
        <f>"1551601387127101"</f>
        <v>1551601387127101</v>
      </c>
      <c r="C2664" t="s">
        <v>40</v>
      </c>
      <c r="D2664">
        <v>5.9307660000000002</v>
      </c>
      <c r="E2664">
        <v>0.45773989999999998</v>
      </c>
      <c r="F2664" t="s">
        <v>41</v>
      </c>
      <c r="G2664">
        <v>-488.78919999999999</v>
      </c>
      <c r="H2664" s="1">
        <v>-2.2748650000000001E-6</v>
      </c>
      <c r="I2664">
        <v>264.43490000000003</v>
      </c>
      <c r="J2664">
        <v>-486.53070000000002</v>
      </c>
      <c r="K2664">
        <v>1.1331199999999999</v>
      </c>
      <c r="L2664">
        <v>275.71080000000001</v>
      </c>
      <c r="M2664">
        <v>-0.52033569999999996</v>
      </c>
      <c r="N2664">
        <v>-1.4715779999999999E-2</v>
      </c>
      <c r="O2664">
        <v>-0.85383489999999995</v>
      </c>
      <c r="P2664">
        <v>-0.30299739999999997</v>
      </c>
      <c r="Q2664">
        <v>8.779563E-2</v>
      </c>
      <c r="R2664">
        <v>-0.94893870000000002</v>
      </c>
      <c r="S2664">
        <v>-0.61505129999999997</v>
      </c>
      <c r="T2664">
        <v>-0.29619689999999999</v>
      </c>
      <c r="U2664">
        <v>-2.9935299999999998</v>
      </c>
      <c r="V2664">
        <v>-0.23813719999999999</v>
      </c>
      <c r="W2664">
        <v>9.4682100000000005E-2</v>
      </c>
      <c r="X2664">
        <v>0.96660539999999995</v>
      </c>
      <c r="Y2664">
        <v>-0.33793200000000001</v>
      </c>
      <c r="Z2664">
        <v>5.9823359999999999E-2</v>
      </c>
      <c r="AA2664">
        <v>0.93926730000000003</v>
      </c>
      <c r="AB2664">
        <v>26</v>
      </c>
      <c r="AC2664">
        <v>-2.2584999999999602</v>
      </c>
      <c r="AD2664">
        <v>-1.1331222748650001</v>
      </c>
      <c r="AE2664">
        <v>-11.275899999999901</v>
      </c>
      <c r="AF2664">
        <v>-3.9014157604147401</v>
      </c>
      <c r="AG2664">
        <v>-1.1331222748650001</v>
      </c>
      <c r="AH2664">
        <v>10.7002189325485</v>
      </c>
      <c r="AI2664">
        <v>95.681673453476293</v>
      </c>
      <c r="AJ2664">
        <v>110.032403527578</v>
      </c>
      <c r="AK2664">
        <v>11.445509871992501</v>
      </c>
      <c r="AL2664">
        <v>84.566977059303198</v>
      </c>
      <c r="AM2664">
        <v>103.84002732265201</v>
      </c>
      <c r="AN2664">
        <v>1.0000000126966999</v>
      </c>
    </row>
    <row r="2665" spans="1:40" x14ac:dyDescent="0.25">
      <c r="A2665" t="str">
        <f>"20190303162307171"</f>
        <v>20190303162307171</v>
      </c>
      <c r="B2665" t="str">
        <f>"1551601387157357"</f>
        <v>1551601387157357</v>
      </c>
      <c r="C2665" t="s">
        <v>40</v>
      </c>
      <c r="D2665">
        <v>5.7376009999999997</v>
      </c>
      <c r="E2665">
        <v>0.4580553</v>
      </c>
      <c r="F2665" t="s">
        <v>41</v>
      </c>
      <c r="G2665">
        <v>-488.86579999999998</v>
      </c>
      <c r="H2665" s="1">
        <v>-2.1311510000000002E-6</v>
      </c>
      <c r="I2665">
        <v>264.13159999999999</v>
      </c>
      <c r="J2665">
        <v>-486.70679999999999</v>
      </c>
      <c r="K2665">
        <v>1.1328929999999999</v>
      </c>
      <c r="L2665">
        <v>275.3655</v>
      </c>
      <c r="M2665">
        <v>-0.49754690000000001</v>
      </c>
      <c r="N2665">
        <v>-1.4647520000000001E-2</v>
      </c>
      <c r="O2665">
        <v>-0.86731349999999996</v>
      </c>
      <c r="P2665">
        <v>-0.29053899999999999</v>
      </c>
      <c r="Q2665">
        <v>8.9222449999999995E-2</v>
      </c>
      <c r="R2665">
        <v>-0.9526945</v>
      </c>
      <c r="S2665">
        <v>-0.60412600000000005</v>
      </c>
      <c r="T2665">
        <v>-0.2931513</v>
      </c>
      <c r="U2665">
        <v>-2.9956670000000001</v>
      </c>
      <c r="V2665">
        <v>-0.2250933</v>
      </c>
      <c r="W2665">
        <v>9.6622949999999999E-2</v>
      </c>
      <c r="X2665">
        <v>0.96953449999999997</v>
      </c>
      <c r="Y2665">
        <v>-0.31639810000000002</v>
      </c>
      <c r="Z2665">
        <v>6.1304600000000001E-2</v>
      </c>
      <c r="AA2665">
        <v>0.94664349999999997</v>
      </c>
      <c r="AB2665">
        <v>26</v>
      </c>
      <c r="AC2665">
        <v>-2.15899999999999</v>
      </c>
      <c r="AD2665">
        <v>-1.1328951311509901</v>
      </c>
      <c r="AE2665">
        <v>-11.2339</v>
      </c>
      <c r="AF2665">
        <v>-3.6811571048293201</v>
      </c>
      <c r="AG2665">
        <v>-1.1328951311509901</v>
      </c>
      <c r="AH2665">
        <v>10.713600937485101</v>
      </c>
      <c r="AI2665">
        <v>95.710879909418793</v>
      </c>
      <c r="AJ2665">
        <v>108.962548268181</v>
      </c>
      <c r="AK2665">
        <v>11.3848853334719</v>
      </c>
      <c r="AL2665">
        <v>84.455262597186703</v>
      </c>
      <c r="AM2665">
        <v>103.07059588331801</v>
      </c>
      <c r="AN2665">
        <v>1.00000006743091</v>
      </c>
    </row>
    <row r="2666" spans="1:40" x14ac:dyDescent="0.25">
      <c r="A2666" t="str">
        <f>"20190303162307184"</f>
        <v>20190303162307184</v>
      </c>
      <c r="B2666" t="str">
        <f>"1551601387176877"</f>
        <v>1551601387176877</v>
      </c>
      <c r="C2666" t="s">
        <v>40</v>
      </c>
      <c r="D2666">
        <v>5.9331589999999998</v>
      </c>
      <c r="E2666">
        <v>0.45846749999999997</v>
      </c>
      <c r="F2666" t="s">
        <v>41</v>
      </c>
      <c r="G2666">
        <v>-488.93979999999999</v>
      </c>
      <c r="H2666" s="1">
        <v>-1.8415639999999999E-6</v>
      </c>
      <c r="I2666">
        <v>263.4871</v>
      </c>
      <c r="J2666">
        <v>-486.77100000000002</v>
      </c>
      <c r="K2666">
        <v>1.1327929999999999</v>
      </c>
      <c r="L2666">
        <v>275.23469999999998</v>
      </c>
      <c r="M2666">
        <v>-0.48902069999999997</v>
      </c>
      <c r="N2666">
        <v>-1.461787E-2</v>
      </c>
      <c r="O2666">
        <v>-0.87214959999999997</v>
      </c>
      <c r="P2666">
        <v>-0.28529500000000002</v>
      </c>
      <c r="Q2666">
        <v>8.953933E-2</v>
      </c>
      <c r="R2666">
        <v>-0.95424830000000005</v>
      </c>
      <c r="S2666">
        <v>-0.56463619999999903</v>
      </c>
      <c r="T2666">
        <v>-0.28646700000000003</v>
      </c>
      <c r="U2666">
        <v>-3.0036010000000002</v>
      </c>
      <c r="V2666">
        <v>-0.22088479999999999</v>
      </c>
      <c r="W2666">
        <v>9.7108459999999994E-2</v>
      </c>
      <c r="X2666">
        <v>0.97045340000000002</v>
      </c>
      <c r="Y2666">
        <v>-0.31956000000000001</v>
      </c>
      <c r="Z2666">
        <v>6.0063970000000001E-2</v>
      </c>
      <c r="AA2666">
        <v>0.94566050000000001</v>
      </c>
      <c r="AB2666">
        <v>26</v>
      </c>
      <c r="AC2666">
        <v>-2.1688000000000298</v>
      </c>
      <c r="AD2666">
        <v>-1.1327948415639999</v>
      </c>
      <c r="AE2666">
        <v>-11.747599999999901</v>
      </c>
      <c r="AF2666">
        <v>-3.8193703849813798</v>
      </c>
      <c r="AG2666">
        <v>-1.1327948415639999</v>
      </c>
      <c r="AH2666">
        <v>11.206692911434899</v>
      </c>
      <c r="AI2666">
        <v>95.465308270192807</v>
      </c>
      <c r="AJ2666">
        <v>108.819703087555</v>
      </c>
      <c r="AK2666">
        <v>11.893728612254099</v>
      </c>
      <c r="AL2666">
        <v>84.427312974856804</v>
      </c>
      <c r="AM2666">
        <v>102.822634376455</v>
      </c>
      <c r="AN2666">
        <v>0.99999997472308499</v>
      </c>
    </row>
    <row r="2667" spans="1:40" x14ac:dyDescent="0.25">
      <c r="A2667" t="str">
        <f>"20190303162307198"</f>
        <v>20190303162307198</v>
      </c>
      <c r="B2667" t="str">
        <f>"1551601387187613"</f>
        <v>1551601387187613</v>
      </c>
      <c r="C2667" t="s">
        <v>40</v>
      </c>
      <c r="D2667">
        <v>5.8828300000000002</v>
      </c>
      <c r="E2667">
        <v>0.4587232</v>
      </c>
      <c r="F2667" t="s">
        <v>41</v>
      </c>
      <c r="G2667">
        <v>-488.96850000000001</v>
      </c>
      <c r="H2667" s="1">
        <v>-1.7280509999999999E-6</v>
      </c>
      <c r="I2667">
        <v>263.23439999999999</v>
      </c>
      <c r="J2667">
        <v>-486.84309999999999</v>
      </c>
      <c r="K2667">
        <v>1.132665</v>
      </c>
      <c r="L2667">
        <v>275.08300000000003</v>
      </c>
      <c r="M2667">
        <v>-0.47927609999999898</v>
      </c>
      <c r="N2667">
        <v>-1.457756E-2</v>
      </c>
      <c r="O2667">
        <v>-0.87754330000000003</v>
      </c>
      <c r="P2667">
        <v>-0.27898220000000001</v>
      </c>
      <c r="Q2667">
        <v>8.9906730000000004E-2</v>
      </c>
      <c r="R2667">
        <v>-0.95607850000000005</v>
      </c>
      <c r="S2667">
        <v>-0.55044559999999998</v>
      </c>
      <c r="T2667">
        <v>-0.2837498</v>
      </c>
      <c r="U2667">
        <v>-3.0059200000000001</v>
      </c>
      <c r="V2667">
        <v>-0.21644469999999999</v>
      </c>
      <c r="W2667">
        <v>9.7652790000000003E-2</v>
      </c>
      <c r="X2667">
        <v>0.97139880000000001</v>
      </c>
      <c r="Y2667">
        <v>-0.31345889999999998</v>
      </c>
      <c r="Z2667">
        <v>6.0172730000000001E-2</v>
      </c>
      <c r="AA2667">
        <v>0.94769340000000002</v>
      </c>
      <c r="AB2667">
        <v>26</v>
      </c>
      <c r="AC2667">
        <v>-2.1254000000000102</v>
      </c>
      <c r="AD2667">
        <v>-1.1326667280509899</v>
      </c>
      <c r="AE2667">
        <v>-11.8485999999999</v>
      </c>
      <c r="AF2667">
        <v>-3.7805537051920801</v>
      </c>
      <c r="AG2667">
        <v>-1.1326667280509899</v>
      </c>
      <c r="AH2667">
        <v>11.317326122672901</v>
      </c>
      <c r="AI2667">
        <v>95.422621950770306</v>
      </c>
      <c r="AJ2667">
        <v>108.471900814159</v>
      </c>
      <c r="AK2667">
        <v>11.985716115510501</v>
      </c>
      <c r="AL2667">
        <v>84.395976378980293</v>
      </c>
      <c r="AM2667">
        <v>102.56130817312101</v>
      </c>
      <c r="AN2667">
        <v>1.00000000209715</v>
      </c>
    </row>
    <row r="2668" spans="1:40" x14ac:dyDescent="0.25">
      <c r="A2668" t="str">
        <f>"20190303162307227"</f>
        <v>20190303162307227</v>
      </c>
      <c r="B2668" t="str">
        <f>"1551601387216894"</f>
        <v>1551601387216894</v>
      </c>
      <c r="C2668" t="s">
        <v>40</v>
      </c>
      <c r="D2668">
        <v>5.728281</v>
      </c>
      <c r="E2668">
        <v>0.43785550000000001</v>
      </c>
      <c r="F2668" t="s">
        <v>41</v>
      </c>
      <c r="G2668">
        <v>-488.98050000000001</v>
      </c>
      <c r="H2668" s="1">
        <v>-1.6211470000000001E-6</v>
      </c>
      <c r="I2668">
        <v>262.99020000000002</v>
      </c>
      <c r="J2668">
        <v>-486.97969999999998</v>
      </c>
      <c r="K2668">
        <v>1.132401</v>
      </c>
      <c r="L2668">
        <v>274.78469999999999</v>
      </c>
      <c r="M2668">
        <v>-0.46043050000000002</v>
      </c>
      <c r="N2668">
        <v>-1.4491530000000001E-2</v>
      </c>
      <c r="O2668">
        <v>-0.88757759999999997</v>
      </c>
      <c r="P2668">
        <v>-0.27206599999999997</v>
      </c>
      <c r="Q2668">
        <v>9.2586660000000001E-2</v>
      </c>
      <c r="R2668">
        <v>-0.95781419999999995</v>
      </c>
      <c r="S2668">
        <v>-0.53186040000000001</v>
      </c>
      <c r="T2668">
        <v>-0.28184769999999998</v>
      </c>
      <c r="U2668">
        <v>-3.009125</v>
      </c>
      <c r="V2668">
        <v>-0.2025795</v>
      </c>
      <c r="W2668">
        <v>0.1008409</v>
      </c>
      <c r="X2668">
        <v>0.97405989999999998</v>
      </c>
      <c r="Y2668">
        <v>-0.29902719999999999</v>
      </c>
      <c r="Z2668">
        <v>6.1242339999999999E-2</v>
      </c>
      <c r="AA2668">
        <v>0.95227729999999999</v>
      </c>
      <c r="AB2668">
        <v>26</v>
      </c>
      <c r="AC2668">
        <v>-2.0008000000000199</v>
      </c>
      <c r="AD2668">
        <v>-1.132402621147</v>
      </c>
      <c r="AE2668">
        <v>-11.7944999999999</v>
      </c>
      <c r="AF2668">
        <v>-3.6226060843691199</v>
      </c>
      <c r="AG2668">
        <v>-1.132402621147</v>
      </c>
      <c r="AH2668">
        <v>11.289798388033701</v>
      </c>
      <c r="AI2668">
        <v>95.455594431935396</v>
      </c>
      <c r="AJ2668">
        <v>107.790100345851</v>
      </c>
      <c r="AK2668">
        <v>11.910716106991099</v>
      </c>
      <c r="AL2668">
        <v>84.212404803556794</v>
      </c>
      <c r="AM2668">
        <v>101.74857630762</v>
      </c>
      <c r="AN2668">
        <v>1.0000000148605299</v>
      </c>
    </row>
    <row r="2669" spans="1:40" x14ac:dyDescent="0.25">
      <c r="A2669" t="str">
        <f>"20190303162307242"</f>
        <v>20190303162307242</v>
      </c>
      <c r="B2669" t="str">
        <f>"1551601387237391"</f>
        <v>1551601387237391</v>
      </c>
      <c r="C2669" t="s">
        <v>40</v>
      </c>
      <c r="D2669">
        <v>5.8066570000000004</v>
      </c>
      <c r="E2669">
        <v>0.43135669999999998</v>
      </c>
      <c r="F2669" t="s">
        <v>41</v>
      </c>
      <c r="G2669">
        <v>-488.68239999999997</v>
      </c>
      <c r="H2669" s="1">
        <v>-4.253585E-7</v>
      </c>
      <c r="I2669">
        <v>259.86779999999999</v>
      </c>
      <c r="J2669">
        <v>-487.0496</v>
      </c>
      <c r="K2669">
        <v>1.1322430000000001</v>
      </c>
      <c r="L2669">
        <v>274.62650000000002</v>
      </c>
      <c r="M2669">
        <v>-0.4506155</v>
      </c>
      <c r="N2669">
        <v>-1.444285E-2</v>
      </c>
      <c r="O2669">
        <v>-0.89260149999999905</v>
      </c>
      <c r="P2669">
        <v>-0.26579740000000002</v>
      </c>
      <c r="Q2669">
        <v>9.4208860000000005E-2</v>
      </c>
      <c r="R2669">
        <v>-0.95941500000000002</v>
      </c>
      <c r="S2669">
        <v>-0.34875489999999998</v>
      </c>
      <c r="T2669">
        <v>-0.2319541</v>
      </c>
      <c r="U2669">
        <v>-3.0554809999999999</v>
      </c>
      <c r="V2669">
        <v>-0.1981339</v>
      </c>
      <c r="W2669">
        <v>0.1026368</v>
      </c>
      <c r="X2669">
        <v>0.9747865</v>
      </c>
      <c r="Y2669">
        <v>-0.34638219999999997</v>
      </c>
      <c r="Z2669">
        <v>4.7068499999999999E-2</v>
      </c>
      <c r="AA2669">
        <v>0.93691190000000002</v>
      </c>
      <c r="AB2669">
        <v>26</v>
      </c>
      <c r="AC2669">
        <v>-1.6327999999999701</v>
      </c>
      <c r="AD2669">
        <v>-1.1322434253585001</v>
      </c>
      <c r="AE2669">
        <v>-14.758699999999999</v>
      </c>
      <c r="AF2669">
        <v>-5.16357725122338</v>
      </c>
      <c r="AG2669">
        <v>-1.1322434253585001</v>
      </c>
      <c r="AH2669">
        <v>13.830436383078601</v>
      </c>
      <c r="AI2669">
        <v>94.385722146679498</v>
      </c>
      <c r="AJ2669">
        <v>110.473058828647</v>
      </c>
      <c r="AK2669">
        <v>14.8062647467214</v>
      </c>
      <c r="AL2669">
        <v>84.108970730436695</v>
      </c>
      <c r="AM2669">
        <v>101.489351633718</v>
      </c>
      <c r="AN2669">
        <v>1.00000003781284</v>
      </c>
    </row>
    <row r="2670" spans="1:40" x14ac:dyDescent="0.25">
      <c r="A2670" t="str">
        <f>"20190303162307255"</f>
        <v>20190303162307255</v>
      </c>
      <c r="B2670" t="str">
        <f>"1551601387247149"</f>
        <v>1551601387247149</v>
      </c>
      <c r="C2670" t="s">
        <v>40</v>
      </c>
      <c r="D2670">
        <v>5.6881089999999999</v>
      </c>
      <c r="E2670">
        <v>0.43049419999999999</v>
      </c>
      <c r="F2670" t="s">
        <v>41</v>
      </c>
      <c r="G2670">
        <v>-488.5188</v>
      </c>
      <c r="H2670" s="1">
        <v>-4.0453489999999999E-6</v>
      </c>
      <c r="I2670">
        <v>258.45010000000002</v>
      </c>
      <c r="J2670">
        <v>-487.11040000000003</v>
      </c>
      <c r="K2670">
        <v>1.1320870000000001</v>
      </c>
      <c r="L2670">
        <v>274.48379999999997</v>
      </c>
      <c r="M2670">
        <v>-0.44195859999999898</v>
      </c>
      <c r="N2670">
        <v>-1.439403E-2</v>
      </c>
      <c r="O2670">
        <v>-0.896920099999999</v>
      </c>
      <c r="P2670">
        <v>-0.26105879999999998</v>
      </c>
      <c r="Q2670">
        <v>9.612677E-2</v>
      </c>
      <c r="R2670">
        <v>-0.96052499999999996</v>
      </c>
      <c r="S2670">
        <v>-0.27890009999999998</v>
      </c>
      <c r="T2670">
        <v>-0.21493119999999999</v>
      </c>
      <c r="U2670">
        <v>-3.0707089999999999</v>
      </c>
      <c r="V2670">
        <v>-0.1934351</v>
      </c>
      <c r="W2670">
        <v>0.1047293</v>
      </c>
      <c r="X2670">
        <v>0.97550740000000002</v>
      </c>
      <c r="Y2670">
        <v>-0.35888049999999999</v>
      </c>
      <c r="Z2670">
        <v>4.2613470000000001E-2</v>
      </c>
      <c r="AA2670">
        <v>0.93241019999999997</v>
      </c>
      <c r="AB2670">
        <v>26</v>
      </c>
      <c r="AC2670">
        <v>-1.4083999999999699</v>
      </c>
      <c r="AD2670">
        <v>-1.1320910453489901</v>
      </c>
      <c r="AE2670">
        <v>-16.0336999999999</v>
      </c>
      <c r="AF2670">
        <v>-5.7949433196257001</v>
      </c>
      <c r="AG2670">
        <v>-1.1320910453489901</v>
      </c>
      <c r="AH2670">
        <v>14.9310881901838</v>
      </c>
      <c r="AI2670">
        <v>94.043176499698603</v>
      </c>
      <c r="AJ2670">
        <v>111.211859803962</v>
      </c>
      <c r="AK2670">
        <v>16.0561636998282</v>
      </c>
      <c r="AL2670">
        <v>83.988429551490697</v>
      </c>
      <c r="AM2670">
        <v>101.215792284264</v>
      </c>
      <c r="AN2670">
        <v>1.00000002582262</v>
      </c>
    </row>
    <row r="2671" spans="1:40" x14ac:dyDescent="0.25">
      <c r="A2671" t="str">
        <f>"20190303162307274"</f>
        <v>20190303162307274</v>
      </c>
      <c r="B2671" t="str">
        <f>"1551601387266669"</f>
        <v>1551601387266669</v>
      </c>
      <c r="C2671" t="s">
        <v>40</v>
      </c>
      <c r="D2671">
        <v>5.6832760000000002</v>
      </c>
      <c r="E2671">
        <v>0.4304712</v>
      </c>
      <c r="F2671" t="s">
        <v>41</v>
      </c>
      <c r="G2671">
        <v>-488.47669999999999</v>
      </c>
      <c r="H2671" s="1">
        <v>-3.9202640000000002E-6</v>
      </c>
      <c r="I2671">
        <v>258.14120000000003</v>
      </c>
      <c r="J2671">
        <v>-487.18860000000001</v>
      </c>
      <c r="K2671">
        <v>1.131861</v>
      </c>
      <c r="L2671">
        <v>274.29590000000002</v>
      </c>
      <c r="M2671">
        <v>-0.43074249999999997</v>
      </c>
      <c r="N2671">
        <v>-1.432595E-2</v>
      </c>
      <c r="O2671">
        <v>-0.90236130000000003</v>
      </c>
      <c r="P2671">
        <v>-0.25832929999999998</v>
      </c>
      <c r="Q2671">
        <v>9.8010910000000007E-2</v>
      </c>
      <c r="R2671">
        <v>-0.96107229999999999</v>
      </c>
      <c r="S2671">
        <v>-0.25708009999999998</v>
      </c>
      <c r="T2671">
        <v>-0.21299560000000001</v>
      </c>
      <c r="U2671">
        <v>-3.0747680000000002</v>
      </c>
      <c r="V2671">
        <v>-0.18393280000000001</v>
      </c>
      <c r="W2671">
        <v>0.1069455</v>
      </c>
      <c r="X2671">
        <v>0.97710359999999996</v>
      </c>
      <c r="Y2671">
        <v>-0.35392560000000001</v>
      </c>
      <c r="Z2671">
        <v>4.2700370000000001E-2</v>
      </c>
      <c r="AA2671">
        <v>0.93429830000000003</v>
      </c>
      <c r="AB2671">
        <v>26</v>
      </c>
      <c r="AC2671">
        <v>-1.28809999999998</v>
      </c>
      <c r="AD2671">
        <v>-1.1318649202640001</v>
      </c>
      <c r="AE2671">
        <v>-16.154699999999899</v>
      </c>
      <c r="AF2671">
        <v>-5.7686391827872399</v>
      </c>
      <c r="AG2671">
        <v>-1.1318649202640001</v>
      </c>
      <c r="AH2671">
        <v>15.0603029800815</v>
      </c>
      <c r="AI2671">
        <v>94.014615174362504</v>
      </c>
      <c r="AJ2671">
        <v>110.95864183459599</v>
      </c>
      <c r="AK2671">
        <v>16.166973806831201</v>
      </c>
      <c r="AL2671">
        <v>83.860733435055906</v>
      </c>
      <c r="AM2671">
        <v>100.66076830188899</v>
      </c>
      <c r="AN2671">
        <v>1.00000003000952</v>
      </c>
    </row>
    <row r="2672" spans="1:40" x14ac:dyDescent="0.25">
      <c r="A2672" t="str">
        <f>"20190303162307318"</f>
        <v>20190303162307318</v>
      </c>
      <c r="B2672" t="str">
        <f>"1551601387306685"</f>
        <v>1551601387306685</v>
      </c>
      <c r="C2672" t="s">
        <v>40</v>
      </c>
      <c r="D2672">
        <v>5.6320439999999996</v>
      </c>
      <c r="E2672">
        <v>0.43137160000000002</v>
      </c>
      <c r="F2672" t="s">
        <v>41</v>
      </c>
      <c r="G2672">
        <v>-488.57130000000001</v>
      </c>
      <c r="H2672" s="1">
        <v>-3.4653300000000001E-6</v>
      </c>
      <c r="I2672">
        <v>257.1198</v>
      </c>
      <c r="J2672">
        <v>-487.37880000000001</v>
      </c>
      <c r="K2672">
        <v>1.1310979999999999</v>
      </c>
      <c r="L2672">
        <v>273.81400000000002</v>
      </c>
      <c r="M2672">
        <v>-0.40329949999999998</v>
      </c>
      <c r="N2672">
        <v>-1.412223E-2</v>
      </c>
      <c r="O2672">
        <v>-0.91495910000000003</v>
      </c>
      <c r="P2672">
        <v>-0.24778359999999999</v>
      </c>
      <c r="Q2672">
        <v>9.6224900000000002E-2</v>
      </c>
      <c r="R2672">
        <v>-0.96402520000000003</v>
      </c>
      <c r="S2672">
        <v>-0.24758910000000001</v>
      </c>
      <c r="T2672">
        <v>-0.20267389999999999</v>
      </c>
      <c r="U2672">
        <v>-3.0755919999999999</v>
      </c>
      <c r="V2672">
        <v>-0.16490289999999999</v>
      </c>
      <c r="W2672">
        <v>0.1058322</v>
      </c>
      <c r="X2672">
        <v>0.98061540000000003</v>
      </c>
      <c r="Y2672">
        <v>-0.328472599999999</v>
      </c>
      <c r="Z2672">
        <v>4.1654240000000002E-2</v>
      </c>
      <c r="AA2672">
        <v>0.94359459999999995</v>
      </c>
      <c r="AB2672">
        <v>26</v>
      </c>
      <c r="AC2672">
        <v>-1.1924999999999899</v>
      </c>
      <c r="AD2672">
        <v>-1.13110146533</v>
      </c>
      <c r="AE2672">
        <v>-16.694199999999999</v>
      </c>
      <c r="AF2672">
        <v>-5.6165834884695496</v>
      </c>
      <c r="AG2672">
        <v>-1.13110146533</v>
      </c>
      <c r="AH2672">
        <v>15.685375442454401</v>
      </c>
      <c r="AI2672">
        <v>93.883886559030998</v>
      </c>
      <c r="AJ2672">
        <v>109.701314480362</v>
      </c>
      <c r="AK2672">
        <v>16.698994082835402</v>
      </c>
      <c r="AL2672">
        <v>83.9248846804294</v>
      </c>
      <c r="AM2672">
        <v>99.545699764346097</v>
      </c>
      <c r="AN2672">
        <v>0.99999999185120403</v>
      </c>
    </row>
    <row r="2673" spans="1:40" x14ac:dyDescent="0.25">
      <c r="A2673" t="str">
        <f>"20190303162307338"</f>
        <v>20190303162307338</v>
      </c>
      <c r="B2673" t="str">
        <f>"1551601387327182"</f>
        <v>1551601387327182</v>
      </c>
      <c r="C2673" t="s">
        <v>40</v>
      </c>
      <c r="D2673">
        <v>5.6642270000000003</v>
      </c>
      <c r="E2673">
        <v>0.43176629999999999</v>
      </c>
      <c r="F2673" t="s">
        <v>41</v>
      </c>
      <c r="G2673">
        <v>-488.54199999999997</v>
      </c>
      <c r="H2673" s="1">
        <v>-3.6574849999999999E-6</v>
      </c>
      <c r="I2673">
        <v>257.55560000000003</v>
      </c>
      <c r="J2673">
        <v>-487.46190000000001</v>
      </c>
      <c r="K2673">
        <v>1.1306780000000001</v>
      </c>
      <c r="L2673">
        <v>273.59120000000001</v>
      </c>
      <c r="M2673">
        <v>-0.39137699999999997</v>
      </c>
      <c r="N2673">
        <v>-1.4015919999999999E-2</v>
      </c>
      <c r="O2673">
        <v>-0.92012380000000005</v>
      </c>
      <c r="P2673">
        <v>-0.2407513</v>
      </c>
      <c r="Q2673">
        <v>9.5687030000000006E-2</v>
      </c>
      <c r="R2673">
        <v>-0.96585880000000002</v>
      </c>
      <c r="S2673">
        <v>-0.22012329999999999</v>
      </c>
      <c r="T2673">
        <v>-0.2140484</v>
      </c>
      <c r="U2673">
        <v>-3.076721</v>
      </c>
      <c r="V2673">
        <v>-0.15919730000000001</v>
      </c>
      <c r="W2673">
        <v>0.1055084</v>
      </c>
      <c r="X2673">
        <v>0.98159269999999998</v>
      </c>
      <c r="Y2673">
        <v>-0.32460559999999899</v>
      </c>
      <c r="Z2673">
        <v>4.5402690000000002E-2</v>
      </c>
      <c r="AA2673">
        <v>0.94475909999999996</v>
      </c>
      <c r="AB2673">
        <v>26</v>
      </c>
      <c r="AC2673">
        <v>-1.0800999999999501</v>
      </c>
      <c r="AD2673">
        <v>-1.130681657485</v>
      </c>
      <c r="AE2673">
        <v>-16.035599999999899</v>
      </c>
      <c r="AF2673">
        <v>-5.2566409266802703</v>
      </c>
      <c r="AG2673">
        <v>-1.130681657485</v>
      </c>
      <c r="AH2673">
        <v>15.104197602412899</v>
      </c>
      <c r="AI2673">
        <v>94.044053977102493</v>
      </c>
      <c r="AJ2673">
        <v>109.189182907638</v>
      </c>
      <c r="AK2673">
        <v>16.032700959456601</v>
      </c>
      <c r="AL2673">
        <v>83.943541654799006</v>
      </c>
      <c r="AM2673">
        <v>99.212170024219503</v>
      </c>
      <c r="AN2673">
        <v>1.00000001574557</v>
      </c>
    </row>
    <row r="2674" spans="1:40" x14ac:dyDescent="0.25">
      <c r="A2674" t="str">
        <f>"20190303162307351"</f>
        <v>20190303162307351</v>
      </c>
      <c r="B2674" t="str">
        <f>"1551601387336941"</f>
        <v>1551601387336941</v>
      </c>
      <c r="C2674" t="s">
        <v>40</v>
      </c>
      <c r="D2674">
        <v>5.6355919999999999</v>
      </c>
      <c r="E2674">
        <v>0.43201519999999999</v>
      </c>
      <c r="F2674" t="s">
        <v>41</v>
      </c>
      <c r="G2674">
        <v>-488.51179999999999</v>
      </c>
      <c r="H2674" s="1">
        <v>-3.6377389999999999E-6</v>
      </c>
      <c r="I2674">
        <v>257.49709999999999</v>
      </c>
      <c r="J2674">
        <v>-487.51159999999999</v>
      </c>
      <c r="K2674">
        <v>1.130393</v>
      </c>
      <c r="L2674">
        <v>273.45429999999999</v>
      </c>
      <c r="M2674">
        <v>-0.3843664</v>
      </c>
      <c r="N2674">
        <v>-1.3945920000000001E-2</v>
      </c>
      <c r="O2674">
        <v>-0.92307530000000004</v>
      </c>
      <c r="P2674">
        <v>-0.23554320000000001</v>
      </c>
      <c r="Q2674">
        <v>9.5551280000000002E-2</v>
      </c>
      <c r="R2674">
        <v>-0.96715530000000005</v>
      </c>
      <c r="S2674">
        <v>-0.2007446</v>
      </c>
      <c r="T2674">
        <v>-0.21619940000000001</v>
      </c>
      <c r="U2674">
        <v>-3.0773929999999998</v>
      </c>
      <c r="V2674">
        <v>-0.15694369999999999</v>
      </c>
      <c r="W2674">
        <v>0.10547140000000001</v>
      </c>
      <c r="X2674">
        <v>0.98195949999999999</v>
      </c>
      <c r="Y2674">
        <v>-0.32334970000000002</v>
      </c>
      <c r="Z2674">
        <v>4.6361979999999997E-2</v>
      </c>
      <c r="AA2674">
        <v>0.94514319999999996</v>
      </c>
      <c r="AB2674">
        <v>26</v>
      </c>
      <c r="AC2674">
        <v>-1.0002</v>
      </c>
      <c r="AD2674">
        <v>-1.130396637739</v>
      </c>
      <c r="AE2674">
        <v>-15.9572</v>
      </c>
      <c r="AF2674">
        <v>-5.1847419882291099</v>
      </c>
      <c r="AG2674">
        <v>-1.130396637739</v>
      </c>
      <c r="AH2674">
        <v>15.040429642002399</v>
      </c>
      <c r="AI2674">
        <v>94.064260263882801</v>
      </c>
      <c r="AJ2674">
        <v>109.020113995743</v>
      </c>
      <c r="AK2674">
        <v>15.9491024781692</v>
      </c>
      <c r="AL2674">
        <v>83.945673400299299</v>
      </c>
      <c r="AM2674">
        <v>99.080615264302693</v>
      </c>
      <c r="AN2674">
        <v>1.00000000041395</v>
      </c>
    </row>
    <row r="2675" spans="1:40" x14ac:dyDescent="0.25">
      <c r="A2675" t="str">
        <f>"20190303162307365"</f>
        <v>20190303162307365</v>
      </c>
      <c r="B2675" t="str">
        <f>"1551601387357437"</f>
        <v>1551601387357437</v>
      </c>
      <c r="C2675" t="s">
        <v>40</v>
      </c>
      <c r="D2675">
        <v>5.6289850000000001</v>
      </c>
      <c r="E2675">
        <v>0.43268410000000002</v>
      </c>
      <c r="F2675" t="s">
        <v>41</v>
      </c>
      <c r="G2675">
        <v>-488.47239999999999</v>
      </c>
      <c r="H2675" s="1">
        <v>-3.7002409999999998E-6</v>
      </c>
      <c r="I2675">
        <v>257.62650000000002</v>
      </c>
      <c r="J2675">
        <v>-487.56229999999999</v>
      </c>
      <c r="K2675">
        <v>1.130085</v>
      </c>
      <c r="L2675">
        <v>273.31259999999997</v>
      </c>
      <c r="M2675">
        <v>-0.37727169999999999</v>
      </c>
      <c r="N2675">
        <v>-1.3873119999999999E-2</v>
      </c>
      <c r="O2675">
        <v>-0.92599889999999996</v>
      </c>
      <c r="P2675">
        <v>-0.23045019999999999</v>
      </c>
      <c r="Q2675">
        <v>9.5274730000000002E-2</v>
      </c>
      <c r="R2675">
        <v>-0.96840910000000002</v>
      </c>
      <c r="S2675">
        <v>-0.1868591</v>
      </c>
      <c r="T2675">
        <v>-0.21983220000000001</v>
      </c>
      <c r="U2675">
        <v>-3.0780940000000001</v>
      </c>
      <c r="V2675">
        <v>-0.1544953</v>
      </c>
      <c r="W2675">
        <v>0.10530249999999999</v>
      </c>
      <c r="X2675">
        <v>0.98236579999999996</v>
      </c>
      <c r="Y2675">
        <v>-0.32035160000000001</v>
      </c>
      <c r="Z2675">
        <v>4.7762609999999997E-2</v>
      </c>
      <c r="AA2675">
        <v>0.94609390000000004</v>
      </c>
      <c r="AB2675">
        <v>26</v>
      </c>
      <c r="AC2675">
        <v>-0.91010000000000002</v>
      </c>
      <c r="AD2675">
        <v>-1.1300887002410001</v>
      </c>
      <c r="AE2675">
        <v>-15.6860999999999</v>
      </c>
      <c r="AF2675">
        <v>-5.0495367184035302</v>
      </c>
      <c r="AG2675">
        <v>-1.1300887002410001</v>
      </c>
      <c r="AH2675">
        <v>14.7935687513112</v>
      </c>
      <c r="AI2675">
        <v>94.135007494961698</v>
      </c>
      <c r="AJ2675">
        <v>108.846478747858</v>
      </c>
      <c r="AK2675">
        <v>15.6724151916892</v>
      </c>
      <c r="AL2675">
        <v>83.955404783587696</v>
      </c>
      <c r="AM2675">
        <v>98.9376212177159</v>
      </c>
      <c r="AN2675">
        <v>0.99999998961898995</v>
      </c>
    </row>
    <row r="2676" spans="1:40" x14ac:dyDescent="0.25">
      <c r="A2676" t="str">
        <f>"20190303162307376"</f>
        <v>20190303162307376</v>
      </c>
      <c r="B2676" t="str">
        <f>"1551601387367198"</f>
        <v>1551601387367198</v>
      </c>
      <c r="C2676" t="s">
        <v>40</v>
      </c>
      <c r="D2676">
        <v>5.5786639999999998</v>
      </c>
      <c r="E2676">
        <v>0.43309569999999997</v>
      </c>
      <c r="F2676" t="s">
        <v>41</v>
      </c>
      <c r="G2676">
        <v>-488.46</v>
      </c>
      <c r="H2676" s="1">
        <v>-3.7029670000000001E-6</v>
      </c>
      <c r="I2676">
        <v>257.6277</v>
      </c>
      <c r="J2676">
        <v>-487.61020000000002</v>
      </c>
      <c r="K2676">
        <v>1.1297520000000001</v>
      </c>
      <c r="L2676">
        <v>273.1755</v>
      </c>
      <c r="M2676">
        <v>-0.37076429999999999</v>
      </c>
      <c r="N2676">
        <v>-1.3795959999999999E-2</v>
      </c>
      <c r="O2676">
        <v>-0.92862469999999997</v>
      </c>
      <c r="P2676">
        <v>-0.22632070000000001</v>
      </c>
      <c r="Q2676">
        <v>9.4920859999999996E-2</v>
      </c>
      <c r="R2676">
        <v>-0.96941719999999998</v>
      </c>
      <c r="S2676">
        <v>-0.17614749999999901</v>
      </c>
      <c r="T2676">
        <v>-0.22175059999999999</v>
      </c>
      <c r="U2676">
        <v>-3.0777589999999999</v>
      </c>
      <c r="V2676">
        <v>-0.1517029</v>
      </c>
      <c r="W2676">
        <v>0.10506500000000001</v>
      </c>
      <c r="X2676">
        <v>0.98282630000000004</v>
      </c>
      <c r="Y2676">
        <v>-0.31698209999999999</v>
      </c>
      <c r="Z2676">
        <v>4.8693630000000002E-2</v>
      </c>
      <c r="AA2676">
        <v>0.94718069999999999</v>
      </c>
      <c r="AB2676">
        <v>26</v>
      </c>
      <c r="AC2676">
        <v>-0.84979999999995903</v>
      </c>
      <c r="AD2676">
        <v>-1.129755702967</v>
      </c>
      <c r="AE2676">
        <v>-15.547799999999899</v>
      </c>
      <c r="AF2676">
        <v>-4.9498395022474897</v>
      </c>
      <c r="AG2676">
        <v>-1.129755702967</v>
      </c>
      <c r="AH2676">
        <v>14.6772836157007</v>
      </c>
      <c r="AI2676">
        <v>94.171597220703902</v>
      </c>
      <c r="AJ2676">
        <v>108.636417812647</v>
      </c>
      <c r="AK2676">
        <v>15.530612138036</v>
      </c>
      <c r="AL2676">
        <v>83.969088379282496</v>
      </c>
      <c r="AM2676">
        <v>98.774569344630706</v>
      </c>
      <c r="AN2676">
        <v>0.99999998003254897</v>
      </c>
    </row>
    <row r="2677" spans="1:40" x14ac:dyDescent="0.25">
      <c r="A2677" t="str">
        <f>"20190303162307406"</f>
        <v>20190303162307406</v>
      </c>
      <c r="B2677" t="str">
        <f>"1551601387397227"</f>
        <v>1551601387397227</v>
      </c>
      <c r="C2677" t="s">
        <v>40</v>
      </c>
      <c r="D2677">
        <v>5.575539</v>
      </c>
      <c r="E2677">
        <v>0.43410100000000001</v>
      </c>
      <c r="F2677" t="s">
        <v>41</v>
      </c>
      <c r="G2677">
        <v>-488.46170000000001</v>
      </c>
      <c r="H2677" s="1">
        <v>-3.6055160000000001E-6</v>
      </c>
      <c r="I2677">
        <v>257.40120000000002</v>
      </c>
      <c r="J2677">
        <v>-487.721</v>
      </c>
      <c r="K2677">
        <v>1.1289209999999901</v>
      </c>
      <c r="L2677">
        <v>272.85079999999999</v>
      </c>
      <c r="M2677">
        <v>-0.35627740000000002</v>
      </c>
      <c r="N2677">
        <v>-1.361043E-2</v>
      </c>
      <c r="O2677">
        <v>-0.93428129999999998</v>
      </c>
      <c r="P2677">
        <v>-0.2216224</v>
      </c>
      <c r="Q2677">
        <v>9.4763479999999997E-2</v>
      </c>
      <c r="R2677">
        <v>-0.97051750000000003</v>
      </c>
      <c r="S2677">
        <v>-0.16610720000000001</v>
      </c>
      <c r="T2677">
        <v>-0.22040370000000001</v>
      </c>
      <c r="U2677">
        <v>-3.0773929999999998</v>
      </c>
      <c r="V2677">
        <v>-0.1409406</v>
      </c>
      <c r="W2677">
        <v>0.1052732</v>
      </c>
      <c r="X2677">
        <v>0.98440499999999997</v>
      </c>
      <c r="Y2677">
        <v>-0.30529729999999999</v>
      </c>
      <c r="Z2677">
        <v>4.9235370000000001E-2</v>
      </c>
      <c r="AA2677">
        <v>0.95098340000000003</v>
      </c>
      <c r="AB2677">
        <v>26</v>
      </c>
      <c r="AC2677">
        <v>-0.74070000000000302</v>
      </c>
      <c r="AD2677">
        <v>-1.1289246055159901</v>
      </c>
      <c r="AE2677">
        <v>-15.449599999999901</v>
      </c>
      <c r="AF2677">
        <v>-4.7872633723316103</v>
      </c>
      <c r="AG2677">
        <v>-1.1289246055159901</v>
      </c>
      <c r="AH2677">
        <v>14.621633590605301</v>
      </c>
      <c r="AI2677">
        <v>94.196638863030003</v>
      </c>
      <c r="AJ2677">
        <v>108.128944083382</v>
      </c>
      <c r="AK2677">
        <v>15.4267472339092</v>
      </c>
      <c r="AL2677">
        <v>83.957092703018702</v>
      </c>
      <c r="AM2677">
        <v>98.147858745403397</v>
      </c>
      <c r="AN2677">
        <v>0.99999995169579803</v>
      </c>
    </row>
    <row r="2678" spans="1:40" x14ac:dyDescent="0.25">
      <c r="A2678" t="str">
        <f>"20190303162307419"</f>
        <v>20190303162307419</v>
      </c>
      <c r="B2678" t="str">
        <f>"1551601387406987"</f>
        <v>1551601387406987</v>
      </c>
      <c r="C2678" t="s">
        <v>40</v>
      </c>
      <c r="D2678">
        <v>5.6364080000000003</v>
      </c>
      <c r="E2678">
        <v>0.43465330000000002</v>
      </c>
      <c r="F2678" t="s">
        <v>41</v>
      </c>
      <c r="G2678">
        <v>-488.548</v>
      </c>
      <c r="H2678" s="1">
        <v>-3.384909E-6</v>
      </c>
      <c r="I2678">
        <v>256.92270000000002</v>
      </c>
      <c r="J2678">
        <v>-487.77249999999998</v>
      </c>
      <c r="K2678">
        <v>1.1284940000000001</v>
      </c>
      <c r="L2678">
        <v>272.69569999999999</v>
      </c>
      <c r="M2678">
        <v>-0.3499082</v>
      </c>
      <c r="N2678">
        <v>-1.3520600000000001E-2</v>
      </c>
      <c r="O2678">
        <v>-0.93668660000000004</v>
      </c>
      <c r="P2678">
        <v>-0.21881909999999999</v>
      </c>
      <c r="Q2678">
        <v>9.519532E-2</v>
      </c>
      <c r="R2678">
        <v>-0.9711111</v>
      </c>
      <c r="S2678">
        <v>-0.15969849999999999</v>
      </c>
      <c r="T2678">
        <v>-0.2180126</v>
      </c>
      <c r="U2678">
        <v>-3.075958</v>
      </c>
      <c r="V2678">
        <v>-0.1369562</v>
      </c>
      <c r="W2678">
        <v>0.10584739999999999</v>
      </c>
      <c r="X2678">
        <v>0.9849057</v>
      </c>
      <c r="Y2678">
        <v>-0.3007686</v>
      </c>
      <c r="Z2678">
        <v>4.8974789999999997E-2</v>
      </c>
      <c r="AA2678">
        <v>0.95243880000000003</v>
      </c>
      <c r="AB2678">
        <v>26</v>
      </c>
      <c r="AC2678">
        <v>-0.77550000000002195</v>
      </c>
      <c r="AD2678">
        <v>-1.1284973849089901</v>
      </c>
      <c r="AE2678">
        <v>-15.7729999999999</v>
      </c>
      <c r="AF2678">
        <v>-4.7687870450880796</v>
      </c>
      <c r="AG2678">
        <v>-1.1284973849089901</v>
      </c>
      <c r="AH2678">
        <v>14.970636732941101</v>
      </c>
      <c r="AI2678">
        <v>94.108199649616907</v>
      </c>
      <c r="AJ2678">
        <v>107.668898376984</v>
      </c>
      <c r="AK2678">
        <v>15.752295084172101</v>
      </c>
      <c r="AL2678">
        <v>83.924008642666806</v>
      </c>
      <c r="AM2678">
        <v>97.916507707785598</v>
      </c>
      <c r="AN2678">
        <v>0.99999995534884401</v>
      </c>
    </row>
    <row r="2679" spans="1:40" x14ac:dyDescent="0.25">
      <c r="A2679" t="str">
        <f>"20190303162307451"</f>
        <v>20190303162307451</v>
      </c>
      <c r="B2679" t="str">
        <f>"1551601387447004"</f>
        <v>1551601387447004</v>
      </c>
      <c r="C2679" t="s">
        <v>40</v>
      </c>
      <c r="D2679">
        <v>5.5119920000000002</v>
      </c>
      <c r="E2679">
        <v>0.43622179999999999</v>
      </c>
      <c r="F2679" t="s">
        <v>41</v>
      </c>
      <c r="G2679">
        <v>-488.59089999999998</v>
      </c>
      <c r="H2679" s="1">
        <v>-3.2317220000000001E-6</v>
      </c>
      <c r="I2679">
        <v>256.58330000000001</v>
      </c>
      <c r="J2679">
        <v>-487.88470000000001</v>
      </c>
      <c r="K2679">
        <v>1.1275299999999999</v>
      </c>
      <c r="L2679">
        <v>272.3501</v>
      </c>
      <c r="M2679">
        <v>-0.3371884</v>
      </c>
      <c r="N2679">
        <v>-1.332066E-2</v>
      </c>
      <c r="O2679">
        <v>-0.94134300000000004</v>
      </c>
      <c r="P2679">
        <v>-0.21666560000000001</v>
      </c>
      <c r="Q2679">
        <v>9.7838129999999995E-2</v>
      </c>
      <c r="R2679">
        <v>-0.9713311</v>
      </c>
      <c r="S2679">
        <v>-0.15618899999999999</v>
      </c>
      <c r="T2679">
        <v>-0.21537999999999999</v>
      </c>
      <c r="U2679">
        <v>-3.0751339999999998</v>
      </c>
      <c r="V2679">
        <v>-0.12547079999999999</v>
      </c>
      <c r="W2679">
        <v>0.1088369</v>
      </c>
      <c r="X2679">
        <v>0.98610929999999997</v>
      </c>
      <c r="Y2679">
        <v>-0.28891220000000001</v>
      </c>
      <c r="Z2679">
        <v>4.904559E-2</v>
      </c>
      <c r="AA2679">
        <v>0.95609849999999996</v>
      </c>
      <c r="AB2679">
        <v>26</v>
      </c>
      <c r="AC2679">
        <v>-0.70619999999996697</v>
      </c>
      <c r="AD2679">
        <v>-1.1275332317219999</v>
      </c>
      <c r="AE2679">
        <v>-15.7667999999999</v>
      </c>
      <c r="AF2679">
        <v>-4.6283953353210903</v>
      </c>
      <c r="AG2679">
        <v>-1.1275332317219999</v>
      </c>
      <c r="AH2679">
        <v>15.004843534336599</v>
      </c>
      <c r="AI2679">
        <v>94.107139147018202</v>
      </c>
      <c r="AJ2679">
        <v>107.142906197456</v>
      </c>
      <c r="AK2679">
        <v>15.742893763809199</v>
      </c>
      <c r="AL2679">
        <v>83.751727522883002</v>
      </c>
      <c r="AM2679">
        <v>97.2512494529538</v>
      </c>
      <c r="AN2679">
        <v>0.99999997200036905</v>
      </c>
    </row>
    <row r="2680" spans="1:40" x14ac:dyDescent="0.25">
      <c r="A2680" t="str">
        <f>"20190303162307465"</f>
        <v>20190303162307465</v>
      </c>
      <c r="B2680" t="str">
        <f>"1551601387456764"</f>
        <v>1551601387456764</v>
      </c>
      <c r="C2680" t="s">
        <v>40</v>
      </c>
      <c r="D2680">
        <v>5.5155200000000004</v>
      </c>
      <c r="E2680">
        <v>0.43670330000000002</v>
      </c>
      <c r="F2680" t="s">
        <v>41</v>
      </c>
      <c r="G2680">
        <v>-488.79059999999998</v>
      </c>
      <c r="H2680" s="1">
        <v>-2.7067840000000001E-6</v>
      </c>
      <c r="I2680">
        <v>255.44229999999999</v>
      </c>
      <c r="J2680">
        <v>-487.9316</v>
      </c>
      <c r="K2680">
        <v>1.1270880000000001</v>
      </c>
      <c r="L2680">
        <v>272.20299999999997</v>
      </c>
      <c r="M2680">
        <v>-0.33231500000000003</v>
      </c>
      <c r="N2680">
        <v>-1.323738E-2</v>
      </c>
      <c r="O2680">
        <v>-0.94307569999999996</v>
      </c>
      <c r="P2680">
        <v>-0.21097440000000001</v>
      </c>
      <c r="Q2680">
        <v>9.9182699999999999E-2</v>
      </c>
      <c r="R2680">
        <v>-0.97244699999999995</v>
      </c>
      <c r="S2680">
        <v>-0.1646118</v>
      </c>
      <c r="T2680">
        <v>-0.2048944</v>
      </c>
      <c r="U2680">
        <v>-3.072479</v>
      </c>
      <c r="V2680">
        <v>-0.12599959999999999</v>
      </c>
      <c r="W2680">
        <v>0.11022419999999999</v>
      </c>
      <c r="X2680">
        <v>0.98588779999999998</v>
      </c>
      <c r="Y2680">
        <v>-0.28130319999999998</v>
      </c>
      <c r="Z2680">
        <v>4.6408379999999999E-2</v>
      </c>
      <c r="AA2680">
        <v>0.95849609999999996</v>
      </c>
      <c r="AB2680">
        <v>26</v>
      </c>
      <c r="AC2680">
        <v>-0.85899999999998</v>
      </c>
      <c r="AD2680">
        <v>-1.1270907067839999</v>
      </c>
      <c r="AE2680">
        <v>-16.7606999999999</v>
      </c>
      <c r="AF2680">
        <v>-4.73877370372053</v>
      </c>
      <c r="AG2680">
        <v>-1.1270907067839999</v>
      </c>
      <c r="AH2680">
        <v>16.021216803938</v>
      </c>
      <c r="AI2680">
        <v>93.859371163121494</v>
      </c>
      <c r="AJ2680">
        <v>106.47722322106399</v>
      </c>
      <c r="AK2680">
        <v>16.745318675832301</v>
      </c>
      <c r="AL2680">
        <v>83.6717602142689</v>
      </c>
      <c r="AM2680">
        <v>97.283101092464804</v>
      </c>
      <c r="AN2680">
        <v>1.00000001382731</v>
      </c>
    </row>
    <row r="2681" spans="1:40" x14ac:dyDescent="0.25">
      <c r="A2681" t="str">
        <f>"20190303162307478"</f>
        <v>20190303162307478</v>
      </c>
      <c r="B2681" t="str">
        <f>"1551601387467500"</f>
        <v>1551601387467500</v>
      </c>
      <c r="C2681" t="s">
        <v>40</v>
      </c>
      <c r="D2681">
        <v>5.5181719999999999</v>
      </c>
      <c r="E2681">
        <v>0.43721769999999999</v>
      </c>
      <c r="F2681" t="s">
        <v>41</v>
      </c>
      <c r="G2681">
        <v>-488.78070000000002</v>
      </c>
      <c r="H2681" s="1">
        <v>-2.4716289999999999E-6</v>
      </c>
      <c r="I2681">
        <v>254.89</v>
      </c>
      <c r="J2681">
        <v>-487.98079999999999</v>
      </c>
      <c r="K2681">
        <v>1.1266099999999999</v>
      </c>
      <c r="L2681">
        <v>272.04719999999998</v>
      </c>
      <c r="M2681">
        <v>-0.32766810000000002</v>
      </c>
      <c r="N2681">
        <v>-1.31488E-2</v>
      </c>
      <c r="O2681">
        <v>-0.94470160000000003</v>
      </c>
      <c r="P2681">
        <v>-0.20847180000000001</v>
      </c>
      <c r="Q2681">
        <v>0.10128959999999999</v>
      </c>
      <c r="R2681">
        <v>-0.97276940000000001</v>
      </c>
      <c r="S2681">
        <v>-0.15069579999999999</v>
      </c>
      <c r="T2681">
        <v>-0.2000353</v>
      </c>
      <c r="U2681">
        <v>-3.0726930000000001</v>
      </c>
      <c r="V2681">
        <v>-0.1235047</v>
      </c>
      <c r="W2681">
        <v>0.1124325</v>
      </c>
      <c r="X2681">
        <v>0.98595410000000006</v>
      </c>
      <c r="Y2681">
        <v>-0.28091389999999999</v>
      </c>
      <c r="Z2681">
        <v>4.5240299999999997E-2</v>
      </c>
      <c r="AA2681">
        <v>0.95866609999999997</v>
      </c>
      <c r="AB2681">
        <v>26</v>
      </c>
      <c r="AC2681">
        <v>-0.79990000000003603</v>
      </c>
      <c r="AD2681">
        <v>-1.126612471629</v>
      </c>
      <c r="AE2681">
        <v>-17.1571999999999</v>
      </c>
      <c r="AF2681">
        <v>-4.8457715179980303</v>
      </c>
      <c r="AG2681">
        <v>-1.126612471629</v>
      </c>
      <c r="AH2681">
        <v>16.401391040950699</v>
      </c>
      <c r="AI2681">
        <v>93.768918741449795</v>
      </c>
      <c r="AJ2681">
        <v>106.459712746297</v>
      </c>
      <c r="AK2681">
        <v>17.139322779621398</v>
      </c>
      <c r="AL2681">
        <v>83.544442268859399</v>
      </c>
      <c r="AM2681">
        <v>97.139917572844496</v>
      </c>
      <c r="AN2681">
        <v>0.99999998264257495</v>
      </c>
    </row>
    <row r="2682" spans="1:40" x14ac:dyDescent="0.25">
      <c r="A2682" t="str">
        <f>"20190303162307497"</f>
        <v>20190303162307497</v>
      </c>
      <c r="B2682" t="str">
        <f>"1551601387487019"</f>
        <v>1551601387487019</v>
      </c>
      <c r="C2682" t="s">
        <v>40</v>
      </c>
      <c r="D2682">
        <v>5.4621120000000003</v>
      </c>
      <c r="E2682">
        <v>0.4381736</v>
      </c>
      <c r="F2682" t="s">
        <v>41</v>
      </c>
      <c r="G2682">
        <v>-488.84449999999998</v>
      </c>
      <c r="H2682" s="1">
        <v>-2.1298489999999998E-6</v>
      </c>
      <c r="I2682">
        <v>254.11969999999999</v>
      </c>
      <c r="J2682">
        <v>-488.04259999999999</v>
      </c>
      <c r="K2682">
        <v>1.1260139999999901</v>
      </c>
      <c r="L2682">
        <v>271.84989999999999</v>
      </c>
      <c r="M2682">
        <v>-0.3223625</v>
      </c>
      <c r="N2682">
        <v>-1.304074E-2</v>
      </c>
      <c r="O2682">
        <v>-0.9465266</v>
      </c>
      <c r="P2682">
        <v>-0.20661479999999999</v>
      </c>
      <c r="Q2682">
        <v>0.10552980000000001</v>
      </c>
      <c r="R2682">
        <v>-0.97271470000000004</v>
      </c>
      <c r="S2682">
        <v>-0.14801029999999901</v>
      </c>
      <c r="T2682">
        <v>-0.19307550000000001</v>
      </c>
      <c r="U2682">
        <v>-3.0723569999999998</v>
      </c>
      <c r="V2682">
        <v>-0.11958589999999999</v>
      </c>
      <c r="W2682">
        <v>0.1168061</v>
      </c>
      <c r="X2682">
        <v>0.98592880000000005</v>
      </c>
      <c r="Y2682">
        <v>-0.27636230000000001</v>
      </c>
      <c r="Z2682">
        <v>4.3541950000000003E-2</v>
      </c>
      <c r="AA2682">
        <v>0.96006670000000005</v>
      </c>
      <c r="AB2682">
        <v>26</v>
      </c>
      <c r="AC2682">
        <v>-0.80189999999998895</v>
      </c>
      <c r="AD2682">
        <v>-1.1260161298489999</v>
      </c>
      <c r="AE2682">
        <v>-17.7301999999999</v>
      </c>
      <c r="AF2682">
        <v>-4.93708067183917</v>
      </c>
      <c r="AG2682">
        <v>-1.1260161298489999</v>
      </c>
      <c r="AH2682">
        <v>16.9737348285271</v>
      </c>
      <c r="AI2682">
        <v>93.644752780206503</v>
      </c>
      <c r="AJ2682">
        <v>106.21791214281799</v>
      </c>
      <c r="AK2682">
        <v>17.712999517701199</v>
      </c>
      <c r="AL2682">
        <v>83.2921910561099</v>
      </c>
      <c r="AM2682">
        <v>96.915773260703801</v>
      </c>
      <c r="AN2682">
        <v>1.0000000255727199</v>
      </c>
    </row>
    <row r="2683" spans="1:40" x14ac:dyDescent="0.25">
      <c r="A2683" t="str">
        <f>"20190303162307512"</f>
        <v>20190303162307512</v>
      </c>
      <c r="B2683" t="str">
        <f>"1551601387507045"</f>
        <v>1551601387507045</v>
      </c>
      <c r="C2683" t="s">
        <v>40</v>
      </c>
      <c r="D2683">
        <v>5.4574730000000002</v>
      </c>
      <c r="E2683">
        <v>0.43902799999999997</v>
      </c>
      <c r="F2683" t="s">
        <v>41</v>
      </c>
      <c r="G2683">
        <v>-488.99680000000001</v>
      </c>
      <c r="H2683" s="1">
        <v>-1.446009E-6</v>
      </c>
      <c r="I2683">
        <v>252.58869999999999</v>
      </c>
      <c r="J2683">
        <v>-488.09559999999999</v>
      </c>
      <c r="K2683">
        <v>1.1254789999999999</v>
      </c>
      <c r="L2683">
        <v>271.6789</v>
      </c>
      <c r="M2683">
        <v>-0.31830219999999998</v>
      </c>
      <c r="N2683">
        <v>-1.2951600000000001E-2</v>
      </c>
      <c r="O2683">
        <v>-0.94790110000000005</v>
      </c>
      <c r="P2683">
        <v>-0.2045466</v>
      </c>
      <c r="Q2683">
        <v>0.1071585</v>
      </c>
      <c r="R2683">
        <v>-0.97297420000000001</v>
      </c>
      <c r="S2683">
        <v>-0.15216060000000001</v>
      </c>
      <c r="T2683">
        <v>-0.1795503</v>
      </c>
      <c r="U2683">
        <v>-3.0713200000000001</v>
      </c>
      <c r="V2683">
        <v>-0.1172583</v>
      </c>
      <c r="W2683">
        <v>0.1185331</v>
      </c>
      <c r="X2683">
        <v>0.98600220000000005</v>
      </c>
      <c r="Y2683">
        <v>-0.27093420000000001</v>
      </c>
      <c r="Z2683">
        <v>3.9868140000000003E-2</v>
      </c>
      <c r="AA2683">
        <v>0.96177190000000001</v>
      </c>
      <c r="AB2683">
        <v>27</v>
      </c>
      <c r="AC2683">
        <v>-0.90120000000001699</v>
      </c>
      <c r="AD2683">
        <v>-1.125480446009</v>
      </c>
      <c r="AE2683">
        <v>-19.090199999999999</v>
      </c>
      <c r="AF2683">
        <v>-5.2045909555404899</v>
      </c>
      <c r="AG2683">
        <v>-1.125480446009</v>
      </c>
      <c r="AH2683">
        <v>18.3204758782671</v>
      </c>
      <c r="AI2683">
        <v>93.381936923241696</v>
      </c>
      <c r="AJ2683">
        <v>105.85910671098</v>
      </c>
      <c r="AK2683">
        <v>19.0786349001968</v>
      </c>
      <c r="AL2683">
        <v>83.192548631830107</v>
      </c>
      <c r="AM2683">
        <v>96.781931833666306</v>
      </c>
      <c r="AN2683">
        <v>0.99999997155966902</v>
      </c>
    </row>
    <row r="2684" spans="1:40" x14ac:dyDescent="0.25">
      <c r="A2684" t="str">
        <f>"20190303162307530"</f>
        <v>20190303162307530</v>
      </c>
      <c r="B2684" t="str">
        <f>"1551601387517781"</f>
        <v>1551601387517781</v>
      </c>
      <c r="C2684" t="s">
        <v>40</v>
      </c>
      <c r="D2684">
        <v>5.5733079999999999</v>
      </c>
      <c r="E2684">
        <v>0.43902799999999997</v>
      </c>
      <c r="F2684" t="s">
        <v>41</v>
      </c>
      <c r="G2684">
        <v>-489.09059999999999</v>
      </c>
      <c r="H2684" s="1">
        <v>-1.0770109999999999E-6</v>
      </c>
      <c r="I2684">
        <v>251.76730000000001</v>
      </c>
      <c r="J2684">
        <v>-488.1576</v>
      </c>
      <c r="K2684">
        <v>1.12486</v>
      </c>
      <c r="L2684">
        <v>271.4787</v>
      </c>
      <c r="M2684">
        <v>-0.31415470000000001</v>
      </c>
      <c r="N2684">
        <v>-1.285305E-2</v>
      </c>
      <c r="O2684">
        <v>-0.94928480000000004</v>
      </c>
      <c r="P2684">
        <v>-0.2051608</v>
      </c>
      <c r="Q2684">
        <v>0.1094378</v>
      </c>
      <c r="R2684">
        <v>-0.97259070000000003</v>
      </c>
      <c r="S2684">
        <v>-0.15341189999999999</v>
      </c>
      <c r="T2684">
        <v>-0.1735389</v>
      </c>
      <c r="U2684">
        <v>-3.0701900000000002</v>
      </c>
      <c r="V2684">
        <v>-0.112076</v>
      </c>
      <c r="W2684">
        <v>0.12095259999999999</v>
      </c>
      <c r="X2684">
        <v>0.98631100000000005</v>
      </c>
      <c r="Y2684">
        <v>-0.26631860000000002</v>
      </c>
      <c r="Z2684">
        <v>3.8376180000000003E-2</v>
      </c>
      <c r="AA2684">
        <v>0.9631208</v>
      </c>
      <c r="AB2684">
        <v>27</v>
      </c>
      <c r="AC2684">
        <v>-0.93299999999999195</v>
      </c>
      <c r="AD2684">
        <v>-1.1248610770109999</v>
      </c>
      <c r="AE2684">
        <v>-19.711400000000001</v>
      </c>
      <c r="AF2684">
        <v>-5.2899957806335696</v>
      </c>
      <c r="AG2684">
        <v>-1.1248610770109999</v>
      </c>
      <c r="AH2684">
        <v>18.944851006699601</v>
      </c>
      <c r="AI2684">
        <v>93.273061655483005</v>
      </c>
      <c r="AJ2684">
        <v>105.601398142135</v>
      </c>
      <c r="AK2684">
        <v>19.701694025330401</v>
      </c>
      <c r="AL2684">
        <v>83.052916817936705</v>
      </c>
      <c r="AM2684">
        <v>96.482798671470505</v>
      </c>
      <c r="AN2684">
        <v>0.99999997497187898</v>
      </c>
    </row>
    <row r="2685" spans="1:40" x14ac:dyDescent="0.25">
      <c r="A2685" t="str">
        <f>"20190303162307543"</f>
        <v>20190303162307543</v>
      </c>
      <c r="B2685" t="str">
        <f>"1551601387537301"</f>
        <v>1551601387537301</v>
      </c>
      <c r="C2685" t="s">
        <v>40</v>
      </c>
      <c r="D2685">
        <v>5.5147089999999999</v>
      </c>
      <c r="E2685">
        <v>0.45471780000000001</v>
      </c>
      <c r="F2685" t="s">
        <v>41</v>
      </c>
      <c r="G2685">
        <v>-489.2106</v>
      </c>
      <c r="H2685" s="1">
        <v>-6.522322E-7</v>
      </c>
      <c r="I2685">
        <v>250.82669999999999</v>
      </c>
      <c r="J2685">
        <v>-488.20409999999998</v>
      </c>
      <c r="K2685">
        <v>1.124398</v>
      </c>
      <c r="L2685">
        <v>271.32769999999999</v>
      </c>
      <c r="M2685">
        <v>-0.31138259999999901</v>
      </c>
      <c r="N2685">
        <v>-1.278281E-2</v>
      </c>
      <c r="O2685">
        <v>-0.95019880000000001</v>
      </c>
      <c r="P2685">
        <v>-0.20464789999999999</v>
      </c>
      <c r="Q2685">
        <v>0.10967639999999999</v>
      </c>
      <c r="R2685">
        <v>-0.97267210000000004</v>
      </c>
      <c r="S2685">
        <v>-0.15655520000000001</v>
      </c>
      <c r="T2685">
        <v>-0.16723370000000001</v>
      </c>
      <c r="U2685">
        <v>-3.0703429999999998</v>
      </c>
      <c r="V2685">
        <v>-0.10956730000000001</v>
      </c>
      <c r="W2685">
        <v>0.12127590000000001</v>
      </c>
      <c r="X2685">
        <v>0.98655320000000002</v>
      </c>
      <c r="Y2685">
        <v>-0.26252550000000002</v>
      </c>
      <c r="Z2685">
        <v>3.669294E-2</v>
      </c>
      <c r="AA2685">
        <v>0.9642271</v>
      </c>
      <c r="AB2685">
        <v>27</v>
      </c>
      <c r="AC2685">
        <v>-1.0065000000000099</v>
      </c>
      <c r="AD2685">
        <v>-1.12439865223219</v>
      </c>
      <c r="AE2685">
        <v>-20.501000000000001</v>
      </c>
      <c r="AF2685">
        <v>-5.4114832088140101</v>
      </c>
      <c r="AG2685">
        <v>-1.12439865223219</v>
      </c>
      <c r="AH2685">
        <v>19.735822364334901</v>
      </c>
      <c r="AI2685">
        <v>93.144922732188803</v>
      </c>
      <c r="AJ2685">
        <v>105.33341451930799</v>
      </c>
      <c r="AK2685">
        <v>20.495148383092999</v>
      </c>
      <c r="AL2685">
        <v>83.034256082309895</v>
      </c>
      <c r="AM2685">
        <v>96.337339242176199</v>
      </c>
      <c r="AN2685">
        <v>1.0000000267901601</v>
      </c>
    </row>
    <row r="2686" spans="1:40" x14ac:dyDescent="0.25">
      <c r="A2686" t="str">
        <f>"20190303162307554"</f>
        <v>20190303162307554</v>
      </c>
      <c r="B2686" t="str">
        <f>"1551601387547062"</f>
        <v>1551601387547062</v>
      </c>
      <c r="C2686" t="s">
        <v>40</v>
      </c>
      <c r="D2686">
        <v>5.5108030000000001</v>
      </c>
      <c r="E2686">
        <v>0.45490170000000002</v>
      </c>
      <c r="F2686" t="s">
        <v>41</v>
      </c>
      <c r="G2686">
        <v>-490.05489999999998</v>
      </c>
      <c r="H2686" s="1">
        <v>-6.3402969999999898E-7</v>
      </c>
      <c r="I2686">
        <v>251.03299999999999</v>
      </c>
      <c r="J2686">
        <v>-488.24669999999998</v>
      </c>
      <c r="K2686">
        <v>1.124001</v>
      </c>
      <c r="L2686">
        <v>271.18920000000003</v>
      </c>
      <c r="M2686">
        <v>-0.30931029999999998</v>
      </c>
      <c r="N2686">
        <v>-1.2722199999999999E-2</v>
      </c>
      <c r="O2686">
        <v>-0.95087600000000005</v>
      </c>
      <c r="P2686">
        <v>-0.20435139999999999</v>
      </c>
      <c r="Q2686">
        <v>0.1092974</v>
      </c>
      <c r="R2686">
        <v>-0.9727768</v>
      </c>
      <c r="S2686">
        <v>-0.27767940000000002</v>
      </c>
      <c r="T2686">
        <v>-0.16869799999999999</v>
      </c>
      <c r="U2686">
        <v>-3.0448909999999998</v>
      </c>
      <c r="V2686">
        <v>-0.1076044</v>
      </c>
      <c r="W2686">
        <v>0.1209631</v>
      </c>
      <c r="X2686">
        <v>0.98680760000000001</v>
      </c>
      <c r="Y2686">
        <v>-0.2216582</v>
      </c>
      <c r="Z2686">
        <v>3.795312E-2</v>
      </c>
      <c r="AA2686">
        <v>0.97438559999999996</v>
      </c>
      <c r="AB2686">
        <v>27</v>
      </c>
      <c r="AC2686">
        <v>-1.8082</v>
      </c>
      <c r="AD2686">
        <v>-1.1240016340297001</v>
      </c>
      <c r="AE2686">
        <v>-20.156199999999998</v>
      </c>
      <c r="AF2686">
        <v>-4.5016251082766399</v>
      </c>
      <c r="AG2686">
        <v>-1.1240016340297001</v>
      </c>
      <c r="AH2686">
        <v>19.6662716817317</v>
      </c>
      <c r="AI2686">
        <v>93.188814815387801</v>
      </c>
      <c r="AJ2686">
        <v>102.892934288486</v>
      </c>
      <c r="AK2686">
        <v>20.2061933611567</v>
      </c>
      <c r="AL2686">
        <v>83.052310999519904</v>
      </c>
      <c r="AM2686">
        <v>96.223112837717295</v>
      </c>
      <c r="AN2686">
        <v>1.0000000089393599</v>
      </c>
    </row>
    <row r="2687" spans="1:40" x14ac:dyDescent="0.25">
      <c r="A2687" t="str">
        <f>"20190303162307566"</f>
        <v>20190303162307566</v>
      </c>
      <c r="B2687" t="str">
        <f>"1551601387556821"</f>
        <v>1551601387556821</v>
      </c>
      <c r="C2687" t="s">
        <v>40</v>
      </c>
      <c r="D2687">
        <v>5.5200440000000004</v>
      </c>
      <c r="E2687">
        <v>0.45499689999999998</v>
      </c>
      <c r="F2687" t="s">
        <v>41</v>
      </c>
      <c r="G2687">
        <v>-490.18509999999998</v>
      </c>
      <c r="H2687" s="1">
        <v>-2.3900109999999998E-7</v>
      </c>
      <c r="I2687">
        <v>250.03139999999999</v>
      </c>
      <c r="J2687">
        <v>-488.28789999999998</v>
      </c>
      <c r="K2687">
        <v>1.123626</v>
      </c>
      <c r="L2687">
        <v>271.05509999999998</v>
      </c>
      <c r="M2687">
        <v>-0.30745889999999998</v>
      </c>
      <c r="N2687">
        <v>-1.2666180000000001E-2</v>
      </c>
      <c r="O2687">
        <v>-0.95147729999999997</v>
      </c>
      <c r="P2687">
        <v>-0.20388020000000001</v>
      </c>
      <c r="Q2687">
        <v>0.10885599999999999</v>
      </c>
      <c r="R2687">
        <v>-0.97292559999999995</v>
      </c>
      <c r="S2687">
        <v>-0.27883909999999901</v>
      </c>
      <c r="T2687">
        <v>-0.16169129999999901</v>
      </c>
      <c r="U2687">
        <v>-3.0436100000000001</v>
      </c>
      <c r="V2687">
        <v>-0.10605879999999999</v>
      </c>
      <c r="W2687">
        <v>0.1205792</v>
      </c>
      <c r="X2687">
        <v>0.98702190000000001</v>
      </c>
      <c r="Y2687">
        <v>-0.2193524</v>
      </c>
      <c r="Z2687">
        <v>3.5996489999999999E-2</v>
      </c>
      <c r="AA2687">
        <v>0.9749814</v>
      </c>
      <c r="AB2687">
        <v>27</v>
      </c>
      <c r="AC2687">
        <v>-1.89719999999999</v>
      </c>
      <c r="AD2687">
        <v>-1.1236262390011</v>
      </c>
      <c r="AE2687">
        <v>-21.023699999999899</v>
      </c>
      <c r="AF2687">
        <v>-4.6459898224331004</v>
      </c>
      <c r="AG2687">
        <v>-1.1236262390011</v>
      </c>
      <c r="AH2687">
        <v>20.530361115685</v>
      </c>
      <c r="AI2687">
        <v>93.055561116657202</v>
      </c>
      <c r="AJ2687">
        <v>102.751177126659</v>
      </c>
      <c r="AK2687">
        <v>21.0794564658474</v>
      </c>
      <c r="AL2687">
        <v>83.074469127258794</v>
      </c>
      <c r="AM2687">
        <v>96.133090458795095</v>
      </c>
      <c r="AN2687">
        <v>1.0000000218048399</v>
      </c>
    </row>
    <row r="2688" spans="1:40" x14ac:dyDescent="0.25">
      <c r="A2688" t="str">
        <f>"20190303162307578"</f>
        <v>20190303162307578</v>
      </c>
      <c r="B2688" t="str">
        <f>"1551601387567557"</f>
        <v>1551601387567557</v>
      </c>
      <c r="C2688" t="s">
        <v>40</v>
      </c>
      <c r="D2688">
        <v>5.5764069999999997</v>
      </c>
      <c r="E2688">
        <v>0.45465840000000002</v>
      </c>
      <c r="F2688" t="s">
        <v>41</v>
      </c>
      <c r="G2688">
        <v>-490.2473</v>
      </c>
      <c r="H2688" s="1">
        <v>-1.058013E-7</v>
      </c>
      <c r="I2688">
        <v>249.6824</v>
      </c>
      <c r="J2688">
        <v>-488.32769999999999</v>
      </c>
      <c r="K2688">
        <v>1.123281</v>
      </c>
      <c r="L2688">
        <v>270.92570000000001</v>
      </c>
      <c r="M2688">
        <v>-0.30592960000000002</v>
      </c>
      <c r="N2688">
        <v>-1.261468E-2</v>
      </c>
      <c r="O2688">
        <v>-0.9519706</v>
      </c>
      <c r="P2688">
        <v>-0.2030854</v>
      </c>
      <c r="Q2688">
        <v>0.10770250000000001</v>
      </c>
      <c r="R2688">
        <v>-0.97322010000000003</v>
      </c>
      <c r="S2688">
        <v>-0.27896120000000002</v>
      </c>
      <c r="T2688">
        <v>-0.15997620000000001</v>
      </c>
      <c r="U2688">
        <v>-3.0429379999999999</v>
      </c>
      <c r="V2688">
        <v>-0.10520649999999999</v>
      </c>
      <c r="W2688">
        <v>0.11947290000000001</v>
      </c>
      <c r="X2688">
        <v>0.9872476</v>
      </c>
      <c r="Y2688">
        <v>-0.21772659999999999</v>
      </c>
      <c r="Z2688">
        <v>3.559176E-2</v>
      </c>
      <c r="AA2688">
        <v>0.97536060000000002</v>
      </c>
      <c r="AB2688">
        <v>27</v>
      </c>
      <c r="AC2688">
        <v>-1.9196</v>
      </c>
      <c r="AD2688">
        <v>-1.1232811058012999</v>
      </c>
      <c r="AE2688">
        <v>-21.243300000000001</v>
      </c>
      <c r="AF2688">
        <v>-4.6590021341205397</v>
      </c>
      <c r="AG2688">
        <v>-1.1232811058012999</v>
      </c>
      <c r="AH2688">
        <v>20.754356082982898</v>
      </c>
      <c r="AI2688">
        <v>93.022892896675899</v>
      </c>
      <c r="AJ2688">
        <v>102.6521911066</v>
      </c>
      <c r="AK2688">
        <v>21.3005013496781</v>
      </c>
      <c r="AL2688">
        <v>83.138316890557803</v>
      </c>
      <c r="AM2688">
        <v>96.082794920698205</v>
      </c>
      <c r="AN2688">
        <v>1.0000000025912099</v>
      </c>
    </row>
    <row r="2689" spans="1:40" x14ac:dyDescent="0.25">
      <c r="A2689" t="str">
        <f>"20190303162307591"</f>
        <v>20190303162307591</v>
      </c>
      <c r="B2689" t="str">
        <f>"1551601387577318"</f>
        <v>1551601387577318</v>
      </c>
      <c r="C2689" t="s">
        <v>40</v>
      </c>
      <c r="D2689">
        <v>5.5155789999999998</v>
      </c>
      <c r="E2689">
        <v>0.45446740000000002</v>
      </c>
      <c r="F2689" t="s">
        <v>41</v>
      </c>
      <c r="G2689">
        <v>-490.14569999999998</v>
      </c>
      <c r="H2689" s="1">
        <v>-5.5122099999999996E-7</v>
      </c>
      <c r="I2689">
        <v>250.78360000000001</v>
      </c>
      <c r="J2689">
        <v>-488.37150000000003</v>
      </c>
      <c r="K2689">
        <v>1.122922</v>
      </c>
      <c r="L2689">
        <v>270.78309999999999</v>
      </c>
      <c r="M2689">
        <v>-0.30453599999999997</v>
      </c>
      <c r="N2689">
        <v>-1.256113E-2</v>
      </c>
      <c r="O2689">
        <v>-0.95241799999999999</v>
      </c>
      <c r="P2689">
        <v>-0.20174729999999999</v>
      </c>
      <c r="Q2689">
        <v>0.1067505</v>
      </c>
      <c r="R2689">
        <v>-0.97360290000000005</v>
      </c>
      <c r="S2689">
        <v>-0.27474979999999999</v>
      </c>
      <c r="T2689">
        <v>-0.1697582</v>
      </c>
      <c r="U2689">
        <v>-3.044006</v>
      </c>
      <c r="V2689">
        <v>-0.1050377</v>
      </c>
      <c r="W2689">
        <v>0.1185634</v>
      </c>
      <c r="X2689">
        <v>0.98737520000000001</v>
      </c>
      <c r="Y2689">
        <v>-0.21767339999999999</v>
      </c>
      <c r="Z2689">
        <v>3.8592580000000001E-2</v>
      </c>
      <c r="AA2689">
        <v>0.97525839999999997</v>
      </c>
      <c r="AB2689">
        <v>27</v>
      </c>
      <c r="AC2689">
        <v>-1.77419999999995</v>
      </c>
      <c r="AD2689">
        <v>-1.1229225512209999</v>
      </c>
      <c r="AE2689">
        <v>-19.999499999999902</v>
      </c>
      <c r="AF2689">
        <v>-4.3874114201632501</v>
      </c>
      <c r="AG2689">
        <v>-1.1229225512209999</v>
      </c>
      <c r="AH2689">
        <v>19.528652800059099</v>
      </c>
      <c r="AI2689">
        <v>93.211089131476299</v>
      </c>
      <c r="AJ2689">
        <v>102.662131516165</v>
      </c>
      <c r="AK2689">
        <v>20.046910340775099</v>
      </c>
      <c r="AL2689">
        <v>83.190800379728898</v>
      </c>
      <c r="AM2689">
        <v>96.072329318799902</v>
      </c>
      <c r="AN2689">
        <v>0.99999999190794497</v>
      </c>
    </row>
    <row r="2690" spans="1:40" x14ac:dyDescent="0.25">
      <c r="A2690" t="str">
        <f>"20190303162307607"</f>
        <v>20190303162307607</v>
      </c>
      <c r="B2690" t="str">
        <f>"1551601387596838"</f>
        <v>1551601387596838</v>
      </c>
      <c r="C2690" t="s">
        <v>40</v>
      </c>
      <c r="D2690">
        <v>5.5175919999999996</v>
      </c>
      <c r="E2690">
        <v>0.45436500000000002</v>
      </c>
      <c r="F2690" t="s">
        <v>41</v>
      </c>
      <c r="G2690">
        <v>-490.11649999999997</v>
      </c>
      <c r="H2690" s="1">
        <v>-6.7535859999999998E-7</v>
      </c>
      <c r="I2690">
        <v>251.09110000000001</v>
      </c>
      <c r="J2690">
        <v>-488.42649999999998</v>
      </c>
      <c r="K2690">
        <v>1.122485</v>
      </c>
      <c r="L2690">
        <v>270.60480000000001</v>
      </c>
      <c r="M2690">
        <v>-0.3031044</v>
      </c>
      <c r="N2690">
        <v>-1.249807E-2</v>
      </c>
      <c r="O2690">
        <v>-0.95287540000000004</v>
      </c>
      <c r="P2690">
        <v>-0.1998096</v>
      </c>
      <c r="Q2690">
        <v>0.1071734</v>
      </c>
      <c r="R2690">
        <v>-0.97395589999999999</v>
      </c>
      <c r="S2690">
        <v>-0.2697754</v>
      </c>
      <c r="T2690">
        <v>-0.17360699999999901</v>
      </c>
      <c r="U2690">
        <v>-3.0444339999999999</v>
      </c>
      <c r="V2690">
        <v>-0.10537870000000001</v>
      </c>
      <c r="W2690">
        <v>0.1190345</v>
      </c>
      <c r="X2690">
        <v>0.9872822</v>
      </c>
      <c r="Y2690">
        <v>-0.21780250000000001</v>
      </c>
      <c r="Z2690">
        <v>3.9837350000000001E-2</v>
      </c>
      <c r="AA2690">
        <v>0.97517949999999998</v>
      </c>
      <c r="AB2690">
        <v>27</v>
      </c>
      <c r="AC2690">
        <v>-1.68999999999999</v>
      </c>
      <c r="AD2690">
        <v>-1.1224856753586001</v>
      </c>
      <c r="AE2690">
        <v>-19.5137</v>
      </c>
      <c r="AF2690">
        <v>-4.2905737557886399</v>
      </c>
      <c r="AG2690">
        <v>-1.1224856753586001</v>
      </c>
      <c r="AH2690">
        <v>19.045313766065899</v>
      </c>
      <c r="AI2690">
        <v>93.2906922977607</v>
      </c>
      <c r="AJ2690">
        <v>102.69578254741199</v>
      </c>
      <c r="AK2690">
        <v>19.5548708431722</v>
      </c>
      <c r="AL2690">
        <v>83.163615967051598</v>
      </c>
      <c r="AM2690">
        <v>96.092464383675605</v>
      </c>
      <c r="AN2690">
        <v>1.0000000125203801</v>
      </c>
    </row>
    <row r="2691" spans="1:40" x14ac:dyDescent="0.25">
      <c r="A2691" t="str">
        <f>"20190303162307630"</f>
        <v>20190303162307630</v>
      </c>
      <c r="B2691" t="str">
        <f>"1551601387617334"</f>
        <v>1551601387617334</v>
      </c>
      <c r="C2691" t="s">
        <v>40</v>
      </c>
      <c r="D2691">
        <v>5.5148599999999997</v>
      </c>
      <c r="E2691">
        <v>0.45472679999999999</v>
      </c>
      <c r="F2691" t="s">
        <v>41</v>
      </c>
      <c r="G2691">
        <v>-490.11849999999998</v>
      </c>
      <c r="H2691" s="1">
        <v>-6.8682269999999905E-7</v>
      </c>
      <c r="I2691">
        <v>251.11660000000001</v>
      </c>
      <c r="J2691">
        <v>-488.50380000000001</v>
      </c>
      <c r="K2691">
        <v>1.1219190000000001</v>
      </c>
      <c r="L2691">
        <v>270.35419999999999</v>
      </c>
      <c r="M2691">
        <v>-0.30176720000000001</v>
      </c>
      <c r="N2691">
        <v>-1.2418739999999999E-2</v>
      </c>
      <c r="O2691">
        <v>-0.95330079999999995</v>
      </c>
      <c r="P2691">
        <v>-0.19611890000000001</v>
      </c>
      <c r="Q2691">
        <v>0.1085928</v>
      </c>
      <c r="R2691">
        <v>-0.97454879999999999</v>
      </c>
      <c r="S2691">
        <v>-0.26440429999999998</v>
      </c>
      <c r="T2691">
        <v>-0.17540120000000001</v>
      </c>
      <c r="U2691">
        <v>-3.045258</v>
      </c>
      <c r="V2691">
        <v>-0.1075237</v>
      </c>
      <c r="W2691">
        <v>0.12051240000000001</v>
      </c>
      <c r="X2691">
        <v>0.98687150000000001</v>
      </c>
      <c r="Y2691">
        <v>-0.21816469999999999</v>
      </c>
      <c r="Z2691">
        <v>4.0472470000000003E-2</v>
      </c>
      <c r="AA2691">
        <v>0.97507239999999995</v>
      </c>
      <c r="AB2691">
        <v>27</v>
      </c>
      <c r="AC2691">
        <v>-1.61469999999997</v>
      </c>
      <c r="AD2691">
        <v>-1.1219196868226999</v>
      </c>
      <c r="AE2691">
        <v>-19.237599999999901</v>
      </c>
      <c r="AF2691">
        <v>-4.2519504865942999</v>
      </c>
      <c r="AG2691">
        <v>-1.1219196868226999</v>
      </c>
      <c r="AH2691">
        <v>18.764560088387899</v>
      </c>
      <c r="AI2691">
        <v>93.337197035496999</v>
      </c>
      <c r="AJ2691">
        <v>102.767322424296</v>
      </c>
      <c r="AK2691">
        <v>19.272947414312299</v>
      </c>
      <c r="AL2691">
        <v>83.078324247323494</v>
      </c>
      <c r="AM2691">
        <v>96.218082779089301</v>
      </c>
      <c r="AN2691">
        <v>0.99999997106384897</v>
      </c>
    </row>
    <row r="2692" spans="1:40" x14ac:dyDescent="0.25">
      <c r="A2692" t="str">
        <f>"20190303162307640"</f>
        <v>20190303162307640</v>
      </c>
      <c r="B2692" t="str">
        <f>"1551601387627093"</f>
        <v>1551601387627093</v>
      </c>
      <c r="C2692" t="s">
        <v>40</v>
      </c>
      <c r="D2692">
        <v>5.5171799999999998</v>
      </c>
      <c r="E2692">
        <v>0.45490629999999999</v>
      </c>
      <c r="F2692" t="s">
        <v>41</v>
      </c>
      <c r="G2692">
        <v>-490.18029999999999</v>
      </c>
      <c r="H2692" s="1">
        <v>-4.0551999999999999E-7</v>
      </c>
      <c r="I2692">
        <v>250.42250000000001</v>
      </c>
      <c r="J2692">
        <v>-488.54469999999998</v>
      </c>
      <c r="K2692">
        <v>1.1216440000000001</v>
      </c>
      <c r="L2692">
        <v>270.22239999999999</v>
      </c>
      <c r="M2692">
        <v>-0.30127999999999999</v>
      </c>
      <c r="N2692">
        <v>-1.2380759999999999E-2</v>
      </c>
      <c r="O2692">
        <v>-0.95345539999999995</v>
      </c>
      <c r="P2692">
        <v>-0.19451889999999999</v>
      </c>
      <c r="Q2692">
        <v>0.10871160000000001</v>
      </c>
      <c r="R2692">
        <v>-0.9748561</v>
      </c>
      <c r="S2692">
        <v>-0.25619510000000001</v>
      </c>
      <c r="T2692">
        <v>-0.17145060000000001</v>
      </c>
      <c r="U2692">
        <v>-3.0459290000000001</v>
      </c>
      <c r="V2692">
        <v>-0.1085522</v>
      </c>
      <c r="W2692">
        <v>0.1206644</v>
      </c>
      <c r="X2692">
        <v>0.98674039999999996</v>
      </c>
      <c r="Y2692">
        <v>-0.22029009999999999</v>
      </c>
      <c r="Z2692">
        <v>3.9313750000000001E-2</v>
      </c>
      <c r="AA2692">
        <v>0.97464189999999995</v>
      </c>
      <c r="AB2692">
        <v>27</v>
      </c>
      <c r="AC2692">
        <v>-1.6356000000000099</v>
      </c>
      <c r="AD2692">
        <v>-1.1216444055200001</v>
      </c>
      <c r="AE2692">
        <v>-19.799899999999901</v>
      </c>
      <c r="AF2692">
        <v>-4.39218020913267</v>
      </c>
      <c r="AG2692">
        <v>-1.1216444055200001</v>
      </c>
      <c r="AH2692">
        <v>19.311027601568</v>
      </c>
      <c r="AI2692">
        <v>93.241577569507697</v>
      </c>
      <c r="AJ2692">
        <v>102.813604972223</v>
      </c>
      <c r="AK2692">
        <v>19.835955237659999</v>
      </c>
      <c r="AL2692">
        <v>83.069551799323705</v>
      </c>
      <c r="AM2692">
        <v>96.277915576852394</v>
      </c>
      <c r="AN2692">
        <v>1.00000004727217</v>
      </c>
    </row>
    <row r="2693" spans="1:40" x14ac:dyDescent="0.25">
      <c r="A2693" t="str">
        <f>"20190303162307652"</f>
        <v>20190303162307652</v>
      </c>
      <c r="B2693" t="str">
        <f>"1551601387647590"</f>
        <v>1551601387647590</v>
      </c>
      <c r="C2693" t="s">
        <v>40</v>
      </c>
      <c r="D2693">
        <v>5.5176730000000003</v>
      </c>
      <c r="E2693">
        <v>0.45540659999999999</v>
      </c>
      <c r="F2693" t="s">
        <v>41</v>
      </c>
      <c r="G2693">
        <v>-490.19970000000001</v>
      </c>
      <c r="H2693" s="1">
        <v>-3.1881479999999998E-7</v>
      </c>
      <c r="I2693">
        <v>250.20840000000001</v>
      </c>
      <c r="J2693">
        <v>-488.58510000000001</v>
      </c>
      <c r="K2693">
        <v>1.121397</v>
      </c>
      <c r="L2693">
        <v>270.09219999999999</v>
      </c>
      <c r="M2693">
        <v>-0.3010004</v>
      </c>
      <c r="N2693">
        <v>-1.234672E-2</v>
      </c>
      <c r="O2693">
        <v>-0.95354410000000001</v>
      </c>
      <c r="P2693">
        <v>-0.1926583</v>
      </c>
      <c r="Q2693">
        <v>0.1090629</v>
      </c>
      <c r="R2693">
        <v>-0.97518629999999995</v>
      </c>
      <c r="S2693">
        <v>-0.25189210000000001</v>
      </c>
      <c r="T2693">
        <v>-0.17071529999999999</v>
      </c>
      <c r="U2693">
        <v>-3.0461429999999998</v>
      </c>
      <c r="V2693">
        <v>-0.11006249999999999</v>
      </c>
      <c r="W2693">
        <v>0.121043</v>
      </c>
      <c r="X2693">
        <v>0.98652669999999998</v>
      </c>
      <c r="Y2693">
        <v>-0.2213763</v>
      </c>
      <c r="Z2693">
        <v>3.9123730000000002E-2</v>
      </c>
      <c r="AA2693">
        <v>0.97440329999999997</v>
      </c>
      <c r="AB2693">
        <v>27</v>
      </c>
      <c r="AC2693">
        <v>-1.61459999999999</v>
      </c>
      <c r="AD2693">
        <v>-1.1213973188148001</v>
      </c>
      <c r="AE2693">
        <v>-19.883799999999901</v>
      </c>
      <c r="AF2693">
        <v>-4.4317745211326596</v>
      </c>
      <c r="AG2693">
        <v>-1.1213973188148001</v>
      </c>
      <c r="AH2693">
        <v>19.3862997268503</v>
      </c>
      <c r="AI2693">
        <v>93.227498824492102</v>
      </c>
      <c r="AJ2693">
        <v>102.87674380025101</v>
      </c>
      <c r="AK2693">
        <v>19.918001266494599</v>
      </c>
      <c r="AL2693">
        <v>83.047699437169896</v>
      </c>
      <c r="AM2693">
        <v>96.365916449918402</v>
      </c>
      <c r="AN2693">
        <v>1.0000000457840601</v>
      </c>
    </row>
    <row r="2694" spans="1:40" x14ac:dyDescent="0.25">
      <c r="A2694" t="str">
        <f>"20190303162307665"</f>
        <v>20190303162307665</v>
      </c>
      <c r="B2694" t="str">
        <f>"1551601387657349"</f>
        <v>1551601387657349</v>
      </c>
      <c r="C2694" t="s">
        <v>40</v>
      </c>
      <c r="D2694">
        <v>5.5822289999999999</v>
      </c>
      <c r="E2694">
        <v>0.45568799999999998</v>
      </c>
      <c r="F2694" t="s">
        <v>41</v>
      </c>
      <c r="G2694">
        <v>-490.25130000000001</v>
      </c>
      <c r="H2694" s="1">
        <v>-1.028564E-7</v>
      </c>
      <c r="I2694">
        <v>249.673</v>
      </c>
      <c r="J2694">
        <v>-488.62799999999999</v>
      </c>
      <c r="K2694">
        <v>1.1211450000000001</v>
      </c>
      <c r="L2694">
        <v>269.95460000000003</v>
      </c>
      <c r="M2694">
        <v>-0.30077930000000003</v>
      </c>
      <c r="N2694">
        <v>-1.231204E-2</v>
      </c>
      <c r="O2694">
        <v>-0.95361450000000003</v>
      </c>
      <c r="P2694">
        <v>-0.19086800000000001</v>
      </c>
      <c r="Q2694">
        <v>0.1092606</v>
      </c>
      <c r="R2694">
        <v>-0.97551619999999994</v>
      </c>
      <c r="S2694">
        <v>-0.24853520000000001</v>
      </c>
      <c r="T2694">
        <v>-0.16727729999999999</v>
      </c>
      <c r="U2694">
        <v>-3.0458980000000002</v>
      </c>
      <c r="V2694">
        <v>-0.1115651</v>
      </c>
      <c r="W2694">
        <v>0.12127019999999999</v>
      </c>
      <c r="X2694">
        <v>0.98633000000000004</v>
      </c>
      <c r="Y2694">
        <v>-0.22220860000000001</v>
      </c>
      <c r="Z2694">
        <v>3.8131600000000002E-2</v>
      </c>
      <c r="AA2694">
        <v>0.97425320000000004</v>
      </c>
      <c r="AB2694">
        <v>27</v>
      </c>
      <c r="AC2694">
        <v>-1.62329999999997</v>
      </c>
      <c r="AD2694">
        <v>-1.1211451028563999</v>
      </c>
      <c r="AE2694">
        <v>-20.281600000000001</v>
      </c>
      <c r="AF2694">
        <v>-4.5388458817395003</v>
      </c>
      <c r="AG2694">
        <v>-1.1211451028563999</v>
      </c>
      <c r="AH2694">
        <v>19.770552603952101</v>
      </c>
      <c r="AI2694">
        <v>93.163520329759805</v>
      </c>
      <c r="AJ2694">
        <v>102.92969364252301</v>
      </c>
      <c r="AK2694">
        <v>20.315827291682599</v>
      </c>
      <c r="AL2694">
        <v>83.034585265566307</v>
      </c>
      <c r="AM2694">
        <v>96.4533733485695</v>
      </c>
      <c r="AN2694">
        <v>1.00000005092302</v>
      </c>
    </row>
    <row r="2695" spans="1:40" x14ac:dyDescent="0.25">
      <c r="A2695" t="str">
        <f>"20190303162307677"</f>
        <v>20190303162307677</v>
      </c>
      <c r="B2695" t="str">
        <f>"1551601387667109"</f>
        <v>1551601387667109</v>
      </c>
      <c r="C2695" t="s">
        <v>40</v>
      </c>
      <c r="D2695">
        <v>5.5139269999999998</v>
      </c>
      <c r="E2695">
        <v>0.45599250000000002</v>
      </c>
      <c r="F2695" t="s">
        <v>41</v>
      </c>
      <c r="G2695">
        <v>-490.2876</v>
      </c>
      <c r="H2695" s="1">
        <v>-4.2315430000000002E-6</v>
      </c>
      <c r="I2695">
        <v>249.27459999999999</v>
      </c>
      <c r="J2695">
        <v>-488.67430000000002</v>
      </c>
      <c r="K2695">
        <v>1.120911</v>
      </c>
      <c r="L2695">
        <v>269.80669999999998</v>
      </c>
      <c r="M2695">
        <v>-0.3007454</v>
      </c>
      <c r="N2695">
        <v>-1.227784E-2</v>
      </c>
      <c r="O2695">
        <v>-0.95362559999999996</v>
      </c>
      <c r="P2695">
        <v>-0.18918450000000001</v>
      </c>
      <c r="Q2695">
        <v>0.1094644</v>
      </c>
      <c r="R2695">
        <v>-0.9758211</v>
      </c>
      <c r="S2695">
        <v>-0.24444579999999999</v>
      </c>
      <c r="T2695">
        <v>-0.1651359</v>
      </c>
      <c r="U2695">
        <v>-3.0459900000000002</v>
      </c>
      <c r="V2695">
        <v>-0.11315799999999999</v>
      </c>
      <c r="W2695">
        <v>0.12150030000000001</v>
      </c>
      <c r="X2695">
        <v>0.9861202</v>
      </c>
      <c r="Y2695">
        <v>-0.22347420000000001</v>
      </c>
      <c r="Z2695">
        <v>3.7514619999999999E-2</v>
      </c>
      <c r="AA2695">
        <v>0.97398759999999995</v>
      </c>
      <c r="AB2695">
        <v>27</v>
      </c>
      <c r="AC2695">
        <v>-1.61329999999998</v>
      </c>
      <c r="AD2695">
        <v>-1.120915231543</v>
      </c>
      <c r="AE2695">
        <v>-20.5320999999999</v>
      </c>
      <c r="AF2695">
        <v>-4.6231049036614804</v>
      </c>
      <c r="AG2695">
        <v>-1.120915231543</v>
      </c>
      <c r="AH2695">
        <v>20.0073733372652</v>
      </c>
      <c r="AI2695">
        <v>93.124490684938195</v>
      </c>
      <c r="AJ2695">
        <v>103.01098031631599</v>
      </c>
      <c r="AK2695">
        <v>20.565129169622899</v>
      </c>
      <c r="AL2695">
        <v>83.021303303473402</v>
      </c>
      <c r="AM2695">
        <v>96.546099563706505</v>
      </c>
      <c r="AN2695">
        <v>1.0000000523560599</v>
      </c>
    </row>
    <row r="2696" spans="1:40" x14ac:dyDescent="0.25">
      <c r="A2696" t="str">
        <f>"20190303162307697"</f>
        <v>20190303162307697</v>
      </c>
      <c r="B2696" t="str">
        <f>"1551601387686629"</f>
        <v>1551601387686629</v>
      </c>
      <c r="C2696" t="s">
        <v>40</v>
      </c>
      <c r="D2696">
        <v>5.5479039999999999</v>
      </c>
      <c r="E2696">
        <v>0.45664189999999999</v>
      </c>
      <c r="F2696" t="s">
        <v>41</v>
      </c>
      <c r="G2696">
        <v>-490.3272</v>
      </c>
      <c r="H2696" s="1">
        <v>-4.0904720000000001E-6</v>
      </c>
      <c r="I2696">
        <v>248.9211</v>
      </c>
      <c r="J2696">
        <v>-488.74439999999998</v>
      </c>
      <c r="K2696">
        <v>1.1206160000000001</v>
      </c>
      <c r="L2696">
        <v>269.58370000000002</v>
      </c>
      <c r="M2696">
        <v>-0.3008999</v>
      </c>
      <c r="N2696">
        <v>-1.2230130000000001E-2</v>
      </c>
      <c r="O2696">
        <v>-0.95357720000000001</v>
      </c>
      <c r="P2696">
        <v>-0.1857451</v>
      </c>
      <c r="Q2696">
        <v>0.1102669</v>
      </c>
      <c r="R2696">
        <v>-0.97639120000000001</v>
      </c>
      <c r="S2696">
        <v>-0.2410583</v>
      </c>
      <c r="T2696">
        <v>-0.16347339999999999</v>
      </c>
      <c r="U2696">
        <v>-3.0459290000000001</v>
      </c>
      <c r="V2696">
        <v>-0.1166799</v>
      </c>
      <c r="W2696">
        <v>0.1223323</v>
      </c>
      <c r="X2696">
        <v>0.98560669999999995</v>
      </c>
      <c r="Y2696">
        <v>-0.22470599999999999</v>
      </c>
      <c r="Z2696">
        <v>3.7052649999999999E-2</v>
      </c>
      <c r="AA2696">
        <v>0.97372190000000003</v>
      </c>
      <c r="AB2696">
        <v>27</v>
      </c>
      <c r="AC2696">
        <v>-1.58280000000002</v>
      </c>
      <c r="AD2696">
        <v>-1.1206200904719901</v>
      </c>
      <c r="AE2696">
        <v>-20.662600000000001</v>
      </c>
      <c r="AF2696">
        <v>-4.69467675515883</v>
      </c>
      <c r="AG2696">
        <v>-1.1206200904719901</v>
      </c>
      <c r="AH2696">
        <v>20.122318447511301</v>
      </c>
      <c r="AI2696">
        <v>93.104334024910997</v>
      </c>
      <c r="AJ2696">
        <v>103.13258872639599</v>
      </c>
      <c r="AK2696">
        <v>20.693078043772299</v>
      </c>
      <c r="AL2696">
        <v>82.973274424055603</v>
      </c>
      <c r="AM2696">
        <v>96.751471049282102</v>
      </c>
      <c r="AN2696">
        <v>0.99999997888609404</v>
      </c>
    </row>
    <row r="2697" spans="1:40" x14ac:dyDescent="0.25">
      <c r="A2697" t="str">
        <f>"20190303162307711"</f>
        <v>20190303162307711</v>
      </c>
      <c r="B2697" t="str">
        <f>"1551601387697366"</f>
        <v>1551601387697366</v>
      </c>
      <c r="C2697" t="s">
        <v>40</v>
      </c>
      <c r="D2697">
        <v>5.5541159999999996</v>
      </c>
      <c r="E2697">
        <v>0.45694709999999999</v>
      </c>
      <c r="F2697" t="s">
        <v>41</v>
      </c>
      <c r="G2697">
        <v>-490.38709999999998</v>
      </c>
      <c r="H2697" s="1">
        <v>-3.8476280000000002E-6</v>
      </c>
      <c r="I2697">
        <v>248.31790000000001</v>
      </c>
      <c r="J2697">
        <v>-488.79320000000001</v>
      </c>
      <c r="K2697">
        <v>1.120458</v>
      </c>
      <c r="L2697">
        <v>269.42939999999999</v>
      </c>
      <c r="M2697">
        <v>-0.30114390000000002</v>
      </c>
      <c r="N2697">
        <v>-1.220009E-2</v>
      </c>
      <c r="O2697">
        <v>-0.95350080000000004</v>
      </c>
      <c r="P2697">
        <v>-0.18432609999999999</v>
      </c>
      <c r="Q2697">
        <v>0.1105657</v>
      </c>
      <c r="R2697">
        <v>-0.97662680000000002</v>
      </c>
      <c r="S2697">
        <v>-0.23529050000000001</v>
      </c>
      <c r="T2697">
        <v>-0.16050780000000001</v>
      </c>
      <c r="U2697">
        <v>-3.0459290000000001</v>
      </c>
      <c r="V2697">
        <v>-0.1183073</v>
      </c>
      <c r="W2697">
        <v>0.12264650000000001</v>
      </c>
      <c r="X2697">
        <v>0.98537359999999896</v>
      </c>
      <c r="Y2697">
        <v>-0.2267855</v>
      </c>
      <c r="Z2697">
        <v>3.6174199999999997E-2</v>
      </c>
      <c r="AA2697">
        <v>0.97327269999999999</v>
      </c>
      <c r="AB2697">
        <v>27</v>
      </c>
      <c r="AC2697">
        <v>-1.5938999999999599</v>
      </c>
      <c r="AD2697">
        <v>-1.1204618476279999</v>
      </c>
      <c r="AE2697">
        <v>-21.1114999999999</v>
      </c>
      <c r="AF2697">
        <v>-4.8246608740230199</v>
      </c>
      <c r="AG2697">
        <v>-1.1204618476279999</v>
      </c>
      <c r="AH2697">
        <v>20.553788870801299</v>
      </c>
      <c r="AI2697">
        <v>93.037902349953399</v>
      </c>
      <c r="AJ2697">
        <v>103.210075037431</v>
      </c>
      <c r="AK2697">
        <v>21.142162241521</v>
      </c>
      <c r="AL2697">
        <v>82.955135341025397</v>
      </c>
      <c r="AM2697">
        <v>96.8463541033735</v>
      </c>
      <c r="AN2697">
        <v>0.99999995638624894</v>
      </c>
    </row>
    <row r="2698" spans="1:40" x14ac:dyDescent="0.25">
      <c r="A2698" t="str">
        <f>"20190303162307730"</f>
        <v>20190303162307730</v>
      </c>
      <c r="B2698" t="str">
        <f>"1551601387716886"</f>
        <v>1551601387716886</v>
      </c>
      <c r="C2698" t="s">
        <v>40</v>
      </c>
      <c r="D2698">
        <v>5.5389019999999896</v>
      </c>
      <c r="E2698">
        <v>0.46463890000000002</v>
      </c>
      <c r="F2698" t="s">
        <v>41</v>
      </c>
      <c r="G2698">
        <v>-490.43779999999998</v>
      </c>
      <c r="H2698" s="1">
        <v>-3.7070729999999999E-6</v>
      </c>
      <c r="I2698">
        <v>247.9588</v>
      </c>
      <c r="J2698">
        <v>-488.86399999999998</v>
      </c>
      <c r="K2698">
        <v>1.120271</v>
      </c>
      <c r="L2698">
        <v>269.20609999999999</v>
      </c>
      <c r="M2698">
        <v>-0.3016334</v>
      </c>
      <c r="N2698">
        <v>-1.2160590000000001E-2</v>
      </c>
      <c r="O2698">
        <v>-0.95334640000000004</v>
      </c>
      <c r="P2698">
        <v>-0.1826663</v>
      </c>
      <c r="Q2698">
        <v>0.1110018</v>
      </c>
      <c r="R2698">
        <v>-0.97688889999999995</v>
      </c>
      <c r="S2698">
        <v>-0.23330690000000001</v>
      </c>
      <c r="T2698">
        <v>-0.15894559999999999</v>
      </c>
      <c r="U2698">
        <v>-3.0457459999999998</v>
      </c>
      <c r="V2698">
        <v>-0.12041979999999999</v>
      </c>
      <c r="W2698">
        <v>0.1230947</v>
      </c>
      <c r="X2698">
        <v>0.98506179999999999</v>
      </c>
      <c r="Y2698">
        <v>-0.22791030000000001</v>
      </c>
      <c r="Z2698">
        <v>3.5728990000000002E-2</v>
      </c>
      <c r="AA2698">
        <v>0.97302639999999996</v>
      </c>
      <c r="AB2698">
        <v>27</v>
      </c>
      <c r="AC2698">
        <v>-1.5737999999999399</v>
      </c>
      <c r="AD2698">
        <v>-1.1202747070729999</v>
      </c>
      <c r="AE2698">
        <v>-21.247299999999999</v>
      </c>
      <c r="AF2698">
        <v>-4.8953471769507404</v>
      </c>
      <c r="AG2698">
        <v>-1.1202747070729999</v>
      </c>
      <c r="AH2698">
        <v>20.6751183867257</v>
      </c>
      <c r="AI2698">
        <v>93.018230525702904</v>
      </c>
      <c r="AJ2698">
        <v>103.320880135339</v>
      </c>
      <c r="AK2698">
        <v>21.2762769230735</v>
      </c>
      <c r="AL2698">
        <v>82.9292595510925</v>
      </c>
      <c r="AM2698">
        <v>96.969595338255502</v>
      </c>
      <c r="AN2698">
        <v>0.999999991609684</v>
      </c>
    </row>
    <row r="2699" spans="1:40" x14ac:dyDescent="0.25">
      <c r="A2699" t="str">
        <f>"20190303162307745"</f>
        <v>20190303162307745</v>
      </c>
      <c r="B2699" t="str">
        <f>"1551601387737382"</f>
        <v>1551601387737382</v>
      </c>
      <c r="C2699" t="s">
        <v>40</v>
      </c>
      <c r="D2699">
        <v>5.5486529999999998</v>
      </c>
      <c r="E2699">
        <v>0.46518579999999998</v>
      </c>
      <c r="F2699" t="s">
        <v>41</v>
      </c>
      <c r="G2699">
        <v>-491.08679999999998</v>
      </c>
      <c r="H2699" s="1">
        <v>-2.9338219999999999E-6</v>
      </c>
      <c r="I2699">
        <v>245.75380000000001</v>
      </c>
      <c r="J2699">
        <v>-488.91500000000002</v>
      </c>
      <c r="K2699">
        <v>1.120169</v>
      </c>
      <c r="L2699">
        <v>269.04579999999999</v>
      </c>
      <c r="M2699">
        <v>-0.30204839999999999</v>
      </c>
      <c r="N2699">
        <v>-1.213476E-2</v>
      </c>
      <c r="O2699">
        <v>-0.9532157</v>
      </c>
      <c r="P2699">
        <v>-0.18237449999999999</v>
      </c>
      <c r="Q2699">
        <v>0.1107624</v>
      </c>
      <c r="R2699">
        <v>-0.97697069999999997</v>
      </c>
      <c r="S2699">
        <v>-0.28753659999999998</v>
      </c>
      <c r="T2699">
        <v>-0.1449144</v>
      </c>
      <c r="U2699">
        <v>-3.0336910000000001</v>
      </c>
      <c r="V2699">
        <v>-0.1211223</v>
      </c>
      <c r="W2699">
        <v>0.122859</v>
      </c>
      <c r="X2699">
        <v>0.98500509999999997</v>
      </c>
      <c r="Y2699">
        <v>-0.21074100000000001</v>
      </c>
      <c r="Z2699">
        <v>3.1806139999999997E-2</v>
      </c>
      <c r="AA2699">
        <v>0.97702440000000002</v>
      </c>
      <c r="AB2699">
        <v>27</v>
      </c>
      <c r="AC2699">
        <v>-2.1717999999999602</v>
      </c>
      <c r="AD2699">
        <v>-1.120171933822</v>
      </c>
      <c r="AE2699">
        <v>-23.291999999999899</v>
      </c>
      <c r="AF2699">
        <v>-4.9541218430881697</v>
      </c>
      <c r="AG2699">
        <v>-1.120171933822</v>
      </c>
      <c r="AH2699">
        <v>22.807667370448801</v>
      </c>
      <c r="AI2699">
        <v>92.747782413492303</v>
      </c>
      <c r="AJ2699">
        <v>102.255018272383</v>
      </c>
      <c r="AK2699">
        <v>23.366381818298699</v>
      </c>
      <c r="AL2699">
        <v>82.942867489527799</v>
      </c>
      <c r="AM2699">
        <v>97.010250404255203</v>
      </c>
      <c r="AN2699">
        <v>0.99999999623214997</v>
      </c>
    </row>
    <row r="2700" spans="1:40" x14ac:dyDescent="0.25">
      <c r="A2700" t="str">
        <f>"20190303162307757"</f>
        <v>20190303162307757</v>
      </c>
      <c r="B2700" t="str">
        <f>"1551601387747142"</f>
        <v>1551601387747142</v>
      </c>
      <c r="C2700" t="s">
        <v>40</v>
      </c>
      <c r="D2700">
        <v>5.5218720000000001</v>
      </c>
      <c r="E2700">
        <v>0.46518579999999998</v>
      </c>
      <c r="F2700" t="s">
        <v>41</v>
      </c>
      <c r="G2700">
        <v>-491.2097</v>
      </c>
      <c r="H2700" s="1">
        <v>-2.6493059999999999E-6</v>
      </c>
      <c r="I2700">
        <v>245.0145</v>
      </c>
      <c r="J2700">
        <v>-488.96300000000002</v>
      </c>
      <c r="K2700">
        <v>1.120106</v>
      </c>
      <c r="L2700">
        <v>268.89530000000002</v>
      </c>
      <c r="M2700">
        <v>-0.30247309999999999</v>
      </c>
      <c r="N2700">
        <v>-1.211309E-2</v>
      </c>
      <c r="O2700">
        <v>-0.95308110000000001</v>
      </c>
      <c r="P2700">
        <v>-0.18224860000000001</v>
      </c>
      <c r="Q2700">
        <v>0.1106121</v>
      </c>
      <c r="R2700">
        <v>-0.97701110000000002</v>
      </c>
      <c r="S2700">
        <v>-0.28958129999999999</v>
      </c>
      <c r="T2700">
        <v>-0.1413624</v>
      </c>
      <c r="U2700">
        <v>-3.0326840000000002</v>
      </c>
      <c r="V2700">
        <v>-0.12167600000000001</v>
      </c>
      <c r="W2700">
        <v>0.1227057</v>
      </c>
      <c r="X2700">
        <v>0.98495600000000005</v>
      </c>
      <c r="Y2700">
        <v>-0.21049180000000001</v>
      </c>
      <c r="Z2700">
        <v>3.0763059999999998E-2</v>
      </c>
      <c r="AA2700">
        <v>0.97711150000000002</v>
      </c>
      <c r="AB2700">
        <v>27</v>
      </c>
      <c r="AC2700">
        <v>-2.2466999999999699</v>
      </c>
      <c r="AD2700">
        <v>-1.120108649306</v>
      </c>
      <c r="AE2700">
        <v>-23.880800000000001</v>
      </c>
      <c r="AF2700">
        <v>-5.0713254171537301</v>
      </c>
      <c r="AG2700">
        <v>-1.120108649306</v>
      </c>
      <c r="AH2700">
        <v>23.390614046347999</v>
      </c>
      <c r="AI2700">
        <v>92.679474724939297</v>
      </c>
      <c r="AJ2700">
        <v>102.232981538342</v>
      </c>
      <c r="AK2700">
        <v>23.960254805367398</v>
      </c>
      <c r="AL2700">
        <v>82.951718136341896</v>
      </c>
      <c r="AM2700">
        <v>97.042323634244795</v>
      </c>
      <c r="AN2700">
        <v>1.00000002986224</v>
      </c>
    </row>
    <row r="2701" spans="1:40" x14ac:dyDescent="0.25">
      <c r="A2701" t="str">
        <f>"20190303162307775"</f>
        <v>20190303162307775</v>
      </c>
      <c r="B2701" t="str">
        <f>"1551601387767638"</f>
        <v>1551601387767638</v>
      </c>
      <c r="C2701" t="s">
        <v>40</v>
      </c>
      <c r="D2701">
        <v>5.5365919999999997</v>
      </c>
      <c r="E2701">
        <v>0.45176500000000003</v>
      </c>
      <c r="F2701" t="s">
        <v>41</v>
      </c>
      <c r="G2701">
        <v>-491.2491</v>
      </c>
      <c r="H2701" s="1">
        <v>-2.5901049999999999E-6</v>
      </c>
      <c r="I2701">
        <v>244.852</v>
      </c>
      <c r="J2701">
        <v>-489.02600000000001</v>
      </c>
      <c r="K2701">
        <v>1.12005</v>
      </c>
      <c r="L2701">
        <v>268.6986</v>
      </c>
      <c r="M2701">
        <v>-0.30303390000000002</v>
      </c>
      <c r="N2701">
        <v>-1.208732E-2</v>
      </c>
      <c r="O2701">
        <v>-0.95290339999999996</v>
      </c>
      <c r="P2701">
        <v>-0.181836</v>
      </c>
      <c r="Q2701">
        <v>0.1098923</v>
      </c>
      <c r="R2701">
        <v>-0.97716919999999996</v>
      </c>
      <c r="S2701">
        <v>-0.28836060000000002</v>
      </c>
      <c r="T2701">
        <v>-0.1412901</v>
      </c>
      <c r="U2701">
        <v>-3.0328059999999999</v>
      </c>
      <c r="V2701">
        <v>-0.12268320000000001</v>
      </c>
      <c r="W2701">
        <v>0.1219769</v>
      </c>
      <c r="X2701">
        <v>0.98492159999999995</v>
      </c>
      <c r="Y2701">
        <v>-0.21146019999999999</v>
      </c>
      <c r="Z2701">
        <v>3.07481E-2</v>
      </c>
      <c r="AA2701">
        <v>0.97690279999999996</v>
      </c>
      <c r="AB2701">
        <v>27</v>
      </c>
      <c r="AC2701">
        <v>-2.2230999999999801</v>
      </c>
      <c r="AD2701">
        <v>-1.120052590105</v>
      </c>
      <c r="AE2701">
        <v>-23.846599999999899</v>
      </c>
      <c r="AF2701">
        <v>-5.0971525522725996</v>
      </c>
      <c r="AG2701">
        <v>-1.120052590105</v>
      </c>
      <c r="AH2701">
        <v>23.347820298597298</v>
      </c>
      <c r="AI2701">
        <v>92.683407518189597</v>
      </c>
      <c r="AJ2701">
        <v>102.31523676800801</v>
      </c>
      <c r="AK2701">
        <v>23.923966950347701</v>
      </c>
      <c r="AL2701">
        <v>82.993791456451405</v>
      </c>
      <c r="AM2701">
        <v>97.100270933262905</v>
      </c>
      <c r="AN2701">
        <v>1.0000000449212001</v>
      </c>
    </row>
    <row r="2702" spans="1:40" x14ac:dyDescent="0.25">
      <c r="A2702" t="str">
        <f>"20190303162307789"</f>
        <v>20190303162307789</v>
      </c>
      <c r="B2702" t="str">
        <f>"1551601387777397"</f>
        <v>1551601387777397</v>
      </c>
      <c r="C2702" t="s">
        <v>40</v>
      </c>
      <c r="D2702">
        <v>5.6451900000000004</v>
      </c>
      <c r="E2702">
        <v>0.45056689999999999</v>
      </c>
      <c r="F2702" t="s">
        <v>41</v>
      </c>
      <c r="G2702">
        <v>-490.1934</v>
      </c>
      <c r="H2702" s="1">
        <v>-4.0993389999999999E-6</v>
      </c>
      <c r="I2702">
        <v>249.0248</v>
      </c>
      <c r="J2702">
        <v>-489.07330000000002</v>
      </c>
      <c r="K2702">
        <v>1.1200300000000001</v>
      </c>
      <c r="L2702">
        <v>268.55110000000002</v>
      </c>
      <c r="M2702">
        <v>-0.30344640000000001</v>
      </c>
      <c r="N2702">
        <v>-1.206963E-2</v>
      </c>
      <c r="O2702">
        <v>-0.95277239999999996</v>
      </c>
      <c r="P2702">
        <v>-0.181812</v>
      </c>
      <c r="Q2702">
        <v>0.1095293</v>
      </c>
      <c r="R2702">
        <v>-0.97721449999999999</v>
      </c>
      <c r="S2702">
        <v>-0.18133540000000001</v>
      </c>
      <c r="T2702">
        <v>-0.17397499999999999</v>
      </c>
      <c r="U2702">
        <v>-3.0558779999999999</v>
      </c>
      <c r="V2702">
        <v>-0.12314170000000001</v>
      </c>
      <c r="W2702">
        <v>0.121602</v>
      </c>
      <c r="X2702">
        <v>0.98491070000000003</v>
      </c>
      <c r="Y2702">
        <v>-0.2464307</v>
      </c>
      <c r="Z2702">
        <v>3.9967620000000002E-2</v>
      </c>
      <c r="AA2702">
        <v>0.96833590000000003</v>
      </c>
      <c r="AB2702">
        <v>27</v>
      </c>
      <c r="AC2702">
        <v>-1.1200999999999699</v>
      </c>
      <c r="AD2702">
        <v>-1.1200340993390001</v>
      </c>
      <c r="AE2702">
        <v>-19.526299999999999</v>
      </c>
      <c r="AF2702">
        <v>-4.8424569987919899</v>
      </c>
      <c r="AG2702">
        <v>-1.1200340993390001</v>
      </c>
      <c r="AH2702">
        <v>18.883457343219298</v>
      </c>
      <c r="AI2702">
        <v>93.288253342999298</v>
      </c>
      <c r="AJ2702">
        <v>104.382945794807</v>
      </c>
      <c r="AK2702">
        <v>19.526618432335201</v>
      </c>
      <c r="AL2702">
        <v>83.015432467577199</v>
      </c>
      <c r="AM2702">
        <v>97.126612268336103</v>
      </c>
      <c r="AN2702">
        <v>1.00000000582869</v>
      </c>
    </row>
    <row r="2703" spans="1:40" x14ac:dyDescent="0.25">
      <c r="A2703" t="str">
        <f>"20190303162307800"</f>
        <v>20190303162307800</v>
      </c>
      <c r="B2703" t="str">
        <f>"1551601387787158"</f>
        <v>1551601387787158</v>
      </c>
      <c r="C2703" t="s">
        <v>40</v>
      </c>
      <c r="D2703">
        <v>5.6412639999999996</v>
      </c>
      <c r="E2703">
        <v>0.4502352</v>
      </c>
      <c r="F2703" t="s">
        <v>41</v>
      </c>
      <c r="G2703">
        <v>-490.18110000000001</v>
      </c>
      <c r="H2703" s="1">
        <v>-4.0116080000000001E-6</v>
      </c>
      <c r="I2703">
        <v>248.828</v>
      </c>
      <c r="J2703">
        <v>-489.12079999999997</v>
      </c>
      <c r="K2703">
        <v>1.1200289999999999</v>
      </c>
      <c r="L2703">
        <v>268.40339999999998</v>
      </c>
      <c r="M2703">
        <v>-0.30384559999999999</v>
      </c>
      <c r="N2703">
        <v>-1.205317E-2</v>
      </c>
      <c r="O2703">
        <v>-0.95264519999999997</v>
      </c>
      <c r="P2703">
        <v>-0.1817037</v>
      </c>
      <c r="Q2703">
        <v>0.1093551</v>
      </c>
      <c r="R2703">
        <v>-0.97725419999999996</v>
      </c>
      <c r="S2703">
        <v>-0.1717224</v>
      </c>
      <c r="T2703">
        <v>-0.173628799999999</v>
      </c>
      <c r="U2703">
        <v>-3.0574949999999999</v>
      </c>
      <c r="V2703">
        <v>-0.1236705</v>
      </c>
      <c r="W2703">
        <v>0.1214122</v>
      </c>
      <c r="X2703">
        <v>0.98486790000000002</v>
      </c>
      <c r="Y2703">
        <v>-0.24989819999999999</v>
      </c>
      <c r="Z2703">
        <v>3.9815940000000001E-2</v>
      </c>
      <c r="AA2703">
        <v>0.96745309999999995</v>
      </c>
      <c r="AB2703">
        <v>27</v>
      </c>
      <c r="AC2703">
        <v>-1.06030000000004</v>
      </c>
      <c r="AD2703">
        <v>-1.120033011608</v>
      </c>
      <c r="AE2703">
        <v>-19.575399999999899</v>
      </c>
      <c r="AF2703">
        <v>-4.92210101857862</v>
      </c>
      <c r="AG2703">
        <v>-1.120033011608</v>
      </c>
      <c r="AH2703">
        <v>18.9102280786949</v>
      </c>
      <c r="AI2703">
        <v>93.280552628347095</v>
      </c>
      <c r="AJ2703">
        <v>104.589658886008</v>
      </c>
      <c r="AK2703">
        <v>19.572385607596399</v>
      </c>
      <c r="AL2703">
        <v>83.026388676855504</v>
      </c>
      <c r="AM2703">
        <v>97.157206772783397</v>
      </c>
      <c r="AN2703">
        <v>1.0000000476647399</v>
      </c>
    </row>
    <row r="2704" spans="1:40" x14ac:dyDescent="0.25">
      <c r="A2704" t="str">
        <f>"20190303162307814"</f>
        <v>20190303162307814</v>
      </c>
      <c r="B2704" t="str">
        <f>"1551601387807654"</f>
        <v>1551601387807654</v>
      </c>
      <c r="C2704" t="s">
        <v>40</v>
      </c>
      <c r="D2704">
        <v>5.7028489999999996</v>
      </c>
      <c r="E2704">
        <v>0.45041829999999999</v>
      </c>
      <c r="F2704" t="s">
        <v>41</v>
      </c>
      <c r="G2704">
        <v>-490.24759999999998</v>
      </c>
      <c r="H2704" s="1">
        <v>-3.6795999999999999E-6</v>
      </c>
      <c r="I2704">
        <v>248.0128</v>
      </c>
      <c r="J2704">
        <v>-489.166</v>
      </c>
      <c r="K2704">
        <v>1.120052</v>
      </c>
      <c r="L2704">
        <v>268.26260000000002</v>
      </c>
      <c r="M2704">
        <v>-0.30418699999999999</v>
      </c>
      <c r="N2704">
        <v>-1.2039330000000001E-2</v>
      </c>
      <c r="O2704">
        <v>-0.95253659999999996</v>
      </c>
      <c r="P2704">
        <v>-0.18160760000000001</v>
      </c>
      <c r="Q2704">
        <v>0.1095242</v>
      </c>
      <c r="R2704">
        <v>-0.97725320000000004</v>
      </c>
      <c r="S2704">
        <v>-0.16894529999999999</v>
      </c>
      <c r="T2704">
        <v>-0.16792979999999999</v>
      </c>
      <c r="U2704">
        <v>-3.05722</v>
      </c>
      <c r="V2704">
        <v>-0.12412140000000001</v>
      </c>
      <c r="W2704">
        <v>0.1215608</v>
      </c>
      <c r="X2704">
        <v>0.98479280000000002</v>
      </c>
      <c r="Y2704">
        <v>-0.25111529999999999</v>
      </c>
      <c r="Z2704">
        <v>3.8121500000000003E-2</v>
      </c>
      <c r="AA2704">
        <v>0.96720620000000002</v>
      </c>
      <c r="AB2704">
        <v>27</v>
      </c>
      <c r="AC2704">
        <v>-1.0815999999999799</v>
      </c>
      <c r="AD2704">
        <v>-1.1200556795999901</v>
      </c>
      <c r="AE2704">
        <v>-20.2498</v>
      </c>
      <c r="AF2704">
        <v>-5.1142304246167898</v>
      </c>
      <c r="AG2704">
        <v>-1.1200556795999901</v>
      </c>
      <c r="AH2704">
        <v>19.5594297296763</v>
      </c>
      <c r="AI2704">
        <v>93.171042234512797</v>
      </c>
      <c r="AJ2704">
        <v>104.653151833123</v>
      </c>
      <c r="AK2704">
        <v>20.247991725394002</v>
      </c>
      <c r="AL2704">
        <v>83.0178106872157</v>
      </c>
      <c r="AM2704">
        <v>97.183571770299693</v>
      </c>
      <c r="AN2704">
        <v>1.00000000448322</v>
      </c>
    </row>
    <row r="2705" spans="1:40" x14ac:dyDescent="0.25">
      <c r="A2705" t="str">
        <f>"20190303162307831"</f>
        <v>20190303162307831</v>
      </c>
      <c r="B2705" t="str">
        <f>"1551601387817414"</f>
        <v>1551601387817414</v>
      </c>
      <c r="C2705" t="s">
        <v>40</v>
      </c>
      <c r="D2705">
        <v>5.5814149999999998</v>
      </c>
      <c r="E2705">
        <v>0.45056469999999998</v>
      </c>
      <c r="F2705" t="s">
        <v>41</v>
      </c>
      <c r="G2705">
        <v>-490.3349</v>
      </c>
      <c r="H2705" s="1">
        <v>-3.419063E-6</v>
      </c>
      <c r="I2705">
        <v>247.35130000000001</v>
      </c>
      <c r="J2705">
        <v>-489.22660000000002</v>
      </c>
      <c r="K2705">
        <v>1.120099</v>
      </c>
      <c r="L2705">
        <v>268.07470000000001</v>
      </c>
      <c r="M2705">
        <v>-0.30459750000000002</v>
      </c>
      <c r="N2705">
        <v>-1.202232E-2</v>
      </c>
      <c r="O2705">
        <v>-0.95240539999999996</v>
      </c>
      <c r="P2705">
        <v>-0.18033969999999999</v>
      </c>
      <c r="Q2705">
        <v>0.1104434</v>
      </c>
      <c r="R2705">
        <v>-0.97738429999999998</v>
      </c>
      <c r="S2705">
        <v>-0.1708374</v>
      </c>
      <c r="T2705">
        <v>-0.16370750000000001</v>
      </c>
      <c r="U2705">
        <v>-3.0563959999999999</v>
      </c>
      <c r="V2705">
        <v>-0.12580639999999901</v>
      </c>
      <c r="W2705">
        <v>0.1224473</v>
      </c>
      <c r="X2705">
        <v>0.98446909999999999</v>
      </c>
      <c r="Y2705">
        <v>-0.25092120000000001</v>
      </c>
      <c r="Z2705">
        <v>3.6887429999999999E-2</v>
      </c>
      <c r="AA2705">
        <v>0.96730450000000001</v>
      </c>
      <c r="AB2705">
        <v>27</v>
      </c>
      <c r="AC2705">
        <v>-1.1082999999999801</v>
      </c>
      <c r="AD2705">
        <v>-1.120102419063</v>
      </c>
      <c r="AE2705">
        <v>-20.723400000000002</v>
      </c>
      <c r="AF2705">
        <v>-5.2418543227039303</v>
      </c>
      <c r="AG2705">
        <v>-1.120102419063</v>
      </c>
      <c r="AH2705">
        <v>20.017798653759598</v>
      </c>
      <c r="AI2705">
        <v>93.098409584280503</v>
      </c>
      <c r="AJ2705">
        <v>104.673975840837</v>
      </c>
      <c r="AK2705">
        <v>20.723028956021398</v>
      </c>
      <c r="AL2705">
        <v>82.966635649260894</v>
      </c>
      <c r="AM2705">
        <v>97.282420469126905</v>
      </c>
      <c r="AN2705">
        <v>1.0000000002065299</v>
      </c>
    </row>
    <row r="2706" spans="1:40" x14ac:dyDescent="0.25">
      <c r="A2706" t="str">
        <f>"20190303162307843"</f>
        <v>20190303162307843</v>
      </c>
      <c r="B2706" t="str">
        <f>"1551601387836934"</f>
        <v>1551601387836934</v>
      </c>
      <c r="C2706" t="s">
        <v>40</v>
      </c>
      <c r="D2706">
        <v>5.4894699999999998</v>
      </c>
      <c r="E2706">
        <v>0.4507351</v>
      </c>
      <c r="F2706" t="s">
        <v>41</v>
      </c>
      <c r="G2706">
        <v>-490.4101</v>
      </c>
      <c r="H2706" s="1">
        <v>-3.2369240000000001E-6</v>
      </c>
      <c r="I2706">
        <v>246.8801</v>
      </c>
      <c r="J2706">
        <v>-489.2731</v>
      </c>
      <c r="K2706">
        <v>1.1201460000000001</v>
      </c>
      <c r="L2706">
        <v>267.93</v>
      </c>
      <c r="M2706">
        <v>-0.30487629999999999</v>
      </c>
      <c r="N2706">
        <v>-1.201034E-2</v>
      </c>
      <c r="O2706">
        <v>-0.95231639999999995</v>
      </c>
      <c r="P2706">
        <v>-0.1797174</v>
      </c>
      <c r="Q2706">
        <v>0.1110125</v>
      </c>
      <c r="R2706">
        <v>-0.97743449999999998</v>
      </c>
      <c r="S2706">
        <v>-0.17065429999999901</v>
      </c>
      <c r="T2706">
        <v>-0.161513299999999</v>
      </c>
      <c r="U2706">
        <v>-3.056152</v>
      </c>
      <c r="V2706">
        <v>-0.12671689999999999</v>
      </c>
      <c r="W2706">
        <v>0.12298870000000001</v>
      </c>
      <c r="X2706">
        <v>0.98428479999999996</v>
      </c>
      <c r="Y2706">
        <v>-0.25125769999999997</v>
      </c>
      <c r="Z2706">
        <v>3.6241290000000002E-2</v>
      </c>
      <c r="AA2706">
        <v>0.96724149999999998</v>
      </c>
      <c r="AB2706">
        <v>27</v>
      </c>
      <c r="AC2706">
        <v>-1.137</v>
      </c>
      <c r="AD2706">
        <v>-1.12014923692399</v>
      </c>
      <c r="AE2706">
        <v>-21.049900000000001</v>
      </c>
      <c r="AF2706">
        <v>-5.32019428325306</v>
      </c>
      <c r="AG2706">
        <v>-1.12014923692399</v>
      </c>
      <c r="AH2706">
        <v>20.336855988480199</v>
      </c>
      <c r="AI2706">
        <v>93.050210512998902</v>
      </c>
      <c r="AJ2706">
        <v>104.660243072371</v>
      </c>
      <c r="AK2706">
        <v>21.051054914676399</v>
      </c>
      <c r="AL2706">
        <v>82.935379325118802</v>
      </c>
      <c r="AM2706">
        <v>97.335912111391806</v>
      </c>
      <c r="AN2706">
        <v>0.99999998029216897</v>
      </c>
    </row>
    <row r="2707" spans="1:40" x14ac:dyDescent="0.25">
      <c r="A2707" t="str">
        <f>"20190303162307856"</f>
        <v>20190303162307856</v>
      </c>
      <c r="B2707" t="str">
        <f>"1551601387847670"</f>
        <v>1551601387847670</v>
      </c>
      <c r="C2707" t="s">
        <v>40</v>
      </c>
      <c r="D2707">
        <v>5.702947</v>
      </c>
      <c r="E2707">
        <v>0.45096130000000001</v>
      </c>
      <c r="F2707" t="s">
        <v>41</v>
      </c>
      <c r="G2707">
        <v>-490.46140000000003</v>
      </c>
      <c r="H2707" s="1">
        <v>-3.1290640000000001E-6</v>
      </c>
      <c r="I2707">
        <v>246.59690000000001</v>
      </c>
      <c r="J2707">
        <v>-489.32310000000001</v>
      </c>
      <c r="K2707">
        <v>1.120209</v>
      </c>
      <c r="L2707">
        <v>267.77510000000001</v>
      </c>
      <c r="M2707">
        <v>-0.30510409999999999</v>
      </c>
      <c r="N2707">
        <v>-1.1998959999999999E-2</v>
      </c>
      <c r="O2707">
        <v>-0.95224370000000003</v>
      </c>
      <c r="P2707">
        <v>-0.1782704</v>
      </c>
      <c r="Q2707">
        <v>0.1117124</v>
      </c>
      <c r="R2707">
        <v>-0.97762000000000004</v>
      </c>
      <c r="S2707">
        <v>-0.17022709999999999</v>
      </c>
      <c r="T2707">
        <v>-0.16047429999999999</v>
      </c>
      <c r="U2707">
        <v>-3.0562130000000001</v>
      </c>
      <c r="V2707">
        <v>-0.12840599999999999</v>
      </c>
      <c r="W2707">
        <v>0.1236549</v>
      </c>
      <c r="X2707">
        <v>0.98398240000000003</v>
      </c>
      <c r="Y2707">
        <v>-0.25162489999999998</v>
      </c>
      <c r="Z2707">
        <v>3.593437E-2</v>
      </c>
      <c r="AA2707">
        <v>0.9671575</v>
      </c>
      <c r="AB2707">
        <v>27</v>
      </c>
      <c r="AC2707">
        <v>-1.1383000000000101</v>
      </c>
      <c r="AD2707">
        <v>-1.1202121290639999</v>
      </c>
      <c r="AE2707">
        <v>-21.1782</v>
      </c>
      <c r="AF2707">
        <v>-5.3630406361309104</v>
      </c>
      <c r="AG2707">
        <v>-1.1202121290639999</v>
      </c>
      <c r="AH2707">
        <v>20.458504108947999</v>
      </c>
      <c r="AI2707">
        <v>93.031877947660803</v>
      </c>
      <c r="AJ2707">
        <v>104.689132135866</v>
      </c>
      <c r="AK2707">
        <v>21.179411475646202</v>
      </c>
      <c r="AL2707">
        <v>82.896915404751496</v>
      </c>
      <c r="AM2707">
        <v>97.434870091204402</v>
      </c>
      <c r="AN2707">
        <v>0.99999999931988404</v>
      </c>
    </row>
    <row r="2708" spans="1:40" x14ac:dyDescent="0.25">
      <c r="A2708" t="str">
        <f>"20190303162307876"</f>
        <v>20190303162307876</v>
      </c>
      <c r="B2708" t="str">
        <f>"1551601387867189"</f>
        <v>1551601387867189</v>
      </c>
      <c r="C2708" t="s">
        <v>40</v>
      </c>
      <c r="D2708">
        <v>5.5218339999999904</v>
      </c>
      <c r="E2708">
        <v>0.45123999999999997</v>
      </c>
      <c r="F2708" t="s">
        <v>41</v>
      </c>
      <c r="G2708">
        <v>-490.51510000000002</v>
      </c>
      <c r="H2708" s="1">
        <v>-2.963204E-6</v>
      </c>
      <c r="I2708">
        <v>246.17689999999999</v>
      </c>
      <c r="J2708">
        <v>-489.39359999999999</v>
      </c>
      <c r="K2708">
        <v>1.120301</v>
      </c>
      <c r="L2708">
        <v>267.55619999999999</v>
      </c>
      <c r="M2708">
        <v>-0.30534630000000001</v>
      </c>
      <c r="N2708">
        <v>-1.1984470000000001E-2</v>
      </c>
      <c r="O2708">
        <v>-0.95216599999999996</v>
      </c>
      <c r="P2708">
        <v>-0.1728344</v>
      </c>
      <c r="Q2708">
        <v>0.1125988</v>
      </c>
      <c r="R2708">
        <v>-0.97849370000000002</v>
      </c>
      <c r="S2708">
        <v>-0.16867070000000001</v>
      </c>
      <c r="T2708">
        <v>-0.158503799999999</v>
      </c>
      <c r="U2708">
        <v>-3.0560299999999998</v>
      </c>
      <c r="V2708">
        <v>-0.1341299</v>
      </c>
      <c r="W2708">
        <v>0.12448960000000001</v>
      </c>
      <c r="X2708">
        <v>0.98311320000000002</v>
      </c>
      <c r="Y2708">
        <v>-0.25235859999999999</v>
      </c>
      <c r="Z2708">
        <v>3.5354339999999998E-2</v>
      </c>
      <c r="AA2708">
        <v>0.96698770000000001</v>
      </c>
      <c r="AB2708">
        <v>27</v>
      </c>
      <c r="AC2708">
        <v>-1.1215000000000199</v>
      </c>
      <c r="AD2708">
        <v>-1.1203039632039999</v>
      </c>
      <c r="AE2708">
        <v>-21.379300000000001</v>
      </c>
      <c r="AF2708">
        <v>-5.4457155637265098</v>
      </c>
      <c r="AG2708">
        <v>-1.1203039632039999</v>
      </c>
      <c r="AH2708">
        <v>20.6440433028881</v>
      </c>
      <c r="AI2708">
        <v>93.003708743105904</v>
      </c>
      <c r="AJ2708">
        <v>104.77748953933499</v>
      </c>
      <c r="AK2708">
        <v>21.3796029631633</v>
      </c>
      <c r="AL2708">
        <v>82.848718406440994</v>
      </c>
      <c r="AM2708">
        <v>97.769114405957893</v>
      </c>
      <c r="AN2708">
        <v>1.0000000272981999</v>
      </c>
    </row>
    <row r="2709" spans="1:40" x14ac:dyDescent="0.25">
      <c r="A2709" t="str">
        <f>"20190303162307898"</f>
        <v>20190303162307898</v>
      </c>
      <c r="B2709" t="str">
        <f>"1551601387887686"</f>
        <v>1551601387887686</v>
      </c>
      <c r="C2709" t="s">
        <v>40</v>
      </c>
      <c r="D2709">
        <v>5.767919</v>
      </c>
      <c r="E2709">
        <v>0.45162079999999999</v>
      </c>
      <c r="F2709" t="s">
        <v>41</v>
      </c>
      <c r="G2709">
        <v>-490.524</v>
      </c>
      <c r="H2709" s="1">
        <v>-2.5843029999999998E-6</v>
      </c>
      <c r="I2709">
        <v>245.28819999999999</v>
      </c>
      <c r="J2709">
        <v>-489.47379999999998</v>
      </c>
      <c r="K2709">
        <v>1.120425</v>
      </c>
      <c r="L2709">
        <v>267.30689999999998</v>
      </c>
      <c r="M2709">
        <v>-0.30547000000000002</v>
      </c>
      <c r="N2709">
        <v>-1.197048E-2</v>
      </c>
      <c r="O2709">
        <v>-0.95212660000000005</v>
      </c>
      <c r="P2709">
        <v>-0.16323270000000001</v>
      </c>
      <c r="Q2709">
        <v>0.11365739999999901</v>
      </c>
      <c r="R2709">
        <v>-0.98001919999999998</v>
      </c>
      <c r="S2709">
        <v>-0.15515139999999999</v>
      </c>
      <c r="T2709">
        <v>-0.15375949999999999</v>
      </c>
      <c r="U2709">
        <v>-3.056244</v>
      </c>
      <c r="V2709">
        <v>-0.14390439999999999</v>
      </c>
      <c r="W2709">
        <v>0.12547929999999999</v>
      </c>
      <c r="X2709">
        <v>0.98160400000000003</v>
      </c>
      <c r="Y2709">
        <v>-0.25674920000000001</v>
      </c>
      <c r="Z2709">
        <v>3.3918589999999998E-2</v>
      </c>
      <c r="AA2709">
        <v>0.96588269999999998</v>
      </c>
      <c r="AB2709">
        <v>27</v>
      </c>
      <c r="AC2709">
        <v>-1.05020000000001</v>
      </c>
      <c r="AD2709">
        <v>-1.120427584303</v>
      </c>
      <c r="AE2709">
        <v>-22.0186999999999</v>
      </c>
      <c r="AF2709">
        <v>-5.7117824301385003</v>
      </c>
      <c r="AG2709">
        <v>-1.120427584303</v>
      </c>
      <c r="AH2709">
        <v>21.232065166990701</v>
      </c>
      <c r="AI2709">
        <v>92.917200951688898</v>
      </c>
      <c r="AJ2709">
        <v>105.057057094256</v>
      </c>
      <c r="AK2709">
        <v>22.0154583816973</v>
      </c>
      <c r="AL2709">
        <v>82.7915642114082</v>
      </c>
      <c r="AM2709">
        <v>98.340223898287206</v>
      </c>
      <c r="AN2709">
        <v>0.99999997194192403</v>
      </c>
    </row>
    <row r="2710" spans="1:40" x14ac:dyDescent="0.25">
      <c r="A2710" t="str">
        <f>"20190303162307919"</f>
        <v>20190303162307919</v>
      </c>
      <c r="B2710" t="str">
        <f>"1551601387907206"</f>
        <v>1551601387907206</v>
      </c>
      <c r="C2710" t="s">
        <v>40</v>
      </c>
      <c r="D2710">
        <v>5.5632250000000001</v>
      </c>
      <c r="E2710">
        <v>0.45196340000000002</v>
      </c>
      <c r="F2710" t="s">
        <v>41</v>
      </c>
      <c r="G2710">
        <v>-490.43740000000003</v>
      </c>
      <c r="H2710" s="1">
        <v>-2.2562180000000002E-6</v>
      </c>
      <c r="I2710">
        <v>244.5771</v>
      </c>
      <c r="J2710">
        <v>-489.5505</v>
      </c>
      <c r="K2710">
        <v>1.120579</v>
      </c>
      <c r="L2710">
        <v>267.06810000000002</v>
      </c>
      <c r="M2710">
        <v>-0.30537930000000002</v>
      </c>
      <c r="N2710">
        <v>-1.195913E-2</v>
      </c>
      <c r="O2710">
        <v>-0.95215550000000004</v>
      </c>
      <c r="P2710">
        <v>-0.1534818</v>
      </c>
      <c r="Q2710">
        <v>0.11579689999999999</v>
      </c>
      <c r="R2710">
        <v>-0.98134299999999997</v>
      </c>
      <c r="S2710">
        <v>-0.12960819999999901</v>
      </c>
      <c r="T2710">
        <v>-0.15069270000000001</v>
      </c>
      <c r="U2710">
        <v>-3.0570680000000001</v>
      </c>
      <c r="V2710">
        <v>-0.1535456</v>
      </c>
      <c r="W2710">
        <v>0.12753499999999901</v>
      </c>
      <c r="X2710">
        <v>0.97987679999999999</v>
      </c>
      <c r="Y2710">
        <v>-0.26471119999999998</v>
      </c>
      <c r="Z2710">
        <v>3.2947150000000001E-2</v>
      </c>
      <c r="AA2710">
        <v>0.96376470000000003</v>
      </c>
      <c r="AB2710">
        <v>27</v>
      </c>
      <c r="AC2710">
        <v>-0.886900000000025</v>
      </c>
      <c r="AD2710">
        <v>-1.120581256218</v>
      </c>
      <c r="AE2710">
        <v>-22.491</v>
      </c>
      <c r="AF2710">
        <v>-6.0093566610125304</v>
      </c>
      <c r="AG2710">
        <v>-1.120581256218</v>
      </c>
      <c r="AH2710">
        <v>21.6337053358581</v>
      </c>
      <c r="AI2710">
        <v>92.857160926034496</v>
      </c>
      <c r="AJ2710">
        <v>105.524096410859</v>
      </c>
      <c r="AK2710">
        <v>22.4807757070297</v>
      </c>
      <c r="AL2710">
        <v>82.672827382079802</v>
      </c>
      <c r="AM2710">
        <v>98.905763586038404</v>
      </c>
      <c r="AN2710">
        <v>0.99999998534129997</v>
      </c>
    </row>
    <row r="2711" spans="1:40" x14ac:dyDescent="0.25">
      <c r="A2711" t="str">
        <f>"20190303162307946"</f>
        <v>20190303162307946</v>
      </c>
      <c r="B2711" t="str">
        <f>"1551601387937463"</f>
        <v>1551601387937463</v>
      </c>
      <c r="C2711" t="s">
        <v>40</v>
      </c>
      <c r="D2711">
        <v>5.5668850000000001</v>
      </c>
      <c r="E2711">
        <v>0.45213829999999999</v>
      </c>
      <c r="F2711" t="s">
        <v>41</v>
      </c>
      <c r="G2711">
        <v>-490.34809999999999</v>
      </c>
      <c r="H2711" s="1">
        <v>-1.6580449999999901E-6</v>
      </c>
      <c r="I2711">
        <v>243.2381</v>
      </c>
      <c r="J2711">
        <v>-489.64319999999998</v>
      </c>
      <c r="K2711">
        <v>1.1208450000000001</v>
      </c>
      <c r="L2711">
        <v>266.77789999999999</v>
      </c>
      <c r="M2711">
        <v>-0.30486999999999997</v>
      </c>
      <c r="N2711">
        <v>-1.1948790000000001E-2</v>
      </c>
      <c r="O2711">
        <v>-0.95231929999999998</v>
      </c>
      <c r="P2711">
        <v>-0.14520159999999999</v>
      </c>
      <c r="Q2711">
        <v>0.1187096</v>
      </c>
      <c r="R2711">
        <v>-0.98225490000000004</v>
      </c>
      <c r="S2711">
        <v>-0.102356</v>
      </c>
      <c r="T2711">
        <v>-0.14379879999999901</v>
      </c>
      <c r="U2711">
        <v>-3.0579830000000001</v>
      </c>
      <c r="V2711">
        <v>-0.16126799999999999</v>
      </c>
      <c r="W2711">
        <v>0.13031580000000001</v>
      </c>
      <c r="X2711">
        <v>0.9782691</v>
      </c>
      <c r="Y2711">
        <v>-0.27277309999999999</v>
      </c>
      <c r="Z2711">
        <v>3.0845399999999999E-2</v>
      </c>
      <c r="AA2711">
        <v>0.96158379999999999</v>
      </c>
      <c r="AB2711">
        <v>27</v>
      </c>
      <c r="AC2711">
        <v>-0.70490000000000896</v>
      </c>
      <c r="AD2711">
        <v>-1.1208466580450001</v>
      </c>
      <c r="AE2711">
        <v>-23.5397999999999</v>
      </c>
      <c r="AF2711">
        <v>-6.4910484172906804</v>
      </c>
      <c r="AG2711">
        <v>-1.1208466580450001</v>
      </c>
      <c r="AH2711">
        <v>22.582765008723602</v>
      </c>
      <c r="AI2711">
        <v>92.731020681451994</v>
      </c>
      <c r="AJ2711">
        <v>106.03643622433</v>
      </c>
      <c r="AK2711">
        <v>23.5238449711287</v>
      </c>
      <c r="AL2711">
        <v>82.512158463553405</v>
      </c>
      <c r="AM2711">
        <v>99.3610376300947</v>
      </c>
      <c r="AN2711">
        <v>1.00000000378422</v>
      </c>
    </row>
    <row r="2712" spans="1:40" x14ac:dyDescent="0.25">
      <c r="A2712" t="str">
        <f>"20190303162307957"</f>
        <v>20190303162307957</v>
      </c>
      <c r="B2712" t="str">
        <f>"1551601387947222"</f>
        <v>1551601387947222</v>
      </c>
      <c r="C2712" t="s">
        <v>40</v>
      </c>
      <c r="D2712">
        <v>5.7557790000000004</v>
      </c>
      <c r="E2712">
        <v>0.45213829999999999</v>
      </c>
      <c r="F2712" t="s">
        <v>41</v>
      </c>
      <c r="G2712">
        <v>-490.29750000000001</v>
      </c>
      <c r="H2712" s="1">
        <v>-8.1718119999999997E-7</v>
      </c>
      <c r="I2712">
        <v>241.30950000000001</v>
      </c>
      <c r="J2712">
        <v>-489.69099999999997</v>
      </c>
      <c r="K2712">
        <v>1.121038</v>
      </c>
      <c r="L2712">
        <v>266.62740000000002</v>
      </c>
      <c r="M2712">
        <v>-0.30436600000000003</v>
      </c>
      <c r="N2712">
        <v>-1.194578E-2</v>
      </c>
      <c r="O2712">
        <v>-0.95248029999999995</v>
      </c>
      <c r="P2712">
        <v>-0.14204439999999999</v>
      </c>
      <c r="Q2712">
        <v>0.1190764</v>
      </c>
      <c r="R2712">
        <v>-0.98267190000000004</v>
      </c>
      <c r="S2712">
        <v>-7.8582760000000001E-2</v>
      </c>
      <c r="T2712">
        <v>-0.13461699999999999</v>
      </c>
      <c r="U2712">
        <v>-3.0588380000000002</v>
      </c>
      <c r="V2712">
        <v>-0.16394400000000001</v>
      </c>
      <c r="W2712">
        <v>0.1305972</v>
      </c>
      <c r="X2712">
        <v>0.97778670000000001</v>
      </c>
      <c r="Y2712">
        <v>-0.27973340000000002</v>
      </c>
      <c r="Z2712">
        <v>2.8068679999999999E-2</v>
      </c>
      <c r="AA2712">
        <v>0.9596673</v>
      </c>
      <c r="AB2712">
        <v>27</v>
      </c>
      <c r="AC2712">
        <v>-0.60650000000003901</v>
      </c>
      <c r="AD2712">
        <v>-1.1210388171812</v>
      </c>
      <c r="AE2712">
        <v>-25.317900000000002</v>
      </c>
      <c r="AF2712">
        <v>-7.1147958338746102</v>
      </c>
      <c r="AG2712">
        <v>-1.1210388171812</v>
      </c>
      <c r="AH2712">
        <v>24.253607878435101</v>
      </c>
      <c r="AI2712">
        <v>92.539549286852306</v>
      </c>
      <c r="AJ2712">
        <v>106.34905073543</v>
      </c>
      <c r="AK2712">
        <v>25.300485033062799</v>
      </c>
      <c r="AL2712">
        <v>82.4958967846229</v>
      </c>
      <c r="AM2712">
        <v>99.518160896294901</v>
      </c>
      <c r="AN2712">
        <v>1.0000000472403601</v>
      </c>
    </row>
    <row r="2713" spans="1:40" x14ac:dyDescent="0.25">
      <c r="A2713" t="str">
        <f>"20190303162307976"</f>
        <v>20190303162307976</v>
      </c>
      <c r="B2713" t="str">
        <f>"1551601387967718"</f>
        <v>1551601387967718</v>
      </c>
      <c r="C2713" t="s">
        <v>40</v>
      </c>
      <c r="D2713">
        <v>5.7428239999999997</v>
      </c>
      <c r="E2713">
        <v>0.45947209999999999</v>
      </c>
      <c r="F2713" t="s">
        <v>41</v>
      </c>
      <c r="G2713">
        <v>-490.267</v>
      </c>
      <c r="H2713" s="1">
        <v>-6.3358019999999896E-7</v>
      </c>
      <c r="I2713">
        <v>240.90039999999999</v>
      </c>
      <c r="J2713">
        <v>-489.75749999999999</v>
      </c>
      <c r="K2713">
        <v>1.12134</v>
      </c>
      <c r="L2713">
        <v>266.41669999999999</v>
      </c>
      <c r="M2713">
        <v>-0.3034348</v>
      </c>
      <c r="N2713">
        <v>-1.1945259999999999E-2</v>
      </c>
      <c r="O2713">
        <v>-0.95277730000000005</v>
      </c>
      <c r="P2713">
        <v>-0.13589609999999999</v>
      </c>
      <c r="Q2713">
        <v>0.1183876</v>
      </c>
      <c r="R2713">
        <v>-0.98362419999999995</v>
      </c>
      <c r="S2713">
        <v>-6.8481449999999999E-2</v>
      </c>
      <c r="T2713">
        <v>-0.1333019</v>
      </c>
      <c r="U2713">
        <v>-3.0591740000000001</v>
      </c>
      <c r="V2713">
        <v>-0.16922390000000001</v>
      </c>
      <c r="W2713">
        <v>0.12977540000000001</v>
      </c>
      <c r="X2713">
        <v>0.97699619999999998</v>
      </c>
      <c r="Y2713">
        <v>-0.28196359999999998</v>
      </c>
      <c r="Z2713">
        <v>2.7674959999999998E-2</v>
      </c>
      <c r="AA2713">
        <v>0.95902589999999999</v>
      </c>
      <c r="AB2713">
        <v>27</v>
      </c>
      <c r="AC2713">
        <v>-0.50950000000000195</v>
      </c>
      <c r="AD2713">
        <v>-1.1213406335801901</v>
      </c>
      <c r="AE2713">
        <v>-25.516300000000001</v>
      </c>
      <c r="AF2713">
        <v>-7.2436276227077903</v>
      </c>
      <c r="AG2713">
        <v>-1.1213406335801901</v>
      </c>
      <c r="AH2713">
        <v>24.420554225438799</v>
      </c>
      <c r="AI2713">
        <v>92.520653860229899</v>
      </c>
      <c r="AJ2713">
        <v>106.521415987499</v>
      </c>
      <c r="AK2713">
        <v>25.496882449244001</v>
      </c>
      <c r="AL2713">
        <v>82.543386101952905</v>
      </c>
      <c r="AM2713">
        <v>99.826611687585398</v>
      </c>
      <c r="AN2713">
        <v>0.99999997879540403</v>
      </c>
    </row>
    <row r="2714" spans="1:40" x14ac:dyDescent="0.25">
      <c r="A2714" t="str">
        <f>"20190303162307989"</f>
        <v>20190303162307989</v>
      </c>
      <c r="B2714" t="str">
        <f>"1551601387977479"</f>
        <v>1551601387977479</v>
      </c>
      <c r="C2714" t="s">
        <v>40</v>
      </c>
      <c r="D2714">
        <v>5.7501059999999997</v>
      </c>
      <c r="E2714">
        <v>0.46062110000000001</v>
      </c>
      <c r="F2714" t="s">
        <v>41</v>
      </c>
      <c r="G2714">
        <v>-490.68720000000002</v>
      </c>
      <c r="H2714" s="1">
        <v>-4.3728010000000001E-6</v>
      </c>
      <c r="I2714">
        <v>239.47829999999999</v>
      </c>
      <c r="J2714">
        <v>-489.80110000000002</v>
      </c>
      <c r="K2714">
        <v>1.121564</v>
      </c>
      <c r="L2714">
        <v>266.27710000000002</v>
      </c>
      <c r="M2714">
        <v>-0.30261259999999901</v>
      </c>
      <c r="N2714">
        <v>-1.194841E-2</v>
      </c>
      <c r="O2714">
        <v>-0.95303870000000002</v>
      </c>
      <c r="P2714">
        <v>-0.13341539999999999</v>
      </c>
      <c r="Q2714">
        <v>0.1178589</v>
      </c>
      <c r="R2714">
        <v>-0.98402699999999999</v>
      </c>
      <c r="S2714">
        <v>-0.10528559999999999</v>
      </c>
      <c r="T2714">
        <v>-0.12698960000000001</v>
      </c>
      <c r="U2714">
        <v>-3.0507200000000001</v>
      </c>
      <c r="V2714">
        <v>-0.17093340000000001</v>
      </c>
      <c r="W2714">
        <v>0.12915370000000001</v>
      </c>
      <c r="X2714">
        <v>0.97678100000000001</v>
      </c>
      <c r="Y2714">
        <v>-0.26949970000000001</v>
      </c>
      <c r="Z2714">
        <v>2.6012810000000001E-2</v>
      </c>
      <c r="AA2714">
        <v>0.96264899999999998</v>
      </c>
      <c r="AB2714">
        <v>27</v>
      </c>
      <c r="AC2714">
        <v>-0.886099999999999</v>
      </c>
      <c r="AD2714">
        <v>-1.121568372801</v>
      </c>
      <c r="AE2714">
        <v>-26.7988</v>
      </c>
      <c r="AF2714">
        <v>-7.2529958647128998</v>
      </c>
      <c r="AG2714">
        <v>-1.121568372801</v>
      </c>
      <c r="AH2714">
        <v>25.7652025355669</v>
      </c>
      <c r="AI2714">
        <v>92.399390726407404</v>
      </c>
      <c r="AJ2714">
        <v>105.722099145656</v>
      </c>
      <c r="AK2714">
        <v>26.790101275045501</v>
      </c>
      <c r="AL2714">
        <v>82.579309477106193</v>
      </c>
      <c r="AM2714">
        <v>99.926059110772101</v>
      </c>
      <c r="AN2714">
        <v>1.0000000137101199</v>
      </c>
    </row>
    <row r="2715" spans="1:40" x14ac:dyDescent="0.25">
      <c r="A2715" t="str">
        <f>"20190303162308003"</f>
        <v>20190303162308003</v>
      </c>
      <c r="B2715" t="str">
        <f>"1551601387996998"</f>
        <v>1551601387996998</v>
      </c>
      <c r="C2715" t="s">
        <v>40</v>
      </c>
      <c r="D2715">
        <v>5.8379979999999998</v>
      </c>
      <c r="E2715">
        <v>0.46098280000000003</v>
      </c>
      <c r="F2715" t="s">
        <v>41</v>
      </c>
      <c r="G2715">
        <v>-490.69839999999999</v>
      </c>
      <c r="H2715" s="1">
        <v>-3.8920849999999999E-7</v>
      </c>
      <c r="I2715">
        <v>240.06319999999999</v>
      </c>
      <c r="J2715">
        <v>-489.85140000000001</v>
      </c>
      <c r="K2715">
        <v>1.1218490000000001</v>
      </c>
      <c r="L2715">
        <v>266.1155</v>
      </c>
      <c r="M2715">
        <v>-0.3014772</v>
      </c>
      <c r="N2715">
        <v>-1.195502E-2</v>
      </c>
      <c r="O2715">
        <v>-0.95339879999999999</v>
      </c>
      <c r="P2715">
        <v>-0.13142390000000001</v>
      </c>
      <c r="Q2715">
        <v>0.11796040000000001</v>
      </c>
      <c r="R2715">
        <v>-0.98428309999999997</v>
      </c>
      <c r="S2715">
        <v>-0.1044006</v>
      </c>
      <c r="T2715">
        <v>-0.13050059999999999</v>
      </c>
      <c r="U2715">
        <v>-3.0501399999999999</v>
      </c>
      <c r="V2715">
        <v>-0.17183109999999999</v>
      </c>
      <c r="W2715">
        <v>0.129141899999999</v>
      </c>
      <c r="X2715">
        <v>0.97662499999999997</v>
      </c>
      <c r="Y2715">
        <v>-0.26862439999999999</v>
      </c>
      <c r="Z2715">
        <v>2.7087460000000001E-2</v>
      </c>
      <c r="AA2715">
        <v>0.96286400000000005</v>
      </c>
      <c r="AB2715">
        <v>27</v>
      </c>
      <c r="AC2715">
        <v>-0.84699999999997999</v>
      </c>
      <c r="AD2715">
        <v>-1.1218493892085</v>
      </c>
      <c r="AE2715">
        <v>-26.052299999999999</v>
      </c>
      <c r="AF2715">
        <v>-7.0341173350020796</v>
      </c>
      <c r="AG2715">
        <v>-1.1218493892085</v>
      </c>
      <c r="AH2715">
        <v>25.048968481654999</v>
      </c>
      <c r="AI2715">
        <v>92.468973887600896</v>
      </c>
      <c r="AJ2715">
        <v>105.685519981143</v>
      </c>
      <c r="AK2715">
        <v>26.0420462853745</v>
      </c>
      <c r="AL2715">
        <v>82.579990980401405</v>
      </c>
      <c r="AM2715">
        <v>99.978705203383001</v>
      </c>
      <c r="AN2715">
        <v>0.99999997394390905</v>
      </c>
    </row>
    <row r="2716" spans="1:40" x14ac:dyDescent="0.25">
      <c r="A2716" t="str">
        <f>"20190303162308016"</f>
        <v>20190303162308016</v>
      </c>
      <c r="B2716" t="str">
        <f>"1551601388007733"</f>
        <v>1551601388007733</v>
      </c>
      <c r="C2716" t="s">
        <v>40</v>
      </c>
      <c r="D2716">
        <v>5.719462</v>
      </c>
      <c r="E2716">
        <v>0.46156469999999999</v>
      </c>
      <c r="F2716" t="s">
        <v>41</v>
      </c>
      <c r="G2716">
        <v>-490.71469999999999</v>
      </c>
      <c r="H2716" s="1">
        <v>-2.6799060000000001E-7</v>
      </c>
      <c r="I2716">
        <v>239.7705</v>
      </c>
      <c r="J2716">
        <v>-489.8972</v>
      </c>
      <c r="K2716">
        <v>1.12215</v>
      </c>
      <c r="L2716">
        <v>265.96620000000001</v>
      </c>
      <c r="M2716">
        <v>-0.30008240000000003</v>
      </c>
      <c r="N2716">
        <v>-1.196794E-2</v>
      </c>
      <c r="O2716">
        <v>-0.95383850000000003</v>
      </c>
      <c r="P2716">
        <v>-0.13002520000000001</v>
      </c>
      <c r="Q2716">
        <v>0.1186364</v>
      </c>
      <c r="R2716">
        <v>-0.98438780000000004</v>
      </c>
      <c r="S2716">
        <v>-9.9945069999999997E-2</v>
      </c>
      <c r="T2716">
        <v>-0.12988419999999901</v>
      </c>
      <c r="U2716">
        <v>-3.0501399999999999</v>
      </c>
      <c r="V2716">
        <v>-0.17186070000000001</v>
      </c>
      <c r="W2716">
        <v>0.129707399999999</v>
      </c>
      <c r="X2716">
        <v>0.97654490000000005</v>
      </c>
      <c r="Y2716">
        <v>-0.26862059999999999</v>
      </c>
      <c r="Z2716">
        <v>2.6916570000000001E-2</v>
      </c>
      <c r="AA2716">
        <v>0.96286989999999995</v>
      </c>
      <c r="AB2716">
        <v>27</v>
      </c>
      <c r="AC2716">
        <v>-0.81749999999999501</v>
      </c>
      <c r="AD2716">
        <v>-1.1221502679905999</v>
      </c>
      <c r="AE2716">
        <v>-26.195699999999999</v>
      </c>
      <c r="AF2716">
        <v>-7.0686521994127904</v>
      </c>
      <c r="AG2716">
        <v>-1.1221502679905999</v>
      </c>
      <c r="AH2716">
        <v>25.187410086190301</v>
      </c>
      <c r="AI2716">
        <v>92.456187693467598</v>
      </c>
      <c r="AJ2716">
        <v>105.676365342229</v>
      </c>
      <c r="AK2716">
        <v>26.184550635634999</v>
      </c>
      <c r="AL2716">
        <v>82.547315778279696</v>
      </c>
      <c r="AM2716">
        <v>99.9811917677726</v>
      </c>
      <c r="AN2716">
        <v>1.00000002576762</v>
      </c>
    </row>
    <row r="2717" spans="1:40" x14ac:dyDescent="0.25">
      <c r="A2717" t="str">
        <f>"20190303162308033"</f>
        <v>20190303162308033</v>
      </c>
      <c r="B2717" t="str">
        <f>"1551601388027254"</f>
        <v>1551601388027254</v>
      </c>
      <c r="C2717" t="s">
        <v>40</v>
      </c>
      <c r="D2717">
        <v>5.7819229999999999</v>
      </c>
      <c r="E2717">
        <v>0.46227810000000003</v>
      </c>
      <c r="F2717" t="s">
        <v>41</v>
      </c>
      <c r="G2717">
        <v>-490.76400000000001</v>
      </c>
      <c r="H2717" s="1">
        <v>-4.3346809999999999E-6</v>
      </c>
      <c r="I2717">
        <v>239.3262</v>
      </c>
      <c r="J2717">
        <v>-489.95069999999998</v>
      </c>
      <c r="K2717">
        <v>1.1225369999999999</v>
      </c>
      <c r="L2717">
        <v>265.7901</v>
      </c>
      <c r="M2717">
        <v>-0.29816290000000001</v>
      </c>
      <c r="N2717">
        <v>-1.198777E-2</v>
      </c>
      <c r="O2717">
        <v>-0.95443979999999995</v>
      </c>
      <c r="P2717">
        <v>-0.1298763</v>
      </c>
      <c r="Q2717">
        <v>0.12166059999999999</v>
      </c>
      <c r="R2717">
        <v>-0.98403819999999997</v>
      </c>
      <c r="S2717">
        <v>-9.9243159999999997E-2</v>
      </c>
      <c r="T2717">
        <v>-0.128474</v>
      </c>
      <c r="U2717">
        <v>-3.0499879999999999</v>
      </c>
      <c r="V2717">
        <v>-0.17005809999999999</v>
      </c>
      <c r="W2717">
        <v>0.1326089</v>
      </c>
      <c r="X2717">
        <v>0.97647079999999997</v>
      </c>
      <c r="Y2717">
        <v>-0.26690330000000001</v>
      </c>
      <c r="Z2717">
        <v>2.6525030000000002E-2</v>
      </c>
      <c r="AA2717">
        <v>0.96335820000000005</v>
      </c>
      <c r="AB2717">
        <v>27</v>
      </c>
      <c r="AC2717">
        <v>-0.813300000000026</v>
      </c>
      <c r="AD2717">
        <v>-1.122541334681</v>
      </c>
      <c r="AE2717">
        <v>-26.463899999999899</v>
      </c>
      <c r="AF2717">
        <v>-7.1020515062185998</v>
      </c>
      <c r="AG2717">
        <v>-1.122541334681</v>
      </c>
      <c r="AH2717">
        <v>25.456765417543199</v>
      </c>
      <c r="AI2717">
        <v>92.4321208473295</v>
      </c>
      <c r="AJ2717">
        <v>105.588296185338</v>
      </c>
      <c r="AK2717">
        <v>26.452715175740899</v>
      </c>
      <c r="AL2717">
        <v>82.379623587741705</v>
      </c>
      <c r="AM2717">
        <v>99.879309635012007</v>
      </c>
      <c r="AN2717">
        <v>1.0000000504937201</v>
      </c>
    </row>
    <row r="2718" spans="1:40" x14ac:dyDescent="0.25">
      <c r="A2718" t="str">
        <f>"20190303162308046"</f>
        <v>20190303162308046</v>
      </c>
      <c r="B2718" t="str">
        <f>"1551601388037990"</f>
        <v>1551601388037990</v>
      </c>
      <c r="C2718" t="s">
        <v>40</v>
      </c>
      <c r="D2718">
        <v>5.6245659999999997</v>
      </c>
      <c r="E2718">
        <v>0.46273629999999999</v>
      </c>
      <c r="F2718" t="s">
        <v>41</v>
      </c>
      <c r="G2718">
        <v>-490.9135</v>
      </c>
      <c r="H2718" s="1">
        <v>-3.4764680000000001E-6</v>
      </c>
      <c r="I2718">
        <v>237.12629999999999</v>
      </c>
      <c r="J2718">
        <v>-489.99770000000001</v>
      </c>
      <c r="K2718">
        <v>1.122879</v>
      </c>
      <c r="L2718">
        <v>265.63350000000003</v>
      </c>
      <c r="M2718">
        <v>-0.29620469999999999</v>
      </c>
      <c r="N2718">
        <v>-1.2008629999999999E-2</v>
      </c>
      <c r="O2718">
        <v>-0.95504909999999998</v>
      </c>
      <c r="P2718">
        <v>-0.128772</v>
      </c>
      <c r="Q2718">
        <v>0.1232494</v>
      </c>
      <c r="R2718">
        <v>-0.98398560000000002</v>
      </c>
      <c r="S2718">
        <v>-0.1024475</v>
      </c>
      <c r="T2718">
        <v>-0.1194409</v>
      </c>
      <c r="U2718">
        <v>-3.0498959999999999</v>
      </c>
      <c r="V2718">
        <v>-0.16920660000000001</v>
      </c>
      <c r="W2718">
        <v>0.13408529999999999</v>
      </c>
      <c r="X2718">
        <v>0.97641710000000004</v>
      </c>
      <c r="Y2718">
        <v>-0.26391769999999998</v>
      </c>
      <c r="Z2718">
        <v>2.3857929999999999E-2</v>
      </c>
      <c r="AA2718">
        <v>0.9642501</v>
      </c>
      <c r="AB2718">
        <v>27</v>
      </c>
      <c r="AC2718">
        <v>-0.91579999999998996</v>
      </c>
      <c r="AD2718">
        <v>-1.1228824764679901</v>
      </c>
      <c r="AE2718">
        <v>-28.507200000000001</v>
      </c>
      <c r="AF2718">
        <v>-7.5581630714920696</v>
      </c>
      <c r="AG2718">
        <v>-1.1228824764679901</v>
      </c>
      <c r="AH2718">
        <v>27.456464321001501</v>
      </c>
      <c r="AI2718">
        <v>92.258011095810303</v>
      </c>
      <c r="AJ2718">
        <v>105.39106336422699</v>
      </c>
      <c r="AK2718">
        <v>28.499896966158602</v>
      </c>
      <c r="AL2718">
        <v>82.294269808741902</v>
      </c>
      <c r="AM2718">
        <v>99.831340448599803</v>
      </c>
      <c r="AN2718">
        <v>1.00000004716602</v>
      </c>
    </row>
    <row r="2719" spans="1:40" x14ac:dyDescent="0.25">
      <c r="A2719" t="str">
        <f>"20190303162308058"</f>
        <v>20190303162308058</v>
      </c>
      <c r="B2719" t="str">
        <f>"1551601388047749"</f>
        <v>1551601388047749</v>
      </c>
      <c r="C2719" t="s">
        <v>40</v>
      </c>
      <c r="D2719">
        <v>5.7812400000000004</v>
      </c>
      <c r="E2719">
        <v>0.4631517</v>
      </c>
      <c r="F2719" t="s">
        <v>41</v>
      </c>
      <c r="G2719">
        <v>-491.00580000000002</v>
      </c>
      <c r="H2719" s="1">
        <v>-2.8978999999999998E-6</v>
      </c>
      <c r="I2719">
        <v>235.72030000000001</v>
      </c>
      <c r="J2719">
        <v>-490.0403</v>
      </c>
      <c r="K2719">
        <v>1.123205</v>
      </c>
      <c r="L2719">
        <v>265.4889</v>
      </c>
      <c r="M2719">
        <v>-0.29411710000000002</v>
      </c>
      <c r="N2719">
        <v>-1.2030539999999999E-2</v>
      </c>
      <c r="O2719">
        <v>-0.95569369999999998</v>
      </c>
      <c r="P2719">
        <v>-0.1280752</v>
      </c>
      <c r="Q2719">
        <v>0.1251852</v>
      </c>
      <c r="R2719">
        <v>-0.98383200000000004</v>
      </c>
      <c r="S2719">
        <v>-0.10278320000000001</v>
      </c>
      <c r="T2719">
        <v>-0.1144805</v>
      </c>
      <c r="U2719">
        <v>-3.0497130000000001</v>
      </c>
      <c r="V2719">
        <v>-0.16780400000000001</v>
      </c>
      <c r="W2719">
        <v>0.13592270000000001</v>
      </c>
      <c r="X2719">
        <v>0.97640510000000003</v>
      </c>
      <c r="Y2719">
        <v>-0.26170379999999999</v>
      </c>
      <c r="Z2719">
        <v>2.2400079999999999E-2</v>
      </c>
      <c r="AA2719">
        <v>0.96488830000000003</v>
      </c>
      <c r="AB2719">
        <v>27</v>
      </c>
      <c r="AC2719">
        <v>-0.96550000000002001</v>
      </c>
      <c r="AD2719">
        <v>-1.1232078979</v>
      </c>
      <c r="AE2719">
        <v>-29.7685999999999</v>
      </c>
      <c r="AF2719">
        <v>-7.8221743870779497</v>
      </c>
      <c r="AG2719">
        <v>-1.1232078979</v>
      </c>
      <c r="AH2719">
        <v>28.694903806604898</v>
      </c>
      <c r="AI2719">
        <v>92.1627530097158</v>
      </c>
      <c r="AJ2719">
        <v>105.24822632950099</v>
      </c>
      <c r="AK2719">
        <v>29.763156966190099</v>
      </c>
      <c r="AL2719">
        <v>82.188021790020898</v>
      </c>
      <c r="AM2719">
        <v>99.751534278361305</v>
      </c>
      <c r="AN2719">
        <v>1.00000004104864</v>
      </c>
    </row>
    <row r="2720" spans="1:40" x14ac:dyDescent="0.25">
      <c r="A2720" t="str">
        <f>"20190303162308077"</f>
        <v>20190303162308077</v>
      </c>
      <c r="B2720" t="str">
        <f>"1551601388067270"</f>
        <v>1551601388067270</v>
      </c>
      <c r="C2720" t="s">
        <v>40</v>
      </c>
      <c r="D2720">
        <v>5.8409899999999997</v>
      </c>
      <c r="E2720">
        <v>0.46362100000000001</v>
      </c>
      <c r="F2720" t="s">
        <v>41</v>
      </c>
      <c r="G2720">
        <v>-491.12279999999998</v>
      </c>
      <c r="H2720" s="1">
        <v>-2.1472E-6</v>
      </c>
      <c r="I2720">
        <v>233.89789999999999</v>
      </c>
      <c r="J2720">
        <v>-490.09609999999998</v>
      </c>
      <c r="K2720">
        <v>1.1236429999999999</v>
      </c>
      <c r="L2720">
        <v>265.29689999999999</v>
      </c>
      <c r="M2720">
        <v>-0.29096549999999999</v>
      </c>
      <c r="N2720">
        <v>-1.2062099999999999E-2</v>
      </c>
      <c r="O2720">
        <v>-0.95665770000000006</v>
      </c>
      <c r="P2720">
        <v>-0.12764880000000001</v>
      </c>
      <c r="Q2720">
        <v>0.12889880000000001</v>
      </c>
      <c r="R2720">
        <v>-0.98340819999999995</v>
      </c>
      <c r="S2720">
        <v>-0.10449219999999999</v>
      </c>
      <c r="T2720">
        <v>-0.1084228</v>
      </c>
      <c r="U2720">
        <v>-3.0494690000000002</v>
      </c>
      <c r="V2720">
        <v>-0.16502610000000001</v>
      </c>
      <c r="W2720">
        <v>0.13952020000000001</v>
      </c>
      <c r="X2720">
        <v>0.97637110000000005</v>
      </c>
      <c r="Y2720">
        <v>-0.25798140000000003</v>
      </c>
      <c r="Z2720">
        <v>2.0623590000000001E-2</v>
      </c>
      <c r="AA2720">
        <v>0.9659297</v>
      </c>
      <c r="AB2720">
        <v>27</v>
      </c>
      <c r="AC2720">
        <v>-1.0266999999999999</v>
      </c>
      <c r="AD2720">
        <v>-1.1236451472</v>
      </c>
      <c r="AE2720">
        <v>-31.399000000000001</v>
      </c>
      <c r="AF2720">
        <v>-8.1439986083765596</v>
      </c>
      <c r="AG2720">
        <v>-1.1236451472</v>
      </c>
      <c r="AH2720">
        <v>30.300268662373298</v>
      </c>
      <c r="AI2720">
        <v>92.051037538604902</v>
      </c>
      <c r="AJ2720">
        <v>105.04421406101601</v>
      </c>
      <c r="AK2720">
        <v>31.395757241418298</v>
      </c>
      <c r="AL2720">
        <v>81.979916850994698</v>
      </c>
      <c r="AM2720">
        <v>99.593455605325502</v>
      </c>
      <c r="AN2720">
        <v>1.0000000124022299</v>
      </c>
    </row>
    <row r="2721" spans="1:40" x14ac:dyDescent="0.25">
      <c r="A2721" t="str">
        <f>"20190303162308099"</f>
        <v>20190303162308099</v>
      </c>
      <c r="B2721" t="str">
        <f>"1551601388087766"</f>
        <v>1551601388087766</v>
      </c>
      <c r="C2721" t="s">
        <v>40</v>
      </c>
      <c r="D2721">
        <v>5.7858390000000002</v>
      </c>
      <c r="E2721">
        <v>0.46406819999999999</v>
      </c>
      <c r="F2721" t="s">
        <v>41</v>
      </c>
      <c r="G2721">
        <v>-491.32769999999999</v>
      </c>
      <c r="H2721" s="1">
        <v>-5.6478890000000005E-7</v>
      </c>
      <c r="I2721">
        <v>230.0822</v>
      </c>
      <c r="J2721">
        <v>-490.17129999999997</v>
      </c>
      <c r="K2721">
        <v>1.1242129999999999</v>
      </c>
      <c r="L2721">
        <v>265.03149999999999</v>
      </c>
      <c r="M2721">
        <v>-0.28600189999999998</v>
      </c>
      <c r="N2721">
        <v>-1.21079E-2</v>
      </c>
      <c r="O2721">
        <v>-0.95815269999999997</v>
      </c>
      <c r="P2721">
        <v>-0.12766710000000001</v>
      </c>
      <c r="Q2721">
        <v>0.1335712</v>
      </c>
      <c r="R2721">
        <v>-0.98278209999999999</v>
      </c>
      <c r="S2721">
        <v>-0.1066589</v>
      </c>
      <c r="T2721">
        <v>-9.7305299999999997E-2</v>
      </c>
      <c r="U2721">
        <v>-3.0495299999999999</v>
      </c>
      <c r="V2721">
        <v>-0.15998180000000001</v>
      </c>
      <c r="W2721">
        <v>0.14406620000000001</v>
      </c>
      <c r="X2721">
        <v>0.97655049999999999</v>
      </c>
      <c r="Y2721">
        <v>-0.25228899999999999</v>
      </c>
      <c r="Z2721">
        <v>1.7330149999999999E-2</v>
      </c>
      <c r="AA2721">
        <v>0.96749680000000005</v>
      </c>
      <c r="AB2721">
        <v>27</v>
      </c>
      <c r="AC2721">
        <v>-1.1564000000000101</v>
      </c>
      <c r="AD2721">
        <v>-1.12421356478889</v>
      </c>
      <c r="AE2721">
        <v>-34.949299999999901</v>
      </c>
      <c r="AF2721">
        <v>-8.8790314734315903</v>
      </c>
      <c r="AG2721">
        <v>-1.12421356478889</v>
      </c>
      <c r="AH2721">
        <v>33.7850533930797</v>
      </c>
      <c r="AI2721">
        <v>91.8432920318442</v>
      </c>
      <c r="AJ2721">
        <v>104.72489012928899</v>
      </c>
      <c r="AK2721">
        <v>34.950406132385503</v>
      </c>
      <c r="AL2721">
        <v>81.716791877509294</v>
      </c>
      <c r="AM2721">
        <v>99.303743889777195</v>
      </c>
      <c r="AN2721">
        <v>1.0000000626819601</v>
      </c>
    </row>
    <row r="2722" spans="1:40" x14ac:dyDescent="0.25">
      <c r="A2722" t="str">
        <f>"20190303162308122"</f>
        <v>20190303162308122</v>
      </c>
      <c r="B2722" t="str">
        <f>"1551601388117046"</f>
        <v>1551601388117046</v>
      </c>
      <c r="C2722" t="s">
        <v>40</v>
      </c>
      <c r="D2722">
        <v>5.8408280000000001</v>
      </c>
      <c r="E2722">
        <v>0.47098180000000001</v>
      </c>
      <c r="F2722" t="s">
        <v>46</v>
      </c>
      <c r="G2722">
        <v>-491.64299999999997</v>
      </c>
      <c r="H2722" s="1">
        <v>4.5449100000000002E-6</v>
      </c>
      <c r="I2722">
        <v>223.86850000000001</v>
      </c>
      <c r="J2722">
        <v>-490.24369999999999</v>
      </c>
      <c r="K2722">
        <v>1.1247199999999999</v>
      </c>
      <c r="L2722">
        <v>264.7679</v>
      </c>
      <c r="M2722">
        <v>-0.28040130000000002</v>
      </c>
      <c r="N2722">
        <v>-1.215397E-2</v>
      </c>
      <c r="O2722">
        <v>-0.95980580000000004</v>
      </c>
      <c r="P2722">
        <v>-0.1254112</v>
      </c>
      <c r="Q2722">
        <v>0.1362062</v>
      </c>
      <c r="R2722">
        <v>-0.98271059999999999</v>
      </c>
      <c r="S2722">
        <v>-0.10903930000000001</v>
      </c>
      <c r="T2722">
        <v>-8.3291889999999993E-2</v>
      </c>
      <c r="U2722">
        <v>-3.049744</v>
      </c>
      <c r="V2722">
        <v>-0.1566081</v>
      </c>
      <c r="W2722">
        <v>0.14659249999999999</v>
      </c>
      <c r="X2722">
        <v>0.97672130000000001</v>
      </c>
      <c r="Y2722">
        <v>-0.24588769999999999</v>
      </c>
      <c r="Z2722">
        <v>1.3144309999999999E-2</v>
      </c>
      <c r="AA2722">
        <v>0.96920919999999999</v>
      </c>
      <c r="AB2722">
        <v>27</v>
      </c>
      <c r="AC2722">
        <v>-1.39930000000003</v>
      </c>
      <c r="AD2722">
        <v>-1.12471545509</v>
      </c>
      <c r="AE2722">
        <v>-40.899399999999901</v>
      </c>
      <c r="AF2722">
        <v>-10.1182949338294</v>
      </c>
      <c r="AG2722">
        <v>-1.12471545509</v>
      </c>
      <c r="AH2722">
        <v>39.620852620494901</v>
      </c>
      <c r="AI2722">
        <v>91.575479538979096</v>
      </c>
      <c r="AJ2722">
        <v>104.32588662620201</v>
      </c>
      <c r="AK2722">
        <v>40.907906810271399</v>
      </c>
      <c r="AL2722">
        <v>81.570491583914304</v>
      </c>
      <c r="AM2722">
        <v>99.109304924468105</v>
      </c>
      <c r="AN2722">
        <v>0.99999997795777396</v>
      </c>
    </row>
    <row r="2723" spans="1:40" x14ac:dyDescent="0.25">
      <c r="A2723" t="str">
        <f>"20190303162308145"</f>
        <v>20190303162308145</v>
      </c>
      <c r="B2723" t="str">
        <f>"1551601388137542"</f>
        <v>1551601388137542</v>
      </c>
      <c r="C2723" t="s">
        <v>40</v>
      </c>
      <c r="D2723">
        <v>5.8337629999999896</v>
      </c>
      <c r="E2723">
        <v>0.47104049999999997</v>
      </c>
      <c r="F2723" t="s">
        <v>41</v>
      </c>
      <c r="G2723">
        <v>-491.83969999999999</v>
      </c>
      <c r="H2723" s="1">
        <v>-2.214788E-6</v>
      </c>
      <c r="I2723">
        <v>233.61080000000001</v>
      </c>
      <c r="J2723">
        <v>-490.31049999999999</v>
      </c>
      <c r="K2723">
        <v>1.1251100000000001</v>
      </c>
      <c r="L2723">
        <v>264.51659999999998</v>
      </c>
      <c r="M2723">
        <v>-0.27451550000000002</v>
      </c>
      <c r="N2723">
        <v>-1.2195330000000001E-2</v>
      </c>
      <c r="O2723">
        <v>-0.96150539999999995</v>
      </c>
      <c r="P2723">
        <v>-0.1196971</v>
      </c>
      <c r="Q2723">
        <v>0.13821530000000001</v>
      </c>
      <c r="R2723">
        <v>-0.98314239999999997</v>
      </c>
      <c r="S2723">
        <v>-0.15612789999999999</v>
      </c>
      <c r="T2723">
        <v>-0.1100317</v>
      </c>
      <c r="U2723">
        <v>-3.0480960000000001</v>
      </c>
      <c r="V2723">
        <v>-0.15638060000000001</v>
      </c>
      <c r="W2723">
        <v>0.14849789999999999</v>
      </c>
      <c r="X2723">
        <v>0.9764699</v>
      </c>
      <c r="Y2723">
        <v>-0.2249303</v>
      </c>
      <c r="Z2723">
        <v>2.1414140000000002E-2</v>
      </c>
      <c r="AA2723">
        <v>0.97413950000000005</v>
      </c>
      <c r="AB2723">
        <v>27</v>
      </c>
      <c r="AC2723">
        <v>-1.5291999999999999</v>
      </c>
      <c r="AD2723">
        <v>-1.1251122147879999</v>
      </c>
      <c r="AE2723">
        <v>-30.9057999999999</v>
      </c>
      <c r="AF2723">
        <v>-7.0050472231845999</v>
      </c>
      <c r="AG2723">
        <v>-1.1251122147879999</v>
      </c>
      <c r="AH2723">
        <v>30.0983304609302</v>
      </c>
      <c r="AI2723">
        <v>92.085112581591702</v>
      </c>
      <c r="AJ2723">
        <v>103.101708883284</v>
      </c>
      <c r="AK2723">
        <v>30.923228496233602</v>
      </c>
      <c r="AL2723">
        <v>81.460112237210893</v>
      </c>
      <c r="AM2723">
        <v>99.098596241427501</v>
      </c>
      <c r="AN2723">
        <v>0.99999999198338996</v>
      </c>
    </row>
    <row r="2724" spans="1:40" x14ac:dyDescent="0.25">
      <c r="A2724" t="str">
        <f>"20190303162308160"</f>
        <v>20190303162308160</v>
      </c>
      <c r="B2724" t="str">
        <f>"1551601388147302"</f>
        <v>1551601388147302</v>
      </c>
      <c r="C2724" t="s">
        <v>40</v>
      </c>
      <c r="D2724">
        <v>5.6359519999999996</v>
      </c>
      <c r="E2724">
        <v>0.47108369999999999</v>
      </c>
      <c r="F2724" t="s">
        <v>41</v>
      </c>
      <c r="G2724">
        <v>-491.7473</v>
      </c>
      <c r="H2724" s="1">
        <v>-2.0926749999999998E-6</v>
      </c>
      <c r="I2724">
        <v>233.3835</v>
      </c>
      <c r="J2724">
        <v>-490.35640000000001</v>
      </c>
      <c r="K2724">
        <v>1.125319</v>
      </c>
      <c r="L2724">
        <v>264.33879999999999</v>
      </c>
      <c r="M2724">
        <v>-0.27013920000000002</v>
      </c>
      <c r="N2724">
        <v>-1.2220780000000001E-2</v>
      </c>
      <c r="O2724">
        <v>-0.96274389999999999</v>
      </c>
      <c r="P2724">
        <v>-0.1141364</v>
      </c>
      <c r="Q2724">
        <v>0.13889770000000001</v>
      </c>
      <c r="R2724">
        <v>-0.98370769999999996</v>
      </c>
      <c r="S2724">
        <v>-0.14074710000000001</v>
      </c>
      <c r="T2724">
        <v>-0.1102163</v>
      </c>
      <c r="U2724">
        <v>-3.0498050000000001</v>
      </c>
      <c r="V2724">
        <v>-0.15752099999999999</v>
      </c>
      <c r="W2724">
        <v>0.1491094</v>
      </c>
      <c r="X2724">
        <v>0.97619339999999999</v>
      </c>
      <c r="Y2724">
        <v>-0.22542709999999999</v>
      </c>
      <c r="Z2724">
        <v>2.1484759999999999E-2</v>
      </c>
      <c r="AA2724">
        <v>0.97402310000000003</v>
      </c>
      <c r="AB2724">
        <v>27</v>
      </c>
      <c r="AC2724">
        <v>-1.39089999999998</v>
      </c>
      <c r="AD2724">
        <v>-1.1253210926749999</v>
      </c>
      <c r="AE2724">
        <v>-30.955299999999902</v>
      </c>
      <c r="AF2724">
        <v>-7.0144315266689796</v>
      </c>
      <c r="AG2724">
        <v>-1.1253210926749999</v>
      </c>
      <c r="AH2724">
        <v>30.140259750682802</v>
      </c>
      <c r="AI2724">
        <v>92.082606383887594</v>
      </c>
      <c r="AJ2724">
        <v>103.101033970156</v>
      </c>
      <c r="AK2724">
        <v>30.966172754193899</v>
      </c>
      <c r="AL2724">
        <v>81.424681618320506</v>
      </c>
      <c r="AM2724">
        <v>99.166377177531402</v>
      </c>
      <c r="AN2724">
        <v>1.00000001640645</v>
      </c>
    </row>
    <row r="2725" spans="1:40" x14ac:dyDescent="0.25">
      <c r="A2725" t="str">
        <f>"20190303162308177"</f>
        <v>20190303162308177</v>
      </c>
      <c r="B2725" t="str">
        <f>"1551601388167329"</f>
        <v>1551601388167329</v>
      </c>
      <c r="C2725" t="s">
        <v>40</v>
      </c>
      <c r="D2725">
        <v>5.84199</v>
      </c>
      <c r="E2725">
        <v>0.47113660000000002</v>
      </c>
      <c r="F2725" t="s">
        <v>41</v>
      </c>
      <c r="G2725">
        <v>-491.61989999999997</v>
      </c>
      <c r="H2725" s="1">
        <v>-2.082838E-6</v>
      </c>
      <c r="I2725">
        <v>233.43950000000001</v>
      </c>
      <c r="J2725">
        <v>-490.40339999999998</v>
      </c>
      <c r="K2725">
        <v>1.12547</v>
      </c>
      <c r="L2725">
        <v>264.15210000000002</v>
      </c>
      <c r="M2725">
        <v>-0.26540269999999999</v>
      </c>
      <c r="N2725">
        <v>-1.2242319999999999E-2</v>
      </c>
      <c r="O2725">
        <v>-0.96406020000000003</v>
      </c>
      <c r="P2725">
        <v>-0.1054615</v>
      </c>
      <c r="Q2725">
        <v>0.138202399999999</v>
      </c>
      <c r="R2725">
        <v>-0.98477320000000002</v>
      </c>
      <c r="S2725">
        <v>-0.1247559</v>
      </c>
      <c r="T2725">
        <v>-0.111112</v>
      </c>
      <c r="U2725">
        <v>-3.0509339999999998</v>
      </c>
      <c r="V2725">
        <v>-0.1614091</v>
      </c>
      <c r="W2725">
        <v>0.14832200000000001</v>
      </c>
      <c r="X2725">
        <v>0.97567809999999999</v>
      </c>
      <c r="Y2725">
        <v>-0.22574910000000001</v>
      </c>
      <c r="Z2725">
        <v>2.1787460000000002E-2</v>
      </c>
      <c r="AA2725">
        <v>0.97394179999999997</v>
      </c>
      <c r="AB2725">
        <v>27</v>
      </c>
      <c r="AC2725">
        <v>-1.2164999999999899</v>
      </c>
      <c r="AD2725">
        <v>-1.125472082838</v>
      </c>
      <c r="AE2725">
        <v>-30.712599999999998</v>
      </c>
      <c r="AF2725">
        <v>-6.9696041983635899</v>
      </c>
      <c r="AG2725">
        <v>-1.125472082838</v>
      </c>
      <c r="AH2725">
        <v>29.8938120593509</v>
      </c>
      <c r="AI2725">
        <v>92.099847520843497</v>
      </c>
      <c r="AJ2725">
        <v>103.123809032002</v>
      </c>
      <c r="AK2725">
        <v>30.7161532345912</v>
      </c>
      <c r="AL2725">
        <v>81.470303784215702</v>
      </c>
      <c r="AM2725">
        <v>99.393520379638602</v>
      </c>
      <c r="AN2725">
        <v>1.0000000340332</v>
      </c>
    </row>
    <row r="2726" spans="1:40" x14ac:dyDescent="0.25">
      <c r="A2726" t="str">
        <f>"20190303162308190"</f>
        <v>20190303162308190</v>
      </c>
      <c r="B2726" t="str">
        <f>"1551601388177089"</f>
        <v>1551601388177089</v>
      </c>
      <c r="C2726" t="s">
        <v>40</v>
      </c>
      <c r="D2726">
        <v>5.8354530000000002</v>
      </c>
      <c r="E2726">
        <v>0.47240840000000001</v>
      </c>
      <c r="F2726" t="s">
        <v>41</v>
      </c>
      <c r="G2726">
        <v>-491.3664</v>
      </c>
      <c r="H2726" s="1">
        <v>-2.8120209999999999E-6</v>
      </c>
      <c r="I2726">
        <v>235.29650000000001</v>
      </c>
      <c r="J2726">
        <v>-490.44130000000001</v>
      </c>
      <c r="K2726">
        <v>1.125556</v>
      </c>
      <c r="L2726">
        <v>263.99869999999999</v>
      </c>
      <c r="M2726">
        <v>-0.26145299999999999</v>
      </c>
      <c r="N2726">
        <v>-1.225644E-2</v>
      </c>
      <c r="O2726">
        <v>-0.96513850000000001</v>
      </c>
      <c r="P2726">
        <v>-9.9043610000000004E-2</v>
      </c>
      <c r="Q2726">
        <v>0.13794600000000001</v>
      </c>
      <c r="R2726">
        <v>-0.98547549999999995</v>
      </c>
      <c r="S2726">
        <v>-0.10186770000000001</v>
      </c>
      <c r="T2726">
        <v>-0.1190486</v>
      </c>
      <c r="U2726">
        <v>-3.0522459999999998</v>
      </c>
      <c r="V2726">
        <v>-0.16381470000000001</v>
      </c>
      <c r="W2726">
        <v>0.1480107</v>
      </c>
      <c r="X2726">
        <v>0.97532430000000003</v>
      </c>
      <c r="Y2726">
        <v>-0.22906599999999999</v>
      </c>
      <c r="Z2726">
        <v>2.4219750000000002E-2</v>
      </c>
      <c r="AA2726">
        <v>0.97310949999999996</v>
      </c>
      <c r="AB2726">
        <v>27</v>
      </c>
      <c r="AC2726">
        <v>-0.92509999999998604</v>
      </c>
      <c r="AD2726">
        <v>-1.1255588120209901</v>
      </c>
      <c r="AE2726">
        <v>-28.702199999999898</v>
      </c>
      <c r="AF2726">
        <v>-6.6017807716066699</v>
      </c>
      <c r="AG2726">
        <v>-1.1255588120209901</v>
      </c>
      <c r="AH2726">
        <v>27.902699635204002</v>
      </c>
      <c r="AI2726">
        <v>92.247987599649207</v>
      </c>
      <c r="AJ2726">
        <v>103.31139968913899</v>
      </c>
      <c r="AK2726">
        <v>28.695139639459601</v>
      </c>
      <c r="AL2726">
        <v>81.488338361627498</v>
      </c>
      <c r="AM2726">
        <v>99.534362861618703</v>
      </c>
      <c r="AN2726">
        <v>0.99999995671053399</v>
      </c>
    </row>
    <row r="2727" spans="1:40" x14ac:dyDescent="0.25">
      <c r="A2727" t="str">
        <f>"20190303162308212"</f>
        <v>20190303162308212</v>
      </c>
      <c r="B2727" t="str">
        <f>"1551601388197585"</f>
        <v>1551601388197585</v>
      </c>
      <c r="C2727" t="s">
        <v>40</v>
      </c>
      <c r="D2727">
        <v>5.8385389999999999</v>
      </c>
      <c r="E2727">
        <v>0.47246100000000002</v>
      </c>
      <c r="F2727" t="s">
        <v>41</v>
      </c>
      <c r="G2727">
        <v>-491.12259999999998</v>
      </c>
      <c r="H2727" s="1">
        <v>-1.3087409999999999E-6</v>
      </c>
      <c r="I2727">
        <v>241.9436</v>
      </c>
      <c r="J2727">
        <v>-490.49950000000001</v>
      </c>
      <c r="K2727">
        <v>1.125607</v>
      </c>
      <c r="L2727">
        <v>263.75760000000002</v>
      </c>
      <c r="M2727">
        <v>-0.25519249999999999</v>
      </c>
      <c r="N2727">
        <v>-1.227265E-2</v>
      </c>
      <c r="O2727">
        <v>-0.96681260000000002</v>
      </c>
      <c r="P2727">
        <v>-8.6590829999999994E-2</v>
      </c>
      <c r="Q2727">
        <v>0.13754749999999999</v>
      </c>
      <c r="R2727">
        <v>-0.9867032</v>
      </c>
      <c r="S2727">
        <v>-9.4421389999999994E-2</v>
      </c>
      <c r="T2727">
        <v>-0.15598909999999999</v>
      </c>
      <c r="U2727">
        <v>-3.0565799999999999</v>
      </c>
      <c r="V2727">
        <v>-0.1698539</v>
      </c>
      <c r="W2727">
        <v>0.14751549999999999</v>
      </c>
      <c r="X2727">
        <v>0.97436590000000001</v>
      </c>
      <c r="Y2727">
        <v>-0.22516330000000001</v>
      </c>
      <c r="Z2727">
        <v>3.5563240000000003E-2</v>
      </c>
      <c r="AA2727">
        <v>0.97367179999999998</v>
      </c>
      <c r="AB2727">
        <v>27</v>
      </c>
      <c r="AC2727">
        <v>-0.62309999999996502</v>
      </c>
      <c r="AD2727">
        <v>-1.125608308741</v>
      </c>
      <c r="AE2727">
        <v>-21.814</v>
      </c>
      <c r="AF2727">
        <v>-4.9515479062194299</v>
      </c>
      <c r="AG2727">
        <v>-1.125608308741</v>
      </c>
      <c r="AH2727">
        <v>21.1942707178235</v>
      </c>
      <c r="AI2727">
        <v>92.960497126687798</v>
      </c>
      <c r="AJ2727">
        <v>103.14996302874199</v>
      </c>
      <c r="AK2727">
        <v>21.794080205245699</v>
      </c>
      <c r="AL2727">
        <v>81.517026844877094</v>
      </c>
      <c r="AM2727">
        <v>99.888576783534006</v>
      </c>
      <c r="AN2727">
        <v>1.0000000385841299</v>
      </c>
    </row>
    <row r="2728" spans="1:40" x14ac:dyDescent="0.25">
      <c r="A2728" t="str">
        <f>"20190303162308225"</f>
        <v>20190303162308225</v>
      </c>
      <c r="B2728" t="str">
        <f>"1551601388217105"</f>
        <v>1551601388217105</v>
      </c>
      <c r="C2728" t="s">
        <v>40</v>
      </c>
      <c r="D2728">
        <v>5.8377949999999998</v>
      </c>
      <c r="E2728">
        <v>0.47305009999999997</v>
      </c>
      <c r="F2728" t="s">
        <v>41</v>
      </c>
      <c r="G2728">
        <v>-490.90570000000002</v>
      </c>
      <c r="H2728" s="1">
        <v>-1.084179E-6</v>
      </c>
      <c r="I2728">
        <v>241.55459999999999</v>
      </c>
      <c r="J2728">
        <v>-490.53769999999997</v>
      </c>
      <c r="K2728">
        <v>1.1256090000000001</v>
      </c>
      <c r="L2728">
        <v>263.59539999999998</v>
      </c>
      <c r="M2728">
        <v>-0.25098140000000002</v>
      </c>
      <c r="N2728">
        <v>-1.2280350000000001E-2</v>
      </c>
      <c r="O2728">
        <v>-0.96791419999999995</v>
      </c>
      <c r="P2728">
        <v>-7.9825099999999996E-2</v>
      </c>
      <c r="Q2728">
        <v>0.13692960000000001</v>
      </c>
      <c r="R2728">
        <v>-0.98735930000000005</v>
      </c>
      <c r="S2728">
        <v>-5.5938719999999997E-2</v>
      </c>
      <c r="T2728">
        <v>-0.15498509999999999</v>
      </c>
      <c r="U2728">
        <v>-3.0571290000000002</v>
      </c>
      <c r="V2728">
        <v>-0.17231260000000001</v>
      </c>
      <c r="W2728">
        <v>0.146868</v>
      </c>
      <c r="X2728">
        <v>0.97403189999999995</v>
      </c>
      <c r="Y2728">
        <v>-0.23316509999999999</v>
      </c>
      <c r="Z2728">
        <v>3.5261510000000003E-2</v>
      </c>
      <c r="AA2728">
        <v>0.97179760000000004</v>
      </c>
      <c r="AB2728">
        <v>27</v>
      </c>
      <c r="AC2728">
        <v>-0.36800000000005101</v>
      </c>
      <c r="AD2728">
        <v>-1.125610084179</v>
      </c>
      <c r="AE2728">
        <v>-22.040799999999901</v>
      </c>
      <c r="AF2728">
        <v>-5.1625671205176298</v>
      </c>
      <c r="AG2728">
        <v>-1.125610084179</v>
      </c>
      <c r="AH2728">
        <v>21.371852269818699</v>
      </c>
      <c r="AI2728">
        <v>92.930721978240697</v>
      </c>
      <c r="AJ2728">
        <v>103.580172389431</v>
      </c>
      <c r="AK2728">
        <v>22.015339351879401</v>
      </c>
      <c r="AL2728">
        <v>81.554533997156895</v>
      </c>
      <c r="AM2728">
        <v>100.03220105656</v>
      </c>
      <c r="AN2728">
        <v>0.99999999188018496</v>
      </c>
    </row>
    <row r="2729" spans="1:40" x14ac:dyDescent="0.25">
      <c r="A2729" t="str">
        <f>"20190303162308239"</f>
        <v>20190303162308239</v>
      </c>
      <c r="B2729" t="str">
        <f>"1551601388227841"</f>
        <v>1551601388227841</v>
      </c>
      <c r="C2729" t="s">
        <v>40</v>
      </c>
      <c r="D2729">
        <v>5.8406840000000004</v>
      </c>
      <c r="E2729">
        <v>0.47394999999999998</v>
      </c>
      <c r="F2729" t="s">
        <v>41</v>
      </c>
      <c r="G2729">
        <v>-490.80399999999997</v>
      </c>
      <c r="H2729" s="1">
        <v>-1.881167E-6</v>
      </c>
      <c r="I2729">
        <v>243.47540000000001</v>
      </c>
      <c r="J2729">
        <v>-490.57389999999998</v>
      </c>
      <c r="K2729">
        <v>1.1255759999999999</v>
      </c>
      <c r="L2729">
        <v>263.43830000000003</v>
      </c>
      <c r="M2729">
        <v>-0.2469296</v>
      </c>
      <c r="N2729">
        <v>-1.228549E-2</v>
      </c>
      <c r="O2729">
        <v>-0.96895580000000003</v>
      </c>
      <c r="P2729">
        <v>-7.3423539999999995E-2</v>
      </c>
      <c r="Q2729">
        <v>0.1366465</v>
      </c>
      <c r="R2729">
        <v>-0.98789530000000003</v>
      </c>
      <c r="S2729">
        <v>-4.0496829999999998E-2</v>
      </c>
      <c r="T2729">
        <v>-0.17113020000000001</v>
      </c>
      <c r="U2729">
        <v>-3.0588989999999998</v>
      </c>
      <c r="V2729">
        <v>-0.17455209999999999</v>
      </c>
      <c r="W2729">
        <v>0.146569</v>
      </c>
      <c r="X2729">
        <v>0.97367809999999999</v>
      </c>
      <c r="Y2729">
        <v>-0.23400499999999999</v>
      </c>
      <c r="Z2729">
        <v>4.0237769999999999E-2</v>
      </c>
      <c r="AA2729">
        <v>0.9714024</v>
      </c>
      <c r="AB2729">
        <v>27</v>
      </c>
      <c r="AC2729">
        <v>-0.23010000000004999</v>
      </c>
      <c r="AD2729">
        <v>-1.1255778811669901</v>
      </c>
      <c r="AE2729">
        <v>-19.962900000000001</v>
      </c>
      <c r="AF2729">
        <v>-4.69191414958037</v>
      </c>
      <c r="AG2729">
        <v>-1.1255778811669901</v>
      </c>
      <c r="AH2729">
        <v>19.3399700964837</v>
      </c>
      <c r="AI2729">
        <v>93.237140471851205</v>
      </c>
      <c r="AJ2729">
        <v>103.636610328516</v>
      </c>
      <c r="AK2729">
        <v>19.9327726943967</v>
      </c>
      <c r="AL2729">
        <v>81.571852710995003</v>
      </c>
      <c r="AM2729">
        <v>100.163502432969</v>
      </c>
      <c r="AN2729">
        <v>0.99999997489750903</v>
      </c>
    </row>
    <row r="2730" spans="1:40" x14ac:dyDescent="0.25">
      <c r="A2730" t="str">
        <f>"20190303162308257"</f>
        <v>20190303162308257</v>
      </c>
      <c r="B2730" t="str">
        <f>"1551601388247361"</f>
        <v>1551601388247361</v>
      </c>
      <c r="C2730" t="s">
        <v>40</v>
      </c>
      <c r="D2730">
        <v>5.8959020000000004</v>
      </c>
      <c r="E2730">
        <v>0.47537550000000001</v>
      </c>
      <c r="F2730" t="s">
        <v>41</v>
      </c>
      <c r="G2730">
        <v>-490.7543</v>
      </c>
      <c r="H2730" s="1">
        <v>-1.892105E-6</v>
      </c>
      <c r="I2730">
        <v>243.5318</v>
      </c>
      <c r="J2730">
        <v>-490.6191</v>
      </c>
      <c r="K2730">
        <v>1.1254999999999999</v>
      </c>
      <c r="L2730">
        <v>263.23820000000001</v>
      </c>
      <c r="M2730">
        <v>-0.24184520000000001</v>
      </c>
      <c r="N2730">
        <v>-1.228955E-2</v>
      </c>
      <c r="O2730">
        <v>-0.97023700000000002</v>
      </c>
      <c r="P2730">
        <v>-6.4639489999999994E-2</v>
      </c>
      <c r="Q2730">
        <v>0.13459199999999999</v>
      </c>
      <c r="R2730">
        <v>-0.98879059999999996</v>
      </c>
      <c r="S2730">
        <v>-2.7709959999999999E-2</v>
      </c>
      <c r="T2730">
        <v>-0.17294489999999901</v>
      </c>
      <c r="U2730">
        <v>-3.058624</v>
      </c>
      <c r="V2730">
        <v>-0.17812929999999999</v>
      </c>
      <c r="W2730">
        <v>0.1444975</v>
      </c>
      <c r="X2730">
        <v>0.97333990000000004</v>
      </c>
      <c r="Y2730">
        <v>-0.23296600000000001</v>
      </c>
      <c r="Z2730">
        <v>4.0903189999999999E-2</v>
      </c>
      <c r="AA2730">
        <v>0.9716243</v>
      </c>
      <c r="AB2730">
        <v>27</v>
      </c>
      <c r="AC2730">
        <v>-0.13519999999999699</v>
      </c>
      <c r="AD2730">
        <v>-1.125501892105</v>
      </c>
      <c r="AE2730">
        <v>-19.706399999999999</v>
      </c>
      <c r="AF2730">
        <v>-4.6200027856234902</v>
      </c>
      <c r="AG2730">
        <v>-1.125501892105</v>
      </c>
      <c r="AH2730">
        <v>19.0917491931522</v>
      </c>
      <c r="AI2730">
        <v>93.279374530710896</v>
      </c>
      <c r="AJ2730">
        <v>103.603466082897</v>
      </c>
      <c r="AK2730">
        <v>19.675011245296101</v>
      </c>
      <c r="AL2730">
        <v>81.691818952143194</v>
      </c>
      <c r="AM2730">
        <v>100.37084044079501</v>
      </c>
      <c r="AN2730">
        <v>1.00000006797837</v>
      </c>
    </row>
    <row r="2731" spans="1:40" x14ac:dyDescent="0.25">
      <c r="A2731" t="str">
        <f>"20190303162308278"</f>
        <v>20190303162308278</v>
      </c>
      <c r="B2731" t="str">
        <f>"1551601388266881"</f>
        <v>1551601388266881</v>
      </c>
      <c r="C2731" t="s">
        <v>40</v>
      </c>
      <c r="D2731">
        <v>5.904496</v>
      </c>
      <c r="E2731">
        <v>0.47722720000000002</v>
      </c>
      <c r="F2731" t="s">
        <v>41</v>
      </c>
      <c r="G2731">
        <v>-490.69690000000003</v>
      </c>
      <c r="H2731" s="1">
        <v>-2.0415260000000001E-6</v>
      </c>
      <c r="I2731">
        <v>243.91569999999999</v>
      </c>
      <c r="J2731">
        <v>-490.673</v>
      </c>
      <c r="K2731">
        <v>1.125386</v>
      </c>
      <c r="L2731">
        <v>262.99419999999998</v>
      </c>
      <c r="M2731">
        <v>-0.23577890000000001</v>
      </c>
      <c r="N2731">
        <v>-1.229184E-2</v>
      </c>
      <c r="O2731">
        <v>-0.97172899999999995</v>
      </c>
      <c r="P2731">
        <v>-5.6612790000000003E-2</v>
      </c>
      <c r="Q2731">
        <v>0.1323715</v>
      </c>
      <c r="R2731">
        <v>-0.98958210000000002</v>
      </c>
      <c r="S2731">
        <v>-1.229858E-2</v>
      </c>
      <c r="T2731">
        <v>-0.17809049999999901</v>
      </c>
      <c r="U2731">
        <v>-3.0574340000000002</v>
      </c>
      <c r="V2731">
        <v>-0.17996029999999999</v>
      </c>
      <c r="W2731">
        <v>0.1423007</v>
      </c>
      <c r="X2731">
        <v>0.97332669999999999</v>
      </c>
      <c r="Y2731">
        <v>-0.2317824</v>
      </c>
      <c r="Z2731">
        <v>4.2630660000000001E-2</v>
      </c>
      <c r="AA2731">
        <v>0.97183310000000001</v>
      </c>
      <c r="AB2731">
        <v>27</v>
      </c>
      <c r="AC2731">
        <v>-2.3900000000026001E-2</v>
      </c>
      <c r="AD2731">
        <v>-1.125388041526</v>
      </c>
      <c r="AE2731">
        <v>-19.078499999999899</v>
      </c>
      <c r="AF2731">
        <v>-4.45990327981563</v>
      </c>
      <c r="AG2731">
        <v>-1.125388041526</v>
      </c>
      <c r="AH2731">
        <v>18.4818602672716</v>
      </c>
      <c r="AI2731">
        <v>93.387524232960203</v>
      </c>
      <c r="AJ2731">
        <v>103.566815297929</v>
      </c>
      <c r="AK2731">
        <v>19.045639775241799</v>
      </c>
      <c r="AL2731">
        <v>81.819000473267195</v>
      </c>
      <c r="AM2731">
        <v>100.47523370765499</v>
      </c>
      <c r="AN2731">
        <v>1.00000003186473</v>
      </c>
    </row>
    <row r="2732" spans="1:40" x14ac:dyDescent="0.25">
      <c r="A2732" t="str">
        <f>"20190303162308294"</f>
        <v>20190303162308294</v>
      </c>
      <c r="B2732" t="str">
        <f>"1551601388287377"</f>
        <v>1551601388287377</v>
      </c>
      <c r="C2732" t="s">
        <v>40</v>
      </c>
      <c r="D2732">
        <v>5.8281660000000004</v>
      </c>
      <c r="E2732">
        <v>0.47904940000000001</v>
      </c>
      <c r="F2732" t="s">
        <v>41</v>
      </c>
      <c r="G2732">
        <v>-490.69229999999999</v>
      </c>
      <c r="H2732" s="1">
        <v>-2.089351E-6</v>
      </c>
      <c r="I2732">
        <v>244.03</v>
      </c>
      <c r="J2732">
        <v>-490.71230000000003</v>
      </c>
      <c r="K2732">
        <v>1.1252930000000001</v>
      </c>
      <c r="L2732">
        <v>262.8116</v>
      </c>
      <c r="M2732">
        <v>-0.23135900000000001</v>
      </c>
      <c r="N2732">
        <v>-1.22916E-2</v>
      </c>
      <c r="O2732">
        <v>-0.97279099999999996</v>
      </c>
      <c r="P2732">
        <v>-5.1548499999999997E-2</v>
      </c>
      <c r="Q2732">
        <v>0.13200490000000001</v>
      </c>
      <c r="R2732">
        <v>-0.98990809999999996</v>
      </c>
      <c r="S2732">
        <v>-3.112793E-3</v>
      </c>
      <c r="T2732">
        <v>-0.18133160000000001</v>
      </c>
      <c r="U2732">
        <v>-3.0556640000000002</v>
      </c>
      <c r="V2732">
        <v>-0.18049399999999999</v>
      </c>
      <c r="W2732">
        <v>0.1419656</v>
      </c>
      <c r="X2732">
        <v>0.97327680000000005</v>
      </c>
      <c r="Y2732">
        <v>-0.23027829999999999</v>
      </c>
      <c r="Z2732">
        <v>4.3759960000000001E-2</v>
      </c>
      <c r="AA2732">
        <v>0.97214040000000002</v>
      </c>
      <c r="AB2732">
        <v>27</v>
      </c>
      <c r="AC2732">
        <v>2.0000000000038601E-2</v>
      </c>
      <c r="AD2732">
        <v>-1.1252950893510001</v>
      </c>
      <c r="AE2732">
        <v>-18.781600000000001</v>
      </c>
      <c r="AF2732">
        <v>-4.3494633062632797</v>
      </c>
      <c r="AG2732">
        <v>-1.1252950893510001</v>
      </c>
      <c r="AH2732">
        <v>18.2019796046342</v>
      </c>
      <c r="AI2732">
        <v>93.441041085324102</v>
      </c>
      <c r="AJ2732">
        <v>103.439134303068</v>
      </c>
      <c r="AK2732">
        <v>18.748231426408399</v>
      </c>
      <c r="AL2732">
        <v>81.838397136131405</v>
      </c>
      <c r="AM2732">
        <v>100.50613562197699</v>
      </c>
      <c r="AN2732">
        <v>1.0000000225187899</v>
      </c>
    </row>
    <row r="2733" spans="1:40" x14ac:dyDescent="0.25">
      <c r="A2733" t="str">
        <f>"20190303162308315"</f>
        <v>20190303162308315</v>
      </c>
      <c r="B2733" t="str">
        <f>"1551601388307873"</f>
        <v>1551601388307873</v>
      </c>
      <c r="C2733" t="s">
        <v>40</v>
      </c>
      <c r="D2733">
        <v>5.8945239999999997</v>
      </c>
      <c r="E2733">
        <v>0.48047410000000002</v>
      </c>
      <c r="F2733" t="s">
        <v>41</v>
      </c>
      <c r="G2733">
        <v>-490.7294</v>
      </c>
      <c r="H2733" s="1">
        <v>-2.0096510000000001E-6</v>
      </c>
      <c r="I2733">
        <v>243.8212</v>
      </c>
      <c r="J2733">
        <v>-490.762</v>
      </c>
      <c r="K2733">
        <v>1.125189</v>
      </c>
      <c r="L2733">
        <v>262.57600000000002</v>
      </c>
      <c r="M2733">
        <v>-0.22578909999999999</v>
      </c>
      <c r="N2733">
        <v>-1.228986E-2</v>
      </c>
      <c r="O2733">
        <v>-0.97409869999999998</v>
      </c>
      <c r="P2733">
        <v>-4.4616330000000003E-2</v>
      </c>
      <c r="Q2733">
        <v>0.1332573</v>
      </c>
      <c r="R2733">
        <v>-0.99007699999999998</v>
      </c>
      <c r="S2733">
        <v>-2.746582E-3</v>
      </c>
      <c r="T2733">
        <v>-0.18100169999999999</v>
      </c>
      <c r="U2733">
        <v>-3.0545650000000002</v>
      </c>
      <c r="V2733">
        <v>-0.1816787</v>
      </c>
      <c r="W2733">
        <v>0.1432465</v>
      </c>
      <c r="X2733">
        <v>0.97286859999999997</v>
      </c>
      <c r="Y2733">
        <v>-0.224826</v>
      </c>
      <c r="Z2733">
        <v>4.3833520000000001E-2</v>
      </c>
      <c r="AA2733">
        <v>0.97341250000000001</v>
      </c>
      <c r="AB2733">
        <v>27</v>
      </c>
      <c r="AC2733">
        <v>3.2599999999945298E-2</v>
      </c>
      <c r="AD2733">
        <v>-1.1251910096510001</v>
      </c>
      <c r="AE2733">
        <v>-18.7547999999999</v>
      </c>
      <c r="AF2733">
        <v>-4.2514048165936202</v>
      </c>
      <c r="AG2733">
        <v>-1.1251910096510001</v>
      </c>
      <c r="AH2733">
        <v>18.197544860430099</v>
      </c>
      <c r="AI2733">
        <v>93.445658045268502</v>
      </c>
      <c r="AJ2733">
        <v>103.149879841013</v>
      </c>
      <c r="AK2733">
        <v>18.721408511918099</v>
      </c>
      <c r="AL2733">
        <v>81.764249048127596</v>
      </c>
      <c r="AM2733">
        <v>100.577880510216</v>
      </c>
      <c r="AN2733">
        <v>1.00000001133095</v>
      </c>
    </row>
    <row r="2734" spans="1:40" x14ac:dyDescent="0.25">
      <c r="A2734" t="str">
        <f>"20190303162308335"</f>
        <v>20190303162308335</v>
      </c>
      <c r="B2734" t="str">
        <f>"1551601388327392"</f>
        <v>1551601388327392</v>
      </c>
      <c r="C2734" t="s">
        <v>40</v>
      </c>
      <c r="D2734">
        <v>5.8824370000000004</v>
      </c>
      <c r="E2734">
        <v>0.48196099999999997</v>
      </c>
      <c r="F2734" t="s">
        <v>41</v>
      </c>
      <c r="G2734">
        <v>-490.72539999999998</v>
      </c>
      <c r="H2734" s="1">
        <v>-1.6949799999999999E-6</v>
      </c>
      <c r="I2734">
        <v>243.09030000000001</v>
      </c>
      <c r="J2734">
        <v>-490.8107</v>
      </c>
      <c r="K2734">
        <v>1.125102</v>
      </c>
      <c r="L2734">
        <v>262.33839999999998</v>
      </c>
      <c r="M2734">
        <v>-0.22031439999999999</v>
      </c>
      <c r="N2734">
        <v>-1.228742E-2</v>
      </c>
      <c r="O2734">
        <v>-0.97535159999999999</v>
      </c>
      <c r="P2734">
        <v>-3.7283030000000002E-2</v>
      </c>
      <c r="Q2734">
        <v>0.13496469999999999</v>
      </c>
      <c r="R2734">
        <v>-0.99014880000000005</v>
      </c>
      <c r="S2734">
        <v>5.7373049999999998E-3</v>
      </c>
      <c r="T2734">
        <v>-0.17635599999999901</v>
      </c>
      <c r="U2734">
        <v>-3.0540769999999999</v>
      </c>
      <c r="V2734">
        <v>-0.1833543</v>
      </c>
      <c r="W2734">
        <v>0.14497070000000001</v>
      </c>
      <c r="X2734">
        <v>0.97229869999999996</v>
      </c>
      <c r="Y2734">
        <v>-0.22206020000000001</v>
      </c>
      <c r="Z2734">
        <v>4.2530909999999998E-2</v>
      </c>
      <c r="AA2734">
        <v>0.97410490000000005</v>
      </c>
      <c r="AB2734">
        <v>27</v>
      </c>
      <c r="AC2734">
        <v>8.5300000000017903E-2</v>
      </c>
      <c r="AD2734">
        <v>-1.12510369498</v>
      </c>
      <c r="AE2734">
        <v>-19.248099999999901</v>
      </c>
      <c r="AF2734">
        <v>-4.3094333571374799</v>
      </c>
      <c r="AG2734">
        <v>-1.12510369498</v>
      </c>
      <c r="AH2734">
        <v>18.692421280554999</v>
      </c>
      <c r="AI2734">
        <v>93.356658049330704</v>
      </c>
      <c r="AJ2734">
        <v>102.98238656289701</v>
      </c>
      <c r="AK2734">
        <v>19.2157145980526</v>
      </c>
      <c r="AL2734">
        <v>81.664417778748302</v>
      </c>
      <c r="AM2734">
        <v>100.679319645353</v>
      </c>
      <c r="AN2734">
        <v>1.0000000326043299</v>
      </c>
    </row>
    <row r="2735" spans="1:40" x14ac:dyDescent="0.25">
      <c r="A2735" t="str">
        <f>"20190303162308347"</f>
        <v>20190303162308347</v>
      </c>
      <c r="B2735" t="str">
        <f>"1551601388337154"</f>
        <v>1551601388337154</v>
      </c>
      <c r="C2735" t="s">
        <v>40</v>
      </c>
      <c r="D2735">
        <v>5.8857850000000003</v>
      </c>
      <c r="E2735">
        <v>0.48238969999999998</v>
      </c>
      <c r="F2735" t="s">
        <v>41</v>
      </c>
      <c r="G2735">
        <v>-490.70400000000001</v>
      </c>
      <c r="H2735" s="1">
        <v>-1.190319E-6</v>
      </c>
      <c r="I2735">
        <v>241.9271</v>
      </c>
      <c r="J2735">
        <v>-490.84039999999999</v>
      </c>
      <c r="K2735">
        <v>1.125057</v>
      </c>
      <c r="L2735">
        <v>262.19060000000002</v>
      </c>
      <c r="M2735">
        <v>-0.21696360000000001</v>
      </c>
      <c r="N2735">
        <v>-1.228606E-2</v>
      </c>
      <c r="O2735">
        <v>-0.97610240000000004</v>
      </c>
      <c r="P2735">
        <v>-3.3079850000000001E-2</v>
      </c>
      <c r="Q2735">
        <v>0.135986</v>
      </c>
      <c r="R2735">
        <v>-0.99015850000000005</v>
      </c>
      <c r="S2735">
        <v>1.596069E-2</v>
      </c>
      <c r="T2735">
        <v>-0.1683103</v>
      </c>
      <c r="U2735">
        <v>-3.053436</v>
      </c>
      <c r="V2735">
        <v>-0.18410579999999999</v>
      </c>
      <c r="W2735">
        <v>0.14600189999999999</v>
      </c>
      <c r="X2735">
        <v>0.97200229999999999</v>
      </c>
      <c r="Y2735">
        <v>-0.22197829999999999</v>
      </c>
      <c r="Z2735">
        <v>4.0106410000000002E-2</v>
      </c>
      <c r="AA2735">
        <v>0.97422640000000005</v>
      </c>
      <c r="AB2735">
        <v>27</v>
      </c>
      <c r="AC2735">
        <v>0.13639999999998001</v>
      </c>
      <c r="AD2735">
        <v>-1.125058190319</v>
      </c>
      <c r="AE2735">
        <v>-20.263500000000001</v>
      </c>
      <c r="AF2735">
        <v>-4.5160035478437601</v>
      </c>
      <c r="AG2735">
        <v>-1.125058190319</v>
      </c>
      <c r="AH2735">
        <v>19.6904518590013</v>
      </c>
      <c r="AI2735">
        <v>93.187583558461199</v>
      </c>
      <c r="AJ2735">
        <v>102.917383986231</v>
      </c>
      <c r="AK2735">
        <v>20.232991335622799</v>
      </c>
      <c r="AL2735">
        <v>81.604698582133807</v>
      </c>
      <c r="AM2735">
        <v>100.725271113551</v>
      </c>
      <c r="AN2735">
        <v>0.99999998580126903</v>
      </c>
    </row>
    <row r="2736" spans="1:40" x14ac:dyDescent="0.25">
      <c r="A2736" t="str">
        <f>"20190303162308366"</f>
        <v>20190303162308366</v>
      </c>
      <c r="B2736" t="str">
        <f>"1551601388357649"</f>
        <v>1551601388357649</v>
      </c>
      <c r="C2736" t="s">
        <v>40</v>
      </c>
      <c r="D2736">
        <v>5.9656409999999997</v>
      </c>
      <c r="E2736">
        <v>0.49990830000000003</v>
      </c>
      <c r="F2736" t="s">
        <v>41</v>
      </c>
      <c r="G2736">
        <v>-490.66070000000002</v>
      </c>
      <c r="H2736" s="1">
        <v>-9.0109930000000004E-7</v>
      </c>
      <c r="I2736">
        <v>241.27979999999999</v>
      </c>
      <c r="J2736">
        <v>-490.88330000000002</v>
      </c>
      <c r="K2736">
        <v>1.125008</v>
      </c>
      <c r="L2736">
        <v>261.97280000000001</v>
      </c>
      <c r="M2736">
        <v>-0.21208260000000001</v>
      </c>
      <c r="N2736">
        <v>-1.228455E-2</v>
      </c>
      <c r="O2736">
        <v>-0.97717469999999995</v>
      </c>
      <c r="P2736">
        <v>-2.816548E-2</v>
      </c>
      <c r="Q2736">
        <v>0.1386937</v>
      </c>
      <c r="R2736">
        <v>-0.98993469999999995</v>
      </c>
      <c r="S2736">
        <v>2.624512E-2</v>
      </c>
      <c r="T2736">
        <v>-0.1642699</v>
      </c>
      <c r="U2736">
        <v>-3.0531920000000001</v>
      </c>
      <c r="V2736">
        <v>-0.184001</v>
      </c>
      <c r="W2736">
        <v>0.1487299</v>
      </c>
      <c r="X2736">
        <v>0.97160849999999999</v>
      </c>
      <c r="Y2736">
        <v>-0.22039010000000001</v>
      </c>
      <c r="Z2736">
        <v>3.8948290000000003E-2</v>
      </c>
      <c r="AA2736">
        <v>0.97463390000000005</v>
      </c>
      <c r="AB2736">
        <v>27</v>
      </c>
      <c r="AC2736">
        <v>0.22259999999999899</v>
      </c>
      <c r="AD2736">
        <v>-1.1250089010993001</v>
      </c>
      <c r="AE2736">
        <v>-20.693000000000001</v>
      </c>
      <c r="AF2736">
        <v>-4.5929172973732202</v>
      </c>
      <c r="AG2736">
        <v>-1.1250089010993001</v>
      </c>
      <c r="AH2736">
        <v>20.115536228785501</v>
      </c>
      <c r="AI2736">
        <v>93.120914044591402</v>
      </c>
      <c r="AJ2736">
        <v>102.86168404851</v>
      </c>
      <c r="AK2736">
        <v>20.6638653716977</v>
      </c>
      <c r="AL2736">
        <v>81.446670539605094</v>
      </c>
      <c r="AM2736">
        <v>100.723551271657</v>
      </c>
      <c r="AN2736">
        <v>1.0000000142136301</v>
      </c>
    </row>
    <row r="2737" spans="1:40" x14ac:dyDescent="0.25">
      <c r="A2737" t="str">
        <f>"20190303162308389"</f>
        <v>20190303162308389</v>
      </c>
      <c r="B2737" t="str">
        <f>"1551601388377169"</f>
        <v>1551601388377169</v>
      </c>
      <c r="C2737" t="s">
        <v>40</v>
      </c>
      <c r="D2737">
        <v>5.9991269999999997</v>
      </c>
      <c r="E2737">
        <v>0.49718299999999999</v>
      </c>
      <c r="F2737" t="s">
        <v>41</v>
      </c>
      <c r="G2737">
        <v>-491.61880000000002</v>
      </c>
      <c r="H2737" s="1">
        <v>-4.3078109999999997E-6</v>
      </c>
      <c r="I2737">
        <v>238.80170000000001</v>
      </c>
      <c r="J2737">
        <v>-490.93360000000001</v>
      </c>
      <c r="K2737">
        <v>1.1249739999999999</v>
      </c>
      <c r="L2737">
        <v>261.70960000000002</v>
      </c>
      <c r="M2737">
        <v>-0.20623939999999999</v>
      </c>
      <c r="N2737">
        <v>-1.228373E-2</v>
      </c>
      <c r="O2737">
        <v>-0.97842450000000003</v>
      </c>
      <c r="P2737">
        <v>-2.3374209999999999E-2</v>
      </c>
      <c r="Q2737">
        <v>0.14021620000000001</v>
      </c>
      <c r="R2737">
        <v>-0.98984530000000004</v>
      </c>
      <c r="S2737">
        <v>-9.6771239999999994E-2</v>
      </c>
      <c r="T2737">
        <v>-0.14801129999999901</v>
      </c>
      <c r="U2737">
        <v>-3.048492</v>
      </c>
      <c r="V2737">
        <v>-0.18285209999999999</v>
      </c>
      <c r="W2737">
        <v>0.15028059999999999</v>
      </c>
      <c r="X2737">
        <v>0.97158679999999997</v>
      </c>
      <c r="Y2737">
        <v>-0.17505660000000001</v>
      </c>
      <c r="Z2737">
        <v>3.4315020000000002E-2</v>
      </c>
      <c r="AA2737">
        <v>0.98396019999999895</v>
      </c>
      <c r="AB2737">
        <v>27</v>
      </c>
      <c r="AC2737">
        <v>-0.68520000000000802</v>
      </c>
      <c r="AD2737">
        <v>-1.1249783078109901</v>
      </c>
      <c r="AE2737">
        <v>-22.907900000000001</v>
      </c>
      <c r="AF2737">
        <v>-4.0446551616260198</v>
      </c>
      <c r="AG2737">
        <v>-1.1249783078109901</v>
      </c>
      <c r="AH2737">
        <v>22.502446814822701</v>
      </c>
      <c r="AI2737">
        <v>92.816970924525094</v>
      </c>
      <c r="AJ2737">
        <v>100.189704916449</v>
      </c>
      <c r="AK2737">
        <v>22.890716987972201</v>
      </c>
      <c r="AL2737">
        <v>81.356812173835394</v>
      </c>
      <c r="AM2737">
        <v>100.658364764173</v>
      </c>
      <c r="AN2737">
        <v>1.0000000295725</v>
      </c>
    </row>
    <row r="2738" spans="1:40" x14ac:dyDescent="0.25">
      <c r="A2738" t="str">
        <f>"20190303162308412"</f>
        <v>20190303162308412</v>
      </c>
      <c r="B2738" t="str">
        <f>"1551601388407425"</f>
        <v>1551601388407425</v>
      </c>
      <c r="C2738" t="s">
        <v>40</v>
      </c>
      <c r="D2738">
        <v>5.8703949999999896</v>
      </c>
      <c r="E2738">
        <v>0.4461929</v>
      </c>
      <c r="F2738" t="s">
        <v>41</v>
      </c>
      <c r="G2738">
        <v>-491.40769999999998</v>
      </c>
      <c r="H2738" s="1">
        <v>-4.047529E-6</v>
      </c>
      <c r="I2738">
        <v>238.15090000000001</v>
      </c>
      <c r="J2738">
        <v>-490.98219999999998</v>
      </c>
      <c r="K2738">
        <v>1.1249690000000001</v>
      </c>
      <c r="L2738">
        <v>261.44670000000002</v>
      </c>
      <c r="M2738">
        <v>-0.20041999999999999</v>
      </c>
      <c r="N2738">
        <v>-1.228389E-2</v>
      </c>
      <c r="O2738">
        <v>-0.97963319999999998</v>
      </c>
      <c r="P2738">
        <v>-1.6893849999999998E-2</v>
      </c>
      <c r="Q2738">
        <v>0.14132839999999999</v>
      </c>
      <c r="R2738">
        <v>-0.98981889999999995</v>
      </c>
      <c r="S2738">
        <v>-6.1370849999999998E-2</v>
      </c>
      <c r="T2738">
        <v>-0.14564240000000001</v>
      </c>
      <c r="U2738">
        <v>-3.049957</v>
      </c>
      <c r="V2738">
        <v>-0.18341270000000001</v>
      </c>
      <c r="W2738">
        <v>0.15139059999999999</v>
      </c>
      <c r="X2738">
        <v>0.97130870000000002</v>
      </c>
      <c r="Y2738">
        <v>-0.1806275</v>
      </c>
      <c r="Z2738">
        <v>3.3602229999999997E-2</v>
      </c>
      <c r="AA2738">
        <v>0.9829774</v>
      </c>
      <c r="AB2738">
        <v>27</v>
      </c>
      <c r="AC2738">
        <v>-0.42549999999999899</v>
      </c>
      <c r="AD2738">
        <v>-1.1249730475290001</v>
      </c>
      <c r="AE2738">
        <v>-23.2958</v>
      </c>
      <c r="AF2738">
        <v>-4.2425402516115396</v>
      </c>
      <c r="AG2738">
        <v>-1.1249730475290001</v>
      </c>
      <c r="AH2738">
        <v>22.855062784882399</v>
      </c>
      <c r="AI2738">
        <v>92.770685541167595</v>
      </c>
      <c r="AJ2738">
        <v>100.516006850813</v>
      </c>
      <c r="AK2738">
        <v>23.272700897083801</v>
      </c>
      <c r="AL2738">
        <v>81.292477200984706</v>
      </c>
      <c r="AM2738">
        <v>100.693280088585</v>
      </c>
      <c r="AN2738">
        <v>0.99999996149266901</v>
      </c>
    </row>
    <row r="2739" spans="1:40" x14ac:dyDescent="0.25">
      <c r="A2739" t="str">
        <f>"20190303162308424"</f>
        <v>20190303162308424</v>
      </c>
      <c r="B2739" t="str">
        <f>"1551601388417185"</f>
        <v>1551601388417185</v>
      </c>
      <c r="C2739" t="s">
        <v>40</v>
      </c>
      <c r="D2739">
        <v>5.88286</v>
      </c>
      <c r="E2739">
        <v>0.44254749999999998</v>
      </c>
      <c r="F2739" t="s">
        <v>41</v>
      </c>
      <c r="G2739">
        <v>-489.01409999999998</v>
      </c>
      <c r="H2739" s="1">
        <v>-2.3806569999999998E-6</v>
      </c>
      <c r="I2739">
        <v>244.77449999999999</v>
      </c>
      <c r="J2739">
        <v>-491.00880000000001</v>
      </c>
      <c r="K2739">
        <v>1.1249659999999999</v>
      </c>
      <c r="L2739">
        <v>261.2996</v>
      </c>
      <c r="M2739">
        <v>-0.19715930000000001</v>
      </c>
      <c r="N2739">
        <v>-1.2284339999999999E-2</v>
      </c>
      <c r="O2739">
        <v>-0.98029460000000002</v>
      </c>
      <c r="P2739">
        <v>-1.32403E-2</v>
      </c>
      <c r="Q2739">
        <v>0.14202039999999999</v>
      </c>
      <c r="R2739">
        <v>-0.98977550000000003</v>
      </c>
      <c r="S2739">
        <v>0.36199949999999997</v>
      </c>
      <c r="T2739">
        <v>-0.20692060000000001</v>
      </c>
      <c r="U2739">
        <v>-3.066589</v>
      </c>
      <c r="V2739">
        <v>-0.18375340000000001</v>
      </c>
      <c r="W2739">
        <v>0.15207780000000001</v>
      </c>
      <c r="X2739">
        <v>0.97113700000000003</v>
      </c>
      <c r="Y2739">
        <v>-0.31042700000000001</v>
      </c>
      <c r="Z2739">
        <v>5.1045439999999997E-2</v>
      </c>
      <c r="AA2739">
        <v>0.94922569999999995</v>
      </c>
      <c r="AB2739">
        <v>27</v>
      </c>
      <c r="AC2739">
        <v>1.9947000000000199</v>
      </c>
      <c r="AD2739">
        <v>-1.1249683806570001</v>
      </c>
      <c r="AE2739">
        <v>-16.525099999999998</v>
      </c>
      <c r="AF2739">
        <v>-5.1901559155399504</v>
      </c>
      <c r="AG2739">
        <v>-1.1249683806570001</v>
      </c>
      <c r="AH2739">
        <v>15.7355066474999</v>
      </c>
      <c r="AI2739">
        <v>93.8841059790022</v>
      </c>
      <c r="AJ2739">
        <v>108.25447933608</v>
      </c>
      <c r="AK2739">
        <v>16.607511605854899</v>
      </c>
      <c r="AL2739">
        <v>81.252642828676102</v>
      </c>
      <c r="AM2739">
        <v>100.71453439059199</v>
      </c>
      <c r="AN2739">
        <v>1.0000000210166899</v>
      </c>
    </row>
    <row r="2740" spans="1:40" x14ac:dyDescent="0.25">
      <c r="A2740" t="str">
        <f>"20190303162308448"</f>
        <v>20190303162308448</v>
      </c>
      <c r="B2740" t="str">
        <f>"1551601388437681"</f>
        <v>1551601388437681</v>
      </c>
      <c r="C2740" t="s">
        <v>40</v>
      </c>
      <c r="D2740">
        <v>5.8757260000000002</v>
      </c>
      <c r="E2740">
        <v>0.4401098</v>
      </c>
      <c r="F2740" t="s">
        <v>41</v>
      </c>
      <c r="G2740">
        <v>-488.83120000000002</v>
      </c>
      <c r="H2740" s="1">
        <v>-2.3656069999999998E-6</v>
      </c>
      <c r="I2740">
        <v>244.66380000000001</v>
      </c>
      <c r="J2740">
        <v>-491.05450000000002</v>
      </c>
      <c r="K2740">
        <v>1.1249769999999999</v>
      </c>
      <c r="L2740">
        <v>261.03840000000002</v>
      </c>
      <c r="M2740">
        <v>-0.19133449999999999</v>
      </c>
      <c r="N2740">
        <v>-1.2285880000000001E-2</v>
      </c>
      <c r="O2740">
        <v>-0.98144810000000005</v>
      </c>
      <c r="P2740">
        <v>-7.3504479999999999E-3</v>
      </c>
      <c r="Q2740">
        <v>0.1424434</v>
      </c>
      <c r="R2740">
        <v>-0.98977570000000004</v>
      </c>
      <c r="S2740">
        <v>0.40133669999999999</v>
      </c>
      <c r="T2740">
        <v>-0.20733950000000001</v>
      </c>
      <c r="U2740">
        <v>-3.0661010000000002</v>
      </c>
      <c r="V2740">
        <v>-0.1837617</v>
      </c>
      <c r="W2740">
        <v>0.1524972</v>
      </c>
      <c r="X2740">
        <v>0.97106959999999998</v>
      </c>
      <c r="Y2740">
        <v>-0.31678099999999998</v>
      </c>
      <c r="Z2740">
        <v>5.1166610000000001E-2</v>
      </c>
      <c r="AA2740">
        <v>0.9471176</v>
      </c>
      <c r="AB2740">
        <v>27</v>
      </c>
      <c r="AC2740">
        <v>2.2232999999999898</v>
      </c>
      <c r="AD2740">
        <v>-1.124979365607</v>
      </c>
      <c r="AE2740">
        <v>-16.374600000000001</v>
      </c>
      <c r="AF2740">
        <v>-5.2909585116209596</v>
      </c>
      <c r="AG2740">
        <v>-1.124979365607</v>
      </c>
      <c r="AH2740">
        <v>15.5744238176322</v>
      </c>
      <c r="AI2740">
        <v>93.912569560019406</v>
      </c>
      <c r="AJ2740">
        <v>108.763701861039</v>
      </c>
      <c r="AK2740">
        <v>16.487040298245301</v>
      </c>
      <c r="AL2740">
        <v>81.228328881942701</v>
      </c>
      <c r="AM2740">
        <v>100.71573363907901</v>
      </c>
      <c r="AN2740">
        <v>0.99999996321944395</v>
      </c>
    </row>
    <row r="2741" spans="1:40" x14ac:dyDescent="0.25">
      <c r="A2741" t="str">
        <f>"20190303162308462"</f>
        <v>20190303162308462</v>
      </c>
      <c r="B2741" t="str">
        <f>"1551601388457201"</f>
        <v>1551601388457201</v>
      </c>
      <c r="C2741" t="s">
        <v>40</v>
      </c>
      <c r="D2741">
        <v>5.8001399999999999</v>
      </c>
      <c r="E2741">
        <v>0.43950850000000002</v>
      </c>
      <c r="F2741" t="s">
        <v>41</v>
      </c>
      <c r="G2741">
        <v>-488.76659999999998</v>
      </c>
      <c r="H2741" s="1">
        <v>-2.5331809999999998E-6</v>
      </c>
      <c r="I2741">
        <v>245.02770000000001</v>
      </c>
      <c r="J2741">
        <v>-491.08269999999999</v>
      </c>
      <c r="K2741">
        <v>1.124987</v>
      </c>
      <c r="L2741">
        <v>260.87329999999997</v>
      </c>
      <c r="M2741">
        <v>-0.1876351</v>
      </c>
      <c r="N2741">
        <v>-1.228719E-2</v>
      </c>
      <c r="O2741">
        <v>-0.98216210000000004</v>
      </c>
      <c r="P2741">
        <v>-4.0324860000000001E-3</v>
      </c>
      <c r="Q2741">
        <v>0.14198749999999999</v>
      </c>
      <c r="R2741">
        <v>-0.98986039999999997</v>
      </c>
      <c r="S2741">
        <v>0.43801879999999999</v>
      </c>
      <c r="T2741">
        <v>-0.21537529999999999</v>
      </c>
      <c r="U2741">
        <v>-3.0652159999999999</v>
      </c>
      <c r="V2741">
        <v>-0.18336820000000001</v>
      </c>
      <c r="W2741">
        <v>0.1520444</v>
      </c>
      <c r="X2741">
        <v>0.97121500000000005</v>
      </c>
      <c r="Y2741">
        <v>-0.3243299</v>
      </c>
      <c r="Z2741">
        <v>5.3560089999999998E-2</v>
      </c>
      <c r="AA2741">
        <v>0.94442649999999995</v>
      </c>
      <c r="AB2741">
        <v>27</v>
      </c>
      <c r="AC2741">
        <v>2.3161</v>
      </c>
      <c r="AD2741">
        <v>-1.124989533181</v>
      </c>
      <c r="AE2741">
        <v>-15.8455999999999</v>
      </c>
      <c r="AF2741">
        <v>-5.2225975976806902</v>
      </c>
      <c r="AG2741">
        <v>-1.124989533181</v>
      </c>
      <c r="AH2741">
        <v>15.055206580803899</v>
      </c>
      <c r="AI2741">
        <v>94.038220964832902</v>
      </c>
      <c r="AJ2741">
        <v>109.131478237057</v>
      </c>
      <c r="AK2741">
        <v>15.974992091007399</v>
      </c>
      <c r="AL2741">
        <v>81.254578717360999</v>
      </c>
      <c r="AM2741">
        <v>100.69175310289501</v>
      </c>
      <c r="AN2741">
        <v>0.99999998628379905</v>
      </c>
    </row>
    <row r="2742" spans="1:40" x14ac:dyDescent="0.25">
      <c r="A2742" t="str">
        <f>"20190303162308493"</f>
        <v>20190303162308493</v>
      </c>
      <c r="B2742" t="str">
        <f>"1551601388487458"</f>
        <v>1551601388487458</v>
      </c>
      <c r="C2742" t="s">
        <v>40</v>
      </c>
      <c r="D2742">
        <v>5.7963760000000004</v>
      </c>
      <c r="E2742">
        <v>0.43972840000000002</v>
      </c>
      <c r="F2742" t="s">
        <v>41</v>
      </c>
      <c r="G2742">
        <v>-488.79509999999999</v>
      </c>
      <c r="H2742" s="1">
        <v>-2.6985200000000002E-6</v>
      </c>
      <c r="I2742">
        <v>245.42490000000001</v>
      </c>
      <c r="J2742">
        <v>-491.14229999999998</v>
      </c>
      <c r="K2742">
        <v>1.1250009999999999</v>
      </c>
      <c r="L2742">
        <v>260.50920000000002</v>
      </c>
      <c r="M2742">
        <v>-0.17941199999999999</v>
      </c>
      <c r="N2742">
        <v>-1.2289949999999999E-2</v>
      </c>
      <c r="O2742">
        <v>-0.98369740000000006</v>
      </c>
      <c r="P2742">
        <v>5.005242E-3</v>
      </c>
      <c r="Q2742">
        <v>0.14024909999999999</v>
      </c>
      <c r="R2742">
        <v>-0.99010390000000004</v>
      </c>
      <c r="S2742">
        <v>0.45379639999999999</v>
      </c>
      <c r="T2742">
        <v>-0.2231697</v>
      </c>
      <c r="U2742">
        <v>-3.064575</v>
      </c>
      <c r="V2742">
        <v>-0.18414459999999999</v>
      </c>
      <c r="W2742">
        <v>0.15029379999999901</v>
      </c>
      <c r="X2742">
        <v>0.9713406</v>
      </c>
      <c r="Y2742">
        <v>-0.32118049999999998</v>
      </c>
      <c r="Z2742">
        <v>5.6131819999999999E-2</v>
      </c>
      <c r="AA2742">
        <v>0.945353</v>
      </c>
      <c r="AB2742">
        <v>27</v>
      </c>
      <c r="AC2742">
        <v>2.34719999999998</v>
      </c>
      <c r="AD2742">
        <v>-1.12500369851999</v>
      </c>
      <c r="AE2742">
        <v>-15.084300000000001</v>
      </c>
      <c r="AF2742">
        <v>-4.9885251610985897</v>
      </c>
      <c r="AG2742">
        <v>-1.12500369851999</v>
      </c>
      <c r="AH2742">
        <v>14.3404768562451</v>
      </c>
      <c r="AI2742">
        <v>94.237557409852698</v>
      </c>
      <c r="AJ2742">
        <v>109.180908465927</v>
      </c>
      <c r="AK2742">
        <v>15.2249890991455</v>
      </c>
      <c r="AL2742">
        <v>81.356047015975903</v>
      </c>
      <c r="AM2742">
        <v>100.734617049147</v>
      </c>
      <c r="AN2742">
        <v>1.0000000106179801</v>
      </c>
    </row>
    <row r="2743" spans="1:40" x14ac:dyDescent="0.25">
      <c r="A2743" t="str">
        <f>"20190303162308508"</f>
        <v>20190303162308508</v>
      </c>
      <c r="B2743" t="str">
        <f>"1551601388497217"</f>
        <v>1551601388497217</v>
      </c>
      <c r="C2743" t="s">
        <v>40</v>
      </c>
      <c r="D2743">
        <v>5.7768899999999999</v>
      </c>
      <c r="E2743">
        <v>0.44010690000000002</v>
      </c>
      <c r="F2743" t="s">
        <v>41</v>
      </c>
      <c r="G2743">
        <v>-488.82040000000001</v>
      </c>
      <c r="H2743" s="1">
        <v>-2.8059359999999998E-6</v>
      </c>
      <c r="I2743">
        <v>245.6857</v>
      </c>
      <c r="J2743">
        <v>-491.1705</v>
      </c>
      <c r="K2743">
        <v>1.125006</v>
      </c>
      <c r="L2743">
        <v>260.33</v>
      </c>
      <c r="M2743">
        <v>-0.17534839999999999</v>
      </c>
      <c r="N2743">
        <v>-1.22909E-2</v>
      </c>
      <c r="O2743">
        <v>-0.98442980000000002</v>
      </c>
      <c r="P2743">
        <v>1.0163510000000001E-2</v>
      </c>
      <c r="Q2743">
        <v>0.1400412</v>
      </c>
      <c r="R2743">
        <v>-0.99009360000000002</v>
      </c>
      <c r="S2743">
        <v>0.47937010000000002</v>
      </c>
      <c r="T2743">
        <v>-0.23226769999999999</v>
      </c>
      <c r="U2743">
        <v>-3.0604550000000001</v>
      </c>
      <c r="V2743">
        <v>-0.1852008</v>
      </c>
      <c r="W2743">
        <v>0.15007219999999999</v>
      </c>
      <c r="X2743">
        <v>0.97117410000000004</v>
      </c>
      <c r="Y2743">
        <v>-0.32513710000000001</v>
      </c>
      <c r="Z2743">
        <v>5.8989390000000003E-2</v>
      </c>
      <c r="AA2743">
        <v>0.94382520000000003</v>
      </c>
      <c r="AB2743">
        <v>27</v>
      </c>
      <c r="AC2743">
        <v>2.3500999999999901</v>
      </c>
      <c r="AD2743">
        <v>-1.1250088059359999</v>
      </c>
      <c r="AE2743">
        <v>-14.6442999999999</v>
      </c>
      <c r="AF2743">
        <v>-4.8538050702841602</v>
      </c>
      <c r="AG2743">
        <v>-1.1250088059359999</v>
      </c>
      <c r="AH2743">
        <v>13.9251376460779</v>
      </c>
      <c r="AI2743">
        <v>94.362541740004005</v>
      </c>
      <c r="AJ2743">
        <v>109.21672810597001</v>
      </c>
      <c r="AK2743">
        <v>14.789676363462601</v>
      </c>
      <c r="AL2743">
        <v>81.368889906894395</v>
      </c>
      <c r="AM2743">
        <v>100.79655214763601</v>
      </c>
      <c r="AN2743">
        <v>1.0000000670221401</v>
      </c>
    </row>
    <row r="2744" spans="1:40" x14ac:dyDescent="0.25">
      <c r="A2744" t="str">
        <f>"20190303162308557"</f>
        <v>20190303162308557</v>
      </c>
      <c r="B2744" t="str">
        <f>"1551601388546993"</f>
        <v>1551601388546993</v>
      </c>
      <c r="C2744" t="s">
        <v>40</v>
      </c>
      <c r="D2744">
        <v>5.8626889999999996</v>
      </c>
      <c r="E2744">
        <v>0.44197959999999897</v>
      </c>
      <c r="F2744" t="s">
        <v>41</v>
      </c>
      <c r="G2744">
        <v>-488.82080000000002</v>
      </c>
      <c r="H2744" s="1">
        <v>-2.8159480000000001E-6</v>
      </c>
      <c r="I2744">
        <v>245.70920000000001</v>
      </c>
      <c r="J2744">
        <v>-491.25450000000001</v>
      </c>
      <c r="K2744">
        <v>1.124992</v>
      </c>
      <c r="L2744">
        <v>259.76589999999999</v>
      </c>
      <c r="M2744">
        <v>-0.16258010000000001</v>
      </c>
      <c r="N2744">
        <v>-1.229076E-2</v>
      </c>
      <c r="O2744">
        <v>-0.98661880000000002</v>
      </c>
      <c r="P2744">
        <v>2.255683E-2</v>
      </c>
      <c r="Q2744">
        <v>0.1410959</v>
      </c>
      <c r="R2744">
        <v>-0.98973900000000004</v>
      </c>
      <c r="S2744">
        <v>0.49151610000000001</v>
      </c>
      <c r="T2744">
        <v>-0.23532429999999999</v>
      </c>
      <c r="U2744">
        <v>-3.058319</v>
      </c>
      <c r="V2744">
        <v>-0.18475069999999999</v>
      </c>
      <c r="W2744">
        <v>0.1511441</v>
      </c>
      <c r="X2744">
        <v>0.97109350000000005</v>
      </c>
      <c r="Y2744">
        <v>-0.31662309999999999</v>
      </c>
      <c r="Z2744">
        <v>6.032237E-2</v>
      </c>
      <c r="AA2744">
        <v>0.94663140000000001</v>
      </c>
      <c r="AB2744">
        <v>27</v>
      </c>
      <c r="AC2744">
        <v>2.43369999999998</v>
      </c>
      <c r="AD2744">
        <v>-1.1249948159480001</v>
      </c>
      <c r="AE2744">
        <v>-14.0566999999999</v>
      </c>
      <c r="AF2744">
        <v>-4.6578615008695996</v>
      </c>
      <c r="AG2744">
        <v>-1.1249948159480001</v>
      </c>
      <c r="AH2744">
        <v>13.390676894960301</v>
      </c>
      <c r="AI2744">
        <v>94.536905462124906</v>
      </c>
      <c r="AJ2744">
        <v>109.179904077766</v>
      </c>
      <c r="AK2744">
        <v>14.222219053383199</v>
      </c>
      <c r="AL2744">
        <v>81.306765122988807</v>
      </c>
      <c r="AM2744">
        <v>100.771800524505</v>
      </c>
      <c r="AN2744">
        <v>0.99999997292877396</v>
      </c>
    </row>
    <row r="2745" spans="1:40" x14ac:dyDescent="0.25">
      <c r="A2745" t="str">
        <f>"20190303162308580"</f>
        <v>20190303162308580</v>
      </c>
      <c r="B2745" t="str">
        <f>"1551601388567490"</f>
        <v>1551601388567490</v>
      </c>
      <c r="C2745" t="s">
        <v>40</v>
      </c>
      <c r="D2745">
        <v>5.8944070000000002</v>
      </c>
      <c r="E2745">
        <v>0.44300040000000002</v>
      </c>
      <c r="F2745" t="s">
        <v>41</v>
      </c>
      <c r="G2745">
        <v>-488.75920000000002</v>
      </c>
      <c r="H2745" s="1">
        <v>-2.526902E-6</v>
      </c>
      <c r="I2745">
        <v>245.01</v>
      </c>
      <c r="J2745">
        <v>-491.29109999999997</v>
      </c>
      <c r="K2745">
        <v>1.124941</v>
      </c>
      <c r="L2745">
        <v>259.50420000000003</v>
      </c>
      <c r="M2745">
        <v>-0.15672700000000001</v>
      </c>
      <c r="N2745">
        <v>-1.228837E-2</v>
      </c>
      <c r="O2745">
        <v>-0.98756549999999999</v>
      </c>
      <c r="P2745">
        <v>2.398349E-2</v>
      </c>
      <c r="Q2745">
        <v>0.13851869999999999</v>
      </c>
      <c r="R2745">
        <v>-0.99006939999999999</v>
      </c>
      <c r="S2745">
        <v>0.51620480000000002</v>
      </c>
      <c r="T2745">
        <v>-0.23272190000000001</v>
      </c>
      <c r="U2745">
        <v>-3.0524900000000001</v>
      </c>
      <c r="V2745">
        <v>-0.18039810000000001</v>
      </c>
      <c r="W2745">
        <v>0.14864169999999999</v>
      </c>
      <c r="X2745">
        <v>0.97229739999999998</v>
      </c>
      <c r="Y2745">
        <v>-0.31874249999999998</v>
      </c>
      <c r="Z2745">
        <v>5.9690819999999999E-2</v>
      </c>
      <c r="AA2745">
        <v>0.94596000000000002</v>
      </c>
      <c r="AB2745">
        <v>27</v>
      </c>
      <c r="AC2745">
        <v>2.5318999999999501</v>
      </c>
      <c r="AD2745">
        <v>-1.1249435269020001</v>
      </c>
      <c r="AE2745">
        <v>-14.494199999999999</v>
      </c>
      <c r="AF2745">
        <v>-4.7446751555325202</v>
      </c>
      <c r="AG2745">
        <v>-1.1249435269020001</v>
      </c>
      <c r="AH2745">
        <v>13.837320318371599</v>
      </c>
      <c r="AI2745">
        <v>94.397535790658907</v>
      </c>
      <c r="AJ2745">
        <v>108.926315584137</v>
      </c>
      <c r="AK2745">
        <v>14.671362372440599</v>
      </c>
      <c r="AL2745">
        <v>81.451780981850305</v>
      </c>
      <c r="AM2745">
        <v>100.511019470305</v>
      </c>
      <c r="AN2745">
        <v>1.00000003175462</v>
      </c>
    </row>
    <row r="2746" spans="1:40" x14ac:dyDescent="0.25">
      <c r="A2746" t="str">
        <f>"20190303162308602"</f>
        <v>20190303162308602</v>
      </c>
      <c r="B2746" t="str">
        <f>"1551601388597745"</f>
        <v>1551601388597745</v>
      </c>
      <c r="C2746" t="s">
        <v>40</v>
      </c>
      <c r="D2746">
        <v>5.8277469999999996</v>
      </c>
      <c r="E2746">
        <v>0.44396600000000003</v>
      </c>
      <c r="F2746" t="s">
        <v>41</v>
      </c>
      <c r="G2746">
        <v>-488.86509999999998</v>
      </c>
      <c r="H2746" s="1">
        <v>-2.5625270000000001E-6</v>
      </c>
      <c r="I2746">
        <v>245.13679999999999</v>
      </c>
      <c r="J2746">
        <v>-491.32650000000001</v>
      </c>
      <c r="K2746">
        <v>1.1248610000000001</v>
      </c>
      <c r="L2746">
        <v>259.23989999999998</v>
      </c>
      <c r="M2746">
        <v>-0.15094250000000001</v>
      </c>
      <c r="N2746">
        <v>-1.22834E-2</v>
      </c>
      <c r="O2746">
        <v>-0.98846610000000001</v>
      </c>
      <c r="P2746">
        <v>2.3570239999999999E-2</v>
      </c>
      <c r="Q2746">
        <v>0.13637089999999999</v>
      </c>
      <c r="R2746">
        <v>-0.99037739999999996</v>
      </c>
      <c r="S2746">
        <v>0.51516720000000005</v>
      </c>
      <c r="T2746">
        <v>-0.23889170000000001</v>
      </c>
      <c r="U2746">
        <v>-3.0510250000000001</v>
      </c>
      <c r="V2746">
        <v>-0.17428199999999999</v>
      </c>
      <c r="W2746">
        <v>0.14660100000000001</v>
      </c>
      <c r="X2746">
        <v>0.97372170000000002</v>
      </c>
      <c r="Y2746">
        <v>-0.31292829999999999</v>
      </c>
      <c r="Z2746">
        <v>6.1821769999999998E-2</v>
      </c>
      <c r="AA2746">
        <v>0.94776260000000001</v>
      </c>
      <c r="AB2746">
        <v>27</v>
      </c>
      <c r="AC2746">
        <v>2.4614000000000198</v>
      </c>
      <c r="AD2746">
        <v>-1.124863562527</v>
      </c>
      <c r="AE2746">
        <v>-14.1030999999999</v>
      </c>
      <c r="AF2746">
        <v>-4.53412048703699</v>
      </c>
      <c r="AG2746">
        <v>-1.124863562527</v>
      </c>
      <c r="AH2746">
        <v>13.486670390719301</v>
      </c>
      <c r="AI2746">
        <v>94.520253815374403</v>
      </c>
      <c r="AJ2746">
        <v>108.582270155915</v>
      </c>
      <c r="AK2746">
        <v>14.272835907876701</v>
      </c>
      <c r="AL2746">
        <v>81.569999513415397</v>
      </c>
      <c r="AM2746">
        <v>100.147657682779</v>
      </c>
      <c r="AN2746">
        <v>1.0000000088879399</v>
      </c>
    </row>
    <row r="2747" spans="1:40" x14ac:dyDescent="0.25">
      <c r="A2747" t="str">
        <f>"20190303162308625"</f>
        <v>20190303162308625</v>
      </c>
      <c r="B2747" t="str">
        <f>"1551601388617540"</f>
        <v>1551601388617540</v>
      </c>
      <c r="C2747" t="s">
        <v>40</v>
      </c>
      <c r="D2747">
        <v>5.863181</v>
      </c>
      <c r="E2747">
        <v>0.44482709999999998</v>
      </c>
      <c r="F2747" t="s">
        <v>41</v>
      </c>
      <c r="G2747">
        <v>-488.9753</v>
      </c>
      <c r="H2747" s="1">
        <v>-2.5562569999999999E-6</v>
      </c>
      <c r="I2747">
        <v>245.1678</v>
      </c>
      <c r="J2747">
        <v>-491.35969999999998</v>
      </c>
      <c r="K2747">
        <v>1.124728</v>
      </c>
      <c r="L2747">
        <v>258.98239999999998</v>
      </c>
      <c r="M2747">
        <v>-0.1455321</v>
      </c>
      <c r="N2747">
        <v>-1.2273920000000001E-2</v>
      </c>
      <c r="O2747">
        <v>-0.98927730000000003</v>
      </c>
      <c r="P2747">
        <v>2.20056E-2</v>
      </c>
      <c r="Q2747">
        <v>0.13669870000000001</v>
      </c>
      <c r="R2747">
        <v>-0.99036849999999998</v>
      </c>
      <c r="S2747">
        <v>0.50970459999999995</v>
      </c>
      <c r="T2747">
        <v>-0.2438534</v>
      </c>
      <c r="U2747">
        <v>-3.0506289999999998</v>
      </c>
      <c r="V2747">
        <v>-0.167349</v>
      </c>
      <c r="W2747">
        <v>0.1470571</v>
      </c>
      <c r="X2747">
        <v>0.97486850000000003</v>
      </c>
      <c r="Y2747">
        <v>-0.3060775</v>
      </c>
      <c r="Z2747">
        <v>6.3578159999999995E-2</v>
      </c>
      <c r="AA2747">
        <v>0.94988130000000004</v>
      </c>
      <c r="AB2747">
        <v>27</v>
      </c>
      <c r="AC2747">
        <v>2.3843999999999701</v>
      </c>
      <c r="AD2747">
        <v>-1.124730556257</v>
      </c>
      <c r="AE2747">
        <v>-13.814599999999899</v>
      </c>
      <c r="AF2747">
        <v>-4.3416834591615698</v>
      </c>
      <c r="AG2747">
        <v>-1.124730556257</v>
      </c>
      <c r="AH2747">
        <v>13.235274977471001</v>
      </c>
      <c r="AI2747">
        <v>94.616402096882098</v>
      </c>
      <c r="AJ2747">
        <v>108.161496559338</v>
      </c>
      <c r="AK2747">
        <v>13.9745389123579</v>
      </c>
      <c r="AL2747">
        <v>81.543580802476896</v>
      </c>
      <c r="AM2747">
        <v>99.740634837534103</v>
      </c>
      <c r="AN2747">
        <v>1.0000000353768199</v>
      </c>
    </row>
    <row r="2748" spans="1:40" x14ac:dyDescent="0.25">
      <c r="A2748" t="str">
        <f>"20190303162308647"</f>
        <v>20190303162308647</v>
      </c>
      <c r="B2748" t="str">
        <f>"1551601388637060"</f>
        <v>1551601388637060</v>
      </c>
      <c r="C2748" t="s">
        <v>40</v>
      </c>
      <c r="D2748">
        <v>5.9022670000000002</v>
      </c>
      <c r="E2748">
        <v>0.44571060000000001</v>
      </c>
      <c r="F2748" t="s">
        <v>41</v>
      </c>
      <c r="G2748">
        <v>-488.9982</v>
      </c>
      <c r="H2748" s="1">
        <v>-2.333216E-6</v>
      </c>
      <c r="I2748">
        <v>244.65729999999999</v>
      </c>
      <c r="J2748">
        <v>-491.39249999999998</v>
      </c>
      <c r="K2748">
        <v>1.1245259999999999</v>
      </c>
      <c r="L2748">
        <v>258.71699999999998</v>
      </c>
      <c r="M2748">
        <v>-0.14026140000000001</v>
      </c>
      <c r="N2748">
        <v>-1.2259539999999999E-2</v>
      </c>
      <c r="O2748">
        <v>-0.99003859999999999</v>
      </c>
      <c r="P2748">
        <v>2.131597E-2</v>
      </c>
      <c r="Q2748">
        <v>0.137793</v>
      </c>
      <c r="R2748">
        <v>-0.99023139999999998</v>
      </c>
      <c r="S2748">
        <v>0.50296019999999997</v>
      </c>
      <c r="T2748">
        <v>-0.2395552</v>
      </c>
      <c r="U2748">
        <v>-3.0510709999999999</v>
      </c>
      <c r="V2748">
        <v>-0.1613812</v>
      </c>
      <c r="W2748">
        <v>0.1482842</v>
      </c>
      <c r="X2748">
        <v>0.97568840000000001</v>
      </c>
      <c r="Y2748">
        <v>-0.29895379999999999</v>
      </c>
      <c r="Z2748">
        <v>6.2447849999999999E-2</v>
      </c>
      <c r="AA2748">
        <v>0.95222200000000001</v>
      </c>
      <c r="AB2748">
        <v>27</v>
      </c>
      <c r="AC2748">
        <v>2.3942999999999799</v>
      </c>
      <c r="AD2748">
        <v>-1.1245283332160001</v>
      </c>
      <c r="AE2748">
        <v>-14.0596999999999</v>
      </c>
      <c r="AF2748">
        <v>-4.3159770710054497</v>
      </c>
      <c r="AG2748">
        <v>-1.1245283332160001</v>
      </c>
      <c r="AH2748">
        <v>13.500905211434199</v>
      </c>
      <c r="AI2748">
        <v>94.536198606506503</v>
      </c>
      <c r="AJ2748">
        <v>107.728068125305</v>
      </c>
      <c r="AK2748">
        <v>14.2185323988723</v>
      </c>
      <c r="AL2748">
        <v>81.472493272725998</v>
      </c>
      <c r="AM2748">
        <v>99.391828235516599</v>
      </c>
      <c r="AN2748">
        <v>0.99999997478881897</v>
      </c>
    </row>
    <row r="2749" spans="1:40" x14ac:dyDescent="0.25">
      <c r="A2749" t="str">
        <f>"20190303162308669"</f>
        <v>20190303162308669</v>
      </c>
      <c r="B2749" t="str">
        <f>"1551601388657556"</f>
        <v>1551601388657556</v>
      </c>
      <c r="C2749" t="s">
        <v>40</v>
      </c>
      <c r="D2749">
        <v>5.86449</v>
      </c>
      <c r="E2749">
        <v>0.44634780000000002</v>
      </c>
      <c r="F2749" t="s">
        <v>41</v>
      </c>
      <c r="G2749">
        <v>-489.07600000000002</v>
      </c>
      <c r="H2749" s="1">
        <v>-2.2399719999999998E-6</v>
      </c>
      <c r="I2749">
        <v>244.47210000000001</v>
      </c>
      <c r="J2749">
        <v>-491.42329999999998</v>
      </c>
      <c r="K2749">
        <v>1.1243050000000001</v>
      </c>
      <c r="L2749">
        <v>258.46120000000002</v>
      </c>
      <c r="M2749">
        <v>-0.1354592</v>
      </c>
      <c r="N2749">
        <v>-1.2244089999999999E-2</v>
      </c>
      <c r="O2749">
        <v>-0.99070729999999996</v>
      </c>
      <c r="P2749">
        <v>2.3255459999999999E-2</v>
      </c>
      <c r="Q2749">
        <v>0.13889979999999999</v>
      </c>
      <c r="R2749">
        <v>-0.99003350000000001</v>
      </c>
      <c r="S2749">
        <v>0.49639889999999998</v>
      </c>
      <c r="T2749">
        <v>-0.24096500000000001</v>
      </c>
      <c r="U2749">
        <v>-3.0524140000000002</v>
      </c>
      <c r="V2749">
        <v>-0.1584631</v>
      </c>
      <c r="W2749">
        <v>0.14949179999999901</v>
      </c>
      <c r="X2749">
        <v>0.97598240000000003</v>
      </c>
      <c r="Y2749">
        <v>-0.2922575</v>
      </c>
      <c r="Z2749">
        <v>6.3048499999999993E-2</v>
      </c>
      <c r="AA2749">
        <v>0.95425910000000003</v>
      </c>
      <c r="AB2749">
        <v>27</v>
      </c>
      <c r="AC2749">
        <v>2.3473000000000099</v>
      </c>
      <c r="AD2749">
        <v>-1.124307239972</v>
      </c>
      <c r="AE2749">
        <v>-13.989100000000001</v>
      </c>
      <c r="AF2749">
        <v>-4.1944044889771703</v>
      </c>
      <c r="AG2749">
        <v>-1.124307239972</v>
      </c>
      <c r="AH2749">
        <v>13.457607513612301</v>
      </c>
      <c r="AI2749">
        <v>94.560264550215095</v>
      </c>
      <c r="AJ2749">
        <v>107.310969049126</v>
      </c>
      <c r="AK2749">
        <v>14.140873232493099</v>
      </c>
      <c r="AL2749">
        <v>81.402523206242805</v>
      </c>
      <c r="AM2749">
        <v>99.222219601124607</v>
      </c>
      <c r="AN2749">
        <v>0.99999999871930501</v>
      </c>
    </row>
    <row r="2750" spans="1:40" x14ac:dyDescent="0.25">
      <c r="A2750" t="str">
        <f>"20190303162308691"</f>
        <v>20190303162308691</v>
      </c>
      <c r="B2750" t="str">
        <f>"1551601388686836"</f>
        <v>1551601388686836</v>
      </c>
      <c r="C2750" t="s">
        <v>40</v>
      </c>
      <c r="D2750">
        <v>5.8099800000000004</v>
      </c>
      <c r="E2750">
        <v>0.4471542</v>
      </c>
      <c r="F2750" t="s">
        <v>41</v>
      </c>
      <c r="G2750">
        <v>-489.07569999999998</v>
      </c>
      <c r="H2750" s="1">
        <v>-2.0363989999999999E-6</v>
      </c>
      <c r="I2750">
        <v>243.9975</v>
      </c>
      <c r="J2750">
        <v>-491.45409999999998</v>
      </c>
      <c r="K2750">
        <v>1.1240319999999999</v>
      </c>
      <c r="L2750">
        <v>258.197</v>
      </c>
      <c r="M2750">
        <v>-0.13090879999999999</v>
      </c>
      <c r="N2750">
        <v>-1.222696E-2</v>
      </c>
      <c r="O2750">
        <v>-0.99131910000000001</v>
      </c>
      <c r="P2750">
        <v>2.8548239999999999E-2</v>
      </c>
      <c r="Q2750">
        <v>0.13902509999999901</v>
      </c>
      <c r="R2750">
        <v>-0.98987760000000002</v>
      </c>
      <c r="S2750">
        <v>0.49533080000000002</v>
      </c>
      <c r="T2750">
        <v>-0.23722979999999999</v>
      </c>
      <c r="U2750">
        <v>-3.0518489999999998</v>
      </c>
      <c r="V2750">
        <v>-0.15909889999999999</v>
      </c>
      <c r="W2750">
        <v>0.14969969999999999</v>
      </c>
      <c r="X2750">
        <v>0.97584709999999997</v>
      </c>
      <c r="Y2750">
        <v>-0.28758210000000001</v>
      </c>
      <c r="Z2750">
        <v>6.2048880000000001E-2</v>
      </c>
      <c r="AA2750">
        <v>0.95574389999999998</v>
      </c>
      <c r="AB2750">
        <v>27</v>
      </c>
      <c r="AC2750">
        <v>2.3783999999999899</v>
      </c>
      <c r="AD2750">
        <v>-1.124034036399</v>
      </c>
      <c r="AE2750">
        <v>-14.1995</v>
      </c>
      <c r="AF2750">
        <v>-4.1913600592198996</v>
      </c>
      <c r="AG2750">
        <v>-1.124034036399</v>
      </c>
      <c r="AH2750">
        <v>13.6825107239597</v>
      </c>
      <c r="AI2750">
        <v>94.491268438896299</v>
      </c>
      <c r="AJ2750">
        <v>107.03138465769899</v>
      </c>
      <c r="AK2750">
        <v>14.354164948623</v>
      </c>
      <c r="AL2750">
        <v>81.390475957393093</v>
      </c>
      <c r="AM2750">
        <v>99.259843742796505</v>
      </c>
      <c r="AN2750">
        <v>1.00000001136985</v>
      </c>
    </row>
    <row r="2751" spans="1:40" x14ac:dyDescent="0.25">
      <c r="A2751" t="str">
        <f>"20190303162308715"</f>
        <v>20190303162308715</v>
      </c>
      <c r="B2751" t="str">
        <f>"1551601388707332"</f>
        <v>1551601388707332</v>
      </c>
      <c r="C2751" t="s">
        <v>40</v>
      </c>
      <c r="D2751">
        <v>5.8724949999999998</v>
      </c>
      <c r="E2751">
        <v>0.44756950000000001</v>
      </c>
      <c r="F2751" t="s">
        <v>41</v>
      </c>
      <c r="G2751">
        <v>-489.10750000000002</v>
      </c>
      <c r="H2751" s="1">
        <v>-1.974189E-6</v>
      </c>
      <c r="I2751">
        <v>243.8656</v>
      </c>
      <c r="J2751">
        <v>-491.48509999999999</v>
      </c>
      <c r="K2751">
        <v>1.123661</v>
      </c>
      <c r="L2751">
        <v>257.92540000000002</v>
      </c>
      <c r="M2751">
        <v>-0.12682769999999999</v>
      </c>
      <c r="N2751">
        <v>-1.220304E-2</v>
      </c>
      <c r="O2751">
        <v>-0.99184969999999995</v>
      </c>
      <c r="P2751">
        <v>3.7348039999999999E-2</v>
      </c>
      <c r="Q2751">
        <v>0.13962269999999999</v>
      </c>
      <c r="R2751">
        <v>-0.98950039999999995</v>
      </c>
      <c r="S2751">
        <v>0.49938959999999999</v>
      </c>
      <c r="T2751">
        <v>-0.239203</v>
      </c>
      <c r="U2751">
        <v>-3.0498349999999999</v>
      </c>
      <c r="V2751">
        <v>-0.1636222</v>
      </c>
      <c r="W2751">
        <v>0.15037529999999999</v>
      </c>
      <c r="X2751">
        <v>0.9749949</v>
      </c>
      <c r="Y2751">
        <v>-0.28497169999999999</v>
      </c>
      <c r="Z2751">
        <v>6.2824489999999997E-2</v>
      </c>
      <c r="AA2751">
        <v>0.95647490000000002</v>
      </c>
      <c r="AB2751">
        <v>27</v>
      </c>
      <c r="AC2751">
        <v>2.37759999999997</v>
      </c>
      <c r="AD2751">
        <v>-1.1236629741890001</v>
      </c>
      <c r="AE2751">
        <v>-14.059799999999999</v>
      </c>
      <c r="AF2751">
        <v>-4.1161424263099997</v>
      </c>
      <c r="AG2751">
        <v>-1.1236629741890001</v>
      </c>
      <c r="AH2751">
        <v>13.5604727225757</v>
      </c>
      <c r="AI2751">
        <v>94.5335432825173</v>
      </c>
      <c r="AJ2751">
        <v>106.885128928413</v>
      </c>
      <c r="AK2751">
        <v>14.215894886110901</v>
      </c>
      <c r="AL2751">
        <v>81.351323682667498</v>
      </c>
      <c r="AM2751">
        <v>99.526522774873897</v>
      </c>
      <c r="AN2751">
        <v>1.00000000510447</v>
      </c>
    </row>
    <row r="2752" spans="1:40" x14ac:dyDescent="0.25">
      <c r="A2752" t="str">
        <f>"20190303162308737"</f>
        <v>20190303162308737</v>
      </c>
      <c r="B2752" t="str">
        <f>"1551601388726852"</f>
        <v>1551601388726852</v>
      </c>
      <c r="C2752" t="s">
        <v>40</v>
      </c>
      <c r="D2752">
        <v>5.8150209999999998</v>
      </c>
      <c r="E2752">
        <v>0.44800820000000002</v>
      </c>
      <c r="F2752" t="s">
        <v>41</v>
      </c>
      <c r="G2752">
        <v>-489.06389999999999</v>
      </c>
      <c r="H2752" s="1">
        <v>-1.9025199999999999E-6</v>
      </c>
      <c r="I2752">
        <v>243.68049999999999</v>
      </c>
      <c r="J2752">
        <v>-491.5145</v>
      </c>
      <c r="K2752">
        <v>1.1232040000000001</v>
      </c>
      <c r="L2752">
        <v>257.66399999999999</v>
      </c>
      <c r="M2752">
        <v>-0.123568899999999</v>
      </c>
      <c r="N2752">
        <v>-1.2172570000000001E-2</v>
      </c>
      <c r="O2752">
        <v>-0.99226139999999996</v>
      </c>
      <c r="P2752">
        <v>4.6184959999999997E-2</v>
      </c>
      <c r="Q2752">
        <v>0.138377</v>
      </c>
      <c r="R2752">
        <v>-0.98930229999999997</v>
      </c>
      <c r="S2752">
        <v>0.51776120000000003</v>
      </c>
      <c r="T2752">
        <v>-0.2402939</v>
      </c>
      <c r="U2752">
        <v>-3.0462340000000001</v>
      </c>
      <c r="V2752">
        <v>-0.16898450000000001</v>
      </c>
      <c r="W2752">
        <v>0.1492367</v>
      </c>
      <c r="X2752">
        <v>0.97425490000000003</v>
      </c>
      <c r="Y2752">
        <v>-0.28760809999999998</v>
      </c>
      <c r="Z2752">
        <v>6.326271E-2</v>
      </c>
      <c r="AA2752">
        <v>0.95565650000000002</v>
      </c>
      <c r="AB2752">
        <v>27</v>
      </c>
      <c r="AC2752">
        <v>2.4506000000000001</v>
      </c>
      <c r="AD2752">
        <v>-1.1232059025200001</v>
      </c>
      <c r="AE2752">
        <v>-13.9834999999999</v>
      </c>
      <c r="AF2752">
        <v>-4.1339921161423803</v>
      </c>
      <c r="AG2752">
        <v>-1.1232059025200001</v>
      </c>
      <c r="AH2752">
        <v>13.489037546528399</v>
      </c>
      <c r="AI2752">
        <v>94.551896633051598</v>
      </c>
      <c r="AJ2752">
        <v>107.03875717336</v>
      </c>
      <c r="AK2752">
        <v>14.152936665139</v>
      </c>
      <c r="AL2752">
        <v>81.417305035874307</v>
      </c>
      <c r="AM2752">
        <v>99.840052661738198</v>
      </c>
      <c r="AN2752">
        <v>0.99999998202057405</v>
      </c>
    </row>
    <row r="2753" spans="1:40" x14ac:dyDescent="0.25">
      <c r="A2753" t="str">
        <f>"20190303162308758"</f>
        <v>20190303162308758</v>
      </c>
      <c r="B2753" t="str">
        <f>"1551601388747348"</f>
        <v>1551601388747348</v>
      </c>
      <c r="C2753" t="s">
        <v>40</v>
      </c>
      <c r="D2753">
        <v>5.7037529999999999</v>
      </c>
      <c r="E2753">
        <v>0.44823010000000002</v>
      </c>
      <c r="F2753" t="s">
        <v>41</v>
      </c>
      <c r="G2753">
        <v>-489.05189999999999</v>
      </c>
      <c r="H2753" s="1">
        <v>-1.9383250000000002E-6</v>
      </c>
      <c r="I2753">
        <v>243.75899999999999</v>
      </c>
      <c r="J2753">
        <v>-491.5419</v>
      </c>
      <c r="K2753">
        <v>1.122711</v>
      </c>
      <c r="L2753">
        <v>257.42020000000002</v>
      </c>
      <c r="M2753">
        <v>-0.12116879999999999</v>
      </c>
      <c r="N2753">
        <v>-1.214018E-2</v>
      </c>
      <c r="O2753">
        <v>-0.99255769999999999</v>
      </c>
      <c r="P2753">
        <v>5.4511789999999997E-2</v>
      </c>
      <c r="Q2753">
        <v>0.13471449999999999</v>
      </c>
      <c r="R2753">
        <v>-0.98938409999999999</v>
      </c>
      <c r="S2753">
        <v>0.53869630000000002</v>
      </c>
      <c r="T2753">
        <v>-0.24569650000000001</v>
      </c>
      <c r="U2753">
        <v>-3.0416560000000001</v>
      </c>
      <c r="V2753">
        <v>-0.17470649999999999</v>
      </c>
      <c r="W2753">
        <v>0.14570620000000001</v>
      </c>
      <c r="X2753">
        <v>0.97377990000000003</v>
      </c>
      <c r="Y2753">
        <v>-0.29188629999999999</v>
      </c>
      <c r="Z2753">
        <v>6.5034540000000002E-2</v>
      </c>
      <c r="AA2753">
        <v>0.95423939999999996</v>
      </c>
      <c r="AB2753">
        <v>27</v>
      </c>
      <c r="AC2753">
        <v>2.4900000000000002</v>
      </c>
      <c r="AD2753">
        <v>-1.1227129383249901</v>
      </c>
      <c r="AE2753">
        <v>-13.661199999999999</v>
      </c>
      <c r="AF2753">
        <v>-4.1002811411657101</v>
      </c>
      <c r="AG2753">
        <v>-1.1227129383249901</v>
      </c>
      <c r="AH2753">
        <v>13.172688271093399</v>
      </c>
      <c r="AI2753">
        <v>94.652425813401805</v>
      </c>
      <c r="AJ2753">
        <v>107.28987148850401</v>
      </c>
      <c r="AK2753">
        <v>13.8416944795745</v>
      </c>
      <c r="AL2753">
        <v>81.621823997723695</v>
      </c>
      <c r="AM2753">
        <v>100.17126368640901</v>
      </c>
      <c r="AN2753">
        <v>0.999999975752349</v>
      </c>
    </row>
    <row r="2754" spans="1:40" x14ac:dyDescent="0.25">
      <c r="A2754" t="str">
        <f>"20190303162308780"</f>
        <v>20190303162308780</v>
      </c>
      <c r="B2754" t="str">
        <f>"1551601388766869"</f>
        <v>1551601388766869</v>
      </c>
      <c r="C2754" t="s">
        <v>40</v>
      </c>
      <c r="D2754">
        <v>5.86991</v>
      </c>
      <c r="E2754">
        <v>0.44874789999999998</v>
      </c>
      <c r="F2754" t="s">
        <v>41</v>
      </c>
      <c r="G2754">
        <v>-489.0994</v>
      </c>
      <c r="H2754" s="1">
        <v>-2.1183830000000001E-6</v>
      </c>
      <c r="I2754">
        <v>244.19839999999999</v>
      </c>
      <c r="J2754">
        <v>-491.572</v>
      </c>
      <c r="K2754">
        <v>1.1221570000000001</v>
      </c>
      <c r="L2754">
        <v>257.15309999999999</v>
      </c>
      <c r="M2754">
        <v>-0.1192371</v>
      </c>
      <c r="N2754">
        <v>-1.210425E-2</v>
      </c>
      <c r="O2754">
        <v>-0.99279220000000001</v>
      </c>
      <c r="P2754">
        <v>6.1832770000000002E-2</v>
      </c>
      <c r="Q2754">
        <v>0.1330142</v>
      </c>
      <c r="R2754">
        <v>-0.98918379999999995</v>
      </c>
      <c r="S2754">
        <v>0.56091309999999905</v>
      </c>
      <c r="T2754">
        <v>-0.25782850000000002</v>
      </c>
      <c r="U2754">
        <v>-3.036362</v>
      </c>
      <c r="V2754">
        <v>-0.17985009999999901</v>
      </c>
      <c r="W2754">
        <v>0.1441789</v>
      </c>
      <c r="X2754">
        <v>0.97307060000000001</v>
      </c>
      <c r="Y2754">
        <v>-0.29700890000000002</v>
      </c>
      <c r="Z2754">
        <v>6.8909789999999999E-2</v>
      </c>
      <c r="AA2754">
        <v>0.95238489999999998</v>
      </c>
      <c r="AB2754">
        <v>27</v>
      </c>
      <c r="AC2754">
        <v>2.47259999999994</v>
      </c>
      <c r="AD2754">
        <v>-1.122159118383</v>
      </c>
      <c r="AE2754">
        <v>-12.954700000000001</v>
      </c>
      <c r="AF2754">
        <v>-3.9710027085071702</v>
      </c>
      <c r="AG2754">
        <v>-1.122159118383</v>
      </c>
      <c r="AH2754">
        <v>12.4770888324264</v>
      </c>
      <c r="AI2754">
        <v>94.898382856846595</v>
      </c>
      <c r="AJ2754">
        <v>107.65437701133099</v>
      </c>
      <c r="AK2754">
        <v>13.141759750132399</v>
      </c>
      <c r="AL2754">
        <v>81.710266020668101</v>
      </c>
      <c r="AM2754">
        <v>100.471655343385</v>
      </c>
      <c r="AN2754">
        <v>1.00000000312979</v>
      </c>
    </row>
    <row r="2755" spans="1:40" x14ac:dyDescent="0.25">
      <c r="A2755" t="str">
        <f>"20190303162308804"</f>
        <v>20190303162308804</v>
      </c>
      <c r="B2755" t="str">
        <f>"1551601388797124"</f>
        <v>1551601388797124</v>
      </c>
      <c r="C2755" t="s">
        <v>40</v>
      </c>
      <c r="D2755">
        <v>5.8710139999999997</v>
      </c>
      <c r="E2755">
        <v>0.44928709999999999</v>
      </c>
      <c r="F2755" t="s">
        <v>41</v>
      </c>
      <c r="G2755">
        <v>-489.11070000000001</v>
      </c>
      <c r="H2755" s="1">
        <v>-2.130648E-6</v>
      </c>
      <c r="I2755">
        <v>244.23159999999999</v>
      </c>
      <c r="J2755">
        <v>-491.60329999999999</v>
      </c>
      <c r="K2755">
        <v>1.1216219999999999</v>
      </c>
      <c r="L2755">
        <v>256.87810000000002</v>
      </c>
      <c r="M2755">
        <v>-0.118017</v>
      </c>
      <c r="N2755">
        <v>-1.206989E-2</v>
      </c>
      <c r="O2755">
        <v>-0.99293830000000005</v>
      </c>
      <c r="P2755">
        <v>6.7728750000000004E-2</v>
      </c>
      <c r="Q2755">
        <v>0.13514909999999999</v>
      </c>
      <c r="R2755">
        <v>-0.98850789999999999</v>
      </c>
      <c r="S2755">
        <v>0.57757569999999903</v>
      </c>
      <c r="T2755">
        <v>-0.26332509999999998</v>
      </c>
      <c r="U2755">
        <v>-3.0321349999999998</v>
      </c>
      <c r="V2755">
        <v>-0.1842425</v>
      </c>
      <c r="W2755">
        <v>0.14649200000000001</v>
      </c>
      <c r="X2755">
        <v>0.97190270000000001</v>
      </c>
      <c r="Y2755">
        <v>-0.30109629999999998</v>
      </c>
      <c r="Z2755">
        <v>7.0695330000000001E-2</v>
      </c>
      <c r="AA2755">
        <v>0.95096959999999997</v>
      </c>
      <c r="AB2755">
        <v>27</v>
      </c>
      <c r="AC2755">
        <v>2.4925999999999799</v>
      </c>
      <c r="AD2755">
        <v>-1.1216241306479999</v>
      </c>
      <c r="AE2755">
        <v>-12.6465</v>
      </c>
      <c r="AF2755">
        <v>-3.9379709691398102</v>
      </c>
      <c r="AG2755">
        <v>-1.1216241306479999</v>
      </c>
      <c r="AH2755">
        <v>12.1717546626586</v>
      </c>
      <c r="AI2755">
        <v>95.010610197226995</v>
      </c>
      <c r="AJ2755">
        <v>107.92813428548</v>
      </c>
      <c r="AK2755">
        <v>12.8420118210579</v>
      </c>
      <c r="AL2755">
        <v>81.576313106621399</v>
      </c>
      <c r="AM2755">
        <v>100.73412413888801</v>
      </c>
      <c r="AN2755">
        <v>1.0000000315687601</v>
      </c>
    </row>
    <row r="2756" spans="1:40" x14ac:dyDescent="0.25">
      <c r="A2756" t="str">
        <f>"20190303162308825"</f>
        <v>20190303162308825</v>
      </c>
      <c r="B2756" t="str">
        <f>"1551601388817620"</f>
        <v>1551601388817620</v>
      </c>
      <c r="C2756" t="s">
        <v>40</v>
      </c>
      <c r="D2756">
        <v>5.8813630000000003</v>
      </c>
      <c r="E2756">
        <v>0.46336319999999998</v>
      </c>
      <c r="F2756" t="s">
        <v>41</v>
      </c>
      <c r="G2756">
        <v>-489.0607</v>
      </c>
      <c r="H2756" s="1">
        <v>-1.9525559999999998E-6</v>
      </c>
      <c r="I2756">
        <v>243.79589999999999</v>
      </c>
      <c r="J2756">
        <v>-491.63260000000002</v>
      </c>
      <c r="K2756">
        <v>1.121213</v>
      </c>
      <c r="L2756">
        <v>256.62459999999999</v>
      </c>
      <c r="M2756">
        <v>-0.1174973</v>
      </c>
      <c r="N2756">
        <v>-1.204004E-2</v>
      </c>
      <c r="O2756">
        <v>-0.9930002</v>
      </c>
      <c r="P2756">
        <v>7.0166649999999997E-2</v>
      </c>
      <c r="Q2756">
        <v>0.13803270000000001</v>
      </c>
      <c r="R2756">
        <v>-0.98793909999999996</v>
      </c>
      <c r="S2756">
        <v>0.58889769999999997</v>
      </c>
      <c r="T2756">
        <v>-0.25978269999999998</v>
      </c>
      <c r="U2756">
        <v>-3.030014</v>
      </c>
      <c r="V2756">
        <v>-0.1859421</v>
      </c>
      <c r="W2756">
        <v>0.1495215</v>
      </c>
      <c r="X2756">
        <v>0.97111729999999996</v>
      </c>
      <c r="Y2756">
        <v>-0.30415989999999998</v>
      </c>
      <c r="Z2756">
        <v>6.9609569999999996E-2</v>
      </c>
      <c r="AA2756">
        <v>0.95007430000000004</v>
      </c>
      <c r="AB2756">
        <v>27</v>
      </c>
      <c r="AC2756">
        <v>2.5719000000000198</v>
      </c>
      <c r="AD2756">
        <v>-1.121214952556</v>
      </c>
      <c r="AE2756">
        <v>-12.8286999999999</v>
      </c>
      <c r="AF2756">
        <v>-4.0319211508012804</v>
      </c>
      <c r="AG2756">
        <v>-1.121214952556</v>
      </c>
      <c r="AH2756">
        <v>12.346943154909299</v>
      </c>
      <c r="AI2756">
        <v>94.933718095999893</v>
      </c>
      <c r="AJ2756">
        <v>108.08456183322799</v>
      </c>
      <c r="AK2756">
        <v>13.036890595793</v>
      </c>
      <c r="AL2756">
        <v>81.400801989746498</v>
      </c>
      <c r="AM2756">
        <v>100.83936457115701</v>
      </c>
      <c r="AN2756">
        <v>0.99999997693697396</v>
      </c>
    </row>
    <row r="2757" spans="1:40" x14ac:dyDescent="0.25">
      <c r="A2757" t="str">
        <f>"20190303162308847"</f>
        <v>20190303162308847</v>
      </c>
      <c r="B2757" t="str">
        <f>"1551601388837140"</f>
        <v>1551601388837140</v>
      </c>
      <c r="C2757" t="s">
        <v>40</v>
      </c>
      <c r="D2757">
        <v>5.7721730000000004</v>
      </c>
      <c r="E2757">
        <v>0.46383659999999999</v>
      </c>
      <c r="F2757" t="s">
        <v>41</v>
      </c>
      <c r="G2757">
        <v>-489.04320000000001</v>
      </c>
      <c r="H2757" s="1">
        <v>-5.3359929999999996E-7</v>
      </c>
      <c r="I2757">
        <v>240.46789999999999</v>
      </c>
      <c r="J2757">
        <v>-491.66329999999999</v>
      </c>
      <c r="K2757">
        <v>1.1208979999999999</v>
      </c>
      <c r="L2757">
        <v>256.3614</v>
      </c>
      <c r="M2757">
        <v>-0.117392899999999</v>
      </c>
      <c r="N2757">
        <v>-1.2009280000000001E-2</v>
      </c>
      <c r="O2757">
        <v>-0.99301309999999998</v>
      </c>
      <c r="P2757">
        <v>6.9876610000000006E-2</v>
      </c>
      <c r="Q2757">
        <v>0.14058590000000001</v>
      </c>
      <c r="R2757">
        <v>-0.98759949999999996</v>
      </c>
      <c r="S2757">
        <v>0.48587039999999998</v>
      </c>
      <c r="T2757">
        <v>-0.21037610000000001</v>
      </c>
      <c r="U2757">
        <v>-3.0315089999999998</v>
      </c>
      <c r="V2757">
        <v>-0.18539720000000001</v>
      </c>
      <c r="W2757">
        <v>0.15218480000000001</v>
      </c>
      <c r="X2757">
        <v>0.97080770000000005</v>
      </c>
      <c r="Y2757">
        <v>-0.27270640000000002</v>
      </c>
      <c r="Z2757">
        <v>5.467524E-2</v>
      </c>
      <c r="AA2757">
        <v>0.96054240000000002</v>
      </c>
      <c r="AB2757">
        <v>27</v>
      </c>
      <c r="AC2757">
        <v>2.6200999999999701</v>
      </c>
      <c r="AD2757">
        <v>-1.1208985335993</v>
      </c>
      <c r="AE2757">
        <v>-15.8935</v>
      </c>
      <c r="AF2757">
        <v>-4.4463686492842101</v>
      </c>
      <c r="AG2757">
        <v>-1.1208985335993</v>
      </c>
      <c r="AH2757">
        <v>15.4014083632865</v>
      </c>
      <c r="AI2757">
        <v>93.999801158583907</v>
      </c>
      <c r="AJ2757">
        <v>106.103367212083</v>
      </c>
      <c r="AK2757">
        <v>16.0695360001673</v>
      </c>
      <c r="AL2757">
        <v>81.246439467009495</v>
      </c>
      <c r="AM2757">
        <v>100.811714949722</v>
      </c>
      <c r="AN2757">
        <v>0.99999996274908398</v>
      </c>
    </row>
    <row r="2758" spans="1:40" x14ac:dyDescent="0.25">
      <c r="A2758" t="str">
        <f>"20190303162308870"</f>
        <v>20190303162308870</v>
      </c>
      <c r="B2758" t="str">
        <f>"1551601388857636"</f>
        <v>1551601388857636</v>
      </c>
      <c r="C2758" t="s">
        <v>40</v>
      </c>
      <c r="D2758">
        <v>5.9239499999999996</v>
      </c>
      <c r="E2758">
        <v>0.4652307</v>
      </c>
      <c r="F2758" t="s">
        <v>41</v>
      </c>
      <c r="G2758">
        <v>-488.97340000000003</v>
      </c>
      <c r="H2758" s="1">
        <v>-4.4254059999999998E-6</v>
      </c>
      <c r="I2758">
        <v>239.524</v>
      </c>
      <c r="J2758">
        <v>-491.69400000000002</v>
      </c>
      <c r="K2758">
        <v>1.1207039999999999</v>
      </c>
      <c r="L2758">
        <v>256.10149999999999</v>
      </c>
      <c r="M2758">
        <v>-0.1175953</v>
      </c>
      <c r="N2758">
        <v>-1.197935E-2</v>
      </c>
      <c r="O2758">
        <v>-0.99298949999999997</v>
      </c>
      <c r="P2758">
        <v>6.7794240000000006E-2</v>
      </c>
      <c r="Q2758">
        <v>0.14278170000000001</v>
      </c>
      <c r="R2758">
        <v>-0.98742969999999997</v>
      </c>
      <c r="S2758">
        <v>0.48440549999999999</v>
      </c>
      <c r="T2758">
        <v>-0.20185690000000001</v>
      </c>
      <c r="U2758">
        <v>-3.0321349999999998</v>
      </c>
      <c r="V2758">
        <v>-0.18342910000000001</v>
      </c>
      <c r="W2758">
        <v>0.1544461</v>
      </c>
      <c r="X2758">
        <v>0.97082449999999998</v>
      </c>
      <c r="Y2758">
        <v>-0.2724472</v>
      </c>
      <c r="Z2758">
        <v>5.2000940000000002E-2</v>
      </c>
      <c r="AA2758">
        <v>0.96076450000000002</v>
      </c>
      <c r="AB2758">
        <v>27</v>
      </c>
      <c r="AC2758">
        <v>2.7205999999999899</v>
      </c>
      <c r="AD2758">
        <v>-1.120708425406</v>
      </c>
      <c r="AE2758">
        <v>-16.577499999999901</v>
      </c>
      <c r="AF2758">
        <v>-4.6306876692479104</v>
      </c>
      <c r="AG2758">
        <v>-1.120708425406</v>
      </c>
      <c r="AH2758">
        <v>16.070986210527</v>
      </c>
      <c r="AI2758">
        <v>93.833582884130806</v>
      </c>
      <c r="AJ2758">
        <v>106.073786568668</v>
      </c>
      <c r="AK2758">
        <v>16.762334367379999</v>
      </c>
      <c r="AL2758">
        <v>81.1153268977734</v>
      </c>
      <c r="AM2758">
        <v>100.69942483170701</v>
      </c>
      <c r="AN2758">
        <v>1.00000002116613</v>
      </c>
    </row>
    <row r="2759" spans="1:40" x14ac:dyDescent="0.25">
      <c r="A2759" t="str">
        <f>"20190303162308893"</f>
        <v>20190303162308893</v>
      </c>
      <c r="B2759" t="str">
        <f>"1551601388886917"</f>
        <v>1551601388886917</v>
      </c>
      <c r="C2759" t="s">
        <v>40</v>
      </c>
      <c r="D2759">
        <v>5.9263870000000001</v>
      </c>
      <c r="E2759">
        <v>0.47173009999999899</v>
      </c>
      <c r="F2759" t="s">
        <v>41</v>
      </c>
      <c r="G2759">
        <v>-489.03919999999999</v>
      </c>
      <c r="H2759" s="1">
        <v>-4.1548469999999998E-6</v>
      </c>
      <c r="I2759">
        <v>238.9205</v>
      </c>
      <c r="J2759">
        <v>-491.72669999999999</v>
      </c>
      <c r="K2759">
        <v>1.120584</v>
      </c>
      <c r="L2759">
        <v>255.82579999999999</v>
      </c>
      <c r="M2759">
        <v>-0.1180031</v>
      </c>
      <c r="N2759">
        <v>-1.195012E-2</v>
      </c>
      <c r="O2759">
        <v>-0.99294139999999997</v>
      </c>
      <c r="P2759">
        <v>6.5109730000000005E-2</v>
      </c>
      <c r="Q2759">
        <v>0.1454519</v>
      </c>
      <c r="R2759">
        <v>-0.98722100000000002</v>
      </c>
      <c r="S2759">
        <v>0.4689026</v>
      </c>
      <c r="T2759">
        <v>-0.19794709999999999</v>
      </c>
      <c r="U2759">
        <v>-3.0346220000000002</v>
      </c>
      <c r="V2759">
        <v>-0.18108679999999999</v>
      </c>
      <c r="W2759">
        <v>0.15714739999999999</v>
      </c>
      <c r="X2759">
        <v>0.97083070000000005</v>
      </c>
      <c r="Y2759">
        <v>-0.26794089999999998</v>
      </c>
      <c r="Z2759">
        <v>5.0807270000000002E-2</v>
      </c>
      <c r="AA2759">
        <v>0.96209469999999997</v>
      </c>
      <c r="AB2759">
        <v>27</v>
      </c>
      <c r="AC2759">
        <v>2.6875</v>
      </c>
      <c r="AD2759">
        <v>-1.120588154847</v>
      </c>
      <c r="AE2759">
        <v>-16.905299999999901</v>
      </c>
      <c r="AF2759">
        <v>-4.6438390393183298</v>
      </c>
      <c r="AG2759">
        <v>-1.120588154847</v>
      </c>
      <c r="AH2759">
        <v>16.399731713361199</v>
      </c>
      <c r="AI2759">
        <v>93.761479893457306</v>
      </c>
      <c r="AJ2759">
        <v>105.81029462641401</v>
      </c>
      <c r="AK2759">
        <v>17.081339499761299</v>
      </c>
      <c r="AL2759">
        <v>80.958640210605395</v>
      </c>
      <c r="AM2759">
        <v>100.565828117591</v>
      </c>
      <c r="AN2759">
        <v>0.99999999126174499</v>
      </c>
    </row>
    <row r="2760" spans="1:40" x14ac:dyDescent="0.25">
      <c r="A2760" t="str">
        <f>"20190303162308918"</f>
        <v>20190303162308918</v>
      </c>
      <c r="B2760" t="str">
        <f>"1551601388907412"</f>
        <v>1551601388907412</v>
      </c>
      <c r="C2760" t="s">
        <v>40</v>
      </c>
      <c r="D2760">
        <v>5.7148019999999997</v>
      </c>
      <c r="E2760">
        <v>0.48439870000000002</v>
      </c>
      <c r="F2760" t="s">
        <v>41</v>
      </c>
      <c r="G2760">
        <v>-489.21539999999999</v>
      </c>
      <c r="H2760" s="1">
        <v>-3.4483429999999998E-6</v>
      </c>
      <c r="I2760">
        <v>237.34649999999999</v>
      </c>
      <c r="J2760">
        <v>-491.76080000000002</v>
      </c>
      <c r="K2760">
        <v>1.120528</v>
      </c>
      <c r="L2760">
        <v>255.54079999999999</v>
      </c>
      <c r="M2760">
        <v>-0.11847489999999999</v>
      </c>
      <c r="N2760">
        <v>-1.192356E-2</v>
      </c>
      <c r="O2760">
        <v>-0.99288549999999998</v>
      </c>
      <c r="P2760">
        <v>6.0123410000000002E-2</v>
      </c>
      <c r="Q2760">
        <v>0.1470832</v>
      </c>
      <c r="R2760">
        <v>-0.98729529999999999</v>
      </c>
      <c r="S2760">
        <v>0.41296389999999999</v>
      </c>
      <c r="T2760">
        <v>-0.1842695</v>
      </c>
      <c r="U2760">
        <v>-3.0387420000000001</v>
      </c>
      <c r="V2760">
        <v>-0.17657809999999999</v>
      </c>
      <c r="W2760">
        <v>0.15878829999999999</v>
      </c>
      <c r="X2760">
        <v>0.97139410000000004</v>
      </c>
      <c r="Y2760">
        <v>-0.2508589</v>
      </c>
      <c r="Z2760">
        <v>4.6649339999999997E-2</v>
      </c>
      <c r="AA2760">
        <v>0.96689899999999995</v>
      </c>
      <c r="AB2760">
        <v>27</v>
      </c>
      <c r="AC2760">
        <v>2.5454000000000199</v>
      </c>
      <c r="AD2760">
        <v>-1.120531448343</v>
      </c>
      <c r="AE2760">
        <v>-18.194299999999998</v>
      </c>
      <c r="AF2760">
        <v>-4.6658337764600404</v>
      </c>
      <c r="AG2760">
        <v>-1.120531448343</v>
      </c>
      <c r="AH2760">
        <v>17.698711001226702</v>
      </c>
      <c r="AI2760">
        <v>93.503267334176698</v>
      </c>
      <c r="AJ2760">
        <v>104.768623317418</v>
      </c>
      <c r="AK2760">
        <v>18.337665245641901</v>
      </c>
      <c r="AL2760">
        <v>80.863428392214502</v>
      </c>
      <c r="AM2760">
        <v>100.302619206153</v>
      </c>
      <c r="AN2760">
        <v>1.0000000235656501</v>
      </c>
    </row>
    <row r="2761" spans="1:40" x14ac:dyDescent="0.25">
      <c r="A2761" t="str">
        <f>"20190303162308937"</f>
        <v>20190303162308937</v>
      </c>
      <c r="B2761" t="str">
        <f>"1551601388926933"</f>
        <v>1551601388926933</v>
      </c>
      <c r="C2761" t="s">
        <v>40</v>
      </c>
      <c r="D2761">
        <v>5.9230299999999998</v>
      </c>
      <c r="E2761">
        <v>0.48598140000000001</v>
      </c>
      <c r="F2761" t="s">
        <v>41</v>
      </c>
      <c r="G2761">
        <v>-489.90449999999998</v>
      </c>
      <c r="H2761" s="1">
        <v>-3.0264960000000001E-6</v>
      </c>
      <c r="I2761">
        <v>236.6481</v>
      </c>
      <c r="J2761">
        <v>-491.78969999999998</v>
      </c>
      <c r="K2761">
        <v>1.12052</v>
      </c>
      <c r="L2761">
        <v>255.3013</v>
      </c>
      <c r="M2761">
        <v>-0.1188013</v>
      </c>
      <c r="N2761">
        <v>-1.190415E-2</v>
      </c>
      <c r="O2761">
        <v>-0.99284700000000004</v>
      </c>
      <c r="P2761">
        <v>5.5949899999999997E-2</v>
      </c>
      <c r="Q2761">
        <v>0.14729149999999999</v>
      </c>
      <c r="R2761">
        <v>-0.98750979999999999</v>
      </c>
      <c r="S2761">
        <v>0.29940800000000001</v>
      </c>
      <c r="T2761">
        <v>-0.18073520000000001</v>
      </c>
      <c r="U2761">
        <v>-3.047272</v>
      </c>
      <c r="V2761">
        <v>-0.17277529999999999</v>
      </c>
      <c r="W2761">
        <v>0.1589874</v>
      </c>
      <c r="X2761">
        <v>0.9720451</v>
      </c>
      <c r="Y2761">
        <v>-0.21513479999999999</v>
      </c>
      <c r="Z2761">
        <v>4.5787609999999999E-2</v>
      </c>
      <c r="AA2761">
        <v>0.9755104</v>
      </c>
      <c r="AB2761">
        <v>27</v>
      </c>
      <c r="AC2761">
        <v>1.88519999999999</v>
      </c>
      <c r="AD2761">
        <v>-1.120523026496</v>
      </c>
      <c r="AE2761">
        <v>-18.653199999999998</v>
      </c>
      <c r="AF2761">
        <v>-4.0734771720727299</v>
      </c>
      <c r="AG2761">
        <v>-1.120523026496</v>
      </c>
      <c r="AH2761">
        <v>18.231974125689</v>
      </c>
      <c r="AI2761">
        <v>93.432510592934605</v>
      </c>
      <c r="AJ2761">
        <v>102.594457102557</v>
      </c>
      <c r="AK2761">
        <v>18.7150652855955</v>
      </c>
      <c r="AL2761">
        <v>80.851873686440797</v>
      </c>
      <c r="AM2761">
        <v>100.078728557912</v>
      </c>
      <c r="AN2761">
        <v>0.99999998704142901</v>
      </c>
    </row>
    <row r="2762" spans="1:40" x14ac:dyDescent="0.25">
      <c r="A2762" t="str">
        <f>"20190303162308961"</f>
        <v>20190303162308961</v>
      </c>
      <c r="B2762" t="str">
        <f>"1551601388947429"</f>
        <v>1551601388947429</v>
      </c>
      <c r="C2762" t="s">
        <v>40</v>
      </c>
      <c r="D2762">
        <v>5.9142999999999999</v>
      </c>
      <c r="E2762">
        <v>0.48697590000000002</v>
      </c>
      <c r="F2762" t="s">
        <v>41</v>
      </c>
      <c r="G2762">
        <v>-490.0301</v>
      </c>
      <c r="H2762" s="1">
        <v>-2.639851E-6</v>
      </c>
      <c r="I2762">
        <v>235.72399999999999</v>
      </c>
      <c r="J2762">
        <v>-491.82190000000003</v>
      </c>
      <c r="K2762">
        <v>1.1205480000000001</v>
      </c>
      <c r="L2762">
        <v>255.0334</v>
      </c>
      <c r="M2762">
        <v>-0.11904820000000001</v>
      </c>
      <c r="N2762">
        <v>-1.18852E-2</v>
      </c>
      <c r="O2762">
        <v>-0.99281739999999996</v>
      </c>
      <c r="P2762">
        <v>5.3521470000000002E-2</v>
      </c>
      <c r="Q2762">
        <v>0.14671439999999999</v>
      </c>
      <c r="R2762">
        <v>-0.98773</v>
      </c>
      <c r="S2762">
        <v>0.27398679999999997</v>
      </c>
      <c r="T2762">
        <v>-0.1744791</v>
      </c>
      <c r="U2762">
        <v>-3.0484309999999999</v>
      </c>
      <c r="V2762">
        <v>-0.17064560000000001</v>
      </c>
      <c r="W2762">
        <v>0.158382</v>
      </c>
      <c r="X2762">
        <v>0.9725201</v>
      </c>
      <c r="Y2762">
        <v>-0.20728530000000001</v>
      </c>
      <c r="Z2762">
        <v>4.3865479999999998E-2</v>
      </c>
      <c r="AA2762">
        <v>0.97729659999999996</v>
      </c>
      <c r="AB2762">
        <v>27</v>
      </c>
      <c r="AC2762">
        <v>1.79180000000002</v>
      </c>
      <c r="AD2762">
        <v>-1.1205506398509999</v>
      </c>
      <c r="AE2762">
        <v>-19.309399999999901</v>
      </c>
      <c r="AF2762">
        <v>-4.0643967506618397</v>
      </c>
      <c r="AG2762">
        <v>-1.1205506398509999</v>
      </c>
      <c r="AH2762">
        <v>18.895645230615699</v>
      </c>
      <c r="AI2762">
        <v>93.318068200096704</v>
      </c>
      <c r="AJ2762">
        <v>102.139192632156</v>
      </c>
      <c r="AK2762">
        <v>19.3602779774608</v>
      </c>
      <c r="AL2762">
        <v>80.887006386458793</v>
      </c>
      <c r="AM2762">
        <v>99.952229242236001</v>
      </c>
      <c r="AN2762">
        <v>1.00000006181368</v>
      </c>
    </row>
    <row r="2763" spans="1:40" x14ac:dyDescent="0.25">
      <c r="A2763" t="str">
        <f>"20190303162308981"</f>
        <v>20190303162308981</v>
      </c>
      <c r="B2763" t="str">
        <f>"1551601388977684"</f>
        <v>1551601388977684</v>
      </c>
      <c r="C2763" t="s">
        <v>40</v>
      </c>
      <c r="D2763">
        <v>5.915972</v>
      </c>
      <c r="E2763">
        <v>0.48775770000000002</v>
      </c>
      <c r="F2763" t="s">
        <v>41</v>
      </c>
      <c r="G2763">
        <v>-490.29169999999999</v>
      </c>
      <c r="H2763" s="1">
        <v>-3.1907300000000002E-6</v>
      </c>
      <c r="I2763">
        <v>236.8458</v>
      </c>
      <c r="J2763">
        <v>-491.85199999999998</v>
      </c>
      <c r="K2763">
        <v>1.1206069999999999</v>
      </c>
      <c r="L2763">
        <v>254.7834</v>
      </c>
      <c r="M2763">
        <v>-0.11914379999999999</v>
      </c>
      <c r="N2763">
        <v>-1.186999E-2</v>
      </c>
      <c r="O2763">
        <v>-0.99280630000000003</v>
      </c>
      <c r="P2763">
        <v>5.2801529999999999E-2</v>
      </c>
      <c r="Q2763">
        <v>0.14732509999999999</v>
      </c>
      <c r="R2763">
        <v>-0.9876781</v>
      </c>
      <c r="S2763">
        <v>0.25671389999999999</v>
      </c>
      <c r="T2763">
        <v>-0.18799189999999999</v>
      </c>
      <c r="U2763">
        <v>-3.0512700000000001</v>
      </c>
      <c r="V2763">
        <v>-0.1700451</v>
      </c>
      <c r="W2763">
        <v>0.15894929999999999</v>
      </c>
      <c r="X2763">
        <v>0.97253259999999997</v>
      </c>
      <c r="Y2763">
        <v>-0.20178450000000001</v>
      </c>
      <c r="Z2763">
        <v>4.8186769999999997E-2</v>
      </c>
      <c r="AA2763">
        <v>0.97824390000000006</v>
      </c>
      <c r="AB2763">
        <v>27</v>
      </c>
      <c r="AC2763">
        <v>1.56029999999998</v>
      </c>
      <c r="AD2763">
        <v>-1.1206101907299999</v>
      </c>
      <c r="AE2763">
        <v>-17.9376</v>
      </c>
      <c r="AF2763">
        <v>-3.67226368810379</v>
      </c>
      <c r="AG2763">
        <v>-1.1206101907299999</v>
      </c>
      <c r="AH2763">
        <v>17.555896234698999</v>
      </c>
      <c r="AI2763">
        <v>93.575122159635399</v>
      </c>
      <c r="AJ2763">
        <v>101.814527548874</v>
      </c>
      <c r="AK2763">
        <v>17.970831377486501</v>
      </c>
      <c r="AL2763">
        <v>80.854084311257296</v>
      </c>
      <c r="AM2763">
        <v>99.917779107512402</v>
      </c>
      <c r="AN2763">
        <v>0.99999993703362799</v>
      </c>
    </row>
    <row r="2764" spans="1:40" x14ac:dyDescent="0.25">
      <c r="A2764" t="str">
        <f>"20190303162309005"</f>
        <v>20190303162309005</v>
      </c>
      <c r="B2764" t="str">
        <f>"1551601388997204"</f>
        <v>1551601388997204</v>
      </c>
      <c r="C2764" t="s">
        <v>40</v>
      </c>
      <c r="D2764">
        <v>5.9169109999999998</v>
      </c>
      <c r="E2764">
        <v>0.48819109999999999</v>
      </c>
      <c r="F2764" t="s">
        <v>41</v>
      </c>
      <c r="G2764">
        <v>-490.40050000000002</v>
      </c>
      <c r="H2764" s="1">
        <v>-3.1830490000000001E-6</v>
      </c>
      <c r="I2764">
        <v>236.76050000000001</v>
      </c>
      <c r="J2764">
        <v>-491.8845</v>
      </c>
      <c r="K2764">
        <v>1.120716</v>
      </c>
      <c r="L2764">
        <v>254.51249999999999</v>
      </c>
      <c r="M2764">
        <v>-0.1190832</v>
      </c>
      <c r="N2764">
        <v>-1.185605E-2</v>
      </c>
      <c r="O2764">
        <v>-0.99281379999999997</v>
      </c>
      <c r="P2764">
        <v>5.2379879999999997E-2</v>
      </c>
      <c r="Q2764">
        <v>0.14934339999999999</v>
      </c>
      <c r="R2764">
        <v>-0.98739730000000003</v>
      </c>
      <c r="S2764">
        <v>0.2458496</v>
      </c>
      <c r="T2764">
        <v>-0.18980350000000001</v>
      </c>
      <c r="U2764">
        <v>-3.0526279999999999</v>
      </c>
      <c r="V2764">
        <v>-0.16957469999999999</v>
      </c>
      <c r="W2764">
        <v>0.16090650000000001</v>
      </c>
      <c r="X2764">
        <v>0.97229299999999996</v>
      </c>
      <c r="Y2764">
        <v>-0.1982276</v>
      </c>
      <c r="Z2764">
        <v>4.8785889999999998E-2</v>
      </c>
      <c r="AA2764">
        <v>0.97894110000000001</v>
      </c>
      <c r="AB2764">
        <v>27</v>
      </c>
      <c r="AC2764">
        <v>1.48399999999998</v>
      </c>
      <c r="AD2764">
        <v>-1.120719183049</v>
      </c>
      <c r="AE2764">
        <v>-17.751999999999899</v>
      </c>
      <c r="AF2764">
        <v>-3.57340818259852</v>
      </c>
      <c r="AG2764">
        <v>-1.120719183049</v>
      </c>
      <c r="AH2764">
        <v>17.380141728648798</v>
      </c>
      <c r="AI2764">
        <v>93.614089842382398</v>
      </c>
      <c r="AJ2764">
        <v>101.61827479306</v>
      </c>
      <c r="AK2764">
        <v>17.779049019411399</v>
      </c>
      <c r="AL2764">
        <v>80.740484113309705</v>
      </c>
      <c r="AM2764">
        <v>99.893275100859398</v>
      </c>
      <c r="AN2764">
        <v>1.00000007923566</v>
      </c>
    </row>
    <row r="2765" spans="1:40" x14ac:dyDescent="0.25">
      <c r="A2765" t="str">
        <f>"20190303162309026"</f>
        <v>20190303162309026</v>
      </c>
      <c r="B2765" t="str">
        <f>"1551601389016725"</f>
        <v>1551601389016725</v>
      </c>
      <c r="C2765" t="s">
        <v>40</v>
      </c>
      <c r="D2765">
        <v>5.9742989999999896</v>
      </c>
      <c r="E2765">
        <v>0.48803760000000002</v>
      </c>
      <c r="F2765" t="s">
        <v>41</v>
      </c>
      <c r="G2765">
        <v>-490.43360000000001</v>
      </c>
      <c r="H2765" s="1">
        <v>-2.8824429999999998E-6</v>
      </c>
      <c r="I2765">
        <v>236.03919999999999</v>
      </c>
      <c r="J2765">
        <v>-491.91550000000001</v>
      </c>
      <c r="K2765">
        <v>1.120833</v>
      </c>
      <c r="L2765">
        <v>254.2527</v>
      </c>
      <c r="M2765">
        <v>-0.11885800000000001</v>
      </c>
      <c r="N2765">
        <v>-1.1845069999999999E-2</v>
      </c>
      <c r="O2765">
        <v>-0.99284059999999996</v>
      </c>
      <c r="P2765">
        <v>5.3153449999999998E-2</v>
      </c>
      <c r="Q2765">
        <v>0.1500445</v>
      </c>
      <c r="R2765">
        <v>-0.9872493</v>
      </c>
      <c r="S2765">
        <v>0.23983760000000001</v>
      </c>
      <c r="T2765">
        <v>-0.1852528</v>
      </c>
      <c r="U2765">
        <v>-3.0535890000000001</v>
      </c>
      <c r="V2765">
        <v>-0.17015150000000001</v>
      </c>
      <c r="W2765">
        <v>0.16154549999999901</v>
      </c>
      <c r="X2765">
        <v>0.97208620000000001</v>
      </c>
      <c r="Y2765">
        <v>-0.19607340000000001</v>
      </c>
      <c r="Z2765">
        <v>4.7349589999999997E-2</v>
      </c>
      <c r="AA2765">
        <v>0.97944540000000002</v>
      </c>
      <c r="AB2765">
        <v>27</v>
      </c>
      <c r="AC2765">
        <v>1.48189999999999</v>
      </c>
      <c r="AD2765">
        <v>-1.120835882443</v>
      </c>
      <c r="AE2765">
        <v>-18.2135</v>
      </c>
      <c r="AF2765">
        <v>-3.6227366612394198</v>
      </c>
      <c r="AG2765">
        <v>-1.120835882443</v>
      </c>
      <c r="AH2765">
        <v>17.841102844921501</v>
      </c>
      <c r="AI2765">
        <v>93.523071562439796</v>
      </c>
      <c r="AJ2765">
        <v>101.47817506151399</v>
      </c>
      <c r="AK2765">
        <v>18.2396667928755</v>
      </c>
      <c r="AL2765">
        <v>80.703386333627506</v>
      </c>
      <c r="AM2765">
        <v>99.928328053276104</v>
      </c>
      <c r="AN2765">
        <v>1.0000000308764601</v>
      </c>
    </row>
    <row r="2766" spans="1:40" x14ac:dyDescent="0.25">
      <c r="A2766" t="str">
        <f>"20190303162309047"</f>
        <v>20190303162309047</v>
      </c>
      <c r="B2766" t="str">
        <f>"1551601389037220"</f>
        <v>1551601389037220</v>
      </c>
      <c r="C2766" t="s">
        <v>40</v>
      </c>
      <c r="D2766">
        <v>5.97424</v>
      </c>
      <c r="E2766">
        <v>0.48796699999999998</v>
      </c>
      <c r="F2766" t="s">
        <v>41</v>
      </c>
      <c r="G2766">
        <v>-490.44970000000001</v>
      </c>
      <c r="H2766" s="1">
        <v>-2.7564840000000002E-6</v>
      </c>
      <c r="I2766">
        <v>235.73560000000001</v>
      </c>
      <c r="J2766">
        <v>-491.94540000000001</v>
      </c>
      <c r="K2766">
        <v>1.12094</v>
      </c>
      <c r="L2766">
        <v>254.00040000000001</v>
      </c>
      <c r="M2766">
        <v>-0.11850960000000001</v>
      </c>
      <c r="N2766">
        <v>-1.18359E-2</v>
      </c>
      <c r="O2766">
        <v>-0.9928825</v>
      </c>
      <c r="P2766">
        <v>5.5014840000000002E-2</v>
      </c>
      <c r="Q2766">
        <v>0.1497484</v>
      </c>
      <c r="R2766">
        <v>-0.98719270000000003</v>
      </c>
      <c r="S2766">
        <v>0.24172969999999999</v>
      </c>
      <c r="T2766">
        <v>-0.18484829999999999</v>
      </c>
      <c r="U2766">
        <v>-3.053833</v>
      </c>
      <c r="V2766">
        <v>-0.17169519999999999</v>
      </c>
      <c r="W2766">
        <v>0.16118969999999999</v>
      </c>
      <c r="X2766">
        <v>0.97187380000000001</v>
      </c>
      <c r="Y2766">
        <v>-0.1963268</v>
      </c>
      <c r="Z2766">
        <v>4.7225700000000002E-2</v>
      </c>
      <c r="AA2766">
        <v>0.97940059999999995</v>
      </c>
      <c r="AB2766">
        <v>27</v>
      </c>
      <c r="AC2766">
        <v>1.49569999999999</v>
      </c>
      <c r="AD2766">
        <v>-1.120942756484</v>
      </c>
      <c r="AE2766">
        <v>-18.264800000000001</v>
      </c>
      <c r="AF2766">
        <v>-3.6362589534032801</v>
      </c>
      <c r="AG2766">
        <v>-1.120942756484</v>
      </c>
      <c r="AH2766">
        <v>17.8918603380821</v>
      </c>
      <c r="AI2766">
        <v>93.513313270233596</v>
      </c>
      <c r="AJ2766">
        <v>101.488064682239</v>
      </c>
      <c r="AK2766">
        <v>18.2920080416818</v>
      </c>
      <c r="AL2766">
        <v>80.724042806560504</v>
      </c>
      <c r="AM2766">
        <v>100.018731415452</v>
      </c>
      <c r="AN2766">
        <v>1.0000000221077801</v>
      </c>
    </row>
    <row r="2767" spans="1:40" x14ac:dyDescent="0.25">
      <c r="A2767" t="str">
        <f>"20190303162309083"</f>
        <v>20190303162309083</v>
      </c>
      <c r="B2767" t="str">
        <f>"1551601389077237"</f>
        <v>1551601389077237</v>
      </c>
      <c r="C2767" t="s">
        <v>40</v>
      </c>
      <c r="D2767">
        <v>5.9643139999999999</v>
      </c>
      <c r="E2767">
        <v>0.4878131</v>
      </c>
      <c r="F2767" t="s">
        <v>41</v>
      </c>
      <c r="G2767">
        <v>-490.48239999999998</v>
      </c>
      <c r="H2767" s="1">
        <v>-2.8200070000000001E-6</v>
      </c>
      <c r="I2767">
        <v>235.86340000000001</v>
      </c>
      <c r="J2767">
        <v>-491.9939</v>
      </c>
      <c r="K2767">
        <v>1.121113</v>
      </c>
      <c r="L2767">
        <v>253.5874</v>
      </c>
      <c r="M2767">
        <v>-0.1176997</v>
      </c>
      <c r="N2767">
        <v>-1.182338E-2</v>
      </c>
      <c r="O2767">
        <v>-0.99297899999999995</v>
      </c>
      <c r="P2767">
        <v>5.7678380000000001E-2</v>
      </c>
      <c r="Q2767">
        <v>0.1507839</v>
      </c>
      <c r="R2767">
        <v>-0.98688279999999995</v>
      </c>
      <c r="S2767">
        <v>0.2463379</v>
      </c>
      <c r="T2767">
        <v>-0.18874079999999999</v>
      </c>
      <c r="U2767">
        <v>-3.0538479999999999</v>
      </c>
      <c r="V2767">
        <v>-0.17357639999999999</v>
      </c>
      <c r="W2767">
        <v>0.16213559999999999</v>
      </c>
      <c r="X2767">
        <v>0.97138210000000003</v>
      </c>
      <c r="Y2767">
        <v>-0.19698850000000001</v>
      </c>
      <c r="Z2767">
        <v>4.8479179999999997E-2</v>
      </c>
      <c r="AA2767">
        <v>0.97920640000000003</v>
      </c>
      <c r="AB2767">
        <v>27</v>
      </c>
      <c r="AC2767">
        <v>1.5115000000000101</v>
      </c>
      <c r="AD2767">
        <v>-1.1211158200069999</v>
      </c>
      <c r="AE2767">
        <v>-17.723999999999901</v>
      </c>
      <c r="AF2767">
        <v>-3.5730545703025198</v>
      </c>
      <c r="AG2767">
        <v>-1.1211158200069999</v>
      </c>
      <c r="AH2767">
        <v>17.3539386580768</v>
      </c>
      <c r="AI2767">
        <v>93.620603167846895</v>
      </c>
      <c r="AJ2767">
        <v>101.634219470589</v>
      </c>
      <c r="AK2767">
        <v>17.753388594646399</v>
      </c>
      <c r="AL2767">
        <v>80.669123672797198</v>
      </c>
      <c r="AM2767">
        <v>100.131262799642</v>
      </c>
      <c r="AN2767">
        <v>0.99999995181236301</v>
      </c>
    </row>
    <row r="2768" spans="1:40" x14ac:dyDescent="0.25">
      <c r="A2768" t="str">
        <f>"20190303162309104"</f>
        <v>20190303162309104</v>
      </c>
      <c r="B2768" t="str">
        <f>"1551601389096758"</f>
        <v>1551601389096758</v>
      </c>
      <c r="C2768" t="s">
        <v>40</v>
      </c>
      <c r="D2768">
        <v>5.978275</v>
      </c>
      <c r="E2768">
        <v>0.48770150000000001</v>
      </c>
      <c r="F2768" t="s">
        <v>41</v>
      </c>
      <c r="G2768">
        <v>-490.48469999999998</v>
      </c>
      <c r="H2768" s="1">
        <v>-2.6823339999999998E-6</v>
      </c>
      <c r="I2768">
        <v>235.5411</v>
      </c>
      <c r="J2768">
        <v>-492.02390000000003</v>
      </c>
      <c r="K2768">
        <v>1.1212150000000001</v>
      </c>
      <c r="L2768">
        <v>253.32859999999999</v>
      </c>
      <c r="M2768">
        <v>-0.1170489</v>
      </c>
      <c r="N2768">
        <v>-1.18172E-2</v>
      </c>
      <c r="O2768">
        <v>-0.99305580000000004</v>
      </c>
      <c r="P2768">
        <v>5.8284450000000002E-2</v>
      </c>
      <c r="Q2768">
        <v>0.1517598</v>
      </c>
      <c r="R2768">
        <v>-0.9866973</v>
      </c>
      <c r="S2768">
        <v>0.25540160000000001</v>
      </c>
      <c r="T2768">
        <v>-0.18972539999999999</v>
      </c>
      <c r="U2768">
        <v>-3.0539700000000001</v>
      </c>
      <c r="V2768">
        <v>-0.17355499999999999</v>
      </c>
      <c r="W2768">
        <v>0.16306619999999999</v>
      </c>
      <c r="X2768">
        <v>0.97123020000000004</v>
      </c>
      <c r="Y2768">
        <v>-0.1992264</v>
      </c>
      <c r="Z2768">
        <v>4.8780799999999999E-2</v>
      </c>
      <c r="AA2768">
        <v>0.97873860000000001</v>
      </c>
      <c r="AB2768">
        <v>27</v>
      </c>
      <c r="AC2768">
        <v>1.5392000000000501</v>
      </c>
      <c r="AD2768">
        <v>-1.1212176823340001</v>
      </c>
      <c r="AE2768">
        <v>-17.787499999999898</v>
      </c>
      <c r="AF2768">
        <v>-3.5965870098085202</v>
      </c>
      <c r="AG2768">
        <v>-1.1212176823340001</v>
      </c>
      <c r="AH2768">
        <v>17.416354159229101</v>
      </c>
      <c r="AI2768">
        <v>93.6075526677554</v>
      </c>
      <c r="AJ2768">
        <v>101.66792606896399</v>
      </c>
      <c r="AK2768">
        <v>17.819145866454999</v>
      </c>
      <c r="AL2768">
        <v>80.615085640256197</v>
      </c>
      <c r="AM2768">
        <v>100.131591114787</v>
      </c>
      <c r="AN2768">
        <v>1.0000000124997399</v>
      </c>
    </row>
    <row r="2769" spans="1:40" x14ac:dyDescent="0.25">
      <c r="A2769" t="str">
        <f>"20190303162309128"</f>
        <v>20190303162309128</v>
      </c>
      <c r="B2769" t="str">
        <f>"1551601389117083"</f>
        <v>1551601389117083</v>
      </c>
      <c r="C2769" t="s">
        <v>40</v>
      </c>
      <c r="D2769">
        <v>5.9782710000000003</v>
      </c>
      <c r="E2769">
        <v>0.48745919999999998</v>
      </c>
      <c r="F2769" t="s">
        <v>41</v>
      </c>
      <c r="G2769">
        <v>-490.49599999999998</v>
      </c>
      <c r="H2769" s="1">
        <v>-2.5399870000000001E-6</v>
      </c>
      <c r="I2769">
        <v>235.2022</v>
      </c>
      <c r="J2769">
        <v>-492.05630000000002</v>
      </c>
      <c r="K2769">
        <v>1.1212930000000001</v>
      </c>
      <c r="L2769">
        <v>253.04660000000001</v>
      </c>
      <c r="M2769">
        <v>-0.116257</v>
      </c>
      <c r="N2769">
        <v>-1.18114E-2</v>
      </c>
      <c r="O2769">
        <v>-0.99314910000000001</v>
      </c>
      <c r="P2769">
        <v>5.9382860000000003E-2</v>
      </c>
      <c r="Q2769">
        <v>0.15280750000000001</v>
      </c>
      <c r="R2769">
        <v>-0.98647059999999998</v>
      </c>
      <c r="S2769">
        <v>0.25744630000000002</v>
      </c>
      <c r="T2769">
        <v>-0.18892429999999999</v>
      </c>
      <c r="U2769">
        <v>-3.0542910000000001</v>
      </c>
      <c r="V2769">
        <v>-0.17387429999999901</v>
      </c>
      <c r="W2769">
        <v>0.16407430000000001</v>
      </c>
      <c r="X2769">
        <v>0.97100330000000001</v>
      </c>
      <c r="Y2769">
        <v>-0.1990886</v>
      </c>
      <c r="Z2769">
        <v>4.8532810000000003E-2</v>
      </c>
      <c r="AA2769">
        <v>0.97877899999999995</v>
      </c>
      <c r="AB2769">
        <v>27</v>
      </c>
      <c r="AC2769">
        <v>1.56030000000004</v>
      </c>
      <c r="AD2769">
        <v>-1.1212955399869999</v>
      </c>
      <c r="AE2769">
        <v>-17.8444</v>
      </c>
      <c r="AF2769">
        <v>-3.6102521196713102</v>
      </c>
      <c r="AG2769">
        <v>-1.1212955399869999</v>
      </c>
      <c r="AH2769">
        <v>17.473503466246498</v>
      </c>
      <c r="AI2769">
        <v>93.595957981958506</v>
      </c>
      <c r="AJ2769">
        <v>101.673786198475</v>
      </c>
      <c r="AK2769">
        <v>17.8777668471349</v>
      </c>
      <c r="AL2769">
        <v>80.556537365745399</v>
      </c>
      <c r="AM2769">
        <v>100.152166107117</v>
      </c>
      <c r="AN2769">
        <v>1.00000002836593</v>
      </c>
    </row>
    <row r="2770" spans="1:40" x14ac:dyDescent="0.25">
      <c r="A2770" t="str">
        <f>"20190303162309152"</f>
        <v>20190303162309152</v>
      </c>
      <c r="B2770" t="str">
        <f>"1551601389137578"</f>
        <v>1551601389137578</v>
      </c>
      <c r="C2770" t="s">
        <v>40</v>
      </c>
      <c r="D2770">
        <v>5.9773040000000002</v>
      </c>
      <c r="E2770">
        <v>0.48748839999999999</v>
      </c>
      <c r="F2770" t="s">
        <v>41</v>
      </c>
      <c r="G2770">
        <v>-490.50069999999999</v>
      </c>
      <c r="H2770" s="1">
        <v>-2.4105879999999999E-6</v>
      </c>
      <c r="I2770">
        <v>234.89769999999999</v>
      </c>
      <c r="J2770">
        <v>-492.08780000000002</v>
      </c>
      <c r="K2770">
        <v>1.1213489999999999</v>
      </c>
      <c r="L2770">
        <v>252.76990000000001</v>
      </c>
      <c r="M2770">
        <v>-0.1154232</v>
      </c>
      <c r="N2770">
        <v>-1.1806499999999999E-2</v>
      </c>
      <c r="O2770">
        <v>-0.99324619999999997</v>
      </c>
      <c r="P2770">
        <v>6.0007110000000002E-2</v>
      </c>
      <c r="Q2770">
        <v>0.15304079999999901</v>
      </c>
      <c r="R2770">
        <v>-0.9863961</v>
      </c>
      <c r="S2770">
        <v>0.2618103</v>
      </c>
      <c r="T2770">
        <v>-0.18872430000000001</v>
      </c>
      <c r="U2770">
        <v>-3.0546259999999998</v>
      </c>
      <c r="V2770">
        <v>-0.17368810000000001</v>
      </c>
      <c r="W2770">
        <v>0.16428319999999999</v>
      </c>
      <c r="X2770">
        <v>0.97100129999999996</v>
      </c>
      <c r="Y2770">
        <v>-0.1996454</v>
      </c>
      <c r="Z2770">
        <v>4.8468740000000003E-2</v>
      </c>
      <c r="AA2770">
        <v>0.97866869999999995</v>
      </c>
      <c r="AB2770">
        <v>27</v>
      </c>
      <c r="AC2770">
        <v>1.5871000000000199</v>
      </c>
      <c r="AD2770">
        <v>-1.121351410588</v>
      </c>
      <c r="AE2770">
        <v>-17.872199999999999</v>
      </c>
      <c r="AF2770">
        <v>-3.6253413149865499</v>
      </c>
      <c r="AG2770">
        <v>-1.121351410588</v>
      </c>
      <c r="AH2770">
        <v>17.501174796929199</v>
      </c>
      <c r="AI2770">
        <v>93.590085247615903</v>
      </c>
      <c r="AJ2770">
        <v>101.70320900226299</v>
      </c>
      <c r="AK2770">
        <v>17.907865531906499</v>
      </c>
      <c r="AL2770">
        <v>80.544403600475306</v>
      </c>
      <c r="AM2770">
        <v>100.14154049874899</v>
      </c>
      <c r="AN2770">
        <v>1.0000000252427601</v>
      </c>
    </row>
    <row r="2771" spans="1:40" x14ac:dyDescent="0.25">
      <c r="A2771" t="str">
        <f>"20190303162309172"</f>
        <v>20190303162309172</v>
      </c>
      <c r="B2771" t="str">
        <f>"1551601389166859"</f>
        <v>1551601389166859</v>
      </c>
      <c r="C2771" t="s">
        <v>40</v>
      </c>
      <c r="D2771">
        <v>5.8473620000000004</v>
      </c>
      <c r="E2771">
        <v>0.48740539999999999</v>
      </c>
      <c r="F2771" t="s">
        <v>41</v>
      </c>
      <c r="G2771">
        <v>-490.53680000000003</v>
      </c>
      <c r="H2771" s="1">
        <v>-2.3675970000000001E-6</v>
      </c>
      <c r="I2771">
        <v>234.77510000000001</v>
      </c>
      <c r="J2771">
        <v>-492.11489999999998</v>
      </c>
      <c r="K2771">
        <v>1.1213759999999999</v>
      </c>
      <c r="L2771">
        <v>252.52979999999999</v>
      </c>
      <c r="M2771">
        <v>-0.1146723</v>
      </c>
      <c r="N2771">
        <v>-1.1802740000000001E-2</v>
      </c>
      <c r="O2771">
        <v>-0.99333349999999998</v>
      </c>
      <c r="P2771">
        <v>6.036068E-2</v>
      </c>
      <c r="Q2771">
        <v>0.15307699999999999</v>
      </c>
      <c r="R2771">
        <v>-0.98636939999999995</v>
      </c>
      <c r="S2771">
        <v>0.26330569999999998</v>
      </c>
      <c r="T2771">
        <v>-0.1903658</v>
      </c>
      <c r="U2771">
        <v>-3.0548860000000002</v>
      </c>
      <c r="V2771">
        <v>-0.17331050000000001</v>
      </c>
      <c r="W2771">
        <v>0.16430620000000001</v>
      </c>
      <c r="X2771">
        <v>0.97106490000000001</v>
      </c>
      <c r="Y2771">
        <v>-0.1993704</v>
      </c>
      <c r="Z2771">
        <v>4.8998979999999998E-2</v>
      </c>
      <c r="AA2771">
        <v>0.97869839999999997</v>
      </c>
      <c r="AB2771">
        <v>27</v>
      </c>
      <c r="AC2771">
        <v>1.5780999999999401</v>
      </c>
      <c r="AD2771">
        <v>-1.1213783675969999</v>
      </c>
      <c r="AE2771">
        <v>-17.7546999999999</v>
      </c>
      <c r="AF2771">
        <v>-3.5895949285954498</v>
      </c>
      <c r="AG2771">
        <v>-1.1213783675969999</v>
      </c>
      <c r="AH2771">
        <v>17.387767353744199</v>
      </c>
      <c r="AI2771">
        <v>93.614029234725805</v>
      </c>
      <c r="AJ2771">
        <v>101.66448521532</v>
      </c>
      <c r="AK2771">
        <v>17.7898042356471</v>
      </c>
      <c r="AL2771">
        <v>80.543067864578404</v>
      </c>
      <c r="AM2771">
        <v>100.11929973632201</v>
      </c>
      <c r="AN2771">
        <v>1.00000004839034</v>
      </c>
    </row>
    <row r="2772" spans="1:40" x14ac:dyDescent="0.25">
      <c r="A2772" t="str">
        <f>"20190303162309186"</f>
        <v>20190303162309186</v>
      </c>
      <c r="B2772" t="str">
        <f>"1551601389177596"</f>
        <v>1551601389177596</v>
      </c>
      <c r="C2772" t="s">
        <v>40</v>
      </c>
      <c r="D2772">
        <v>5.8452699999999904</v>
      </c>
      <c r="E2772">
        <v>0.4874097</v>
      </c>
      <c r="F2772" t="s">
        <v>41</v>
      </c>
      <c r="G2772">
        <v>-490.57310000000001</v>
      </c>
      <c r="H2772" s="1">
        <v>-2.3871579999999999E-6</v>
      </c>
      <c r="I2772">
        <v>234.79820000000001</v>
      </c>
      <c r="J2772">
        <v>-492.13339999999999</v>
      </c>
      <c r="K2772">
        <v>1.1213839999999999</v>
      </c>
      <c r="L2772">
        <v>252.3646</v>
      </c>
      <c r="M2772">
        <v>-0.11414970000000001</v>
      </c>
      <c r="N2772">
        <v>-1.1800359999999999E-2</v>
      </c>
      <c r="O2772">
        <v>-0.99339370000000005</v>
      </c>
      <c r="P2772">
        <v>6.072251E-2</v>
      </c>
      <c r="Q2772">
        <v>0.15270220000000001</v>
      </c>
      <c r="R2772">
        <v>-0.98640519999999998</v>
      </c>
      <c r="S2772">
        <v>0.26565549999999999</v>
      </c>
      <c r="T2772">
        <v>-0.1932161</v>
      </c>
      <c r="U2772">
        <v>-3.0551910000000002</v>
      </c>
      <c r="V2772">
        <v>-0.17316589999999901</v>
      </c>
      <c r="W2772">
        <v>0.16392660000000001</v>
      </c>
      <c r="X2772">
        <v>0.97115479999999998</v>
      </c>
      <c r="Y2772">
        <v>-0.1995884</v>
      </c>
      <c r="Z2772">
        <v>4.9905249999999998E-2</v>
      </c>
      <c r="AA2772">
        <v>0.97860809999999998</v>
      </c>
      <c r="AB2772">
        <v>27</v>
      </c>
      <c r="AC2772">
        <v>1.56029999999998</v>
      </c>
      <c r="AD2772">
        <v>-1.1213863871580001</v>
      </c>
      <c r="AE2772">
        <v>-17.566399999999899</v>
      </c>
      <c r="AF2772">
        <v>-3.5411205560335799</v>
      </c>
      <c r="AG2772">
        <v>-1.1213863871580001</v>
      </c>
      <c r="AH2772">
        <v>17.2038823201379</v>
      </c>
      <c r="AI2772">
        <v>93.653020257714601</v>
      </c>
      <c r="AJ2772">
        <v>101.630901582338</v>
      </c>
      <c r="AK2772">
        <v>17.6003013924995</v>
      </c>
      <c r="AL2772">
        <v>80.565115858193295</v>
      </c>
      <c r="AM2772">
        <v>100.110114389795</v>
      </c>
      <c r="AN2772">
        <v>1.0000000023366999</v>
      </c>
    </row>
    <row r="2773" spans="1:40" x14ac:dyDescent="0.25">
      <c r="A2773" t="str">
        <f>"20190303162309206"</f>
        <v>20190303162309206</v>
      </c>
      <c r="B2773" t="str">
        <f>"1551601389197115"</f>
        <v>1551601389197115</v>
      </c>
      <c r="C2773" t="s">
        <v>40</v>
      </c>
      <c r="D2773">
        <v>5.8481180000000004</v>
      </c>
      <c r="E2773">
        <v>0.48748649999999999</v>
      </c>
      <c r="F2773" t="s">
        <v>41</v>
      </c>
      <c r="G2773">
        <v>-490.59679999999997</v>
      </c>
      <c r="H2773" s="1">
        <v>-2.394436E-6</v>
      </c>
      <c r="I2773">
        <v>234.8004</v>
      </c>
      <c r="J2773">
        <v>-492.15969999999999</v>
      </c>
      <c r="K2773">
        <v>1.1213879999999901</v>
      </c>
      <c r="L2773">
        <v>252.12870000000001</v>
      </c>
      <c r="M2773">
        <v>-0.1134008</v>
      </c>
      <c r="N2773">
        <v>-1.17974E-2</v>
      </c>
      <c r="O2773">
        <v>-0.99347940000000001</v>
      </c>
      <c r="P2773">
        <v>6.1505730000000002E-2</v>
      </c>
      <c r="Q2773">
        <v>0.1523274</v>
      </c>
      <c r="R2773">
        <v>-0.98641469999999998</v>
      </c>
      <c r="S2773">
        <v>0.26727289999999998</v>
      </c>
      <c r="T2773">
        <v>-0.19505320000000001</v>
      </c>
      <c r="U2773">
        <v>-3.0550989999999998</v>
      </c>
      <c r="V2773">
        <v>-0.17321320000000001</v>
      </c>
      <c r="W2773">
        <v>0.163547</v>
      </c>
      <c r="X2773">
        <v>0.97121040000000003</v>
      </c>
      <c r="Y2773">
        <v>-0.19936329999999999</v>
      </c>
      <c r="Z2773">
        <v>5.050346E-2</v>
      </c>
      <c r="AA2773">
        <v>0.97862329999999997</v>
      </c>
      <c r="AB2773">
        <v>27</v>
      </c>
      <c r="AC2773">
        <v>1.5629000000000099</v>
      </c>
      <c r="AD2773">
        <v>-1.12139039443599</v>
      </c>
      <c r="AE2773">
        <v>-17.328299999999999</v>
      </c>
      <c r="AF2773">
        <v>-3.50344258376622</v>
      </c>
      <c r="AG2773">
        <v>-1.12139039443599</v>
      </c>
      <c r="AH2773">
        <v>16.968767779145502</v>
      </c>
      <c r="AI2773">
        <v>93.703047599100003</v>
      </c>
      <c r="AJ2773">
        <v>101.665610516656</v>
      </c>
      <c r="AK2773">
        <v>17.3629118035267</v>
      </c>
      <c r="AL2773">
        <v>80.587163215164693</v>
      </c>
      <c r="AM2773">
        <v>100.112251969887</v>
      </c>
      <c r="AN2773">
        <v>1.0000000374656901</v>
      </c>
    </row>
    <row r="2774" spans="1:40" x14ac:dyDescent="0.25">
      <c r="A2774" t="str">
        <f>"20190303162309228"</f>
        <v>20190303162309228</v>
      </c>
      <c r="B2774" t="str">
        <f>"1551601389217068"</f>
        <v>1551601389217068</v>
      </c>
      <c r="C2774" t="s">
        <v>40</v>
      </c>
      <c r="D2774">
        <v>5.7960019999999997</v>
      </c>
      <c r="E2774">
        <v>0.4875447</v>
      </c>
      <c r="F2774" t="s">
        <v>41</v>
      </c>
      <c r="G2774">
        <v>-490.63470000000001</v>
      </c>
      <c r="H2774" s="1">
        <v>-2.3839199999999999E-6</v>
      </c>
      <c r="I2774">
        <v>234.75239999999999</v>
      </c>
      <c r="J2774">
        <v>-492.1884</v>
      </c>
      <c r="K2774">
        <v>1.1213900000000001</v>
      </c>
      <c r="L2774">
        <v>251.86959999999999</v>
      </c>
      <c r="M2774">
        <v>-0.112584</v>
      </c>
      <c r="N2774">
        <v>-1.179463E-2</v>
      </c>
      <c r="O2774">
        <v>-0.99357240000000002</v>
      </c>
      <c r="P2774">
        <v>6.3069819999999999E-2</v>
      </c>
      <c r="Q2774">
        <v>0.152394</v>
      </c>
      <c r="R2774">
        <v>-0.98630569999999895</v>
      </c>
      <c r="S2774">
        <v>0.26812740000000002</v>
      </c>
      <c r="T2774">
        <v>-0.1971617</v>
      </c>
      <c r="U2774">
        <v>-3.0550839999999999</v>
      </c>
      <c r="V2774">
        <v>-0.17395459999999999</v>
      </c>
      <c r="W2774">
        <v>0.16360820000000001</v>
      </c>
      <c r="X2774">
        <v>0.97106749999999997</v>
      </c>
      <c r="Y2774">
        <v>-0.19882610000000001</v>
      </c>
      <c r="Z2774">
        <v>5.1190100000000002E-2</v>
      </c>
      <c r="AA2774">
        <v>0.97869689999999998</v>
      </c>
      <c r="AB2774">
        <v>27</v>
      </c>
      <c r="AC2774">
        <v>1.5536999999999901</v>
      </c>
      <c r="AD2774">
        <v>-1.12139238392</v>
      </c>
      <c r="AE2774">
        <v>-17.117199999999901</v>
      </c>
      <c r="AF2774">
        <v>-3.4563639067793002</v>
      </c>
      <c r="AG2774">
        <v>-1.12139238392</v>
      </c>
      <c r="AH2774">
        <v>16.762070123010702</v>
      </c>
      <c r="AI2774">
        <v>93.748782437445698</v>
      </c>
      <c r="AJ2774">
        <v>101.65117478734101</v>
      </c>
      <c r="AK2774">
        <v>17.151412978047301</v>
      </c>
      <c r="AL2774">
        <v>80.583608175473103</v>
      </c>
      <c r="AM2774">
        <v>100.156099561099</v>
      </c>
      <c r="AN2774">
        <v>0.99999996776232403</v>
      </c>
    </row>
    <row r="2775" spans="1:40" x14ac:dyDescent="0.25">
      <c r="A2775" t="str">
        <f>"20190303162309275"</f>
        <v>20190303162309275</v>
      </c>
      <c r="B2775" t="str">
        <f>"1551601389267821"</f>
        <v>1551601389267821</v>
      </c>
      <c r="C2775" t="s">
        <v>40</v>
      </c>
      <c r="D2775">
        <v>5.4533659999999999</v>
      </c>
      <c r="E2775">
        <v>0.48760510000000001</v>
      </c>
      <c r="F2775" t="s">
        <v>41</v>
      </c>
      <c r="G2775">
        <v>-490.65179999999998</v>
      </c>
      <c r="H2775" s="1">
        <v>-2.3056800000000001E-6</v>
      </c>
      <c r="I2775">
        <v>234.55950000000001</v>
      </c>
      <c r="J2775">
        <v>-492.24930000000001</v>
      </c>
      <c r="K2775">
        <v>1.1213740000000001</v>
      </c>
      <c r="L2775">
        <v>251.31190000000001</v>
      </c>
      <c r="M2775">
        <v>-0.1108412</v>
      </c>
      <c r="N2775">
        <v>-1.178999E-2</v>
      </c>
      <c r="O2775">
        <v>-0.99376819999999999</v>
      </c>
      <c r="P2775">
        <v>6.8852090000000005E-2</v>
      </c>
      <c r="Q2775">
        <v>0.15125759999999999</v>
      </c>
      <c r="R2775">
        <v>-0.98609360000000001</v>
      </c>
      <c r="S2775">
        <v>0.27117920000000001</v>
      </c>
      <c r="T2775">
        <v>-0.1979051</v>
      </c>
      <c r="U2775">
        <v>-3.054916</v>
      </c>
      <c r="V2775">
        <v>-0.17796970000000001</v>
      </c>
      <c r="W2775">
        <v>0.16245509999999999</v>
      </c>
      <c r="X2775">
        <v>0.97053339999999999</v>
      </c>
      <c r="Y2775">
        <v>-0.19808100000000001</v>
      </c>
      <c r="Z2775">
        <v>5.145636E-2</v>
      </c>
      <c r="AA2775">
        <v>0.97883410000000004</v>
      </c>
      <c r="AB2775">
        <v>27</v>
      </c>
      <c r="AC2775">
        <v>1.5975000000000199</v>
      </c>
      <c r="AD2775">
        <v>-1.1213763056799999</v>
      </c>
      <c r="AE2775">
        <v>-16.752399999999898</v>
      </c>
      <c r="AF2775">
        <v>-3.4294124222483799</v>
      </c>
      <c r="AG2775">
        <v>-1.1213763056799999</v>
      </c>
      <c r="AH2775">
        <v>16.399259898115101</v>
      </c>
      <c r="AI2775">
        <v>93.8292009973175</v>
      </c>
      <c r="AJ2775">
        <v>101.811477212632</v>
      </c>
      <c r="AK2775">
        <v>16.7914883076735</v>
      </c>
      <c r="AL2775">
        <v>80.650571950851301</v>
      </c>
      <c r="AM2775">
        <v>100.39106113058401</v>
      </c>
      <c r="AN2775">
        <v>0.99999997707482902</v>
      </c>
    </row>
    <row r="2776" spans="1:40" x14ac:dyDescent="0.25">
      <c r="A2776" t="str">
        <f>"20190303162309290"</f>
        <v>20190303162309290</v>
      </c>
      <c r="B2776" t="str">
        <f>"1551601389277580"</f>
        <v>1551601389277580</v>
      </c>
      <c r="C2776" t="s">
        <v>40</v>
      </c>
      <c r="D2776">
        <v>5.6144189999999998</v>
      </c>
      <c r="E2776">
        <v>0.48764109999999999</v>
      </c>
      <c r="F2776" t="s">
        <v>41</v>
      </c>
      <c r="G2776">
        <v>-490.64859999999999</v>
      </c>
      <c r="H2776" s="1">
        <v>-2.2154419999999999E-6</v>
      </c>
      <c r="I2776">
        <v>234.3511</v>
      </c>
      <c r="J2776">
        <v>-492.26819999999998</v>
      </c>
      <c r="K2776">
        <v>1.1213789999999999</v>
      </c>
      <c r="L2776">
        <v>251.13740000000001</v>
      </c>
      <c r="M2776">
        <v>-0.1102838</v>
      </c>
      <c r="N2776">
        <v>-1.1789000000000001E-2</v>
      </c>
      <c r="O2776">
        <v>-0.99383049999999995</v>
      </c>
      <c r="P2776">
        <v>7.0973430000000004E-2</v>
      </c>
      <c r="Q2776">
        <v>0.1506789</v>
      </c>
      <c r="R2776">
        <v>-0.98603189999999996</v>
      </c>
      <c r="S2776">
        <v>0.28814699999999999</v>
      </c>
      <c r="T2776">
        <v>-0.20186090000000001</v>
      </c>
      <c r="U2776">
        <v>-3.0531459999999999</v>
      </c>
      <c r="V2776">
        <v>-0.17952760000000001</v>
      </c>
      <c r="W2776">
        <v>0.16186779999999901</v>
      </c>
      <c r="X2776">
        <v>0.9703446</v>
      </c>
      <c r="Y2776">
        <v>-0.20296310000000001</v>
      </c>
      <c r="Z2776">
        <v>5.2708499999999998E-2</v>
      </c>
      <c r="AA2776">
        <v>0.97776680000000005</v>
      </c>
      <c r="AB2776">
        <v>27</v>
      </c>
      <c r="AC2776">
        <v>1.6195999999999899</v>
      </c>
      <c r="AD2776">
        <v>-1.121381215442</v>
      </c>
      <c r="AE2776">
        <v>-16.786300000000001</v>
      </c>
      <c r="AF2776">
        <v>-3.44586837726948</v>
      </c>
      <c r="AG2776">
        <v>-1.121381215442</v>
      </c>
      <c r="AH2776">
        <v>16.432606417774402</v>
      </c>
      <c r="AI2776">
        <v>93.821029116390406</v>
      </c>
      <c r="AJ2776">
        <v>101.843151118181</v>
      </c>
      <c r="AK2776">
        <v>16.8274198374347</v>
      </c>
      <c r="AL2776">
        <v>80.684673270809697</v>
      </c>
      <c r="AM2776">
        <v>100.482008820781</v>
      </c>
      <c r="AN2776">
        <v>0.99999999329387901</v>
      </c>
    </row>
    <row r="2777" spans="1:40" x14ac:dyDescent="0.25">
      <c r="A2777" t="str">
        <f>"20190303162309306"</f>
        <v>20190303162309306</v>
      </c>
      <c r="B2777" t="str">
        <f>"1551601389297100"</f>
        <v>1551601389297100</v>
      </c>
      <c r="C2777" t="s">
        <v>40</v>
      </c>
      <c r="D2777">
        <v>5.6176969999999997</v>
      </c>
      <c r="E2777">
        <v>0.48765890000000001</v>
      </c>
      <c r="F2777" t="s">
        <v>41</v>
      </c>
      <c r="G2777">
        <v>-490.64800000000002</v>
      </c>
      <c r="H2777" s="1">
        <v>-2.2002410000000002E-6</v>
      </c>
      <c r="I2777">
        <v>234.316</v>
      </c>
      <c r="J2777">
        <v>-492.28890000000001</v>
      </c>
      <c r="K2777">
        <v>1.1214040000000001</v>
      </c>
      <c r="L2777">
        <v>250.94370000000001</v>
      </c>
      <c r="M2777">
        <v>-0.10964459999999999</v>
      </c>
      <c r="N2777">
        <v>-1.1788119999999999E-2</v>
      </c>
      <c r="O2777">
        <v>-0.99390109999999998</v>
      </c>
      <c r="P2777">
        <v>7.5007569999999996E-2</v>
      </c>
      <c r="Q2777">
        <v>0.14994579999999999</v>
      </c>
      <c r="R2777">
        <v>-0.98584499999999997</v>
      </c>
      <c r="S2777">
        <v>0.2940063</v>
      </c>
      <c r="T2777">
        <v>-0.2034878</v>
      </c>
      <c r="U2777">
        <v>-3.0524290000000001</v>
      </c>
      <c r="V2777">
        <v>-0.18289739999999999</v>
      </c>
      <c r="W2777">
        <v>0.16111589999999901</v>
      </c>
      <c r="X2777">
        <v>0.96984029999999999</v>
      </c>
      <c r="Y2777">
        <v>-0.2042107</v>
      </c>
      <c r="Z2777">
        <v>5.3234389999999999E-2</v>
      </c>
      <c r="AA2777">
        <v>0.97747839999999997</v>
      </c>
      <c r="AB2777">
        <v>27</v>
      </c>
      <c r="AC2777">
        <v>1.64089999999998</v>
      </c>
      <c r="AD2777">
        <v>-1.1214062002409999</v>
      </c>
      <c r="AE2777">
        <v>-16.627700000000001</v>
      </c>
      <c r="AF2777">
        <v>-3.43877913870796</v>
      </c>
      <c r="AG2777">
        <v>-1.1214062002409999</v>
      </c>
      <c r="AH2777">
        <v>16.274198814906001</v>
      </c>
      <c r="AI2777">
        <v>93.856951033142906</v>
      </c>
      <c r="AJ2777">
        <v>101.93123686074701</v>
      </c>
      <c r="AK2777">
        <v>16.671301715758201</v>
      </c>
      <c r="AL2777">
        <v>80.728327026391696</v>
      </c>
      <c r="AM2777">
        <v>100.679701903067</v>
      </c>
      <c r="AN2777">
        <v>0.99999999983182997</v>
      </c>
    </row>
    <row r="2778" spans="1:40" x14ac:dyDescent="0.25">
      <c r="A2778" t="str">
        <f>"20190303162309321"</f>
        <v>20190303162309321</v>
      </c>
      <c r="B2778" t="str">
        <f>"1551601389306860"</f>
        <v>1551601389306860</v>
      </c>
      <c r="C2778" t="s">
        <v>40</v>
      </c>
      <c r="D2778">
        <v>5.5515819999999998</v>
      </c>
      <c r="E2778">
        <v>0.48775350000000001</v>
      </c>
      <c r="F2778" t="s">
        <v>41</v>
      </c>
      <c r="G2778">
        <v>-490.61700000000002</v>
      </c>
      <c r="H2778" s="1">
        <v>-2.150746E-6</v>
      </c>
      <c r="I2778">
        <v>234.2199</v>
      </c>
      <c r="J2778">
        <v>-492.30759999999998</v>
      </c>
      <c r="K2778">
        <v>1.1214309999999901</v>
      </c>
      <c r="L2778">
        <v>250.76830000000001</v>
      </c>
      <c r="M2778">
        <v>-0.10903309999999999</v>
      </c>
      <c r="N2778">
        <v>-1.1787489999999999E-2</v>
      </c>
      <c r="O2778">
        <v>-0.99396830000000003</v>
      </c>
      <c r="P2778">
        <v>7.7175309999999997E-2</v>
      </c>
      <c r="Q2778">
        <v>0.15008150000000001</v>
      </c>
      <c r="R2778">
        <v>-0.98565700000000001</v>
      </c>
      <c r="S2778">
        <v>0.30502319999999999</v>
      </c>
      <c r="T2778">
        <v>-0.20458129999999999</v>
      </c>
      <c r="U2778">
        <v>-3.05098</v>
      </c>
      <c r="V2778">
        <v>-0.1844442</v>
      </c>
      <c r="W2778">
        <v>0.1612326</v>
      </c>
      <c r="X2778">
        <v>0.9695279</v>
      </c>
      <c r="Y2778">
        <v>-0.2071441</v>
      </c>
      <c r="Z2778">
        <v>5.3586870000000002E-2</v>
      </c>
      <c r="AA2778">
        <v>0.97684170000000003</v>
      </c>
      <c r="AB2778">
        <v>27</v>
      </c>
      <c r="AC2778">
        <v>1.6906000000000101</v>
      </c>
      <c r="AD2778">
        <v>-1.12143315074599</v>
      </c>
      <c r="AE2778">
        <v>-16.548400000000001</v>
      </c>
      <c r="AF2778">
        <v>-3.4692008120244302</v>
      </c>
      <c r="AG2778">
        <v>-1.12143315074599</v>
      </c>
      <c r="AH2778">
        <v>16.191792239142799</v>
      </c>
      <c r="AI2778">
        <v>93.874290306715395</v>
      </c>
      <c r="AJ2778">
        <v>102.093170495883</v>
      </c>
      <c r="AK2778">
        <v>16.597201646702601</v>
      </c>
      <c r="AL2778">
        <v>80.721551861261403</v>
      </c>
      <c r="AM2778">
        <v>100.771307517263</v>
      </c>
      <c r="AN2778">
        <v>0.99999998154740399</v>
      </c>
    </row>
    <row r="2779" spans="1:40" x14ac:dyDescent="0.25">
      <c r="A2779" t="str">
        <f>"20190303162309342"</f>
        <v>20190303162309342</v>
      </c>
      <c r="B2779" t="str">
        <f>"1551601389327356"</f>
        <v>1551601389327356</v>
      </c>
      <c r="C2779" t="s">
        <v>40</v>
      </c>
      <c r="D2779">
        <v>5.4971180000000004</v>
      </c>
      <c r="E2779">
        <v>0.48786059999999998</v>
      </c>
      <c r="F2779" t="s">
        <v>41</v>
      </c>
      <c r="G2779">
        <v>-490.59120000000001</v>
      </c>
      <c r="H2779" s="1">
        <v>-2.031111E-6</v>
      </c>
      <c r="I2779">
        <v>233.95699999999999</v>
      </c>
      <c r="J2779">
        <v>-492.33240000000001</v>
      </c>
      <c r="K2779">
        <v>1.1214820000000001</v>
      </c>
      <c r="L2779">
        <v>250.53399999999999</v>
      </c>
      <c r="M2779">
        <v>-0.1081443</v>
      </c>
      <c r="N2779">
        <v>-1.1787209999999999E-2</v>
      </c>
      <c r="O2779">
        <v>-0.99406550000000005</v>
      </c>
      <c r="P2779">
        <v>8.0393080000000006E-2</v>
      </c>
      <c r="Q2779">
        <v>0.15005639999999901</v>
      </c>
      <c r="R2779">
        <v>-0.98540349999999999</v>
      </c>
      <c r="S2779">
        <v>0.31143189999999998</v>
      </c>
      <c r="T2779">
        <v>-0.2034725</v>
      </c>
      <c r="U2779">
        <v>-3.0502470000000002</v>
      </c>
      <c r="V2779">
        <v>-0.18676909999999999</v>
      </c>
      <c r="W2779">
        <v>0.16117329999999999</v>
      </c>
      <c r="X2779">
        <v>0.96909259999999997</v>
      </c>
      <c r="Y2779">
        <v>-0.20832580000000001</v>
      </c>
      <c r="Z2779">
        <v>5.324309E-2</v>
      </c>
      <c r="AA2779">
        <v>0.97660919999999896</v>
      </c>
      <c r="AB2779">
        <v>27</v>
      </c>
      <c r="AC2779">
        <v>1.7411999999999901</v>
      </c>
      <c r="AD2779">
        <v>-1.1214840311109999</v>
      </c>
      <c r="AE2779">
        <v>-16.577000000000002</v>
      </c>
      <c r="AF2779">
        <v>-3.5079387183513</v>
      </c>
      <c r="AG2779">
        <v>-1.1214840311109999</v>
      </c>
      <c r="AH2779">
        <v>16.218033115326801</v>
      </c>
      <c r="AI2779">
        <v>93.866595900390394</v>
      </c>
      <c r="AJ2779">
        <v>102.204980985369</v>
      </c>
      <c r="AK2779">
        <v>16.630933786579199</v>
      </c>
      <c r="AL2779">
        <v>80.724994684040993</v>
      </c>
      <c r="AM2779">
        <v>100.90862406746101</v>
      </c>
      <c r="AN2779">
        <v>0.99999999836122899</v>
      </c>
    </row>
    <row r="2780" spans="1:40" x14ac:dyDescent="0.25">
      <c r="A2780" t="str">
        <f>"20190303162309364"</f>
        <v>20190303162309364</v>
      </c>
      <c r="B2780" t="str">
        <f>"1551601389357612"</f>
        <v>1551601389357612</v>
      </c>
      <c r="C2780" t="s">
        <v>40</v>
      </c>
      <c r="D2780">
        <v>5.488937</v>
      </c>
      <c r="E2780">
        <v>0.49423620000000001</v>
      </c>
      <c r="F2780" t="s">
        <v>41</v>
      </c>
      <c r="G2780">
        <v>-490.55450000000002</v>
      </c>
      <c r="H2780" s="1">
        <v>-1.881004E-6</v>
      </c>
      <c r="I2780">
        <v>233.62979999999999</v>
      </c>
      <c r="J2780">
        <v>-492.35939999999999</v>
      </c>
      <c r="K2780">
        <v>1.121578</v>
      </c>
      <c r="L2780">
        <v>250.2747</v>
      </c>
      <c r="M2780">
        <v>-0.1070151</v>
      </c>
      <c r="N2780">
        <v>-1.17879E-2</v>
      </c>
      <c r="O2780">
        <v>-0.99418779999999995</v>
      </c>
      <c r="P2780">
        <v>8.2990889999999998E-2</v>
      </c>
      <c r="Q2780">
        <v>0.14955199999999999</v>
      </c>
      <c r="R2780">
        <v>-0.9852649</v>
      </c>
      <c r="S2780">
        <v>0.32067869999999998</v>
      </c>
      <c r="T2780">
        <v>-0.2022883</v>
      </c>
      <c r="U2780">
        <v>-3.0491030000000001</v>
      </c>
      <c r="V2780">
        <v>-0.18827269999999999</v>
      </c>
      <c r="W2780">
        <v>0.16061839999999999</v>
      </c>
      <c r="X2780">
        <v>0.96889380000000003</v>
      </c>
      <c r="Y2780">
        <v>-0.21018339999999999</v>
      </c>
      <c r="Z2780">
        <v>5.2876779999999998E-2</v>
      </c>
      <c r="AA2780">
        <v>0.97623099999999996</v>
      </c>
      <c r="AB2780">
        <v>27</v>
      </c>
      <c r="AC2780">
        <v>1.80489999999997</v>
      </c>
      <c r="AD2780">
        <v>-1.1215798810040001</v>
      </c>
      <c r="AE2780">
        <v>-16.6449</v>
      </c>
      <c r="AF2780">
        <v>-3.5599368014067299</v>
      </c>
      <c r="AG2780">
        <v>-1.1215798810040001</v>
      </c>
      <c r="AH2780">
        <v>16.2830636568378</v>
      </c>
      <c r="AI2780">
        <v>93.849671405446003</v>
      </c>
      <c r="AJ2780">
        <v>102.332426847839</v>
      </c>
      <c r="AK2780">
        <v>16.705366009522599</v>
      </c>
      <c r="AL2780">
        <v>80.757208172782697</v>
      </c>
      <c r="AM2780">
        <v>100.996513991699</v>
      </c>
      <c r="AN2780">
        <v>1.00000003783114</v>
      </c>
    </row>
    <row r="2781" spans="1:40" x14ac:dyDescent="0.25">
      <c r="A2781" t="str">
        <f>"20190303162309385"</f>
        <v>20190303162309385</v>
      </c>
      <c r="B2781" t="str">
        <f>"1551601389377131"</f>
        <v>1551601389377131</v>
      </c>
      <c r="C2781" t="s">
        <v>40</v>
      </c>
      <c r="D2781">
        <v>5.4336409999999997</v>
      </c>
      <c r="E2781">
        <v>0.49418139999999999</v>
      </c>
      <c r="F2781" t="s">
        <v>41</v>
      </c>
      <c r="G2781">
        <v>-490.54899999999998</v>
      </c>
      <c r="H2781" s="1">
        <v>-5.6006430000000003E-7</v>
      </c>
      <c r="I2781">
        <v>230.55420000000001</v>
      </c>
      <c r="J2781">
        <v>-492.38650000000001</v>
      </c>
      <c r="K2781">
        <v>1.121723</v>
      </c>
      <c r="L2781">
        <v>250.00899999999999</v>
      </c>
      <c r="M2781">
        <v>-0.1056416</v>
      </c>
      <c r="N2781">
        <v>-1.1790449999999999E-2</v>
      </c>
      <c r="O2781">
        <v>-0.99433439999999995</v>
      </c>
      <c r="P2781">
        <v>8.5579829999999996E-2</v>
      </c>
      <c r="Q2781">
        <v>0.1496479</v>
      </c>
      <c r="R2781">
        <v>-0.98502889999999999</v>
      </c>
      <c r="S2781">
        <v>0.27978520000000001</v>
      </c>
      <c r="T2781">
        <v>-0.1733295</v>
      </c>
      <c r="U2781">
        <v>-3.0476230000000002</v>
      </c>
      <c r="V2781">
        <v>-0.18953709999999999</v>
      </c>
      <c r="W2781">
        <v>0.16064529999999999</v>
      </c>
      <c r="X2781">
        <v>0.96864280000000003</v>
      </c>
      <c r="Y2781">
        <v>-0.19594600000000001</v>
      </c>
      <c r="Z2781">
        <v>4.3805009999999998E-2</v>
      </c>
      <c r="AA2781">
        <v>0.97963579999999995</v>
      </c>
      <c r="AB2781">
        <v>27</v>
      </c>
      <c r="AC2781">
        <v>1.8374999999999699</v>
      </c>
      <c r="AD2781">
        <v>-1.1217235600643001</v>
      </c>
      <c r="AE2781">
        <v>-19.454799999999999</v>
      </c>
      <c r="AF2781">
        <v>-3.8698441159524402</v>
      </c>
      <c r="AG2781">
        <v>-1.1217235600643001</v>
      </c>
      <c r="AH2781">
        <v>19.0888923721655</v>
      </c>
      <c r="AI2781">
        <v>93.2961151674332</v>
      </c>
      <c r="AJ2781">
        <v>101.460119028465</v>
      </c>
      <c r="AK2781">
        <v>19.509478958267799</v>
      </c>
      <c r="AL2781">
        <v>80.755646746232202</v>
      </c>
      <c r="AM2781">
        <v>101.071343703065</v>
      </c>
      <c r="AN2781">
        <v>1.00000004934016</v>
      </c>
    </row>
    <row r="2782" spans="1:40" x14ac:dyDescent="0.25">
      <c r="A2782" t="str">
        <f>"20190303162309398"</f>
        <v>20190303162309398</v>
      </c>
      <c r="B2782" t="str">
        <f>"1551601389386892"</f>
        <v>1551601389386892</v>
      </c>
      <c r="C2782" t="s">
        <v>40</v>
      </c>
      <c r="D2782">
        <v>5.3784700000000001</v>
      </c>
      <c r="E2782">
        <v>0.49391059999999998</v>
      </c>
      <c r="F2782" t="s">
        <v>41</v>
      </c>
      <c r="G2782">
        <v>-490.52690000000001</v>
      </c>
      <c r="H2782" s="1">
        <v>-5.2484340000000003E-7</v>
      </c>
      <c r="I2782">
        <v>230.48570000000001</v>
      </c>
      <c r="J2782">
        <v>-492.40300000000002</v>
      </c>
      <c r="K2782">
        <v>1.1218159999999999</v>
      </c>
      <c r="L2782">
        <v>249.84450000000001</v>
      </c>
      <c r="M2782">
        <v>-0.1047006</v>
      </c>
      <c r="N2782">
        <v>-1.1792739999999999E-2</v>
      </c>
      <c r="O2782">
        <v>-0.99443389999999998</v>
      </c>
      <c r="P2782">
        <v>8.6792590000000003E-2</v>
      </c>
      <c r="Q2782">
        <v>0.15002650000000001</v>
      </c>
      <c r="R2782">
        <v>-0.98486499999999999</v>
      </c>
      <c r="S2782">
        <v>0.29022219999999999</v>
      </c>
      <c r="T2782">
        <v>-0.17506669999999999</v>
      </c>
      <c r="U2782">
        <v>-3.0469819999999999</v>
      </c>
      <c r="V2782">
        <v>-0.18984529999999999</v>
      </c>
      <c r="W2782">
        <v>0.16098129999999999</v>
      </c>
      <c r="X2782">
        <v>0.96852660000000002</v>
      </c>
      <c r="Y2782">
        <v>-0.1983586</v>
      </c>
      <c r="Z2782">
        <v>4.4354730000000002E-2</v>
      </c>
      <c r="AA2782">
        <v>0.97912540000000003</v>
      </c>
      <c r="AB2782">
        <v>27</v>
      </c>
      <c r="AC2782">
        <v>1.8761000000000001</v>
      </c>
      <c r="AD2782">
        <v>-1.1218165248434</v>
      </c>
      <c r="AE2782">
        <v>-19.358799999999999</v>
      </c>
      <c r="AF2782">
        <v>-3.8798983261426399</v>
      </c>
      <c r="AG2782">
        <v>-1.1218165248434</v>
      </c>
      <c r="AH2782">
        <v>18.9927575033404</v>
      </c>
      <c r="AI2782">
        <v>93.312031200865604</v>
      </c>
      <c r="AJ2782">
        <v>101.545698847479</v>
      </c>
      <c r="AK2782">
        <v>19.4174385776628</v>
      </c>
      <c r="AL2782">
        <v>80.736141001917105</v>
      </c>
      <c r="AM2782">
        <v>101.090198023745</v>
      </c>
      <c r="AN2782">
        <v>0.99999999589467004</v>
      </c>
    </row>
    <row r="2783" spans="1:40" x14ac:dyDescent="0.25">
      <c r="A2783" t="str">
        <f>"20190303162309417"</f>
        <v>20190303162309417</v>
      </c>
      <c r="B2783" t="str">
        <f>"1551601389406920"</f>
        <v>1551601389406920</v>
      </c>
      <c r="C2783" t="s">
        <v>40</v>
      </c>
      <c r="D2783">
        <v>5.4388589999999999</v>
      </c>
      <c r="E2783">
        <v>0.49414639999999999</v>
      </c>
      <c r="F2783" t="s">
        <v>41</v>
      </c>
      <c r="G2783">
        <v>-490.4803</v>
      </c>
      <c r="H2783" s="1">
        <v>-3.4328900000000002E-7</v>
      </c>
      <c r="I2783">
        <v>230.09139999999999</v>
      </c>
      <c r="J2783">
        <v>-492.42410000000001</v>
      </c>
      <c r="K2783">
        <v>1.1219460000000001</v>
      </c>
      <c r="L2783">
        <v>249.63040000000001</v>
      </c>
      <c r="M2783">
        <v>-0.1033539</v>
      </c>
      <c r="N2783">
        <v>-1.179594E-2</v>
      </c>
      <c r="O2783">
        <v>-0.99457450000000003</v>
      </c>
      <c r="P2783">
        <v>8.8750999999999997E-2</v>
      </c>
      <c r="Q2783">
        <v>0.1510099</v>
      </c>
      <c r="R2783">
        <v>-0.98453999999999997</v>
      </c>
      <c r="S2783">
        <v>0.29650880000000002</v>
      </c>
      <c r="T2783">
        <v>-0.1730062</v>
      </c>
      <c r="U2783">
        <v>-3.0463100000000001</v>
      </c>
      <c r="V2783">
        <v>-0.19049530000000001</v>
      </c>
      <c r="W2783">
        <v>0.16190689999999999</v>
      </c>
      <c r="X2783">
        <v>0.96824469999999996</v>
      </c>
      <c r="Y2783">
        <v>-0.19905709999999999</v>
      </c>
      <c r="Z2783">
        <v>4.3706010000000003E-2</v>
      </c>
      <c r="AA2783">
        <v>0.97901280000000002</v>
      </c>
      <c r="AB2783">
        <v>27</v>
      </c>
      <c r="AC2783">
        <v>1.94380000000001</v>
      </c>
      <c r="AD2783">
        <v>-1.12194634328899</v>
      </c>
      <c r="AE2783">
        <v>-19.539000000000001</v>
      </c>
      <c r="AF2783">
        <v>-3.9400977579001899</v>
      </c>
      <c r="AG2783">
        <v>-1.12194634328899</v>
      </c>
      <c r="AH2783">
        <v>19.170843942136599</v>
      </c>
      <c r="AI2783">
        <v>93.280910741083304</v>
      </c>
      <c r="AJ2783">
        <v>101.614019221999</v>
      </c>
      <c r="AK2783">
        <v>19.6036831078444</v>
      </c>
      <c r="AL2783">
        <v>80.682403605632402</v>
      </c>
      <c r="AM2783">
        <v>101.130381829595</v>
      </c>
      <c r="AN2783">
        <v>1.00000005133389</v>
      </c>
    </row>
    <row r="2784" spans="1:40" x14ac:dyDescent="0.25">
      <c r="A2784" t="str">
        <f>"20190303162309432"</f>
        <v>20190303162309432</v>
      </c>
      <c r="B2784" t="str">
        <f>"1551601389417655"</f>
        <v>1551601389417655</v>
      </c>
      <c r="C2784" t="s">
        <v>40</v>
      </c>
      <c r="D2784">
        <v>5.4408379999999896</v>
      </c>
      <c r="E2784">
        <v>0.49425829999999998</v>
      </c>
      <c r="F2784" t="s">
        <v>46</v>
      </c>
      <c r="G2784">
        <v>-490.38560000000001</v>
      </c>
      <c r="H2784" s="1">
        <v>6.3597209999999901E-6</v>
      </c>
      <c r="I2784">
        <v>229.04089999999999</v>
      </c>
      <c r="J2784">
        <v>-492.44060000000002</v>
      </c>
      <c r="K2784">
        <v>1.122052</v>
      </c>
      <c r="L2784">
        <v>249.4605</v>
      </c>
      <c r="M2784">
        <v>-0.10216119999999999</v>
      </c>
      <c r="N2784">
        <v>-1.1798690000000001E-2</v>
      </c>
      <c r="O2784">
        <v>-0.99469810000000003</v>
      </c>
      <c r="P2784">
        <v>9.0202470000000007E-2</v>
      </c>
      <c r="Q2784">
        <v>0.15135850000000001</v>
      </c>
      <c r="R2784">
        <v>-0.98435459999999997</v>
      </c>
      <c r="S2784">
        <v>0.3015137</v>
      </c>
      <c r="T2784">
        <v>-0.16594510000000001</v>
      </c>
      <c r="U2784">
        <v>-3.0453800000000002</v>
      </c>
      <c r="V2784">
        <v>-0.19079930000000001</v>
      </c>
      <c r="W2784">
        <v>0.16220760000000001</v>
      </c>
      <c r="X2784">
        <v>0.96813450000000001</v>
      </c>
      <c r="Y2784">
        <v>-0.19951650000000001</v>
      </c>
      <c r="Z2784">
        <v>4.1460730000000001E-2</v>
      </c>
      <c r="AA2784">
        <v>0.97901700000000003</v>
      </c>
      <c r="AB2784">
        <v>27</v>
      </c>
      <c r="AC2784">
        <v>2.0550000000000002</v>
      </c>
      <c r="AD2784">
        <v>-1.122045640279</v>
      </c>
      <c r="AE2784">
        <v>-20.419599999999999</v>
      </c>
      <c r="AF2784">
        <v>-4.1181721545748697</v>
      </c>
      <c r="AG2784">
        <v>-1.122045640279</v>
      </c>
      <c r="AH2784">
        <v>20.0428795226318</v>
      </c>
      <c r="AI2784">
        <v>93.138767763603198</v>
      </c>
      <c r="AJ2784">
        <v>101.610861745272</v>
      </c>
      <c r="AK2784">
        <v>20.492324120809698</v>
      </c>
      <c r="AL2784">
        <v>80.664943906059705</v>
      </c>
      <c r="AM2784">
        <v>101.148936719492</v>
      </c>
      <c r="AN2784">
        <v>1.00000004423424</v>
      </c>
    </row>
    <row r="2785" spans="1:40" x14ac:dyDescent="0.25">
      <c r="A2785" t="str">
        <f>"20190303162309451"</f>
        <v>20190303162309451</v>
      </c>
      <c r="B2785" t="str">
        <f>"1551601389437175"</f>
        <v>1551601389437175</v>
      </c>
      <c r="C2785" t="s">
        <v>40</v>
      </c>
      <c r="D2785">
        <v>5.43825</v>
      </c>
      <c r="E2785">
        <v>0.49448799999999998</v>
      </c>
      <c r="F2785" t="s">
        <v>46</v>
      </c>
      <c r="G2785">
        <v>-490.3442</v>
      </c>
      <c r="H2785" s="1">
        <v>6.222365E-6</v>
      </c>
      <c r="I2785">
        <v>228.56790000000001</v>
      </c>
      <c r="J2785">
        <v>-492.46289999999999</v>
      </c>
      <c r="K2785">
        <v>1.1222209999999999</v>
      </c>
      <c r="L2785">
        <v>249.22460000000001</v>
      </c>
      <c r="M2785">
        <v>-0.10031760000000001</v>
      </c>
      <c r="N2785">
        <v>-1.1803330000000001E-2</v>
      </c>
      <c r="O2785">
        <v>-0.99488549999999998</v>
      </c>
      <c r="P2785">
        <v>9.2886440000000001E-2</v>
      </c>
      <c r="Q2785">
        <v>0.15170210000000001</v>
      </c>
      <c r="R2785">
        <v>-0.98405209999999999</v>
      </c>
      <c r="S2785">
        <v>0.30551149999999999</v>
      </c>
      <c r="T2785">
        <v>-0.163523799999999</v>
      </c>
      <c r="U2785">
        <v>-3.0448300000000001</v>
      </c>
      <c r="V2785">
        <v>-0.19170509999999999</v>
      </c>
      <c r="W2785">
        <v>0.1624767</v>
      </c>
      <c r="X2785">
        <v>0.9679103</v>
      </c>
      <c r="Y2785">
        <v>-0.19899500000000001</v>
      </c>
      <c r="Z2785">
        <v>4.0704299999999999E-2</v>
      </c>
      <c r="AA2785">
        <v>0.97915479999999999</v>
      </c>
      <c r="AB2785">
        <v>27</v>
      </c>
      <c r="AC2785">
        <v>2.1186999999999898</v>
      </c>
      <c r="AD2785">
        <v>-1.122214777635</v>
      </c>
      <c r="AE2785">
        <v>-20.656700000000001</v>
      </c>
      <c r="AF2785">
        <v>-4.1682114408418096</v>
      </c>
      <c r="AG2785">
        <v>-1.122214777635</v>
      </c>
      <c r="AH2785">
        <v>20.280690761906499</v>
      </c>
      <c r="AI2785">
        <v>93.102466166003794</v>
      </c>
      <c r="AJ2785">
        <v>101.614051297275</v>
      </c>
      <c r="AK2785">
        <v>20.734989037923</v>
      </c>
      <c r="AL2785">
        <v>80.649317311861495</v>
      </c>
      <c r="AM2785">
        <v>101.203058813879</v>
      </c>
      <c r="AN2785">
        <v>0.99999993612749205</v>
      </c>
    </row>
    <row r="2786" spans="1:40" x14ac:dyDescent="0.25">
      <c r="A2786" t="str">
        <f>"20190303162309474"</f>
        <v>20190303162309474</v>
      </c>
      <c r="B2786" t="str">
        <f>"1551601389467431"</f>
        <v>1551601389467431</v>
      </c>
      <c r="C2786" t="s">
        <v>40</v>
      </c>
      <c r="D2786">
        <v>5.3751879999999996</v>
      </c>
      <c r="E2786">
        <v>0.49493330000000002</v>
      </c>
      <c r="F2786" t="s">
        <v>46</v>
      </c>
      <c r="G2786">
        <v>-490.27460000000002</v>
      </c>
      <c r="H2786" s="1">
        <v>6.0151149999999996E-6</v>
      </c>
      <c r="I2786">
        <v>227.84899999999999</v>
      </c>
      <c r="J2786">
        <v>-492.48689999999999</v>
      </c>
      <c r="K2786">
        <v>1.1224160000000001</v>
      </c>
      <c r="L2786">
        <v>248.96180000000001</v>
      </c>
      <c r="M2786">
        <v>-9.8004090000000002E-2</v>
      </c>
      <c r="N2786">
        <v>-1.1810340000000001E-2</v>
      </c>
      <c r="O2786">
        <v>-0.99511590000000005</v>
      </c>
      <c r="P2786">
        <v>9.4987450000000001E-2</v>
      </c>
      <c r="Q2786">
        <v>0.1522444</v>
      </c>
      <c r="R2786">
        <v>-0.98376770000000002</v>
      </c>
      <c r="S2786">
        <v>0.31161499999999998</v>
      </c>
      <c r="T2786">
        <v>-0.1598021</v>
      </c>
      <c r="U2786">
        <v>-3.0438540000000001</v>
      </c>
      <c r="V2786">
        <v>-0.19159019999999999</v>
      </c>
      <c r="W2786">
        <v>0.16293779999999999</v>
      </c>
      <c r="X2786">
        <v>0.96785560000000004</v>
      </c>
      <c r="Y2786">
        <v>-0.1986974</v>
      </c>
      <c r="Z2786">
        <v>3.953487E-2</v>
      </c>
      <c r="AA2786">
        <v>0.97926310000000005</v>
      </c>
      <c r="AB2786">
        <v>27</v>
      </c>
      <c r="AC2786">
        <v>2.2122999999999702</v>
      </c>
      <c r="AD2786">
        <v>-1.122409984885</v>
      </c>
      <c r="AE2786">
        <v>-21.1128</v>
      </c>
      <c r="AF2786">
        <v>-4.2590272907726003</v>
      </c>
      <c r="AG2786">
        <v>-1.122409984885</v>
      </c>
      <c r="AH2786">
        <v>20.736349718523101</v>
      </c>
      <c r="AI2786">
        <v>93.035030105469204</v>
      </c>
      <c r="AJ2786">
        <v>101.606538046138</v>
      </c>
      <c r="AK2786">
        <v>21.198946136225999</v>
      </c>
      <c r="AL2786">
        <v>80.6225419961402</v>
      </c>
      <c r="AM2786">
        <v>101.19713066288099</v>
      </c>
      <c r="AN2786">
        <v>0.99999999692812003</v>
      </c>
    </row>
    <row r="2787" spans="1:40" x14ac:dyDescent="0.25">
      <c r="A2787" t="str">
        <f>"20190303162309487"</f>
        <v>20190303162309487</v>
      </c>
      <c r="B2787" t="str">
        <f>"1551601389477191"</f>
        <v>1551601389477191</v>
      </c>
      <c r="C2787" t="s">
        <v>40</v>
      </c>
      <c r="D2787">
        <v>5.3658049999999999</v>
      </c>
      <c r="E2787">
        <v>0.49509639999999999</v>
      </c>
      <c r="F2787" t="s">
        <v>46</v>
      </c>
      <c r="G2787">
        <v>-490.19450000000001</v>
      </c>
      <c r="H2787" s="1">
        <v>5.7136789999999899E-6</v>
      </c>
      <c r="I2787">
        <v>226.8186</v>
      </c>
      <c r="J2787">
        <v>-492.50099999999998</v>
      </c>
      <c r="K2787">
        <v>1.1225320000000001</v>
      </c>
      <c r="L2787">
        <v>248.80359999999999</v>
      </c>
      <c r="M2787">
        <v>-9.6495609999999996E-2</v>
      </c>
      <c r="N2787">
        <v>-1.181513E-2</v>
      </c>
      <c r="O2787">
        <v>-0.99526349999999997</v>
      </c>
      <c r="P2787">
        <v>9.5795669999999999E-2</v>
      </c>
      <c r="Q2787">
        <v>0.15184600000000001</v>
      </c>
      <c r="R2787">
        <v>-0.98375109999999999</v>
      </c>
      <c r="S2787">
        <v>0.31503300000000001</v>
      </c>
      <c r="T2787">
        <v>-0.15424299999999999</v>
      </c>
      <c r="U2787">
        <v>-3.0429379999999999</v>
      </c>
      <c r="V2787">
        <v>-0.19096650000000001</v>
      </c>
      <c r="W2787">
        <v>0.1624951</v>
      </c>
      <c r="X2787">
        <v>0.96805330000000001</v>
      </c>
      <c r="Y2787">
        <v>-0.1983396</v>
      </c>
      <c r="Z2787">
        <v>3.777117E-2</v>
      </c>
      <c r="AA2787">
        <v>0.97940530000000003</v>
      </c>
      <c r="AB2787">
        <v>27</v>
      </c>
      <c r="AC2787">
        <v>2.30649999999997</v>
      </c>
      <c r="AD2787">
        <v>-1.1225262863209999</v>
      </c>
      <c r="AE2787">
        <v>-21.9849999999999</v>
      </c>
      <c r="AF2787">
        <v>-4.40597731532824</v>
      </c>
      <c r="AG2787">
        <v>-1.1225262863209999</v>
      </c>
      <c r="AH2787">
        <v>21.604099492321001</v>
      </c>
      <c r="AI2787">
        <v>92.914468186425196</v>
      </c>
      <c r="AJ2787">
        <v>101.526924835594</v>
      </c>
      <c r="AK2787">
        <v>22.077359811371799</v>
      </c>
      <c r="AL2787">
        <v>80.648249724874006</v>
      </c>
      <c r="AM2787">
        <v>101.159374092351</v>
      </c>
      <c r="AN2787">
        <v>1.00000002664357</v>
      </c>
    </row>
    <row r="2788" spans="1:40" x14ac:dyDescent="0.25">
      <c r="A2788" t="str">
        <f>"20190303162309506"</f>
        <v>20190303162309506</v>
      </c>
      <c r="B2788" t="str">
        <f>"1551601389497687"</f>
        <v>1551601389497687</v>
      </c>
      <c r="C2788" t="s">
        <v>40</v>
      </c>
      <c r="D2788">
        <v>5.0541169999999997</v>
      </c>
      <c r="E2788">
        <v>0.49518519999999999</v>
      </c>
      <c r="F2788" t="s">
        <v>46</v>
      </c>
      <c r="G2788">
        <v>-490.20420000000001</v>
      </c>
      <c r="H2788" s="1">
        <v>5.685999E-6</v>
      </c>
      <c r="I2788">
        <v>226.7363</v>
      </c>
      <c r="J2788">
        <v>-492.52080000000001</v>
      </c>
      <c r="K2788">
        <v>1.122687</v>
      </c>
      <c r="L2788">
        <v>248.57419999999999</v>
      </c>
      <c r="M2788">
        <v>-9.4141069999999993E-2</v>
      </c>
      <c r="N2788">
        <v>-1.18224E-2</v>
      </c>
      <c r="O2788">
        <v>-0.99548890000000001</v>
      </c>
      <c r="P2788">
        <v>9.6255240000000006E-2</v>
      </c>
      <c r="Q2788">
        <v>0.15141160000000001</v>
      </c>
      <c r="R2788">
        <v>-0.98377349999999997</v>
      </c>
      <c r="S2788">
        <v>0.31668089999999999</v>
      </c>
      <c r="T2788">
        <v>-0.15477179999999999</v>
      </c>
      <c r="U2788">
        <v>-3.0426030000000002</v>
      </c>
      <c r="V2788">
        <v>-0.18919430000000001</v>
      </c>
      <c r="W2788">
        <v>0.16200479999999901</v>
      </c>
      <c r="X2788">
        <v>0.96848330000000005</v>
      </c>
      <c r="Y2788">
        <v>-0.19655639999999999</v>
      </c>
      <c r="Z2788">
        <v>3.7965169999999999E-2</v>
      </c>
      <c r="AA2788">
        <v>0.97975719999999999</v>
      </c>
      <c r="AB2788">
        <v>27</v>
      </c>
      <c r="AC2788">
        <v>2.31659999999999</v>
      </c>
      <c r="AD2788">
        <v>-1.1226813140009999</v>
      </c>
      <c r="AE2788">
        <v>-21.837899999999902</v>
      </c>
      <c r="AF2788">
        <v>-4.3509253489684001</v>
      </c>
      <c r="AG2788">
        <v>-1.1226813140009999</v>
      </c>
      <c r="AH2788">
        <v>21.466694716629799</v>
      </c>
      <c r="AI2788">
        <v>92.934215099596102</v>
      </c>
      <c r="AJ2788">
        <v>101.45764561579399</v>
      </c>
      <c r="AK2788">
        <v>21.931938965401301</v>
      </c>
      <c r="AL2788">
        <v>80.676718543487695</v>
      </c>
      <c r="AM2788">
        <v>101.0535886163</v>
      </c>
      <c r="AN2788">
        <v>0.999999970377209</v>
      </c>
    </row>
    <row r="2789" spans="1:40" x14ac:dyDescent="0.25">
      <c r="A2789" t="str">
        <f>"20190303162309521"</f>
        <v>20190303162309521</v>
      </c>
      <c r="B2789" t="str">
        <f>"1551601389507447"</f>
        <v>1551601389507447</v>
      </c>
      <c r="C2789" t="s">
        <v>40</v>
      </c>
      <c r="D2789">
        <v>5.3553189999999997</v>
      </c>
      <c r="E2789">
        <v>0.49671120000000002</v>
      </c>
      <c r="F2789" t="s">
        <v>46</v>
      </c>
      <c r="G2789">
        <v>-490.21730000000002</v>
      </c>
      <c r="H2789" s="1">
        <v>5.6250229999999999E-6</v>
      </c>
      <c r="I2789">
        <v>226.5488</v>
      </c>
      <c r="J2789">
        <v>-492.53469999999999</v>
      </c>
      <c r="K2789">
        <v>1.1228009999999999</v>
      </c>
      <c r="L2789">
        <v>248.4084</v>
      </c>
      <c r="M2789">
        <v>-9.2329629999999996E-2</v>
      </c>
      <c r="N2789">
        <v>-1.1827549999999999E-2</v>
      </c>
      <c r="O2789">
        <v>-0.9956583</v>
      </c>
      <c r="P2789">
        <v>9.6792669999999997E-2</v>
      </c>
      <c r="Q2789">
        <v>0.1510513</v>
      </c>
      <c r="R2789">
        <v>-0.98377570000000003</v>
      </c>
      <c r="S2789">
        <v>0.31817630000000002</v>
      </c>
      <c r="T2789">
        <v>-0.15506879999999901</v>
      </c>
      <c r="U2789">
        <v>-3.0422210000000001</v>
      </c>
      <c r="V2789">
        <v>-0.18800819999999999</v>
      </c>
      <c r="W2789">
        <v>0.16160529999999901</v>
      </c>
      <c r="X2789">
        <v>0.968781</v>
      </c>
      <c r="Y2789">
        <v>-0.1952613</v>
      </c>
      <c r="Z2789">
        <v>3.8080719999999998E-2</v>
      </c>
      <c r="AA2789">
        <v>0.98001170000000004</v>
      </c>
      <c r="AB2789">
        <v>27</v>
      </c>
      <c r="AC2789">
        <v>2.3173999999999602</v>
      </c>
      <c r="AD2789">
        <v>-1.1227953749770001</v>
      </c>
      <c r="AE2789">
        <v>-21.8596</v>
      </c>
      <c r="AF2789">
        <v>-4.3146729962332797</v>
      </c>
      <c r="AG2789">
        <v>-1.1227953749770001</v>
      </c>
      <c r="AH2789">
        <v>21.496151882289301</v>
      </c>
      <c r="AI2789">
        <v>92.931612287789406</v>
      </c>
      <c r="AJ2789">
        <v>101.34950460939299</v>
      </c>
      <c r="AK2789">
        <v>21.953624262634701</v>
      </c>
      <c r="AL2789">
        <v>80.699914053415299</v>
      </c>
      <c r="AM2789">
        <v>100.982688594358</v>
      </c>
      <c r="AN2789">
        <v>0.99999999110816495</v>
      </c>
    </row>
    <row r="2790" spans="1:40" x14ac:dyDescent="0.25">
      <c r="A2790" t="str">
        <f>"20190303162309542"</f>
        <v>20190303162309542</v>
      </c>
      <c r="B2790" t="str">
        <f>"1551601389537703"</f>
        <v>1551601389537703</v>
      </c>
      <c r="C2790" t="s">
        <v>40</v>
      </c>
      <c r="D2790">
        <v>5.1397870000000001</v>
      </c>
      <c r="E2790">
        <v>0.52398</v>
      </c>
      <c r="F2790" t="s">
        <v>46</v>
      </c>
      <c r="G2790">
        <v>-490.32279999999997</v>
      </c>
      <c r="H2790" s="1">
        <v>5.5944210000000001E-6</v>
      </c>
      <c r="I2790">
        <v>226.5256</v>
      </c>
      <c r="J2790">
        <v>-492.55439999999999</v>
      </c>
      <c r="K2790">
        <v>1.12296</v>
      </c>
      <c r="L2790">
        <v>248.1635</v>
      </c>
      <c r="M2790">
        <v>-8.9479450000000002E-2</v>
      </c>
      <c r="N2790">
        <v>-1.1835180000000001E-2</v>
      </c>
      <c r="O2790">
        <v>-0.99591839999999998</v>
      </c>
      <c r="P2790">
        <v>9.713753E-2</v>
      </c>
      <c r="Q2790">
        <v>0.15129529999999999</v>
      </c>
      <c r="R2790">
        <v>-0.98370409999999997</v>
      </c>
      <c r="S2790">
        <v>0.30758669999999999</v>
      </c>
      <c r="T2790">
        <v>-0.156142</v>
      </c>
      <c r="U2790">
        <v>-3.0431520000000001</v>
      </c>
      <c r="V2790">
        <v>-0.18563089999999999</v>
      </c>
      <c r="W2790">
        <v>0.161802</v>
      </c>
      <c r="X2790">
        <v>0.96920649999999997</v>
      </c>
      <c r="Y2790">
        <v>-0.1890453</v>
      </c>
      <c r="Z2790">
        <v>3.8466460000000001E-2</v>
      </c>
      <c r="AA2790">
        <v>0.98121460000000005</v>
      </c>
      <c r="AB2790">
        <v>27</v>
      </c>
      <c r="AC2790">
        <v>2.23160000000001</v>
      </c>
      <c r="AD2790">
        <v>-1.1229544055789999</v>
      </c>
      <c r="AE2790">
        <v>-21.637899999999998</v>
      </c>
      <c r="AF2790">
        <v>-4.1478758277229302</v>
      </c>
      <c r="AG2790">
        <v>-1.1229544055789999</v>
      </c>
      <c r="AH2790">
        <v>21.294644259470399</v>
      </c>
      <c r="AI2790">
        <v>92.963060969408303</v>
      </c>
      <c r="AJ2790">
        <v>101.02233741690399</v>
      </c>
      <c r="AK2790">
        <v>21.723898697439498</v>
      </c>
      <c r="AL2790">
        <v>80.688493559694095</v>
      </c>
      <c r="AM2790">
        <v>100.842481858505</v>
      </c>
      <c r="AN2790">
        <v>0.99999997894052906</v>
      </c>
    </row>
    <row r="2791" spans="1:40" x14ac:dyDescent="0.25">
      <c r="A2791" t="str">
        <f>"20190303162309558"</f>
        <v>20190303162309558</v>
      </c>
      <c r="B2791" t="str">
        <f>"1551601389547463"</f>
        <v>1551601389547463</v>
      </c>
      <c r="C2791" t="s">
        <v>40</v>
      </c>
      <c r="D2791">
        <v>5.1486340000000004</v>
      </c>
      <c r="E2791">
        <v>0.52396699999999996</v>
      </c>
      <c r="F2791" t="s">
        <v>46</v>
      </c>
      <c r="G2791">
        <v>-491.89940000000001</v>
      </c>
      <c r="H2791" s="1">
        <v>5.2157190000000002E-6</v>
      </c>
      <c r="I2791">
        <v>226.4315</v>
      </c>
      <c r="J2791">
        <v>-492.56889999999999</v>
      </c>
      <c r="K2791">
        <v>1.123075</v>
      </c>
      <c r="L2791">
        <v>247.97479999999999</v>
      </c>
      <c r="M2791">
        <v>-8.7132260000000003E-2</v>
      </c>
      <c r="N2791">
        <v>-1.1841330000000001E-2</v>
      </c>
      <c r="O2791">
        <v>-0.99612650000000003</v>
      </c>
      <c r="P2791">
        <v>9.7929779999999994E-2</v>
      </c>
      <c r="Q2791">
        <v>0.1510543</v>
      </c>
      <c r="R2791">
        <v>-0.98366290000000001</v>
      </c>
      <c r="S2791">
        <v>9.2376710000000001E-2</v>
      </c>
      <c r="T2791">
        <v>-0.15837309999999999</v>
      </c>
      <c r="U2791">
        <v>-3.0649259999999998</v>
      </c>
      <c r="V2791">
        <v>-0.18417220000000001</v>
      </c>
      <c r="W2791">
        <v>0.161525799999999</v>
      </c>
      <c r="X2791">
        <v>0.96953080000000003</v>
      </c>
      <c r="Y2791">
        <v>-0.1170427</v>
      </c>
      <c r="Z2791">
        <v>3.92758E-2</v>
      </c>
      <c r="AA2791">
        <v>0.99234990000000001</v>
      </c>
      <c r="AB2791">
        <v>27</v>
      </c>
      <c r="AC2791">
        <v>0.66949999999997001</v>
      </c>
      <c r="AD2791">
        <v>-1.123069784281</v>
      </c>
      <c r="AE2791">
        <v>-21.543299999999899</v>
      </c>
      <c r="AF2791">
        <v>-2.5373123622360798</v>
      </c>
      <c r="AG2791">
        <v>-1.123069784281</v>
      </c>
      <c r="AH2791">
        <v>21.345063029753401</v>
      </c>
      <c r="AI2791">
        <v>92.990820414240204</v>
      </c>
      <c r="AJ2791">
        <v>96.779005187522202</v>
      </c>
      <c r="AK2791">
        <v>21.524659242554002</v>
      </c>
      <c r="AL2791">
        <v>80.704529583059696</v>
      </c>
      <c r="AM2791">
        <v>100.75576246457599</v>
      </c>
      <c r="AN2791">
        <v>0.99999997773355898</v>
      </c>
    </row>
    <row r="2792" spans="1:40" x14ac:dyDescent="0.25">
      <c r="A2792" t="str">
        <f>"20190303162309574"</f>
        <v>20190303162309574</v>
      </c>
      <c r="B2792" t="str">
        <f>"1551601389566983"</f>
        <v>1551601389566983</v>
      </c>
      <c r="C2792" t="s">
        <v>40</v>
      </c>
      <c r="D2792">
        <v>5.1599760000000003</v>
      </c>
      <c r="E2792">
        <v>0.52370729999999999</v>
      </c>
      <c r="F2792" t="s">
        <v>46</v>
      </c>
      <c r="G2792">
        <v>-491.89850000000001</v>
      </c>
      <c r="H2792" s="1">
        <v>5.2192519999999997E-6</v>
      </c>
      <c r="I2792">
        <v>226.44220000000001</v>
      </c>
      <c r="J2792">
        <v>-492.58420000000001</v>
      </c>
      <c r="K2792">
        <v>1.123192</v>
      </c>
      <c r="L2792">
        <v>247.76820000000001</v>
      </c>
      <c r="M2792">
        <v>-8.4446679999999996E-2</v>
      </c>
      <c r="N2792">
        <v>-1.1848300000000001E-2</v>
      </c>
      <c r="O2792">
        <v>-0.99635759999999995</v>
      </c>
      <c r="P2792">
        <v>9.7760089999999994E-2</v>
      </c>
      <c r="Q2792">
        <v>0.15011150000000001</v>
      </c>
      <c r="R2792">
        <v>-0.98382420000000004</v>
      </c>
      <c r="S2792">
        <v>9.5428470000000001E-2</v>
      </c>
      <c r="T2792">
        <v>-0.15985360000000001</v>
      </c>
      <c r="U2792">
        <v>-3.0648650000000002</v>
      </c>
      <c r="V2792">
        <v>-0.1814405</v>
      </c>
      <c r="W2792">
        <v>0.1605586</v>
      </c>
      <c r="X2792">
        <v>0.97020629999999997</v>
      </c>
      <c r="Y2792">
        <v>-0.11535280000000001</v>
      </c>
      <c r="Z2792">
        <v>3.9769110000000003E-2</v>
      </c>
      <c r="AA2792">
        <v>0.99252810000000002</v>
      </c>
      <c r="AB2792">
        <v>27</v>
      </c>
      <c r="AC2792">
        <v>0.68569999999999698</v>
      </c>
      <c r="AD2792">
        <v>-1.123186780748</v>
      </c>
      <c r="AE2792">
        <v>-21.326000000000001</v>
      </c>
      <c r="AF2792">
        <v>-2.4774216384303398</v>
      </c>
      <c r="AG2792">
        <v>-1.123186780748</v>
      </c>
      <c r="AH2792">
        <v>21.133343182361902</v>
      </c>
      <c r="AI2792">
        <v>93.021619089679803</v>
      </c>
      <c r="AJ2792">
        <v>96.686158714202904</v>
      </c>
      <c r="AK2792">
        <v>21.307683135021801</v>
      </c>
      <c r="AL2792">
        <v>80.760679084383199</v>
      </c>
      <c r="AM2792">
        <v>100.592658090329</v>
      </c>
      <c r="AN2792">
        <v>0.99999999181694998</v>
      </c>
    </row>
    <row r="2793" spans="1:40" x14ac:dyDescent="0.25">
      <c r="A2793" t="str">
        <f>"20190303162309589"</f>
        <v>20190303162309589</v>
      </c>
      <c r="B2793" t="str">
        <f>"1551601389577719"</f>
        <v>1551601389577719</v>
      </c>
      <c r="C2793" t="s">
        <v>40</v>
      </c>
      <c r="D2793">
        <v>5.1668229999999999</v>
      </c>
      <c r="E2793">
        <v>0.52373329999999996</v>
      </c>
      <c r="F2793" t="s">
        <v>46</v>
      </c>
      <c r="G2793">
        <v>-491.90219999999999</v>
      </c>
      <c r="H2793" s="1">
        <v>5.2268880000000004E-6</v>
      </c>
      <c r="I2793">
        <v>226.46960000000001</v>
      </c>
      <c r="J2793">
        <v>-492.59629999999999</v>
      </c>
      <c r="K2793">
        <v>1.123278</v>
      </c>
      <c r="L2793">
        <v>247.59710000000001</v>
      </c>
      <c r="M2793">
        <v>-8.2137680000000005E-2</v>
      </c>
      <c r="N2793">
        <v>-1.185422E-2</v>
      </c>
      <c r="O2793">
        <v>-0.99655059999999995</v>
      </c>
      <c r="P2793">
        <v>9.818143E-2</v>
      </c>
      <c r="Q2793">
        <v>0.14906730000000001</v>
      </c>
      <c r="R2793">
        <v>-0.98394079999999995</v>
      </c>
      <c r="S2793">
        <v>9.8114010000000001E-2</v>
      </c>
      <c r="T2793">
        <v>-0.1615945</v>
      </c>
      <c r="U2793">
        <v>-3.06427</v>
      </c>
      <c r="V2793">
        <v>-0.1796479</v>
      </c>
      <c r="W2793">
        <v>0.15949539999999901</v>
      </c>
      <c r="X2793">
        <v>0.9707152</v>
      </c>
      <c r="Y2793">
        <v>-0.1139254</v>
      </c>
      <c r="Z2793">
        <v>4.0353109999999998E-2</v>
      </c>
      <c r="AA2793">
        <v>0.99266949999999998</v>
      </c>
      <c r="AB2793">
        <v>27</v>
      </c>
      <c r="AC2793">
        <v>0.69409999999999095</v>
      </c>
      <c r="AD2793">
        <v>-1.123272773112</v>
      </c>
      <c r="AE2793">
        <v>-21.127500000000001</v>
      </c>
      <c r="AF2793">
        <v>-2.4204055884834799</v>
      </c>
      <c r="AG2793">
        <v>-1.123272773112</v>
      </c>
      <c r="AH2793">
        <v>20.939957791982</v>
      </c>
      <c r="AI2793">
        <v>93.050278521130195</v>
      </c>
      <c r="AJ2793">
        <v>96.593438279855704</v>
      </c>
      <c r="AK2793">
        <v>21.109285569757301</v>
      </c>
      <c r="AL2793">
        <v>80.822392038639094</v>
      </c>
      <c r="AM2793">
        <v>100.48496127411801</v>
      </c>
      <c r="AN2793">
        <v>1.0000000750533</v>
      </c>
    </row>
    <row r="2794" spans="1:40" x14ac:dyDescent="0.25">
      <c r="A2794" t="str">
        <f>"20190303162309603"</f>
        <v>20190303162309603</v>
      </c>
      <c r="B2794" t="str">
        <f>"1551601389597239"</f>
        <v>1551601389597239</v>
      </c>
      <c r="C2794" t="s">
        <v>40</v>
      </c>
      <c r="D2794">
        <v>5.1709329999999998</v>
      </c>
      <c r="E2794">
        <v>0.52378959999999997</v>
      </c>
      <c r="F2794" t="s">
        <v>46</v>
      </c>
      <c r="G2794">
        <v>-491.91120000000001</v>
      </c>
      <c r="H2794" s="1">
        <v>5.2533780000000002E-6</v>
      </c>
      <c r="I2794">
        <v>226.5615</v>
      </c>
      <c r="J2794">
        <v>-492.6078</v>
      </c>
      <c r="K2794">
        <v>1.1233580000000001</v>
      </c>
      <c r="L2794">
        <v>247.43090000000001</v>
      </c>
      <c r="M2794">
        <v>-7.9840040000000001E-2</v>
      </c>
      <c r="N2794">
        <v>-1.1859949999999999E-2</v>
      </c>
      <c r="O2794">
        <v>-0.9967374</v>
      </c>
      <c r="P2794">
        <v>9.9446480000000004E-2</v>
      </c>
      <c r="Q2794">
        <v>0.14801220000000001</v>
      </c>
      <c r="R2794">
        <v>-0.9839734</v>
      </c>
      <c r="S2794">
        <v>9.9792480000000003E-2</v>
      </c>
      <c r="T2794">
        <v>-0.16360279999999999</v>
      </c>
      <c r="U2794">
        <v>-3.0637970000000001</v>
      </c>
      <c r="V2794">
        <v>-0.17869549999999901</v>
      </c>
      <c r="W2794">
        <v>0.1584187</v>
      </c>
      <c r="X2794">
        <v>0.97106709999999996</v>
      </c>
      <c r="Y2794">
        <v>-0.1121824</v>
      </c>
      <c r="Z2794">
        <v>4.102285E-2</v>
      </c>
      <c r="AA2794">
        <v>0.99284050000000001</v>
      </c>
      <c r="AB2794">
        <v>27</v>
      </c>
      <c r="AC2794">
        <v>0.69659999999998901</v>
      </c>
      <c r="AD2794">
        <v>-1.1233527466219999</v>
      </c>
      <c r="AE2794">
        <v>-20.869399999999999</v>
      </c>
      <c r="AF2794">
        <v>-2.3538937615843301</v>
      </c>
      <c r="AG2794">
        <v>-1.1233527466219999</v>
      </c>
      <c r="AH2794">
        <v>20.687275410939598</v>
      </c>
      <c r="AI2794">
        <v>93.088312666108195</v>
      </c>
      <c r="AJ2794">
        <v>96.491459697748695</v>
      </c>
      <c r="AK2794">
        <v>20.851045565204501</v>
      </c>
      <c r="AL2794">
        <v>80.884875619972902</v>
      </c>
      <c r="AM2794">
        <v>100.42690163175899</v>
      </c>
      <c r="AN2794">
        <v>0.99999993946617305</v>
      </c>
    </row>
    <row r="2795" spans="1:40" x14ac:dyDescent="0.25">
      <c r="A2795" t="str">
        <f>"20190303162309617"</f>
        <v>20190303162309617</v>
      </c>
      <c r="B2795" t="str">
        <f>"1551601389606999"</f>
        <v>1551601389606999</v>
      </c>
      <c r="C2795" t="s">
        <v>40</v>
      </c>
      <c r="D2795">
        <v>5.181451</v>
      </c>
      <c r="E2795">
        <v>0.52372220000000003</v>
      </c>
      <c r="F2795" t="s">
        <v>46</v>
      </c>
      <c r="G2795">
        <v>-491.9248</v>
      </c>
      <c r="H2795" s="1">
        <v>5.4232949999999999E-6</v>
      </c>
      <c r="I2795">
        <v>227.1198</v>
      </c>
      <c r="J2795">
        <v>-492.61900000000003</v>
      </c>
      <c r="K2795">
        <v>1.123426</v>
      </c>
      <c r="L2795">
        <v>247.25630000000001</v>
      </c>
      <c r="M2795">
        <v>-7.7352550000000006E-2</v>
      </c>
      <c r="N2795">
        <v>-1.1865469999999999E-2</v>
      </c>
      <c r="O2795">
        <v>-0.99693339999999997</v>
      </c>
      <c r="P2795">
        <v>0.1007513</v>
      </c>
      <c r="Q2795">
        <v>0.14688960000000001</v>
      </c>
      <c r="R2795">
        <v>-0.98400869999999996</v>
      </c>
      <c r="S2795">
        <v>0.1030273</v>
      </c>
      <c r="T2795">
        <v>-0.16945929999999901</v>
      </c>
      <c r="U2795">
        <v>-3.063965</v>
      </c>
      <c r="V2795">
        <v>-0.17759229999999901</v>
      </c>
      <c r="W2795">
        <v>0.15728110000000001</v>
      </c>
      <c r="X2795">
        <v>0.97145440000000005</v>
      </c>
      <c r="Y2795">
        <v>-0.1107445</v>
      </c>
      <c r="Z2795">
        <v>4.2922639999999998E-2</v>
      </c>
      <c r="AA2795">
        <v>0.99292159999999996</v>
      </c>
      <c r="AB2795">
        <v>27</v>
      </c>
      <c r="AC2795">
        <v>0.69420000000002302</v>
      </c>
      <c r="AD2795">
        <v>-1.1234205767050001</v>
      </c>
      <c r="AE2795">
        <v>-20.136500000000002</v>
      </c>
      <c r="AF2795">
        <v>-2.2428659575857499</v>
      </c>
      <c r="AG2795">
        <v>-1.1234205767050001</v>
      </c>
      <c r="AH2795">
        <v>19.960402621807699</v>
      </c>
      <c r="AI2795">
        <v>93.201245013675901</v>
      </c>
      <c r="AJ2795">
        <v>96.411191775979106</v>
      </c>
      <c r="AK2795">
        <v>20.117410228966602</v>
      </c>
      <c r="AL2795">
        <v>80.950883478200595</v>
      </c>
      <c r="AM2795">
        <v>100.35988653996699</v>
      </c>
      <c r="AN2795">
        <v>1.0000000103579301</v>
      </c>
    </row>
    <row r="2796" spans="1:40" x14ac:dyDescent="0.25">
      <c r="A2796" t="str">
        <f>"20190303162309641"</f>
        <v>20190303162309641</v>
      </c>
      <c r="B2796" t="str">
        <f>"1551601389627495"</f>
        <v>1551601389627495</v>
      </c>
      <c r="C2796" t="s">
        <v>40</v>
      </c>
      <c r="D2796">
        <v>5.1855500000000001</v>
      </c>
      <c r="E2796">
        <v>0.523702</v>
      </c>
      <c r="F2796" t="s">
        <v>46</v>
      </c>
      <c r="G2796">
        <v>-491.91820000000001</v>
      </c>
      <c r="H2796" s="1">
        <v>5.515249E-6</v>
      </c>
      <c r="I2796">
        <v>227.4119</v>
      </c>
      <c r="J2796">
        <v>-492.63600000000002</v>
      </c>
      <c r="K2796">
        <v>1.1235170000000001</v>
      </c>
      <c r="L2796">
        <v>246.98310000000001</v>
      </c>
      <c r="M2796">
        <v>-7.3385839999999994E-2</v>
      </c>
      <c r="N2796">
        <v>-1.187269E-2</v>
      </c>
      <c r="O2796">
        <v>-0.99723300000000004</v>
      </c>
      <c r="P2796">
        <v>0.10358100000000001</v>
      </c>
      <c r="Q2796">
        <v>0.1466845</v>
      </c>
      <c r="R2796">
        <v>-0.98374550000000005</v>
      </c>
      <c r="S2796">
        <v>0.1081848</v>
      </c>
      <c r="T2796">
        <v>-0.17343439999999999</v>
      </c>
      <c r="U2796">
        <v>-3.063599</v>
      </c>
      <c r="V2796">
        <v>-0.17655499999999999</v>
      </c>
      <c r="W2796">
        <v>0.1570532</v>
      </c>
      <c r="X2796">
        <v>0.97168030000000005</v>
      </c>
      <c r="Y2796">
        <v>-0.108462</v>
      </c>
      <c r="Z2796">
        <v>4.423498E-2</v>
      </c>
      <c r="AA2796">
        <v>0.99311590000000005</v>
      </c>
      <c r="AB2796">
        <v>27</v>
      </c>
      <c r="AC2796">
        <v>0.71779999999995403</v>
      </c>
      <c r="AD2796">
        <v>-1.1235114847509999</v>
      </c>
      <c r="AE2796">
        <v>-19.571200000000001</v>
      </c>
      <c r="AF2796">
        <v>-2.14515454656628</v>
      </c>
      <c r="AG2796">
        <v>-1.1235114847509999</v>
      </c>
      <c r="AH2796">
        <v>19.401888320178699</v>
      </c>
      <c r="AI2796">
        <v>93.294115732014205</v>
      </c>
      <c r="AJ2796">
        <v>96.309237169255098</v>
      </c>
      <c r="AK2796">
        <v>19.552422777592199</v>
      </c>
      <c r="AL2796">
        <v>80.964105328787497</v>
      </c>
      <c r="AM2796">
        <v>100.29833105215</v>
      </c>
      <c r="AN2796">
        <v>0.999999990531665</v>
      </c>
    </row>
    <row r="2797" spans="1:40" x14ac:dyDescent="0.25">
      <c r="A2797" t="str">
        <f>"20190303162309664"</f>
        <v>20190303162309664</v>
      </c>
      <c r="B2797" t="str">
        <f>"1551601389656775"</f>
        <v>1551601389656775</v>
      </c>
      <c r="C2797" t="s">
        <v>40</v>
      </c>
      <c r="D2797">
        <v>5.2229910000000004</v>
      </c>
      <c r="E2797">
        <v>0.52408250000000001</v>
      </c>
      <c r="F2797" t="s">
        <v>46</v>
      </c>
      <c r="G2797">
        <v>-491.87110000000001</v>
      </c>
      <c r="H2797" s="1">
        <v>5.4497370000000001E-6</v>
      </c>
      <c r="I2797">
        <v>227.16669999999999</v>
      </c>
      <c r="J2797">
        <v>-492.65129999999999</v>
      </c>
      <c r="K2797">
        <v>1.1235619999999999</v>
      </c>
      <c r="L2797">
        <v>246.7165</v>
      </c>
      <c r="M2797">
        <v>-6.9442959999999998E-2</v>
      </c>
      <c r="N2797">
        <v>-1.1878100000000001E-2</v>
      </c>
      <c r="O2797">
        <v>-0.99751529999999999</v>
      </c>
      <c r="P2797">
        <v>0.1068868</v>
      </c>
      <c r="Q2797">
        <v>0.1458807</v>
      </c>
      <c r="R2797">
        <v>-0.98351140000000004</v>
      </c>
      <c r="S2797">
        <v>0.1182251</v>
      </c>
      <c r="T2797">
        <v>-0.17366099999999901</v>
      </c>
      <c r="U2797">
        <v>-3.0630190000000002</v>
      </c>
      <c r="V2797">
        <v>-0.17600260000000001</v>
      </c>
      <c r="W2797">
        <v>0.1562385</v>
      </c>
      <c r="X2797">
        <v>0.97191179999999999</v>
      </c>
      <c r="Y2797">
        <v>-0.1077897</v>
      </c>
      <c r="Z2797">
        <v>4.4335399999999997E-2</v>
      </c>
      <c r="AA2797">
        <v>0.99318459999999997</v>
      </c>
      <c r="AB2797">
        <v>27</v>
      </c>
      <c r="AC2797">
        <v>0.78019999999997902</v>
      </c>
      <c r="AD2797">
        <v>-1.1235565502630001</v>
      </c>
      <c r="AE2797">
        <v>-19.549800000000001</v>
      </c>
      <c r="AF2797">
        <v>-2.12898709676274</v>
      </c>
      <c r="AG2797">
        <v>-1.1235565502630001</v>
      </c>
      <c r="AH2797">
        <v>19.384490749574798</v>
      </c>
      <c r="AI2797">
        <v>93.297460848881002</v>
      </c>
      <c r="AJ2797">
        <v>96.267640826692997</v>
      </c>
      <c r="AK2797">
        <v>19.533393125623899</v>
      </c>
      <c r="AL2797">
        <v>81.011367436887795</v>
      </c>
      <c r="AM2797">
        <v>100.26440282921099</v>
      </c>
      <c r="AN2797">
        <v>0.99999996553412396</v>
      </c>
    </row>
    <row r="2798" spans="1:40" x14ac:dyDescent="0.25">
      <c r="A2798" t="str">
        <f>"20190303162309687"</f>
        <v>20190303162309687</v>
      </c>
      <c r="B2798" t="str">
        <f>"1551601389677271"</f>
        <v>1551601389677271</v>
      </c>
      <c r="C2798" t="s">
        <v>40</v>
      </c>
      <c r="D2798">
        <v>5.2233130000000001</v>
      </c>
      <c r="E2798">
        <v>0.52428640000000004</v>
      </c>
      <c r="F2798" t="s">
        <v>46</v>
      </c>
      <c r="G2798">
        <v>-491.88749999999999</v>
      </c>
      <c r="H2798" s="1">
        <v>5.684003E-6</v>
      </c>
      <c r="I2798">
        <v>227.93459999999999</v>
      </c>
      <c r="J2798">
        <v>-492.66579999999999</v>
      </c>
      <c r="K2798">
        <v>1.123586</v>
      </c>
      <c r="L2798">
        <v>246.44409999999999</v>
      </c>
      <c r="M2798">
        <v>-6.5377649999999995E-2</v>
      </c>
      <c r="N2798">
        <v>-1.1882490000000001E-2</v>
      </c>
      <c r="O2798">
        <v>-0.99778999999999995</v>
      </c>
      <c r="P2798">
        <v>0.112038</v>
      </c>
      <c r="Q2798">
        <v>0.14457490000000001</v>
      </c>
      <c r="R2798">
        <v>-0.98313090000000003</v>
      </c>
      <c r="S2798">
        <v>0.1246033</v>
      </c>
      <c r="T2798">
        <v>-0.1832907</v>
      </c>
      <c r="U2798">
        <v>-3.063965</v>
      </c>
      <c r="V2798">
        <v>-0.17714920000000001</v>
      </c>
      <c r="W2798">
        <v>0.15491769999999999</v>
      </c>
      <c r="X2798">
        <v>0.97191490000000003</v>
      </c>
      <c r="Y2798">
        <v>-0.1057838</v>
      </c>
      <c r="Z2798">
        <v>4.7449760000000001E-2</v>
      </c>
      <c r="AA2798">
        <v>0.99325640000000004</v>
      </c>
      <c r="AB2798">
        <v>27</v>
      </c>
      <c r="AC2798">
        <v>0.77830000000000099</v>
      </c>
      <c r="AD2798">
        <v>-1.1235803159969999</v>
      </c>
      <c r="AE2798">
        <v>-18.509499999999999</v>
      </c>
      <c r="AF2798">
        <v>-1.9795460852337601</v>
      </c>
      <c r="AG2798">
        <v>-1.1235803159969999</v>
      </c>
      <c r="AH2798">
        <v>18.351505004675499</v>
      </c>
      <c r="AI2798">
        <v>93.4834330032906</v>
      </c>
      <c r="AJ2798">
        <v>96.156594835485805</v>
      </c>
      <c r="AK2798">
        <v>18.4921272807292</v>
      </c>
      <c r="AL2798">
        <v>81.087976420530396</v>
      </c>
      <c r="AM2798">
        <v>100.32980471718</v>
      </c>
      <c r="AN2798">
        <v>0.99999995283796805</v>
      </c>
    </row>
    <row r="2799" spans="1:40" x14ac:dyDescent="0.25">
      <c r="A2799" t="str">
        <f>"20190303162309707"</f>
        <v>20190303162309707</v>
      </c>
      <c r="B2799" t="str">
        <f>"1551601389696791"</f>
        <v>1551601389696791</v>
      </c>
      <c r="C2799" t="s">
        <v>40</v>
      </c>
      <c r="D2799">
        <v>5.2854409999999996</v>
      </c>
      <c r="E2799">
        <v>0.52458760000000004</v>
      </c>
      <c r="F2799" t="s">
        <v>46</v>
      </c>
      <c r="G2799">
        <v>-491.8571</v>
      </c>
      <c r="H2799" s="1">
        <v>5.8368249999999998E-6</v>
      </c>
      <c r="I2799">
        <v>228.40620000000001</v>
      </c>
      <c r="J2799">
        <v>-492.67790000000002</v>
      </c>
      <c r="K2799">
        <v>1.1235919999999999</v>
      </c>
      <c r="L2799">
        <v>246.19649999999999</v>
      </c>
      <c r="M2799">
        <v>-6.1674319999999998E-2</v>
      </c>
      <c r="N2799">
        <v>-1.1885730000000001E-2</v>
      </c>
      <c r="O2799">
        <v>-0.99802570000000002</v>
      </c>
      <c r="P2799">
        <v>0.1162048</v>
      </c>
      <c r="Q2799">
        <v>0.1449474</v>
      </c>
      <c r="R2799">
        <v>-0.98259200000000002</v>
      </c>
      <c r="S2799">
        <v>0.1373596</v>
      </c>
      <c r="T2799">
        <v>-0.1908492</v>
      </c>
      <c r="U2799">
        <v>-3.0638890000000001</v>
      </c>
      <c r="V2799">
        <v>-0.177665299999999</v>
      </c>
      <c r="W2799">
        <v>0.15528510000000001</v>
      </c>
      <c r="X2799">
        <v>0.97176209999999996</v>
      </c>
      <c r="Y2799">
        <v>-0.1062153</v>
      </c>
      <c r="Z2799">
        <v>4.9901519999999998E-2</v>
      </c>
      <c r="AA2799">
        <v>0.99309020000000003</v>
      </c>
      <c r="AB2799">
        <v>27</v>
      </c>
      <c r="AC2799">
        <v>0.82080000000001896</v>
      </c>
      <c r="AD2799">
        <v>-1.1235861631749999</v>
      </c>
      <c r="AE2799">
        <v>-17.790299999999899</v>
      </c>
      <c r="AF2799">
        <v>-1.90892105057251</v>
      </c>
      <c r="AG2799">
        <v>-1.1235861631749999</v>
      </c>
      <c r="AH2799">
        <v>17.635606334679998</v>
      </c>
      <c r="AI2799">
        <v>93.624344010803597</v>
      </c>
      <c r="AJ2799">
        <v>96.177782689841493</v>
      </c>
      <c r="AK2799">
        <v>17.7741676664536</v>
      </c>
      <c r="AL2799">
        <v>81.066668513611603</v>
      </c>
      <c r="AM2799">
        <v>100.36084214176699</v>
      </c>
      <c r="AN2799">
        <v>1.0000000000512499</v>
      </c>
    </row>
    <row r="2800" spans="1:40" x14ac:dyDescent="0.25">
      <c r="A2800" t="str">
        <f>"20190303162309729"</f>
        <v>20190303162309729</v>
      </c>
      <c r="B2800" t="str">
        <f>"1551601389717287"</f>
        <v>1551601389717287</v>
      </c>
      <c r="C2800" t="s">
        <v>40</v>
      </c>
      <c r="D2800">
        <v>5.3030499999999998</v>
      </c>
      <c r="E2800">
        <v>0.52470559999999999</v>
      </c>
      <c r="F2800" t="s">
        <v>46</v>
      </c>
      <c r="G2800">
        <v>-491.81319999999999</v>
      </c>
      <c r="H2800" s="1">
        <v>5.8167289999999999E-6</v>
      </c>
      <c r="I2800">
        <v>228.3099</v>
      </c>
      <c r="J2800">
        <v>-492.68990000000002</v>
      </c>
      <c r="K2800">
        <v>1.1235919999999999</v>
      </c>
      <c r="L2800">
        <v>245.93450000000001</v>
      </c>
      <c r="M2800">
        <v>-5.7766720000000001E-2</v>
      </c>
      <c r="N2800">
        <v>-1.1888599999999999E-2</v>
      </c>
      <c r="O2800">
        <v>-0.99825940000000002</v>
      </c>
      <c r="P2800">
        <v>0.1200663</v>
      </c>
      <c r="Q2800">
        <v>0.14519749999999901</v>
      </c>
      <c r="R2800">
        <v>-0.98209089999999999</v>
      </c>
      <c r="S2800">
        <v>0.14813229999999999</v>
      </c>
      <c r="T2800">
        <v>-0.1924739</v>
      </c>
      <c r="U2800">
        <v>-3.064041</v>
      </c>
      <c r="V2800">
        <v>-0.17767939999999999</v>
      </c>
      <c r="W2800">
        <v>0.1555385</v>
      </c>
      <c r="X2800">
        <v>0.971719</v>
      </c>
      <c r="Y2800">
        <v>-0.10580299999999999</v>
      </c>
      <c r="Z2800">
        <v>5.0437950000000002E-2</v>
      </c>
      <c r="AA2800">
        <v>0.99310710000000002</v>
      </c>
      <c r="AB2800">
        <v>27</v>
      </c>
      <c r="AC2800">
        <v>0.87670000000002801</v>
      </c>
      <c r="AD2800">
        <v>-1.1235861832709999</v>
      </c>
      <c r="AE2800">
        <v>-17.624600000000001</v>
      </c>
      <c r="AF2800">
        <v>-1.8857777610903499</v>
      </c>
      <c r="AG2800">
        <v>-1.1235861832709999</v>
      </c>
      <c r="AH2800">
        <v>17.473675925762699</v>
      </c>
      <c r="AI2800">
        <v>93.657965733619903</v>
      </c>
      <c r="AJ2800">
        <v>96.159582054883899</v>
      </c>
      <c r="AK2800">
        <v>17.611017972679502</v>
      </c>
      <c r="AL2800">
        <v>81.051971227886597</v>
      </c>
      <c r="AM2800">
        <v>100.362096224591</v>
      </c>
      <c r="AN2800">
        <v>1.0000000045638</v>
      </c>
    </row>
    <row r="2801" spans="1:40" x14ac:dyDescent="0.25">
      <c r="A2801" t="str">
        <f>"20190303162309754"</f>
        <v>20190303162309754</v>
      </c>
      <c r="B2801" t="str">
        <f>"1551601389747544"</f>
        <v>1551601389747544</v>
      </c>
      <c r="C2801" t="s">
        <v>40</v>
      </c>
      <c r="D2801">
        <v>5.3178939999999999</v>
      </c>
      <c r="E2801">
        <v>0.52515480000000003</v>
      </c>
      <c r="F2801" t="s">
        <v>46</v>
      </c>
      <c r="G2801">
        <v>-491.76049999999998</v>
      </c>
      <c r="H2801" s="1">
        <v>5.8221289999999999E-6</v>
      </c>
      <c r="I2801">
        <v>228.28960000000001</v>
      </c>
      <c r="J2801">
        <v>-492.702</v>
      </c>
      <c r="K2801">
        <v>1.1235839999999999</v>
      </c>
      <c r="L2801">
        <v>245.6403</v>
      </c>
      <c r="M2801">
        <v>-5.3409789999999999E-2</v>
      </c>
      <c r="N2801">
        <v>-1.189116E-2</v>
      </c>
      <c r="O2801">
        <v>-0.99850209999999995</v>
      </c>
      <c r="P2801">
        <v>0.1246655</v>
      </c>
      <c r="Q2801">
        <v>0.1451269</v>
      </c>
      <c r="R2801">
        <v>-0.98152830000000002</v>
      </c>
      <c r="S2801">
        <v>0.16137699999999999</v>
      </c>
      <c r="T2801">
        <v>-0.1950963</v>
      </c>
      <c r="U2801">
        <v>-3.063812</v>
      </c>
      <c r="V2801">
        <v>-0.1779876</v>
      </c>
      <c r="W2801">
        <v>0.1554721</v>
      </c>
      <c r="X2801">
        <v>0.97167329999999996</v>
      </c>
      <c r="Y2801">
        <v>-0.1057464</v>
      </c>
      <c r="Z2801">
        <v>5.1302720000000003E-2</v>
      </c>
      <c r="AA2801">
        <v>0.99306879999999997</v>
      </c>
      <c r="AB2801">
        <v>27</v>
      </c>
      <c r="AC2801">
        <v>0.94150000000001899</v>
      </c>
      <c r="AD2801">
        <v>-1.1235781778709999</v>
      </c>
      <c r="AE2801">
        <v>-17.3506999999999</v>
      </c>
      <c r="AF2801">
        <v>-1.85914518273393</v>
      </c>
      <c r="AG2801">
        <v>-1.1235781778709999</v>
      </c>
      <c r="AH2801">
        <v>17.203711328250598</v>
      </c>
      <c r="AI2801">
        <v>93.715123927551303</v>
      </c>
      <c r="AJ2801">
        <v>96.167819684679898</v>
      </c>
      <c r="AK2801">
        <v>17.340315227759</v>
      </c>
      <c r="AL2801">
        <v>81.055823205660403</v>
      </c>
      <c r="AM2801">
        <v>100.38015737252</v>
      </c>
      <c r="AN2801">
        <v>1.00000008078252</v>
      </c>
    </row>
    <row r="2802" spans="1:40" x14ac:dyDescent="0.25">
      <c r="A2802" t="str">
        <f>"20190303162309775"</f>
        <v>20190303162309775</v>
      </c>
      <c r="B2802" t="str">
        <f>"1551601389767063"</f>
        <v>1551601389767063</v>
      </c>
      <c r="C2802" t="s">
        <v>40</v>
      </c>
      <c r="D2802">
        <v>5.3114800000000004</v>
      </c>
      <c r="E2802">
        <v>0.52546800000000005</v>
      </c>
      <c r="F2802" t="s">
        <v>46</v>
      </c>
      <c r="G2802">
        <v>-491.72089999999997</v>
      </c>
      <c r="H2802" s="1">
        <v>5.822947E-6</v>
      </c>
      <c r="I2802">
        <v>228.26390000000001</v>
      </c>
      <c r="J2802">
        <v>-492.71140000000003</v>
      </c>
      <c r="K2802">
        <v>1.123561</v>
      </c>
      <c r="L2802">
        <v>245.38589999999999</v>
      </c>
      <c r="M2802">
        <v>-4.9676390000000001E-2</v>
      </c>
      <c r="N2802">
        <v>-1.1892700000000001E-2</v>
      </c>
      <c r="O2802">
        <v>-0.99869459999999999</v>
      </c>
      <c r="P2802">
        <v>0.12965950000000001</v>
      </c>
      <c r="Q2802">
        <v>0.1443304</v>
      </c>
      <c r="R2802">
        <v>-0.98099820000000004</v>
      </c>
      <c r="S2802">
        <v>0.17297360000000001</v>
      </c>
      <c r="T2802">
        <v>-0.19810839999999999</v>
      </c>
      <c r="U2802">
        <v>-3.0637819999999998</v>
      </c>
      <c r="V2802">
        <v>-0.17929729999999999</v>
      </c>
      <c r="W2802">
        <v>0.1546737</v>
      </c>
      <c r="X2802">
        <v>0.97155979999999997</v>
      </c>
      <c r="Y2802">
        <v>-0.1057736</v>
      </c>
      <c r="Z2802">
        <v>5.2286109999999997E-2</v>
      </c>
      <c r="AA2802">
        <v>0.99301459999999997</v>
      </c>
      <c r="AB2802">
        <v>27</v>
      </c>
      <c r="AC2802">
        <v>0.990500000000054</v>
      </c>
      <c r="AD2802">
        <v>-1.1235551770529999</v>
      </c>
      <c r="AE2802">
        <v>-17.1219999999999</v>
      </c>
      <c r="AF2802">
        <v>-1.8320336623843201</v>
      </c>
      <c r="AG2802">
        <v>-1.1235551770529999</v>
      </c>
      <c r="AH2802">
        <v>16.978781909517402</v>
      </c>
      <c r="AI2802">
        <v>93.764189444652303</v>
      </c>
      <c r="AJ2802">
        <v>96.158465899890402</v>
      </c>
      <c r="AK2802">
        <v>17.114256007987802</v>
      </c>
      <c r="AL2802">
        <v>81.102127222617796</v>
      </c>
      <c r="AM2802">
        <v>100.45605465647699</v>
      </c>
      <c r="AN2802">
        <v>0.99999996011750902</v>
      </c>
    </row>
    <row r="2803" spans="1:40" x14ac:dyDescent="0.25">
      <c r="A2803" t="str">
        <f>"20190303162309796"</f>
        <v>20190303162309796</v>
      </c>
      <c r="B2803" t="str">
        <f>"1551601389787559"</f>
        <v>1551601389787559</v>
      </c>
      <c r="C2803" t="s">
        <v>40</v>
      </c>
      <c r="D2803">
        <v>5.3179470000000002</v>
      </c>
      <c r="E2803">
        <v>0.52592640000000002</v>
      </c>
      <c r="F2803" t="s">
        <v>46</v>
      </c>
      <c r="G2803">
        <v>-491.68599999999998</v>
      </c>
      <c r="H2803" s="1">
        <v>5.8657630000000003E-6</v>
      </c>
      <c r="I2803">
        <v>228.37710000000001</v>
      </c>
      <c r="J2803">
        <v>-492.71969999999999</v>
      </c>
      <c r="K2803">
        <v>1.1235379999999999</v>
      </c>
      <c r="L2803">
        <v>245.14279999999999</v>
      </c>
      <c r="M2803">
        <v>-4.6144079999999997E-2</v>
      </c>
      <c r="N2803">
        <v>-1.1893630000000001E-2</v>
      </c>
      <c r="O2803">
        <v>-0.99886419999999998</v>
      </c>
      <c r="P2803">
        <v>0.13517589999999999</v>
      </c>
      <c r="Q2803">
        <v>0.14477779999999901</v>
      </c>
      <c r="R2803">
        <v>-0.98018780000000005</v>
      </c>
      <c r="S2803">
        <v>0.18469240000000001</v>
      </c>
      <c r="T2803">
        <v>-0.2023654</v>
      </c>
      <c r="U2803">
        <v>-3.0634769999999998</v>
      </c>
      <c r="V2803">
        <v>-0.18132229999999999</v>
      </c>
      <c r="W2803">
        <v>0.15511129999999901</v>
      </c>
      <c r="X2803">
        <v>0.97111420000000004</v>
      </c>
      <c r="Y2803">
        <v>-0.1060426</v>
      </c>
      <c r="Z2803">
        <v>5.3674390000000002E-2</v>
      </c>
      <c r="AA2803">
        <v>0.99291189999999996</v>
      </c>
      <c r="AB2803">
        <v>27</v>
      </c>
      <c r="AC2803">
        <v>1.0337000000000101</v>
      </c>
      <c r="AD2803">
        <v>-1.1235321342369999</v>
      </c>
      <c r="AE2803">
        <v>-16.765699999999899</v>
      </c>
      <c r="AF2803">
        <v>-1.79824605088173</v>
      </c>
      <c r="AG2803">
        <v>-1.1235321342369999</v>
      </c>
      <c r="AH2803">
        <v>16.625755206748501</v>
      </c>
      <c r="AI2803">
        <v>93.843695526307201</v>
      </c>
      <c r="AJ2803">
        <v>96.173128795858204</v>
      </c>
      <c r="AK2803">
        <v>16.760422116131199</v>
      </c>
      <c r="AL2803">
        <v>81.076749022913603</v>
      </c>
      <c r="AM2803">
        <v>100.57624004698199</v>
      </c>
      <c r="AN2803">
        <v>1.0000000406533001</v>
      </c>
    </row>
    <row r="2804" spans="1:40" x14ac:dyDescent="0.25">
      <c r="A2804" t="str">
        <f>"20190303162309821"</f>
        <v>20190303162309821</v>
      </c>
      <c r="B2804" t="str">
        <f>"1551601389816839"</f>
        <v>1551601389816839</v>
      </c>
      <c r="C2804" t="s">
        <v>40</v>
      </c>
      <c r="D2804">
        <v>5.3524510000000003</v>
      </c>
      <c r="E2804">
        <v>0.52659719999999999</v>
      </c>
      <c r="F2804" t="s">
        <v>46</v>
      </c>
      <c r="G2804">
        <v>-491.61860000000001</v>
      </c>
      <c r="H2804" s="1">
        <v>5.7478880000000002E-6</v>
      </c>
      <c r="I2804">
        <v>227.94839999999999</v>
      </c>
      <c r="J2804">
        <v>-492.7287</v>
      </c>
      <c r="K2804">
        <v>1.123508</v>
      </c>
      <c r="L2804">
        <v>244.84549999999999</v>
      </c>
      <c r="M2804">
        <v>-4.1877669999999999E-2</v>
      </c>
      <c r="N2804">
        <v>-1.1894139999999999E-2</v>
      </c>
      <c r="O2804">
        <v>-0.99905200000000005</v>
      </c>
      <c r="P2804">
        <v>0.14143349999999999</v>
      </c>
      <c r="Q2804">
        <v>0.14545150000000001</v>
      </c>
      <c r="R2804">
        <v>-0.97920410000000002</v>
      </c>
      <c r="S2804">
        <v>0.19616700000000001</v>
      </c>
      <c r="T2804">
        <v>-0.20015379999999999</v>
      </c>
      <c r="U2804">
        <v>-3.063126</v>
      </c>
      <c r="V2804">
        <v>-0.183368</v>
      </c>
      <c r="W2804">
        <v>0.15578059999999999</v>
      </c>
      <c r="X2804">
        <v>0.97062280000000001</v>
      </c>
      <c r="Y2804">
        <v>-0.10551099999999999</v>
      </c>
      <c r="Z2804">
        <v>5.2980600000000003E-2</v>
      </c>
      <c r="AA2804">
        <v>0.99300580000000005</v>
      </c>
      <c r="AB2804">
        <v>27</v>
      </c>
      <c r="AC2804">
        <v>1.1100999999999801</v>
      </c>
      <c r="AD2804">
        <v>-1.1235022521119999</v>
      </c>
      <c r="AE2804">
        <v>-16.897099999999899</v>
      </c>
      <c r="AF2804">
        <v>-1.80882471760758</v>
      </c>
      <c r="AG2804">
        <v>-1.1235022521119999</v>
      </c>
      <c r="AH2804">
        <v>16.761996334656502</v>
      </c>
      <c r="AI2804">
        <v>93.812546145804106</v>
      </c>
      <c r="AJ2804">
        <v>96.159082586491095</v>
      </c>
      <c r="AK2804">
        <v>16.896704569014901</v>
      </c>
      <c r="AL2804">
        <v>81.037928885978403</v>
      </c>
      <c r="AM2804">
        <v>100.698114477646</v>
      </c>
      <c r="AN2804">
        <v>1.00000001932009</v>
      </c>
    </row>
    <row r="2805" spans="1:40" x14ac:dyDescent="0.25">
      <c r="A2805" t="str">
        <f>"20190303162309843"</f>
        <v>20190303162309843</v>
      </c>
      <c r="B2805" t="str">
        <f>"1551601389837335"</f>
        <v>1551601389837335</v>
      </c>
      <c r="C2805" t="s">
        <v>40</v>
      </c>
      <c r="D2805">
        <v>5.351693</v>
      </c>
      <c r="E2805">
        <v>0.52700150000000001</v>
      </c>
      <c r="F2805" t="s">
        <v>46</v>
      </c>
      <c r="G2805">
        <v>-491.541</v>
      </c>
      <c r="H2805" s="1">
        <v>5.6140099999999998E-6</v>
      </c>
      <c r="I2805">
        <v>227.4607</v>
      </c>
      <c r="J2805">
        <v>-492.73540000000003</v>
      </c>
      <c r="K2805">
        <v>1.1234690000000001</v>
      </c>
      <c r="L2805">
        <v>244.59100000000001</v>
      </c>
      <c r="M2805">
        <v>-3.8281740000000002E-2</v>
      </c>
      <c r="N2805">
        <v>-1.1893819999999999E-2</v>
      </c>
      <c r="O2805">
        <v>-0.99919619999999998</v>
      </c>
      <c r="P2805">
        <v>0.14675920000000001</v>
      </c>
      <c r="Q2805">
        <v>0.14587329999999901</v>
      </c>
      <c r="R2805">
        <v>-0.97835720000000004</v>
      </c>
      <c r="S2805">
        <v>0.209259</v>
      </c>
      <c r="T2805">
        <v>-0.19794049999999999</v>
      </c>
      <c r="U2805">
        <v>-3.062897</v>
      </c>
      <c r="V2805">
        <v>-0.185145</v>
      </c>
      <c r="W2805">
        <v>0.1562026</v>
      </c>
      <c r="X2805">
        <v>0.97021749999999995</v>
      </c>
      <c r="Y2805">
        <v>-0.1061655</v>
      </c>
      <c r="Z2805">
        <v>5.227391E-2</v>
      </c>
      <c r="AA2805">
        <v>0.99297340000000001</v>
      </c>
      <c r="AB2805">
        <v>27</v>
      </c>
      <c r="AC2805">
        <v>1.1944000000000301</v>
      </c>
      <c r="AD2805">
        <v>-1.1234633859899901</v>
      </c>
      <c r="AE2805">
        <v>-17.130299999999899</v>
      </c>
      <c r="AF2805">
        <v>-1.8414662790042</v>
      </c>
      <c r="AG2805">
        <v>-1.1234633859899901</v>
      </c>
      <c r="AH2805">
        <v>16.999251368948102</v>
      </c>
      <c r="AI2805">
        <v>93.759193342706396</v>
      </c>
      <c r="AJ2805">
        <v>96.182532777479693</v>
      </c>
      <c r="AK2805">
        <v>17.135568713674299</v>
      </c>
      <c r="AL2805">
        <v>81.013449876281996</v>
      </c>
      <c r="AM2805">
        <v>100.80376717044901</v>
      </c>
      <c r="AN2805">
        <v>0.99999996028900395</v>
      </c>
    </row>
    <row r="2806" spans="1:40" x14ac:dyDescent="0.25">
      <c r="A2806" t="str">
        <f>"20190303162309864"</f>
        <v>20190303162309864</v>
      </c>
      <c r="B2806" t="str">
        <f>"1551601389856855"</f>
        <v>1551601389856855</v>
      </c>
      <c r="C2806" t="s">
        <v>40</v>
      </c>
      <c r="D2806">
        <v>5.5390829999999998</v>
      </c>
      <c r="E2806">
        <v>0.52689849999999905</v>
      </c>
      <c r="F2806" t="s">
        <v>46</v>
      </c>
      <c r="G2806">
        <v>-491.46699999999998</v>
      </c>
      <c r="H2806" s="1">
        <v>5.5465110000000003E-6</v>
      </c>
      <c r="I2806">
        <v>227.18989999999999</v>
      </c>
      <c r="J2806">
        <v>-492.74130000000002</v>
      </c>
      <c r="K2806">
        <v>1.1234150000000001</v>
      </c>
      <c r="L2806">
        <v>244.33260000000001</v>
      </c>
      <c r="M2806">
        <v>-3.4696999999999999E-2</v>
      </c>
      <c r="N2806">
        <v>-1.189287E-2</v>
      </c>
      <c r="O2806">
        <v>-0.99932739999999998</v>
      </c>
      <c r="P2806">
        <v>0.1534664</v>
      </c>
      <c r="Q2806">
        <v>0.14447079999999901</v>
      </c>
      <c r="R2806">
        <v>-0.97753610000000002</v>
      </c>
      <c r="S2806">
        <v>0.2232056</v>
      </c>
      <c r="T2806">
        <v>-0.19771459999999999</v>
      </c>
      <c r="U2806">
        <v>-3.0623629999999999</v>
      </c>
      <c r="V2806">
        <v>-0.188304</v>
      </c>
      <c r="W2806">
        <v>0.15479519999999999</v>
      </c>
      <c r="X2806">
        <v>0.96983509999999995</v>
      </c>
      <c r="Y2806">
        <v>-0.10710980000000001</v>
      </c>
      <c r="Z2806">
        <v>5.2212660000000001E-2</v>
      </c>
      <c r="AA2806">
        <v>0.99287530000000002</v>
      </c>
      <c r="AB2806">
        <v>27</v>
      </c>
      <c r="AC2806">
        <v>1.27430000000003</v>
      </c>
      <c r="AD2806">
        <v>-1.123409453489</v>
      </c>
      <c r="AE2806">
        <v>-17.142700000000001</v>
      </c>
      <c r="AF2806">
        <v>-1.86042896741035</v>
      </c>
      <c r="AG2806">
        <v>-1.123409453489</v>
      </c>
      <c r="AH2806">
        <v>17.0154867425391</v>
      </c>
      <c r="AI2806">
        <v>93.755029782914306</v>
      </c>
      <c r="AJ2806">
        <v>96.239785109517101</v>
      </c>
      <c r="AK2806">
        <v>17.153717784448201</v>
      </c>
      <c r="AL2806">
        <v>81.095081599341697</v>
      </c>
      <c r="AM2806">
        <v>100.987882797935</v>
      </c>
      <c r="AN2806">
        <v>1.0000000357755201</v>
      </c>
    </row>
    <row r="2807" spans="1:40" x14ac:dyDescent="0.25">
      <c r="A2807" t="str">
        <f>"20190303162309890"</f>
        <v>20190303162309890</v>
      </c>
      <c r="B2807" t="str">
        <f>"1551601389877351"</f>
        <v>1551601389877351</v>
      </c>
      <c r="C2807" t="s">
        <v>40</v>
      </c>
      <c r="D2807">
        <v>5.3753900000000003</v>
      </c>
      <c r="E2807">
        <v>0.47036610000000001</v>
      </c>
      <c r="F2807" t="s">
        <v>46</v>
      </c>
      <c r="G2807">
        <v>-491.38819999999998</v>
      </c>
      <c r="H2807" s="1">
        <v>5.6361600000000001E-6</v>
      </c>
      <c r="I2807">
        <v>227.4228</v>
      </c>
      <c r="J2807">
        <v>-492.74700000000001</v>
      </c>
      <c r="K2807">
        <v>1.1233439999999999</v>
      </c>
      <c r="L2807">
        <v>244.02979999999999</v>
      </c>
      <c r="M2807">
        <v>-3.058427E-2</v>
      </c>
      <c r="N2807">
        <v>-1.1891250000000001E-2</v>
      </c>
      <c r="O2807">
        <v>-0.9994615</v>
      </c>
      <c r="P2807">
        <v>0.16292690000000001</v>
      </c>
      <c r="Q2807">
        <v>0.1424474</v>
      </c>
      <c r="R2807">
        <v>-0.97630110000000003</v>
      </c>
      <c r="S2807">
        <v>0.2449036</v>
      </c>
      <c r="T2807">
        <v>-0.2033287</v>
      </c>
      <c r="U2807">
        <v>-3.0605470000000001</v>
      </c>
      <c r="V2807">
        <v>-0.1936862</v>
      </c>
      <c r="W2807">
        <v>0.152755</v>
      </c>
      <c r="X2807">
        <v>0.96909829999999997</v>
      </c>
      <c r="Y2807">
        <v>-0.1100483</v>
      </c>
      <c r="Z2807">
        <v>5.405219E-2</v>
      </c>
      <c r="AA2807">
        <v>0.99245539999999999</v>
      </c>
      <c r="AB2807">
        <v>27</v>
      </c>
      <c r="AC2807">
        <v>1.35879999999997</v>
      </c>
      <c r="AD2807">
        <v>-1.1233383638400001</v>
      </c>
      <c r="AE2807">
        <v>-16.606999999999999</v>
      </c>
      <c r="AF2807">
        <v>-1.8576698665690099</v>
      </c>
      <c r="AG2807">
        <v>-1.1233383638400001</v>
      </c>
      <c r="AH2807">
        <v>16.482753817456999</v>
      </c>
      <c r="AI2807">
        <v>93.874359691893602</v>
      </c>
      <c r="AJ2807">
        <v>96.430320420290002</v>
      </c>
      <c r="AK2807">
        <v>16.625101498027799</v>
      </c>
      <c r="AL2807">
        <v>81.213383023194396</v>
      </c>
      <c r="AM2807">
        <v>101.30234522948901</v>
      </c>
      <c r="AN2807">
        <v>0.99999997457916401</v>
      </c>
    </row>
    <row r="2808" spans="1:40" x14ac:dyDescent="0.25">
      <c r="A2808" t="str">
        <f>"20190303162309909"</f>
        <v>20190303162309909</v>
      </c>
      <c r="B2808" t="str">
        <f>"1551601389896871"</f>
        <v>1551601389896871</v>
      </c>
      <c r="C2808" t="s">
        <v>40</v>
      </c>
      <c r="D2808">
        <v>5.4525750000000004</v>
      </c>
      <c r="E2808">
        <v>0.41973700000000003</v>
      </c>
      <c r="F2808" t="s">
        <v>46</v>
      </c>
      <c r="G2808">
        <v>-488.01909999999998</v>
      </c>
      <c r="H2808" s="1">
        <v>4.5926020000000003E-6</v>
      </c>
      <c r="I2808">
        <v>224.41800000000001</v>
      </c>
      <c r="J2808">
        <v>-492.75060000000002</v>
      </c>
      <c r="K2808">
        <v>1.1233</v>
      </c>
      <c r="L2808">
        <v>243.8021</v>
      </c>
      <c r="M2808">
        <v>-2.7539879999999999E-2</v>
      </c>
      <c r="N2808">
        <v>-1.188987E-2</v>
      </c>
      <c r="O2808">
        <v>-0.99955020000000006</v>
      </c>
      <c r="P2808">
        <v>0.16977879999999901</v>
      </c>
      <c r="Q2808">
        <v>0.1415035</v>
      </c>
      <c r="R2808">
        <v>-0.97527050000000004</v>
      </c>
      <c r="S2808">
        <v>0.71789550000000002</v>
      </c>
      <c r="T2808">
        <v>-0.17057130000000001</v>
      </c>
      <c r="U2808">
        <v>-2.9779209999999998</v>
      </c>
      <c r="V2808">
        <v>-0.19752739999999999</v>
      </c>
      <c r="W2808">
        <v>0.15179790000000001</v>
      </c>
      <c r="X2808">
        <v>0.96847320000000003</v>
      </c>
      <c r="Y2808">
        <v>-0.26071929999999999</v>
      </c>
      <c r="Z2808">
        <v>4.3459209999999998E-2</v>
      </c>
      <c r="AA2808">
        <v>0.96443599999999996</v>
      </c>
      <c r="AB2808">
        <v>27</v>
      </c>
      <c r="AC2808">
        <v>4.7315000000000396</v>
      </c>
      <c r="AD2808">
        <v>-1.1232954073979999</v>
      </c>
      <c r="AE2808">
        <v>-19.384099999999901</v>
      </c>
      <c r="AF2808">
        <v>-5.2469494020970302</v>
      </c>
      <c r="AG2808">
        <v>-1.1232954073979999</v>
      </c>
      <c r="AH2808">
        <v>19.185627651141399</v>
      </c>
      <c r="AI2808">
        <v>93.232340354406603</v>
      </c>
      <c r="AJ2808">
        <v>105.295431027886</v>
      </c>
      <c r="AK2808">
        <v>19.921861834896099</v>
      </c>
      <c r="AL2808">
        <v>81.268868176365103</v>
      </c>
      <c r="AM2808">
        <v>101.52779413904599</v>
      </c>
      <c r="AN2808">
        <v>1.0000000076566999</v>
      </c>
    </row>
    <row r="2809" spans="1:40" x14ac:dyDescent="0.25">
      <c r="A2809" t="str">
        <f>"20190303162309932"</f>
        <v>20190303162309932</v>
      </c>
      <c r="B2809" t="str">
        <f>"1551601389927128"</f>
        <v>1551601389927128</v>
      </c>
      <c r="C2809" t="s">
        <v>40</v>
      </c>
      <c r="D2809">
        <v>5.463273</v>
      </c>
      <c r="E2809">
        <v>0.41897200000000001</v>
      </c>
      <c r="F2809" t="s">
        <v>46</v>
      </c>
      <c r="G2809">
        <v>-485.94690000000003</v>
      </c>
      <c r="H2809" s="1">
        <v>4.5892120000000004E-6</v>
      </c>
      <c r="I2809">
        <v>226.40119999999999</v>
      </c>
      <c r="J2809">
        <v>-492.75400000000002</v>
      </c>
      <c r="K2809">
        <v>1.123256</v>
      </c>
      <c r="L2809">
        <v>243.53530000000001</v>
      </c>
      <c r="M2809">
        <v>-2.4033860000000001E-2</v>
      </c>
      <c r="N2809">
        <v>-1.1888279999999999E-2</v>
      </c>
      <c r="O2809">
        <v>-0.99964059999999999</v>
      </c>
      <c r="P2809">
        <v>0.17525009999999999</v>
      </c>
      <c r="Q2809">
        <v>0.14253550000000001</v>
      </c>
      <c r="R2809">
        <v>-0.97415169999999995</v>
      </c>
      <c r="S2809">
        <v>1.136047</v>
      </c>
      <c r="T2809">
        <v>-0.18756220000000001</v>
      </c>
      <c r="U2809">
        <v>-2.9055179999999998</v>
      </c>
      <c r="V2809">
        <v>-0.19955529999999999</v>
      </c>
      <c r="W2809">
        <v>0.15283139999999901</v>
      </c>
      <c r="X2809">
        <v>0.9678947</v>
      </c>
      <c r="Y2809">
        <v>-0.38585390000000003</v>
      </c>
      <c r="Z2809">
        <v>4.7782459999999999E-2</v>
      </c>
      <c r="AA2809">
        <v>0.92132170000000002</v>
      </c>
      <c r="AB2809">
        <v>27</v>
      </c>
      <c r="AC2809">
        <v>6.8070999999999904</v>
      </c>
      <c r="AD2809">
        <v>-1.1232514107879901</v>
      </c>
      <c r="AE2809">
        <v>-17.1341</v>
      </c>
      <c r="AF2809">
        <v>-7.1902721899521902</v>
      </c>
      <c r="AG2809">
        <v>-1.1232514107879901</v>
      </c>
      <c r="AH2809">
        <v>16.902797752303201</v>
      </c>
      <c r="AI2809">
        <v>93.499319966701805</v>
      </c>
      <c r="AJ2809">
        <v>113.044390389414</v>
      </c>
      <c r="AK2809">
        <v>18.402887810142801</v>
      </c>
      <c r="AL2809">
        <v>81.208953420039606</v>
      </c>
      <c r="AM2809">
        <v>101.649696548314</v>
      </c>
      <c r="AN2809">
        <v>0.99999995243606798</v>
      </c>
    </row>
    <row r="2810" spans="1:40" x14ac:dyDescent="0.25">
      <c r="A2810" t="str">
        <f>"20190303162309957"</f>
        <v>20190303162309957</v>
      </c>
      <c r="B2810" t="str">
        <f>"1551601389947623"</f>
        <v>1551601389947623</v>
      </c>
      <c r="C2810" t="s">
        <v>40</v>
      </c>
      <c r="D2810">
        <v>5.444267</v>
      </c>
      <c r="E2810">
        <v>0.42048980000000002</v>
      </c>
      <c r="F2810" t="s">
        <v>46</v>
      </c>
      <c r="G2810">
        <v>-486.49329999999998</v>
      </c>
      <c r="H2810" s="1">
        <v>5.16199E-6</v>
      </c>
      <c r="I2810">
        <v>227.84389999999999</v>
      </c>
      <c r="J2810">
        <v>-492.7568</v>
      </c>
      <c r="K2810">
        <v>1.1232139999999999</v>
      </c>
      <c r="L2810">
        <v>243.24420000000001</v>
      </c>
      <c r="M2810">
        <v>-2.0284460000000001E-2</v>
      </c>
      <c r="N2810">
        <v>-1.1886399999999899E-2</v>
      </c>
      <c r="O2810">
        <v>-0.99972369999999999</v>
      </c>
      <c r="P2810">
        <v>0.18117440000000001</v>
      </c>
      <c r="Q2810">
        <v>0.14396310000000001</v>
      </c>
      <c r="R2810">
        <v>-0.97285679999999997</v>
      </c>
      <c r="S2810">
        <v>1.157745</v>
      </c>
      <c r="T2810">
        <v>-0.20771719999999999</v>
      </c>
      <c r="U2810">
        <v>-2.9017179999999998</v>
      </c>
      <c r="V2810">
        <v>-0.20180509999999999</v>
      </c>
      <c r="W2810">
        <v>0.15425810000000001</v>
      </c>
      <c r="X2810">
        <v>0.96720170000000005</v>
      </c>
      <c r="Y2810">
        <v>-0.38862429999999998</v>
      </c>
      <c r="Z2810">
        <v>5.4145270000000002E-2</v>
      </c>
      <c r="AA2810">
        <v>0.91980399999999995</v>
      </c>
      <c r="AB2810">
        <v>27</v>
      </c>
      <c r="AC2810">
        <v>6.2635000000000201</v>
      </c>
      <c r="AD2810">
        <v>-1.12320883801</v>
      </c>
      <c r="AE2810">
        <v>-15.4003</v>
      </c>
      <c r="AF2810">
        <v>-6.5447471804139701</v>
      </c>
      <c r="AG2810">
        <v>-1.12320883801</v>
      </c>
      <c r="AH2810">
        <v>15.2006885108459</v>
      </c>
      <c r="AI2810">
        <v>93.882628981340204</v>
      </c>
      <c r="AJ2810">
        <v>113.29458326703801</v>
      </c>
      <c r="AK2810">
        <v>16.587834245406601</v>
      </c>
      <c r="AL2810">
        <v>81.126228916082397</v>
      </c>
      <c r="AM2810">
        <v>101.78558964633601</v>
      </c>
      <c r="AN2810">
        <v>0.99999999414225504</v>
      </c>
    </row>
    <row r="2811" spans="1:40" x14ac:dyDescent="0.25">
      <c r="A2811" t="str">
        <f>"20190303162309976"</f>
        <v>20190303162309976</v>
      </c>
      <c r="B2811" t="str">
        <f>"1551601389967143"</f>
        <v>1551601389967143</v>
      </c>
      <c r="C2811" t="s">
        <v>40</v>
      </c>
      <c r="D2811">
        <v>5.424474</v>
      </c>
      <c r="E2811">
        <v>0.42149490000000001</v>
      </c>
      <c r="F2811" t="s">
        <v>46</v>
      </c>
      <c r="G2811">
        <v>-486.62970000000001</v>
      </c>
      <c r="H2811" s="1">
        <v>5.2370739999999999E-6</v>
      </c>
      <c r="I2811">
        <v>227.9692</v>
      </c>
      <c r="J2811">
        <v>-492.75830000000002</v>
      </c>
      <c r="K2811">
        <v>1.123181</v>
      </c>
      <c r="L2811">
        <v>242.9949</v>
      </c>
      <c r="M2811">
        <v>-1.7132850000000002E-2</v>
      </c>
      <c r="N2811">
        <v>-1.1884499999999999E-2</v>
      </c>
      <c r="O2811">
        <v>-0.99978290000000003</v>
      </c>
      <c r="P2811">
        <v>0.18686939999999999</v>
      </c>
      <c r="Q2811">
        <v>0.14566789999999999</v>
      </c>
      <c r="R2811">
        <v>-0.97152530000000004</v>
      </c>
      <c r="S2811">
        <v>1.16272</v>
      </c>
      <c r="T2811">
        <v>-0.21314810000000001</v>
      </c>
      <c r="U2811">
        <v>-2.8986969999999999</v>
      </c>
      <c r="V2811">
        <v>-0.2044163</v>
      </c>
      <c r="W2811">
        <v>0.15595539999999999</v>
      </c>
      <c r="X2811">
        <v>0.96638080000000004</v>
      </c>
      <c r="Y2811">
        <v>-0.38737060000000001</v>
      </c>
      <c r="Z2811">
        <v>5.5943619999999999E-2</v>
      </c>
      <c r="AA2811">
        <v>0.92022510000000002</v>
      </c>
      <c r="AB2811">
        <v>27</v>
      </c>
      <c r="AC2811">
        <v>6.1285999999999996</v>
      </c>
      <c r="AD2811">
        <v>-1.123175762926</v>
      </c>
      <c r="AE2811">
        <v>-15.025700000000001</v>
      </c>
      <c r="AF2811">
        <v>-6.3547084267756597</v>
      </c>
      <c r="AG2811">
        <v>-1.123175762926</v>
      </c>
      <c r="AH2811">
        <v>14.8473582512525</v>
      </c>
      <c r="AI2811">
        <v>93.978285049118</v>
      </c>
      <c r="AJ2811">
        <v>113.17105227047</v>
      </c>
      <c r="AK2811">
        <v>16.189128760523001</v>
      </c>
      <c r="AL2811">
        <v>81.027789310508098</v>
      </c>
      <c r="AM2811">
        <v>101.943586555095</v>
      </c>
      <c r="AN2811">
        <v>0.99999998055174399</v>
      </c>
    </row>
    <row r="2812" spans="1:40" x14ac:dyDescent="0.25">
      <c r="A2812" t="str">
        <f>"20190303162309998"</f>
        <v>20190303162309998</v>
      </c>
      <c r="B2812" t="str">
        <f>"1551601389987639"</f>
        <v>1551601389987639</v>
      </c>
      <c r="C2812" t="s">
        <v>40</v>
      </c>
      <c r="D2812">
        <v>5.4577929999999997</v>
      </c>
      <c r="E2812">
        <v>0.42295280000000002</v>
      </c>
      <c r="F2812" t="s">
        <v>46</v>
      </c>
      <c r="G2812">
        <v>-486.5539</v>
      </c>
      <c r="H2812" s="1">
        <v>5.1237380000000004E-6</v>
      </c>
      <c r="I2812">
        <v>227.66849999999999</v>
      </c>
      <c r="J2812">
        <v>-492.75920000000002</v>
      </c>
      <c r="K2812">
        <v>1.1231409999999999</v>
      </c>
      <c r="L2812">
        <v>242.73859999999999</v>
      </c>
      <c r="M2812">
        <v>-1.3949939999999999E-2</v>
      </c>
      <c r="N2812">
        <v>-1.188236E-2</v>
      </c>
      <c r="O2812">
        <v>-0.99983219999999995</v>
      </c>
      <c r="P2812">
        <v>0.1923289</v>
      </c>
      <c r="Q2812">
        <v>0.1459935</v>
      </c>
      <c r="R2812">
        <v>-0.97040990000000005</v>
      </c>
      <c r="S2812">
        <v>1.171692</v>
      </c>
      <c r="T2812">
        <v>-0.21210889999999999</v>
      </c>
      <c r="U2812">
        <v>-2.8943479999999999</v>
      </c>
      <c r="V2812">
        <v>-0.20676149999999999</v>
      </c>
      <c r="W2812">
        <v>0.1562799</v>
      </c>
      <c r="X2812">
        <v>0.9658293</v>
      </c>
      <c r="Y2812">
        <v>-0.3873743</v>
      </c>
      <c r="Z2812">
        <v>5.5684789999999998E-2</v>
      </c>
      <c r="AA2812">
        <v>0.92023929999999998</v>
      </c>
      <c r="AB2812">
        <v>27</v>
      </c>
      <c r="AC2812">
        <v>6.2053000000000198</v>
      </c>
      <c r="AD2812">
        <v>-1.1231358762619901</v>
      </c>
      <c r="AE2812">
        <v>-15.070099999999901</v>
      </c>
      <c r="AF2812">
        <v>-6.3846165343649401</v>
      </c>
      <c r="AG2812">
        <v>-1.1231358762619901</v>
      </c>
      <c r="AH2812">
        <v>14.9112482520885</v>
      </c>
      <c r="AI2812">
        <v>93.960907971361493</v>
      </c>
      <c r="AJ2812">
        <v>113.179375278937</v>
      </c>
      <c r="AK2812">
        <v>16.259461458573799</v>
      </c>
      <c r="AL2812">
        <v>81.008966030286203</v>
      </c>
      <c r="AM2812">
        <v>102.083303913176</v>
      </c>
      <c r="AN2812">
        <v>0.99999998088237396</v>
      </c>
    </row>
    <row r="2813" spans="1:40" x14ac:dyDescent="0.25">
      <c r="A2813" t="str">
        <f>"20190303162310023"</f>
        <v>20190303162310023</v>
      </c>
      <c r="B2813" t="str">
        <f>"1551601390016920"</f>
        <v>1551601390016920</v>
      </c>
      <c r="C2813" t="s">
        <v>40</v>
      </c>
      <c r="D2813">
        <v>5.496251</v>
      </c>
      <c r="E2813">
        <v>0.42487849999999999</v>
      </c>
      <c r="F2813" t="s">
        <v>46</v>
      </c>
      <c r="G2813">
        <v>-486.75420000000003</v>
      </c>
      <c r="H2813" s="1">
        <v>5.2699769999999999E-6</v>
      </c>
      <c r="I2813">
        <v>227.96850000000001</v>
      </c>
      <c r="J2813">
        <v>-492.75920000000002</v>
      </c>
      <c r="K2813">
        <v>1.1230960000000001</v>
      </c>
      <c r="L2813">
        <v>242.44200000000001</v>
      </c>
      <c r="M2813">
        <v>-1.03327E-2</v>
      </c>
      <c r="N2813">
        <v>-1.187978E-2</v>
      </c>
      <c r="O2813">
        <v>-0.99987590000000004</v>
      </c>
      <c r="P2813">
        <v>0.19751669999999999</v>
      </c>
      <c r="Q2813">
        <v>0.1455832</v>
      </c>
      <c r="R2813">
        <v>-0.96942899999999999</v>
      </c>
      <c r="S2813">
        <v>1.1755979999999999</v>
      </c>
      <c r="T2813">
        <v>-0.21987709999999999</v>
      </c>
      <c r="U2813">
        <v>-2.891556</v>
      </c>
      <c r="V2813">
        <v>-0.20841599999999999</v>
      </c>
      <c r="W2813">
        <v>0.15587960000000001</v>
      </c>
      <c r="X2813">
        <v>0.96553840000000002</v>
      </c>
      <c r="Y2813">
        <v>-0.38535639999999999</v>
      </c>
      <c r="Z2813">
        <v>5.8240640000000003E-2</v>
      </c>
      <c r="AA2813">
        <v>0.92092810000000003</v>
      </c>
      <c r="AB2813">
        <v>27</v>
      </c>
      <c r="AC2813">
        <v>6.0049999999999901</v>
      </c>
      <c r="AD2813">
        <v>-1.123090730023</v>
      </c>
      <c r="AE2813">
        <v>-14.4735</v>
      </c>
      <c r="AF2813">
        <v>-6.1227879722823602</v>
      </c>
      <c r="AG2813">
        <v>-1.123090730023</v>
      </c>
      <c r="AH2813">
        <v>14.3370267127424</v>
      </c>
      <c r="AI2813">
        <v>94.120500646361407</v>
      </c>
      <c r="AJ2813">
        <v>113.125448334102</v>
      </c>
      <c r="AK2813">
        <v>15.630105575564</v>
      </c>
      <c r="AL2813">
        <v>81.032186643450302</v>
      </c>
      <c r="AM2813">
        <v>102.180678892698</v>
      </c>
      <c r="AN2813">
        <v>1.00000004031335</v>
      </c>
    </row>
    <row r="2814" spans="1:40" x14ac:dyDescent="0.25">
      <c r="A2814" t="str">
        <f>"20190303162310044"</f>
        <v>20190303162310044</v>
      </c>
      <c r="B2814" t="str">
        <f>"1551601390037415"</f>
        <v>1551601390037415</v>
      </c>
      <c r="C2814" t="s">
        <v>40</v>
      </c>
      <c r="D2814">
        <v>5.4615809999999998</v>
      </c>
      <c r="E2814">
        <v>0.42628159999999998</v>
      </c>
      <c r="F2814" t="s">
        <v>46</v>
      </c>
      <c r="G2814">
        <v>-486.79059999999998</v>
      </c>
      <c r="H2814" s="1">
        <v>5.219501E-6</v>
      </c>
      <c r="I2814">
        <v>227.77420000000001</v>
      </c>
      <c r="J2814">
        <v>-492.75850000000003</v>
      </c>
      <c r="K2814">
        <v>1.123062</v>
      </c>
      <c r="L2814">
        <v>242.19569999999999</v>
      </c>
      <c r="M2814">
        <v>-7.3829489999999998E-3</v>
      </c>
      <c r="N2814">
        <v>-1.1877769999999999E-2</v>
      </c>
      <c r="O2814">
        <v>-0.99990239999999997</v>
      </c>
      <c r="P2814">
        <v>0.2030245</v>
      </c>
      <c r="Q2814">
        <v>0.14673639999999999</v>
      </c>
      <c r="R2814">
        <v>-0.96811650000000005</v>
      </c>
      <c r="S2814">
        <v>1.1753229999999999</v>
      </c>
      <c r="T2814">
        <v>-0.22115670000000001</v>
      </c>
      <c r="U2814">
        <v>-2.8883510000000001</v>
      </c>
      <c r="V2814">
        <v>-0.2110503</v>
      </c>
      <c r="W2814">
        <v>0.15702679999999899</v>
      </c>
      <c r="X2814">
        <v>0.96477990000000002</v>
      </c>
      <c r="Y2814">
        <v>-0.38290380000000002</v>
      </c>
      <c r="Z2814">
        <v>5.8769420000000003E-2</v>
      </c>
      <c r="AA2814">
        <v>0.92191699999999999</v>
      </c>
      <c r="AB2814">
        <v>27</v>
      </c>
      <c r="AC2814">
        <v>5.9679000000000402</v>
      </c>
      <c r="AD2814">
        <v>-1.1230567804989999</v>
      </c>
      <c r="AE2814">
        <v>-14.421499999999901</v>
      </c>
      <c r="AF2814">
        <v>-6.04292973265916</v>
      </c>
      <c r="AG2814">
        <v>-1.1230567804989999</v>
      </c>
      <c r="AH2814">
        <v>14.302986980530999</v>
      </c>
      <c r="AI2814">
        <v>94.136918252514405</v>
      </c>
      <c r="AJ2814">
        <v>112.903778170571</v>
      </c>
      <c r="AK2814">
        <v>15.5677131541958</v>
      </c>
      <c r="AL2814">
        <v>80.965636574256294</v>
      </c>
      <c r="AM2814">
        <v>102.339353475341</v>
      </c>
      <c r="AN2814">
        <v>0.99999995024616795</v>
      </c>
    </row>
    <row r="2815" spans="1:40" x14ac:dyDescent="0.25">
      <c r="A2815" t="str">
        <f>"20190303162310066"</f>
        <v>20190303162310066</v>
      </c>
      <c r="B2815" t="str">
        <f>"1551601390056935"</f>
        <v>1551601390056935</v>
      </c>
      <c r="C2815" t="s">
        <v>40</v>
      </c>
      <c r="D2815">
        <v>5.4526000000000003</v>
      </c>
      <c r="E2815">
        <v>0.4270968</v>
      </c>
      <c r="F2815" t="s">
        <v>46</v>
      </c>
      <c r="G2815">
        <v>-486.5292</v>
      </c>
      <c r="H2815" s="1">
        <v>4.9028270000000004E-6</v>
      </c>
      <c r="I2815">
        <v>226.97659999999999</v>
      </c>
      <c r="J2815">
        <v>-492.7568</v>
      </c>
      <c r="K2815">
        <v>1.123032</v>
      </c>
      <c r="L2815">
        <v>241.9282</v>
      </c>
      <c r="M2815">
        <v>-4.2197370000000003E-3</v>
      </c>
      <c r="N2815">
        <v>-1.1875709999999999E-2</v>
      </c>
      <c r="O2815">
        <v>-0.9999207</v>
      </c>
      <c r="P2815">
        <v>0.20903930000000001</v>
      </c>
      <c r="Q2815">
        <v>0.14823819999999999</v>
      </c>
      <c r="R2815">
        <v>-0.96660670000000004</v>
      </c>
      <c r="S2815">
        <v>1.180237</v>
      </c>
      <c r="T2815">
        <v>-0.2127811</v>
      </c>
      <c r="U2815">
        <v>-2.8835139999999999</v>
      </c>
      <c r="V2815">
        <v>-0.21399489999999999</v>
      </c>
      <c r="W2815">
        <v>0.15851799999999999</v>
      </c>
      <c r="X2815">
        <v>0.96388700000000005</v>
      </c>
      <c r="Y2815">
        <v>-0.38193050000000001</v>
      </c>
      <c r="Z2815">
        <v>5.6215420000000002E-2</v>
      </c>
      <c r="AA2815">
        <v>0.92247979999999996</v>
      </c>
      <c r="AB2815">
        <v>27</v>
      </c>
      <c r="AC2815">
        <v>6.22759999999999</v>
      </c>
      <c r="AD2815">
        <v>-1.1230270971730001</v>
      </c>
      <c r="AE2815">
        <v>-14.951599999999999</v>
      </c>
      <c r="AF2815">
        <v>-6.2605427170377297</v>
      </c>
      <c r="AG2815">
        <v>-1.1230270971730001</v>
      </c>
      <c r="AH2815">
        <v>14.853775392689901</v>
      </c>
      <c r="AI2815">
        <v>93.985362417805405</v>
      </c>
      <c r="AJ2815">
        <v>112.85436312472299</v>
      </c>
      <c r="AK2815">
        <v>16.158286678646299</v>
      </c>
      <c r="AL2815">
        <v>80.879113536383898</v>
      </c>
      <c r="AM2815">
        <v>102.517352925089</v>
      </c>
      <c r="AN2815">
        <v>0.99999996115950396</v>
      </c>
    </row>
    <row r="2816" spans="1:40" x14ac:dyDescent="0.25">
      <c r="A2816" t="str">
        <f>"20190303162310088"</f>
        <v>20190303162310088</v>
      </c>
      <c r="B2816" t="str">
        <f>"1551601390077432"</f>
        <v>1551601390077432</v>
      </c>
      <c r="C2816" t="s">
        <v>40</v>
      </c>
      <c r="D2816">
        <v>5.5155500000000002</v>
      </c>
      <c r="E2816">
        <v>0.42792380000000002</v>
      </c>
      <c r="F2816" t="s">
        <v>46</v>
      </c>
      <c r="G2816">
        <v>-486.32319999999999</v>
      </c>
      <c r="H2816" s="1">
        <v>4.6734430000000001E-6</v>
      </c>
      <c r="I2816">
        <v>226.40479999999999</v>
      </c>
      <c r="J2816">
        <v>-492.75459999999998</v>
      </c>
      <c r="K2816">
        <v>1.1230119999999999</v>
      </c>
      <c r="L2816">
        <v>241.67750000000001</v>
      </c>
      <c r="M2816">
        <v>-1.286803E-3</v>
      </c>
      <c r="N2816">
        <v>-1.1874050000000001E-2</v>
      </c>
      <c r="O2816">
        <v>-0.99992859999999995</v>
      </c>
      <c r="P2816">
        <v>0.21466089999999999</v>
      </c>
      <c r="Q2816">
        <v>0.1501208</v>
      </c>
      <c r="R2816">
        <v>-0.96508229999999995</v>
      </c>
      <c r="S2816">
        <v>1.1926270000000001</v>
      </c>
      <c r="T2816">
        <v>-0.20817849999999999</v>
      </c>
      <c r="U2816">
        <v>-2.8776090000000001</v>
      </c>
      <c r="V2816">
        <v>-0.21678140000000001</v>
      </c>
      <c r="W2816">
        <v>0.16038549999999999</v>
      </c>
      <c r="X2816">
        <v>0.96295500000000001</v>
      </c>
      <c r="Y2816">
        <v>-0.38331110000000002</v>
      </c>
      <c r="Z2816">
        <v>5.481196E-2</v>
      </c>
      <c r="AA2816">
        <v>0.92199149999999996</v>
      </c>
      <c r="AB2816">
        <v>27</v>
      </c>
      <c r="AC2816">
        <v>6.4313999999999902</v>
      </c>
      <c r="AD2816">
        <v>-1.123007326557</v>
      </c>
      <c r="AE2816">
        <v>-15.2727</v>
      </c>
      <c r="AF2816">
        <v>-6.4215589192910798</v>
      </c>
      <c r="AG2816">
        <v>-1.123007326557</v>
      </c>
      <c r="AH2816">
        <v>15.1946316341753</v>
      </c>
      <c r="AI2816">
        <v>93.894581435700104</v>
      </c>
      <c r="AJ2816">
        <v>112.909903458793</v>
      </c>
      <c r="AK2816">
        <v>16.5340374654138</v>
      </c>
      <c r="AL2816">
        <v>80.770727354435493</v>
      </c>
      <c r="AM2816">
        <v>102.686982471093</v>
      </c>
      <c r="AN2816">
        <v>1.0000000080106</v>
      </c>
    </row>
    <row r="2817" spans="1:40" x14ac:dyDescent="0.25">
      <c r="A2817" t="str">
        <f>"20190303162310109"</f>
        <v>20190303162310109</v>
      </c>
      <c r="B2817" t="str">
        <f>"1551601390097927"</f>
        <v>1551601390097927</v>
      </c>
      <c r="C2817" t="s">
        <v>40</v>
      </c>
      <c r="D2817">
        <v>5.459244</v>
      </c>
      <c r="E2817">
        <v>0.42866789999999999</v>
      </c>
      <c r="F2817" t="s">
        <v>46</v>
      </c>
      <c r="G2817">
        <v>-486.08659999999998</v>
      </c>
      <c r="H2817" s="1">
        <v>4.4766259999999999E-6</v>
      </c>
      <c r="I2817">
        <v>225.75190000000001</v>
      </c>
      <c r="J2817">
        <v>-492.75150000000002</v>
      </c>
      <c r="K2817">
        <v>1.123</v>
      </c>
      <c r="L2817">
        <v>241.4102</v>
      </c>
      <c r="M2817">
        <v>1.8148909999999999E-3</v>
      </c>
      <c r="N2817">
        <v>-1.187265E-2</v>
      </c>
      <c r="O2817">
        <v>-0.99992780000000003</v>
      </c>
      <c r="P2817">
        <v>0.2193032</v>
      </c>
      <c r="Q2817">
        <v>0.15030929999999901</v>
      </c>
      <c r="R2817">
        <v>-0.96400889999999995</v>
      </c>
      <c r="S2817">
        <v>1.202728</v>
      </c>
      <c r="T2817">
        <v>-0.2025584</v>
      </c>
      <c r="U2817">
        <v>-2.8725130000000001</v>
      </c>
      <c r="V2817">
        <v>-0.21842619999999999</v>
      </c>
      <c r="W2817">
        <v>0.16056809999999999</v>
      </c>
      <c r="X2817">
        <v>0.96255279999999999</v>
      </c>
      <c r="Y2817">
        <v>-0.38382739999999999</v>
      </c>
      <c r="Z2817">
        <v>5.3084470000000002E-2</v>
      </c>
      <c r="AA2817">
        <v>0.92187770000000002</v>
      </c>
      <c r="AB2817">
        <v>27</v>
      </c>
      <c r="AC2817">
        <v>6.6649000000000402</v>
      </c>
      <c r="AD2817">
        <v>-1.1229955233740001</v>
      </c>
      <c r="AE2817">
        <v>-15.658299999999899</v>
      </c>
      <c r="AF2817">
        <v>-6.6076947533276202</v>
      </c>
      <c r="AG2817">
        <v>-1.1229955233740001</v>
      </c>
      <c r="AH2817">
        <v>15.602428115087401</v>
      </c>
      <c r="AI2817">
        <v>93.7918516560445</v>
      </c>
      <c r="AJ2817">
        <v>112.952864557437</v>
      </c>
      <c r="AK2817">
        <v>16.9811222239621</v>
      </c>
      <c r="AL2817">
        <v>80.760127753443399</v>
      </c>
      <c r="AM2817">
        <v>102.78525794945099</v>
      </c>
      <c r="AN2817">
        <v>1.00000000618594</v>
      </c>
    </row>
    <row r="2818" spans="1:40" x14ac:dyDescent="0.25">
      <c r="A2818" t="str">
        <f>"20190303162310134"</f>
        <v>20190303162310134</v>
      </c>
      <c r="B2818" t="str">
        <f>"1551601390127207"</f>
        <v>1551601390127207</v>
      </c>
      <c r="C2818" t="s">
        <v>40</v>
      </c>
      <c r="D2818">
        <v>5.5268730000000001</v>
      </c>
      <c r="E2818">
        <v>0.42962600000000001</v>
      </c>
      <c r="F2818" t="s">
        <v>46</v>
      </c>
      <c r="G2818">
        <v>-486.11320000000001</v>
      </c>
      <c r="H2818" s="1">
        <v>4.4694269999999996E-6</v>
      </c>
      <c r="I2818">
        <v>225.6926</v>
      </c>
      <c r="J2818">
        <v>-492.74720000000002</v>
      </c>
      <c r="K2818">
        <v>1.122994</v>
      </c>
      <c r="L2818">
        <v>241.12110000000001</v>
      </c>
      <c r="M2818">
        <v>5.1540600000000002E-3</v>
      </c>
      <c r="N2818">
        <v>-1.1871380000000001E-2</v>
      </c>
      <c r="O2818">
        <v>-0.99991640000000004</v>
      </c>
      <c r="P2818">
        <v>0.2263008</v>
      </c>
      <c r="Q2818">
        <v>0.15032290000000001</v>
      </c>
      <c r="R2818">
        <v>-0.96238829999999997</v>
      </c>
      <c r="S2818">
        <v>1.2114560000000001</v>
      </c>
      <c r="T2818">
        <v>-0.20494080000000001</v>
      </c>
      <c r="U2818">
        <v>-2.8683779999999999</v>
      </c>
      <c r="V2818">
        <v>-0.2222065</v>
      </c>
      <c r="W2818">
        <v>0.1605549</v>
      </c>
      <c r="X2818">
        <v>0.96168940000000003</v>
      </c>
      <c r="Y2818">
        <v>-0.3835826</v>
      </c>
      <c r="Z2818">
        <v>5.3906750000000003E-2</v>
      </c>
      <c r="AA2818">
        <v>0.92193190000000003</v>
      </c>
      <c r="AB2818">
        <v>27</v>
      </c>
      <c r="AC2818">
        <v>6.6340000000000101</v>
      </c>
      <c r="AD2818">
        <v>-1.122989530573</v>
      </c>
      <c r="AE2818">
        <v>-15.4285</v>
      </c>
      <c r="AF2818">
        <v>-6.5252111128700001</v>
      </c>
      <c r="AG2818">
        <v>-1.122989530573</v>
      </c>
      <c r="AH2818">
        <v>15.393660806366499</v>
      </c>
      <c r="AI2818">
        <v>93.842572664922301</v>
      </c>
      <c r="AJ2818">
        <v>112.97157764219401</v>
      </c>
      <c r="AK2818">
        <v>16.7572157166625</v>
      </c>
      <c r="AL2818">
        <v>80.760894438361404</v>
      </c>
      <c r="AM2818">
        <v>103.01035111524401</v>
      </c>
      <c r="AN2818">
        <v>1.0000000533143001</v>
      </c>
    </row>
    <row r="2819" spans="1:40" x14ac:dyDescent="0.25">
      <c r="A2819" t="str">
        <f>"20190303162310157"</f>
        <v>20190303162310157</v>
      </c>
      <c r="B2819" t="str">
        <f>"1551601390147703"</f>
        <v>1551601390147703</v>
      </c>
      <c r="C2819" t="s">
        <v>40</v>
      </c>
      <c r="D2819">
        <v>5.5084780000000002</v>
      </c>
      <c r="E2819">
        <v>0.43019160000000001</v>
      </c>
      <c r="F2819" t="s">
        <v>46</v>
      </c>
      <c r="G2819">
        <v>-486.18079999999998</v>
      </c>
      <c r="H2819" s="1">
        <v>4.5025849999999997E-6</v>
      </c>
      <c r="I2819">
        <v>225.7748</v>
      </c>
      <c r="J2819">
        <v>-492.7423</v>
      </c>
      <c r="K2819">
        <v>1.1229880000000001</v>
      </c>
      <c r="L2819">
        <v>240.84960000000001</v>
      </c>
      <c r="M2819">
        <v>8.2862560000000005E-3</v>
      </c>
      <c r="N2819">
        <v>-1.187032E-2</v>
      </c>
      <c r="O2819">
        <v>-0.99989530000000004</v>
      </c>
      <c r="P2819">
        <v>0.2326413</v>
      </c>
      <c r="Q2819">
        <v>0.15039820000000001</v>
      </c>
      <c r="R2819">
        <v>-0.96086340000000003</v>
      </c>
      <c r="S2819">
        <v>1.2245790000000001</v>
      </c>
      <c r="T2819">
        <v>-0.20943030000000001</v>
      </c>
      <c r="U2819">
        <v>-2.8620000000000001</v>
      </c>
      <c r="V2819">
        <v>-0.22553899999999999</v>
      </c>
      <c r="W2819">
        <v>0.16060389999999999</v>
      </c>
      <c r="X2819">
        <v>0.96090509999999996</v>
      </c>
      <c r="Y2819">
        <v>-0.38496930000000001</v>
      </c>
      <c r="Z2819">
        <v>5.5407240000000003E-2</v>
      </c>
      <c r="AA2819">
        <v>0.92126470000000005</v>
      </c>
      <c r="AB2819">
        <v>27</v>
      </c>
      <c r="AC2819">
        <v>6.5615000000000201</v>
      </c>
      <c r="AD2819">
        <v>-1.1229834974149999</v>
      </c>
      <c r="AE2819">
        <v>-15.0748</v>
      </c>
      <c r="AF2819">
        <v>-6.40646305132955</v>
      </c>
      <c r="AG2819">
        <v>-1.1229834974149999</v>
      </c>
      <c r="AH2819">
        <v>15.0584018480053</v>
      </c>
      <c r="AI2819">
        <v>93.925652243634403</v>
      </c>
      <c r="AJ2819">
        <v>113.046895225718</v>
      </c>
      <c r="AK2819">
        <v>16.4030279820381</v>
      </c>
      <c r="AL2819">
        <v>80.758049836518893</v>
      </c>
      <c r="AM2819">
        <v>103.209084515128</v>
      </c>
      <c r="AN2819">
        <v>1.0000000322111</v>
      </c>
    </row>
    <row r="2820" spans="1:40" x14ac:dyDescent="0.25">
      <c r="A2820" t="str">
        <f>"20190303162310184"</f>
        <v>20190303162310184</v>
      </c>
      <c r="B2820" t="str">
        <f>"1551601390177959"</f>
        <v>1551601390177959</v>
      </c>
      <c r="C2820" t="s">
        <v>40</v>
      </c>
      <c r="D2820">
        <v>5.4937889999999996</v>
      </c>
      <c r="E2820">
        <v>0.44204549999999998</v>
      </c>
      <c r="F2820" t="s">
        <v>46</v>
      </c>
      <c r="G2820">
        <v>-486.18799999999999</v>
      </c>
      <c r="H2820" s="1">
        <v>4.4949960000000001E-6</v>
      </c>
      <c r="I2820">
        <v>225.73330000000001</v>
      </c>
      <c r="J2820">
        <v>-492.7355</v>
      </c>
      <c r="K2820">
        <v>1.1229830000000001</v>
      </c>
      <c r="L2820">
        <v>240.5317</v>
      </c>
      <c r="M2820">
        <v>1.1954309999999999E-2</v>
      </c>
      <c r="N2820">
        <v>-1.1869370000000001E-2</v>
      </c>
      <c r="O2820">
        <v>-0.99985820000000003</v>
      </c>
      <c r="P2820">
        <v>0.23915359999999999</v>
      </c>
      <c r="Q2820">
        <v>0.1503206</v>
      </c>
      <c r="R2820">
        <v>-0.95927580000000001</v>
      </c>
      <c r="S2820">
        <v>1.2381899999999999</v>
      </c>
      <c r="T2820">
        <v>-0.2121449</v>
      </c>
      <c r="U2820">
        <v>-2.8556370000000002</v>
      </c>
      <c r="V2820">
        <v>-0.22853560000000001</v>
      </c>
      <c r="W2820">
        <v>0.160500799999999</v>
      </c>
      <c r="X2820">
        <v>0.96021400000000001</v>
      </c>
      <c r="Y2820">
        <v>-0.38600600000000002</v>
      </c>
      <c r="Z2820">
        <v>5.6343490000000003E-2</v>
      </c>
      <c r="AA2820">
        <v>0.92077399999999998</v>
      </c>
      <c r="AB2820">
        <v>27</v>
      </c>
      <c r="AC2820">
        <v>6.5474999999999497</v>
      </c>
      <c r="AD2820">
        <v>-1.122978505004</v>
      </c>
      <c r="AE2820">
        <v>-14.7983999999999</v>
      </c>
      <c r="AF2820">
        <v>-6.3395847114680901</v>
      </c>
      <c r="AG2820">
        <v>-1.122978505004</v>
      </c>
      <c r="AH2820">
        <v>14.804323900634801</v>
      </c>
      <c r="AI2820">
        <v>93.988793502907996</v>
      </c>
      <c r="AJ2820">
        <v>113.18182968473199</v>
      </c>
      <c r="AK2820">
        <v>16.1437115060784</v>
      </c>
      <c r="AL2820">
        <v>80.7640341517411</v>
      </c>
      <c r="AM2820">
        <v>103.387597252251</v>
      </c>
      <c r="AN2820">
        <v>0.99999997653199901</v>
      </c>
    </row>
    <row r="2821" spans="1:40" x14ac:dyDescent="0.25">
      <c r="A2821" t="str">
        <f>"20190303162310199"</f>
        <v>20190303162310199</v>
      </c>
      <c r="B2821" t="str">
        <f>"1551601390187720"</f>
        <v>1551601390187720</v>
      </c>
      <c r="C2821" t="s">
        <v>40</v>
      </c>
      <c r="D2821">
        <v>5.5154040000000002</v>
      </c>
      <c r="E2821">
        <v>0.44176749999999998</v>
      </c>
      <c r="F2821" t="s">
        <v>46</v>
      </c>
      <c r="G2821">
        <v>-486.63490000000002</v>
      </c>
      <c r="H2821" s="1">
        <v>4.5403730000000001E-6</v>
      </c>
      <c r="I2821">
        <v>225.49029999999999</v>
      </c>
      <c r="J2821">
        <v>-492.73070000000001</v>
      </c>
      <c r="K2821">
        <v>1.1229789999999999</v>
      </c>
      <c r="L2821">
        <v>240.33750000000001</v>
      </c>
      <c r="M2821">
        <v>1.419833E-2</v>
      </c>
      <c r="N2821">
        <v>-1.186914E-2</v>
      </c>
      <c r="O2821">
        <v>-0.99982879999999996</v>
      </c>
      <c r="P2821">
        <v>0.24361740000000001</v>
      </c>
      <c r="Q2821">
        <v>0.1502877</v>
      </c>
      <c r="R2821">
        <v>-0.95815700000000004</v>
      </c>
      <c r="S2821">
        <v>1.164307</v>
      </c>
      <c r="T2821">
        <v>-0.2143234</v>
      </c>
      <c r="U2821">
        <v>-2.8706969999999998</v>
      </c>
      <c r="V2821">
        <v>-0.23085549999999999</v>
      </c>
      <c r="W2821">
        <v>0.16044800000000001</v>
      </c>
      <c r="X2821">
        <v>0.95966770000000001</v>
      </c>
      <c r="Y2821">
        <v>-0.36186459999999998</v>
      </c>
      <c r="Z2821">
        <v>5.7385329999999998E-2</v>
      </c>
      <c r="AA2821">
        <v>0.93046280000000003</v>
      </c>
      <c r="AB2821">
        <v>27</v>
      </c>
      <c r="AC2821">
        <v>6.0957999999999899</v>
      </c>
      <c r="AD2821">
        <v>-1.1229744596269999</v>
      </c>
      <c r="AE2821">
        <v>-14.847200000000001</v>
      </c>
      <c r="AF2821">
        <v>-5.8556985906010901</v>
      </c>
      <c r="AG2821">
        <v>-1.1229744596269999</v>
      </c>
      <c r="AH2821">
        <v>14.8595146890928</v>
      </c>
      <c r="AI2821">
        <v>94.021869179428506</v>
      </c>
      <c r="AJ2821">
        <v>111.507944084136</v>
      </c>
      <c r="AK2821">
        <v>16.011104097354</v>
      </c>
      <c r="AL2821">
        <v>80.767098922662797</v>
      </c>
      <c r="AM2821">
        <v>103.525945568118</v>
      </c>
      <c r="AN2821">
        <v>0.99999995850376899</v>
      </c>
    </row>
    <row r="2822" spans="1:40" x14ac:dyDescent="0.25">
      <c r="A2822" t="str">
        <f>"20190303162310222"</f>
        <v>20190303162310222</v>
      </c>
      <c r="B2822" t="str">
        <f>"1551601390217000"</f>
        <v>1551601390217000</v>
      </c>
      <c r="C2822" t="s">
        <v>40</v>
      </c>
      <c r="D2822">
        <v>5.5116129999999997</v>
      </c>
      <c r="E2822">
        <v>0.44179380000000001</v>
      </c>
      <c r="F2822" t="s">
        <v>46</v>
      </c>
      <c r="G2822">
        <v>-486.82209999999998</v>
      </c>
      <c r="H2822" s="1">
        <v>4.6875410000000001E-6</v>
      </c>
      <c r="I2822">
        <v>225.9682</v>
      </c>
      <c r="J2822">
        <v>-492.72340000000003</v>
      </c>
      <c r="K2822">
        <v>1.1229769999999999</v>
      </c>
      <c r="L2822">
        <v>240.06530000000001</v>
      </c>
      <c r="M2822">
        <v>1.7348679999999998E-2</v>
      </c>
      <c r="N2822">
        <v>-1.1868979999999999E-2</v>
      </c>
      <c r="O2822">
        <v>-0.99977919999999998</v>
      </c>
      <c r="P2822">
        <v>0.2487018</v>
      </c>
      <c r="Q2822">
        <v>0.149678799999999</v>
      </c>
      <c r="R2822">
        <v>-0.95694489999999999</v>
      </c>
      <c r="S2822">
        <v>1.1786799999999999</v>
      </c>
      <c r="T2822">
        <v>-0.22401699999999999</v>
      </c>
      <c r="U2822">
        <v>-2.8664700000000001</v>
      </c>
      <c r="V2822">
        <v>-0.2329263</v>
      </c>
      <c r="W2822">
        <v>0.15982249999999901</v>
      </c>
      <c r="X2822">
        <v>0.95927169999999895</v>
      </c>
      <c r="Y2822">
        <v>-0.36332609999999999</v>
      </c>
      <c r="Z2822">
        <v>6.0514220000000001E-2</v>
      </c>
      <c r="AA2822">
        <v>0.92969469999999998</v>
      </c>
      <c r="AB2822">
        <v>27</v>
      </c>
      <c r="AC2822">
        <v>5.90130000000004</v>
      </c>
      <c r="AD2822">
        <v>-1.1229723124590001</v>
      </c>
      <c r="AE2822">
        <v>-14.097099999999999</v>
      </c>
      <c r="AF2822">
        <v>-5.6254539611937897</v>
      </c>
      <c r="AG2822">
        <v>-1.1229723124590001</v>
      </c>
      <c r="AH2822">
        <v>14.1211184197278</v>
      </c>
      <c r="AI2822">
        <v>94.225215115161205</v>
      </c>
      <c r="AJ2822">
        <v>111.720937911474</v>
      </c>
      <c r="AK2822">
        <v>15.2418104078235</v>
      </c>
      <c r="AL2822">
        <v>80.803406763628104</v>
      </c>
      <c r="AM2822">
        <v>103.648180846082</v>
      </c>
      <c r="AN2822">
        <v>1.0000000435794101</v>
      </c>
    </row>
    <row r="2823" spans="1:40" x14ac:dyDescent="0.25">
      <c r="A2823" t="str">
        <f>"20190303162310246"</f>
        <v>20190303162310246</v>
      </c>
      <c r="B2823" t="str">
        <f>"1551601390237497"</f>
        <v>1551601390237497</v>
      </c>
      <c r="C2823" t="s">
        <v>40</v>
      </c>
      <c r="D2823">
        <v>5.6318460000000004</v>
      </c>
      <c r="E2823">
        <v>0.44274599999999997</v>
      </c>
      <c r="F2823" t="s">
        <v>46</v>
      </c>
      <c r="G2823">
        <v>-487.03410000000002</v>
      </c>
      <c r="H2823" s="1">
        <v>4.8635869999999998E-6</v>
      </c>
      <c r="I2823">
        <v>226.41630000000001</v>
      </c>
      <c r="J2823">
        <v>-492.71499999999997</v>
      </c>
      <c r="K2823">
        <v>1.1229800000000001</v>
      </c>
      <c r="L2823">
        <v>239.7921</v>
      </c>
      <c r="M2823">
        <v>2.051644E-2</v>
      </c>
      <c r="N2823">
        <v>-1.1868979999999999E-2</v>
      </c>
      <c r="O2823">
        <v>-0.99971920000000003</v>
      </c>
      <c r="P2823">
        <v>0.25447619999999999</v>
      </c>
      <c r="Q2823">
        <v>0.14948399999999901</v>
      </c>
      <c r="R2823">
        <v>-0.95545630000000004</v>
      </c>
      <c r="S2823">
        <v>1.192871</v>
      </c>
      <c r="T2823">
        <v>-0.2354522</v>
      </c>
      <c r="U2823">
        <v>-2.8617859999999999</v>
      </c>
      <c r="V2823">
        <v>-0.23568330000000001</v>
      </c>
      <c r="W2823">
        <v>0.15960460000000001</v>
      </c>
      <c r="X2823">
        <v>0.95863430000000005</v>
      </c>
      <c r="Y2823">
        <v>-0.3647474</v>
      </c>
      <c r="Z2823">
        <v>6.4211110000000002E-2</v>
      </c>
      <c r="AA2823">
        <v>0.92888979999999999</v>
      </c>
      <c r="AB2823">
        <v>27</v>
      </c>
      <c r="AC2823">
        <v>5.6808999999999497</v>
      </c>
      <c r="AD2823">
        <v>-1.1229751364129901</v>
      </c>
      <c r="AE2823">
        <v>-13.3757999999999</v>
      </c>
      <c r="AF2823">
        <v>-5.3731754890230201</v>
      </c>
      <c r="AG2823">
        <v>-1.1229751364129901</v>
      </c>
      <c r="AH2823">
        <v>13.4094706074854</v>
      </c>
      <c r="AI2823">
        <v>94.445030222367805</v>
      </c>
      <c r="AJ2823">
        <v>111.83597844795599</v>
      </c>
      <c r="AK2823">
        <v>14.489513103132699</v>
      </c>
      <c r="AL2823">
        <v>80.816053304339206</v>
      </c>
      <c r="AM2823">
        <v>103.812407613164</v>
      </c>
      <c r="AN2823">
        <v>0.99999998368826903</v>
      </c>
    </row>
    <row r="2824" spans="1:40" x14ac:dyDescent="0.25">
      <c r="A2824" t="str">
        <f>"20190303162310268"</f>
        <v>20190303162310268</v>
      </c>
      <c r="B2824" t="str">
        <f>"1551601390257015"</f>
        <v>1551601390257015</v>
      </c>
      <c r="C2824" t="s">
        <v>40</v>
      </c>
      <c r="D2824">
        <v>5.5494940000000001</v>
      </c>
      <c r="E2824">
        <v>0.4438201</v>
      </c>
      <c r="F2824" t="s">
        <v>46</v>
      </c>
      <c r="G2824">
        <v>-486.98419999999999</v>
      </c>
      <c r="H2824" s="1">
        <v>4.773482E-6</v>
      </c>
      <c r="I2824">
        <v>226.16820000000001</v>
      </c>
      <c r="J2824">
        <v>-492.70589999999999</v>
      </c>
      <c r="K2824">
        <v>1.122978</v>
      </c>
      <c r="L2824">
        <v>239.52080000000001</v>
      </c>
      <c r="M2824">
        <v>2.3663759999999999E-2</v>
      </c>
      <c r="N2824">
        <v>-1.186892E-2</v>
      </c>
      <c r="O2824">
        <v>-0.99964949999999997</v>
      </c>
      <c r="P2824">
        <v>0.25979409999999997</v>
      </c>
      <c r="Q2824">
        <v>0.14963789999999999</v>
      </c>
      <c r="R2824">
        <v>-0.95399990000000001</v>
      </c>
      <c r="S2824">
        <v>1.20166</v>
      </c>
      <c r="T2824">
        <v>-0.23546900000000001</v>
      </c>
      <c r="U2824">
        <v>-2.8566889999999998</v>
      </c>
      <c r="V2824">
        <v>-0.23801059999999999</v>
      </c>
      <c r="W2824">
        <v>0.159737299999999</v>
      </c>
      <c r="X2824">
        <v>0.95803700000000003</v>
      </c>
      <c r="Y2824">
        <v>-0.3648343</v>
      </c>
      <c r="Z2824">
        <v>6.4296249999999999E-2</v>
      </c>
      <c r="AA2824">
        <v>0.92884979999999995</v>
      </c>
      <c r="AB2824">
        <v>27</v>
      </c>
      <c r="AC2824">
        <v>5.7216999999999896</v>
      </c>
      <c r="AD2824">
        <v>-1.1229732265179999</v>
      </c>
      <c r="AE2824">
        <v>-13.352599999999899</v>
      </c>
      <c r="AF2824">
        <v>-5.37200063642765</v>
      </c>
      <c r="AG2824">
        <v>-1.1229732265179999</v>
      </c>
      <c r="AH2824">
        <v>13.4041664387029</v>
      </c>
      <c r="AI2824">
        <v>94.446666139000598</v>
      </c>
      <c r="AJ2824">
        <v>111.83947926442001</v>
      </c>
      <c r="AK2824">
        <v>14.484168516753201</v>
      </c>
      <c r="AL2824">
        <v>80.808351232387807</v>
      </c>
      <c r="AM2824">
        <v>103.95185731365601</v>
      </c>
      <c r="AN2824">
        <v>0.99999997204632396</v>
      </c>
    </row>
    <row r="2825" spans="1:40" x14ac:dyDescent="0.25">
      <c r="A2825" t="str">
        <f>"20190303162310290"</f>
        <v>20190303162310290</v>
      </c>
      <c r="B2825" t="str">
        <f>"1551601390277511"</f>
        <v>1551601390277511</v>
      </c>
      <c r="C2825" t="s">
        <v>40</v>
      </c>
      <c r="D2825">
        <v>5.7656980000000004</v>
      </c>
      <c r="E2825">
        <v>0.44445040000000002</v>
      </c>
      <c r="F2825" t="s">
        <v>46</v>
      </c>
      <c r="G2825">
        <v>-486.8252</v>
      </c>
      <c r="H2825" s="1">
        <v>4.6145009999999999E-6</v>
      </c>
      <c r="I2825">
        <v>225.63480000000001</v>
      </c>
      <c r="J2825">
        <v>-492.69650000000001</v>
      </c>
      <c r="K2825">
        <v>1.122981</v>
      </c>
      <c r="L2825">
        <v>239.262</v>
      </c>
      <c r="M2825">
        <v>2.666814E-2</v>
      </c>
      <c r="N2825">
        <v>-1.1868989999999999E-2</v>
      </c>
      <c r="O2825">
        <v>-0.99957390000000002</v>
      </c>
      <c r="P2825">
        <v>0.263237</v>
      </c>
      <c r="Q2825">
        <v>0.14937829999999999</v>
      </c>
      <c r="R2825">
        <v>-0.95309630000000001</v>
      </c>
      <c r="S2825">
        <v>1.207794</v>
      </c>
      <c r="T2825">
        <v>-0.23063739999999999</v>
      </c>
      <c r="U2825">
        <v>-2.8519290000000002</v>
      </c>
      <c r="V2825">
        <v>-0.23858960000000001</v>
      </c>
      <c r="W2825">
        <v>0.15947229999999901</v>
      </c>
      <c r="X2825">
        <v>0.95793720000000004</v>
      </c>
      <c r="Y2825">
        <v>-0.36432619999999999</v>
      </c>
      <c r="Z2825">
        <v>6.2833970000000003E-2</v>
      </c>
      <c r="AA2825">
        <v>0.92914929999999996</v>
      </c>
      <c r="AB2825">
        <v>27</v>
      </c>
      <c r="AC2825">
        <v>5.8713000000000104</v>
      </c>
      <c r="AD2825">
        <v>-1.122976385499</v>
      </c>
      <c r="AE2825">
        <v>-13.627199999999901</v>
      </c>
      <c r="AF2825">
        <v>-5.4744182211908603</v>
      </c>
      <c r="AG2825">
        <v>-1.122976385499</v>
      </c>
      <c r="AH2825">
        <v>13.700468659989699</v>
      </c>
      <c r="AI2825">
        <v>94.352665410287301</v>
      </c>
      <c r="AJ2825">
        <v>111.78060719932</v>
      </c>
      <c r="AK2825">
        <v>14.7963905168205</v>
      </c>
      <c r="AL2825">
        <v>80.823732456912296</v>
      </c>
      <c r="AM2825">
        <v>103.985866800747</v>
      </c>
      <c r="AN2825">
        <v>1.00000004541964</v>
      </c>
    </row>
    <row r="2826" spans="1:40" x14ac:dyDescent="0.25">
      <c r="A2826" t="str">
        <f>"20190303162310312"</f>
        <v>20190303162310312</v>
      </c>
      <c r="B2826" t="str">
        <f>"1551601390297032"</f>
        <v>1551601390297032</v>
      </c>
      <c r="C2826" t="s">
        <v>40</v>
      </c>
      <c r="D2826">
        <v>5.7461570000000002</v>
      </c>
      <c r="E2826">
        <v>0.48031669999999999</v>
      </c>
      <c r="F2826" t="s">
        <v>46</v>
      </c>
      <c r="G2826">
        <v>-486.7405</v>
      </c>
      <c r="H2826" s="1">
        <v>4.5156119999999999E-6</v>
      </c>
      <c r="I2826">
        <v>225.2724</v>
      </c>
      <c r="J2826">
        <v>-492.68610000000001</v>
      </c>
      <c r="K2826">
        <v>1.122976</v>
      </c>
      <c r="L2826">
        <v>238.99940000000001</v>
      </c>
      <c r="M2826">
        <v>2.9718479999999999E-2</v>
      </c>
      <c r="N2826">
        <v>-1.1868999999999999E-2</v>
      </c>
      <c r="O2826">
        <v>-0.99948789999999998</v>
      </c>
      <c r="P2826">
        <v>0.26602439999999999</v>
      </c>
      <c r="Q2826">
        <v>0.14914520000000001</v>
      </c>
      <c r="R2826">
        <v>-0.9523587</v>
      </c>
      <c r="S2826">
        <v>1.2127380000000001</v>
      </c>
      <c r="T2826">
        <v>-0.22865940000000001</v>
      </c>
      <c r="U2826">
        <v>-2.848557</v>
      </c>
      <c r="V2826">
        <v>-0.2384667</v>
      </c>
      <c r="W2826">
        <v>0.15923979999999999</v>
      </c>
      <c r="X2826">
        <v>0.95800640000000004</v>
      </c>
      <c r="Y2826">
        <v>-0.36326170000000002</v>
      </c>
      <c r="Z2826">
        <v>6.2267330000000003E-2</v>
      </c>
      <c r="AA2826">
        <v>0.92960410000000004</v>
      </c>
      <c r="AB2826">
        <v>27</v>
      </c>
      <c r="AC2826">
        <v>5.9456000000000104</v>
      </c>
      <c r="AD2826">
        <v>-1.1229714843880001</v>
      </c>
      <c r="AE2826">
        <v>-13.727</v>
      </c>
      <c r="AF2826">
        <v>-5.5039827839320301</v>
      </c>
      <c r="AG2826">
        <v>-1.1229714843880001</v>
      </c>
      <c r="AH2826">
        <v>13.8197645504198</v>
      </c>
      <c r="AI2826">
        <v>94.3171543518162</v>
      </c>
      <c r="AJ2826">
        <v>111.71585568875901</v>
      </c>
      <c r="AK2826">
        <v>14.917800899248199</v>
      </c>
      <c r="AL2826">
        <v>80.8372254772014</v>
      </c>
      <c r="AM2826">
        <v>103.97797495649699</v>
      </c>
      <c r="AN2826">
        <v>0.99999997167694399</v>
      </c>
    </row>
    <row r="2827" spans="1:40" x14ac:dyDescent="0.25">
      <c r="A2827" t="str">
        <f>"20190303162310336"</f>
        <v>20190303162310336</v>
      </c>
      <c r="B2827" t="str">
        <f>"1551601390327288"</f>
        <v>1551601390327288</v>
      </c>
      <c r="C2827" t="s">
        <v>40</v>
      </c>
      <c r="D2827">
        <v>5.6838769999999998</v>
      </c>
      <c r="E2827">
        <v>0.48883660000000001</v>
      </c>
      <c r="F2827" t="s">
        <v>46</v>
      </c>
      <c r="G2827">
        <v>-487.16039999999998</v>
      </c>
      <c r="H2827" s="1">
        <v>3.6367779999999999E-6</v>
      </c>
      <c r="I2827">
        <v>221.94720000000001</v>
      </c>
      <c r="J2827">
        <v>-492.67419999999998</v>
      </c>
      <c r="K2827">
        <v>1.122981</v>
      </c>
      <c r="L2827">
        <v>238.72049999999999</v>
      </c>
      <c r="M2827">
        <v>3.2956310000000003E-2</v>
      </c>
      <c r="N2827">
        <v>-1.1869060000000001E-2</v>
      </c>
      <c r="O2827">
        <v>-0.99938629999999995</v>
      </c>
      <c r="P2827">
        <v>0.26858290000000001</v>
      </c>
      <c r="Q2827">
        <v>0.15009529999999999</v>
      </c>
      <c r="R2827">
        <v>-0.95149059999999996</v>
      </c>
      <c r="S2827">
        <v>0.94497679999999995</v>
      </c>
      <c r="T2827">
        <v>-0.1920443</v>
      </c>
      <c r="U2827">
        <v>-2.9161679999999999</v>
      </c>
      <c r="V2827">
        <v>-0.23794760000000001</v>
      </c>
      <c r="W2827">
        <v>0.16019149999999999</v>
      </c>
      <c r="X2827">
        <v>0.95797679999999996</v>
      </c>
      <c r="Y2827">
        <v>-0.27622600000000003</v>
      </c>
      <c r="Z2827">
        <v>5.0993740000000003E-2</v>
      </c>
      <c r="AA2827">
        <v>0.95973900000000001</v>
      </c>
      <c r="AB2827">
        <v>27</v>
      </c>
      <c r="AC2827">
        <v>5.5137999999999998</v>
      </c>
      <c r="AD2827">
        <v>-1.1229773632219999</v>
      </c>
      <c r="AE2827">
        <v>-16.7732999999999</v>
      </c>
      <c r="AF2827">
        <v>-4.9380041284704896</v>
      </c>
      <c r="AG2827">
        <v>-1.1229773632219999</v>
      </c>
      <c r="AH2827">
        <v>16.877640952213699</v>
      </c>
      <c r="AI2827">
        <v>93.653906576493995</v>
      </c>
      <c r="AJ2827">
        <v>106.30824501294499</v>
      </c>
      <c r="AK2827">
        <v>17.6210024414885</v>
      </c>
      <c r="AL2827">
        <v>80.781987920884603</v>
      </c>
      <c r="AM2827">
        <v>103.949150843053</v>
      </c>
      <c r="AN2827">
        <v>0.99999996317812401</v>
      </c>
    </row>
    <row r="2828" spans="1:40" x14ac:dyDescent="0.25">
      <c r="A2828" t="str">
        <f>"20190303162310358"</f>
        <v>20190303162310358</v>
      </c>
      <c r="B2828" t="str">
        <f>"1551601390347784"</f>
        <v>1551601390347784</v>
      </c>
      <c r="C2828" t="s">
        <v>40</v>
      </c>
      <c r="D2828">
        <v>5.6813339999999997</v>
      </c>
      <c r="E2828">
        <v>0.49016670000000001</v>
      </c>
      <c r="F2828" t="s">
        <v>46</v>
      </c>
      <c r="G2828">
        <v>-487.71870000000001</v>
      </c>
      <c r="H2828" s="1">
        <v>3.8800470000000004E-6</v>
      </c>
      <c r="I2828">
        <v>222.33279999999999</v>
      </c>
      <c r="J2828">
        <v>-492.66180000000003</v>
      </c>
      <c r="K2828">
        <v>1.1229880000000001</v>
      </c>
      <c r="L2828">
        <v>238.44970000000001</v>
      </c>
      <c r="M2828">
        <v>3.6100590000000002E-2</v>
      </c>
      <c r="N2828">
        <v>-1.186918E-2</v>
      </c>
      <c r="O2828">
        <v>-0.99927790000000005</v>
      </c>
      <c r="P2828">
        <v>0.2713332</v>
      </c>
      <c r="Q2828">
        <v>0.15048639999999999</v>
      </c>
      <c r="R2828">
        <v>-0.95064839999999995</v>
      </c>
      <c r="S2828">
        <v>0.8872681</v>
      </c>
      <c r="T2828">
        <v>-0.20106599999999999</v>
      </c>
      <c r="U2828">
        <v>-2.9341740000000001</v>
      </c>
      <c r="V2828">
        <v>-0.2377079</v>
      </c>
      <c r="W2828">
        <v>0.16058310000000001</v>
      </c>
      <c r="X2828">
        <v>0.95797080000000001</v>
      </c>
      <c r="Y2828">
        <v>-0.2541658</v>
      </c>
      <c r="Z2828">
        <v>5.3929900000000003E-2</v>
      </c>
      <c r="AA2828">
        <v>0.96565590000000001</v>
      </c>
      <c r="AB2828">
        <v>27</v>
      </c>
      <c r="AC2828">
        <v>4.94310000000001</v>
      </c>
      <c r="AD2828">
        <v>-1.122984119953</v>
      </c>
      <c r="AE2828">
        <v>-16.116900000000001</v>
      </c>
      <c r="AF2828">
        <v>-4.3387536774645303</v>
      </c>
      <c r="AG2828">
        <v>-1.122984119953</v>
      </c>
      <c r="AH2828">
        <v>16.212909136847198</v>
      </c>
      <c r="AI2828">
        <v>93.827973413028701</v>
      </c>
      <c r="AJ2828">
        <v>104.981922290348</v>
      </c>
      <c r="AK2828">
        <v>16.820948233885101</v>
      </c>
      <c r="AL2828">
        <v>80.759257106289198</v>
      </c>
      <c r="AM2828">
        <v>103.93573076297901</v>
      </c>
      <c r="AN2828">
        <v>1.0000000156903299</v>
      </c>
    </row>
    <row r="2829" spans="1:40" x14ac:dyDescent="0.25">
      <c r="A2829" t="str">
        <f>"20190303162310380"</f>
        <v>20190303162310380</v>
      </c>
      <c r="B2829" t="str">
        <f>"1551601390367304"</f>
        <v>1551601390367304</v>
      </c>
      <c r="C2829" t="s">
        <v>40</v>
      </c>
      <c r="D2829">
        <v>5.676266</v>
      </c>
      <c r="E2829">
        <v>0.49095440000000001</v>
      </c>
      <c r="F2829" t="s">
        <v>46</v>
      </c>
      <c r="G2829">
        <v>-487.60910000000001</v>
      </c>
      <c r="H2829" s="1">
        <v>3.6654690000000001E-6</v>
      </c>
      <c r="I2829">
        <v>221.71860000000001</v>
      </c>
      <c r="J2829">
        <v>-492.64879999999999</v>
      </c>
      <c r="K2829">
        <v>1.122984</v>
      </c>
      <c r="L2829">
        <v>238.18520000000001</v>
      </c>
      <c r="M2829">
        <v>3.9172329999999998E-2</v>
      </c>
      <c r="N2829">
        <v>-1.186919E-2</v>
      </c>
      <c r="O2829">
        <v>-0.9991622</v>
      </c>
      <c r="P2829">
        <v>0.27465250000000002</v>
      </c>
      <c r="Q2829">
        <v>0.149895899999999</v>
      </c>
      <c r="R2829">
        <v>-0.94978799999999997</v>
      </c>
      <c r="S2829">
        <v>0.88604740000000004</v>
      </c>
      <c r="T2829">
        <v>-0.19692970000000001</v>
      </c>
      <c r="U2829">
        <v>-2.934021</v>
      </c>
      <c r="V2829">
        <v>-0.23810400000000001</v>
      </c>
      <c r="W2829">
        <v>0.15998960000000001</v>
      </c>
      <c r="X2829">
        <v>0.95797180000000004</v>
      </c>
      <c r="Y2829">
        <v>-0.2508611</v>
      </c>
      <c r="Z2829">
        <v>5.2612060000000002E-2</v>
      </c>
      <c r="AA2829">
        <v>0.96659229999999996</v>
      </c>
      <c r="AB2829">
        <v>27</v>
      </c>
      <c r="AC2829">
        <v>5.0396999999999803</v>
      </c>
      <c r="AD2829">
        <v>-1.1229803345310001</v>
      </c>
      <c r="AE2829">
        <v>-16.4666</v>
      </c>
      <c r="AF2829">
        <v>-4.37215810279565</v>
      </c>
      <c r="AG2829">
        <v>-1.1229803345310001</v>
      </c>
      <c r="AH2829">
        <v>16.580879146533</v>
      </c>
      <c r="AI2829">
        <v>93.746889496296802</v>
      </c>
      <c r="AJ2829">
        <v>104.771897707603</v>
      </c>
      <c r="AK2829">
        <v>17.1843651200595</v>
      </c>
      <c r="AL2829">
        <v>80.793708157844804</v>
      </c>
      <c r="AM2829">
        <v>103.958031088966</v>
      </c>
      <c r="AN2829">
        <v>1.0000000782596901</v>
      </c>
    </row>
    <row r="2830" spans="1:40" x14ac:dyDescent="0.25">
      <c r="A2830" t="str">
        <f>"20190303162310401"</f>
        <v>20190303162310401</v>
      </c>
      <c r="B2830" t="str">
        <f>"1551601390387800"</f>
        <v>1551601390387800</v>
      </c>
      <c r="C2830" t="s">
        <v>40</v>
      </c>
      <c r="D2830">
        <v>5.6730479999999996</v>
      </c>
      <c r="E2830">
        <v>0.49158239999999997</v>
      </c>
      <c r="F2830" t="s">
        <v>46</v>
      </c>
      <c r="G2830">
        <v>-487.66500000000002</v>
      </c>
      <c r="H2830" s="1">
        <v>3.6929829999999998E-6</v>
      </c>
      <c r="I2830">
        <v>221.76740000000001</v>
      </c>
      <c r="J2830">
        <v>-492.6361</v>
      </c>
      <c r="K2830">
        <v>1.1229800000000001</v>
      </c>
      <c r="L2830">
        <v>237.94040000000001</v>
      </c>
      <c r="M2830">
        <v>4.201324E-2</v>
      </c>
      <c r="N2830">
        <v>-1.186922E-2</v>
      </c>
      <c r="O2830">
        <v>-0.99904669999999896</v>
      </c>
      <c r="P2830">
        <v>0.27806009999999998</v>
      </c>
      <c r="Q2830">
        <v>0.14882690000000001</v>
      </c>
      <c r="R2830">
        <v>-0.94896469999999999</v>
      </c>
      <c r="S2830">
        <v>0.89028929999999995</v>
      </c>
      <c r="T2830">
        <v>-0.2006037</v>
      </c>
      <c r="U2830">
        <v>-2.932785</v>
      </c>
      <c r="V2830">
        <v>-0.23880770000000001</v>
      </c>
      <c r="W2830">
        <v>0.1589168</v>
      </c>
      <c r="X2830">
        <v>0.95797509999999997</v>
      </c>
      <c r="Y2830">
        <v>-0.24948210000000001</v>
      </c>
      <c r="Z2830">
        <v>5.382762E-2</v>
      </c>
      <c r="AA2830">
        <v>0.96688220000000002</v>
      </c>
      <c r="AB2830">
        <v>27</v>
      </c>
      <c r="AC2830">
        <v>4.9710999999999697</v>
      </c>
      <c r="AD2830">
        <v>-1.12297630701699</v>
      </c>
      <c r="AE2830">
        <v>-16.172999999999998</v>
      </c>
      <c r="AF2830">
        <v>-4.2683797298618797</v>
      </c>
      <c r="AG2830">
        <v>-1.12297630701699</v>
      </c>
      <c r="AH2830">
        <v>16.295800538258899</v>
      </c>
      <c r="AI2830">
        <v>93.813872951432103</v>
      </c>
      <c r="AJ2830">
        <v>104.677814434203</v>
      </c>
      <c r="AK2830">
        <v>16.882927959543501</v>
      </c>
      <c r="AL2830">
        <v>80.855970789775895</v>
      </c>
      <c r="AM2830">
        <v>103.997617071723</v>
      </c>
      <c r="AN2830">
        <v>0.99999997956076903</v>
      </c>
    </row>
    <row r="2831" spans="1:40" x14ac:dyDescent="0.25">
      <c r="A2831" t="str">
        <f>"20190303162310424"</f>
        <v>20190303162310424</v>
      </c>
      <c r="B2831" t="str">
        <f>"1551601390417750"</f>
        <v>1551601390417750</v>
      </c>
      <c r="C2831" t="s">
        <v>40</v>
      </c>
      <c r="D2831">
        <v>5.7922820000000002</v>
      </c>
      <c r="E2831">
        <v>0.49201240000000002</v>
      </c>
      <c r="F2831" t="s">
        <v>46</v>
      </c>
      <c r="G2831">
        <v>-487.74450000000002</v>
      </c>
      <c r="H2831" s="1">
        <v>3.7554559999999999E-6</v>
      </c>
      <c r="I2831">
        <v>221.91220000000001</v>
      </c>
      <c r="J2831">
        <v>-492.6207</v>
      </c>
      <c r="K2831">
        <v>1.122976</v>
      </c>
      <c r="L2831">
        <v>237.66040000000001</v>
      </c>
      <c r="M2831">
        <v>4.5264550000000001E-2</v>
      </c>
      <c r="N2831">
        <v>-1.186944E-2</v>
      </c>
      <c r="O2831">
        <v>-0.99890449999999997</v>
      </c>
      <c r="P2831">
        <v>0.28172550000000002</v>
      </c>
      <c r="Q2831">
        <v>0.14777560000000001</v>
      </c>
      <c r="R2831">
        <v>-0.94804699999999997</v>
      </c>
      <c r="S2831">
        <v>0.89462280000000005</v>
      </c>
      <c r="T2831">
        <v>-0.20538129999999999</v>
      </c>
      <c r="U2831">
        <v>-2.9314119999999999</v>
      </c>
      <c r="V2831">
        <v>-0.23938039999999999</v>
      </c>
      <c r="W2831">
        <v>0.15786220000000001</v>
      </c>
      <c r="X2831">
        <v>0.95800660000000004</v>
      </c>
      <c r="Y2831">
        <v>-0.24773780000000001</v>
      </c>
      <c r="Z2831">
        <v>5.5406530000000002E-2</v>
      </c>
      <c r="AA2831">
        <v>0.96724149999999998</v>
      </c>
      <c r="AB2831">
        <v>27</v>
      </c>
      <c r="AC2831">
        <v>4.8761999999999803</v>
      </c>
      <c r="AD2831">
        <v>-1.122972244544</v>
      </c>
      <c r="AE2831">
        <v>-15.748199999999899</v>
      </c>
      <c r="AF2831">
        <v>-4.1391105771091299</v>
      </c>
      <c r="AG2831">
        <v>-1.122972244544</v>
      </c>
      <c r="AH2831">
        <v>15.879112253607101</v>
      </c>
      <c r="AI2831">
        <v>93.914842374719797</v>
      </c>
      <c r="AJ2831">
        <v>104.60983796958899</v>
      </c>
      <c r="AK2831">
        <v>16.448085268328501</v>
      </c>
      <c r="AL2831">
        <v>80.917168051810407</v>
      </c>
      <c r="AM2831">
        <v>104.02941819737499</v>
      </c>
      <c r="AN2831">
        <v>1.00000004786827</v>
      </c>
    </row>
    <row r="2832" spans="1:40" x14ac:dyDescent="0.25">
      <c r="A2832" t="str">
        <f>"20190303162310446"</f>
        <v>20190303162310446</v>
      </c>
      <c r="B2832" t="str">
        <f>"1551601390437270"</f>
        <v>1551601390437270</v>
      </c>
      <c r="C2832" t="s">
        <v>40</v>
      </c>
      <c r="D2832">
        <v>5.7973229999999996</v>
      </c>
      <c r="E2832">
        <v>0.49241030000000002</v>
      </c>
      <c r="F2832" t="s">
        <v>46</v>
      </c>
      <c r="G2832">
        <v>-487.84230000000002</v>
      </c>
      <c r="H2832" s="1">
        <v>3.8485880000000004E-6</v>
      </c>
      <c r="I2832">
        <v>222.14279999999999</v>
      </c>
      <c r="J2832">
        <v>-492.60570000000001</v>
      </c>
      <c r="K2832">
        <v>1.12297</v>
      </c>
      <c r="L2832">
        <v>237.4016</v>
      </c>
      <c r="M2832">
        <v>4.8268999999999999E-2</v>
      </c>
      <c r="N2832">
        <v>-1.1869640000000001E-2</v>
      </c>
      <c r="O2832">
        <v>-0.99876410000000004</v>
      </c>
      <c r="P2832">
        <v>0.2842404</v>
      </c>
      <c r="Q2832">
        <v>0.14715919999999999</v>
      </c>
      <c r="R2832">
        <v>-0.94739229999999997</v>
      </c>
      <c r="S2832">
        <v>0.90206909999999896</v>
      </c>
      <c r="T2832">
        <v>-0.2119926</v>
      </c>
      <c r="U2832">
        <v>-2.9293819999999999</v>
      </c>
      <c r="V2832">
        <v>-0.23903260000000001</v>
      </c>
      <c r="W2832">
        <v>0.15724949999999999</v>
      </c>
      <c r="X2832">
        <v>0.95819410000000005</v>
      </c>
      <c r="Y2832">
        <v>-0.24721950000000001</v>
      </c>
      <c r="Z2832">
        <v>5.7576280000000001E-2</v>
      </c>
      <c r="AA2832">
        <v>0.96724739999999998</v>
      </c>
      <c r="AB2832">
        <v>27</v>
      </c>
      <c r="AC2832">
        <v>4.7633999999999901</v>
      </c>
      <c r="AD2832">
        <v>-1.122966151412</v>
      </c>
      <c r="AE2832">
        <v>-15.258800000000001</v>
      </c>
      <c r="AF2832">
        <v>-4.0015197583040196</v>
      </c>
      <c r="AG2832">
        <v>-1.122966151412</v>
      </c>
      <c r="AH2832">
        <v>15.394974481888299</v>
      </c>
      <c r="AI2832">
        <v>94.038258740812594</v>
      </c>
      <c r="AJ2832">
        <v>104.570124855488</v>
      </c>
      <c r="AK2832">
        <v>15.946110894237099</v>
      </c>
      <c r="AL2832">
        <v>80.952716389897006</v>
      </c>
      <c r="AM2832">
        <v>104.007204460925</v>
      </c>
      <c r="AN2832">
        <v>0.99999996119390899</v>
      </c>
    </row>
    <row r="2833" spans="1:40" x14ac:dyDescent="0.25">
      <c r="A2833" t="str">
        <f>"20190303162310468"</f>
        <v>20190303162310468</v>
      </c>
      <c r="B2833" t="str">
        <f>"1551601390457766"</f>
        <v>1551601390457766</v>
      </c>
      <c r="C2833" t="s">
        <v>40</v>
      </c>
      <c r="D2833">
        <v>5.7411269999999996</v>
      </c>
      <c r="E2833">
        <v>0.49265120000000001</v>
      </c>
      <c r="F2833" t="s">
        <v>46</v>
      </c>
      <c r="G2833">
        <v>-487.85860000000002</v>
      </c>
      <c r="H2833" s="1">
        <v>3.83229499999999E-6</v>
      </c>
      <c r="I2833">
        <v>222.07849999999999</v>
      </c>
      <c r="J2833">
        <v>-492.58949999999999</v>
      </c>
      <c r="K2833">
        <v>1.122965</v>
      </c>
      <c r="L2833">
        <v>237.13829999999999</v>
      </c>
      <c r="M2833">
        <v>5.1325219999999998E-2</v>
      </c>
      <c r="N2833">
        <v>-1.186983E-2</v>
      </c>
      <c r="O2833">
        <v>-0.99861149999999999</v>
      </c>
      <c r="P2833">
        <v>0.28750940000000003</v>
      </c>
      <c r="Q2833">
        <v>0.14659549999999999</v>
      </c>
      <c r="R2833">
        <v>-0.94649240000000001</v>
      </c>
      <c r="S2833">
        <v>0.90701290000000001</v>
      </c>
      <c r="T2833">
        <v>-0.21456349999999999</v>
      </c>
      <c r="U2833">
        <v>-2.9277500000000001</v>
      </c>
      <c r="V2833">
        <v>-0.23940210000000001</v>
      </c>
      <c r="W2833">
        <v>0.1566835</v>
      </c>
      <c r="X2833">
        <v>0.95819460000000001</v>
      </c>
      <c r="Y2833">
        <v>-0.24588189999999999</v>
      </c>
      <c r="Z2833">
        <v>5.8435429999999997E-2</v>
      </c>
      <c r="AA2833">
        <v>0.96753670000000003</v>
      </c>
      <c r="AB2833">
        <v>27</v>
      </c>
      <c r="AC2833">
        <v>4.7308999999999601</v>
      </c>
      <c r="AD2833">
        <v>-1.122961167705</v>
      </c>
      <c r="AE2833">
        <v>-15.0597999999999</v>
      </c>
      <c r="AF2833">
        <v>-3.9317639720587501</v>
      </c>
      <c r="AG2833">
        <v>-1.122961167705</v>
      </c>
      <c r="AH2833">
        <v>15.205826401888601</v>
      </c>
      <c r="AI2833">
        <v>94.089644567242701</v>
      </c>
      <c r="AJ2833">
        <v>104.497421333574</v>
      </c>
      <c r="AK2833">
        <v>15.746014298244701</v>
      </c>
      <c r="AL2833">
        <v>80.985553090182293</v>
      </c>
      <c r="AM2833">
        <v>104.02799560520999</v>
      </c>
      <c r="AN2833">
        <v>0.99999998806290902</v>
      </c>
    </row>
    <row r="2834" spans="1:40" x14ac:dyDescent="0.25">
      <c r="A2834" t="str">
        <f>"20190303162310494"</f>
        <v>20190303162310494</v>
      </c>
      <c r="B2834" t="str">
        <f>"1551601390487046"</f>
        <v>1551601390487046</v>
      </c>
      <c r="C2834" t="s">
        <v>40</v>
      </c>
      <c r="D2834">
        <v>5.8576059999999996</v>
      </c>
      <c r="E2834">
        <v>0.4931702</v>
      </c>
      <c r="F2834" t="s">
        <v>46</v>
      </c>
      <c r="G2834">
        <v>-487.8519</v>
      </c>
      <c r="H2834" s="1">
        <v>3.8077040000000001E-6</v>
      </c>
      <c r="I2834">
        <v>222.00399999999999</v>
      </c>
      <c r="J2834">
        <v>-492.5686</v>
      </c>
      <c r="K2834">
        <v>1.122954</v>
      </c>
      <c r="L2834">
        <v>236.8158</v>
      </c>
      <c r="M2834">
        <v>5.5070210000000001E-2</v>
      </c>
      <c r="N2834">
        <v>-1.187008E-2</v>
      </c>
      <c r="O2834">
        <v>-0.99841210000000002</v>
      </c>
      <c r="P2834">
        <v>0.29399109999999901</v>
      </c>
      <c r="Q2834">
        <v>0.14525739999999901</v>
      </c>
      <c r="R2834">
        <v>-0.9447063</v>
      </c>
      <c r="S2834">
        <v>0.91564939999999995</v>
      </c>
      <c r="T2834">
        <v>-0.21703700000000001</v>
      </c>
      <c r="U2834">
        <v>-2.925049</v>
      </c>
      <c r="V2834">
        <v>-0.2423633</v>
      </c>
      <c r="W2834">
        <v>0.1553223</v>
      </c>
      <c r="X2834">
        <v>0.95767159999999996</v>
      </c>
      <c r="Y2834">
        <v>-0.245088</v>
      </c>
      <c r="Z2834">
        <v>5.9266190000000003E-2</v>
      </c>
      <c r="AA2834">
        <v>0.96768770000000004</v>
      </c>
      <c r="AB2834">
        <v>27</v>
      </c>
      <c r="AC2834">
        <v>4.7167000000000003</v>
      </c>
      <c r="AD2834">
        <v>-1.1229501922959999</v>
      </c>
      <c r="AE2834">
        <v>-14.8117999999999</v>
      </c>
      <c r="AF2834">
        <v>-3.8735802052357</v>
      </c>
      <c r="AG2834">
        <v>-1.1229501922959999</v>
      </c>
      <c r="AH2834">
        <v>14.9709594279421</v>
      </c>
      <c r="AI2834">
        <v>94.153369710786805</v>
      </c>
      <c r="AJ2834">
        <v>104.506553064432</v>
      </c>
      <c r="AK2834">
        <v>15.504685321987701</v>
      </c>
      <c r="AL2834">
        <v>81.0645103890039</v>
      </c>
      <c r="AM2834">
        <v>104.20197532070701</v>
      </c>
      <c r="AN2834">
        <v>0.99999993975536805</v>
      </c>
    </row>
    <row r="2835" spans="1:40" x14ac:dyDescent="0.25">
      <c r="A2835" t="str">
        <f>"20190303162310518"</f>
        <v>20190303162310518</v>
      </c>
      <c r="B2835" t="str">
        <f>"1551601390507543"</f>
        <v>1551601390507543</v>
      </c>
      <c r="C2835" t="s">
        <v>40</v>
      </c>
      <c r="D2835">
        <v>5.796341</v>
      </c>
      <c r="E2835">
        <v>0.4934113</v>
      </c>
      <c r="F2835" t="s">
        <v>46</v>
      </c>
      <c r="G2835">
        <v>-487.86279999999999</v>
      </c>
      <c r="H2835" s="1">
        <v>3.8286430000000002E-6</v>
      </c>
      <c r="I2835">
        <v>222.06370000000001</v>
      </c>
      <c r="J2835">
        <v>-492.55040000000002</v>
      </c>
      <c r="K2835">
        <v>1.12296</v>
      </c>
      <c r="L2835">
        <v>236.54669999999999</v>
      </c>
      <c r="M2835">
        <v>5.8203440000000002E-2</v>
      </c>
      <c r="N2835">
        <v>-1.187031E-2</v>
      </c>
      <c r="O2835">
        <v>-0.99823419999999896</v>
      </c>
      <c r="P2835">
        <v>0.30074889999999999</v>
      </c>
      <c r="Q2835">
        <v>0.14332420000000001</v>
      </c>
      <c r="R2835">
        <v>-0.94287270000000001</v>
      </c>
      <c r="S2835">
        <v>0.931427</v>
      </c>
      <c r="T2835">
        <v>-0.22226760000000001</v>
      </c>
      <c r="U2835">
        <v>-2.9199069999999998</v>
      </c>
      <c r="V2835">
        <v>-0.24619479999999999</v>
      </c>
      <c r="W2835">
        <v>0.1533582</v>
      </c>
      <c r="X2835">
        <v>0.95701060000000004</v>
      </c>
      <c r="Y2835">
        <v>-0.247249</v>
      </c>
      <c r="Z2835">
        <v>6.1001109999999997E-2</v>
      </c>
      <c r="AA2835">
        <v>0.9670299</v>
      </c>
      <c r="AB2835">
        <v>27</v>
      </c>
      <c r="AC2835">
        <v>4.68760000000003</v>
      </c>
      <c r="AD2835">
        <v>-1.122956171357</v>
      </c>
      <c r="AE2835">
        <v>-14.482999999999899</v>
      </c>
      <c r="AF2835">
        <v>-3.8158672581159698</v>
      </c>
      <c r="AG2835">
        <v>-1.122956171357</v>
      </c>
      <c r="AH2835">
        <v>14.6515670536307</v>
      </c>
      <c r="AI2835">
        <v>94.2418560617879</v>
      </c>
      <c r="AJ2835">
        <v>104.59787561473</v>
      </c>
      <c r="AK2835">
        <v>15.181906685966201</v>
      </c>
      <c r="AL2835">
        <v>81.178409943019702</v>
      </c>
      <c r="AM2835">
        <v>104.426745755727</v>
      </c>
      <c r="AN2835">
        <v>0.99999995278331799</v>
      </c>
    </row>
    <row r="2836" spans="1:40" x14ac:dyDescent="0.25">
      <c r="A2836" t="str">
        <f>"20190303162310537"</f>
        <v>20190303162310537</v>
      </c>
      <c r="B2836" t="str">
        <f>"1551601390527063"</f>
        <v>1551601390527063</v>
      </c>
      <c r="C2836" t="s">
        <v>40</v>
      </c>
      <c r="D2836">
        <v>5.7405739999999996</v>
      </c>
      <c r="E2836">
        <v>0.49373089999999997</v>
      </c>
      <c r="F2836" t="s">
        <v>46</v>
      </c>
      <c r="G2836">
        <v>-487.87759999999997</v>
      </c>
      <c r="H2836" s="1">
        <v>3.8771520000000003E-6</v>
      </c>
      <c r="I2836">
        <v>222.2097</v>
      </c>
      <c r="J2836">
        <v>-492.53359999999998</v>
      </c>
      <c r="K2836">
        <v>1.122965</v>
      </c>
      <c r="L2836">
        <v>236.31209999999999</v>
      </c>
      <c r="M2836">
        <v>6.0957610000000002E-2</v>
      </c>
      <c r="N2836">
        <v>-1.18709E-2</v>
      </c>
      <c r="O2836">
        <v>-0.99806989999999995</v>
      </c>
      <c r="P2836">
        <v>0.30583650000000001</v>
      </c>
      <c r="Q2836">
        <v>0.1431026</v>
      </c>
      <c r="R2836">
        <v>-0.94126840000000001</v>
      </c>
      <c r="S2836">
        <v>0.94958500000000001</v>
      </c>
      <c r="T2836">
        <v>-0.2282052</v>
      </c>
      <c r="U2836">
        <v>-2.9135439999999999</v>
      </c>
      <c r="V2836">
        <v>-0.24872720000000001</v>
      </c>
      <c r="W2836">
        <v>0.153109</v>
      </c>
      <c r="X2836">
        <v>0.95639560000000001</v>
      </c>
      <c r="Y2836">
        <v>-0.25060130000000003</v>
      </c>
      <c r="Z2836">
        <v>6.2975240000000002E-2</v>
      </c>
      <c r="AA2836">
        <v>0.96603989999999995</v>
      </c>
      <c r="AB2836">
        <v>27</v>
      </c>
      <c r="AC2836">
        <v>4.6559999999999997</v>
      </c>
      <c r="AD2836">
        <v>-1.1229611228479901</v>
      </c>
      <c r="AE2836">
        <v>-14.1023999999999</v>
      </c>
      <c r="AF2836">
        <v>-3.7660983363614098</v>
      </c>
      <c r="AG2836">
        <v>-1.1229611228479901</v>
      </c>
      <c r="AH2836">
        <v>14.278372043844101</v>
      </c>
      <c r="AI2836">
        <v>94.348793872360503</v>
      </c>
      <c r="AJ2836">
        <v>104.775952845001</v>
      </c>
      <c r="AK2836">
        <v>14.8093364667362</v>
      </c>
      <c r="AL2836">
        <v>81.192859686209999</v>
      </c>
      <c r="AM2836">
        <v>104.577826781905</v>
      </c>
      <c r="AN2836">
        <v>1.00000006480009</v>
      </c>
    </row>
    <row r="2837" spans="1:40" x14ac:dyDescent="0.25">
      <c r="A2837" t="str">
        <f>"20190303162310560"</f>
        <v>20190303162310560</v>
      </c>
      <c r="B2837" t="str">
        <f>"1551601390547559"</f>
        <v>1551601390547559</v>
      </c>
      <c r="C2837" t="s">
        <v>40</v>
      </c>
      <c r="D2837">
        <v>5.7945379999999904</v>
      </c>
      <c r="E2837">
        <v>0.49415009999999998</v>
      </c>
      <c r="F2837" t="s">
        <v>46</v>
      </c>
      <c r="G2837">
        <v>-487.8005</v>
      </c>
      <c r="H2837" s="1">
        <v>3.8064749999999998E-6</v>
      </c>
      <c r="I2837">
        <v>222.0368</v>
      </c>
      <c r="J2837">
        <v>-492.51479999999998</v>
      </c>
      <c r="K2837">
        <v>1.122989</v>
      </c>
      <c r="L2837">
        <v>236.0575</v>
      </c>
      <c r="M2837">
        <v>6.3988249999999997E-2</v>
      </c>
      <c r="N2837">
        <v>-1.187209E-2</v>
      </c>
      <c r="O2837">
        <v>-0.99788030000000005</v>
      </c>
      <c r="P2837">
        <v>0.31122040000000001</v>
      </c>
      <c r="Q2837">
        <v>0.14271819999999999</v>
      </c>
      <c r="R2837">
        <v>-0.93956039999999996</v>
      </c>
      <c r="S2837">
        <v>0.96438599999999997</v>
      </c>
      <c r="T2837">
        <v>-0.22880529999999999</v>
      </c>
      <c r="U2837">
        <v>-2.9086150000000002</v>
      </c>
      <c r="V2837">
        <v>-0.2513068</v>
      </c>
      <c r="W2837">
        <v>0.1526872</v>
      </c>
      <c r="X2837">
        <v>0.95578839999999998</v>
      </c>
      <c r="Y2837">
        <v>-0.25257360000000001</v>
      </c>
      <c r="Z2837">
        <v>6.3198279999999996E-2</v>
      </c>
      <c r="AA2837">
        <v>0.96551160000000003</v>
      </c>
      <c r="AB2837">
        <v>27</v>
      </c>
      <c r="AC2837">
        <v>4.7142999999999802</v>
      </c>
      <c r="AD2837">
        <v>-1.1229851935249999</v>
      </c>
      <c r="AE2837">
        <v>-14.0207</v>
      </c>
      <c r="AF2837">
        <v>-3.7855958086535302</v>
      </c>
      <c r="AG2837">
        <v>-1.1229851935249999</v>
      </c>
      <c r="AH2837">
        <v>14.211733347211499</v>
      </c>
      <c r="AI2837">
        <v>94.366388792372703</v>
      </c>
      <c r="AJ2837">
        <v>104.915608465662</v>
      </c>
      <c r="AK2837">
        <v>14.7500913930597</v>
      </c>
      <c r="AL2837">
        <v>81.217313810608999</v>
      </c>
      <c r="AM2837">
        <v>104.731426462077</v>
      </c>
      <c r="AN2837">
        <v>0.99999997717231903</v>
      </c>
    </row>
    <row r="2838" spans="1:40" x14ac:dyDescent="0.25">
      <c r="A2838" t="str">
        <f>"20190303162310582"</f>
        <v>20190303162310582</v>
      </c>
      <c r="B2838" t="str">
        <f>"1551601390567079"</f>
        <v>1551601390567079</v>
      </c>
      <c r="C2838" t="s">
        <v>40</v>
      </c>
      <c r="D2838">
        <v>5.7938499999999999</v>
      </c>
      <c r="E2838">
        <v>0.4945331</v>
      </c>
      <c r="F2838" t="s">
        <v>46</v>
      </c>
      <c r="G2838">
        <v>-487.74090000000001</v>
      </c>
      <c r="H2838" s="1">
        <v>3.7533780000000002E-6</v>
      </c>
      <c r="I2838">
        <v>221.90799999999999</v>
      </c>
      <c r="J2838">
        <v>-492.49310000000003</v>
      </c>
      <c r="K2838">
        <v>1.1230370000000001</v>
      </c>
      <c r="L2838">
        <v>235.77809999999999</v>
      </c>
      <c r="M2838">
        <v>6.7390770000000003E-2</v>
      </c>
      <c r="N2838">
        <v>-1.1874590000000001E-2</v>
      </c>
      <c r="O2838">
        <v>-0.99765610000000005</v>
      </c>
      <c r="P2838">
        <v>0.31945030000000002</v>
      </c>
      <c r="Q2838">
        <v>0.14221610000000001</v>
      </c>
      <c r="R2838">
        <v>-0.9368706</v>
      </c>
      <c r="S2838">
        <v>0.97961430000000005</v>
      </c>
      <c r="T2838">
        <v>-0.2304388</v>
      </c>
      <c r="U2838">
        <v>-2.9035030000000002</v>
      </c>
      <c r="V2838">
        <v>-0.25644929999999999</v>
      </c>
      <c r="W2838">
        <v>0.15211040000000001</v>
      </c>
      <c r="X2838">
        <v>0.95451350000000001</v>
      </c>
      <c r="Y2838">
        <v>-0.25432250000000001</v>
      </c>
      <c r="Z2838">
        <v>6.3757830000000001E-2</v>
      </c>
      <c r="AA2838">
        <v>0.96501550000000003</v>
      </c>
      <c r="AB2838">
        <v>27</v>
      </c>
      <c r="AC2838">
        <v>4.75220000000001</v>
      </c>
      <c r="AD2838">
        <v>-1.1230332466220001</v>
      </c>
      <c r="AE2838">
        <v>-13.870100000000001</v>
      </c>
      <c r="AF2838">
        <v>-3.78440917803024</v>
      </c>
      <c r="AG2838">
        <v>-1.1230332466220001</v>
      </c>
      <c r="AH2838">
        <v>14.076254651062699</v>
      </c>
      <c r="AI2838">
        <v>94.405718667710602</v>
      </c>
      <c r="AJ2838">
        <v>105.04817504325899</v>
      </c>
      <c r="AK2838">
        <v>14.619298940145599</v>
      </c>
      <c r="AL2838">
        <v>81.250752104647304</v>
      </c>
      <c r="AM2838">
        <v>105.038534602485</v>
      </c>
      <c r="AN2838">
        <v>0.99999991947044597</v>
      </c>
    </row>
    <row r="2839" spans="1:40" x14ac:dyDescent="0.25">
      <c r="A2839" t="str">
        <f>"20190303162310607"</f>
        <v>20190303162310607</v>
      </c>
      <c r="B2839" t="str">
        <f>"1551601390597335"</f>
        <v>1551601390597335</v>
      </c>
      <c r="C2839" t="s">
        <v>40</v>
      </c>
      <c r="D2839">
        <v>5.7309099999999997</v>
      </c>
      <c r="E2839">
        <v>0.49524479999999999</v>
      </c>
      <c r="F2839" t="s">
        <v>46</v>
      </c>
      <c r="G2839">
        <v>-487.64449999999999</v>
      </c>
      <c r="H2839" s="1">
        <v>3.690229E-6</v>
      </c>
      <c r="I2839">
        <v>221.7732</v>
      </c>
      <c r="J2839">
        <v>-492.47019999999998</v>
      </c>
      <c r="K2839">
        <v>1.123119</v>
      </c>
      <c r="L2839">
        <v>235.49680000000001</v>
      </c>
      <c r="M2839">
        <v>7.0946830000000002E-2</v>
      </c>
      <c r="N2839">
        <v>-1.1878669999999999E-2</v>
      </c>
      <c r="O2839">
        <v>-0.99740949999999995</v>
      </c>
      <c r="P2839">
        <v>0.32831909999999997</v>
      </c>
      <c r="Q2839">
        <v>0.14184579999999999</v>
      </c>
      <c r="R2839">
        <v>-0.93385580000000001</v>
      </c>
      <c r="S2839">
        <v>1.002472</v>
      </c>
      <c r="T2839">
        <v>-0.2321926</v>
      </c>
      <c r="U2839">
        <v>-2.8955839999999999</v>
      </c>
      <c r="V2839">
        <v>-0.26212780000000002</v>
      </c>
      <c r="W2839">
        <v>0.1516419</v>
      </c>
      <c r="X2839">
        <v>0.95304449999999996</v>
      </c>
      <c r="Y2839">
        <v>-0.25847569999999997</v>
      </c>
      <c r="Z2839">
        <v>6.4366099999999996E-2</v>
      </c>
      <c r="AA2839">
        <v>0.96387100000000003</v>
      </c>
      <c r="AB2839">
        <v>27</v>
      </c>
      <c r="AC2839">
        <v>4.8256999999999799</v>
      </c>
      <c r="AD2839">
        <v>-1.123115309771</v>
      </c>
      <c r="AE2839">
        <v>-13.723599999999999</v>
      </c>
      <c r="AF2839">
        <v>-3.81707185986799</v>
      </c>
      <c r="AG2839">
        <v>-1.123115309771</v>
      </c>
      <c r="AH2839">
        <v>13.948266610685501</v>
      </c>
      <c r="AI2839">
        <v>94.4409301433313</v>
      </c>
      <c r="AJ2839">
        <v>105.30480726812399</v>
      </c>
      <c r="AK2839">
        <v>14.504673971696301</v>
      </c>
      <c r="AL2839">
        <v>81.277911235012795</v>
      </c>
      <c r="AM2839">
        <v>105.378518337741</v>
      </c>
      <c r="AN2839">
        <v>1.00000003417434</v>
      </c>
    </row>
    <row r="2840" spans="1:40" x14ac:dyDescent="0.25">
      <c r="A2840" t="str">
        <f>"20190303162310626"</f>
        <v>20190303162310626</v>
      </c>
      <c r="B2840" t="str">
        <f>"1551601390617831"</f>
        <v>1551601390617831</v>
      </c>
      <c r="C2840" t="s">
        <v>40</v>
      </c>
      <c r="D2840">
        <v>5.7472729999999999</v>
      </c>
      <c r="E2840">
        <v>0.49555149999999998</v>
      </c>
      <c r="F2840" t="s">
        <v>46</v>
      </c>
      <c r="G2840">
        <v>-487.51029999999997</v>
      </c>
      <c r="H2840" s="1">
        <v>3.5801190000000001E-6</v>
      </c>
      <c r="I2840">
        <v>221.5138</v>
      </c>
      <c r="J2840">
        <v>-492.4495</v>
      </c>
      <c r="K2840">
        <v>1.123216</v>
      </c>
      <c r="L2840">
        <v>235.25559999999999</v>
      </c>
      <c r="M2840">
        <v>7.4120140000000001E-2</v>
      </c>
      <c r="N2840">
        <v>-1.188342E-2</v>
      </c>
      <c r="O2840">
        <v>-0.99717860000000003</v>
      </c>
      <c r="P2840">
        <v>0.33759889999999998</v>
      </c>
      <c r="Q2840">
        <v>0.1420188</v>
      </c>
      <c r="R2840">
        <v>-0.93051479999999998</v>
      </c>
      <c r="S2840">
        <v>1.0242610000000001</v>
      </c>
      <c r="T2840">
        <v>-0.23193440000000001</v>
      </c>
      <c r="U2840">
        <v>-2.8876189999999999</v>
      </c>
      <c r="V2840">
        <v>-0.26862459999999999</v>
      </c>
      <c r="W2840">
        <v>0.1516998</v>
      </c>
      <c r="X2840">
        <v>0.95122439999999997</v>
      </c>
      <c r="Y2840">
        <v>-0.2626964</v>
      </c>
      <c r="Z2840">
        <v>6.4321180000000006E-2</v>
      </c>
      <c r="AA2840">
        <v>0.96273229999999999</v>
      </c>
      <c r="AB2840">
        <v>27</v>
      </c>
      <c r="AC2840">
        <v>4.93920000000002</v>
      </c>
      <c r="AD2840">
        <v>-1.1232124198810001</v>
      </c>
      <c r="AE2840">
        <v>-13.7417999999999</v>
      </c>
      <c r="AF2840">
        <v>-3.8840158971847698</v>
      </c>
      <c r="AG2840">
        <v>-1.1232124198810001</v>
      </c>
      <c r="AH2840">
        <v>13.987358216931099</v>
      </c>
      <c r="AI2840">
        <v>94.424407161652198</v>
      </c>
      <c r="AJ2840">
        <v>105.518933754662</v>
      </c>
      <c r="AK2840">
        <v>14.559992291155501</v>
      </c>
      <c r="AL2840">
        <v>81.274554083591894</v>
      </c>
      <c r="AM2840">
        <v>105.769614400354</v>
      </c>
      <c r="AN2840">
        <v>0.99999993210027704</v>
      </c>
    </row>
    <row r="2841" spans="1:40" x14ac:dyDescent="0.25">
      <c r="A2841" t="str">
        <f>"20190303162310658"</f>
        <v>20190303162310658</v>
      </c>
      <c r="B2841" t="str">
        <f>"1551601390647110"</f>
        <v>1551601390647110</v>
      </c>
      <c r="C2841" t="s">
        <v>40</v>
      </c>
      <c r="D2841">
        <v>5.4993970000000001</v>
      </c>
      <c r="E2841">
        <v>0.46317150000000001</v>
      </c>
      <c r="F2841" t="s">
        <v>46</v>
      </c>
      <c r="G2841">
        <v>-487.3383</v>
      </c>
      <c r="H2841" s="1">
        <v>3.4651480000000001E-6</v>
      </c>
      <c r="I2841">
        <v>221.26580000000001</v>
      </c>
      <c r="J2841">
        <v>-492.41500000000002</v>
      </c>
      <c r="K2841">
        <v>1.1233799999999901</v>
      </c>
      <c r="L2841">
        <v>234.87299999999999</v>
      </c>
      <c r="M2841">
        <v>7.940519E-2</v>
      </c>
      <c r="N2841">
        <v>-1.18928E-2</v>
      </c>
      <c r="O2841">
        <v>-0.99677159999999998</v>
      </c>
      <c r="P2841">
        <v>0.35260069999999999</v>
      </c>
      <c r="Q2841">
        <v>0.14159430000000001</v>
      </c>
      <c r="R2841">
        <v>-0.92499949999999997</v>
      </c>
      <c r="S2841">
        <v>1.0514220000000001</v>
      </c>
      <c r="T2841">
        <v>-0.23105490000000001</v>
      </c>
      <c r="U2841">
        <v>-2.8778380000000001</v>
      </c>
      <c r="V2841">
        <v>-0.27901720000000002</v>
      </c>
      <c r="W2841">
        <v>0.15107860000000001</v>
      </c>
      <c r="X2841">
        <v>0.94832729999999998</v>
      </c>
      <c r="Y2841">
        <v>-0.26665499999999998</v>
      </c>
      <c r="Z2841">
        <v>6.4075460000000001E-2</v>
      </c>
      <c r="AA2841">
        <v>0.96165970000000001</v>
      </c>
      <c r="AB2841">
        <v>27</v>
      </c>
      <c r="AC2841">
        <v>5.0767000000000104</v>
      </c>
      <c r="AD2841">
        <v>-1.12337653485199</v>
      </c>
      <c r="AE2841">
        <v>-13.607199999999899</v>
      </c>
      <c r="AF2841">
        <v>-3.9564379298382</v>
      </c>
      <c r="AG2841">
        <v>-1.12337653485199</v>
      </c>
      <c r="AH2841">
        <v>13.8843039284995</v>
      </c>
      <c r="AI2841">
        <v>94.449348864623303</v>
      </c>
      <c r="AJ2841">
        <v>105.90530508200099</v>
      </c>
      <c r="AK2841">
        <v>14.480651625899499</v>
      </c>
      <c r="AL2841">
        <v>81.310561869800395</v>
      </c>
      <c r="AM2841">
        <v>106.39495667108901</v>
      </c>
      <c r="AN2841">
        <v>1.0000000045995401</v>
      </c>
    </row>
    <row r="2842" spans="1:40" x14ac:dyDescent="0.25">
      <c r="A2842" t="str">
        <f>"20190303162310686"</f>
        <v>20190303162310686</v>
      </c>
      <c r="B2842" t="str">
        <f>"1551601390677366"</f>
        <v>1551601390677366</v>
      </c>
      <c r="C2842" t="s">
        <v>40</v>
      </c>
      <c r="D2842">
        <v>5.423502</v>
      </c>
      <c r="E2842">
        <v>0.38329410000000003</v>
      </c>
      <c r="F2842" t="s">
        <v>46</v>
      </c>
      <c r="G2842">
        <v>-484.85469999999998</v>
      </c>
      <c r="H2842" s="1">
        <v>2.6161889999999999E-6</v>
      </c>
      <c r="I2842">
        <v>219.30539999999999</v>
      </c>
      <c r="J2842">
        <v>-492.38279999999997</v>
      </c>
      <c r="K2842">
        <v>1.123545</v>
      </c>
      <c r="L2842">
        <v>234.53870000000001</v>
      </c>
      <c r="M2842">
        <v>8.4351019999999999E-2</v>
      </c>
      <c r="N2842">
        <v>-1.190272E-2</v>
      </c>
      <c r="O2842">
        <v>-0.9963651</v>
      </c>
      <c r="P2842">
        <v>0.36566490000000001</v>
      </c>
      <c r="Q2842">
        <v>0.13956489999999999</v>
      </c>
      <c r="R2842">
        <v>-0.92022309999999996</v>
      </c>
      <c r="S2842">
        <v>1.3415220000000001</v>
      </c>
      <c r="T2842">
        <v>-0.19933609999999999</v>
      </c>
      <c r="U2842">
        <v>-2.762375</v>
      </c>
      <c r="V2842">
        <v>-0.28776570000000001</v>
      </c>
      <c r="W2842">
        <v>0.14885909999999999</v>
      </c>
      <c r="X2842">
        <v>0.94606129999999999</v>
      </c>
      <c r="Y2842">
        <v>-0.35862369999999999</v>
      </c>
      <c r="Z2842">
        <v>5.3906250000000003E-2</v>
      </c>
      <c r="AA2842">
        <v>0.93192450000000004</v>
      </c>
      <c r="AB2842">
        <v>27</v>
      </c>
      <c r="AC2842">
        <v>7.5280999999999896</v>
      </c>
      <c r="AD2842">
        <v>-1.1235423838109999</v>
      </c>
      <c r="AE2842">
        <v>-15.2333</v>
      </c>
      <c r="AF2842">
        <v>-6.1891716215253796</v>
      </c>
      <c r="AG2842">
        <v>-1.1235423838109999</v>
      </c>
      <c r="AH2842">
        <v>15.745210053292199</v>
      </c>
      <c r="AI2842">
        <v>93.799502644000995</v>
      </c>
      <c r="AJ2842">
        <v>111.45893717037499</v>
      </c>
      <c r="AK2842">
        <v>16.955230239404301</v>
      </c>
      <c r="AL2842">
        <v>81.439184957658</v>
      </c>
      <c r="AM2842">
        <v>106.918311524545</v>
      </c>
      <c r="AN2842">
        <v>1.0000000565534899</v>
      </c>
    </row>
    <row r="2843" spans="1:40" x14ac:dyDescent="0.25">
      <c r="A2843" t="str">
        <f>"20190303162310706"</f>
        <v>20190303162310706</v>
      </c>
      <c r="B2843" t="str">
        <f>"1551601390697863"</f>
        <v>1551601390697863</v>
      </c>
      <c r="C2843" t="s">
        <v>40</v>
      </c>
      <c r="D2843">
        <v>5.4114810000000002</v>
      </c>
      <c r="E2843">
        <v>0.37326769999999998</v>
      </c>
      <c r="F2843" t="s">
        <v>42</v>
      </c>
      <c r="G2843">
        <v>-491.72710000000001</v>
      </c>
      <c r="H2843">
        <v>1.0190709999999901</v>
      </c>
      <c r="I2843">
        <v>233.70079999999999</v>
      </c>
      <c r="J2843">
        <v>-492.35969999999998</v>
      </c>
      <c r="K2843">
        <v>1.123683</v>
      </c>
      <c r="L2843">
        <v>234.31190000000001</v>
      </c>
      <c r="M2843">
        <v>8.7933079999999997E-2</v>
      </c>
      <c r="N2843">
        <v>-1.191175E-2</v>
      </c>
      <c r="O2843">
        <v>-0.99605520000000003</v>
      </c>
      <c r="P2843">
        <v>0.37550099999999997</v>
      </c>
      <c r="Q2843">
        <v>0.13831550000000001</v>
      </c>
      <c r="R2843">
        <v>-0.91644270000000005</v>
      </c>
      <c r="S2843">
        <v>1.9748840000000001</v>
      </c>
      <c r="T2843">
        <v>-0.31456719999999999</v>
      </c>
      <c r="U2843">
        <v>-2.5230260000000002</v>
      </c>
      <c r="V2843">
        <v>-0.2945276</v>
      </c>
      <c r="W2843">
        <v>0.14745</v>
      </c>
      <c r="X2843">
        <v>0.94419909999999996</v>
      </c>
      <c r="Y2843">
        <v>-0.54203190000000001</v>
      </c>
      <c r="Z2843">
        <v>8.8367689999999999E-2</v>
      </c>
      <c r="AA2843">
        <v>0.83569879999999996</v>
      </c>
      <c r="AB2843">
        <v>27</v>
      </c>
      <c r="AC2843">
        <v>0.63259999999996797</v>
      </c>
      <c r="AD2843">
        <v>-0.104612</v>
      </c>
      <c r="AE2843">
        <v>-0.61110000000002096</v>
      </c>
      <c r="AF2843">
        <v>-0.56836936480685796</v>
      </c>
      <c r="AG2843">
        <v>-0.104612</v>
      </c>
      <c r="AH2843">
        <v>0.65509595663736597</v>
      </c>
      <c r="AI2843">
        <v>96.877744766767293</v>
      </c>
      <c r="AJ2843">
        <v>130.94531230644401</v>
      </c>
      <c r="AK2843">
        <v>0.87357776860310299</v>
      </c>
      <c r="AL2843">
        <v>81.520820668419901</v>
      </c>
      <c r="AM2843">
        <v>107.324464471043</v>
      </c>
      <c r="AN2843">
        <v>0.99999997505128402</v>
      </c>
    </row>
    <row r="2844" spans="1:40" x14ac:dyDescent="0.25">
      <c r="A2844" t="str">
        <f>"20190303162310726"</f>
        <v>20190303162310726</v>
      </c>
      <c r="B2844" t="str">
        <f>"1551601390717426"</f>
        <v>1551601390717426</v>
      </c>
      <c r="C2844" t="s">
        <v>40</v>
      </c>
      <c r="D2844">
        <v>5.334301</v>
      </c>
      <c r="E2844">
        <v>0.37017030000000001</v>
      </c>
      <c r="F2844" t="s">
        <v>46</v>
      </c>
      <c r="G2844">
        <v>-485.8005</v>
      </c>
      <c r="H2844" s="1">
        <v>4.5746319999999901E-6</v>
      </c>
      <c r="I2844">
        <v>226.4821</v>
      </c>
      <c r="J2844">
        <v>-492.33370000000002</v>
      </c>
      <c r="K2844">
        <v>1.123847</v>
      </c>
      <c r="L2844">
        <v>234.0669</v>
      </c>
      <c r="M2844">
        <v>9.2001390000000002E-2</v>
      </c>
      <c r="N2844">
        <v>-1.192403E-2</v>
      </c>
      <c r="O2844">
        <v>-0.99568760000000001</v>
      </c>
      <c r="P2844">
        <v>0.3839515</v>
      </c>
      <c r="Q2844">
        <v>0.13834170000000001</v>
      </c>
      <c r="R2844">
        <v>-0.91293089999999999</v>
      </c>
      <c r="S2844">
        <v>2.075043</v>
      </c>
      <c r="T2844">
        <v>-0.35548150000000001</v>
      </c>
      <c r="U2844">
        <v>-2.4770050000000001</v>
      </c>
      <c r="V2844">
        <v>-0.29945640000000001</v>
      </c>
      <c r="W2844">
        <v>0.14731649999999999</v>
      </c>
      <c r="X2844">
        <v>0.94266839999999996</v>
      </c>
      <c r="Y2844">
        <v>-0.56532769999999899</v>
      </c>
      <c r="Z2844">
        <v>0.1005561</v>
      </c>
      <c r="AA2844">
        <v>0.81871430000000001</v>
      </c>
      <c r="AB2844">
        <v>27</v>
      </c>
      <c r="AC2844">
        <v>6.5332000000000203</v>
      </c>
      <c r="AD2844">
        <v>-1.1238424253679999</v>
      </c>
      <c r="AE2844">
        <v>-7.5848000000000004</v>
      </c>
      <c r="AF2844">
        <v>-5.7353408518205997</v>
      </c>
      <c r="AG2844">
        <v>-1.1238424253679999</v>
      </c>
      <c r="AH2844">
        <v>8.0522469204891802</v>
      </c>
      <c r="AI2844">
        <v>96.4855590666334</v>
      </c>
      <c r="AJ2844">
        <v>125.46097440457</v>
      </c>
      <c r="AK2844">
        <v>9.9496651678409194</v>
      </c>
      <c r="AL2844">
        <v>81.528554317304597</v>
      </c>
      <c r="AM2844">
        <v>107.623432074615</v>
      </c>
      <c r="AN2844">
        <v>0.99999999951588503</v>
      </c>
    </row>
    <row r="2845" spans="1:40" x14ac:dyDescent="0.25">
      <c r="A2845" t="str">
        <f>"20190303162310753"</f>
        <v>20190303162310753</v>
      </c>
      <c r="B2845" t="str">
        <f>"1551601390747681"</f>
        <v>1551601390747681</v>
      </c>
      <c r="C2845" t="s">
        <v>40</v>
      </c>
      <c r="D2845">
        <v>5.2501769999999999</v>
      </c>
      <c r="E2845">
        <v>0.36905159999999998</v>
      </c>
      <c r="F2845" t="s">
        <v>46</v>
      </c>
      <c r="G2845">
        <v>-485.8546</v>
      </c>
      <c r="H2845" s="1">
        <v>4.6079520000000001E-6</v>
      </c>
      <c r="I2845">
        <v>226.57859999999999</v>
      </c>
      <c r="J2845">
        <v>-492.29719999999998</v>
      </c>
      <c r="K2845">
        <v>1.12409</v>
      </c>
      <c r="L2845">
        <v>233.74199999999999</v>
      </c>
      <c r="M2845">
        <v>9.7767149999999997E-2</v>
      </c>
      <c r="N2845">
        <v>-1.194273E-2</v>
      </c>
      <c r="O2845">
        <v>-0.99513770000000001</v>
      </c>
      <c r="P2845">
        <v>0.39297599999999999</v>
      </c>
      <c r="Q2845">
        <v>0.1388894</v>
      </c>
      <c r="R2845">
        <v>-0.90899929999999995</v>
      </c>
      <c r="S2845">
        <v>2.1200260000000002</v>
      </c>
      <c r="T2845">
        <v>-0.36772870000000002</v>
      </c>
      <c r="U2845">
        <v>-2.4502259999999998</v>
      </c>
      <c r="V2845">
        <v>-0.30343819999999999</v>
      </c>
      <c r="W2845">
        <v>0.1476585</v>
      </c>
      <c r="X2845">
        <v>0.94134070000000003</v>
      </c>
      <c r="Y2845">
        <v>-0.57333000000000001</v>
      </c>
      <c r="Z2845">
        <v>0.104279399999999</v>
      </c>
      <c r="AA2845">
        <v>0.81266139999999998</v>
      </c>
      <c r="AB2845">
        <v>27</v>
      </c>
      <c r="AC2845">
        <v>6.4425999999999704</v>
      </c>
      <c r="AD2845">
        <v>-1.1240853920479901</v>
      </c>
      <c r="AE2845">
        <v>-7.1634000000000198</v>
      </c>
      <c r="AF2845">
        <v>-5.6346323490217696</v>
      </c>
      <c r="AG2845">
        <v>-1.1240853920479901</v>
      </c>
      <c r="AH2845">
        <v>7.6547931520574801</v>
      </c>
      <c r="AI2845">
        <v>96.744620212740202</v>
      </c>
      <c r="AJ2845">
        <v>126.356488931245</v>
      </c>
      <c r="AK2845">
        <v>9.5712333519794797</v>
      </c>
      <c r="AL2845">
        <v>81.508742874538697</v>
      </c>
      <c r="AM2845">
        <v>107.86656230475</v>
      </c>
      <c r="AN2845">
        <v>1.00000004365898</v>
      </c>
    </row>
    <row r="2846" spans="1:40" x14ac:dyDescent="0.25">
      <c r="A2846" t="str">
        <f>"20190303162310773"</f>
        <v>20190303162310773</v>
      </c>
      <c r="B2846" t="str">
        <f>"1551601390767203"</f>
        <v>1551601390767203</v>
      </c>
      <c r="C2846" t="s">
        <v>40</v>
      </c>
      <c r="D2846">
        <v>5.3266970000000002</v>
      </c>
      <c r="E2846">
        <v>0.36955080000000001</v>
      </c>
      <c r="F2846" t="s">
        <v>42</v>
      </c>
      <c r="G2846">
        <v>-491.63749999999999</v>
      </c>
      <c r="H2846">
        <v>1.0118149999999999</v>
      </c>
      <c r="I2846">
        <v>232.99799999999999</v>
      </c>
      <c r="J2846">
        <v>-492.27109999999999</v>
      </c>
      <c r="K2846">
        <v>1.12426</v>
      </c>
      <c r="L2846">
        <v>233.52109999999999</v>
      </c>
      <c r="M2846">
        <v>0.1019395</v>
      </c>
      <c r="N2846">
        <v>-1.195716E-2</v>
      </c>
      <c r="O2846">
        <v>-0.99471869999999996</v>
      </c>
      <c r="P2846">
        <v>0.40028580000000002</v>
      </c>
      <c r="Q2846">
        <v>0.13808210000000001</v>
      </c>
      <c r="R2846">
        <v>-0.9059275</v>
      </c>
      <c r="S2846">
        <v>2.1516419999999998</v>
      </c>
      <c r="T2846">
        <v>-0.36615530000000002</v>
      </c>
      <c r="U2846">
        <v>-2.4260860000000002</v>
      </c>
      <c r="V2846">
        <v>-0.30712230000000001</v>
      </c>
      <c r="W2846">
        <v>0.14668870000000001</v>
      </c>
      <c r="X2846">
        <v>0.94029689999999999</v>
      </c>
      <c r="Y2846">
        <v>-0.57986380000000004</v>
      </c>
      <c r="Z2846">
        <v>0.1038602</v>
      </c>
      <c r="AA2846">
        <v>0.80806619999999996</v>
      </c>
      <c r="AB2846">
        <v>27</v>
      </c>
      <c r="AC2846">
        <v>0.63360000000000105</v>
      </c>
      <c r="AD2846">
        <v>-0.112445</v>
      </c>
      <c r="AE2846">
        <v>-0.52309999999999901</v>
      </c>
      <c r="AF2846">
        <v>-0.56636285883181603</v>
      </c>
      <c r="AG2846">
        <v>-0.112445</v>
      </c>
      <c r="AH2846">
        <v>0.57421339842399799</v>
      </c>
      <c r="AI2846">
        <v>97.936933049248495</v>
      </c>
      <c r="AJ2846">
        <v>134.60564172739899</v>
      </c>
      <c r="AK2846">
        <v>0.81432904456293598</v>
      </c>
      <c r="AL2846">
        <v>81.564919435552198</v>
      </c>
      <c r="AM2846">
        <v>108.088212455261</v>
      </c>
      <c r="AN2846">
        <v>0.99999997100729399</v>
      </c>
    </row>
    <row r="2847" spans="1:40" x14ac:dyDescent="0.25">
      <c r="A2847" t="str">
        <f>"20190303162310796"</f>
        <v>20190303162310796</v>
      </c>
      <c r="B2847" t="str">
        <f>"1551601390787698"</f>
        <v>1551601390787698</v>
      </c>
      <c r="C2847" t="s">
        <v>40</v>
      </c>
      <c r="D2847">
        <v>5.3330479999999998</v>
      </c>
      <c r="E2847">
        <v>0.37032130000000002</v>
      </c>
      <c r="F2847" t="s">
        <v>42</v>
      </c>
      <c r="G2847">
        <v>-491.59440000000001</v>
      </c>
      <c r="H2847">
        <v>1.009747</v>
      </c>
      <c r="I2847">
        <v>232.768</v>
      </c>
      <c r="J2847">
        <v>-492.2353</v>
      </c>
      <c r="K2847">
        <v>1.124506</v>
      </c>
      <c r="L2847">
        <v>233.2328</v>
      </c>
      <c r="M2847">
        <v>0.1077367</v>
      </c>
      <c r="N2847">
        <v>-1.197925E-2</v>
      </c>
      <c r="O2847">
        <v>-0.99410739999999997</v>
      </c>
      <c r="P2847">
        <v>0.40904950000000001</v>
      </c>
      <c r="Q2847">
        <v>0.13810359999999999</v>
      </c>
      <c r="R2847">
        <v>-0.9020011</v>
      </c>
      <c r="S2847">
        <v>2.1664119999999998</v>
      </c>
      <c r="T2847">
        <v>-0.36644739999999998</v>
      </c>
      <c r="U2847">
        <v>-2.41011</v>
      </c>
      <c r="V2847">
        <v>-0.31085190000000001</v>
      </c>
      <c r="W2847">
        <v>0.14649300000000001</v>
      </c>
      <c r="X2847">
        <v>0.93910110000000002</v>
      </c>
      <c r="Y2847">
        <v>-0.58050570000000001</v>
      </c>
      <c r="Z2847">
        <v>0.10417940000000001</v>
      </c>
      <c r="AA2847">
        <v>0.80756410000000001</v>
      </c>
      <c r="AB2847">
        <v>27</v>
      </c>
      <c r="AC2847">
        <v>0.64089999999998704</v>
      </c>
      <c r="AD2847">
        <v>-0.114759</v>
      </c>
      <c r="AE2847">
        <v>-0.46479999999999599</v>
      </c>
      <c r="AF2847">
        <v>-0.57500788867896602</v>
      </c>
      <c r="AG2847">
        <v>-0.114759</v>
      </c>
      <c r="AH2847">
        <v>0.52021725209242298</v>
      </c>
      <c r="AI2847">
        <v>98.418545588144497</v>
      </c>
      <c r="AJ2847">
        <v>137.86393835749899</v>
      </c>
      <c r="AK2847">
        <v>0.783855656035366</v>
      </c>
      <c r="AL2847">
        <v>81.576254828198699</v>
      </c>
      <c r="AM2847">
        <v>108.315062428565</v>
      </c>
      <c r="AN2847">
        <v>0.99999998940190904</v>
      </c>
    </row>
    <row r="2848" spans="1:40" x14ac:dyDescent="0.25">
      <c r="A2848" t="str">
        <f>"20190303162310820"</f>
        <v>20190303162310820</v>
      </c>
      <c r="B2848" t="str">
        <f>"1551601390807218"</f>
        <v>1551601390807218</v>
      </c>
      <c r="C2848" t="s">
        <v>40</v>
      </c>
      <c r="D2848">
        <v>5.2968669999999998</v>
      </c>
      <c r="E2848">
        <v>0.37162610000000001</v>
      </c>
      <c r="F2848" t="s">
        <v>42</v>
      </c>
      <c r="G2848">
        <v>-491.58949999999999</v>
      </c>
      <c r="H2848">
        <v>1.0170490000000001</v>
      </c>
      <c r="I2848">
        <v>232.52529999999999</v>
      </c>
      <c r="J2848">
        <v>-492.19909999999999</v>
      </c>
      <c r="K2848">
        <v>1.1247670000000001</v>
      </c>
      <c r="L2848">
        <v>232.95760000000001</v>
      </c>
      <c r="M2848">
        <v>0.11365400000000001</v>
      </c>
      <c r="N2848">
        <v>-1.20041E-2</v>
      </c>
      <c r="O2848">
        <v>-0.99344809999999995</v>
      </c>
      <c r="P2848">
        <v>0.4183366</v>
      </c>
      <c r="Q2848">
        <v>0.13777349999999999</v>
      </c>
      <c r="R2848">
        <v>-0.89778269999999905</v>
      </c>
      <c r="S2848">
        <v>2.1834410000000002</v>
      </c>
      <c r="T2848">
        <v>-0.36321560000000003</v>
      </c>
      <c r="U2848">
        <v>-2.3913419999999999</v>
      </c>
      <c r="V2848">
        <v>-0.3150406</v>
      </c>
      <c r="W2848">
        <v>0.14593210000000001</v>
      </c>
      <c r="X2848">
        <v>0.93779159999999995</v>
      </c>
      <c r="Y2848">
        <v>-0.58201499999999995</v>
      </c>
      <c r="Z2848">
        <v>0.1034177</v>
      </c>
      <c r="AA2848">
        <v>0.80657509999999999</v>
      </c>
      <c r="AB2848">
        <v>27</v>
      </c>
      <c r="AC2848">
        <v>0.60960000000000003</v>
      </c>
      <c r="AD2848">
        <v>-0.10771799999999999</v>
      </c>
      <c r="AE2848">
        <v>-0.432300000000026</v>
      </c>
      <c r="AF2848">
        <v>-0.54518664112621795</v>
      </c>
      <c r="AG2848">
        <v>-0.10771799999999999</v>
      </c>
      <c r="AH2848">
        <v>0.48863514973449401</v>
      </c>
      <c r="AI2848">
        <v>98.370021791500605</v>
      </c>
      <c r="AJ2848">
        <v>138.13103846064399</v>
      </c>
      <c r="AK2848">
        <v>0.73999726401017096</v>
      </c>
      <c r="AL2848">
        <v>81.608740579808</v>
      </c>
      <c r="AM2848">
        <v>108.569198499096</v>
      </c>
      <c r="AN2848">
        <v>0.99999992124466197</v>
      </c>
    </row>
    <row r="2849" spans="1:40" x14ac:dyDescent="0.25">
      <c r="A2849" t="str">
        <f>"20190303162310838"</f>
        <v>20190303162310838</v>
      </c>
      <c r="B2849" t="str">
        <f>"1551601390827244"</f>
        <v>1551601390827244</v>
      </c>
      <c r="C2849" t="s">
        <v>40</v>
      </c>
      <c r="D2849">
        <v>5.1782240000000002</v>
      </c>
      <c r="E2849">
        <v>0.372388</v>
      </c>
      <c r="F2849" t="s">
        <v>42</v>
      </c>
      <c r="G2849">
        <v>-491.57639999999998</v>
      </c>
      <c r="H2849">
        <v>1.0224489999999999</v>
      </c>
      <c r="I2849">
        <v>232.2851</v>
      </c>
      <c r="J2849">
        <v>-492.16809999999998</v>
      </c>
      <c r="K2849">
        <v>1.124986</v>
      </c>
      <c r="L2849">
        <v>232.73390000000001</v>
      </c>
      <c r="M2849">
        <v>0.1187622</v>
      </c>
      <c r="N2849">
        <v>-1.2026810000000001E-2</v>
      </c>
      <c r="O2849">
        <v>-0.9928498</v>
      </c>
      <c r="P2849">
        <v>0.42770920000000001</v>
      </c>
      <c r="Q2849">
        <v>0.13746989999999901</v>
      </c>
      <c r="R2849">
        <v>-0.89340169999999997</v>
      </c>
      <c r="S2849">
        <v>2.1982119999999998</v>
      </c>
      <c r="T2849">
        <v>-0.3609656</v>
      </c>
      <c r="U2849">
        <v>-2.372665</v>
      </c>
      <c r="V2849">
        <v>-0.32010450000000001</v>
      </c>
      <c r="W2849">
        <v>0.14541129999999999</v>
      </c>
      <c r="X2849">
        <v>0.93615630000000005</v>
      </c>
      <c r="Y2849">
        <v>-0.58373660000000005</v>
      </c>
      <c r="Z2849">
        <v>0.10298400000000001</v>
      </c>
      <c r="AA2849">
        <v>0.80538559999999904</v>
      </c>
      <c r="AB2849">
        <v>27</v>
      </c>
      <c r="AC2849">
        <v>0.591700000000002</v>
      </c>
      <c r="AD2849">
        <v>-0.102537</v>
      </c>
      <c r="AE2849">
        <v>-0.44880000000000497</v>
      </c>
      <c r="AF2849">
        <v>-0.52421432254826905</v>
      </c>
      <c r="AG2849">
        <v>-0.102537</v>
      </c>
      <c r="AH2849">
        <v>0.50624929730717705</v>
      </c>
      <c r="AI2849">
        <v>98.008994603558506</v>
      </c>
      <c r="AJ2849">
        <v>135.99878912743199</v>
      </c>
      <c r="AK2849">
        <v>0.73593671151652196</v>
      </c>
      <c r="AL2849">
        <v>81.638902430612703</v>
      </c>
      <c r="AM2849">
        <v>108.87734793636599</v>
      </c>
      <c r="AN2849">
        <v>0.99999997755881398</v>
      </c>
    </row>
    <row r="2850" spans="1:40" x14ac:dyDescent="0.25">
      <c r="A2850" t="str">
        <f>"20190303162310865"</f>
        <v>20190303162310865</v>
      </c>
      <c r="B2850" t="str">
        <f>"1551601390857500"</f>
        <v>1551601390857500</v>
      </c>
      <c r="C2850" t="s">
        <v>40</v>
      </c>
      <c r="D2850">
        <v>5.2345499999999996</v>
      </c>
      <c r="E2850">
        <v>0.37378499999999998</v>
      </c>
      <c r="F2850" t="s">
        <v>42</v>
      </c>
      <c r="G2850">
        <v>-491.52910000000003</v>
      </c>
      <c r="H2850">
        <v>1.0212190000000001</v>
      </c>
      <c r="I2850">
        <v>232.05629999999999</v>
      </c>
      <c r="J2850">
        <v>-492.12310000000002</v>
      </c>
      <c r="K2850">
        <v>1.1252789999999999</v>
      </c>
      <c r="L2850">
        <v>232.42660000000001</v>
      </c>
      <c r="M2850">
        <v>0.12617829999999999</v>
      </c>
      <c r="N2850">
        <v>-1.2059530000000001E-2</v>
      </c>
      <c r="O2850">
        <v>-0.99193439999999999</v>
      </c>
      <c r="P2850">
        <v>0.43867699999999998</v>
      </c>
      <c r="Q2850">
        <v>0.13798969999999999</v>
      </c>
      <c r="R2850">
        <v>-0.88798729999999904</v>
      </c>
      <c r="S2850">
        <v>2.2176209999999998</v>
      </c>
      <c r="T2850">
        <v>-0.36013849999999997</v>
      </c>
      <c r="U2850">
        <v>-2.3516849999999998</v>
      </c>
      <c r="V2850">
        <v>-0.32476139999999998</v>
      </c>
      <c r="W2850">
        <v>0.14565989999999901</v>
      </c>
      <c r="X2850">
        <v>0.93451229999999996</v>
      </c>
      <c r="Y2850">
        <v>-0.584789</v>
      </c>
      <c r="Z2850">
        <v>0.1029819</v>
      </c>
      <c r="AA2850">
        <v>0.80462199999999995</v>
      </c>
      <c r="AB2850">
        <v>27</v>
      </c>
      <c r="AC2850">
        <v>0.59399999999999398</v>
      </c>
      <c r="AD2850">
        <v>-0.10406</v>
      </c>
      <c r="AE2850">
        <v>-0.37030000000001401</v>
      </c>
      <c r="AF2850">
        <v>-0.53079361037768302</v>
      </c>
      <c r="AG2850">
        <v>-0.10406</v>
      </c>
      <c r="AH2850">
        <v>0.432731596278222</v>
      </c>
      <c r="AI2850">
        <v>98.639951408305393</v>
      </c>
      <c r="AJ2850">
        <v>140.81122346478799</v>
      </c>
      <c r="AK2850">
        <v>0.69269544161577601</v>
      </c>
      <c r="AL2850">
        <v>81.624505655624105</v>
      </c>
      <c r="AM2850">
        <v>109.163344592901</v>
      </c>
      <c r="AN2850">
        <v>1.0000000061246299</v>
      </c>
    </row>
    <row r="2851" spans="1:40" x14ac:dyDescent="0.25">
      <c r="A2851" t="str">
        <f>"20190303162310881"</f>
        <v>20190303162310881</v>
      </c>
      <c r="B2851" t="str">
        <f>"1551601390867259"</f>
        <v>1551601390867259</v>
      </c>
      <c r="C2851" t="s">
        <v>40</v>
      </c>
      <c r="D2851">
        <v>5.2379860000000003</v>
      </c>
      <c r="E2851">
        <v>0.37419580000000002</v>
      </c>
      <c r="F2851" t="s">
        <v>46</v>
      </c>
      <c r="G2851">
        <v>-484.96730000000002</v>
      </c>
      <c r="H2851" s="1">
        <v>4.0578879999999901E-6</v>
      </c>
      <c r="I2851">
        <v>224.9804</v>
      </c>
      <c r="J2851">
        <v>-492.09160000000003</v>
      </c>
      <c r="K2851">
        <v>1.12547</v>
      </c>
      <c r="L2851">
        <v>232.22130000000001</v>
      </c>
      <c r="M2851">
        <v>0.131382</v>
      </c>
      <c r="N2851">
        <v>-1.2081990000000001E-2</v>
      </c>
      <c r="O2851">
        <v>-0.99125830000000004</v>
      </c>
      <c r="P2851">
        <v>0.44794810000000002</v>
      </c>
      <c r="Q2851">
        <v>0.1380574</v>
      </c>
      <c r="R2851">
        <v>-0.88333589999999995</v>
      </c>
      <c r="S2851">
        <v>2.2371219999999998</v>
      </c>
      <c r="T2851">
        <v>-0.35179519999999997</v>
      </c>
      <c r="U2851">
        <v>-2.327896</v>
      </c>
      <c r="V2851">
        <v>-0.32971299999999998</v>
      </c>
      <c r="W2851">
        <v>0.1455217</v>
      </c>
      <c r="X2851">
        <v>0.93279840000000003</v>
      </c>
      <c r="Y2851">
        <v>-0.58831449999999996</v>
      </c>
      <c r="Z2851">
        <v>0.100644</v>
      </c>
      <c r="AA2851">
        <v>0.80234459999999996</v>
      </c>
      <c r="AB2851">
        <v>27</v>
      </c>
      <c r="AC2851">
        <v>7.1242999999999999</v>
      </c>
      <c r="AD2851">
        <v>-1.1254659421119999</v>
      </c>
      <c r="AE2851">
        <v>-7.2409000000000097</v>
      </c>
      <c r="AF2851">
        <v>-6.03703473076229</v>
      </c>
      <c r="AG2851">
        <v>-1.1254659421119999</v>
      </c>
      <c r="AH2851">
        <v>8.0157996086385097</v>
      </c>
      <c r="AI2851">
        <v>96.399287931232493</v>
      </c>
      <c r="AJ2851">
        <v>126.984936108467</v>
      </c>
      <c r="AK2851">
        <v>10.0977970514926</v>
      </c>
      <c r="AL2851">
        <v>81.632509507408898</v>
      </c>
      <c r="AM2851">
        <v>109.466795995414</v>
      </c>
      <c r="AN2851">
        <v>1.00000004129122</v>
      </c>
    </row>
    <row r="2852" spans="1:40" x14ac:dyDescent="0.25">
      <c r="A2852" t="str">
        <f>"20190303162310906"</f>
        <v>20190303162310906</v>
      </c>
      <c r="B2852" t="str">
        <f>"1551601390897516"</f>
        <v>1551601390897516</v>
      </c>
      <c r="C2852" t="s">
        <v>40</v>
      </c>
      <c r="D2852">
        <v>5.2448309999999996</v>
      </c>
      <c r="E2852">
        <v>0.37577359999999999</v>
      </c>
      <c r="F2852" t="s">
        <v>42</v>
      </c>
      <c r="G2852">
        <v>-491.4701</v>
      </c>
      <c r="H2852">
        <v>1.0287520000000001</v>
      </c>
      <c r="I2852">
        <v>231.58619999999999</v>
      </c>
      <c r="J2852">
        <v>-492.04770000000002</v>
      </c>
      <c r="K2852">
        <v>1.1256839999999999</v>
      </c>
      <c r="L2852">
        <v>231.94980000000001</v>
      </c>
      <c r="M2852">
        <v>0.13854040000000001</v>
      </c>
      <c r="N2852">
        <v>-1.211071E-2</v>
      </c>
      <c r="O2852">
        <v>-0.99028260000000001</v>
      </c>
      <c r="P2852">
        <v>0.46024310000000002</v>
      </c>
      <c r="Q2852">
        <v>0.13789560000000001</v>
      </c>
      <c r="R2852">
        <v>-0.87701799999999996</v>
      </c>
      <c r="S2852">
        <v>2.25766</v>
      </c>
      <c r="T2852">
        <v>-0.3512151</v>
      </c>
      <c r="U2852">
        <v>-2.3062589999999998</v>
      </c>
      <c r="V2852">
        <v>-0.33607779999999998</v>
      </c>
      <c r="W2852">
        <v>0.14511079999999901</v>
      </c>
      <c r="X2852">
        <v>0.93058830000000003</v>
      </c>
      <c r="Y2852">
        <v>-0.58989539999999996</v>
      </c>
      <c r="Z2852">
        <v>0.10068249999999999</v>
      </c>
      <c r="AA2852">
        <v>0.80117819999999995</v>
      </c>
      <c r="AB2852">
        <v>27</v>
      </c>
      <c r="AC2852">
        <v>0.57760000000001799</v>
      </c>
      <c r="AD2852">
        <v>-9.6931999999999796E-2</v>
      </c>
      <c r="AE2852">
        <v>-0.36360000000001902</v>
      </c>
      <c r="AF2852">
        <v>-0.511338471613898</v>
      </c>
      <c r="AG2852">
        <v>-9.6931999999999796E-2</v>
      </c>
      <c r="AH2852">
        <v>0.43141823591696898</v>
      </c>
      <c r="AI2852">
        <v>98.244012021593505</v>
      </c>
      <c r="AJ2852">
        <v>139.84554507818001</v>
      </c>
      <c r="AK2852">
        <v>0.67600631613776097</v>
      </c>
      <c r="AL2852">
        <v>81.656304644986307</v>
      </c>
      <c r="AM2852">
        <v>109.85695865166601</v>
      </c>
      <c r="AN2852">
        <v>1.0000000080131799</v>
      </c>
    </row>
    <row r="2853" spans="1:40" x14ac:dyDescent="0.25">
      <c r="A2853" t="str">
        <f>"20190303162310927"</f>
        <v>20190303162310927</v>
      </c>
      <c r="B2853" t="str">
        <f>"1551601390917035"</f>
        <v>1551601390917035</v>
      </c>
      <c r="C2853" t="s">
        <v>40</v>
      </c>
      <c r="D2853">
        <v>5.2556019999999997</v>
      </c>
      <c r="E2853">
        <v>0.3769903</v>
      </c>
      <c r="F2853" t="s">
        <v>46</v>
      </c>
      <c r="G2853">
        <v>-484.68709999999999</v>
      </c>
      <c r="H2853" s="1">
        <v>3.9049739999999996E-6</v>
      </c>
      <c r="I2853">
        <v>224.58320000000001</v>
      </c>
      <c r="J2853">
        <v>-492.00400000000002</v>
      </c>
      <c r="K2853">
        <v>1.1258699999999999</v>
      </c>
      <c r="L2853">
        <v>231.6926</v>
      </c>
      <c r="M2853">
        <v>0.14559439999999901</v>
      </c>
      <c r="N2853">
        <v>-1.213638E-2</v>
      </c>
      <c r="O2853">
        <v>-0.98926990000000004</v>
      </c>
      <c r="P2853">
        <v>0.4734524</v>
      </c>
      <c r="Q2853">
        <v>0.13781370000000001</v>
      </c>
      <c r="R2853">
        <v>-0.8699713</v>
      </c>
      <c r="S2853">
        <v>2.278076</v>
      </c>
      <c r="T2853">
        <v>-0.34839399999999998</v>
      </c>
      <c r="U2853">
        <v>-2.2799529999999999</v>
      </c>
      <c r="V2853">
        <v>-0.34358369999999999</v>
      </c>
      <c r="W2853">
        <v>0.1447735</v>
      </c>
      <c r="X2853">
        <v>0.92789600000000005</v>
      </c>
      <c r="Y2853">
        <v>-0.59239819999999999</v>
      </c>
      <c r="Z2853">
        <v>0.1001261</v>
      </c>
      <c r="AA2853">
        <v>0.79939919999999998</v>
      </c>
      <c r="AB2853">
        <v>27</v>
      </c>
      <c r="AC2853">
        <v>7.3169000000000297</v>
      </c>
      <c r="AD2853">
        <v>-1.125866095026</v>
      </c>
      <c r="AE2853">
        <v>-7.1093999999999902</v>
      </c>
      <c r="AF2853">
        <v>-6.1291120422239702</v>
      </c>
      <c r="AG2853">
        <v>-1.125866095026</v>
      </c>
      <c r="AH2853">
        <v>8.0015624964320793</v>
      </c>
      <c r="AI2853">
        <v>96.373605040704206</v>
      </c>
      <c r="AJ2853">
        <v>127.451731990387</v>
      </c>
      <c r="AK2853">
        <v>10.1419224644232</v>
      </c>
      <c r="AL2853">
        <v>81.675837170399504</v>
      </c>
      <c r="AM2853">
        <v>110.31871209323999</v>
      </c>
      <c r="AN2853">
        <v>1.00000005601196</v>
      </c>
    </row>
    <row r="2854" spans="1:40" x14ac:dyDescent="0.25">
      <c r="A2854" t="str">
        <f>"20190303162310950"</f>
        <v>20190303162310950</v>
      </c>
      <c r="B2854" t="str">
        <f>"1551601390937532"</f>
        <v>1551601390937532</v>
      </c>
      <c r="C2854" t="s">
        <v>40</v>
      </c>
      <c r="D2854">
        <v>5.270213</v>
      </c>
      <c r="E2854">
        <v>0.37804890000000002</v>
      </c>
      <c r="F2854" t="s">
        <v>46</v>
      </c>
      <c r="G2854">
        <v>-484.55520000000001</v>
      </c>
      <c r="H2854" s="1">
        <v>3.822782E-6</v>
      </c>
      <c r="I2854">
        <v>224.41229999999999</v>
      </c>
      <c r="J2854">
        <v>-491.95740000000001</v>
      </c>
      <c r="K2854">
        <v>1.1260460000000001</v>
      </c>
      <c r="L2854">
        <v>231.43180000000001</v>
      </c>
      <c r="M2854">
        <v>0.15297920000000001</v>
      </c>
      <c r="N2854">
        <v>-1.216221E-2</v>
      </c>
      <c r="O2854">
        <v>-0.9881548</v>
      </c>
      <c r="P2854">
        <v>0.48801230000000001</v>
      </c>
      <c r="Q2854">
        <v>0.13853360000000001</v>
      </c>
      <c r="R2854">
        <v>-0.86177309999999996</v>
      </c>
      <c r="S2854">
        <v>2.302521</v>
      </c>
      <c r="T2854">
        <v>-0.348020099999999</v>
      </c>
      <c r="U2854">
        <v>-2.2504580000000001</v>
      </c>
      <c r="V2854">
        <v>-0.3523406</v>
      </c>
      <c r="W2854">
        <v>0.14522360000000001</v>
      </c>
      <c r="X2854">
        <v>0.92453569999999996</v>
      </c>
      <c r="Y2854">
        <v>-0.59584869999999901</v>
      </c>
      <c r="Z2854">
        <v>0.10032770000000001</v>
      </c>
      <c r="AA2854">
        <v>0.79680530000000005</v>
      </c>
      <c r="AB2854">
        <v>27</v>
      </c>
      <c r="AC2854">
        <v>7.4021999999999899</v>
      </c>
      <c r="AD2854">
        <v>-1.12604217721799</v>
      </c>
      <c r="AE2854">
        <v>-7.0195000000000203</v>
      </c>
      <c r="AF2854">
        <v>-6.1660135526964703</v>
      </c>
      <c r="AG2854">
        <v>-1.12604217721799</v>
      </c>
      <c r="AH2854">
        <v>7.9721945761553803</v>
      </c>
      <c r="AI2854">
        <v>96.375073110318397</v>
      </c>
      <c r="AJ2854">
        <v>127.71979775172299</v>
      </c>
      <c r="AK2854">
        <v>10.141182400341201</v>
      </c>
      <c r="AL2854">
        <v>81.649772642241004</v>
      </c>
      <c r="AM2854">
        <v>110.86184614731199</v>
      </c>
      <c r="AN2854">
        <v>1.0000000264899001</v>
      </c>
    </row>
    <row r="2855" spans="1:40" x14ac:dyDescent="0.25">
      <c r="A2855" t="str">
        <f>"20190303162310972"</f>
        <v>20190303162310972</v>
      </c>
      <c r="B2855" t="str">
        <f>"1551601390967787"</f>
        <v>1551601390967787</v>
      </c>
      <c r="C2855" t="s">
        <v>40</v>
      </c>
      <c r="D2855">
        <v>5.3111499999999996</v>
      </c>
      <c r="E2855">
        <v>0.3975996</v>
      </c>
      <c r="F2855" t="s">
        <v>46</v>
      </c>
      <c r="G2855">
        <v>-484.39940000000001</v>
      </c>
      <c r="H2855" s="1">
        <v>3.7350670000000002E-6</v>
      </c>
      <c r="I2855">
        <v>224.2406</v>
      </c>
      <c r="J2855">
        <v>-491.90750000000003</v>
      </c>
      <c r="K2855">
        <v>1.126215</v>
      </c>
      <c r="L2855">
        <v>231.16489999999999</v>
      </c>
      <c r="M2855">
        <v>0.1607557</v>
      </c>
      <c r="N2855">
        <v>-1.218845E-2</v>
      </c>
      <c r="O2855">
        <v>-0.9869192</v>
      </c>
      <c r="P2855">
        <v>0.50182919999999998</v>
      </c>
      <c r="Q2855">
        <v>0.13979369999999999</v>
      </c>
      <c r="R2855">
        <v>-0.85359560000000001</v>
      </c>
      <c r="S2855">
        <v>2.3304140000000002</v>
      </c>
      <c r="T2855">
        <v>-0.34720109999999998</v>
      </c>
      <c r="U2855">
        <v>-2.2173159999999998</v>
      </c>
      <c r="V2855">
        <v>-0.36005989999999999</v>
      </c>
      <c r="W2855">
        <v>0.14623069999999999</v>
      </c>
      <c r="X2855">
        <v>0.92139749999999998</v>
      </c>
      <c r="Y2855">
        <v>-0.60023110000000002</v>
      </c>
      <c r="Z2855">
        <v>0.1003937</v>
      </c>
      <c r="AA2855">
        <v>0.79350100000000001</v>
      </c>
      <c r="AB2855">
        <v>27</v>
      </c>
      <c r="AC2855">
        <v>7.5081000000000104</v>
      </c>
      <c r="AD2855">
        <v>-1.1262112649330001</v>
      </c>
      <c r="AE2855">
        <v>-6.9242999999999801</v>
      </c>
      <c r="AF2855">
        <v>-6.2215880440942204</v>
      </c>
      <c r="AG2855">
        <v>-1.1262112649330001</v>
      </c>
      <c r="AH2855">
        <v>7.9446938237453297</v>
      </c>
      <c r="AI2855">
        <v>96.368232986469295</v>
      </c>
      <c r="AJ2855">
        <v>128.06493526646099</v>
      </c>
      <c r="AK2855">
        <v>10.1535545281805</v>
      </c>
      <c r="AL2855">
        <v>81.591446790965605</v>
      </c>
      <c r="AM2855">
        <v>111.34435821708099</v>
      </c>
      <c r="AN2855">
        <v>0.99999995110837303</v>
      </c>
    </row>
    <row r="2856" spans="1:40" x14ac:dyDescent="0.25">
      <c r="A2856" t="str">
        <f>"20190303162310997"</f>
        <v>20190303162310997</v>
      </c>
      <c r="B2856" t="str">
        <f>"1551601390987308"</f>
        <v>1551601390987308</v>
      </c>
      <c r="C2856" t="s">
        <v>40</v>
      </c>
      <c r="D2856">
        <v>5.2780040000000001</v>
      </c>
      <c r="E2856">
        <v>0.39856940000000002</v>
      </c>
      <c r="F2856" t="s">
        <v>42</v>
      </c>
      <c r="G2856">
        <v>-491.20330000000001</v>
      </c>
      <c r="H2856">
        <v>1.0261260000000001</v>
      </c>
      <c r="I2856">
        <v>230.45249999999999</v>
      </c>
      <c r="J2856">
        <v>-491.85300000000001</v>
      </c>
      <c r="K2856">
        <v>1.1263840000000001</v>
      </c>
      <c r="L2856">
        <v>230.886</v>
      </c>
      <c r="M2856">
        <v>0.1691185</v>
      </c>
      <c r="N2856">
        <v>-1.2216339999999999E-2</v>
      </c>
      <c r="O2856">
        <v>-0.98551999999999995</v>
      </c>
      <c r="P2856">
        <v>0.51539269999999904</v>
      </c>
      <c r="Q2856">
        <v>0.14122970000000001</v>
      </c>
      <c r="R2856">
        <v>-0.8452364</v>
      </c>
      <c r="S2856">
        <v>2.2300420000000001</v>
      </c>
      <c r="T2856">
        <v>-0.31686639999999999</v>
      </c>
      <c r="U2856">
        <v>-2.255417</v>
      </c>
      <c r="V2856">
        <v>-0.36707909999999999</v>
      </c>
      <c r="W2856">
        <v>0.1474155</v>
      </c>
      <c r="X2856">
        <v>0.91843430000000004</v>
      </c>
      <c r="Y2856">
        <v>-0.56941219999999904</v>
      </c>
      <c r="Z2856">
        <v>9.1916650000000003E-2</v>
      </c>
      <c r="AA2856">
        <v>0.81689719999999999</v>
      </c>
      <c r="AB2856">
        <v>27</v>
      </c>
      <c r="AC2856">
        <v>0.64969999999999495</v>
      </c>
      <c r="AD2856">
        <v>-0.100257999999999</v>
      </c>
      <c r="AE2856">
        <v>-0.43350000000000899</v>
      </c>
      <c r="AF2856">
        <v>-0.55783027427186305</v>
      </c>
      <c r="AG2856">
        <v>-0.100257999999999</v>
      </c>
      <c r="AH2856">
        <v>0.52843217951589205</v>
      </c>
      <c r="AI2856">
        <v>97.433893266354502</v>
      </c>
      <c r="AJ2856">
        <v>136.550247544353</v>
      </c>
      <c r="AK2856">
        <v>0.77489796089945795</v>
      </c>
      <c r="AL2856">
        <v>81.522819249558907</v>
      </c>
      <c r="AM2856">
        <v>111.785563225342</v>
      </c>
      <c r="AN2856">
        <v>0.99999997935677398</v>
      </c>
    </row>
    <row r="2857" spans="1:40" x14ac:dyDescent="0.25">
      <c r="A2857" t="str">
        <f>"20190303162311020"</f>
        <v>20190303162311020</v>
      </c>
      <c r="B2857" t="str">
        <f>"1551601391007803"</f>
        <v>1551601391007803</v>
      </c>
      <c r="C2857" t="s">
        <v>40</v>
      </c>
      <c r="D2857">
        <v>5.3269690000000001</v>
      </c>
      <c r="E2857">
        <v>0.39957809999999999</v>
      </c>
      <c r="F2857" t="s">
        <v>42</v>
      </c>
      <c r="G2857">
        <v>-491.1728</v>
      </c>
      <c r="H2857">
        <v>1.032643</v>
      </c>
      <c r="I2857">
        <v>230.21639999999999</v>
      </c>
      <c r="J2857">
        <v>-491.79759999999999</v>
      </c>
      <c r="K2857">
        <v>1.1265670000000001</v>
      </c>
      <c r="L2857">
        <v>230.61660000000001</v>
      </c>
      <c r="M2857">
        <v>0.17744199999999999</v>
      </c>
      <c r="N2857">
        <v>-1.2245239999999999E-2</v>
      </c>
      <c r="O2857">
        <v>-0.98405520000000002</v>
      </c>
      <c r="P2857">
        <v>0.52923160000000002</v>
      </c>
      <c r="Q2857">
        <v>0.14237239999999901</v>
      </c>
      <c r="R2857">
        <v>-0.8364473</v>
      </c>
      <c r="S2857">
        <v>2.2588499999999998</v>
      </c>
      <c r="T2857">
        <v>-0.31129499999999999</v>
      </c>
      <c r="U2857">
        <v>-2.2239689999999999</v>
      </c>
      <c r="V2857">
        <v>-0.37454369999999998</v>
      </c>
      <c r="W2857">
        <v>0.14828849999999999</v>
      </c>
      <c r="X2857">
        <v>0.91527460000000005</v>
      </c>
      <c r="Y2857">
        <v>-0.5735557</v>
      </c>
      <c r="Z2857">
        <v>9.0363449999999998E-2</v>
      </c>
      <c r="AA2857">
        <v>0.81416719999999998</v>
      </c>
      <c r="AB2857">
        <v>27</v>
      </c>
      <c r="AC2857">
        <v>0.62479999999999303</v>
      </c>
      <c r="AD2857">
        <v>-9.3924000000000105E-2</v>
      </c>
      <c r="AE2857">
        <v>-0.40020000000001199</v>
      </c>
      <c r="AF2857">
        <v>-0.53528869912961896</v>
      </c>
      <c r="AG2857">
        <v>-9.3924000000000105E-2</v>
      </c>
      <c r="AH2857">
        <v>0.49676236325881801</v>
      </c>
      <c r="AI2857">
        <v>97.328802119880905</v>
      </c>
      <c r="AJ2857">
        <v>137.13785153892499</v>
      </c>
      <c r="AK2857">
        <v>0.736293796485048</v>
      </c>
      <c r="AL2857">
        <v>81.472244603141903</v>
      </c>
      <c r="AM2857">
        <v>112.255092780791</v>
      </c>
      <c r="AN2857">
        <v>1.0000000279235399</v>
      </c>
    </row>
    <row r="2858" spans="1:40" x14ac:dyDescent="0.25">
      <c r="A2858" t="str">
        <f>"20190303162311040"</f>
        <v>20190303162311040</v>
      </c>
      <c r="B2858" t="str">
        <f>"1551601391027831"</f>
        <v>1551601391027831</v>
      </c>
      <c r="C2858" t="s">
        <v>40</v>
      </c>
      <c r="D2858">
        <v>5.3292260000000002</v>
      </c>
      <c r="E2858">
        <v>0.40085189999999998</v>
      </c>
      <c r="F2858" t="s">
        <v>42</v>
      </c>
      <c r="G2858">
        <v>-491.13549999999998</v>
      </c>
      <c r="H2858">
        <v>1.0364</v>
      </c>
      <c r="I2858">
        <v>229.98249999999999</v>
      </c>
      <c r="J2858">
        <v>-491.74619999999999</v>
      </c>
      <c r="K2858">
        <v>1.1267560000000001</v>
      </c>
      <c r="L2858">
        <v>230.37719999999999</v>
      </c>
      <c r="M2858">
        <v>0.18507709999999999</v>
      </c>
      <c r="N2858">
        <v>-1.227378E-2</v>
      </c>
      <c r="O2858">
        <v>-0.98264750000000001</v>
      </c>
      <c r="P2858">
        <v>0.54231759999999996</v>
      </c>
      <c r="Q2858">
        <v>0.1454357</v>
      </c>
      <c r="R2858">
        <v>-0.82749039999999996</v>
      </c>
      <c r="S2858">
        <v>2.289307</v>
      </c>
      <c r="T2858">
        <v>-0.31155680000000002</v>
      </c>
      <c r="U2858">
        <v>-2.1911320000000001</v>
      </c>
      <c r="V2858">
        <v>-0.3820347</v>
      </c>
      <c r="W2858">
        <v>0.1510697</v>
      </c>
      <c r="X2858">
        <v>0.91171679999999999</v>
      </c>
      <c r="Y2858">
        <v>-0.57867840000000004</v>
      </c>
      <c r="Z2858">
        <v>9.0671109999999999E-2</v>
      </c>
      <c r="AA2858">
        <v>0.81049979999999999</v>
      </c>
      <c r="AB2858">
        <v>27</v>
      </c>
      <c r="AC2858">
        <v>0.61070000000000801</v>
      </c>
      <c r="AD2858">
        <v>-9.0355999999999798E-2</v>
      </c>
      <c r="AE2858">
        <v>-0.3947</v>
      </c>
      <c r="AF2858">
        <v>-0.51907755357868701</v>
      </c>
      <c r="AG2858">
        <v>-9.0355999999999798E-2</v>
      </c>
      <c r="AH2858">
        <v>0.49329829416934001</v>
      </c>
      <c r="AI2858">
        <v>97.191558141337495</v>
      </c>
      <c r="AJ2858">
        <v>136.45867134410699</v>
      </c>
      <c r="AK2858">
        <v>0.72176791311031196</v>
      </c>
      <c r="AL2858">
        <v>81.311078075258095</v>
      </c>
      <c r="AM2858">
        <v>112.735039751862</v>
      </c>
      <c r="AN2858">
        <v>1.0000000448322</v>
      </c>
    </row>
    <row r="2859" spans="1:40" x14ac:dyDescent="0.25">
      <c r="A2859" t="str">
        <f>"20190303162311062"</f>
        <v>20190303162311062</v>
      </c>
      <c r="B2859" t="str">
        <f>"1551601391057112"</f>
        <v>1551601391057112</v>
      </c>
      <c r="C2859" t="s">
        <v>40</v>
      </c>
      <c r="D2859">
        <v>5.3841710000000003</v>
      </c>
      <c r="E2859">
        <v>0.40994229999999998</v>
      </c>
      <c r="F2859" t="s">
        <v>42</v>
      </c>
      <c r="G2859">
        <v>-491.07960000000003</v>
      </c>
      <c r="H2859">
        <v>1.0395920000000001</v>
      </c>
      <c r="I2859">
        <v>229.756</v>
      </c>
      <c r="J2859">
        <v>-491.68950000000001</v>
      </c>
      <c r="K2859">
        <v>1.126968</v>
      </c>
      <c r="L2859">
        <v>230.12479999999999</v>
      </c>
      <c r="M2859">
        <v>0.1934044</v>
      </c>
      <c r="N2859">
        <v>-1.230795E-2</v>
      </c>
      <c r="O2859">
        <v>-0.98104199999999997</v>
      </c>
      <c r="P2859">
        <v>0.55499390000000004</v>
      </c>
      <c r="Q2859">
        <v>0.14885889999999999</v>
      </c>
      <c r="R2859">
        <v>-0.81842709999999996</v>
      </c>
      <c r="S2859">
        <v>2.3176269999999999</v>
      </c>
      <c r="T2859">
        <v>-0.30300749999999999</v>
      </c>
      <c r="U2859">
        <v>-2.1597140000000001</v>
      </c>
      <c r="V2859">
        <v>-0.38859129999999997</v>
      </c>
      <c r="W2859">
        <v>0.154190299999999</v>
      </c>
      <c r="X2859">
        <v>0.90841729999999998</v>
      </c>
      <c r="Y2859">
        <v>-0.58276319999999904</v>
      </c>
      <c r="Z2859">
        <v>8.8105230000000007E-2</v>
      </c>
      <c r="AA2859">
        <v>0.80785189999999996</v>
      </c>
      <c r="AB2859">
        <v>27</v>
      </c>
      <c r="AC2859">
        <v>0.60989999999998101</v>
      </c>
      <c r="AD2859">
        <v>-8.7375999999999898E-2</v>
      </c>
      <c r="AE2859">
        <v>-0.368800000000021</v>
      </c>
      <c r="AF2859">
        <v>-0.51924614310730899</v>
      </c>
      <c r="AG2859">
        <v>-8.7375999999999898E-2</v>
      </c>
      <c r="AH2859">
        <v>0.472697799546138</v>
      </c>
      <c r="AI2859">
        <v>97.0931372084776</v>
      </c>
      <c r="AJ2859">
        <v>137.68671285324501</v>
      </c>
      <c r="AK2859">
        <v>0.70759757786723398</v>
      </c>
      <c r="AL2859">
        <v>81.130159937289406</v>
      </c>
      <c r="AM2859">
        <v>113.15965979068601</v>
      </c>
      <c r="AN2859">
        <v>0.999999918994531</v>
      </c>
    </row>
    <row r="2860" spans="1:40" x14ac:dyDescent="0.25">
      <c r="A2860" t="str">
        <f>"20190303162311085"</f>
        <v>20190303162311085</v>
      </c>
      <c r="B2860" t="str">
        <f>"1551601391077608"</f>
        <v>1551601391077608</v>
      </c>
      <c r="C2860" t="s">
        <v>40</v>
      </c>
      <c r="D2860">
        <v>5.35494</v>
      </c>
      <c r="E2860">
        <v>0.37836130000000001</v>
      </c>
      <c r="F2860" t="s">
        <v>42</v>
      </c>
      <c r="G2860">
        <v>-491.04860000000002</v>
      </c>
      <c r="H2860">
        <v>1.0396810000000001</v>
      </c>
      <c r="I2860">
        <v>229.5187</v>
      </c>
      <c r="J2860">
        <v>-491.62869999999998</v>
      </c>
      <c r="K2860">
        <v>1.1272219999999999</v>
      </c>
      <c r="L2860">
        <v>229.8663</v>
      </c>
      <c r="M2860">
        <v>0.2022979</v>
      </c>
      <c r="N2860">
        <v>-1.234971E-2</v>
      </c>
      <c r="O2860">
        <v>-0.97924619999999996</v>
      </c>
      <c r="P2860">
        <v>0.56768490000000005</v>
      </c>
      <c r="Q2860">
        <v>0.1502753</v>
      </c>
      <c r="R2860">
        <v>-0.80941430000000003</v>
      </c>
      <c r="S2860">
        <v>2.2924799999999999</v>
      </c>
      <c r="T2860">
        <v>-0.3121622</v>
      </c>
      <c r="U2860">
        <v>-2.167786</v>
      </c>
      <c r="V2860">
        <v>-0.39468239999999999</v>
      </c>
      <c r="W2860">
        <v>0.15528040000000001</v>
      </c>
      <c r="X2860">
        <v>0.90560130000000005</v>
      </c>
      <c r="Y2860">
        <v>-0.56920539999999997</v>
      </c>
      <c r="Z2860">
        <v>9.1415789999999997E-2</v>
      </c>
      <c r="AA2860">
        <v>0.81709750000000003</v>
      </c>
      <c r="AB2860">
        <v>27</v>
      </c>
      <c r="AC2860">
        <v>0.58009999999995898</v>
      </c>
      <c r="AD2860">
        <v>-8.7540999999999994E-2</v>
      </c>
      <c r="AE2860">
        <v>-0.34759999999999902</v>
      </c>
      <c r="AF2860">
        <v>-0.48957634873047801</v>
      </c>
      <c r="AG2860">
        <v>-8.7540999999999994E-2</v>
      </c>
      <c r="AH2860">
        <v>0.45022963118856901</v>
      </c>
      <c r="AI2860">
        <v>97.497932845840793</v>
      </c>
      <c r="AJ2860">
        <v>137.39739381135999</v>
      </c>
      <c r="AK2860">
        <v>0.67086149741765699</v>
      </c>
      <c r="AL2860">
        <v>81.066940722880005</v>
      </c>
      <c r="AM2860">
        <v>113.548707570831</v>
      </c>
      <c r="AN2860">
        <v>0.99999995702780398</v>
      </c>
    </row>
    <row r="2861" spans="1:40" x14ac:dyDescent="0.25">
      <c r="A2861" t="str">
        <f>"20190303162311106"</f>
        <v>20190303162311106</v>
      </c>
      <c r="B2861" t="str">
        <f>"1551601391097128"</f>
        <v>1551601391097128</v>
      </c>
      <c r="C2861" t="s">
        <v>40</v>
      </c>
      <c r="D2861">
        <v>5.3011109999999997</v>
      </c>
      <c r="E2861">
        <v>0.3153994</v>
      </c>
      <c r="F2861" t="s">
        <v>46</v>
      </c>
      <c r="G2861">
        <v>-482.71350000000001</v>
      </c>
      <c r="H2861" s="1">
        <v>2.9667779999999999E-6</v>
      </c>
      <c r="I2861">
        <v>222.85839999999999</v>
      </c>
      <c r="J2861">
        <v>-491.5659</v>
      </c>
      <c r="K2861">
        <v>1.1274959999999901</v>
      </c>
      <c r="L2861">
        <v>229.61170000000001</v>
      </c>
      <c r="M2861">
        <v>0.2114327</v>
      </c>
      <c r="N2861">
        <v>-1.2397160000000001E-2</v>
      </c>
      <c r="O2861">
        <v>-0.97731420000000002</v>
      </c>
      <c r="P2861">
        <v>0.58037700000000003</v>
      </c>
      <c r="Q2861">
        <v>0.14920899999999901</v>
      </c>
      <c r="R2861">
        <v>-0.80056210000000005</v>
      </c>
      <c r="S2861">
        <v>2.5317989999999999</v>
      </c>
      <c r="T2861">
        <v>-0.32011580000000001</v>
      </c>
      <c r="U2861">
        <v>-1.990143</v>
      </c>
      <c r="V2861">
        <v>-0.40055220000000002</v>
      </c>
      <c r="W2861">
        <v>0.15387410000000001</v>
      </c>
      <c r="X2861">
        <v>0.90326119999999999</v>
      </c>
      <c r="Y2861">
        <v>-0.633996</v>
      </c>
      <c r="Z2861">
        <v>9.3074900000000002E-2</v>
      </c>
      <c r="AA2861">
        <v>0.76771499999999904</v>
      </c>
      <c r="AB2861">
        <v>27</v>
      </c>
      <c r="AC2861">
        <v>8.8523999999999798</v>
      </c>
      <c r="AD2861">
        <v>-1.1274930332219999</v>
      </c>
      <c r="AE2861">
        <v>-6.7533000000000198</v>
      </c>
      <c r="AF2861">
        <v>-7.1509335835043499</v>
      </c>
      <c r="AG2861">
        <v>-1.1274930332219999</v>
      </c>
      <c r="AH2861">
        <v>8.38643508308928</v>
      </c>
      <c r="AI2861">
        <v>95.841132702424304</v>
      </c>
      <c r="AJ2861">
        <v>130.45351700288501</v>
      </c>
      <c r="AK2861">
        <v>11.0787808471205</v>
      </c>
      <c r="AL2861">
        <v>81.148496850785094</v>
      </c>
      <c r="AM2861">
        <v>113.914946408699</v>
      </c>
      <c r="AN2861">
        <v>1.0000000495005399</v>
      </c>
    </row>
    <row r="2862" spans="1:40" x14ac:dyDescent="0.25">
      <c r="A2862" t="str">
        <f>"20190303162311129"</f>
        <v>20190303162311129</v>
      </c>
      <c r="B2862" t="str">
        <f>"1551601391117624"</f>
        <v>1551601391117624</v>
      </c>
      <c r="C2862" t="s">
        <v>40</v>
      </c>
      <c r="D2862">
        <v>5.3359680000000003</v>
      </c>
      <c r="E2862">
        <v>0.30696109999999999</v>
      </c>
      <c r="F2862" t="s">
        <v>46</v>
      </c>
      <c r="G2862">
        <v>-483.90750000000003</v>
      </c>
      <c r="H2862" s="1">
        <v>3.894264E-6</v>
      </c>
      <c r="I2862">
        <v>225.30330000000001</v>
      </c>
      <c r="J2862">
        <v>-491.50069999999999</v>
      </c>
      <c r="K2862">
        <v>1.127759</v>
      </c>
      <c r="L2862">
        <v>229.35929999999999</v>
      </c>
      <c r="M2862">
        <v>0.22082299999999999</v>
      </c>
      <c r="N2862">
        <v>-1.2446489999999999E-2</v>
      </c>
      <c r="O2862">
        <v>-0.97523459999999995</v>
      </c>
      <c r="P2862">
        <v>0.59156799999999998</v>
      </c>
      <c r="Q2862">
        <v>0.14769549999999901</v>
      </c>
      <c r="R2862">
        <v>-0.79261179999999998</v>
      </c>
      <c r="S2862">
        <v>2.9738769999999999</v>
      </c>
      <c r="T2862">
        <v>-0.43782310000000002</v>
      </c>
      <c r="U2862">
        <v>-1.6730499999999999</v>
      </c>
      <c r="V2862">
        <v>-0.4045685</v>
      </c>
      <c r="W2862">
        <v>0.15206749999999999</v>
      </c>
      <c r="X2862">
        <v>0.90177600000000002</v>
      </c>
      <c r="Y2862">
        <v>-0.73442799999999997</v>
      </c>
      <c r="Z2862">
        <v>0.12571830000000001</v>
      </c>
      <c r="AA2862">
        <v>0.66694100000000001</v>
      </c>
      <c r="AB2862">
        <v>27</v>
      </c>
      <c r="AC2862">
        <v>7.5931999999999604</v>
      </c>
      <c r="AD2862">
        <v>-1.127755105736</v>
      </c>
      <c r="AE2862">
        <v>-4.0559999999999796</v>
      </c>
      <c r="AF2862">
        <v>-6.4001578555553102</v>
      </c>
      <c r="AG2862">
        <v>-1.127755105736</v>
      </c>
      <c r="AH2862">
        <v>5.5377028444272796</v>
      </c>
      <c r="AI2862">
        <v>97.590049595580496</v>
      </c>
      <c r="AJ2862">
        <v>139.13217489260501</v>
      </c>
      <c r="AK2862">
        <v>8.5381499721964396</v>
      </c>
      <c r="AL2862">
        <v>81.253240395317704</v>
      </c>
      <c r="AM2862">
        <v>114.162685514473</v>
      </c>
      <c r="AN2862">
        <v>1.00000007496224</v>
      </c>
    </row>
    <row r="2863" spans="1:40" x14ac:dyDescent="0.25">
      <c r="A2863" t="str">
        <f>"20190303162311150"</f>
        <v>20190303162311150</v>
      </c>
      <c r="B2863" t="str">
        <f>"1551601391147880"</f>
        <v>1551601391147880</v>
      </c>
      <c r="C2863" t="s">
        <v>40</v>
      </c>
      <c r="D2863">
        <v>5.3141319999999999</v>
      </c>
      <c r="E2863">
        <v>0.30717519999999998</v>
      </c>
      <c r="F2863" t="s">
        <v>46</v>
      </c>
      <c r="G2863">
        <v>-483.92989999999998</v>
      </c>
      <c r="H2863" s="1">
        <v>3.9214310000000001E-6</v>
      </c>
      <c r="I2863">
        <v>225.40369999999999</v>
      </c>
      <c r="J2863">
        <v>-491.43169999999998</v>
      </c>
      <c r="K2863">
        <v>1.128012</v>
      </c>
      <c r="L2863">
        <v>229.1035</v>
      </c>
      <c r="M2863">
        <v>0.2306994</v>
      </c>
      <c r="N2863">
        <v>-1.249607E-2</v>
      </c>
      <c r="O2863">
        <v>-0.9729449</v>
      </c>
      <c r="P2863">
        <v>0.60129119999999903</v>
      </c>
      <c r="Q2863">
        <v>0.1456025</v>
      </c>
      <c r="R2863">
        <v>-0.78565189999999996</v>
      </c>
      <c r="S2863">
        <v>3.0497740000000002</v>
      </c>
      <c r="T2863">
        <v>-0.4542949</v>
      </c>
      <c r="U2863">
        <v>-1.593445</v>
      </c>
      <c r="V2863">
        <v>-0.4065106</v>
      </c>
      <c r="W2863">
        <v>0.149729</v>
      </c>
      <c r="X2863">
        <v>0.90129380000000003</v>
      </c>
      <c r="Y2863">
        <v>-0.74758829999999998</v>
      </c>
      <c r="Z2863">
        <v>0.13032930000000001</v>
      </c>
      <c r="AA2863">
        <v>0.65124950000000004</v>
      </c>
      <c r="AB2863">
        <v>27</v>
      </c>
      <c r="AC2863">
        <v>7.5018000000000002</v>
      </c>
      <c r="AD2863">
        <v>-1.1280080785690001</v>
      </c>
      <c r="AE2863">
        <v>-3.6998000000000002</v>
      </c>
      <c r="AF2863">
        <v>-6.3306688518410299</v>
      </c>
      <c r="AG2863">
        <v>-1.1280080785690001</v>
      </c>
      <c r="AH2863">
        <v>5.2355634917328899</v>
      </c>
      <c r="AI2863">
        <v>97.818306283605907</v>
      </c>
      <c r="AJ2863">
        <v>140.40871239384299</v>
      </c>
      <c r="AK2863">
        <v>8.2922189679815794</v>
      </c>
      <c r="AL2863">
        <v>81.388778629472895</v>
      </c>
      <c r="AM2863">
        <v>114.27680606263201</v>
      </c>
      <c r="AN2863">
        <v>1.0000000776358899</v>
      </c>
    </row>
    <row r="2864" spans="1:40" x14ac:dyDescent="0.25">
      <c r="A2864" t="str">
        <f>"20190303162311176"</f>
        <v>20190303162311176</v>
      </c>
      <c r="B2864" t="str">
        <f>"1551601391167401"</f>
        <v>1551601391167401</v>
      </c>
      <c r="C2864" t="s">
        <v>40</v>
      </c>
      <c r="D2864">
        <v>5.3561100000000001</v>
      </c>
      <c r="E2864">
        <v>0.30989609999999901</v>
      </c>
      <c r="F2864" t="s">
        <v>46</v>
      </c>
      <c r="G2864">
        <v>-484.04910000000001</v>
      </c>
      <c r="H2864" s="1">
        <v>3.9355930000000001E-6</v>
      </c>
      <c r="I2864">
        <v>225.34809999999999</v>
      </c>
      <c r="J2864">
        <v>-491.35419999999999</v>
      </c>
      <c r="K2864">
        <v>1.1282669999999999</v>
      </c>
      <c r="L2864">
        <v>228.82919999999999</v>
      </c>
      <c r="M2864">
        <v>0.2417251</v>
      </c>
      <c r="N2864">
        <v>-1.2551659999999999E-2</v>
      </c>
      <c r="O2864">
        <v>-0.97026369999999895</v>
      </c>
      <c r="P2864">
        <v>0.61137339999999996</v>
      </c>
      <c r="Q2864">
        <v>0.14150789999999999</v>
      </c>
      <c r="R2864">
        <v>-0.77858749999999999</v>
      </c>
      <c r="S2864">
        <v>3.0653380000000001</v>
      </c>
      <c r="T2864">
        <v>-0.4683621</v>
      </c>
      <c r="U2864">
        <v>-1.559296</v>
      </c>
      <c r="V2864">
        <v>-0.40775220000000001</v>
      </c>
      <c r="W2864">
        <v>0.14539150000000001</v>
      </c>
      <c r="X2864">
        <v>0.90144299999999999</v>
      </c>
      <c r="Y2864">
        <v>-0.74666599999999905</v>
      </c>
      <c r="Z2864">
        <v>0.1350481</v>
      </c>
      <c r="AA2864">
        <v>0.65134630000000004</v>
      </c>
      <c r="AB2864">
        <v>27</v>
      </c>
      <c r="AC2864">
        <v>7.3050999999999799</v>
      </c>
      <c r="AD2864">
        <v>-1.128263064407</v>
      </c>
      <c r="AE2864">
        <v>-3.4810999999999899</v>
      </c>
      <c r="AF2864">
        <v>-6.1277719392957897</v>
      </c>
      <c r="AG2864">
        <v>-1.128263064407</v>
      </c>
      <c r="AH2864">
        <v>5.0457269511374596</v>
      </c>
      <c r="AI2864">
        <v>98.089701088581094</v>
      </c>
      <c r="AJ2864">
        <v>140.53129262375199</v>
      </c>
      <c r="AK2864">
        <v>8.0176010718893291</v>
      </c>
      <c r="AL2864">
        <v>81.6400493758766</v>
      </c>
      <c r="AM2864">
        <v>114.338797748622</v>
      </c>
      <c r="AN2864">
        <v>1.00000001356304</v>
      </c>
    </row>
    <row r="2865" spans="1:40" x14ac:dyDescent="0.25">
      <c r="A2865" t="str">
        <f>"20190303162311198"</f>
        <v>20190303162311198</v>
      </c>
      <c r="B2865" t="str">
        <f>"1551601391186919"</f>
        <v>1551601391186919</v>
      </c>
      <c r="C2865" t="s">
        <v>40</v>
      </c>
      <c r="D2865">
        <v>5.3844329999999996</v>
      </c>
      <c r="E2865">
        <v>0.3130192</v>
      </c>
      <c r="F2865" t="s">
        <v>46</v>
      </c>
      <c r="G2865">
        <v>-484.14229999999998</v>
      </c>
      <c r="H2865" s="1">
        <v>3.9270870000000003E-6</v>
      </c>
      <c r="I2865">
        <v>225.21619999999999</v>
      </c>
      <c r="J2865">
        <v>-491.27679999999998</v>
      </c>
      <c r="K2865">
        <v>1.128511</v>
      </c>
      <c r="L2865">
        <v>228.5677</v>
      </c>
      <c r="M2865">
        <v>0.2526526</v>
      </c>
      <c r="N2865">
        <v>-1.261031E-2</v>
      </c>
      <c r="O2865">
        <v>-0.96747510000000003</v>
      </c>
      <c r="P2865">
        <v>0.6225079</v>
      </c>
      <c r="Q2865">
        <v>0.13739949999999901</v>
      </c>
      <c r="R2865">
        <v>-0.77045799999999998</v>
      </c>
      <c r="S2865">
        <v>3.0634459999999999</v>
      </c>
      <c r="T2865">
        <v>-0.47926150000000001</v>
      </c>
      <c r="U2865">
        <v>-1.534729</v>
      </c>
      <c r="V2865">
        <v>-0.41038350000000001</v>
      </c>
      <c r="W2865">
        <v>0.14101350000000001</v>
      </c>
      <c r="X2865">
        <v>0.90094430000000003</v>
      </c>
      <c r="Y2865">
        <v>-0.74273089999999997</v>
      </c>
      <c r="Z2865">
        <v>0.13915069999999999</v>
      </c>
      <c r="AA2865">
        <v>0.65497169999999905</v>
      </c>
      <c r="AB2865">
        <v>27</v>
      </c>
      <c r="AC2865">
        <v>7.1345000000000001</v>
      </c>
      <c r="AD2865">
        <v>-1.128507072913</v>
      </c>
      <c r="AE2865">
        <v>-3.3515000000000099</v>
      </c>
      <c r="AF2865">
        <v>-5.93452853062937</v>
      </c>
      <c r="AG2865">
        <v>-1.128507072913</v>
      </c>
      <c r="AH2865">
        <v>4.9441055407415</v>
      </c>
      <c r="AI2865">
        <v>98.312147052221704</v>
      </c>
      <c r="AJ2865">
        <v>140.202035783524</v>
      </c>
      <c r="AK2865">
        <v>7.8061729863268798</v>
      </c>
      <c r="AL2865">
        <v>81.893502870393803</v>
      </c>
      <c r="AM2865">
        <v>114.489442494766</v>
      </c>
      <c r="AN2865">
        <v>1.00000002797849</v>
      </c>
    </row>
    <row r="2866" spans="1:40" x14ac:dyDescent="0.25">
      <c r="A2866" t="str">
        <f>"20190303162311220"</f>
        <v>20190303162311220</v>
      </c>
      <c r="B2866" t="str">
        <f>"1551601391207418"</f>
        <v>1551601391207418</v>
      </c>
      <c r="C2866" t="s">
        <v>40</v>
      </c>
      <c r="D2866">
        <v>5.3815049999999998</v>
      </c>
      <c r="E2866">
        <v>0.31527100000000002</v>
      </c>
      <c r="F2866" t="s">
        <v>46</v>
      </c>
      <c r="G2866">
        <v>-484.22160000000002</v>
      </c>
      <c r="H2866" s="1">
        <v>3.917446E-6</v>
      </c>
      <c r="I2866">
        <v>225.09309999999999</v>
      </c>
      <c r="J2866">
        <v>-491.20150000000001</v>
      </c>
      <c r="K2866">
        <v>1.12874599999999</v>
      </c>
      <c r="L2866">
        <v>228.3245</v>
      </c>
      <c r="M2866">
        <v>0.26318599999999998</v>
      </c>
      <c r="N2866">
        <v>-1.2669120000000001E-2</v>
      </c>
      <c r="O2866">
        <v>-0.96466209999999997</v>
      </c>
      <c r="P2866">
        <v>0.63518390000000002</v>
      </c>
      <c r="Q2866">
        <v>0.1356204</v>
      </c>
      <c r="R2866">
        <v>-0.76036090000000001</v>
      </c>
      <c r="S2866">
        <v>3.0612789999999999</v>
      </c>
      <c r="T2866">
        <v>-0.48966100000000001</v>
      </c>
      <c r="U2866">
        <v>-1.5076449999999999</v>
      </c>
      <c r="V2866">
        <v>-0.41545530000000003</v>
      </c>
      <c r="W2866">
        <v>0.13891010000000001</v>
      </c>
      <c r="X2866">
        <v>0.89894430000000003</v>
      </c>
      <c r="Y2866">
        <v>-0.73945649999999996</v>
      </c>
      <c r="Z2866">
        <v>0.14317189999999999</v>
      </c>
      <c r="AA2866">
        <v>0.6578039</v>
      </c>
      <c r="AB2866">
        <v>27</v>
      </c>
      <c r="AC2866">
        <v>6.9798999999999802</v>
      </c>
      <c r="AD2866">
        <v>-1.12874208255399</v>
      </c>
      <c r="AE2866">
        <v>-3.2313999999999998</v>
      </c>
      <c r="AF2866">
        <v>-5.7592292169669204</v>
      </c>
      <c r="AG2866">
        <v>-1.12874208255399</v>
      </c>
      <c r="AH2866">
        <v>4.8501672417073598</v>
      </c>
      <c r="AI2866">
        <v>98.525722258755707</v>
      </c>
      <c r="AJ2866">
        <v>139.897404435824</v>
      </c>
      <c r="AK2866">
        <v>7.6135998144783601</v>
      </c>
      <c r="AL2866">
        <v>82.015216557685903</v>
      </c>
      <c r="AM2866">
        <v>114.804449529721</v>
      </c>
      <c r="AN2866">
        <v>0.999999988341295</v>
      </c>
    </row>
    <row r="2867" spans="1:40" x14ac:dyDescent="0.25">
      <c r="A2867" t="str">
        <f>"20190303162311241"</f>
        <v>20190303162311241</v>
      </c>
      <c r="B2867" t="str">
        <f>"1551601391237672"</f>
        <v>1551601391237672</v>
      </c>
      <c r="C2867" t="s">
        <v>40</v>
      </c>
      <c r="D2867">
        <v>5.4999609999999999</v>
      </c>
      <c r="E2867">
        <v>0.31726910000000003</v>
      </c>
      <c r="F2867" t="s">
        <v>46</v>
      </c>
      <c r="G2867">
        <v>-484.22430000000003</v>
      </c>
      <c r="H2867" s="1">
        <v>3.8931850000000001E-6</v>
      </c>
      <c r="I2867">
        <v>224.98070000000001</v>
      </c>
      <c r="J2867">
        <v>-491.12430000000001</v>
      </c>
      <c r="K2867">
        <v>1.1289800000000001</v>
      </c>
      <c r="L2867">
        <v>228.08529999999999</v>
      </c>
      <c r="M2867">
        <v>0.27387159999999999</v>
      </c>
      <c r="N2867">
        <v>-1.272847E-2</v>
      </c>
      <c r="O2867">
        <v>-0.96168209999999998</v>
      </c>
      <c r="P2867">
        <v>0.64969750000000004</v>
      </c>
      <c r="Q2867">
        <v>0.1344466</v>
      </c>
      <c r="R2867">
        <v>-0.74820969999999998</v>
      </c>
      <c r="S2867">
        <v>3.0686040000000001</v>
      </c>
      <c r="T2867">
        <v>-0.49642399999999998</v>
      </c>
      <c r="U2867">
        <v>-1.4706269999999999</v>
      </c>
      <c r="V2867">
        <v>-0.42278209999999999</v>
      </c>
      <c r="W2867">
        <v>0.13735249999999999</v>
      </c>
      <c r="X2867">
        <v>0.89576199999999995</v>
      </c>
      <c r="Y2867">
        <v>-0.73875869999999999</v>
      </c>
      <c r="Z2867">
        <v>0.14598129999999901</v>
      </c>
      <c r="AA2867">
        <v>0.65797050000000001</v>
      </c>
      <c r="AB2867">
        <v>27</v>
      </c>
      <c r="AC2867">
        <v>6.8999999999999702</v>
      </c>
      <c r="AD2867">
        <v>-1.1289761068149999</v>
      </c>
      <c r="AE2867">
        <v>-3.1045999999999698</v>
      </c>
      <c r="AF2867">
        <v>-5.65980266530583</v>
      </c>
      <c r="AG2867">
        <v>-1.1289761068149999</v>
      </c>
      <c r="AH2867">
        <v>4.7695570799021203</v>
      </c>
      <c r="AI2867">
        <v>98.672685313579706</v>
      </c>
      <c r="AJ2867">
        <v>139.87891593591601</v>
      </c>
      <c r="AK2867">
        <v>7.48709743481455</v>
      </c>
      <c r="AL2867">
        <v>82.105324242997497</v>
      </c>
      <c r="AM2867">
        <v>115.266391730001</v>
      </c>
      <c r="AN2867">
        <v>0.99999998699032999</v>
      </c>
    </row>
    <row r="2868" spans="1:40" x14ac:dyDescent="0.25">
      <c r="A2868" t="str">
        <f>"20190303162311265"</f>
        <v>20190303162311265</v>
      </c>
      <c r="B2868" t="str">
        <f>"1551601391257192"</f>
        <v>1551601391257192</v>
      </c>
      <c r="C2868" t="s">
        <v>40</v>
      </c>
      <c r="D2868">
        <v>5.4154910000000003</v>
      </c>
      <c r="E2868">
        <v>0.33792040000000001</v>
      </c>
      <c r="F2868" t="s">
        <v>46</v>
      </c>
      <c r="G2868">
        <v>-484.09379999999999</v>
      </c>
      <c r="H2868" s="1">
        <v>3.834067E-6</v>
      </c>
      <c r="I2868">
        <v>224.8441</v>
      </c>
      <c r="J2868">
        <v>-491.03699999999998</v>
      </c>
      <c r="K2868">
        <v>1.1292040000000001</v>
      </c>
      <c r="L2868">
        <v>227.827</v>
      </c>
      <c r="M2868">
        <v>0.28576829999999998</v>
      </c>
      <c r="N2868">
        <v>-1.279198E-2</v>
      </c>
      <c r="O2868">
        <v>-0.95821350000000005</v>
      </c>
      <c r="P2868">
        <v>0.66429329999999998</v>
      </c>
      <c r="Q2868">
        <v>0.1292459</v>
      </c>
      <c r="R2868">
        <v>-0.73621359999999902</v>
      </c>
      <c r="S2868">
        <v>3.0830690000000001</v>
      </c>
      <c r="T2868">
        <v>-0.49509249999999999</v>
      </c>
      <c r="U2868">
        <v>-1.421387</v>
      </c>
      <c r="V2868">
        <v>-0.42901850000000002</v>
      </c>
      <c r="W2868">
        <v>0.13179080000000001</v>
      </c>
      <c r="X2868">
        <v>0.89362980000000003</v>
      </c>
      <c r="Y2868">
        <v>-0.74029769999999995</v>
      </c>
      <c r="Z2868">
        <v>0.14631820000000001</v>
      </c>
      <c r="AA2868">
        <v>0.65616319999999995</v>
      </c>
      <c r="AB2868">
        <v>27</v>
      </c>
      <c r="AC2868">
        <v>6.9431999999999903</v>
      </c>
      <c r="AD2868">
        <v>-1.129200165933</v>
      </c>
      <c r="AE2868">
        <v>-2.9828999999999999</v>
      </c>
      <c r="AF2868">
        <v>-5.6744214745172403</v>
      </c>
      <c r="AG2868">
        <v>-1.129200165933</v>
      </c>
      <c r="AH2868">
        <v>4.7370257614780797</v>
      </c>
      <c r="AI2868">
        <v>98.685595751336805</v>
      </c>
      <c r="AJ2868">
        <v>140.14475958380299</v>
      </c>
      <c r="AK2868">
        <v>7.4775373720304801</v>
      </c>
      <c r="AL2868">
        <v>82.426911577212294</v>
      </c>
      <c r="AM2868">
        <v>115.64497624379101</v>
      </c>
      <c r="AN2868">
        <v>0.99999995387746399</v>
      </c>
    </row>
    <row r="2869" spans="1:40" x14ac:dyDescent="0.25">
      <c r="A2869" t="str">
        <f>"20190303162311288"</f>
        <v>20190303162311288</v>
      </c>
      <c r="B2869" t="str">
        <f>"1551601391277688"</f>
        <v>1551601391277688</v>
      </c>
      <c r="C2869" t="s">
        <v>40</v>
      </c>
      <c r="D2869">
        <v>5.4544940000000004</v>
      </c>
      <c r="E2869">
        <v>0.34005079999999999</v>
      </c>
      <c r="F2869" t="s">
        <v>46</v>
      </c>
      <c r="G2869">
        <v>-483.23160000000001</v>
      </c>
      <c r="H2869" s="1">
        <v>3.407546E-6</v>
      </c>
      <c r="I2869">
        <v>224.01920000000001</v>
      </c>
      <c r="J2869">
        <v>-490.94189999999998</v>
      </c>
      <c r="K2869">
        <v>1.1294040000000001</v>
      </c>
      <c r="L2869">
        <v>227.5583</v>
      </c>
      <c r="M2869">
        <v>0.29852610000000002</v>
      </c>
      <c r="N2869">
        <v>-1.285709E-2</v>
      </c>
      <c r="O2869">
        <v>-0.95431480000000002</v>
      </c>
      <c r="P2869">
        <v>0.67617569999999905</v>
      </c>
      <c r="Q2869">
        <v>0.1200425</v>
      </c>
      <c r="R2869">
        <v>-0.72689459999999995</v>
      </c>
      <c r="S2869">
        <v>2.9857480000000001</v>
      </c>
      <c r="T2869">
        <v>-0.43194080000000001</v>
      </c>
      <c r="U2869">
        <v>-1.4565429999999999</v>
      </c>
      <c r="V2869">
        <v>-0.4310406</v>
      </c>
      <c r="W2869">
        <v>0.12234929999999999</v>
      </c>
      <c r="X2869">
        <v>0.89399930000000005</v>
      </c>
      <c r="Y2869">
        <v>-0.71885849999999996</v>
      </c>
      <c r="Z2869">
        <v>0.12903429999999999</v>
      </c>
      <c r="AA2869">
        <v>0.68307580000000001</v>
      </c>
      <c r="AB2869">
        <v>27</v>
      </c>
      <c r="AC2869">
        <v>7.7102999999999602</v>
      </c>
      <c r="AD2869">
        <v>-1.129400592454</v>
      </c>
      <c r="AE2869">
        <v>-3.5390999999999901</v>
      </c>
      <c r="AF2869">
        <v>-6.1923187047519903</v>
      </c>
      <c r="AG2869">
        <v>-1.129400592454</v>
      </c>
      <c r="AH2869">
        <v>5.5807079949594103</v>
      </c>
      <c r="AI2869">
        <v>97.715709222913503</v>
      </c>
      <c r="AJ2869">
        <v>137.97385197213299</v>
      </c>
      <c r="AK2869">
        <v>8.4121732248248904</v>
      </c>
      <c r="AL2869">
        <v>82.972293520498894</v>
      </c>
      <c r="AM2869">
        <v>115.740979968174</v>
      </c>
      <c r="AN2869">
        <v>1.0000000492296599</v>
      </c>
    </row>
    <row r="2870" spans="1:40" x14ac:dyDescent="0.25">
      <c r="A2870" t="str">
        <f>"20190303162311309"</f>
        <v>20190303162311309</v>
      </c>
      <c r="B2870" t="str">
        <f>"1551601391297209"</f>
        <v>1551601391297209</v>
      </c>
      <c r="C2870" t="s">
        <v>40</v>
      </c>
      <c r="D2870">
        <v>5.4591159999999999</v>
      </c>
      <c r="E2870">
        <v>0.34233409999999997</v>
      </c>
      <c r="F2870" t="s">
        <v>46</v>
      </c>
      <c r="G2870">
        <v>-483.27859999999998</v>
      </c>
      <c r="H2870" s="1">
        <v>3.3960280000000001E-6</v>
      </c>
      <c r="I2870">
        <v>223.94839999999999</v>
      </c>
      <c r="J2870">
        <v>-490.85849999999999</v>
      </c>
      <c r="K2870">
        <v>1.1295710000000001</v>
      </c>
      <c r="L2870">
        <v>227.33179999999999</v>
      </c>
      <c r="M2870">
        <v>0.3095176</v>
      </c>
      <c r="N2870">
        <v>-1.2909779999999999E-2</v>
      </c>
      <c r="O2870">
        <v>-0.95080609999999999</v>
      </c>
      <c r="P2870">
        <v>0.68251629999999996</v>
      </c>
      <c r="Q2870">
        <v>0.1164654</v>
      </c>
      <c r="R2870">
        <v>-0.72153140000000004</v>
      </c>
      <c r="S2870">
        <v>2.9972840000000001</v>
      </c>
      <c r="T2870">
        <v>-0.44173380000000001</v>
      </c>
      <c r="U2870">
        <v>-1.4119109999999999</v>
      </c>
      <c r="V2870">
        <v>-0.4283457</v>
      </c>
      <c r="W2870">
        <v>0.1187083</v>
      </c>
      <c r="X2870">
        <v>0.89578369999999996</v>
      </c>
      <c r="Y2870">
        <v>-0.71976409999999902</v>
      </c>
      <c r="Z2870">
        <v>0.1327972</v>
      </c>
      <c r="AA2870">
        <v>0.68139899999999998</v>
      </c>
      <c r="AB2870">
        <v>27</v>
      </c>
      <c r="AC2870">
        <v>7.5799000000000003</v>
      </c>
      <c r="AD2870">
        <v>-1.129567603972</v>
      </c>
      <c r="AE2870">
        <v>-3.3833999999999902</v>
      </c>
      <c r="AF2870">
        <v>-6.0483048516913804</v>
      </c>
      <c r="AG2870">
        <v>-1.129567603972</v>
      </c>
      <c r="AH2870">
        <v>5.4623816841509303</v>
      </c>
      <c r="AI2870">
        <v>97.890938502946796</v>
      </c>
      <c r="AJ2870">
        <v>137.91398559532701</v>
      </c>
      <c r="AK2870">
        <v>8.2277292258729595</v>
      </c>
      <c r="AL2870">
        <v>83.182439695477797</v>
      </c>
      <c r="AM2870">
        <v>115.556186318019</v>
      </c>
      <c r="AN2870">
        <v>1.00000006819153</v>
      </c>
    </row>
    <row r="2871" spans="1:40" x14ac:dyDescent="0.25">
      <c r="A2871" t="str">
        <f>"20190303162311330"</f>
        <v>20190303162311330</v>
      </c>
      <c r="B2871" t="str">
        <f>"1551601391317703"</f>
        <v>1551601391317703</v>
      </c>
      <c r="C2871" t="s">
        <v>40</v>
      </c>
      <c r="D2871">
        <v>5.4930839999999996</v>
      </c>
      <c r="E2871">
        <v>0.3545412</v>
      </c>
      <c r="F2871" t="s">
        <v>46</v>
      </c>
      <c r="G2871">
        <v>-483.15870000000001</v>
      </c>
      <c r="H2871" s="1">
        <v>3.3076610000000001E-6</v>
      </c>
      <c r="I2871">
        <v>223.749</v>
      </c>
      <c r="J2871">
        <v>-490.76909999999998</v>
      </c>
      <c r="K2871">
        <v>1.129742</v>
      </c>
      <c r="L2871">
        <v>227.0986</v>
      </c>
      <c r="M2871">
        <v>0.32108059999999899</v>
      </c>
      <c r="N2871">
        <v>-1.296252E-2</v>
      </c>
      <c r="O2871">
        <v>-0.94696329999999995</v>
      </c>
      <c r="P2871">
        <v>0.69101099999999904</v>
      </c>
      <c r="Q2871">
        <v>0.1153829</v>
      </c>
      <c r="R2871">
        <v>-0.71357579999999998</v>
      </c>
      <c r="S2871">
        <v>2.996521</v>
      </c>
      <c r="T2871">
        <v>-0.43958849999999999</v>
      </c>
      <c r="U2871">
        <v>-1.3943019999999999</v>
      </c>
      <c r="V2871">
        <v>-0.42800719999999998</v>
      </c>
      <c r="W2871">
        <v>0.1174999</v>
      </c>
      <c r="X2871">
        <v>0.89610460000000003</v>
      </c>
      <c r="Y2871">
        <v>-0.71462799999999904</v>
      </c>
      <c r="Z2871">
        <v>0.13247400000000001</v>
      </c>
      <c r="AA2871">
        <v>0.68684599999999996</v>
      </c>
      <c r="AB2871">
        <v>27</v>
      </c>
      <c r="AC2871">
        <v>7.6103999999999701</v>
      </c>
      <c r="AD2871">
        <v>-1.129738692339</v>
      </c>
      <c r="AE2871">
        <v>-3.3495999999999801</v>
      </c>
      <c r="AF2871">
        <v>-6.02064917780993</v>
      </c>
      <c r="AG2871">
        <v>-1.129738692339</v>
      </c>
      <c r="AH2871">
        <v>5.5141776812208496</v>
      </c>
      <c r="AI2871">
        <v>97.878382589585996</v>
      </c>
      <c r="AJ2871">
        <v>137.51412982440399</v>
      </c>
      <c r="AK2871">
        <v>8.2420071302629605</v>
      </c>
      <c r="AL2871">
        <v>83.252162908093595</v>
      </c>
      <c r="AM2871">
        <v>115.53058009480399</v>
      </c>
      <c r="AN2871">
        <v>0.999999921946502</v>
      </c>
    </row>
    <row r="2872" spans="1:40" x14ac:dyDescent="0.25">
      <c r="A2872" t="str">
        <f>"20190303162311352"</f>
        <v>20190303162311352</v>
      </c>
      <c r="B2872" t="str">
        <f>"1551601391346984"</f>
        <v>1551601391346984</v>
      </c>
      <c r="C2872" t="s">
        <v>40</v>
      </c>
      <c r="D2872">
        <v>5.3008389999999999</v>
      </c>
      <c r="E2872">
        <v>0.35255550000000002</v>
      </c>
      <c r="F2872" t="s">
        <v>46</v>
      </c>
      <c r="G2872">
        <v>-482.50200000000001</v>
      </c>
      <c r="H2872" s="1">
        <v>2.9842659999999999E-6</v>
      </c>
      <c r="I2872">
        <v>223.10720000000001</v>
      </c>
      <c r="J2872">
        <v>-490.67099999999999</v>
      </c>
      <c r="K2872">
        <v>1.1299429999999999</v>
      </c>
      <c r="L2872">
        <v>226.85249999999999</v>
      </c>
      <c r="M2872">
        <v>0.33358120000000002</v>
      </c>
      <c r="N2872">
        <v>-1.302035E-2</v>
      </c>
      <c r="O2872">
        <v>-0.94263140000000001</v>
      </c>
      <c r="P2872">
        <v>0.70140400000000003</v>
      </c>
      <c r="Q2872">
        <v>0.1165571</v>
      </c>
      <c r="R2872">
        <v>-0.70316909999999999</v>
      </c>
      <c r="S2872">
        <v>2.9419249999999999</v>
      </c>
      <c r="T2872">
        <v>-0.40202490000000002</v>
      </c>
      <c r="U2872">
        <v>-1.4203490000000001</v>
      </c>
      <c r="V2872">
        <v>-0.42944579999999999</v>
      </c>
      <c r="W2872">
        <v>0.118481</v>
      </c>
      <c r="X2872">
        <v>0.8952869</v>
      </c>
      <c r="Y2872">
        <v>-0.69670509999999997</v>
      </c>
      <c r="Z2872">
        <v>0.1214298</v>
      </c>
      <c r="AA2872">
        <v>0.70700549999999995</v>
      </c>
      <c r="AB2872">
        <v>27</v>
      </c>
      <c r="AC2872">
        <v>8.1690000000000396</v>
      </c>
      <c r="AD2872">
        <v>-1.1299400157339901</v>
      </c>
      <c r="AE2872">
        <v>-3.7452999999999799</v>
      </c>
      <c r="AF2872">
        <v>-6.3511338284691403</v>
      </c>
      <c r="AG2872">
        <v>-1.1299400157339901</v>
      </c>
      <c r="AH2872">
        <v>6.1586286015846499</v>
      </c>
      <c r="AI2872">
        <v>97.278593915600794</v>
      </c>
      <c r="AJ2872">
        <v>135.88162078182</v>
      </c>
      <c r="AK2872">
        <v>8.9186530148077008</v>
      </c>
      <c r="AL2872">
        <v>83.1955553803339</v>
      </c>
      <c r="AM2872">
        <v>115.625820598166</v>
      </c>
      <c r="AN2872">
        <v>1.0000000379051199</v>
      </c>
    </row>
    <row r="2873" spans="1:40" x14ac:dyDescent="0.25">
      <c r="A2873" t="str">
        <f>"20190303162311376"</f>
        <v>20190303162311376</v>
      </c>
      <c r="B2873" t="str">
        <f>"1551601391367480"</f>
        <v>1551601391367480</v>
      </c>
      <c r="C2873" t="s">
        <v>40</v>
      </c>
      <c r="D2873">
        <v>5.3332860000000002</v>
      </c>
      <c r="E2873">
        <v>0.351751599999999</v>
      </c>
      <c r="F2873" t="s">
        <v>46</v>
      </c>
      <c r="G2873">
        <v>-481.66250000000002</v>
      </c>
      <c r="H2873" s="1">
        <v>2.7513900000000002E-6</v>
      </c>
      <c r="I2873">
        <v>222.72739999999999</v>
      </c>
      <c r="J2873">
        <v>-490.56760000000003</v>
      </c>
      <c r="K2873">
        <v>1.1301730000000001</v>
      </c>
      <c r="L2873">
        <v>226.6036</v>
      </c>
      <c r="M2873">
        <v>0.34654950000000001</v>
      </c>
      <c r="N2873">
        <v>-1.308525E-2</v>
      </c>
      <c r="O2873">
        <v>-0.93794049999999995</v>
      </c>
      <c r="P2873">
        <v>0.71230380000000004</v>
      </c>
      <c r="Q2873">
        <v>0.1169722</v>
      </c>
      <c r="R2873">
        <v>-0.69205559999999999</v>
      </c>
      <c r="S2873">
        <v>2.9738769999999999</v>
      </c>
      <c r="T2873">
        <v>-0.37301600000000001</v>
      </c>
      <c r="U2873">
        <v>-1.3617549999999901</v>
      </c>
      <c r="V2873">
        <v>-0.43118430000000002</v>
      </c>
      <c r="W2873">
        <v>0.1186765</v>
      </c>
      <c r="X2873">
        <v>0.89442489999999997</v>
      </c>
      <c r="Y2873">
        <v>-0.70231779999999999</v>
      </c>
      <c r="Z2873">
        <v>0.11221250000000001</v>
      </c>
      <c r="AA2873">
        <v>0.70296389999999997</v>
      </c>
      <c r="AB2873">
        <v>27</v>
      </c>
      <c r="AC2873">
        <v>8.9050999999999991</v>
      </c>
      <c r="AD2873">
        <v>-1.13017024860999</v>
      </c>
      <c r="AE2873">
        <v>-3.8762000000000101</v>
      </c>
      <c r="AF2873">
        <v>-6.9161058938803599</v>
      </c>
      <c r="AG2873">
        <v>-1.13017024860999</v>
      </c>
      <c r="AH2873">
        <v>6.6324662725617696</v>
      </c>
      <c r="AI2873">
        <v>96.726530538330806</v>
      </c>
      <c r="AJ2873">
        <v>136.199313067183</v>
      </c>
      <c r="AK2873">
        <v>9.6488037798931003</v>
      </c>
      <c r="AL2873">
        <v>83.184273910872804</v>
      </c>
      <c r="AM2873">
        <v>115.737783225497</v>
      </c>
      <c r="AN2873">
        <v>0.99999995697937305</v>
      </c>
    </row>
    <row r="2874" spans="1:40" x14ac:dyDescent="0.25">
      <c r="A2874" t="str">
        <f>"20190303162311400"</f>
        <v>20190303162311400</v>
      </c>
      <c r="B2874" t="str">
        <f>"1551601391387000"</f>
        <v>1551601391387000</v>
      </c>
      <c r="C2874" t="s">
        <v>40</v>
      </c>
      <c r="D2874">
        <v>5.3539089999999998</v>
      </c>
      <c r="E2874">
        <v>0.35250029999999999</v>
      </c>
      <c r="F2874" t="s">
        <v>46</v>
      </c>
      <c r="G2874">
        <v>-481.2029</v>
      </c>
      <c r="H2874" s="1">
        <v>2.6239369999999999E-6</v>
      </c>
      <c r="I2874">
        <v>222.5197</v>
      </c>
      <c r="J2874">
        <v>-490.45389999999998</v>
      </c>
      <c r="K2874">
        <v>1.13045</v>
      </c>
      <c r="L2874">
        <v>226.34129999999999</v>
      </c>
      <c r="M2874">
        <v>0.36059639999999998</v>
      </c>
      <c r="N2874">
        <v>-1.3161849999999999E-2</v>
      </c>
      <c r="O2874">
        <v>-0.93262920000000005</v>
      </c>
      <c r="P2874">
        <v>0.72280310000000003</v>
      </c>
      <c r="Q2874">
        <v>0.1185076</v>
      </c>
      <c r="R2874">
        <v>-0.68081709999999995</v>
      </c>
      <c r="S2874">
        <v>3.0000309999999999</v>
      </c>
      <c r="T2874">
        <v>-0.36205549999999997</v>
      </c>
      <c r="U2874">
        <v>-1.308289</v>
      </c>
      <c r="V2874">
        <v>-0.43163770000000001</v>
      </c>
      <c r="W2874">
        <v>0.11999600000000001</v>
      </c>
      <c r="X2874">
        <v>0.89403009999999905</v>
      </c>
      <c r="Y2874">
        <v>-0.70484159999999996</v>
      </c>
      <c r="Z2874">
        <v>0.1088041</v>
      </c>
      <c r="AA2874">
        <v>0.7009708</v>
      </c>
      <c r="AB2874">
        <v>27</v>
      </c>
      <c r="AC2874">
        <v>9.2509999999999692</v>
      </c>
      <c r="AD2874">
        <v>-1.1304473760630001</v>
      </c>
      <c r="AE2874">
        <v>-3.8215999999999801</v>
      </c>
      <c r="AF2874">
        <v>-7.1590084812400496</v>
      </c>
      <c r="AG2874">
        <v>-1.1304473760630001</v>
      </c>
      <c r="AH2874">
        <v>6.8136983289719</v>
      </c>
      <c r="AI2874">
        <v>96.525165931032205</v>
      </c>
      <c r="AJ2874">
        <v>136.41567330424999</v>
      </c>
      <c r="AK2874">
        <v>9.9476529202998094</v>
      </c>
      <c r="AL2874">
        <v>83.108128146465901</v>
      </c>
      <c r="AM2874">
        <v>115.771248666844</v>
      </c>
      <c r="AN2874">
        <v>0.99999998189164896</v>
      </c>
    </row>
    <row r="2875" spans="1:40" x14ac:dyDescent="0.25">
      <c r="A2875" t="str">
        <f>"20190303162311424"</f>
        <v>20190303162311424</v>
      </c>
      <c r="B2875" t="str">
        <f>"1551601391417256"</f>
        <v>1551601391417256</v>
      </c>
      <c r="C2875" t="s">
        <v>40</v>
      </c>
      <c r="D2875">
        <v>5.3992170000000002</v>
      </c>
      <c r="E2875">
        <v>0.35337390000000002</v>
      </c>
      <c r="F2875" t="s">
        <v>46</v>
      </c>
      <c r="G2875">
        <v>-480.63150000000002</v>
      </c>
      <c r="H2875" s="1">
        <v>2.457839E-6</v>
      </c>
      <c r="I2875">
        <v>222.2269</v>
      </c>
      <c r="J2875">
        <v>-490.3426</v>
      </c>
      <c r="K2875">
        <v>1.1307309999999999</v>
      </c>
      <c r="L2875">
        <v>226.09540000000001</v>
      </c>
      <c r="M2875">
        <v>0.3741699</v>
      </c>
      <c r="N2875">
        <v>-1.324148E-2</v>
      </c>
      <c r="O2875">
        <v>-0.92726589999999998</v>
      </c>
      <c r="P2875">
        <v>0.73280469999999998</v>
      </c>
      <c r="Q2875">
        <v>0.1226059</v>
      </c>
      <c r="R2875">
        <v>-0.66930219999999996</v>
      </c>
      <c r="S2875">
        <v>3.01709</v>
      </c>
      <c r="T2875">
        <v>-0.34723140000000002</v>
      </c>
      <c r="U2875">
        <v>-1.2637940000000001</v>
      </c>
      <c r="V2875">
        <v>-0.43228349999999999</v>
      </c>
      <c r="W2875">
        <v>0.12386030000000001</v>
      </c>
      <c r="X2875">
        <v>0.893190699999999</v>
      </c>
      <c r="Y2875">
        <v>-0.70523990000000003</v>
      </c>
      <c r="Z2875">
        <v>0.1041588</v>
      </c>
      <c r="AA2875">
        <v>0.70127569999999995</v>
      </c>
      <c r="AB2875">
        <v>27</v>
      </c>
      <c r="AC2875">
        <v>9.7110999999999805</v>
      </c>
      <c r="AD2875">
        <v>-1.1307285421609901</v>
      </c>
      <c r="AE2875">
        <v>-3.8685000000000098</v>
      </c>
      <c r="AF2875">
        <v>-7.4705455585043996</v>
      </c>
      <c r="AG2875">
        <v>-1.1307285421609901</v>
      </c>
      <c r="AH2875">
        <v>7.1378428224457897</v>
      </c>
      <c r="AI2875">
        <v>96.245342833118599</v>
      </c>
      <c r="AJ2875">
        <v>136.304672856357</v>
      </c>
      <c r="AK2875">
        <v>10.3940559040101</v>
      </c>
      <c r="AL2875">
        <v>82.885055773468693</v>
      </c>
      <c r="AM2875">
        <v>115.825901149149</v>
      </c>
      <c r="AN2875">
        <v>1.00000001242741</v>
      </c>
    </row>
    <row r="2876" spans="1:40" x14ac:dyDescent="0.25">
      <c r="A2876" t="str">
        <f>"20190303162311443"</f>
        <v>20190303162311443</v>
      </c>
      <c r="B2876" t="str">
        <f>"1551601391437753"</f>
        <v>1551601391437753</v>
      </c>
      <c r="C2876" t="s">
        <v>40</v>
      </c>
      <c r="D2876">
        <v>5.4349220000000003</v>
      </c>
      <c r="E2876">
        <v>0.35458699999999999</v>
      </c>
      <c r="F2876" t="s">
        <v>46</v>
      </c>
      <c r="G2876">
        <v>-479.79349999999999</v>
      </c>
      <c r="H2876" s="1">
        <v>2.311593E-6</v>
      </c>
      <c r="I2876">
        <v>221.8424</v>
      </c>
      <c r="J2876">
        <v>-490.24040000000002</v>
      </c>
      <c r="K2876">
        <v>1.1310070000000001</v>
      </c>
      <c r="L2876">
        <v>225.87899999999999</v>
      </c>
      <c r="M2876">
        <v>0.38647559999999997</v>
      </c>
      <c r="N2876">
        <v>-1.331803E-2</v>
      </c>
      <c r="O2876">
        <v>-0.92220380000000002</v>
      </c>
      <c r="P2876">
        <v>0.74299910000000002</v>
      </c>
      <c r="Q2876">
        <v>0.12926750000000001</v>
      </c>
      <c r="R2876">
        <v>-0.65669089999999997</v>
      </c>
      <c r="S2876">
        <v>3.0318299999999998</v>
      </c>
      <c r="T2876">
        <v>-0.32497389999999998</v>
      </c>
      <c r="U2876">
        <v>-1.222321</v>
      </c>
      <c r="V2876">
        <v>-0.43485879999999999</v>
      </c>
      <c r="W2876">
        <v>0.13023219999999999</v>
      </c>
      <c r="X2876">
        <v>0.89103159999999904</v>
      </c>
      <c r="Y2876">
        <v>-0.70599630000000002</v>
      </c>
      <c r="Z2876">
        <v>9.7058969999999994E-2</v>
      </c>
      <c r="AA2876">
        <v>0.70153310000000002</v>
      </c>
      <c r="AB2876">
        <v>27</v>
      </c>
      <c r="AC2876">
        <v>10.446899999999999</v>
      </c>
      <c r="AD2876">
        <v>-1.131004688407</v>
      </c>
      <c r="AE2876">
        <v>-4.0366000000000204</v>
      </c>
      <c r="AF2876">
        <v>-7.99332016981253</v>
      </c>
      <c r="AG2876">
        <v>-1.131004688407</v>
      </c>
      <c r="AH2876">
        <v>7.6823797543359502</v>
      </c>
      <c r="AI2876">
        <v>95.824918141403998</v>
      </c>
      <c r="AJ2876">
        <v>136.136359942669</v>
      </c>
      <c r="AK2876">
        <v>11.1441149326521</v>
      </c>
      <c r="AL2876">
        <v>82.516989209278194</v>
      </c>
      <c r="AM2876">
        <v>116.014213294649</v>
      </c>
      <c r="AN2876">
        <v>0.99999995702641897</v>
      </c>
    </row>
    <row r="2877" spans="1:40" x14ac:dyDescent="0.25">
      <c r="A2877" t="str">
        <f>"20190303162311466"</f>
        <v>20190303162311466</v>
      </c>
      <c r="B2877" t="str">
        <f>"1551601391457273"</f>
        <v>1551601391457273</v>
      </c>
      <c r="C2877" t="s">
        <v>40</v>
      </c>
      <c r="D2877">
        <v>5.505306</v>
      </c>
      <c r="E2877">
        <v>0.35529909999999998</v>
      </c>
      <c r="F2877" t="s">
        <v>46</v>
      </c>
      <c r="G2877">
        <v>-479.49700000000001</v>
      </c>
      <c r="H2877">
        <v>8.0000329999999995E-2</v>
      </c>
      <c r="I2877">
        <v>221.71600000000001</v>
      </c>
      <c r="J2877">
        <v>-490.12479999999999</v>
      </c>
      <c r="K2877">
        <v>1.1312819999999999</v>
      </c>
      <c r="L2877">
        <v>225.64400000000001</v>
      </c>
      <c r="M2877">
        <v>0.40019320000000003</v>
      </c>
      <c r="N2877">
        <v>-1.340475E-2</v>
      </c>
      <c r="O2877">
        <v>-0.91633279999999995</v>
      </c>
      <c r="P2877">
        <v>0.75374140000000001</v>
      </c>
      <c r="Q2877">
        <v>0.13343749999999999</v>
      </c>
      <c r="R2877">
        <v>-0.64348130000000003</v>
      </c>
      <c r="S2877">
        <v>3.046265</v>
      </c>
      <c r="T2877">
        <v>-0.29801050000000001</v>
      </c>
      <c r="U2877">
        <v>-1.1804049999999999</v>
      </c>
      <c r="V2877">
        <v>-0.4368127</v>
      </c>
      <c r="W2877">
        <v>0.1341292</v>
      </c>
      <c r="X2877">
        <v>0.88949650000000002</v>
      </c>
      <c r="Y2877">
        <v>-0.70579700000000001</v>
      </c>
      <c r="Z2877">
        <v>8.8344420000000007E-2</v>
      </c>
      <c r="AA2877">
        <v>0.70288399999999995</v>
      </c>
      <c r="AB2877">
        <v>27</v>
      </c>
      <c r="AC2877">
        <v>10.627800000000001</v>
      </c>
      <c r="AD2877">
        <v>-1.0512816699999901</v>
      </c>
      <c r="AE2877">
        <v>-3.9280000000000199</v>
      </c>
      <c r="AF2877">
        <v>-8.0976650549381901</v>
      </c>
      <c r="AG2877">
        <v>-1.0512816699999901</v>
      </c>
      <c r="AH2877">
        <v>7.7862038408505496</v>
      </c>
      <c r="AI2877">
        <v>95.346307505816895</v>
      </c>
      <c r="AJ2877">
        <v>136.123348883821</v>
      </c>
      <c r="AK2877">
        <v>11.282833985436501</v>
      </c>
      <c r="AL2877">
        <v>82.291731232901398</v>
      </c>
      <c r="AM2877">
        <v>116.15466704651899</v>
      </c>
      <c r="AN2877">
        <v>1.00000000034309</v>
      </c>
    </row>
    <row r="2878" spans="1:40" x14ac:dyDescent="0.25">
      <c r="A2878" t="str">
        <f>"20190303162311489"</f>
        <v>20190303162311489</v>
      </c>
      <c r="B2878" t="str">
        <f>"1551601391477769"</f>
        <v>1551601391477769</v>
      </c>
      <c r="C2878" t="s">
        <v>40</v>
      </c>
      <c r="D2878">
        <v>5.4214729999999998</v>
      </c>
      <c r="E2878">
        <v>0.36610379999999998</v>
      </c>
      <c r="F2878" t="s">
        <v>46</v>
      </c>
      <c r="G2878">
        <v>-478.66030000000001</v>
      </c>
      <c r="H2878">
        <v>8.0000470000000004E-2</v>
      </c>
      <c r="I2878">
        <v>221.40809999999999</v>
      </c>
      <c r="J2878">
        <v>-490.0034</v>
      </c>
      <c r="K2878">
        <v>1.1315390000000001</v>
      </c>
      <c r="L2878">
        <v>225.40690000000001</v>
      </c>
      <c r="M2878">
        <v>0.41440670000000002</v>
      </c>
      <c r="N2878">
        <v>-1.34923E-2</v>
      </c>
      <c r="O2878">
        <v>-0.90999180000000002</v>
      </c>
      <c r="P2878">
        <v>0.76392019999999905</v>
      </c>
      <c r="Q2878">
        <v>0.1339668</v>
      </c>
      <c r="R2878">
        <v>-0.63125200000000004</v>
      </c>
      <c r="S2878">
        <v>3.0635680000000001</v>
      </c>
      <c r="T2878">
        <v>-0.28092529999999999</v>
      </c>
      <c r="U2878">
        <v>-1.1319269999999999</v>
      </c>
      <c r="V2878">
        <v>-0.43731930000000002</v>
      </c>
      <c r="W2878">
        <v>0.13444389999999901</v>
      </c>
      <c r="X2878">
        <v>0.88919999999999999</v>
      </c>
      <c r="Y2878">
        <v>-0.70636769999999904</v>
      </c>
      <c r="Z2878">
        <v>8.2841750000000006E-2</v>
      </c>
      <c r="AA2878">
        <v>0.70298079999999996</v>
      </c>
      <c r="AB2878">
        <v>27</v>
      </c>
      <c r="AC2878">
        <v>11.3430999999999</v>
      </c>
      <c r="AD2878">
        <v>-1.05153852999999</v>
      </c>
      <c r="AE2878">
        <v>-3.9988000000000099</v>
      </c>
      <c r="AF2878">
        <v>-8.6000495324650199</v>
      </c>
      <c r="AG2878">
        <v>-1.05153852999999</v>
      </c>
      <c r="AH2878">
        <v>8.2770224583058702</v>
      </c>
      <c r="AI2878">
        <v>95.034616553851805</v>
      </c>
      <c r="AJ2878">
        <v>136.09650705074</v>
      </c>
      <c r="AK2878">
        <v>11.982307207554999</v>
      </c>
      <c r="AL2878">
        <v>82.273535333480197</v>
      </c>
      <c r="AM2878">
        <v>116.188516679655</v>
      </c>
      <c r="AN2878">
        <v>0.99999998619984998</v>
      </c>
    </row>
    <row r="2879" spans="1:40" x14ac:dyDescent="0.25">
      <c r="A2879" t="str">
        <f>"20190303162311509"</f>
        <v>20190303162311509</v>
      </c>
      <c r="B2879" t="str">
        <f>"1551601391497288"</f>
        <v>1551601391497288</v>
      </c>
      <c r="C2879" t="s">
        <v>40</v>
      </c>
      <c r="D2879">
        <v>5.5871719999999998</v>
      </c>
      <c r="E2879">
        <v>0.33168969999999998</v>
      </c>
      <c r="F2879" t="s">
        <v>46</v>
      </c>
      <c r="G2879">
        <v>-477.20299999999997</v>
      </c>
      <c r="H2879">
        <v>8.0000360000000006E-2</v>
      </c>
      <c r="I2879">
        <v>220.55889999999999</v>
      </c>
      <c r="J2879">
        <v>-489.89269999999999</v>
      </c>
      <c r="K2879">
        <v>1.1317459999999999</v>
      </c>
      <c r="L2879">
        <v>225.19900000000001</v>
      </c>
      <c r="M2879">
        <v>0.427176</v>
      </c>
      <c r="N2879">
        <v>-1.3569960000000001E-2</v>
      </c>
      <c r="O2879">
        <v>-0.9040667</v>
      </c>
      <c r="P2879">
        <v>0.77417419999999904</v>
      </c>
      <c r="Q2879">
        <v>0.13237389999999999</v>
      </c>
      <c r="R2879">
        <v>-0.61897630000000003</v>
      </c>
      <c r="S2879">
        <v>3.0242</v>
      </c>
      <c r="T2879">
        <v>-0.2484355</v>
      </c>
      <c r="U2879">
        <v>-1.145386</v>
      </c>
      <c r="V2879">
        <v>-0.4392781</v>
      </c>
      <c r="W2879">
        <v>0.13262079999999901</v>
      </c>
      <c r="X2879">
        <v>0.88850799999999996</v>
      </c>
      <c r="Y2879">
        <v>-0.69136730000000002</v>
      </c>
      <c r="Z2879">
        <v>7.2539270000000003E-2</v>
      </c>
      <c r="AA2879">
        <v>0.71885279999999996</v>
      </c>
      <c r="AB2879">
        <v>27</v>
      </c>
      <c r="AC2879">
        <v>12.689699999999901</v>
      </c>
      <c r="AD2879">
        <v>-1.05174563999999</v>
      </c>
      <c r="AE2879">
        <v>-4.6401000000000101</v>
      </c>
      <c r="AF2879">
        <v>-9.4339070741538897</v>
      </c>
      <c r="AG2879">
        <v>-1.05174563999999</v>
      </c>
      <c r="AH2879">
        <v>9.5586620420711998</v>
      </c>
      <c r="AI2879">
        <v>94.477852560577702</v>
      </c>
      <c r="AJ2879">
        <v>134.623651213773</v>
      </c>
      <c r="AK2879">
        <v>13.471183749380099</v>
      </c>
      <c r="AL2879">
        <v>82.378935273715896</v>
      </c>
      <c r="AM2879">
        <v>116.307778323996</v>
      </c>
      <c r="AN2879">
        <v>0.99999999589812405</v>
      </c>
    </row>
    <row r="2880" spans="1:40" x14ac:dyDescent="0.25">
      <c r="A2880" t="str">
        <f>"20190303162311533"</f>
        <v>20190303162311533</v>
      </c>
      <c r="B2880" t="str">
        <f>"1551601391527544"</f>
        <v>1551601391527544</v>
      </c>
      <c r="C2880" t="s">
        <v>40</v>
      </c>
      <c r="D2880">
        <v>7.0077829999999999</v>
      </c>
      <c r="E2880">
        <v>0.32374750000000002</v>
      </c>
      <c r="F2880" t="s">
        <v>46</v>
      </c>
      <c r="G2880">
        <v>-480.4255</v>
      </c>
      <c r="H2880" s="1">
        <v>2.4975849999999998E-6</v>
      </c>
      <c r="I2880">
        <v>222.5719</v>
      </c>
      <c r="J2880">
        <v>-489.75970000000001</v>
      </c>
      <c r="K2880">
        <v>1.131985</v>
      </c>
      <c r="L2880">
        <v>224.9589</v>
      </c>
      <c r="M2880">
        <v>0.44232450000000001</v>
      </c>
      <c r="N2880">
        <v>-1.366435E-2</v>
      </c>
      <c r="O2880">
        <v>-0.89675090000000002</v>
      </c>
      <c r="P2880">
        <v>0.78576919999999995</v>
      </c>
      <c r="Q2880">
        <v>0.1307297</v>
      </c>
      <c r="R2880">
        <v>-0.60454640000000004</v>
      </c>
      <c r="S2880">
        <v>3.2253720000000001</v>
      </c>
      <c r="T2880">
        <v>-0.38557399999999997</v>
      </c>
      <c r="U2880">
        <v>-0.89503480000000002</v>
      </c>
      <c r="V2880">
        <v>-0.44105879999999997</v>
      </c>
      <c r="W2880">
        <v>0.13072810000000001</v>
      </c>
      <c r="X2880">
        <v>0.88790609999999903</v>
      </c>
      <c r="Y2880">
        <v>-0.73868959999999995</v>
      </c>
      <c r="Z2880">
        <v>0.11571140000000001</v>
      </c>
      <c r="AA2880">
        <v>0.66403959999999995</v>
      </c>
      <c r="AB2880">
        <v>27</v>
      </c>
      <c r="AC2880">
        <v>9.3342000000000098</v>
      </c>
      <c r="AD2880">
        <v>-1.1319825024150001</v>
      </c>
      <c r="AE2880">
        <v>-2.387</v>
      </c>
      <c r="AF2880">
        <v>-7.2156995338665597</v>
      </c>
      <c r="AG2880">
        <v>-1.1319825024150001</v>
      </c>
      <c r="AH2880">
        <v>6.18450287323975</v>
      </c>
      <c r="AI2880">
        <v>96.792700184366197</v>
      </c>
      <c r="AJ2880">
        <v>139.400455998578</v>
      </c>
      <c r="AK2880">
        <v>9.5705684229269607</v>
      </c>
      <c r="AL2880">
        <v>82.488331343002002</v>
      </c>
      <c r="AM2880">
        <v>116.415445780111</v>
      </c>
      <c r="AN2880">
        <v>0.99999997180212896</v>
      </c>
    </row>
    <row r="2881" spans="1:40" x14ac:dyDescent="0.25">
      <c r="A2881" t="str">
        <f>"20190303162311555"</f>
        <v>20190303162311555</v>
      </c>
      <c r="B2881" t="str">
        <f>"1551601391547065"</f>
        <v>1551601391547065</v>
      </c>
      <c r="C2881" t="s">
        <v>40</v>
      </c>
      <c r="D2881">
        <v>5.5612839999999997</v>
      </c>
      <c r="E2881">
        <v>0.31140099999999998</v>
      </c>
      <c r="F2881" t="s">
        <v>46</v>
      </c>
      <c r="G2881">
        <v>-480.1533</v>
      </c>
      <c r="H2881" s="1">
        <v>2.471555E-6</v>
      </c>
      <c r="I2881">
        <v>222.67259999999999</v>
      </c>
      <c r="J2881">
        <v>-489.62610000000001</v>
      </c>
      <c r="K2881">
        <v>1.1322190000000001</v>
      </c>
      <c r="L2881">
        <v>224.7276</v>
      </c>
      <c r="M2881">
        <v>0.45730520000000002</v>
      </c>
      <c r="N2881">
        <v>-1.3761010000000001E-2</v>
      </c>
      <c r="O2881">
        <v>-0.88920350000000004</v>
      </c>
      <c r="P2881">
        <v>0.79561009999999999</v>
      </c>
      <c r="Q2881">
        <v>0.12871250000000001</v>
      </c>
      <c r="R2881">
        <v>-0.591978</v>
      </c>
      <c r="S2881">
        <v>3.2814329999999998</v>
      </c>
      <c r="T2881">
        <v>-0.38667269999999998</v>
      </c>
      <c r="U2881">
        <v>-0.78097530000000004</v>
      </c>
      <c r="V2881">
        <v>-0.44059599999999999</v>
      </c>
      <c r="W2881">
        <v>0.128548</v>
      </c>
      <c r="X2881">
        <v>0.88845399999999997</v>
      </c>
      <c r="Y2881">
        <v>-0.751913099999999</v>
      </c>
      <c r="Z2881">
        <v>0.11585280000000001</v>
      </c>
      <c r="AA2881">
        <v>0.649003</v>
      </c>
      <c r="AB2881">
        <v>27</v>
      </c>
      <c r="AC2881">
        <v>9.4727999999999994</v>
      </c>
      <c r="AD2881">
        <v>-1.1322165284450001</v>
      </c>
      <c r="AE2881">
        <v>-2.0550000000000002</v>
      </c>
      <c r="AF2881">
        <v>-7.3834552069500896</v>
      </c>
      <c r="AG2881">
        <v>-1.1322165284450001</v>
      </c>
      <c r="AH2881">
        <v>6.0769447029086203</v>
      </c>
      <c r="AI2881">
        <v>96.752362845733103</v>
      </c>
      <c r="AJ2881">
        <v>140.54394919006299</v>
      </c>
      <c r="AK2881">
        <v>9.6294642624879003</v>
      </c>
      <c r="AL2881">
        <v>82.614304907929807</v>
      </c>
      <c r="AM2881">
        <v>116.377416582783</v>
      </c>
      <c r="AN2881">
        <v>0.99999996681799896</v>
      </c>
    </row>
    <row r="2882" spans="1:40" x14ac:dyDescent="0.25">
      <c r="A2882" t="str">
        <f>"20190303162311577"</f>
        <v>20190303162311577</v>
      </c>
      <c r="B2882" t="str">
        <f>"1551601391567561"</f>
        <v>1551601391567561</v>
      </c>
      <c r="C2882" t="s">
        <v>40</v>
      </c>
      <c r="D2882">
        <v>5.5653180000000004</v>
      </c>
      <c r="E2882">
        <v>0.30881439999999999</v>
      </c>
      <c r="F2882" t="s">
        <v>46</v>
      </c>
      <c r="G2882">
        <v>-480.35629999999998</v>
      </c>
      <c r="H2882" s="1">
        <v>2.5649810000000001E-6</v>
      </c>
      <c r="I2882">
        <v>222.9323</v>
      </c>
      <c r="J2882">
        <v>-489.4982</v>
      </c>
      <c r="K2882">
        <v>1.1324529999999999</v>
      </c>
      <c r="L2882">
        <v>224.5147</v>
      </c>
      <c r="M2882">
        <v>0.47144770000000003</v>
      </c>
      <c r="N2882">
        <v>-1.385463E-2</v>
      </c>
      <c r="O2882">
        <v>-0.88178509999999999</v>
      </c>
      <c r="P2882">
        <v>0.80445109999999997</v>
      </c>
      <c r="Q2882">
        <v>0.1277904</v>
      </c>
      <c r="R2882">
        <v>-0.58011049999999997</v>
      </c>
      <c r="S2882">
        <v>3.353729</v>
      </c>
      <c r="T2882">
        <v>-0.40962549999999998</v>
      </c>
      <c r="U2882">
        <v>-0.64952089999999996</v>
      </c>
      <c r="V2882">
        <v>-0.43976379999999998</v>
      </c>
      <c r="W2882">
        <v>0.1274882</v>
      </c>
      <c r="X2882">
        <v>0.8890188</v>
      </c>
      <c r="Y2882">
        <v>-0.76785809999999999</v>
      </c>
      <c r="Z2882">
        <v>0.1225478</v>
      </c>
      <c r="AA2882">
        <v>0.62878940000000005</v>
      </c>
      <c r="AB2882">
        <v>27</v>
      </c>
      <c r="AC2882">
        <v>9.1419000000000192</v>
      </c>
      <c r="AD2882">
        <v>-1.1324504350189999</v>
      </c>
      <c r="AE2882">
        <v>-1.5824</v>
      </c>
      <c r="AF2882">
        <v>-7.2084790692036798</v>
      </c>
      <c r="AG2882">
        <v>-1.1324504350189999</v>
      </c>
      <c r="AH2882">
        <v>5.6220520131732004</v>
      </c>
      <c r="AI2882">
        <v>97.061722916584003</v>
      </c>
      <c r="AJ2882">
        <v>142.048544843591</v>
      </c>
      <c r="AK2882">
        <v>9.2115190559292195</v>
      </c>
      <c r="AL2882">
        <v>82.675530513871095</v>
      </c>
      <c r="AM2882">
        <v>116.319852313602</v>
      </c>
      <c r="AN2882">
        <v>0.99999993384155705</v>
      </c>
    </row>
    <row r="2883" spans="1:40" x14ac:dyDescent="0.25">
      <c r="A2883" t="str">
        <f>"20190303162311601"</f>
        <v>20190303162311601</v>
      </c>
      <c r="B2883" t="str">
        <f>"1551601391597816"</f>
        <v>1551601391597816</v>
      </c>
      <c r="C2883" t="s">
        <v>40</v>
      </c>
      <c r="D2883">
        <v>5.6019589999999999</v>
      </c>
      <c r="E2883">
        <v>0.3098534</v>
      </c>
      <c r="F2883" t="s">
        <v>46</v>
      </c>
      <c r="G2883">
        <v>-480.52010000000001</v>
      </c>
      <c r="H2883" s="1">
        <v>2.5996640000000001E-6</v>
      </c>
      <c r="I2883">
        <v>222.95779999999999</v>
      </c>
      <c r="J2883">
        <v>-489.34800000000001</v>
      </c>
      <c r="K2883">
        <v>1.132717</v>
      </c>
      <c r="L2883">
        <v>224.2747</v>
      </c>
      <c r="M2883">
        <v>0.48777599999999999</v>
      </c>
      <c r="N2883">
        <v>-1.3964280000000001E-2</v>
      </c>
      <c r="O2883">
        <v>-0.87285729999999995</v>
      </c>
      <c r="P2883">
        <v>0.81562880000000004</v>
      </c>
      <c r="Q2883">
        <v>0.12751270000000001</v>
      </c>
      <c r="R2883">
        <v>-0.56434989999999996</v>
      </c>
      <c r="S2883">
        <v>3.3748469999999999</v>
      </c>
      <c r="T2883">
        <v>-0.4256856</v>
      </c>
      <c r="U2883">
        <v>-0.58523559999999997</v>
      </c>
      <c r="V2883">
        <v>-0.4406332</v>
      </c>
      <c r="W2883">
        <v>0.12698779999999901</v>
      </c>
      <c r="X2883">
        <v>0.88866000000000001</v>
      </c>
      <c r="Y2883">
        <v>-0.76774069999999905</v>
      </c>
      <c r="Z2883">
        <v>0.1273176</v>
      </c>
      <c r="AA2883">
        <v>0.62798449999999995</v>
      </c>
      <c r="AB2883">
        <v>27</v>
      </c>
      <c r="AC2883">
        <v>8.8278999999999996</v>
      </c>
      <c r="AD2883">
        <v>-1.1327144003359999</v>
      </c>
      <c r="AE2883">
        <v>-1.3169</v>
      </c>
      <c r="AF2883">
        <v>-6.9518708201920596</v>
      </c>
      <c r="AG2883">
        <v>-1.1327144003359999</v>
      </c>
      <c r="AH2883">
        <v>5.3695566442806602</v>
      </c>
      <c r="AI2883">
        <v>97.347762641628293</v>
      </c>
      <c r="AJ2883">
        <v>142.317855179563</v>
      </c>
      <c r="AK2883">
        <v>8.8568441540711902</v>
      </c>
      <c r="AL2883">
        <v>82.704437166899595</v>
      </c>
      <c r="AM2883">
        <v>116.374055034207</v>
      </c>
      <c r="AN2883">
        <v>1.0000000569455301</v>
      </c>
    </row>
    <row r="2884" spans="1:40" x14ac:dyDescent="0.25">
      <c r="A2884" t="str">
        <f>"20190303162311644"</f>
        <v>20190303162311644</v>
      </c>
      <c r="B2884" t="str">
        <f>"1551601391637833"</f>
        <v>1551601391637833</v>
      </c>
      <c r="C2884" t="s">
        <v>40</v>
      </c>
      <c r="D2884">
        <v>5.1446389999999997</v>
      </c>
      <c r="E2884">
        <v>0.30758449999999998</v>
      </c>
      <c r="F2884" t="s">
        <v>46</v>
      </c>
      <c r="G2884">
        <v>-480.33370000000002</v>
      </c>
      <c r="H2884" s="1">
        <v>2.5473709999999998E-6</v>
      </c>
      <c r="I2884">
        <v>222.8707</v>
      </c>
      <c r="J2884">
        <v>-489.06709999999998</v>
      </c>
      <c r="K2884">
        <v>1.133173</v>
      </c>
      <c r="L2884">
        <v>223.8537</v>
      </c>
      <c r="M2884">
        <v>0.51752029999999904</v>
      </c>
      <c r="N2884">
        <v>-1.416687E-2</v>
      </c>
      <c r="O2884">
        <v>-0.85555360000000003</v>
      </c>
      <c r="P2884">
        <v>0.83971629999999997</v>
      </c>
      <c r="Q2884">
        <v>0.1263985</v>
      </c>
      <c r="R2884">
        <v>-0.52810999999999997</v>
      </c>
      <c r="S2884">
        <v>3.3802189999999999</v>
      </c>
      <c r="T2884">
        <v>-0.4247513</v>
      </c>
      <c r="U2884">
        <v>-0.52645869999999995</v>
      </c>
      <c r="V2884">
        <v>-0.44921030000000001</v>
      </c>
      <c r="W2884">
        <v>0.12522900000000001</v>
      </c>
      <c r="X2884">
        <v>0.884606</v>
      </c>
      <c r="Y2884">
        <v>-0.75674490000000005</v>
      </c>
      <c r="Z2884">
        <v>0.12636459999999999</v>
      </c>
      <c r="AA2884">
        <v>0.64138079999999997</v>
      </c>
      <c r="AB2884">
        <v>27</v>
      </c>
      <c r="AC2884">
        <v>8.7333999999999499</v>
      </c>
      <c r="AD2884">
        <v>-1.1331704526289901</v>
      </c>
      <c r="AE2884">
        <v>-0.98300000000000398</v>
      </c>
      <c r="AF2884">
        <v>-6.8499888238666404</v>
      </c>
      <c r="AG2884">
        <v>-1.1331704526289901</v>
      </c>
      <c r="AH2884">
        <v>5.2735869121039798</v>
      </c>
      <c r="AI2884">
        <v>97.467795730821294</v>
      </c>
      <c r="AJ2884">
        <v>142.40847861684799</v>
      </c>
      <c r="AK2884">
        <v>8.7187809400926994</v>
      </c>
      <c r="AL2884">
        <v>82.806019466034797</v>
      </c>
      <c r="AM2884">
        <v>116.921839893396</v>
      </c>
      <c r="AN2884">
        <v>0.99999998565154402</v>
      </c>
    </row>
    <row r="2885" spans="1:40" x14ac:dyDescent="0.25">
      <c r="A2885" t="str">
        <f>"20190303162311667"</f>
        <v>20190303162311667</v>
      </c>
      <c r="B2885" t="str">
        <f>"1551601391657352"</f>
        <v>1551601391657352</v>
      </c>
      <c r="C2885" t="s">
        <v>40</v>
      </c>
      <c r="D2885">
        <v>5.2036419999999897</v>
      </c>
      <c r="E2885">
        <v>0.3067454</v>
      </c>
      <c r="F2885" t="s">
        <v>46</v>
      </c>
      <c r="G2885">
        <v>-480.18740000000003</v>
      </c>
      <c r="H2885" s="1">
        <v>2.5293819999999998E-6</v>
      </c>
      <c r="I2885">
        <v>222.9067</v>
      </c>
      <c r="J2885">
        <v>-488.92160000000001</v>
      </c>
      <c r="K2885">
        <v>1.1333759999999999</v>
      </c>
      <c r="L2885">
        <v>223.64840000000001</v>
      </c>
      <c r="M2885">
        <v>0.53249389999999996</v>
      </c>
      <c r="N2885">
        <v>-1.426525E-2</v>
      </c>
      <c r="O2885">
        <v>-0.8463138</v>
      </c>
      <c r="P2885">
        <v>0.85142309999999999</v>
      </c>
      <c r="Q2885">
        <v>0.12577240000000001</v>
      </c>
      <c r="R2885">
        <v>-0.50917559999999995</v>
      </c>
      <c r="S2885">
        <v>3.4094540000000002</v>
      </c>
      <c r="T2885">
        <v>-0.43509330000000002</v>
      </c>
      <c r="U2885">
        <v>-0.36360170000000003</v>
      </c>
      <c r="V2885">
        <v>-0.45357979999999998</v>
      </c>
      <c r="W2885">
        <v>0.12429279999999999</v>
      </c>
      <c r="X2885">
        <v>0.88250599999999901</v>
      </c>
      <c r="Y2885">
        <v>-0.77538660000000004</v>
      </c>
      <c r="Z2885">
        <v>0.13055999999999901</v>
      </c>
      <c r="AA2885">
        <v>0.61784289999999997</v>
      </c>
      <c r="AB2885">
        <v>27</v>
      </c>
      <c r="AC2885">
        <v>8.73419999999998</v>
      </c>
      <c r="AD2885">
        <v>-1.1333734706180001</v>
      </c>
      <c r="AE2885">
        <v>-0.74170000000000802</v>
      </c>
      <c r="AF2885">
        <v>-6.8825727475607597</v>
      </c>
      <c r="AG2885">
        <v>-1.1333734706180001</v>
      </c>
      <c r="AH2885">
        <v>5.1923508433015702</v>
      </c>
      <c r="AI2885">
        <v>97.489097446901098</v>
      </c>
      <c r="AJ2885">
        <v>142.96836596957399</v>
      </c>
      <c r="AK2885">
        <v>8.6956799808468901</v>
      </c>
      <c r="AL2885">
        <v>82.860082909976597</v>
      </c>
      <c r="AM2885">
        <v>117.201711374067</v>
      </c>
      <c r="AN2885">
        <v>1.00000008756793</v>
      </c>
    </row>
    <row r="2886" spans="1:40" x14ac:dyDescent="0.25">
      <c r="A2886" t="str">
        <f>"20190303162311689"</f>
        <v>20190303162311689</v>
      </c>
      <c r="B2886" t="str">
        <f>"1551601391677848"</f>
        <v>1551601391677848</v>
      </c>
      <c r="C2886" t="s">
        <v>40</v>
      </c>
      <c r="D2886">
        <v>5.2112990000000003</v>
      </c>
      <c r="E2886">
        <v>0.3073495</v>
      </c>
      <c r="F2886" t="s">
        <v>46</v>
      </c>
      <c r="G2886">
        <v>-480.15559999999999</v>
      </c>
      <c r="H2886" s="1">
        <v>2.527302E-6</v>
      </c>
      <c r="I2886">
        <v>222.9229</v>
      </c>
      <c r="J2886">
        <v>-488.76780000000002</v>
      </c>
      <c r="K2886">
        <v>1.1335729999999999</v>
      </c>
      <c r="L2886">
        <v>223.43979999999999</v>
      </c>
      <c r="M2886">
        <v>0.54798139999999995</v>
      </c>
      <c r="N2886">
        <v>-1.436137E-2</v>
      </c>
      <c r="O2886">
        <v>-0.83636739999999998</v>
      </c>
      <c r="P2886">
        <v>0.86280979999999996</v>
      </c>
      <c r="Q2886">
        <v>0.12686220000000001</v>
      </c>
      <c r="R2886">
        <v>-0.48935210000000001</v>
      </c>
      <c r="S2886">
        <v>3.4195859999999998</v>
      </c>
      <c r="T2886">
        <v>-0.4421234</v>
      </c>
      <c r="U2886">
        <v>-0.2830048</v>
      </c>
      <c r="V2886">
        <v>-0.45770709999999998</v>
      </c>
      <c r="W2886">
        <v>0.12508949999999999</v>
      </c>
      <c r="X2886">
        <v>0.88025949999999997</v>
      </c>
      <c r="Y2886">
        <v>-0.77819589999999905</v>
      </c>
      <c r="Z2886">
        <v>0.13279099999999999</v>
      </c>
      <c r="AA2886">
        <v>0.61382219999999998</v>
      </c>
      <c r="AB2886">
        <v>27</v>
      </c>
      <c r="AC2886">
        <v>8.6122000000000298</v>
      </c>
      <c r="AD2886">
        <v>-1.133570472698</v>
      </c>
      <c r="AE2886">
        <v>-0.51689999999999203</v>
      </c>
      <c r="AF2886">
        <v>-6.8029869273746897</v>
      </c>
      <c r="AG2886">
        <v>-1.133570472698</v>
      </c>
      <c r="AH2886">
        <v>5.0647434792318498</v>
      </c>
      <c r="AI2886">
        <v>97.612776272353699</v>
      </c>
      <c r="AJ2886">
        <v>143.33275156470199</v>
      </c>
      <c r="AK2886">
        <v>8.5567072908347903</v>
      </c>
      <c r="AL2886">
        <v>82.814075533524004</v>
      </c>
      <c r="AM2886">
        <v>117.473005210021</v>
      </c>
      <c r="AN2886">
        <v>0.99999997987045397</v>
      </c>
    </row>
    <row r="2887" spans="1:40" x14ac:dyDescent="0.25">
      <c r="A2887" t="str">
        <f>"20190303162311711"</f>
        <v>20190303162311711</v>
      </c>
      <c r="B2887" t="str">
        <f>"1551601391707129"</f>
        <v>1551601391707129</v>
      </c>
      <c r="C2887" t="s">
        <v>40</v>
      </c>
      <c r="D2887">
        <v>5.4482949999999999</v>
      </c>
      <c r="E2887">
        <v>0.3104809</v>
      </c>
      <c r="F2887" t="s">
        <v>46</v>
      </c>
      <c r="G2887">
        <v>-479.9196</v>
      </c>
      <c r="H2887">
        <v>1.3072489999999999E-3</v>
      </c>
      <c r="I2887">
        <v>222.8989</v>
      </c>
      <c r="J2887">
        <v>-488.61540000000002</v>
      </c>
      <c r="K2887">
        <v>1.133759</v>
      </c>
      <c r="L2887">
        <v>223.24100000000001</v>
      </c>
      <c r="M2887">
        <v>0.56299239999999995</v>
      </c>
      <c r="N2887">
        <v>-1.444937E-2</v>
      </c>
      <c r="O2887">
        <v>-0.82633579999999995</v>
      </c>
      <c r="P2887">
        <v>0.873388099999999</v>
      </c>
      <c r="Q2887">
        <v>0.12917319999999999</v>
      </c>
      <c r="R2887">
        <v>-0.46958270000000002</v>
      </c>
      <c r="S2887">
        <v>3.4227599999999998</v>
      </c>
      <c r="T2887">
        <v>-0.43799630000000001</v>
      </c>
      <c r="U2887">
        <v>-0.20924380000000001</v>
      </c>
      <c r="V2887">
        <v>-0.4617038</v>
      </c>
      <c r="W2887">
        <v>0.1271254</v>
      </c>
      <c r="X2887">
        <v>0.87787739999999903</v>
      </c>
      <c r="Y2887">
        <v>-0.78039399999999903</v>
      </c>
      <c r="Z2887">
        <v>0.131604</v>
      </c>
      <c r="AA2887">
        <v>0.61128199999999999</v>
      </c>
      <c r="AB2887">
        <v>27</v>
      </c>
      <c r="AC2887">
        <v>8.6958000000000197</v>
      </c>
      <c r="AD2887">
        <v>-1.1324517509999901</v>
      </c>
      <c r="AE2887">
        <v>-0.34209999999998703</v>
      </c>
      <c r="AF2887">
        <v>-6.8773233199475499</v>
      </c>
      <c r="AG2887">
        <v>-1.1324517509999901</v>
      </c>
      <c r="AH2887">
        <v>5.0926622582146797</v>
      </c>
      <c r="AI2887">
        <v>97.538301234634105</v>
      </c>
      <c r="AJ2887">
        <v>143.48002878173401</v>
      </c>
      <c r="AK2887">
        <v>8.6322205655139292</v>
      </c>
      <c r="AL2887">
        <v>82.696488416715894</v>
      </c>
      <c r="AM2887">
        <v>117.74131746498099</v>
      </c>
      <c r="AN2887">
        <v>0.99999999784517901</v>
      </c>
    </row>
    <row r="2888" spans="1:40" x14ac:dyDescent="0.25">
      <c r="A2888" t="str">
        <f>"20190303162311733"</f>
        <v>20190303162311733</v>
      </c>
      <c r="B2888" t="str">
        <f>"1551601391727625"</f>
        <v>1551601391727625</v>
      </c>
      <c r="C2888" t="s">
        <v>40</v>
      </c>
      <c r="D2888">
        <v>5.489579</v>
      </c>
      <c r="E2888">
        <v>0.31184299999999998</v>
      </c>
      <c r="F2888" t="s">
        <v>46</v>
      </c>
      <c r="G2888">
        <v>-479.90249999999997</v>
      </c>
      <c r="H2888">
        <v>6.3497410000000004E-2</v>
      </c>
      <c r="I2888">
        <v>222.85079999999999</v>
      </c>
      <c r="J2888">
        <v>-488.45190000000002</v>
      </c>
      <c r="K2888">
        <v>1.133926</v>
      </c>
      <c r="L2888">
        <v>223.0361</v>
      </c>
      <c r="M2888">
        <v>0.57871890000000004</v>
      </c>
      <c r="N2888">
        <v>-1.4541490000000001E-2</v>
      </c>
      <c r="O2888">
        <v>-0.81539759999999994</v>
      </c>
      <c r="P2888">
        <v>0.88360680000000003</v>
      </c>
      <c r="Q2888">
        <v>0.13038339999999901</v>
      </c>
      <c r="R2888">
        <v>-0.44971030000000001</v>
      </c>
      <c r="S2888">
        <v>3.4146730000000001</v>
      </c>
      <c r="T2888">
        <v>-0.4194466</v>
      </c>
      <c r="U2888">
        <v>-0.15293880000000001</v>
      </c>
      <c r="V2888">
        <v>-0.4646904</v>
      </c>
      <c r="W2888">
        <v>0.128111</v>
      </c>
      <c r="X2888">
        <v>0.87615659999999895</v>
      </c>
      <c r="Y2888">
        <v>-0.77938249999999998</v>
      </c>
      <c r="Z2888">
        <v>0.1259007</v>
      </c>
      <c r="AA2888">
        <v>0.6137688</v>
      </c>
      <c r="AB2888">
        <v>27</v>
      </c>
      <c r="AC2888">
        <v>8.5494000000000394</v>
      </c>
      <c r="AD2888">
        <v>-1.0704285899999999</v>
      </c>
      <c r="AE2888">
        <v>-0.18530000000001201</v>
      </c>
      <c r="AF2888">
        <v>-6.7587460178696297</v>
      </c>
      <c r="AG2888">
        <v>-1.0704285899999999</v>
      </c>
      <c r="AH2888">
        <v>5.0206624708860996</v>
      </c>
      <c r="AI2888">
        <v>97.245546792635196</v>
      </c>
      <c r="AJ2888">
        <v>143.39358227993199</v>
      </c>
      <c r="AK2888">
        <v>8.48725613769974</v>
      </c>
      <c r="AL2888">
        <v>82.639552103346006</v>
      </c>
      <c r="AM2888">
        <v>117.94030215436899</v>
      </c>
      <c r="AN2888">
        <v>0.99999999194835898</v>
      </c>
    </row>
    <row r="2889" spans="1:40" x14ac:dyDescent="0.25">
      <c r="A2889" t="str">
        <f>"20190303162311756"</f>
        <v>20190303162311756</v>
      </c>
      <c r="B2889" t="str">
        <f>"1551601391747145"</f>
        <v>1551601391747145</v>
      </c>
      <c r="C2889" t="s">
        <v>40</v>
      </c>
      <c r="D2889">
        <v>5.4919900000000004</v>
      </c>
      <c r="E2889">
        <v>0.34701470000000001</v>
      </c>
      <c r="F2889" t="s">
        <v>46</v>
      </c>
      <c r="G2889">
        <v>-479.71080000000001</v>
      </c>
      <c r="H2889">
        <v>8.0000619999999995E-2</v>
      </c>
      <c r="I2889">
        <v>222.81819999999999</v>
      </c>
      <c r="J2889">
        <v>-488.28309999999999</v>
      </c>
      <c r="K2889">
        <v>1.1340760000000001</v>
      </c>
      <c r="L2889">
        <v>222.833</v>
      </c>
      <c r="M2889">
        <v>0.59454689999999999</v>
      </c>
      <c r="N2889">
        <v>-1.464034E-2</v>
      </c>
      <c r="O2889">
        <v>-0.80392759999999996</v>
      </c>
      <c r="P2889">
        <v>0.8922563</v>
      </c>
      <c r="Q2889">
        <v>0.1313386</v>
      </c>
      <c r="R2889">
        <v>-0.4320058</v>
      </c>
      <c r="S2889">
        <v>3.4126280000000002</v>
      </c>
      <c r="T2889">
        <v>-0.41146719999999998</v>
      </c>
      <c r="U2889">
        <v>-8.5067749999999998E-2</v>
      </c>
      <c r="V2889">
        <v>-0.46499960000000001</v>
      </c>
      <c r="W2889">
        <v>0.12896830000000001</v>
      </c>
      <c r="X2889">
        <v>0.8758667</v>
      </c>
      <c r="Y2889">
        <v>-0.77982649999999998</v>
      </c>
      <c r="Z2889">
        <v>0.1233549</v>
      </c>
      <c r="AA2889">
        <v>0.61372159999999998</v>
      </c>
      <c r="AB2889">
        <v>27</v>
      </c>
      <c r="AC2889">
        <v>8.5722999999999807</v>
      </c>
      <c r="AD2889">
        <v>-1.05407538</v>
      </c>
      <c r="AE2889">
        <v>-1.48000000000081E-2</v>
      </c>
      <c r="AF2889">
        <v>-6.7809207418542696</v>
      </c>
      <c r="AG2889">
        <v>-1.05407538</v>
      </c>
      <c r="AH2889">
        <v>5.0329823264571303</v>
      </c>
      <c r="AI2889">
        <v>97.114971818532297</v>
      </c>
      <c r="AJ2889">
        <v>143.416198604003</v>
      </c>
      <c r="AK2889">
        <v>8.5101628722640505</v>
      </c>
      <c r="AL2889">
        <v>82.590021328803303</v>
      </c>
      <c r="AM2889">
        <v>117.96393299216</v>
      </c>
      <c r="AN2889">
        <v>0.99999996328696905</v>
      </c>
    </row>
    <row r="2890" spans="1:40" x14ac:dyDescent="0.25">
      <c r="A2890" t="str">
        <f>"20190303162311779"</f>
        <v>20190303162311779</v>
      </c>
      <c r="B2890" t="str">
        <f>"1551601391767641"</f>
        <v>1551601391767641</v>
      </c>
      <c r="C2890" t="s">
        <v>40</v>
      </c>
      <c r="D2890">
        <v>5.385192</v>
      </c>
      <c r="E2890">
        <v>0.34726050000000003</v>
      </c>
      <c r="F2890" t="s">
        <v>46</v>
      </c>
      <c r="G2890">
        <v>-477.31619999999998</v>
      </c>
      <c r="H2890">
        <v>8.0000420000000003E-2</v>
      </c>
      <c r="I2890">
        <v>221.9554</v>
      </c>
      <c r="J2890">
        <v>-488.11160000000001</v>
      </c>
      <c r="K2890">
        <v>1.1342209999999999</v>
      </c>
      <c r="L2890">
        <v>222.63489999999999</v>
      </c>
      <c r="M2890">
        <v>0.61021539999999996</v>
      </c>
      <c r="N2890">
        <v>-1.47419E-2</v>
      </c>
      <c r="O2890">
        <v>-0.79209849999999904</v>
      </c>
      <c r="P2890">
        <v>0.90016600000000002</v>
      </c>
      <c r="Q2890">
        <v>0.1334139</v>
      </c>
      <c r="R2890">
        <v>-0.4146108</v>
      </c>
      <c r="S2890">
        <v>3.281555</v>
      </c>
      <c r="T2890">
        <v>-0.31540309999999999</v>
      </c>
      <c r="U2890">
        <v>-0.2626038</v>
      </c>
      <c r="V2890">
        <v>-0.46467310000000001</v>
      </c>
      <c r="W2890">
        <v>0.13098479999999901</v>
      </c>
      <c r="X2890">
        <v>0.87574079999999999</v>
      </c>
      <c r="Y2890">
        <v>-0.73558029999999996</v>
      </c>
      <c r="Z2890">
        <v>9.361614E-2</v>
      </c>
      <c r="AA2890">
        <v>0.67093800000000003</v>
      </c>
      <c r="AB2890">
        <v>27</v>
      </c>
      <c r="AC2890">
        <v>10.795400000000001</v>
      </c>
      <c r="AD2890">
        <v>-1.05422058</v>
      </c>
      <c r="AE2890">
        <v>-0.67949999999999</v>
      </c>
      <c r="AF2890">
        <v>-8.0606954085546594</v>
      </c>
      <c r="AG2890">
        <v>-1.05422058</v>
      </c>
      <c r="AH2890">
        <v>7.0594676006724697</v>
      </c>
      <c r="AI2890">
        <v>95.619104125616801</v>
      </c>
      <c r="AJ2890">
        <v>138.78848433491899</v>
      </c>
      <c r="AK2890">
        <v>10.766720684857299</v>
      </c>
      <c r="AL2890">
        <v>82.473496378478103</v>
      </c>
      <c r="AM2890">
        <v>117.95067844816001</v>
      </c>
      <c r="AN2890">
        <v>1.00000002823964</v>
      </c>
    </row>
    <row r="2891" spans="1:40" x14ac:dyDescent="0.25">
      <c r="A2891" t="str">
        <f>"20190303162311804"</f>
        <v>20190303162311804</v>
      </c>
      <c r="B2891" t="str">
        <f>"1551601391796922"</f>
        <v>1551601391796922</v>
      </c>
      <c r="C2891" t="s">
        <v>40</v>
      </c>
      <c r="D2891">
        <v>5.6076870000000003</v>
      </c>
      <c r="E2891">
        <v>0.349744</v>
      </c>
      <c r="F2891" t="s">
        <v>46</v>
      </c>
      <c r="G2891">
        <v>-476.77609999999999</v>
      </c>
      <c r="H2891">
        <v>8.0000450000000001E-2</v>
      </c>
      <c r="I2891">
        <v>221.9376</v>
      </c>
      <c r="J2891">
        <v>-487.91950000000003</v>
      </c>
      <c r="K2891">
        <v>1.134377</v>
      </c>
      <c r="L2891">
        <v>222.4221</v>
      </c>
      <c r="M2891">
        <v>0.62728909999999904</v>
      </c>
      <c r="N2891">
        <v>-1.4851369999999999E-2</v>
      </c>
      <c r="O2891">
        <v>-0.77864489999999997</v>
      </c>
      <c r="P2891">
        <v>0.90893040000000003</v>
      </c>
      <c r="Q2891">
        <v>0.13615620000000001</v>
      </c>
      <c r="R2891">
        <v>-0.39408979999999999</v>
      </c>
      <c r="S2891">
        <v>3.2849430000000002</v>
      </c>
      <c r="T2891">
        <v>-0.30550429999999901</v>
      </c>
      <c r="U2891">
        <v>-0.20205690000000001</v>
      </c>
      <c r="V2891">
        <v>-0.46532279999999998</v>
      </c>
      <c r="W2891">
        <v>0.13362879999999999</v>
      </c>
      <c r="X2891">
        <v>0.874995999999999</v>
      </c>
      <c r="Y2891">
        <v>-0.73366580000000003</v>
      </c>
      <c r="Z2891">
        <v>9.0068690000000007E-2</v>
      </c>
      <c r="AA2891">
        <v>0.67351470000000002</v>
      </c>
      <c r="AB2891">
        <v>27</v>
      </c>
      <c r="AC2891">
        <v>11.1434</v>
      </c>
      <c r="AD2891">
        <v>-1.05437655</v>
      </c>
      <c r="AE2891">
        <v>-0.48449999999999699</v>
      </c>
      <c r="AF2891">
        <v>-8.2995894084787096</v>
      </c>
      <c r="AG2891">
        <v>-1.05437655</v>
      </c>
      <c r="AH2891">
        <v>7.3029412365647897</v>
      </c>
      <c r="AI2891">
        <v>95.448067015191498</v>
      </c>
      <c r="AJ2891">
        <v>138.65493635169</v>
      </c>
      <c r="AK2891">
        <v>11.105307062987499</v>
      </c>
      <c r="AL2891">
        <v>82.320662349395207</v>
      </c>
      <c r="AM2891">
        <v>118.00404160112799</v>
      </c>
      <c r="AN2891">
        <v>0.99999998220263897</v>
      </c>
    </row>
    <row r="2892" spans="1:40" x14ac:dyDescent="0.25">
      <c r="A2892" t="str">
        <f>"20190303162311826"</f>
        <v>20190303162311826</v>
      </c>
      <c r="B2892" t="str">
        <f>"1551601391818393"</f>
        <v>1551601391818393</v>
      </c>
      <c r="C2892" t="s">
        <v>40</v>
      </c>
      <c r="D2892">
        <v>5.6083189999999998</v>
      </c>
      <c r="E2892">
        <v>0.35311619999999999</v>
      </c>
      <c r="F2892" t="s">
        <v>46</v>
      </c>
      <c r="G2892">
        <v>-476.01060000000001</v>
      </c>
      <c r="H2892">
        <v>8.0000409999999994E-2</v>
      </c>
      <c r="I2892">
        <v>221.88990000000001</v>
      </c>
      <c r="J2892">
        <v>-487.7448</v>
      </c>
      <c r="K2892">
        <v>1.134503</v>
      </c>
      <c r="L2892">
        <v>222.2372</v>
      </c>
      <c r="M2892">
        <v>0.6423603</v>
      </c>
      <c r="N2892">
        <v>-1.4944280000000001E-2</v>
      </c>
      <c r="O2892">
        <v>-0.76625730000000003</v>
      </c>
      <c r="P2892">
        <v>0.91628370000000003</v>
      </c>
      <c r="Q2892">
        <v>0.13840169999999999</v>
      </c>
      <c r="R2892">
        <v>-0.37585800000000003</v>
      </c>
      <c r="S2892">
        <v>3.2806090000000001</v>
      </c>
      <c r="T2892">
        <v>-0.29045399999999999</v>
      </c>
      <c r="U2892">
        <v>-0.14662169999999999</v>
      </c>
      <c r="V2892">
        <v>-0.4655879</v>
      </c>
      <c r="W2892">
        <v>0.13580510000000001</v>
      </c>
      <c r="X2892">
        <v>0.87451979999999996</v>
      </c>
      <c r="Y2892">
        <v>-0.73228159999999998</v>
      </c>
      <c r="Z2892">
        <v>8.5132349999999996E-2</v>
      </c>
      <c r="AA2892">
        <v>0.67565980000000003</v>
      </c>
      <c r="AB2892">
        <v>26</v>
      </c>
      <c r="AC2892">
        <v>11.7341999999999</v>
      </c>
      <c r="AD2892">
        <v>-1.05450259</v>
      </c>
      <c r="AE2892">
        <v>-0.34729999999998901</v>
      </c>
      <c r="AF2892">
        <v>-8.6991112440367804</v>
      </c>
      <c r="AG2892">
        <v>-1.05450259</v>
      </c>
      <c r="AH2892">
        <v>7.74210625433519</v>
      </c>
      <c r="AI2892">
        <v>95.1740905005299</v>
      </c>
      <c r="AJ2892">
        <v>138.33129502390599</v>
      </c>
      <c r="AK2892">
        <v>11.693020200181801</v>
      </c>
      <c r="AL2892">
        <v>82.194822507385496</v>
      </c>
      <c r="AM2892">
        <v>118.03050836647699</v>
      </c>
      <c r="AN2892">
        <v>0.99999999920223004</v>
      </c>
    </row>
    <row r="2893" spans="1:40" x14ac:dyDescent="0.25">
      <c r="A2893" t="str">
        <f>"20190303162311847"</f>
        <v>20190303162311847</v>
      </c>
      <c r="B2893" t="str">
        <f>"1551601391836937"</f>
        <v>1551601391836937</v>
      </c>
      <c r="C2893" t="s">
        <v>40</v>
      </c>
      <c r="D2893">
        <v>5.6272359999999999</v>
      </c>
      <c r="E2893">
        <v>0.35602929999999999</v>
      </c>
      <c r="F2893" t="s">
        <v>46</v>
      </c>
      <c r="G2893">
        <v>-475.0455</v>
      </c>
      <c r="H2893">
        <v>8.0000370000000001E-2</v>
      </c>
      <c r="I2893">
        <v>221.82599999999999</v>
      </c>
      <c r="J2893">
        <v>-487.572</v>
      </c>
      <c r="K2893">
        <v>1.1346229999999999</v>
      </c>
      <c r="L2893">
        <v>222.0615</v>
      </c>
      <c r="M2893">
        <v>0.65683970000000003</v>
      </c>
      <c r="N2893">
        <v>-1.502802E-2</v>
      </c>
      <c r="O2893">
        <v>-0.75388060000000001</v>
      </c>
      <c r="P2893">
        <v>0.92263609999999896</v>
      </c>
      <c r="Q2893">
        <v>0.1407389</v>
      </c>
      <c r="R2893">
        <v>-0.35907600000000001</v>
      </c>
      <c r="S2893">
        <v>3.2716980000000002</v>
      </c>
      <c r="T2893">
        <v>-0.27166990000000002</v>
      </c>
      <c r="U2893">
        <v>-0.105957</v>
      </c>
      <c r="V2893">
        <v>-0.46473510000000001</v>
      </c>
      <c r="W2893">
        <v>0.13813039999999999</v>
      </c>
      <c r="X2893">
        <v>0.87460919999999898</v>
      </c>
      <c r="Y2893">
        <v>-0.72826610000000003</v>
      </c>
      <c r="Z2893">
        <v>7.8964629999999994E-2</v>
      </c>
      <c r="AA2893">
        <v>0.68072999999999995</v>
      </c>
      <c r="AB2893">
        <v>26</v>
      </c>
      <c r="AC2893">
        <v>12.526499999999899</v>
      </c>
      <c r="AD2893">
        <v>-1.0546226299999999</v>
      </c>
      <c r="AE2893">
        <v>-0.23550000000000099</v>
      </c>
      <c r="AF2893">
        <v>-9.2244860620275695</v>
      </c>
      <c r="AG2893">
        <v>-1.0546226299999999</v>
      </c>
      <c r="AH2893">
        <v>8.3472440290532592</v>
      </c>
      <c r="AI2893">
        <v>94.845543975311799</v>
      </c>
      <c r="AJ2893">
        <v>137.85803225095401</v>
      </c>
      <c r="AK2893">
        <v>12.485185416357</v>
      </c>
      <c r="AL2893">
        <v>82.060324928007503</v>
      </c>
      <c r="AM2893">
        <v>117.984530237763</v>
      </c>
      <c r="AN2893">
        <v>0.99999998665040402</v>
      </c>
    </row>
    <row r="2894" spans="1:40" x14ac:dyDescent="0.25">
      <c r="A2894" t="str">
        <f>"20190303162311879"</f>
        <v>20190303162311879</v>
      </c>
      <c r="B2894" t="str">
        <f>"1551601391867193"</f>
        <v>1551601391867193</v>
      </c>
      <c r="C2894" t="s">
        <v>40</v>
      </c>
      <c r="D2894">
        <v>5.6191360000000001</v>
      </c>
      <c r="E2894">
        <v>0.37929390000000002</v>
      </c>
      <c r="F2894" t="s">
        <v>46</v>
      </c>
      <c r="G2894">
        <v>-474.16890000000001</v>
      </c>
      <c r="H2894">
        <v>8.0000210000000002E-2</v>
      </c>
      <c r="I2894">
        <v>221.78270000000001</v>
      </c>
      <c r="J2894">
        <v>-487.3098</v>
      </c>
      <c r="K2894">
        <v>1.1347480000000001</v>
      </c>
      <c r="L2894">
        <v>221.80699999999999</v>
      </c>
      <c r="M2894">
        <v>0.67803970000000002</v>
      </c>
      <c r="N2894">
        <v>-1.5138E-2</v>
      </c>
      <c r="O2894">
        <v>-0.73486969999999996</v>
      </c>
      <c r="P2894">
        <v>0.93233900000000003</v>
      </c>
      <c r="Q2894">
        <v>0.14134479999999999</v>
      </c>
      <c r="R2894">
        <v>-0.33281539999999998</v>
      </c>
      <c r="S2894">
        <v>3.2642820000000001</v>
      </c>
      <c r="T2894">
        <v>-0.25685059999999998</v>
      </c>
      <c r="U2894">
        <v>-6.7901610000000001E-2</v>
      </c>
      <c r="V2894">
        <v>-0.46458690000000002</v>
      </c>
      <c r="W2894">
        <v>0.1386947</v>
      </c>
      <c r="X2894">
        <v>0.87459869999999995</v>
      </c>
      <c r="Y2894">
        <v>-0.71709979999999995</v>
      </c>
      <c r="Z2894">
        <v>7.3488040000000004E-2</v>
      </c>
      <c r="AA2894">
        <v>0.69308539999999996</v>
      </c>
      <c r="AB2894">
        <v>26</v>
      </c>
      <c r="AC2894">
        <v>13.140899999999901</v>
      </c>
      <c r="AD2894">
        <v>-1.05474779</v>
      </c>
      <c r="AE2894">
        <v>-2.4300000000010799E-2</v>
      </c>
      <c r="AF2894">
        <v>-9.5797590548382505</v>
      </c>
      <c r="AG2894">
        <v>-1.05474779</v>
      </c>
      <c r="AH2894">
        <v>8.8717750197284992</v>
      </c>
      <c r="AI2894">
        <v>94.618407944514701</v>
      </c>
      <c r="AJ2894">
        <v>137.197357007356</v>
      </c>
      <c r="AK2894">
        <v>13.0993384737529</v>
      </c>
      <c r="AL2894">
        <v>82.027679169796897</v>
      </c>
      <c r="AM2894">
        <v>117.977243717424</v>
      </c>
      <c r="AN2894">
        <v>1.00000004675069</v>
      </c>
    </row>
    <row r="2895" spans="1:40" x14ac:dyDescent="0.25">
      <c r="A2895" t="str">
        <f>"20190303162311901"</f>
        <v>20190303162311901</v>
      </c>
      <c r="B2895" t="str">
        <f>"1551601391897448"</f>
        <v>1551601391897448</v>
      </c>
      <c r="C2895" t="s">
        <v>40</v>
      </c>
      <c r="D2895">
        <v>5.6308559999999996</v>
      </c>
      <c r="E2895">
        <v>0.3832372</v>
      </c>
      <c r="F2895" t="s">
        <v>46</v>
      </c>
      <c r="G2895">
        <v>-473.9907</v>
      </c>
      <c r="H2895">
        <v>8.0000210000000002E-2</v>
      </c>
      <c r="I2895">
        <v>221.18039999999999</v>
      </c>
      <c r="J2895">
        <v>-487.12880000000001</v>
      </c>
      <c r="K2895">
        <v>1.134803</v>
      </c>
      <c r="L2895">
        <v>221.6396</v>
      </c>
      <c r="M2895">
        <v>0.69212479999999998</v>
      </c>
      <c r="N2895">
        <v>-1.5201920000000001E-2</v>
      </c>
      <c r="O2895">
        <v>-0.72161779999999998</v>
      </c>
      <c r="P2895">
        <v>0.93855120000000003</v>
      </c>
      <c r="Q2895">
        <v>0.140317</v>
      </c>
      <c r="R2895">
        <v>-0.31532959999999999</v>
      </c>
      <c r="S2895">
        <v>3.202423</v>
      </c>
      <c r="T2895">
        <v>-0.25360179999999999</v>
      </c>
      <c r="U2895">
        <v>-0.150665299999999</v>
      </c>
      <c r="V2895">
        <v>-0.4641189</v>
      </c>
      <c r="W2895">
        <v>0.13767089999999901</v>
      </c>
      <c r="X2895">
        <v>0.87500879999999903</v>
      </c>
      <c r="Y2895">
        <v>-0.68486519999999995</v>
      </c>
      <c r="Z2895">
        <v>7.188775E-2</v>
      </c>
      <c r="AA2895">
        <v>0.72511510000000001</v>
      </c>
      <c r="AB2895">
        <v>26</v>
      </c>
      <c r="AC2895">
        <v>13.1381</v>
      </c>
      <c r="AD2895">
        <v>-1.0548027900000001</v>
      </c>
      <c r="AE2895">
        <v>-0.45920000000000899</v>
      </c>
      <c r="AF2895">
        <v>-9.1053022334283895</v>
      </c>
      <c r="AG2895">
        <v>-1.0548027900000001</v>
      </c>
      <c r="AH2895">
        <v>9.3653668050601997</v>
      </c>
      <c r="AI2895">
        <v>94.616808493814105</v>
      </c>
      <c r="AJ2895">
        <v>134.19333632169</v>
      </c>
      <c r="AK2895">
        <v>13.104550090758201</v>
      </c>
      <c r="AL2895">
        <v>82.086906522176093</v>
      </c>
      <c r="AM2895">
        <v>117.942206429815</v>
      </c>
      <c r="AN2895">
        <v>1.00000001506072</v>
      </c>
    </row>
    <row r="2896" spans="1:40" x14ac:dyDescent="0.25">
      <c r="A2896" t="str">
        <f>"20190303162311924"</f>
        <v>20190303162311924</v>
      </c>
      <c r="B2896" t="str">
        <f>"1551601391917945"</f>
        <v>1551601391917945</v>
      </c>
      <c r="C2896" t="s">
        <v>40</v>
      </c>
      <c r="D2896">
        <v>5.5807260000000003</v>
      </c>
      <c r="E2896">
        <v>0.38590160000000001</v>
      </c>
      <c r="F2896" t="s">
        <v>46</v>
      </c>
      <c r="G2896">
        <v>-474.07740000000001</v>
      </c>
      <c r="H2896">
        <v>8.000024E-2</v>
      </c>
      <c r="I2896">
        <v>221.14850000000001</v>
      </c>
      <c r="J2896">
        <v>-486.93049999999999</v>
      </c>
      <c r="K2896">
        <v>1.1348480000000001</v>
      </c>
      <c r="L2896">
        <v>221.46369999999999</v>
      </c>
      <c r="M2896">
        <v>0.70704669999999903</v>
      </c>
      <c r="N2896">
        <v>-1.526192E-2</v>
      </c>
      <c r="O2896">
        <v>-0.70700200000000002</v>
      </c>
      <c r="P2896">
        <v>0.94383600000000001</v>
      </c>
      <c r="Q2896">
        <v>0.139546</v>
      </c>
      <c r="R2896">
        <v>-0.29950080000000001</v>
      </c>
      <c r="S2896">
        <v>3.1946110000000001</v>
      </c>
      <c r="T2896">
        <v>-0.25818590000000002</v>
      </c>
      <c r="U2896">
        <v>-0.120224</v>
      </c>
      <c r="V2896">
        <v>-0.46062009999999998</v>
      </c>
      <c r="W2896">
        <v>0.13704269999999999</v>
      </c>
      <c r="X2896">
        <v>0.87695409999999996</v>
      </c>
      <c r="Y2896">
        <v>-0.67634859999999997</v>
      </c>
      <c r="Z2896">
        <v>7.2664370000000006E-2</v>
      </c>
      <c r="AA2896">
        <v>0.73298869999999905</v>
      </c>
      <c r="AB2896">
        <v>26</v>
      </c>
      <c r="AC2896">
        <v>12.8530999999999</v>
      </c>
      <c r="AD2896">
        <v>-1.0548477599999999</v>
      </c>
      <c r="AE2896">
        <v>-0.315199999999975</v>
      </c>
      <c r="AF2896">
        <v>-8.8060629981263201</v>
      </c>
      <c r="AG2896">
        <v>-1.0548477599999999</v>
      </c>
      <c r="AH2896">
        <v>9.24941336324747</v>
      </c>
      <c r="AI2896">
        <v>94.721748563781702</v>
      </c>
      <c r="AJ2896">
        <v>133.593390682989</v>
      </c>
      <c r="AK2896">
        <v>12.814487773140501</v>
      </c>
      <c r="AL2896">
        <v>82.1232443168809</v>
      </c>
      <c r="AM2896">
        <v>117.710698514065</v>
      </c>
      <c r="AN2896">
        <v>1.00000003582705</v>
      </c>
    </row>
    <row r="2897" spans="1:40" x14ac:dyDescent="0.25">
      <c r="A2897" t="str">
        <f>"20190303162311947"</f>
        <v>20190303162311947</v>
      </c>
      <c r="B2897" t="str">
        <f>"1551601391937465"</f>
        <v>1551601391937465</v>
      </c>
      <c r="C2897" t="s">
        <v>40</v>
      </c>
      <c r="D2897">
        <v>5.6491499999999997</v>
      </c>
      <c r="E2897">
        <v>0.38848559999999999</v>
      </c>
      <c r="F2897" t="s">
        <v>46</v>
      </c>
      <c r="G2897">
        <v>-473.82170000000002</v>
      </c>
      <c r="H2897">
        <v>8.0000180000000004E-2</v>
      </c>
      <c r="I2897">
        <v>221.10910000000001</v>
      </c>
      <c r="J2897">
        <v>-486.73419999999999</v>
      </c>
      <c r="K2897">
        <v>1.134881</v>
      </c>
      <c r="L2897">
        <v>221.2971</v>
      </c>
      <c r="M2897">
        <v>0.72129900000000002</v>
      </c>
      <c r="N2897">
        <v>-1.531212E-2</v>
      </c>
      <c r="O2897">
        <v>-0.69245459999999903</v>
      </c>
      <c r="P2897">
        <v>0.94811049999999997</v>
      </c>
      <c r="Q2897">
        <v>0.13913519999999999</v>
      </c>
      <c r="R2897">
        <v>-0.2858813</v>
      </c>
      <c r="S2897">
        <v>3.1890559999999999</v>
      </c>
      <c r="T2897">
        <v>-0.25662000000000001</v>
      </c>
      <c r="U2897">
        <v>-8.627319E-2</v>
      </c>
      <c r="V2897">
        <v>-0.45540920000000001</v>
      </c>
      <c r="W2897">
        <v>0.13685799999999901</v>
      </c>
      <c r="X2897">
        <v>0.87970020000000004</v>
      </c>
      <c r="Y2897">
        <v>-0.66917990000000005</v>
      </c>
      <c r="Z2897">
        <v>7.1529280000000001E-2</v>
      </c>
      <c r="AA2897">
        <v>0.73964980000000002</v>
      </c>
      <c r="AB2897">
        <v>26</v>
      </c>
      <c r="AC2897">
        <v>12.9124999999999</v>
      </c>
      <c r="AD2897">
        <v>-1.0548808199999999</v>
      </c>
      <c r="AE2897">
        <v>-0.18799999999998801</v>
      </c>
      <c r="AF2897">
        <v>-8.7483736707099204</v>
      </c>
      <c r="AG2897">
        <v>-1.0548808199999999</v>
      </c>
      <c r="AH2897">
        <v>9.3824564995953992</v>
      </c>
      <c r="AI2897">
        <v>94.700909346188496</v>
      </c>
      <c r="AJ2897">
        <v>132.99703219281199</v>
      </c>
      <c r="AK2897">
        <v>12.8715696553906</v>
      </c>
      <c r="AL2897">
        <v>82.133927591334199</v>
      </c>
      <c r="AM2897">
        <v>117.37000715160301</v>
      </c>
      <c r="AN2897">
        <v>1.00000004674433</v>
      </c>
    </row>
    <row r="2898" spans="1:40" x14ac:dyDescent="0.25">
      <c r="A2898" t="str">
        <f>"20190303162311969"</f>
        <v>20190303162311969</v>
      </c>
      <c r="B2898" t="str">
        <f>"1551601391956985"</f>
        <v>1551601391956985</v>
      </c>
      <c r="C2898" t="s">
        <v>40</v>
      </c>
      <c r="D2898">
        <v>5.6891150000000001</v>
      </c>
      <c r="E2898">
        <v>0.3897043</v>
      </c>
      <c r="F2898" t="s">
        <v>46</v>
      </c>
      <c r="G2898">
        <v>-473.66660000000002</v>
      </c>
      <c r="H2898">
        <v>8.0000160000000001E-2</v>
      </c>
      <c r="I2898">
        <v>221.04640000000001</v>
      </c>
      <c r="J2898">
        <v>-486.53140000000002</v>
      </c>
      <c r="K2898">
        <v>1.1348929999999999</v>
      </c>
      <c r="L2898">
        <v>221.13210000000001</v>
      </c>
      <c r="M2898">
        <v>0.73550170000000004</v>
      </c>
      <c r="N2898">
        <v>-1.535606E-2</v>
      </c>
      <c r="O2898">
        <v>-0.67734899999999998</v>
      </c>
      <c r="P2898">
        <v>0.95205470000000003</v>
      </c>
      <c r="Q2898">
        <v>0.13838520000000001</v>
      </c>
      <c r="R2898">
        <v>-0.2728392</v>
      </c>
      <c r="S2898">
        <v>3.1834410000000002</v>
      </c>
      <c r="T2898">
        <v>-0.2569823</v>
      </c>
      <c r="U2898">
        <v>-6.1065670000000002E-2</v>
      </c>
      <c r="V2898">
        <v>-0.44927980000000001</v>
      </c>
      <c r="W2898">
        <v>0.13638039999999901</v>
      </c>
      <c r="X2898">
        <v>0.88292019999999904</v>
      </c>
      <c r="Y2898">
        <v>-0.65960819999999998</v>
      </c>
      <c r="Z2898">
        <v>7.0792999999999995E-2</v>
      </c>
      <c r="AA2898">
        <v>0.74826819999999905</v>
      </c>
      <c r="AB2898">
        <v>26</v>
      </c>
      <c r="AC2898">
        <v>12.864800000000001</v>
      </c>
      <c r="AD2898">
        <v>-1.0548928399999999</v>
      </c>
      <c r="AE2898">
        <v>-8.5700000000002705E-2</v>
      </c>
      <c r="AF2898">
        <v>-8.5941637800797395</v>
      </c>
      <c r="AG2898">
        <v>-1.0548928399999999</v>
      </c>
      <c r="AH2898">
        <v>9.45766464865026</v>
      </c>
      <c r="AI2898">
        <v>94.718945185989</v>
      </c>
      <c r="AJ2898">
        <v>132.26137039058401</v>
      </c>
      <c r="AK2898">
        <v>12.8226311882174</v>
      </c>
      <c r="AL2898">
        <v>82.161550818792605</v>
      </c>
      <c r="AM2898">
        <v>116.969569507735</v>
      </c>
      <c r="AN2898">
        <v>1.0000000158801099</v>
      </c>
    </row>
    <row r="2899" spans="1:40" x14ac:dyDescent="0.25">
      <c r="A2899" t="str">
        <f>"20190303162311993"</f>
        <v>20190303162311993</v>
      </c>
      <c r="B2899" t="str">
        <f>"1551601391987241"</f>
        <v>1551601391987241</v>
      </c>
      <c r="C2899" t="s">
        <v>40</v>
      </c>
      <c r="D2899">
        <v>5.7865669999999998</v>
      </c>
      <c r="E2899">
        <v>0.40777930000000001</v>
      </c>
      <c r="F2899" t="s">
        <v>46</v>
      </c>
      <c r="G2899">
        <v>-473.68509999999998</v>
      </c>
      <c r="H2899">
        <v>8.0000160000000001E-2</v>
      </c>
      <c r="I2899">
        <v>221.01669999999999</v>
      </c>
      <c r="J2899">
        <v>-486.32839999999999</v>
      </c>
      <c r="K2899">
        <v>1.1349039999999999</v>
      </c>
      <c r="L2899">
        <v>220.9736</v>
      </c>
      <c r="M2899">
        <v>0.74921709999999997</v>
      </c>
      <c r="N2899">
        <v>-1.539307E-2</v>
      </c>
      <c r="O2899">
        <v>-0.6621456</v>
      </c>
      <c r="P2899">
        <v>0.9560708</v>
      </c>
      <c r="Q2899">
        <v>0.13693830000000001</v>
      </c>
      <c r="R2899">
        <v>-0.25918419999999998</v>
      </c>
      <c r="S2899">
        <v>3.180847</v>
      </c>
      <c r="T2899">
        <v>-0.26119949999999997</v>
      </c>
      <c r="U2899">
        <v>-2.8579710000000001E-2</v>
      </c>
      <c r="V2899">
        <v>-0.44391409999999998</v>
      </c>
      <c r="W2899">
        <v>0.1351781</v>
      </c>
      <c r="X2899">
        <v>0.8858144</v>
      </c>
      <c r="Y2899">
        <v>-0.65177229999999997</v>
      </c>
      <c r="Z2899">
        <v>7.1172340000000001E-2</v>
      </c>
      <c r="AA2899">
        <v>0.75506779999999996</v>
      </c>
      <c r="AB2899">
        <v>26</v>
      </c>
      <c r="AC2899">
        <v>12.6433</v>
      </c>
      <c r="AD2899">
        <v>-1.0549038399999999</v>
      </c>
      <c r="AE2899">
        <v>4.3099999999981202E-2</v>
      </c>
      <c r="AF2899">
        <v>-8.3468860818890196</v>
      </c>
      <c r="AG2899">
        <v>-1.0549038399999999</v>
      </c>
      <c r="AH2899">
        <v>9.3798596859905601</v>
      </c>
      <c r="AI2899">
        <v>94.802491925853701</v>
      </c>
      <c r="AJ2899">
        <v>131.66502951915999</v>
      </c>
      <c r="AK2899">
        <v>12.6002022644301</v>
      </c>
      <c r="AL2899">
        <v>82.231081321634406</v>
      </c>
      <c r="AM2899">
        <v>116.617129703297</v>
      </c>
      <c r="AN2899">
        <v>0.99999999907288994</v>
      </c>
    </row>
    <row r="2900" spans="1:40" x14ac:dyDescent="0.25">
      <c r="A2900" t="str">
        <f>"20190303162312015"</f>
        <v>20190303162312015</v>
      </c>
      <c r="B2900" t="str">
        <f>"1551601392007737"</f>
        <v>1551601392007737</v>
      </c>
      <c r="C2900" t="s">
        <v>40</v>
      </c>
      <c r="D2900">
        <v>5.8669699999999896</v>
      </c>
      <c r="E2900">
        <v>0.42877100000000001</v>
      </c>
      <c r="F2900" t="s">
        <v>46</v>
      </c>
      <c r="G2900">
        <v>-471.04939999999999</v>
      </c>
      <c r="H2900">
        <v>7.9999639999999997E-2</v>
      </c>
      <c r="I2900">
        <v>220.3938</v>
      </c>
      <c r="J2900">
        <v>-486.12240000000003</v>
      </c>
      <c r="K2900">
        <v>1.134925</v>
      </c>
      <c r="L2900">
        <v>220.8194</v>
      </c>
      <c r="M2900">
        <v>0.76262240000000003</v>
      </c>
      <c r="N2900">
        <v>-1.5424510000000001E-2</v>
      </c>
      <c r="O2900">
        <v>-0.64666029999999997</v>
      </c>
      <c r="P2900">
        <v>0.95929679999999995</v>
      </c>
      <c r="Q2900">
        <v>0.13812859999999999</v>
      </c>
      <c r="R2900">
        <v>-0.2463137</v>
      </c>
      <c r="S2900">
        <v>3.1365970000000001</v>
      </c>
      <c r="T2900">
        <v>-0.21655959999999999</v>
      </c>
      <c r="U2900">
        <v>-0.1190186</v>
      </c>
      <c r="V2900">
        <v>-0.43758750000000002</v>
      </c>
      <c r="W2900">
        <v>0.13665160000000001</v>
      </c>
      <c r="X2900">
        <v>0.88873139999999995</v>
      </c>
      <c r="Y2900">
        <v>-0.61490119999999904</v>
      </c>
      <c r="Z2900">
        <v>5.6724360000000001E-2</v>
      </c>
      <c r="AA2900">
        <v>0.78656139999999997</v>
      </c>
      <c r="AB2900">
        <v>26</v>
      </c>
      <c r="AC2900">
        <v>15.073</v>
      </c>
      <c r="AD2900">
        <v>-1.0549253599999999</v>
      </c>
      <c r="AE2900">
        <v>-0.42560000000000198</v>
      </c>
      <c r="AF2900">
        <v>-9.3777595349600098</v>
      </c>
      <c r="AG2900">
        <v>-1.0549253599999999</v>
      </c>
      <c r="AH2900">
        <v>11.7142899847811</v>
      </c>
      <c r="AI2900">
        <v>94.021407373469899</v>
      </c>
      <c r="AJ2900">
        <v>128.678674425216</v>
      </c>
      <c r="AK2900">
        <v>15.042600548384099</v>
      </c>
      <c r="AL2900">
        <v>82.145865154697105</v>
      </c>
      <c r="AM2900">
        <v>116.214397827155</v>
      </c>
      <c r="AN2900">
        <v>0.99999999064238498</v>
      </c>
    </row>
    <row r="2901" spans="1:40" x14ac:dyDescent="0.25">
      <c r="A2901" t="str">
        <f>"20190303162312037"</f>
        <v>20190303162312037</v>
      </c>
      <c r="B2901" t="str">
        <f>"1551601392027257"</f>
        <v>1551601392027257</v>
      </c>
      <c r="C2901" t="s">
        <v>40</v>
      </c>
      <c r="D2901">
        <v>5.9217529999999998</v>
      </c>
      <c r="E2901">
        <v>0.44666299999999998</v>
      </c>
      <c r="F2901" t="s">
        <v>42</v>
      </c>
      <c r="G2901">
        <v>-485.15010000000001</v>
      </c>
      <c r="H2901">
        <v>1.0783849999999999</v>
      </c>
      <c r="I2901">
        <v>220.74510000000001</v>
      </c>
      <c r="J2901">
        <v>-485.91059999999999</v>
      </c>
      <c r="K2901">
        <v>1.1349469999999999</v>
      </c>
      <c r="L2901">
        <v>220.66739999999999</v>
      </c>
      <c r="M2901">
        <v>0.77589719999999995</v>
      </c>
      <c r="N2901">
        <v>-1.5451289999999999E-2</v>
      </c>
      <c r="O2901">
        <v>-0.63067019999999996</v>
      </c>
      <c r="P2901">
        <v>0.96160950000000001</v>
      </c>
      <c r="Q2901">
        <v>0.1401068</v>
      </c>
      <c r="R2901">
        <v>-0.2359608</v>
      </c>
      <c r="S2901">
        <v>3.092651</v>
      </c>
      <c r="T2901">
        <v>-0.17972109999999999</v>
      </c>
      <c r="U2901">
        <v>-0.23536679999999999</v>
      </c>
      <c r="V2901">
        <v>-0.4285484</v>
      </c>
      <c r="W2901">
        <v>0.1390267</v>
      </c>
      <c r="X2901">
        <v>0.89275859999999996</v>
      </c>
      <c r="Y2901">
        <v>-0.5684456</v>
      </c>
      <c r="Z2901">
        <v>4.4531019999999998E-2</v>
      </c>
      <c r="AA2901">
        <v>0.82151479999999999</v>
      </c>
      <c r="AB2901">
        <v>26</v>
      </c>
      <c r="AC2901">
        <v>0.76049999999997897</v>
      </c>
      <c r="AD2901">
        <v>-5.6562000000000001E-2</v>
      </c>
      <c r="AE2901">
        <v>7.7700000000021405E-2</v>
      </c>
      <c r="AF2901">
        <v>-0.53703634871648698</v>
      </c>
      <c r="AG2901">
        <v>-5.6562000000000001E-2</v>
      </c>
      <c r="AH2901">
        <v>0.53818504456656802</v>
      </c>
      <c r="AI2901">
        <v>94.254660861944402</v>
      </c>
      <c r="AJ2901">
        <v>134.93878897915701</v>
      </c>
      <c r="AK2901">
        <v>0.76239782389632804</v>
      </c>
      <c r="AL2901">
        <v>82.008470795284794</v>
      </c>
      <c r="AM2901">
        <v>115.642271852053</v>
      </c>
      <c r="AN2901">
        <v>1.0000000361646999</v>
      </c>
    </row>
    <row r="2902" spans="1:40" x14ac:dyDescent="0.25">
      <c r="A2902" t="str">
        <f>"20190303162312058"</f>
        <v>20190303162312058</v>
      </c>
      <c r="B2902" t="str">
        <f>"1551601392047753"</f>
        <v>1551601392047753</v>
      </c>
      <c r="C2902" t="s">
        <v>40</v>
      </c>
      <c r="D2902">
        <v>5.6318960000000002</v>
      </c>
      <c r="E2902">
        <v>0.45182109999999898</v>
      </c>
      <c r="F2902" t="s">
        <v>42</v>
      </c>
      <c r="G2902">
        <v>-484.99639999999999</v>
      </c>
      <c r="H2902">
        <v>1.0674429999999999</v>
      </c>
      <c r="I2902">
        <v>220.5652</v>
      </c>
      <c r="J2902">
        <v>-485.72059999999999</v>
      </c>
      <c r="K2902">
        <v>1.1349560000000001</v>
      </c>
      <c r="L2902">
        <v>220.5368</v>
      </c>
      <c r="M2902">
        <v>0.78736130000000004</v>
      </c>
      <c r="N2902">
        <v>-1.5470920000000001E-2</v>
      </c>
      <c r="O2902">
        <v>-0.61629780000000001</v>
      </c>
      <c r="P2902">
        <v>0.96250420000000003</v>
      </c>
      <c r="Q2902">
        <v>0.14162449999999999</v>
      </c>
      <c r="R2902">
        <v>-0.23136190000000001</v>
      </c>
      <c r="S2902">
        <v>3.0685419999999999</v>
      </c>
      <c r="T2902">
        <v>-0.22658320000000001</v>
      </c>
      <c r="U2902">
        <v>-0.343277</v>
      </c>
      <c r="V2902">
        <v>-0.4162592</v>
      </c>
      <c r="W2902">
        <v>0.141074799999999</v>
      </c>
      <c r="X2902">
        <v>0.89823500000000001</v>
      </c>
      <c r="Y2902">
        <v>-0.5225417</v>
      </c>
      <c r="Z2902">
        <v>5.5357780000000002E-2</v>
      </c>
      <c r="AA2902">
        <v>0.85081469999999904</v>
      </c>
      <c r="AB2902">
        <v>26</v>
      </c>
      <c r="AC2902">
        <v>0.72419999999999596</v>
      </c>
      <c r="AD2902">
        <v>-6.7512999999999906E-2</v>
      </c>
      <c r="AE2902">
        <v>2.84000000000048E-2</v>
      </c>
      <c r="AF2902">
        <v>-0.464707533117456</v>
      </c>
      <c r="AG2902">
        <v>-6.7512999999999906E-2</v>
      </c>
      <c r="AH2902">
        <v>0.54801495905851805</v>
      </c>
      <c r="AI2902">
        <v>95.367807233178993</v>
      </c>
      <c r="AJ2902">
        <v>130.297387960989</v>
      </c>
      <c r="AK2902">
        <v>0.72168656067369097</v>
      </c>
      <c r="AL2902">
        <v>81.889954684293201</v>
      </c>
      <c r="AM2902">
        <v>114.86390430733699</v>
      </c>
      <c r="AN2902">
        <v>0.99999996800233903</v>
      </c>
    </row>
    <row r="2903" spans="1:40" x14ac:dyDescent="0.25">
      <c r="A2903" t="str">
        <f>"20190303162312103"</f>
        <v>20190303162312103</v>
      </c>
      <c r="B2903" t="str">
        <f>"1551601392097529"</f>
        <v>1551601392097529</v>
      </c>
      <c r="C2903" t="s">
        <v>40</v>
      </c>
      <c r="D2903">
        <v>5.8979609999999996</v>
      </c>
      <c r="E2903">
        <v>0.46013759999999998</v>
      </c>
      <c r="F2903" t="s">
        <v>42</v>
      </c>
      <c r="G2903">
        <v>-484.81880000000001</v>
      </c>
      <c r="H2903">
        <v>1.064044</v>
      </c>
      <c r="I2903">
        <v>220.42789999999999</v>
      </c>
      <c r="J2903">
        <v>-485.2869</v>
      </c>
      <c r="K2903">
        <v>1.1349499999999999</v>
      </c>
      <c r="L2903">
        <v>220.2569</v>
      </c>
      <c r="M2903">
        <v>0.81207439999999997</v>
      </c>
      <c r="N2903">
        <v>-1.5502780000000001E-2</v>
      </c>
      <c r="O2903">
        <v>-0.58334790000000003</v>
      </c>
      <c r="P2903">
        <v>0.96589009999999997</v>
      </c>
      <c r="Q2903">
        <v>0.14239160000000001</v>
      </c>
      <c r="R2903">
        <v>-0.21628929999999999</v>
      </c>
      <c r="S2903">
        <v>3.0634459999999999</v>
      </c>
      <c r="T2903">
        <v>-0.24084439999999999</v>
      </c>
      <c r="U2903">
        <v>-0.3695831</v>
      </c>
      <c r="V2903">
        <v>-0.39308359999999998</v>
      </c>
      <c r="W2903">
        <v>0.14284859999999999</v>
      </c>
      <c r="X2903">
        <v>0.90833889999999995</v>
      </c>
      <c r="Y2903">
        <v>-0.47931020000000002</v>
      </c>
      <c r="Z2903">
        <v>5.5804819999999998E-2</v>
      </c>
      <c r="AA2903">
        <v>0.87586960000000003</v>
      </c>
      <c r="AB2903">
        <v>26</v>
      </c>
      <c r="AC2903">
        <v>0.46809999999999202</v>
      </c>
      <c r="AD2903">
        <v>-7.09059999999999E-2</v>
      </c>
      <c r="AE2903">
        <v>0.17099999999999199</v>
      </c>
      <c r="AF2903">
        <v>-0.40380494941317202</v>
      </c>
      <c r="AG2903">
        <v>-7.09059999999999E-2</v>
      </c>
      <c r="AH2903">
        <v>0.27484931607264401</v>
      </c>
      <c r="AI2903">
        <v>98.259370750276801</v>
      </c>
      <c r="AJ2903">
        <v>145.758889720681</v>
      </c>
      <c r="AK2903">
        <v>0.49358711951607298</v>
      </c>
      <c r="AL2903">
        <v>81.787283824939607</v>
      </c>
      <c r="AM2903">
        <v>113.400544975099</v>
      </c>
      <c r="AN2903">
        <v>0.99999999818206498</v>
      </c>
    </row>
    <row r="2904" spans="1:40" x14ac:dyDescent="0.25">
      <c r="A2904" t="str">
        <f>"20190303162312126"</f>
        <v>20190303162312126</v>
      </c>
      <c r="B2904" t="str">
        <f>"1551601392117049"</f>
        <v>1551601392117049</v>
      </c>
      <c r="C2904" t="s">
        <v>40</v>
      </c>
      <c r="D2904">
        <v>5.3728540000000002</v>
      </c>
      <c r="E2904">
        <v>0.46236080000000002</v>
      </c>
      <c r="F2904" t="s">
        <v>42</v>
      </c>
      <c r="G2904">
        <v>-484.23239999999998</v>
      </c>
      <c r="H2904">
        <v>1.0414049999999999</v>
      </c>
      <c r="I2904">
        <v>220.1241</v>
      </c>
      <c r="J2904">
        <v>-485.05709999999999</v>
      </c>
      <c r="K2904">
        <v>1.1349309999999999</v>
      </c>
      <c r="L2904">
        <v>220.11920000000001</v>
      </c>
      <c r="M2904">
        <v>0.8243414</v>
      </c>
      <c r="N2904">
        <v>-1.5510680000000001E-2</v>
      </c>
      <c r="O2904">
        <v>-0.56588059999999996</v>
      </c>
      <c r="P2904">
        <v>0.96822359999999996</v>
      </c>
      <c r="Q2904">
        <v>0.1415942</v>
      </c>
      <c r="R2904">
        <v>-0.20614199999999999</v>
      </c>
      <c r="S2904">
        <v>3.0596920000000001</v>
      </c>
      <c r="T2904">
        <v>-0.27143610000000001</v>
      </c>
      <c r="U2904">
        <v>-0.38517760000000001</v>
      </c>
      <c r="V2904">
        <v>-0.38321680000000002</v>
      </c>
      <c r="W2904">
        <v>0.14248569999999999</v>
      </c>
      <c r="X2904">
        <v>0.91260220000000003</v>
      </c>
      <c r="Y2904">
        <v>-0.45528220000000003</v>
      </c>
      <c r="Z2904">
        <v>6.1473590000000002E-2</v>
      </c>
      <c r="AA2904">
        <v>0.88822250000000003</v>
      </c>
      <c r="AB2904">
        <v>26</v>
      </c>
      <c r="AC2904">
        <v>0.82470000000000698</v>
      </c>
      <c r="AD2904">
        <v>-9.3525999999999998E-2</v>
      </c>
      <c r="AE2904">
        <v>4.8999999999921303E-3</v>
      </c>
      <c r="AF2904">
        <v>-0.46480004052106799</v>
      </c>
      <c r="AG2904">
        <v>-9.3525999999999998E-2</v>
      </c>
      <c r="AH2904">
        <v>0.66854512050681603</v>
      </c>
      <c r="AI2904">
        <v>96.552421905382801</v>
      </c>
      <c r="AJ2904">
        <v>124.80861395341</v>
      </c>
      <c r="AK2904">
        <v>0.81959671088765296</v>
      </c>
      <c r="AL2904">
        <v>81.808291642310607</v>
      </c>
      <c r="AM2904">
        <v>112.778342975431</v>
      </c>
      <c r="AN2904">
        <v>1.0000000329757801</v>
      </c>
    </row>
    <row r="2905" spans="1:40" x14ac:dyDescent="0.25">
      <c r="A2905" t="str">
        <f>"20190303162312149"</f>
        <v>20190303162312149</v>
      </c>
      <c r="B2905" t="str">
        <f>"1551601392137545"</f>
        <v>1551601392137545</v>
      </c>
      <c r="C2905" t="s">
        <v>40</v>
      </c>
      <c r="D2905">
        <v>5.6764210000000004</v>
      </c>
      <c r="E2905">
        <v>0.4637908</v>
      </c>
      <c r="F2905" t="s">
        <v>42</v>
      </c>
      <c r="G2905">
        <v>-484.04649999999998</v>
      </c>
      <c r="H2905">
        <v>1.04213</v>
      </c>
      <c r="I2905">
        <v>219.99760000000001</v>
      </c>
      <c r="J2905">
        <v>-484.83539999999999</v>
      </c>
      <c r="K2905">
        <v>1.1349039999999999</v>
      </c>
      <c r="L2905">
        <v>219.9923</v>
      </c>
      <c r="M2905">
        <v>0.83566929999999995</v>
      </c>
      <c r="N2905">
        <v>-1.551363E-2</v>
      </c>
      <c r="O2905">
        <v>-0.54901390000000005</v>
      </c>
      <c r="P2905">
        <v>0.96958920000000004</v>
      </c>
      <c r="Q2905">
        <v>0.14186989999999999</v>
      </c>
      <c r="R2905">
        <v>-0.1994233</v>
      </c>
      <c r="S2905">
        <v>3.06134</v>
      </c>
      <c r="T2905">
        <v>-0.28106399999999998</v>
      </c>
      <c r="U2905">
        <v>-0.36769099999999999</v>
      </c>
      <c r="V2905">
        <v>-0.37092550000000002</v>
      </c>
      <c r="W2905">
        <v>0.1432918</v>
      </c>
      <c r="X2905">
        <v>0.9175411</v>
      </c>
      <c r="Y2905">
        <v>-0.44206820000000002</v>
      </c>
      <c r="Z2905">
        <v>6.2180190000000003E-2</v>
      </c>
      <c r="AA2905">
        <v>0.89482359999999905</v>
      </c>
      <c r="AB2905">
        <v>26</v>
      </c>
      <c r="AC2905">
        <v>0.78890000000001204</v>
      </c>
      <c r="AD2905">
        <v>-9.2774000000000106E-2</v>
      </c>
      <c r="AE2905">
        <v>5.3000000000054098E-3</v>
      </c>
      <c r="AF2905">
        <v>-0.43162976593955399</v>
      </c>
      <c r="AG2905">
        <v>-9.2774000000000106E-2</v>
      </c>
      <c r="AH2905">
        <v>0.64747480318481698</v>
      </c>
      <c r="AI2905">
        <v>96.798869598116298</v>
      </c>
      <c r="AJ2905">
        <v>123.68883594554801</v>
      </c>
      <c r="AK2905">
        <v>0.78366758940270798</v>
      </c>
      <c r="AL2905">
        <v>81.761626137851195</v>
      </c>
      <c r="AM2905">
        <v>112.011531694243</v>
      </c>
      <c r="AN2905">
        <v>0.99999996834334903</v>
      </c>
    </row>
    <row r="2906" spans="1:40" x14ac:dyDescent="0.25">
      <c r="A2906" t="str">
        <f>"20190303162312172"</f>
        <v>20190303162312172</v>
      </c>
      <c r="B2906" t="str">
        <f>"1551601392157065"</f>
        <v>1551601392157065</v>
      </c>
      <c r="C2906" t="s">
        <v>40</v>
      </c>
      <c r="D2906">
        <v>5.9766409999999999</v>
      </c>
      <c r="E2906">
        <v>0.46424660000000001</v>
      </c>
      <c r="F2906" t="s">
        <v>42</v>
      </c>
      <c r="G2906">
        <v>-483.8553</v>
      </c>
      <c r="H2906">
        <v>1.0426949999999999</v>
      </c>
      <c r="I2906">
        <v>219.87819999999999</v>
      </c>
      <c r="J2906">
        <v>-484.60410000000002</v>
      </c>
      <c r="K2906">
        <v>1.1348670000000001</v>
      </c>
      <c r="L2906">
        <v>219.86600000000001</v>
      </c>
      <c r="M2906">
        <v>0.84697869999999997</v>
      </c>
      <c r="N2906">
        <v>-1.5512E-2</v>
      </c>
      <c r="O2906">
        <v>-0.53140080000000001</v>
      </c>
      <c r="P2906">
        <v>0.97012600000000004</v>
      </c>
      <c r="Q2906">
        <v>0.14188239999999999</v>
      </c>
      <c r="R2906">
        <v>-0.19678709999999999</v>
      </c>
      <c r="S2906">
        <v>3.0628660000000001</v>
      </c>
      <c r="T2906">
        <v>-0.2881515</v>
      </c>
      <c r="U2906">
        <v>-0.35679630000000001</v>
      </c>
      <c r="V2906">
        <v>-0.35411039999999999</v>
      </c>
      <c r="W2906">
        <v>0.14402039999999999</v>
      </c>
      <c r="X2906">
        <v>0.92404759999999997</v>
      </c>
      <c r="Y2906">
        <v>-0.4263728</v>
      </c>
      <c r="Z2906">
        <v>6.1947870000000002E-2</v>
      </c>
      <c r="AA2906">
        <v>0.9024238</v>
      </c>
      <c r="AB2906">
        <v>26</v>
      </c>
      <c r="AC2906">
        <v>0.74880000000001701</v>
      </c>
      <c r="AD2906">
        <v>-9.2171999999999907E-2</v>
      </c>
      <c r="AE2906">
        <v>1.2200000000007E-2</v>
      </c>
      <c r="AF2906">
        <v>-0.40220260700925797</v>
      </c>
      <c r="AG2906">
        <v>-9.2171999999999907E-2</v>
      </c>
      <c r="AH2906">
        <v>0.61844192046994695</v>
      </c>
      <c r="AI2906">
        <v>97.1216856645962</v>
      </c>
      <c r="AJ2906">
        <v>123.037891325064</v>
      </c>
      <c r="AK2906">
        <v>0.74346016952060101</v>
      </c>
      <c r="AL2906">
        <v>81.719443231308901</v>
      </c>
      <c r="AM2906">
        <v>110.967662870664</v>
      </c>
      <c r="AN2906">
        <v>1.0000000090350301</v>
      </c>
    </row>
    <row r="2907" spans="1:40" x14ac:dyDescent="0.25">
      <c r="A2907" t="str">
        <f>"20190303162312192"</f>
        <v>20190303162312192</v>
      </c>
      <c r="B2907" t="str">
        <f>"1551601392177561"</f>
        <v>1551601392177561</v>
      </c>
      <c r="C2907" t="s">
        <v>40</v>
      </c>
      <c r="D2907">
        <v>5.9829470000000002</v>
      </c>
      <c r="E2907">
        <v>0.46501100000000001</v>
      </c>
      <c r="F2907" t="s">
        <v>46</v>
      </c>
      <c r="G2907">
        <v>-472.7321</v>
      </c>
      <c r="H2907" s="1">
        <v>4.9169310000000001E-6</v>
      </c>
      <c r="I2907">
        <v>218.5068</v>
      </c>
      <c r="J2907">
        <v>-484.40570000000002</v>
      </c>
      <c r="K2907">
        <v>1.1348240000000001</v>
      </c>
      <c r="L2907">
        <v>219.76259999999999</v>
      </c>
      <c r="M2907">
        <v>0.8562554</v>
      </c>
      <c r="N2907">
        <v>-1.550608E-2</v>
      </c>
      <c r="O2907">
        <v>-0.51632</v>
      </c>
      <c r="P2907">
        <v>0.9700744</v>
      </c>
      <c r="Q2907">
        <v>0.141877799999999</v>
      </c>
      <c r="R2907">
        <v>-0.19704430000000001</v>
      </c>
      <c r="S2907">
        <v>3.0640869999999998</v>
      </c>
      <c r="T2907">
        <v>-0.29290139999999998</v>
      </c>
      <c r="U2907">
        <v>-0.35081479999999998</v>
      </c>
      <c r="V2907">
        <v>-0.33740389999999998</v>
      </c>
      <c r="W2907">
        <v>0.14471970000000001</v>
      </c>
      <c r="X2907">
        <v>0.93016929999999998</v>
      </c>
      <c r="Y2907">
        <v>-0.41208929999999999</v>
      </c>
      <c r="Z2907">
        <v>6.129689E-2</v>
      </c>
      <c r="AA2907">
        <v>0.90907930000000003</v>
      </c>
      <c r="AB2907">
        <v>26</v>
      </c>
      <c r="AC2907">
        <v>11.6736</v>
      </c>
      <c r="AD2907">
        <v>-1.1348190830689999</v>
      </c>
      <c r="AE2907">
        <v>-1.25579999999999</v>
      </c>
      <c r="AF2907">
        <v>-4.90678295623667</v>
      </c>
      <c r="AG2907">
        <v>-1.1348190830689999</v>
      </c>
      <c r="AH2907">
        <v>10.546727993726901</v>
      </c>
      <c r="AI2907">
        <v>95.572013753598199</v>
      </c>
      <c r="AJ2907">
        <v>114.949836621904</v>
      </c>
      <c r="AK2907">
        <v>11.687506350996101</v>
      </c>
      <c r="AL2907">
        <v>81.678952482738694</v>
      </c>
      <c r="AM2907">
        <v>109.937422688696</v>
      </c>
      <c r="AN2907">
        <v>1.00000005498289</v>
      </c>
    </row>
    <row r="2908" spans="1:40" x14ac:dyDescent="0.25">
      <c r="A2908" t="str">
        <f>"20190303162312216"</f>
        <v>20190303162312216</v>
      </c>
      <c r="B2908" t="str">
        <f>"1551601392207817"</f>
        <v>1551601392207817</v>
      </c>
      <c r="C2908" t="s">
        <v>40</v>
      </c>
      <c r="D2908">
        <v>5.9776179999999997</v>
      </c>
      <c r="E2908">
        <v>0.46591870000000002</v>
      </c>
      <c r="F2908" t="s">
        <v>46</v>
      </c>
      <c r="G2908">
        <v>-472.85270000000003</v>
      </c>
      <c r="H2908" s="1">
        <v>4.8596820000000002E-6</v>
      </c>
      <c r="I2908">
        <v>218.42060000000001</v>
      </c>
      <c r="J2908">
        <v>-484.15359999999998</v>
      </c>
      <c r="K2908">
        <v>1.134762</v>
      </c>
      <c r="L2908">
        <v>219.63740000000001</v>
      </c>
      <c r="M2908">
        <v>0.86749270000000001</v>
      </c>
      <c r="N2908">
        <v>-1.5490189999999999E-2</v>
      </c>
      <c r="O2908">
        <v>-0.4972087</v>
      </c>
      <c r="P2908">
        <v>0.97129589999999999</v>
      </c>
      <c r="Q2908">
        <v>0.142513</v>
      </c>
      <c r="R2908">
        <v>-0.1904585</v>
      </c>
      <c r="S2908">
        <v>3.0642399999999999</v>
      </c>
      <c r="T2908">
        <v>-0.30099169999999997</v>
      </c>
      <c r="U2908">
        <v>-0.35594179999999997</v>
      </c>
      <c r="V2908">
        <v>-0.32297480000000001</v>
      </c>
      <c r="W2908">
        <v>0.14597499999999999</v>
      </c>
      <c r="X2908">
        <v>0.93508210000000003</v>
      </c>
      <c r="Y2908">
        <v>-0.39025900000000002</v>
      </c>
      <c r="Z2908">
        <v>6.0603129999999998E-2</v>
      </c>
      <c r="AA2908">
        <v>0.91870839999999998</v>
      </c>
      <c r="AB2908">
        <v>26</v>
      </c>
      <c r="AC2908">
        <v>11.300899999999899</v>
      </c>
      <c r="AD2908">
        <v>-1.1347571403179999</v>
      </c>
      <c r="AE2908">
        <v>-1.2168000000000001</v>
      </c>
      <c r="AF2908">
        <v>-4.5188478830992302</v>
      </c>
      <c r="AG2908">
        <v>-1.1347571403179999</v>
      </c>
      <c r="AH2908">
        <v>10.3069688796659</v>
      </c>
      <c r="AI2908">
        <v>95.7577318298584</v>
      </c>
      <c r="AJ2908">
        <v>113.673916867285</v>
      </c>
      <c r="AK2908">
        <v>11.311112564398501</v>
      </c>
      <c r="AL2908">
        <v>81.606256463222095</v>
      </c>
      <c r="AM2908">
        <v>109.054772440345</v>
      </c>
      <c r="AN2908">
        <v>0.99999997790022399</v>
      </c>
    </row>
    <row r="2909" spans="1:40" x14ac:dyDescent="0.25">
      <c r="A2909" t="str">
        <f>"20190303162312251"</f>
        <v>20190303162312251</v>
      </c>
      <c r="B2909" t="str">
        <f>"1551601392238073"</f>
        <v>1551601392238073</v>
      </c>
      <c r="C2909" t="s">
        <v>40</v>
      </c>
      <c r="D2909">
        <v>5.9795119999999997</v>
      </c>
      <c r="E2909">
        <v>0.46657130000000002</v>
      </c>
      <c r="F2909" t="s">
        <v>46</v>
      </c>
      <c r="G2909">
        <v>-472.8546</v>
      </c>
      <c r="H2909" s="1">
        <v>4.857434E-6</v>
      </c>
      <c r="I2909">
        <v>218.3886</v>
      </c>
      <c r="J2909">
        <v>-483.80160000000001</v>
      </c>
      <c r="K2909">
        <v>1.1346160000000001</v>
      </c>
      <c r="L2909">
        <v>219.47380000000001</v>
      </c>
      <c r="M2909">
        <v>0.88213339999999996</v>
      </c>
      <c r="N2909">
        <v>-1.544688E-2</v>
      </c>
      <c r="O2909">
        <v>-0.47074640000000001</v>
      </c>
      <c r="P2909">
        <v>0.9714216</v>
      </c>
      <c r="Q2909">
        <v>0.14474809999999999</v>
      </c>
      <c r="R2909">
        <v>-0.1881177</v>
      </c>
      <c r="S2909">
        <v>3.0674130000000002</v>
      </c>
      <c r="T2909">
        <v>-0.30806109999999998</v>
      </c>
      <c r="U2909">
        <v>-0.33901979999999998</v>
      </c>
      <c r="V2909">
        <v>-0.29664249999999998</v>
      </c>
      <c r="W2909">
        <v>0.14931829999999999</v>
      </c>
      <c r="X2909">
        <v>0.94324300000000005</v>
      </c>
      <c r="Y2909">
        <v>-0.36746329999999999</v>
      </c>
      <c r="Z2909">
        <v>5.894025E-2</v>
      </c>
      <c r="AA2909">
        <v>0.92816849999999995</v>
      </c>
      <c r="AB2909">
        <v>26</v>
      </c>
      <c r="AC2909">
        <v>10.946999999999999</v>
      </c>
      <c r="AD2909">
        <v>-1.1346111425659999</v>
      </c>
      <c r="AE2909">
        <v>-1.0852000000000099</v>
      </c>
      <c r="AF2909">
        <v>-4.1522982917476501</v>
      </c>
      <c r="AG2909">
        <v>-1.1346111425659999</v>
      </c>
      <c r="AH2909">
        <v>10.061744923822699</v>
      </c>
      <c r="AI2909">
        <v>95.950877904375304</v>
      </c>
      <c r="AJ2909">
        <v>112.425045125835</v>
      </c>
      <c r="AK2909">
        <v>10.9438400235272</v>
      </c>
      <c r="AL2909">
        <v>81.412577242453906</v>
      </c>
      <c r="AM2909">
        <v>107.457951349821</v>
      </c>
      <c r="AN2909">
        <v>1.0000000422850599</v>
      </c>
    </row>
    <row r="2910" spans="1:40" x14ac:dyDescent="0.25">
      <c r="A2910" t="str">
        <f>"20190303162312273"</f>
        <v>20190303162312273</v>
      </c>
      <c r="B2910" t="str">
        <f>"1551601392267353"</f>
        <v>1551601392267353</v>
      </c>
      <c r="C2910" t="s">
        <v>40</v>
      </c>
      <c r="D2910">
        <v>5.9849600000000001</v>
      </c>
      <c r="E2910">
        <v>0.4669469</v>
      </c>
      <c r="F2910" t="s">
        <v>46</v>
      </c>
      <c r="G2910">
        <v>-472.4708</v>
      </c>
      <c r="H2910" s="1">
        <v>5.0216579999999998E-6</v>
      </c>
      <c r="I2910">
        <v>218.25200000000001</v>
      </c>
      <c r="J2910">
        <v>-483.57549999999998</v>
      </c>
      <c r="K2910">
        <v>1.134479</v>
      </c>
      <c r="L2910">
        <v>219.37520000000001</v>
      </c>
      <c r="M2910">
        <v>0.89091219999999904</v>
      </c>
      <c r="N2910">
        <v>-1.540646E-2</v>
      </c>
      <c r="O2910">
        <v>-0.45391429999999999</v>
      </c>
      <c r="P2910">
        <v>0.97036900000000004</v>
      </c>
      <c r="Q2910">
        <v>0.14482400000000001</v>
      </c>
      <c r="R2910">
        <v>-0.19341700000000001</v>
      </c>
      <c r="S2910">
        <v>3.0699160000000001</v>
      </c>
      <c r="T2910">
        <v>-0.30740729999999999</v>
      </c>
      <c r="U2910">
        <v>-0.33103939999999998</v>
      </c>
      <c r="V2910">
        <v>-0.27340679999999901</v>
      </c>
      <c r="W2910">
        <v>0.15034129999999901</v>
      </c>
      <c r="X2910">
        <v>0.9500769</v>
      </c>
      <c r="Y2910">
        <v>-0.35239340000000002</v>
      </c>
      <c r="Z2910">
        <v>5.670977E-2</v>
      </c>
      <c r="AA2910">
        <v>0.93413219999999997</v>
      </c>
      <c r="AB2910">
        <v>26</v>
      </c>
      <c r="AC2910">
        <v>11.1046999999999</v>
      </c>
      <c r="AD2910">
        <v>-1.1344739783419999</v>
      </c>
      <c r="AE2910">
        <v>-1.12319999999999</v>
      </c>
      <c r="AF2910">
        <v>-3.9990732651830698</v>
      </c>
      <c r="AG2910">
        <v>-1.1344739783419999</v>
      </c>
      <c r="AH2910">
        <v>10.2979919676227</v>
      </c>
      <c r="AI2910">
        <v>95.863327486507103</v>
      </c>
      <c r="AJ2910">
        <v>111.22294621086699</v>
      </c>
      <c r="AK2910">
        <v>11.105325603198599</v>
      </c>
      <c r="AL2910">
        <v>81.353293663032503</v>
      </c>
      <c r="AM2910">
        <v>106.05440766103401</v>
      </c>
      <c r="AN2910">
        <v>0.99999995034276801</v>
      </c>
    </row>
    <row r="2911" spans="1:40" x14ac:dyDescent="0.25">
      <c r="A2911" t="str">
        <f>"20190303162312295"</f>
        <v>20190303162312295</v>
      </c>
      <c r="B2911" t="str">
        <f>"1551601392287849"</f>
        <v>1551601392287849</v>
      </c>
      <c r="C2911" t="s">
        <v>40</v>
      </c>
      <c r="D2911">
        <v>5.9189910000000001</v>
      </c>
      <c r="E2911">
        <v>0.46716249999999998</v>
      </c>
      <c r="F2911" t="s">
        <v>46</v>
      </c>
      <c r="G2911">
        <v>-472.39299999999997</v>
      </c>
      <c r="H2911" s="1">
        <v>5.0499830000000001E-6</v>
      </c>
      <c r="I2911">
        <v>218.11070000000001</v>
      </c>
      <c r="J2911">
        <v>-483.33390000000003</v>
      </c>
      <c r="K2911">
        <v>1.1343080000000001</v>
      </c>
      <c r="L2911">
        <v>219.27510000000001</v>
      </c>
      <c r="M2911">
        <v>0.89976669999999903</v>
      </c>
      <c r="N2911">
        <v>-1.535459E-2</v>
      </c>
      <c r="O2911">
        <v>-0.43610100000000002</v>
      </c>
      <c r="P2911">
        <v>0.96979979999999999</v>
      </c>
      <c r="Q2911">
        <v>0.14416689999999999</v>
      </c>
      <c r="R2911">
        <v>-0.1967351</v>
      </c>
      <c r="S2911">
        <v>3.068848</v>
      </c>
      <c r="T2911">
        <v>-0.31133759999999999</v>
      </c>
      <c r="U2911">
        <v>-0.34701539999999997</v>
      </c>
      <c r="V2911">
        <v>-0.25110310000000002</v>
      </c>
      <c r="W2911">
        <v>0.1505803</v>
      </c>
      <c r="X2911">
        <v>0.95617620000000003</v>
      </c>
      <c r="Y2911">
        <v>-0.32893939999999999</v>
      </c>
      <c r="Z2911">
        <v>5.4816339999999998E-2</v>
      </c>
      <c r="AA2911">
        <v>0.94275869999999995</v>
      </c>
      <c r="AB2911">
        <v>26</v>
      </c>
      <c r="AC2911">
        <v>10.940899999999999</v>
      </c>
      <c r="AD2911">
        <v>-1.1343029500170001</v>
      </c>
      <c r="AE2911">
        <v>-1.1644000000000001</v>
      </c>
      <c r="AF2911">
        <v>-3.68492399794214</v>
      </c>
      <c r="AG2911">
        <v>-1.1343029500170001</v>
      </c>
      <c r="AH2911">
        <v>10.2443945353495</v>
      </c>
      <c r="AI2911">
        <v>95.948126976578706</v>
      </c>
      <c r="AJ2911">
        <v>109.783733931252</v>
      </c>
      <c r="AK2911">
        <v>10.9459091650226</v>
      </c>
      <c r="AL2911">
        <v>81.339443239327295</v>
      </c>
      <c r="AM2911">
        <v>104.714293495711</v>
      </c>
      <c r="AN2911">
        <v>1.0000000595120599</v>
      </c>
    </row>
    <row r="2912" spans="1:40" x14ac:dyDescent="0.25">
      <c r="A2912" t="str">
        <f>"20190303162312317"</f>
        <v>20190303162312317</v>
      </c>
      <c r="B2912" t="str">
        <f>"1551601392307370"</f>
        <v>1551601392307370</v>
      </c>
      <c r="C2912" t="s">
        <v>40</v>
      </c>
      <c r="D2912">
        <v>5.9811300000000003</v>
      </c>
      <c r="E2912">
        <v>0.4673062</v>
      </c>
      <c r="F2912" t="s">
        <v>46</v>
      </c>
      <c r="G2912">
        <v>-472.32049999999998</v>
      </c>
      <c r="H2912" s="1">
        <v>5.077581E-6</v>
      </c>
      <c r="I2912">
        <v>218.0059</v>
      </c>
      <c r="J2912">
        <v>-483.10930000000002</v>
      </c>
      <c r="K2912">
        <v>1.1341190000000001</v>
      </c>
      <c r="L2912">
        <v>219.18690000000001</v>
      </c>
      <c r="M2912">
        <v>0.90749500000000005</v>
      </c>
      <c r="N2912">
        <v>-1.5296769999999999E-2</v>
      </c>
      <c r="O2912">
        <v>-0.4197842</v>
      </c>
      <c r="P2912">
        <v>0.96948089999999998</v>
      </c>
      <c r="Q2912">
        <v>0.1434301</v>
      </c>
      <c r="R2912">
        <v>-0.1988335</v>
      </c>
      <c r="S2912">
        <v>3.0686650000000002</v>
      </c>
      <c r="T2912">
        <v>-0.31605080000000002</v>
      </c>
      <c r="U2912">
        <v>-0.3536377</v>
      </c>
      <c r="V2912">
        <v>-0.23163520000000001</v>
      </c>
      <c r="W2912">
        <v>0.15061659999999999</v>
      </c>
      <c r="X2912">
        <v>0.96107220000000004</v>
      </c>
      <c r="Y2912">
        <v>-0.30987749999999997</v>
      </c>
      <c r="Z2912">
        <v>5.3349969999999997E-2</v>
      </c>
      <c r="AA2912">
        <v>0.94927850000000003</v>
      </c>
      <c r="AB2912">
        <v>26</v>
      </c>
      <c r="AC2912">
        <v>10.7888</v>
      </c>
      <c r="AD2912">
        <v>-1.134113922419</v>
      </c>
      <c r="AE2912">
        <v>-1.18100000000001</v>
      </c>
      <c r="AF2912">
        <v>-3.4202739057768601</v>
      </c>
      <c r="AG2912">
        <v>-1.134113922419</v>
      </c>
      <c r="AH2912">
        <v>10.1766297228653</v>
      </c>
      <c r="AI2912">
        <v>96.030154449448204</v>
      </c>
      <c r="AJ2912">
        <v>108.57703462241</v>
      </c>
      <c r="AK2912">
        <v>10.795752891571199</v>
      </c>
      <c r="AL2912">
        <v>81.337338887640399</v>
      </c>
      <c r="AM2912">
        <v>103.55084282093399</v>
      </c>
      <c r="AN2912">
        <v>0.99999999984372001</v>
      </c>
    </row>
    <row r="2913" spans="1:40" x14ac:dyDescent="0.25">
      <c r="A2913" t="str">
        <f>"20190303162312340"</f>
        <v>20190303162312340</v>
      </c>
      <c r="B2913" t="str">
        <f>"1551601392327865"</f>
        <v>1551601392327865</v>
      </c>
      <c r="C2913" t="s">
        <v>40</v>
      </c>
      <c r="D2913">
        <v>5.9827750000000002</v>
      </c>
      <c r="E2913">
        <v>0.48896879999999998</v>
      </c>
      <c r="F2913" t="s">
        <v>46</v>
      </c>
      <c r="G2913">
        <v>-472.15589999999997</v>
      </c>
      <c r="H2913" s="1">
        <v>5.1467500000000003E-6</v>
      </c>
      <c r="I2913">
        <v>217.9187</v>
      </c>
      <c r="J2913">
        <v>-482.8612</v>
      </c>
      <c r="K2913">
        <v>1.133858</v>
      </c>
      <c r="L2913">
        <v>219.0942</v>
      </c>
      <c r="M2913">
        <v>0.91548079999999998</v>
      </c>
      <c r="N2913">
        <v>-1.5217700000000001E-2</v>
      </c>
      <c r="O2913">
        <v>-0.40207369999999998</v>
      </c>
      <c r="P2913">
        <v>0.96912169999999997</v>
      </c>
      <c r="Q2913">
        <v>0.1433075</v>
      </c>
      <c r="R2913">
        <v>-0.20066410000000001</v>
      </c>
      <c r="S2913">
        <v>3.0686339999999999</v>
      </c>
      <c r="T2913">
        <v>-0.31772410000000001</v>
      </c>
      <c r="U2913">
        <v>-0.35527039999999999</v>
      </c>
      <c r="V2913">
        <v>-0.2109664</v>
      </c>
      <c r="W2913">
        <v>0.15129779999999901</v>
      </c>
      <c r="X2913">
        <v>0.9657133</v>
      </c>
      <c r="Y2913">
        <v>-0.29098940000000001</v>
      </c>
      <c r="Z2913">
        <v>5.118023E-2</v>
      </c>
      <c r="AA2913">
        <v>0.95535639999999999</v>
      </c>
      <c r="AB2913">
        <v>26</v>
      </c>
      <c r="AC2913">
        <v>10.705299999999999</v>
      </c>
      <c r="AD2913">
        <v>-1.1338528532500001</v>
      </c>
      <c r="AE2913">
        <v>-1.17549999999999</v>
      </c>
      <c r="AF2913">
        <v>-3.19315181397987</v>
      </c>
      <c r="AG2913">
        <v>-1.1338528532500001</v>
      </c>
      <c r="AH2913">
        <v>10.1616884899627</v>
      </c>
      <c r="AI2913">
        <v>96.076212421535303</v>
      </c>
      <c r="AJ2913">
        <v>107.444511200458</v>
      </c>
      <c r="AK2913">
        <v>10.7117577347038</v>
      </c>
      <c r="AL2913">
        <v>81.297856652647496</v>
      </c>
      <c r="AM2913">
        <v>102.32304089548499</v>
      </c>
      <c r="AN2913">
        <v>1.0000000120053401</v>
      </c>
    </row>
    <row r="2914" spans="1:40" x14ac:dyDescent="0.25">
      <c r="A2914" t="str">
        <f>"20190303162312360"</f>
        <v>20190303162312360</v>
      </c>
      <c r="B2914" t="str">
        <f>"1551601392347384"</f>
        <v>1551601392347384</v>
      </c>
      <c r="C2914" t="s">
        <v>40</v>
      </c>
      <c r="D2914">
        <v>5.9236620000000002</v>
      </c>
      <c r="E2914">
        <v>0.48913220000000002</v>
      </c>
      <c r="F2914" t="s">
        <v>46</v>
      </c>
      <c r="G2914">
        <v>-470.44929999999999</v>
      </c>
      <c r="H2914" s="1">
        <v>5.8602119999999997E-6</v>
      </c>
      <c r="I2914">
        <v>216.92760000000001</v>
      </c>
      <c r="J2914">
        <v>-482.6515</v>
      </c>
      <c r="K2914">
        <v>1.133591</v>
      </c>
      <c r="L2914">
        <v>219.01990000000001</v>
      </c>
      <c r="M2914">
        <v>0.92175910000000005</v>
      </c>
      <c r="N2914">
        <v>-1.513453E-2</v>
      </c>
      <c r="O2914">
        <v>-0.38746809999999998</v>
      </c>
      <c r="P2914">
        <v>0.96744629999999998</v>
      </c>
      <c r="Q2914">
        <v>0.1441935</v>
      </c>
      <c r="R2914">
        <v>-0.2079811</v>
      </c>
      <c r="S2914">
        <v>3.0270999999999999</v>
      </c>
      <c r="T2914">
        <v>-0.27653220000000001</v>
      </c>
      <c r="U2914">
        <v>-0.52841190000000005</v>
      </c>
      <c r="V2914">
        <v>-0.18809500000000001</v>
      </c>
      <c r="W2914">
        <v>0.15302929999999901</v>
      </c>
      <c r="X2914">
        <v>0.97015580000000001</v>
      </c>
      <c r="Y2914">
        <v>-0.22118779999999999</v>
      </c>
      <c r="Z2914">
        <v>3.9775070000000003E-2</v>
      </c>
      <c r="AA2914">
        <v>0.97441979999999995</v>
      </c>
      <c r="AB2914">
        <v>26</v>
      </c>
      <c r="AC2914">
        <v>12.202199999999999</v>
      </c>
      <c r="AD2914">
        <v>-1.1335851397879999</v>
      </c>
      <c r="AE2914">
        <v>-2.0922999999999901</v>
      </c>
      <c r="AF2914">
        <v>-2.7764095566115201</v>
      </c>
      <c r="AG2914">
        <v>-1.1335851397879999</v>
      </c>
      <c r="AH2914">
        <v>11.959301251175701</v>
      </c>
      <c r="AI2914">
        <v>95.275243641078404</v>
      </c>
      <c r="AJ2914">
        <v>103.069968845801</v>
      </c>
      <c r="AK2914">
        <v>12.329572243657299</v>
      </c>
      <c r="AL2914">
        <v>81.197479915622907</v>
      </c>
      <c r="AM2914">
        <v>100.97244340306101</v>
      </c>
      <c r="AN2914">
        <v>0.99999998597856399</v>
      </c>
    </row>
    <row r="2915" spans="1:40" x14ac:dyDescent="0.25">
      <c r="A2915" t="str">
        <f>"20190303162312406"</f>
        <v>20190303162312406</v>
      </c>
      <c r="B2915" t="str">
        <f>"1551601392397161"</f>
        <v>1551601392397161</v>
      </c>
      <c r="C2915" t="s">
        <v>40</v>
      </c>
      <c r="D2915">
        <v>5.9352999999999998</v>
      </c>
      <c r="E2915">
        <v>0.48703010000000002</v>
      </c>
      <c r="F2915" t="s">
        <v>46</v>
      </c>
      <c r="G2915">
        <v>-470.06939999999997</v>
      </c>
      <c r="H2915" s="1">
        <v>6.0191749999999998E-6</v>
      </c>
      <c r="I2915">
        <v>216.70949999999999</v>
      </c>
      <c r="J2915">
        <v>-482.15140000000002</v>
      </c>
      <c r="K2915">
        <v>1.1327449999999999</v>
      </c>
      <c r="L2915">
        <v>218.85570000000001</v>
      </c>
      <c r="M2915">
        <v>0.93502870000000005</v>
      </c>
      <c r="N2915">
        <v>-1.488362E-2</v>
      </c>
      <c r="O2915">
        <v>-0.3542593</v>
      </c>
      <c r="P2915">
        <v>0.96706239999999999</v>
      </c>
      <c r="Q2915">
        <v>0.14314449999999901</v>
      </c>
      <c r="R2915">
        <v>-0.210476</v>
      </c>
      <c r="S2915">
        <v>3.022186</v>
      </c>
      <c r="T2915">
        <v>-0.27228429999999998</v>
      </c>
      <c r="U2915">
        <v>-0.55496219999999996</v>
      </c>
      <c r="V2915">
        <v>-0.15040029999999999</v>
      </c>
      <c r="W2915">
        <v>0.1533224</v>
      </c>
      <c r="X2915">
        <v>0.97666370000000002</v>
      </c>
      <c r="Y2915">
        <v>-0.177876799999999</v>
      </c>
      <c r="Z2915">
        <v>3.4726720000000003E-2</v>
      </c>
      <c r="AA2915">
        <v>0.98343990000000003</v>
      </c>
      <c r="AB2915">
        <v>26</v>
      </c>
      <c r="AC2915">
        <v>12.082000000000001</v>
      </c>
      <c r="AD2915">
        <v>-1.1327389808249999</v>
      </c>
      <c r="AE2915">
        <v>-2.1462000000000199</v>
      </c>
      <c r="AF2915">
        <v>-2.2544442052272098</v>
      </c>
      <c r="AG2915">
        <v>-1.1327389808249999</v>
      </c>
      <c r="AH2915">
        <v>11.9567811561237</v>
      </c>
      <c r="AI2915">
        <v>95.318663477876797</v>
      </c>
      <c r="AJ2915">
        <v>100.67772973979601</v>
      </c>
      <c r="AK2915">
        <v>12.2200749542954</v>
      </c>
      <c r="AL2915">
        <v>81.180486062734403</v>
      </c>
      <c r="AM2915">
        <v>98.754434324052198</v>
      </c>
      <c r="AN2915">
        <v>0.99999999573976905</v>
      </c>
    </row>
    <row r="2916" spans="1:40" x14ac:dyDescent="0.25">
      <c r="A2916" t="str">
        <f>"20190303162312429"</f>
        <v>20190303162312429</v>
      </c>
      <c r="B2916" t="str">
        <f>"1551601392417657"</f>
        <v>1551601392417657</v>
      </c>
      <c r="C2916" t="s">
        <v>40</v>
      </c>
      <c r="D2916">
        <v>5.8810460000000004</v>
      </c>
      <c r="E2916">
        <v>0.48623339999999998</v>
      </c>
      <c r="F2916" t="s">
        <v>46</v>
      </c>
      <c r="G2916">
        <v>-470.03</v>
      </c>
      <c r="H2916" s="1">
        <v>6.0345560000000003E-6</v>
      </c>
      <c r="I2916">
        <v>216.66210000000001</v>
      </c>
      <c r="J2916">
        <v>-481.9</v>
      </c>
      <c r="K2916">
        <v>1.132231</v>
      </c>
      <c r="L2916">
        <v>218.77959999999999</v>
      </c>
      <c r="M2916">
        <v>0.94081800000000004</v>
      </c>
      <c r="N2916">
        <v>-1.4735740000000001E-2</v>
      </c>
      <c r="O2916">
        <v>-0.338591799999999</v>
      </c>
      <c r="P2916">
        <v>0.96827439999999998</v>
      </c>
      <c r="Q2916">
        <v>0.1425177</v>
      </c>
      <c r="R2916">
        <v>-0.20526430000000001</v>
      </c>
      <c r="S2916">
        <v>3.024902</v>
      </c>
      <c r="T2916">
        <v>-0.2826767</v>
      </c>
      <c r="U2916">
        <v>-0.54742429999999997</v>
      </c>
      <c r="V2916">
        <v>-0.1391356</v>
      </c>
      <c r="W2916">
        <v>0.1530764</v>
      </c>
      <c r="X2916">
        <v>0.97837050000000003</v>
      </c>
      <c r="Y2916">
        <v>-0.16391649999999999</v>
      </c>
      <c r="Z2916">
        <v>3.4355669999999998E-2</v>
      </c>
      <c r="AA2916">
        <v>0.98587579999999997</v>
      </c>
      <c r="AB2916">
        <v>26</v>
      </c>
      <c r="AC2916">
        <v>11.87</v>
      </c>
      <c r="AD2916">
        <v>-1.132224965444</v>
      </c>
      <c r="AE2916">
        <v>-2.11749999999997</v>
      </c>
      <c r="AF2916">
        <v>-2.0094041308295698</v>
      </c>
      <c r="AG2916">
        <v>-1.132224965444</v>
      </c>
      <c r="AH2916">
        <v>11.7818781002852</v>
      </c>
      <c r="AI2916">
        <v>95.411536666468706</v>
      </c>
      <c r="AJ2916">
        <v>99.678692854179104</v>
      </c>
      <c r="AK2916">
        <v>12.0055108139283</v>
      </c>
      <c r="AL2916">
        <v>81.194748944673606</v>
      </c>
      <c r="AM2916">
        <v>98.093849976233003</v>
      </c>
      <c r="AN2916">
        <v>0.99999996734728402</v>
      </c>
    </row>
    <row r="2917" spans="1:40" x14ac:dyDescent="0.25">
      <c r="A2917" t="str">
        <f>"20190303162312451"</f>
        <v>20190303162312451</v>
      </c>
      <c r="B2917" t="str">
        <f>"1551601392438153"</f>
        <v>1551601392438153</v>
      </c>
      <c r="C2917" t="s">
        <v>40</v>
      </c>
      <c r="D2917">
        <v>5.9950089999999996</v>
      </c>
      <c r="E2917">
        <v>0.4850447</v>
      </c>
      <c r="F2917" t="s">
        <v>47</v>
      </c>
      <c r="G2917">
        <v>-469.77730000000003</v>
      </c>
      <c r="H2917" s="1">
        <v>3.576157E-6</v>
      </c>
      <c r="I2917">
        <v>216.6764</v>
      </c>
      <c r="J2917">
        <v>-481.64789999999999</v>
      </c>
      <c r="K2917">
        <v>1.1317469999999901</v>
      </c>
      <c r="L2917">
        <v>218.70689999999999</v>
      </c>
      <c r="M2917">
        <v>0.94611060000000002</v>
      </c>
      <c r="N2917">
        <v>-1.4587299999999999E-2</v>
      </c>
      <c r="O2917">
        <v>-0.32351489999999999</v>
      </c>
      <c r="P2917">
        <v>0.96907790000000005</v>
      </c>
      <c r="Q2917">
        <v>0.1466935</v>
      </c>
      <c r="R2917">
        <v>-0.19841590000000001</v>
      </c>
      <c r="S2917">
        <v>3.0285340000000001</v>
      </c>
      <c r="T2917">
        <v>-0.2828579</v>
      </c>
      <c r="U2917">
        <v>-0.52542109999999997</v>
      </c>
      <c r="V2917">
        <v>-0.1301165</v>
      </c>
      <c r="W2917">
        <v>0.15752360000000001</v>
      </c>
      <c r="X2917">
        <v>0.97890549999999998</v>
      </c>
      <c r="Y2917">
        <v>-0.15537690000000001</v>
      </c>
      <c r="Z2917">
        <v>3.286563E-2</v>
      </c>
      <c r="AA2917">
        <v>0.98730839999999997</v>
      </c>
      <c r="AB2917">
        <v>26</v>
      </c>
      <c r="AC2917">
        <v>11.8705999999999</v>
      </c>
      <c r="AD2917">
        <v>-1.13174342384299</v>
      </c>
      <c r="AE2917">
        <v>-2.03049999999998</v>
      </c>
      <c r="AF2917">
        <v>-1.90263984604</v>
      </c>
      <c r="AG2917">
        <v>-1.13174342384299</v>
      </c>
      <c r="AH2917">
        <v>11.784985756590901</v>
      </c>
      <c r="AI2917">
        <v>95.415742925159094</v>
      </c>
      <c r="AJ2917">
        <v>99.171045241169793</v>
      </c>
      <c r="AK2917">
        <v>11.991112160437799</v>
      </c>
      <c r="AL2917">
        <v>80.936813618078006</v>
      </c>
      <c r="AM2917">
        <v>97.5713954276615</v>
      </c>
      <c r="AN2917">
        <v>0.99999998302972903</v>
      </c>
    </row>
    <row r="2918" spans="1:40" x14ac:dyDescent="0.25">
      <c r="A2918" t="str">
        <f>"20190303162312493"</f>
        <v>20190303162312493</v>
      </c>
      <c r="B2918" t="str">
        <f>"1551601392488905"</f>
        <v>1551601392488905</v>
      </c>
      <c r="C2918" t="s">
        <v>40</v>
      </c>
      <c r="D2918">
        <v>5.873837</v>
      </c>
      <c r="E2918">
        <v>0.48331350000000001</v>
      </c>
      <c r="F2918" t="s">
        <v>47</v>
      </c>
      <c r="G2918">
        <v>-468.92259999999999</v>
      </c>
      <c r="H2918" s="1">
        <v>3.123858E-6</v>
      </c>
      <c r="I2918">
        <v>216.6183</v>
      </c>
      <c r="J2918">
        <v>-481.18630000000002</v>
      </c>
      <c r="K2918">
        <v>1.130827</v>
      </c>
      <c r="L2918">
        <v>218.58269999999999</v>
      </c>
      <c r="M2918">
        <v>0.9545015</v>
      </c>
      <c r="N2918">
        <v>-1.4312139999999999E-2</v>
      </c>
      <c r="O2918">
        <v>-0.29786279999999998</v>
      </c>
      <c r="P2918">
        <v>0.96902880000000002</v>
      </c>
      <c r="Q2918">
        <v>0.1522993</v>
      </c>
      <c r="R2918">
        <v>-0.19439239999999999</v>
      </c>
      <c r="S2918">
        <v>3.034637</v>
      </c>
      <c r="T2918">
        <v>-0.26989010000000002</v>
      </c>
      <c r="U2918">
        <v>-0.4980774</v>
      </c>
      <c r="V2918">
        <v>-0.107194</v>
      </c>
      <c r="W2918">
        <v>0.1637441</v>
      </c>
      <c r="X2918">
        <v>0.98066169999999997</v>
      </c>
      <c r="Y2918">
        <v>-0.1379736</v>
      </c>
      <c r="Z2918">
        <v>2.8576879999999999E-2</v>
      </c>
      <c r="AA2918">
        <v>0.9900236</v>
      </c>
      <c r="AB2918">
        <v>26</v>
      </c>
      <c r="AC2918">
        <v>12.2637</v>
      </c>
      <c r="AD2918">
        <v>-1.130823876142</v>
      </c>
      <c r="AE2918">
        <v>-1.9643999999999799</v>
      </c>
      <c r="AF2918">
        <v>-1.76344062855442</v>
      </c>
      <c r="AG2918">
        <v>-1.130823876142</v>
      </c>
      <c r="AH2918">
        <v>12.191038147276799</v>
      </c>
      <c r="AI2918">
        <v>95.245231143709006</v>
      </c>
      <c r="AJ2918">
        <v>98.230777716682795</v>
      </c>
      <c r="AK2918">
        <v>12.369716916633401</v>
      </c>
      <c r="AL2918">
        <v>80.575715797826106</v>
      </c>
      <c r="AM2918">
        <v>96.2381111198616</v>
      </c>
      <c r="AN2918">
        <v>1.00000002688384</v>
      </c>
    </row>
    <row r="2919" spans="1:40" x14ac:dyDescent="0.25">
      <c r="A2919" t="str">
        <f>"20190303162312517"</f>
        <v>20190303162312517</v>
      </c>
      <c r="B2919" t="str">
        <f>"1551601392508425"</f>
        <v>1551601392508425</v>
      </c>
      <c r="C2919" t="s">
        <v>40</v>
      </c>
      <c r="D2919">
        <v>5.7542109999999997</v>
      </c>
      <c r="E2919">
        <v>0.48299360000000002</v>
      </c>
      <c r="F2919" t="s">
        <v>47</v>
      </c>
      <c r="G2919">
        <v>-467.83199999999999</v>
      </c>
      <c r="H2919" s="1">
        <v>2.548743E-6</v>
      </c>
      <c r="I2919">
        <v>216.4982</v>
      </c>
      <c r="J2919">
        <v>-480.92559999999997</v>
      </c>
      <c r="K2919">
        <v>1.1302110000000001</v>
      </c>
      <c r="L2919">
        <v>218.517</v>
      </c>
      <c r="M2919">
        <v>0.95850480000000005</v>
      </c>
      <c r="N2919">
        <v>-1.413878E-2</v>
      </c>
      <c r="O2919">
        <v>-0.28472570000000003</v>
      </c>
      <c r="P2919">
        <v>0.96982800000000002</v>
      </c>
      <c r="Q2919">
        <v>0.15332689999999999</v>
      </c>
      <c r="R2919">
        <v>-0.1895375</v>
      </c>
      <c r="S2919">
        <v>3.0411380000000001</v>
      </c>
      <c r="T2919">
        <v>-0.25751950000000001</v>
      </c>
      <c r="U2919">
        <v>-0.47470089999999998</v>
      </c>
      <c r="V2919">
        <v>-9.8337460000000002E-2</v>
      </c>
      <c r="W2919">
        <v>0.1649755</v>
      </c>
      <c r="X2919">
        <v>0.98138309999999995</v>
      </c>
      <c r="Y2919">
        <v>-0.13231270000000001</v>
      </c>
      <c r="Z2919">
        <v>2.5980329999999999E-2</v>
      </c>
      <c r="AA2919">
        <v>0.99086750000000001</v>
      </c>
      <c r="AB2919">
        <v>26</v>
      </c>
      <c r="AC2919">
        <v>13.093599999999901</v>
      </c>
      <c r="AD2919">
        <v>-1.1302084512569901</v>
      </c>
      <c r="AE2919">
        <v>-2.0188000000000001</v>
      </c>
      <c r="AF2919">
        <v>-1.7802777378588801</v>
      </c>
      <c r="AG2919">
        <v>-1.1302084512569901</v>
      </c>
      <c r="AH2919">
        <v>13.031554173357801</v>
      </c>
      <c r="AI2919">
        <v>94.911386856173706</v>
      </c>
      <c r="AJ2919">
        <v>97.779183694279396</v>
      </c>
      <c r="AK2919">
        <v>13.2010667803919</v>
      </c>
      <c r="AL2919">
        <v>80.504188594089499</v>
      </c>
      <c r="AM2919">
        <v>95.722104699659297</v>
      </c>
      <c r="AN2919">
        <v>0.99999998030255499</v>
      </c>
    </row>
    <row r="2920" spans="1:40" x14ac:dyDescent="0.25">
      <c r="A2920" t="str">
        <f>"20190303162312539"</f>
        <v>20190303162312539</v>
      </c>
      <c r="B2920" t="str">
        <f>"1551601392527812"</f>
        <v>1551601392527812</v>
      </c>
      <c r="C2920" t="s">
        <v>40</v>
      </c>
      <c r="D2920">
        <v>5.7513259999999997</v>
      </c>
      <c r="E2920">
        <v>0.48281210000000002</v>
      </c>
      <c r="F2920" t="s">
        <v>47</v>
      </c>
      <c r="G2920">
        <v>-467.42110000000002</v>
      </c>
      <c r="H2920" s="1">
        <v>2.3308129999999999E-6</v>
      </c>
      <c r="I2920">
        <v>216.48099999999999</v>
      </c>
      <c r="J2920">
        <v>-480.68079999999998</v>
      </c>
      <c r="K2920">
        <v>1.129526</v>
      </c>
      <c r="L2920">
        <v>218.45769999999999</v>
      </c>
      <c r="M2920">
        <v>0.96179970000000004</v>
      </c>
      <c r="N2920">
        <v>-1.3964509999999999E-2</v>
      </c>
      <c r="O2920">
        <v>-0.27339829999999998</v>
      </c>
      <c r="P2920">
        <v>0.97041169999999999</v>
      </c>
      <c r="Q2920">
        <v>0.15459429999999999</v>
      </c>
      <c r="R2920">
        <v>-0.18547839999999999</v>
      </c>
      <c r="S2920">
        <v>3.0439150000000001</v>
      </c>
      <c r="T2920">
        <v>-0.25474799999999997</v>
      </c>
      <c r="U2920">
        <v>-0.45892329999999998</v>
      </c>
      <c r="V2920">
        <v>-9.0538640000000004E-2</v>
      </c>
      <c r="W2920">
        <v>0.166406</v>
      </c>
      <c r="X2920">
        <v>0.98189190000000004</v>
      </c>
      <c r="Y2920">
        <v>-0.12584819999999999</v>
      </c>
      <c r="Z2920">
        <v>2.464264E-2</v>
      </c>
      <c r="AA2920">
        <v>0.99174340000000005</v>
      </c>
      <c r="AB2920">
        <v>26</v>
      </c>
      <c r="AC2920">
        <v>13.259699999999899</v>
      </c>
      <c r="AD2920">
        <v>-1.1295236691869901</v>
      </c>
      <c r="AE2920">
        <v>-1.9766999999999899</v>
      </c>
      <c r="AF2920">
        <v>-1.7120048636712999</v>
      </c>
      <c r="AG2920">
        <v>-1.1295236691869901</v>
      </c>
      <c r="AH2920">
        <v>13.2011853243872</v>
      </c>
      <c r="AI2920">
        <v>94.850028650547799</v>
      </c>
      <c r="AJ2920">
        <v>97.389202222897595</v>
      </c>
      <c r="AK2920">
        <v>13.359568793239699</v>
      </c>
      <c r="AL2920">
        <v>80.421077933646501</v>
      </c>
      <c r="AM2920">
        <v>95.268252564520594</v>
      </c>
      <c r="AN2920">
        <v>0.999999952727328</v>
      </c>
    </row>
    <row r="2921" spans="1:40" x14ac:dyDescent="0.25">
      <c r="A2921" t="str">
        <f>"20190303162312560"</f>
        <v>20190303162312560</v>
      </c>
      <c r="B2921" t="str">
        <f>"1551601392547332"</f>
        <v>1551601392547332</v>
      </c>
      <c r="C2921" t="s">
        <v>40</v>
      </c>
      <c r="D2921">
        <v>5.691344</v>
      </c>
      <c r="E2921">
        <v>0.48276350000000001</v>
      </c>
      <c r="F2921" t="s">
        <v>47</v>
      </c>
      <c r="G2921">
        <v>-467.05619999999999</v>
      </c>
      <c r="H2921" s="1">
        <v>2.1380920000000001E-6</v>
      </c>
      <c r="I2921">
        <v>216.4478</v>
      </c>
      <c r="J2921">
        <v>-480.43549999999999</v>
      </c>
      <c r="K2921">
        <v>1.128736</v>
      </c>
      <c r="L2921">
        <v>218.40029999999999</v>
      </c>
      <c r="M2921">
        <v>0.96466569999999996</v>
      </c>
      <c r="N2921">
        <v>-1.3787310000000001E-2</v>
      </c>
      <c r="O2921">
        <v>-0.26311669999999998</v>
      </c>
      <c r="P2921">
        <v>0.9711147</v>
      </c>
      <c r="Q2921">
        <v>0.1534922</v>
      </c>
      <c r="R2921">
        <v>-0.18269279999999999</v>
      </c>
      <c r="S2921">
        <v>3.0458069999999999</v>
      </c>
      <c r="T2921">
        <v>-0.25250739999999999</v>
      </c>
      <c r="U2921">
        <v>-0.4493103</v>
      </c>
      <c r="V2921">
        <v>-8.2555799999999999E-2</v>
      </c>
      <c r="W2921">
        <v>0.16546649999999999</v>
      </c>
      <c r="X2921">
        <v>0.98275400000000002</v>
      </c>
      <c r="Y2921">
        <v>-0.11847870000000001</v>
      </c>
      <c r="Z2921">
        <v>2.340735E-2</v>
      </c>
      <c r="AA2921">
        <v>0.99268069999999997</v>
      </c>
      <c r="AB2921">
        <v>26</v>
      </c>
      <c r="AC2921">
        <v>13.379300000000001</v>
      </c>
      <c r="AD2921">
        <v>-1.1287338619080001</v>
      </c>
      <c r="AE2921">
        <v>-1.9524999999999799</v>
      </c>
      <c r="AF2921">
        <v>-1.6256338672014801</v>
      </c>
      <c r="AG2921">
        <v>-1.1287338619080001</v>
      </c>
      <c r="AH2921">
        <v>13.328673963632401</v>
      </c>
      <c r="AI2921">
        <v>94.805084333678195</v>
      </c>
      <c r="AJ2921">
        <v>96.953744555243006</v>
      </c>
      <c r="AK2921">
        <v>13.474801491303101</v>
      </c>
      <c r="AL2921">
        <v>80.475664760894801</v>
      </c>
      <c r="AM2921">
        <v>94.8018317830185</v>
      </c>
      <c r="AN2921">
        <v>1.0000000236259401</v>
      </c>
    </row>
    <row r="2922" spans="1:40" x14ac:dyDescent="0.25">
      <c r="A2922" t="str">
        <f>"20190303162312583"</f>
        <v>20190303162312583</v>
      </c>
      <c r="B2922" t="str">
        <f>"1551601392577588"</f>
        <v>1551601392577588</v>
      </c>
      <c r="C2922" t="s">
        <v>40</v>
      </c>
      <c r="D2922">
        <v>5.6335989999999896</v>
      </c>
      <c r="E2922">
        <v>0.48249370000000003</v>
      </c>
      <c r="F2922" t="s">
        <v>47</v>
      </c>
      <c r="G2922">
        <v>-467.11849999999998</v>
      </c>
      <c r="H2922" s="1">
        <v>2.170676E-6</v>
      </c>
      <c r="I2922">
        <v>216.46170000000001</v>
      </c>
      <c r="J2922">
        <v>-480.18579999999997</v>
      </c>
      <c r="K2922">
        <v>1.1278410000000001</v>
      </c>
      <c r="L2922">
        <v>218.3433</v>
      </c>
      <c r="M2922">
        <v>0.96715059999999997</v>
      </c>
      <c r="N2922">
        <v>-1.3609970000000001E-2</v>
      </c>
      <c r="O2922">
        <v>-0.25383929999999999</v>
      </c>
      <c r="P2922">
        <v>0.97172979999999998</v>
      </c>
      <c r="Q2922">
        <v>0.1535387</v>
      </c>
      <c r="R2922">
        <v>-0.17935090000000001</v>
      </c>
      <c r="S2922">
        <v>3.0466000000000002</v>
      </c>
      <c r="T2922">
        <v>-0.25822709999999999</v>
      </c>
      <c r="U2922">
        <v>-0.44351200000000002</v>
      </c>
      <c r="V2922">
        <v>-7.6114109999999999E-2</v>
      </c>
      <c r="W2922">
        <v>0.16563249999999999</v>
      </c>
      <c r="X2922">
        <v>0.98324590000000001</v>
      </c>
      <c r="Y2922">
        <v>-0.110822699999999</v>
      </c>
      <c r="Z2922">
        <v>2.303649E-2</v>
      </c>
      <c r="AA2922">
        <v>0.99357320000000005</v>
      </c>
      <c r="AB2922">
        <v>26</v>
      </c>
      <c r="AC2922">
        <v>13.0672999999999</v>
      </c>
      <c r="AD2922">
        <v>-1.127838829324</v>
      </c>
      <c r="AE2922">
        <v>-1.8815999999999899</v>
      </c>
      <c r="AF2922">
        <v>-1.48649389069535</v>
      </c>
      <c r="AG2922">
        <v>-1.127838829324</v>
      </c>
      <c r="AH2922">
        <v>13.021851802116901</v>
      </c>
      <c r="AI2922">
        <v>94.918322223785196</v>
      </c>
      <c r="AJ2922">
        <v>96.512341060720203</v>
      </c>
      <c r="AK2922">
        <v>13.154858755163399</v>
      </c>
      <c r="AL2922">
        <v>80.466020275636296</v>
      </c>
      <c r="AM2922">
        <v>94.426499372486106</v>
      </c>
      <c r="AN2922">
        <v>0.99999999133207595</v>
      </c>
    </row>
    <row r="2923" spans="1:40" x14ac:dyDescent="0.25">
      <c r="A2923" t="str">
        <f>"20190303162312606"</f>
        <v>20190303162312606</v>
      </c>
      <c r="B2923" t="str">
        <f>"1551601392598083"</f>
        <v>1551601392598083</v>
      </c>
      <c r="C2923" t="s">
        <v>40</v>
      </c>
      <c r="D2923">
        <v>5.5916259999999998</v>
      </c>
      <c r="E2923">
        <v>0.46466669999999999</v>
      </c>
      <c r="F2923" t="s">
        <v>47</v>
      </c>
      <c r="G2923">
        <v>-466.8827</v>
      </c>
      <c r="H2923" s="1">
        <v>2.0453160000000002E-6</v>
      </c>
      <c r="I2923">
        <v>216.45840000000001</v>
      </c>
      <c r="J2923">
        <v>-479.92239999999998</v>
      </c>
      <c r="K2923">
        <v>1.1268389999999999</v>
      </c>
      <c r="L2923">
        <v>218.28440000000001</v>
      </c>
      <c r="M2923">
        <v>0.96927459999999999</v>
      </c>
      <c r="N2923">
        <v>-1.342956E-2</v>
      </c>
      <c r="O2923">
        <v>-0.2456151</v>
      </c>
      <c r="P2923">
        <v>0.97245409999999999</v>
      </c>
      <c r="Q2923">
        <v>0.1588484</v>
      </c>
      <c r="R2923">
        <v>-0.17058870000000001</v>
      </c>
      <c r="S2923">
        <v>3.0484309999999999</v>
      </c>
      <c r="T2923">
        <v>-0.25844650000000002</v>
      </c>
      <c r="U2923">
        <v>-0.43193049999999999</v>
      </c>
      <c r="V2923">
        <v>-7.6069940000000003E-2</v>
      </c>
      <c r="W2923">
        <v>0.17093920000000001</v>
      </c>
      <c r="X2923">
        <v>0.98234060000000001</v>
      </c>
      <c r="Y2923">
        <v>-0.10619679999999999</v>
      </c>
      <c r="Z2923">
        <v>2.2305709999999999E-2</v>
      </c>
      <c r="AA2923">
        <v>0.9940949</v>
      </c>
      <c r="AB2923">
        <v>26</v>
      </c>
      <c r="AC2923">
        <v>13.0396999999999</v>
      </c>
      <c r="AD2923">
        <v>-1.126836954684</v>
      </c>
      <c r="AE2923">
        <v>-1.8259999999999901</v>
      </c>
      <c r="AF2923">
        <v>-1.422561797465</v>
      </c>
      <c r="AG2923">
        <v>-1.126836954684</v>
      </c>
      <c r="AH2923">
        <v>12.993555191128801</v>
      </c>
      <c r="AI2923">
        <v>94.927152300854402</v>
      </c>
      <c r="AJ2923">
        <v>96.247978500551</v>
      </c>
      <c r="AK2923">
        <v>13.119676828907</v>
      </c>
      <c r="AL2923">
        <v>80.157568896528602</v>
      </c>
      <c r="AM2923">
        <v>94.428001601960503</v>
      </c>
      <c r="AN2923">
        <v>0.99999995013830001</v>
      </c>
    </row>
    <row r="2924" spans="1:40" x14ac:dyDescent="0.25">
      <c r="A2924" t="str">
        <f>"20190303162312630"</f>
        <v>20190303162312630</v>
      </c>
      <c r="B2924" t="str">
        <f>"1551601392617604"</f>
        <v>1551601392617604</v>
      </c>
      <c r="C2924" t="s">
        <v>40</v>
      </c>
      <c r="D2924">
        <v>5.5322060000000004</v>
      </c>
      <c r="E2924">
        <v>0.46472340000000001</v>
      </c>
      <c r="F2924" t="s">
        <v>47</v>
      </c>
      <c r="G2924">
        <v>-465.24709999999999</v>
      </c>
      <c r="H2924" s="1">
        <v>1.1512159999999999E-6</v>
      </c>
      <c r="I2924">
        <v>217.0008</v>
      </c>
      <c r="J2924">
        <v>-479.64429999999999</v>
      </c>
      <c r="K2924">
        <v>1.1257760000000001</v>
      </c>
      <c r="L2924">
        <v>218.22290000000001</v>
      </c>
      <c r="M2924">
        <v>0.97105649999999999</v>
      </c>
      <c r="N2924">
        <v>-1.3254520000000001E-2</v>
      </c>
      <c r="O2924">
        <v>-0.23848169999999999</v>
      </c>
      <c r="P2924">
        <v>0.97365930000000001</v>
      </c>
      <c r="Q2924">
        <v>0.1631668</v>
      </c>
      <c r="R2924">
        <v>-0.15926129999999999</v>
      </c>
      <c r="S2924">
        <v>3.0763850000000001</v>
      </c>
      <c r="T2924">
        <v>-0.23621880000000001</v>
      </c>
      <c r="U2924">
        <v>-0.26908870000000001</v>
      </c>
      <c r="V2924">
        <v>-7.9714090000000001E-2</v>
      </c>
      <c r="W2924">
        <v>0.17522279999999901</v>
      </c>
      <c r="X2924">
        <v>0.98129639999999996</v>
      </c>
      <c r="Y2924">
        <v>-0.151992299999999</v>
      </c>
      <c r="Z2924">
        <v>2.1713219999999998E-2</v>
      </c>
      <c r="AA2924">
        <v>0.98814310000000005</v>
      </c>
      <c r="AB2924">
        <v>26</v>
      </c>
      <c r="AC2924">
        <v>14.3971999999999</v>
      </c>
      <c r="AD2924">
        <v>-1.125774848784</v>
      </c>
      <c r="AE2924">
        <v>-1.22210000000001</v>
      </c>
      <c r="AF2924">
        <v>-2.23338016891788</v>
      </c>
      <c r="AG2924">
        <v>-1.125774848784</v>
      </c>
      <c r="AH2924">
        <v>14.187073932606699</v>
      </c>
      <c r="AI2924">
        <v>94.482067694364702</v>
      </c>
      <c r="AJ2924">
        <v>98.946286839745298</v>
      </c>
      <c r="AK2924">
        <v>14.4058468254497</v>
      </c>
      <c r="AL2924">
        <v>79.908376003715404</v>
      </c>
      <c r="AM2924">
        <v>94.644136279731796</v>
      </c>
      <c r="AN2924">
        <v>0.99999999521866301</v>
      </c>
    </row>
    <row r="2925" spans="1:40" x14ac:dyDescent="0.25">
      <c r="A2925" t="str">
        <f>"20190303162312653"</f>
        <v>20190303162312653</v>
      </c>
      <c r="B2925" t="str">
        <f>"1551601392647860"</f>
        <v>1551601392647860</v>
      </c>
      <c r="C2925" t="s">
        <v>40</v>
      </c>
      <c r="D2925">
        <v>5.5117779999999996</v>
      </c>
      <c r="E2925">
        <v>0.46499469999999998</v>
      </c>
      <c r="F2925" t="s">
        <v>47</v>
      </c>
      <c r="G2925">
        <v>-464.07249999999999</v>
      </c>
      <c r="H2925" s="1">
        <v>5.2663799999999995E-7</v>
      </c>
      <c r="I2925">
        <v>216.9896</v>
      </c>
      <c r="J2925">
        <v>-479.38510000000002</v>
      </c>
      <c r="K2925">
        <v>1.1248739999999999</v>
      </c>
      <c r="L2925">
        <v>218.166</v>
      </c>
      <c r="M2925">
        <v>0.97237770000000001</v>
      </c>
      <c r="N2925">
        <v>-1.3106659999999999E-2</v>
      </c>
      <c r="O2925">
        <v>-0.233045</v>
      </c>
      <c r="P2925">
        <v>0.9753001</v>
      </c>
      <c r="Q2925">
        <v>0.16161909999999999</v>
      </c>
      <c r="R2925">
        <v>-0.15056349999999999</v>
      </c>
      <c r="S2925">
        <v>3.0786129999999998</v>
      </c>
      <c r="T2925">
        <v>-0.22256960000000001</v>
      </c>
      <c r="U2925">
        <v>-0.24383540000000001</v>
      </c>
      <c r="V2925">
        <v>-8.2651039999999995E-2</v>
      </c>
      <c r="W2925">
        <v>0.17366909999999999</v>
      </c>
      <c r="X2925">
        <v>0.98132960000000002</v>
      </c>
      <c r="Y2925">
        <v>-0.1546902</v>
      </c>
      <c r="Z2925">
        <v>2.0161760000000001E-2</v>
      </c>
      <c r="AA2925">
        <v>0.98775729999999995</v>
      </c>
      <c r="AB2925">
        <v>26</v>
      </c>
      <c r="AC2925">
        <v>15.3126</v>
      </c>
      <c r="AD2925">
        <v>-1.1248734733619901</v>
      </c>
      <c r="AE2925">
        <v>-1.1763999999999999</v>
      </c>
      <c r="AF2925">
        <v>-2.4118885388209002</v>
      </c>
      <c r="AG2925">
        <v>-1.1248734733619901</v>
      </c>
      <c r="AH2925">
        <v>15.0841628516669</v>
      </c>
      <c r="AI2925">
        <v>94.211531187416199</v>
      </c>
      <c r="AJ2925">
        <v>99.084434340889004</v>
      </c>
      <c r="AK2925">
        <v>15.3171314413103</v>
      </c>
      <c r="AL2925">
        <v>79.998782412825804</v>
      </c>
      <c r="AM2925">
        <v>94.8142905285859</v>
      </c>
      <c r="AN2925">
        <v>0.999999967272025</v>
      </c>
    </row>
    <row r="2926" spans="1:40" x14ac:dyDescent="0.25">
      <c r="A2926" t="str">
        <f>"20190303162312695"</f>
        <v>20190303162312695</v>
      </c>
      <c r="B2926" t="str">
        <f>"1551601392687876"</f>
        <v>1551601392687876</v>
      </c>
      <c r="C2926" t="s">
        <v>40</v>
      </c>
      <c r="D2926">
        <v>5.4383739999999996</v>
      </c>
      <c r="E2926">
        <v>0.46723779999999998</v>
      </c>
      <c r="F2926" t="s">
        <v>47</v>
      </c>
      <c r="G2926">
        <v>-464.5077</v>
      </c>
      <c r="H2926" s="1">
        <v>7.5376469999999899E-7</v>
      </c>
      <c r="I2926">
        <v>217.09219999999999</v>
      </c>
      <c r="J2926">
        <v>-478.90769999999998</v>
      </c>
      <c r="K2926">
        <v>1.1234010000000001</v>
      </c>
      <c r="L2926">
        <v>218.06180000000001</v>
      </c>
      <c r="M2926">
        <v>0.97400750000000003</v>
      </c>
      <c r="N2926">
        <v>-1.286083E-2</v>
      </c>
      <c r="O2926">
        <v>-0.22615009999999999</v>
      </c>
      <c r="P2926">
        <v>0.97813459999999997</v>
      </c>
      <c r="Q2926">
        <v>0.1517675</v>
      </c>
      <c r="R2926">
        <v>-0.14219490000000001</v>
      </c>
      <c r="S2926">
        <v>3.080292</v>
      </c>
      <c r="T2926">
        <v>-0.2329</v>
      </c>
      <c r="U2926">
        <v>-0.2223358</v>
      </c>
      <c r="V2926">
        <v>-8.3804290000000004E-2</v>
      </c>
      <c r="W2926">
        <v>0.16386879999999901</v>
      </c>
      <c r="X2926">
        <v>0.98291600000000001</v>
      </c>
      <c r="Y2926">
        <v>-0.15451199999999901</v>
      </c>
      <c r="Z2926">
        <v>2.080166E-2</v>
      </c>
      <c r="AA2926">
        <v>0.98777190000000004</v>
      </c>
      <c r="AB2926">
        <v>26</v>
      </c>
      <c r="AC2926">
        <v>14.399999999999901</v>
      </c>
      <c r="AD2926">
        <v>-1.1234002462353001</v>
      </c>
      <c r="AE2926">
        <v>-0.96960000000001401</v>
      </c>
      <c r="AF2926">
        <v>-2.2984296515951499</v>
      </c>
      <c r="AG2926">
        <v>-1.1234002462353001</v>
      </c>
      <c r="AH2926">
        <v>14.160368777330399</v>
      </c>
      <c r="AI2926">
        <v>94.477651688922293</v>
      </c>
      <c r="AJ2926">
        <v>99.219517105622103</v>
      </c>
      <c r="AK2926">
        <v>14.389609129040601</v>
      </c>
      <c r="AL2926">
        <v>80.568472955911005</v>
      </c>
      <c r="AM2926">
        <v>94.873303093007706</v>
      </c>
      <c r="AN2926">
        <v>1.0000000028459199</v>
      </c>
    </row>
    <row r="2927" spans="1:40" x14ac:dyDescent="0.25">
      <c r="A2927" t="str">
        <f>"20190303162312718"</f>
        <v>20190303162312718</v>
      </c>
      <c r="B2927" t="str">
        <f>"1551601392707396"</f>
        <v>1551601392707396</v>
      </c>
      <c r="C2927" t="s">
        <v>40</v>
      </c>
      <c r="D2927">
        <v>5.4435500000000001</v>
      </c>
      <c r="E2927">
        <v>0.46840690000000001</v>
      </c>
      <c r="F2927" t="s">
        <v>47</v>
      </c>
      <c r="G2927">
        <v>-465.62200000000001</v>
      </c>
      <c r="H2927" s="1">
        <v>1.3433290000000001E-6</v>
      </c>
      <c r="I2927">
        <v>217.16980000000001</v>
      </c>
      <c r="J2927">
        <v>-478.6506</v>
      </c>
      <c r="K2927">
        <v>1.122722</v>
      </c>
      <c r="L2927">
        <v>218.00550000000001</v>
      </c>
      <c r="M2927">
        <v>0.97453500000000004</v>
      </c>
      <c r="N2927">
        <v>-1.274643E-2</v>
      </c>
      <c r="O2927">
        <v>-0.22387270000000001</v>
      </c>
      <c r="P2927">
        <v>0.97918519999999998</v>
      </c>
      <c r="Q2927">
        <v>0.14846219999999999</v>
      </c>
      <c r="R2927">
        <v>-0.138403</v>
      </c>
      <c r="S2927">
        <v>3.0773929999999998</v>
      </c>
      <c r="T2927">
        <v>-0.26021549999999999</v>
      </c>
      <c r="U2927">
        <v>-0.20660400000000001</v>
      </c>
      <c r="V2927">
        <v>-8.5141519999999998E-2</v>
      </c>
      <c r="W2927">
        <v>0.16058739999999999</v>
      </c>
      <c r="X2927">
        <v>0.98334259999999996</v>
      </c>
      <c r="Y2927">
        <v>-0.15690379999999901</v>
      </c>
      <c r="Z2927">
        <v>2.34662E-2</v>
      </c>
      <c r="AA2927">
        <v>0.98733510000000002</v>
      </c>
      <c r="AB2927">
        <v>26</v>
      </c>
      <c r="AC2927">
        <v>13.028600000000001</v>
      </c>
      <c r="AD2927">
        <v>-1.122720656671</v>
      </c>
      <c r="AE2927">
        <v>-0.835700000000002</v>
      </c>
      <c r="AF2927">
        <v>-2.08706505534261</v>
      </c>
      <c r="AG2927">
        <v>-1.122720656671</v>
      </c>
      <c r="AH2927">
        <v>12.7903737734409</v>
      </c>
      <c r="AI2927">
        <v>94.951331544720205</v>
      </c>
      <c r="AJ2927">
        <v>99.267543622869596</v>
      </c>
      <c r="AK2927">
        <v>13.0080745493894</v>
      </c>
      <c r="AL2927">
        <v>80.759007630430901</v>
      </c>
      <c r="AM2927">
        <v>94.948543830820498</v>
      </c>
      <c r="AN2927">
        <v>1.0000000302207099</v>
      </c>
    </row>
    <row r="2928" spans="1:40" x14ac:dyDescent="0.25">
      <c r="A2928" t="str">
        <f>"20190303162312740"</f>
        <v>20190303162312740</v>
      </c>
      <c r="B2928" t="str">
        <f>"1551601392727429"</f>
        <v>1551601392727429</v>
      </c>
      <c r="C2928" t="s">
        <v>40</v>
      </c>
      <c r="D2928">
        <v>5.3813599999999999</v>
      </c>
      <c r="E2928">
        <v>0.48014620000000002</v>
      </c>
      <c r="F2928" t="s">
        <v>47</v>
      </c>
      <c r="G2928">
        <v>-465.82650000000001</v>
      </c>
      <c r="H2928" s="1">
        <v>1.4524879999999999E-6</v>
      </c>
      <c r="I2928">
        <v>217.16239999999999</v>
      </c>
      <c r="J2928">
        <v>-478.39659999999998</v>
      </c>
      <c r="K2928">
        <v>1.1221049999999999</v>
      </c>
      <c r="L2928">
        <v>217.94970000000001</v>
      </c>
      <c r="M2928">
        <v>0.97487159999999995</v>
      </c>
      <c r="N2928">
        <v>-1.2646910000000001E-2</v>
      </c>
      <c r="O2928">
        <v>-0.2224083</v>
      </c>
      <c r="P2928">
        <v>0.98000620000000005</v>
      </c>
      <c r="Q2928">
        <v>0.14658860000000001</v>
      </c>
      <c r="R2928">
        <v>-0.1345346</v>
      </c>
      <c r="S2928">
        <v>3.0760190000000001</v>
      </c>
      <c r="T2928">
        <v>-0.2692988</v>
      </c>
      <c r="U2928">
        <v>-0.20222470000000001</v>
      </c>
      <c r="V2928">
        <v>-8.7361250000000001E-2</v>
      </c>
      <c r="W2928">
        <v>0.158739299999999</v>
      </c>
      <c r="X2928">
        <v>0.98344790000000004</v>
      </c>
      <c r="Y2928">
        <v>-0.15670290000000001</v>
      </c>
      <c r="Z2928">
        <v>2.425977E-2</v>
      </c>
      <c r="AA2928">
        <v>0.9873478</v>
      </c>
      <c r="AB2928">
        <v>26</v>
      </c>
      <c r="AC2928">
        <v>12.570099999999901</v>
      </c>
      <c r="AD2928">
        <v>-1.12210354751199</v>
      </c>
      <c r="AE2928">
        <v>-0.78730000000001599</v>
      </c>
      <c r="AF2928">
        <v>-2.0123670229810098</v>
      </c>
      <c r="AG2928">
        <v>-1.12210354751199</v>
      </c>
      <c r="AH2928">
        <v>12.3324397555636</v>
      </c>
      <c r="AI2928">
        <v>95.131412916943106</v>
      </c>
      <c r="AJ2928">
        <v>99.267657669342299</v>
      </c>
      <c r="AK2928">
        <v>12.5458282999221</v>
      </c>
      <c r="AL2928">
        <v>80.866271390581701</v>
      </c>
      <c r="AM2928">
        <v>95.076351136429906</v>
      </c>
      <c r="AN2928">
        <v>0.99999996269022995</v>
      </c>
    </row>
    <row r="2929" spans="1:40" x14ac:dyDescent="0.25">
      <c r="A2929" t="str">
        <f>"20190303162312761"</f>
        <v>20190303162312761</v>
      </c>
      <c r="B2929" t="str">
        <f>"1551601392757686"</f>
        <v>1551601392757686</v>
      </c>
      <c r="C2929" t="s">
        <v>40</v>
      </c>
      <c r="D2929">
        <v>5.4424049999999999</v>
      </c>
      <c r="E2929">
        <v>0.481155</v>
      </c>
      <c r="F2929" t="s">
        <v>47</v>
      </c>
      <c r="G2929">
        <v>-464.12889999999999</v>
      </c>
      <c r="H2929" s="1">
        <v>5.7141269999999995E-7</v>
      </c>
      <c r="I2929">
        <v>216.65209999999999</v>
      </c>
      <c r="J2929">
        <v>-478.1465</v>
      </c>
      <c r="K2929">
        <v>1.121567</v>
      </c>
      <c r="L2929">
        <v>217.89420000000001</v>
      </c>
      <c r="M2929">
        <v>0.97504639999999998</v>
      </c>
      <c r="N2929">
        <v>-1.2560760000000001E-2</v>
      </c>
      <c r="O2929">
        <v>-0.2216458</v>
      </c>
      <c r="P2929">
        <v>0.98022869999999995</v>
      </c>
      <c r="Q2929">
        <v>0.14851149999999999</v>
      </c>
      <c r="R2929">
        <v>-0.13075239999999999</v>
      </c>
      <c r="S2929">
        <v>3.0589900000000001</v>
      </c>
      <c r="T2929">
        <v>-0.2405785</v>
      </c>
      <c r="U2929">
        <v>-0.27819820000000001</v>
      </c>
      <c r="V2929">
        <v>-9.0107800000000002E-2</v>
      </c>
      <c r="W2929">
        <v>0.16068760000000001</v>
      </c>
      <c r="X2929">
        <v>0.98288359999999997</v>
      </c>
      <c r="Y2929">
        <v>-0.13150229999999999</v>
      </c>
      <c r="Z2929">
        <v>2.039842E-2</v>
      </c>
      <c r="AA2929">
        <v>0.99110600000000004</v>
      </c>
      <c r="AB2929">
        <v>26</v>
      </c>
      <c r="AC2929">
        <v>14.0176</v>
      </c>
      <c r="AD2929">
        <v>-1.1215664285872999</v>
      </c>
      <c r="AE2929">
        <v>-1.24210000000002</v>
      </c>
      <c r="AF2929">
        <v>-1.8840193286583999</v>
      </c>
      <c r="AG2929">
        <v>-1.1215664285872999</v>
      </c>
      <c r="AH2929">
        <v>13.8562022188583</v>
      </c>
      <c r="AI2929">
        <v>94.585607323027006</v>
      </c>
      <c r="AJ2929">
        <v>97.742988424098499</v>
      </c>
      <c r="AK2929">
        <v>14.0286057758562</v>
      </c>
      <c r="AL2929">
        <v>80.7531912015492</v>
      </c>
      <c r="AM2929">
        <v>95.238062044755196</v>
      </c>
      <c r="AN2929">
        <v>1.0000000457817699</v>
      </c>
    </row>
    <row r="2930" spans="1:40" x14ac:dyDescent="0.25">
      <c r="A2930" t="str">
        <f>"20190303162312785"</f>
        <v>20190303162312785</v>
      </c>
      <c r="B2930" t="str">
        <f>"1551601392778181"</f>
        <v>1551601392778181</v>
      </c>
      <c r="C2930" t="s">
        <v>40</v>
      </c>
      <c r="D2930">
        <v>5.4539569999999999</v>
      </c>
      <c r="E2930">
        <v>0.4823346</v>
      </c>
      <c r="F2930" t="s">
        <v>47</v>
      </c>
      <c r="G2930">
        <v>-462.82400000000001</v>
      </c>
      <c r="H2930" s="1">
        <v>-1.175088E-7</v>
      </c>
      <c r="I2930">
        <v>216.5264</v>
      </c>
      <c r="J2930">
        <v>-477.88200000000001</v>
      </c>
      <c r="K2930">
        <v>1.121084</v>
      </c>
      <c r="L2930">
        <v>217.83500000000001</v>
      </c>
      <c r="M2930">
        <v>0.97508720000000004</v>
      </c>
      <c r="N2930">
        <v>-1.248179E-2</v>
      </c>
      <c r="O2930">
        <v>-0.221471</v>
      </c>
      <c r="P2930">
        <v>0.97992469999999998</v>
      </c>
      <c r="Q2930">
        <v>0.15401500000000001</v>
      </c>
      <c r="R2930">
        <v>-0.12659970000000001</v>
      </c>
      <c r="S2930">
        <v>3.0579830000000001</v>
      </c>
      <c r="T2930">
        <v>-0.22383620000000001</v>
      </c>
      <c r="U2930">
        <v>-0.27297969999999999</v>
      </c>
      <c r="V2930">
        <v>-9.3708669999999994E-2</v>
      </c>
      <c r="W2930">
        <v>0.16621179999999999</v>
      </c>
      <c r="X2930">
        <v>0.98162740000000004</v>
      </c>
      <c r="Y2930">
        <v>-0.133099</v>
      </c>
      <c r="Z2930">
        <v>1.8924739999999999E-2</v>
      </c>
      <c r="AA2930">
        <v>0.99092199999999997</v>
      </c>
      <c r="AB2930">
        <v>26</v>
      </c>
      <c r="AC2930">
        <v>15.0579999999999</v>
      </c>
      <c r="AD2930">
        <v>-1.1210841175088</v>
      </c>
      <c r="AE2930">
        <v>-1.30860000000001</v>
      </c>
      <c r="AF2930">
        <v>-2.04780553399012</v>
      </c>
      <c r="AG2930">
        <v>-1.1210841175088</v>
      </c>
      <c r="AH2930">
        <v>14.8919180483009</v>
      </c>
      <c r="AI2930">
        <v>94.265197651236306</v>
      </c>
      <c r="AJ2930">
        <v>97.829706363163297</v>
      </c>
      <c r="AK2930">
        <v>15.0738037754536</v>
      </c>
      <c r="AL2930">
        <v>80.432362518770006</v>
      </c>
      <c r="AM2930">
        <v>95.453077354914498</v>
      </c>
      <c r="AN2930">
        <v>1.00000001486158</v>
      </c>
    </row>
    <row r="2931" spans="1:40" x14ac:dyDescent="0.25">
      <c r="A2931" t="str">
        <f>"20190303162312807"</f>
        <v>20190303162312807</v>
      </c>
      <c r="B2931" t="str">
        <f>"1551601392797703"</f>
        <v>1551601392797703</v>
      </c>
      <c r="C2931" t="s">
        <v>40</v>
      </c>
      <c r="D2931">
        <v>5.471082</v>
      </c>
      <c r="E2931">
        <v>0.47147860000000003</v>
      </c>
      <c r="F2931" t="s">
        <v>47</v>
      </c>
      <c r="G2931">
        <v>-460.7876</v>
      </c>
      <c r="H2931" s="1">
        <v>-1.192537E-6</v>
      </c>
      <c r="I2931">
        <v>216.3295</v>
      </c>
      <c r="J2931">
        <v>-477.62569999999999</v>
      </c>
      <c r="K2931">
        <v>1.1207100000000001</v>
      </c>
      <c r="L2931">
        <v>217.77690000000001</v>
      </c>
      <c r="M2931">
        <v>0.97502069999999996</v>
      </c>
      <c r="N2931">
        <v>-1.241481E-2</v>
      </c>
      <c r="O2931">
        <v>-0.22176709999999999</v>
      </c>
      <c r="P2931">
        <v>0.97968140000000004</v>
      </c>
      <c r="Q2931">
        <v>0.15781139999999999</v>
      </c>
      <c r="R2931">
        <v>-0.1237748</v>
      </c>
      <c r="S2931">
        <v>3.0581670000000001</v>
      </c>
      <c r="T2931">
        <v>-0.20056080000000001</v>
      </c>
      <c r="U2931">
        <v>-0.26933289999999999</v>
      </c>
      <c r="V2931">
        <v>-9.6540529999999999E-2</v>
      </c>
      <c r="W2931">
        <v>0.17002529999999999</v>
      </c>
      <c r="X2931">
        <v>0.9806994</v>
      </c>
      <c r="Y2931">
        <v>-0.13474069999999999</v>
      </c>
      <c r="Z2931">
        <v>1.6848209999999999E-2</v>
      </c>
      <c r="AA2931">
        <v>0.9907376</v>
      </c>
      <c r="AB2931">
        <v>26</v>
      </c>
      <c r="AC2931">
        <v>16.838099999999901</v>
      </c>
      <c r="AD2931">
        <v>-1.1207111925369999</v>
      </c>
      <c r="AE2931">
        <v>-1.44740000000001</v>
      </c>
      <c r="AF2931">
        <v>-2.31289958184583</v>
      </c>
      <c r="AG2931">
        <v>-1.1207111925369999</v>
      </c>
      <c r="AH2931">
        <v>16.6664801245958</v>
      </c>
      <c r="AI2931">
        <v>93.810564086334196</v>
      </c>
      <c r="AJ2931">
        <v>97.900790433154995</v>
      </c>
      <c r="AK2931">
        <v>16.863482967534502</v>
      </c>
      <c r="AL2931">
        <v>80.210709894348597</v>
      </c>
      <c r="AM2931">
        <v>95.622110921157301</v>
      </c>
      <c r="AN2931">
        <v>0.99999999486656499</v>
      </c>
    </row>
    <row r="2932" spans="1:40" x14ac:dyDescent="0.25">
      <c r="A2932" t="str">
        <f>"20190303162312831"</f>
        <v>20190303162312831</v>
      </c>
      <c r="B2932" t="str">
        <f>"1551601392817221"</f>
        <v>1551601392817221</v>
      </c>
      <c r="C2932" t="s">
        <v>40</v>
      </c>
      <c r="D2932">
        <v>5.4624139999999999</v>
      </c>
      <c r="E2932">
        <v>0.46959119999999999</v>
      </c>
      <c r="F2932" t="s">
        <v>47</v>
      </c>
      <c r="G2932">
        <v>-457.18189999999998</v>
      </c>
      <c r="H2932" s="1">
        <v>2.197066E-6</v>
      </c>
      <c r="I2932">
        <v>216.6294</v>
      </c>
      <c r="J2932">
        <v>-477.35219999999998</v>
      </c>
      <c r="K2932">
        <v>1.1204229999999999</v>
      </c>
      <c r="L2932">
        <v>217.71430000000001</v>
      </c>
      <c r="M2932">
        <v>0.97487349999999995</v>
      </c>
      <c r="N2932">
        <v>-1.235113E-2</v>
      </c>
      <c r="O2932">
        <v>-0.22241720000000001</v>
      </c>
      <c r="P2932">
        <v>0.97969700000000004</v>
      </c>
      <c r="Q2932">
        <v>0.15941749999999999</v>
      </c>
      <c r="R2932">
        <v>-0.1215741</v>
      </c>
      <c r="S2932">
        <v>3.0676269999999999</v>
      </c>
      <c r="T2932">
        <v>-0.16816439999999999</v>
      </c>
      <c r="U2932">
        <v>-0.17218020000000001</v>
      </c>
      <c r="V2932">
        <v>-9.9217760000000002E-2</v>
      </c>
      <c r="W2932">
        <v>0.17163639999999999</v>
      </c>
      <c r="X2932">
        <v>0.98015140000000001</v>
      </c>
      <c r="Y2932">
        <v>-0.16694899999999999</v>
      </c>
      <c r="Z2932">
        <v>1.4914429999999999E-2</v>
      </c>
      <c r="AA2932">
        <v>0.98585270000000003</v>
      </c>
      <c r="AB2932">
        <v>26</v>
      </c>
      <c r="AC2932">
        <v>20.170300000000001</v>
      </c>
      <c r="AD2932">
        <v>-1.1204208029339999</v>
      </c>
      <c r="AE2932">
        <v>-1.0849</v>
      </c>
      <c r="AF2932">
        <v>-3.4183253071611399</v>
      </c>
      <c r="AG2932">
        <v>-1.1204208029339999</v>
      </c>
      <c r="AH2932">
        <v>19.8452492091888</v>
      </c>
      <c r="AI2932">
        <v>93.184569451536603</v>
      </c>
      <c r="AJ2932">
        <v>99.773240140147394</v>
      </c>
      <c r="AK2932">
        <v>20.168644150166202</v>
      </c>
      <c r="AL2932">
        <v>80.1170234714847</v>
      </c>
      <c r="AM2932">
        <v>95.780189020046393</v>
      </c>
      <c r="AN2932">
        <v>0.99999999231316805</v>
      </c>
    </row>
    <row r="2933" spans="1:40" x14ac:dyDescent="0.25">
      <c r="A2933" t="str">
        <f>"20190303162312852"</f>
        <v>20190303162312852</v>
      </c>
      <c r="B2933" t="str">
        <f>"1551601392847984"</f>
        <v>1551601392847984</v>
      </c>
      <c r="C2933" t="s">
        <v>40</v>
      </c>
      <c r="D2933">
        <v>5.445659</v>
      </c>
      <c r="E2933">
        <v>0.46961589999999998</v>
      </c>
      <c r="F2933" t="s">
        <v>47</v>
      </c>
      <c r="G2933">
        <v>-456.22820000000002</v>
      </c>
      <c r="H2933" s="1">
        <v>1.6869230000000001E-6</v>
      </c>
      <c r="I2933">
        <v>216.68950000000001</v>
      </c>
      <c r="J2933">
        <v>-477.09769999999997</v>
      </c>
      <c r="K2933">
        <v>1.12025</v>
      </c>
      <c r="L2933">
        <v>217.65559999999999</v>
      </c>
      <c r="M2933">
        <v>0.97468969999999999</v>
      </c>
      <c r="N2933">
        <v>-1.229852E-2</v>
      </c>
      <c r="O2933">
        <v>-0.22322359999999999</v>
      </c>
      <c r="P2933">
        <v>0.98003910000000005</v>
      </c>
      <c r="Q2933">
        <v>0.16009419999999999</v>
      </c>
      <c r="R2933">
        <v>-0.1178709</v>
      </c>
      <c r="S2933">
        <v>3.07016</v>
      </c>
      <c r="T2933">
        <v>-0.1628416</v>
      </c>
      <c r="U2933">
        <v>-0.14895630000000001</v>
      </c>
      <c r="V2933">
        <v>-0.1036426</v>
      </c>
      <c r="W2933">
        <v>0.17230239999999999</v>
      </c>
      <c r="X2933">
        <v>0.97957649999999996</v>
      </c>
      <c r="Y2933">
        <v>-0.1752592</v>
      </c>
      <c r="Z2933">
        <v>1.469063E-2</v>
      </c>
      <c r="AA2933">
        <v>0.98441270000000003</v>
      </c>
      <c r="AB2933">
        <v>26</v>
      </c>
      <c r="AC2933">
        <v>20.869499999999899</v>
      </c>
      <c r="AD2933">
        <v>-1.120248313077</v>
      </c>
      <c r="AE2933">
        <v>-0.96609999999998297</v>
      </c>
      <c r="AF2933">
        <v>-3.7065410436215802</v>
      </c>
      <c r="AG2933">
        <v>-1.120248313077</v>
      </c>
      <c r="AH2933">
        <v>20.499556189218801</v>
      </c>
      <c r="AI2933">
        <v>93.0781433699362</v>
      </c>
      <c r="AJ2933">
        <v>100.24896455209699</v>
      </c>
      <c r="AK2933">
        <v>20.8620518345138</v>
      </c>
      <c r="AL2933">
        <v>80.078287604562604</v>
      </c>
      <c r="AM2933">
        <v>96.039622988897094</v>
      </c>
      <c r="AN2933">
        <v>1.0000000124663799</v>
      </c>
    </row>
    <row r="2934" spans="1:40" x14ac:dyDescent="0.25">
      <c r="A2934" t="str">
        <f>"20190303162312876"</f>
        <v>20190303162312876</v>
      </c>
      <c r="B2934" t="str">
        <f>"1551601392868480"</f>
        <v>1551601392868480</v>
      </c>
      <c r="C2934" t="s">
        <v>40</v>
      </c>
      <c r="D2934">
        <v>5.4418369999999996</v>
      </c>
      <c r="E2934">
        <v>0.47029720000000003</v>
      </c>
      <c r="F2934" t="s">
        <v>47</v>
      </c>
      <c r="G2934">
        <v>-456.18889999999999</v>
      </c>
      <c r="H2934" s="1">
        <v>1.665217E-6</v>
      </c>
      <c r="I2934">
        <v>216.70750000000001</v>
      </c>
      <c r="J2934">
        <v>-476.83929999999998</v>
      </c>
      <c r="K2934">
        <v>1.1201639999999999</v>
      </c>
      <c r="L2934">
        <v>217.59569999999999</v>
      </c>
      <c r="M2934">
        <v>0.97447910000000004</v>
      </c>
      <c r="N2934">
        <v>-1.225215E-2</v>
      </c>
      <c r="O2934">
        <v>-0.2241435</v>
      </c>
      <c r="P2934">
        <v>0.98039639999999995</v>
      </c>
      <c r="Q2934">
        <v>0.16061539999999999</v>
      </c>
      <c r="R2934">
        <v>-0.1141297</v>
      </c>
      <c r="S2934">
        <v>3.0712280000000001</v>
      </c>
      <c r="T2934">
        <v>-0.16454949999999999</v>
      </c>
      <c r="U2934">
        <v>-0.139267</v>
      </c>
      <c r="V2934">
        <v>-0.1082528</v>
      </c>
      <c r="W2934">
        <v>0.1728036</v>
      </c>
      <c r="X2934">
        <v>0.97898940000000001</v>
      </c>
      <c r="Y2934">
        <v>-0.17928369999999999</v>
      </c>
      <c r="Z2934">
        <v>1.503401E-2</v>
      </c>
      <c r="AA2934">
        <v>0.98368250000000002</v>
      </c>
      <c r="AB2934">
        <v>26</v>
      </c>
      <c r="AC2934">
        <v>20.650399999999902</v>
      </c>
      <c r="AD2934">
        <v>-1.1201623347830001</v>
      </c>
      <c r="AE2934">
        <v>-0.888199999999983</v>
      </c>
      <c r="AF2934">
        <v>-3.7523824853595</v>
      </c>
      <c r="AG2934">
        <v>-1.1201623347830001</v>
      </c>
      <c r="AH2934">
        <v>20.264477055091199</v>
      </c>
      <c r="AI2934">
        <v>93.111145384029399</v>
      </c>
      <c r="AJ2934">
        <v>100.490661149288</v>
      </c>
      <c r="AK2934">
        <v>20.639383912535202</v>
      </c>
      <c r="AL2934">
        <v>80.049133523140696</v>
      </c>
      <c r="AM2934">
        <v>96.309908197081796</v>
      </c>
      <c r="AN2934">
        <v>0.99999999909657999</v>
      </c>
    </row>
    <row r="2935" spans="1:40" x14ac:dyDescent="0.25">
      <c r="A2935" t="str">
        <f>"20190303162312897"</f>
        <v>20190303162312897</v>
      </c>
      <c r="B2935" t="str">
        <f>"1551601392888000"</f>
        <v>1551601392888000</v>
      </c>
      <c r="C2935" t="s">
        <v>40</v>
      </c>
      <c r="D2935">
        <v>5.4456150000000001</v>
      </c>
      <c r="E2935">
        <v>0.47097280000000002</v>
      </c>
      <c r="F2935" t="s">
        <v>47</v>
      </c>
      <c r="G2935">
        <v>-456.6046</v>
      </c>
      <c r="H2935" s="1">
        <v>1.8866029999999999E-6</v>
      </c>
      <c r="I2935">
        <v>216.7037</v>
      </c>
      <c r="J2935">
        <v>-476.59289999999999</v>
      </c>
      <c r="K2935">
        <v>1.120136</v>
      </c>
      <c r="L2935">
        <v>217.53809999999999</v>
      </c>
      <c r="M2935">
        <v>0.97427529999999996</v>
      </c>
      <c r="N2935">
        <v>-1.221423E-2</v>
      </c>
      <c r="O2935">
        <v>-0.22503000000000001</v>
      </c>
      <c r="P2935">
        <v>0.98021230000000004</v>
      </c>
      <c r="Q2935">
        <v>0.162413</v>
      </c>
      <c r="R2935">
        <v>-0.1131643</v>
      </c>
      <c r="S2935">
        <v>3.0721129999999999</v>
      </c>
      <c r="T2935">
        <v>-0.17006740000000001</v>
      </c>
      <c r="U2935">
        <v>-0.13542179999999901</v>
      </c>
      <c r="V2935">
        <v>-0.11002580000000001</v>
      </c>
      <c r="W2935">
        <v>0.1745707</v>
      </c>
      <c r="X2935">
        <v>0.97847810000000002</v>
      </c>
      <c r="Y2935">
        <v>-0.18137919999999999</v>
      </c>
      <c r="Z2935">
        <v>1.5702029999999999E-2</v>
      </c>
      <c r="AA2935">
        <v>0.98328789999999999</v>
      </c>
      <c r="AB2935">
        <v>26</v>
      </c>
      <c r="AC2935">
        <v>19.988299999999899</v>
      </c>
      <c r="AD2935">
        <v>-1.120134113397</v>
      </c>
      <c r="AE2935">
        <v>-0.83439999999998704</v>
      </c>
      <c r="AF2935">
        <v>-3.6737894723108901</v>
      </c>
      <c r="AG2935">
        <v>-1.120134113397</v>
      </c>
      <c r="AH2935">
        <v>19.6018871917735</v>
      </c>
      <c r="AI2935">
        <v>93.214711724206893</v>
      </c>
      <c r="AJ2935">
        <v>100.615237880489</v>
      </c>
      <c r="AK2935">
        <v>19.974619170283798</v>
      </c>
      <c r="AL2935">
        <v>79.946323514345494</v>
      </c>
      <c r="AM2935">
        <v>96.415722825406306</v>
      </c>
      <c r="AN2935">
        <v>0.99999999907186998</v>
      </c>
    </row>
    <row r="2936" spans="1:40" x14ac:dyDescent="0.25">
      <c r="A2936" t="str">
        <f>"20190303162312919"</f>
        <v>20190303162312919</v>
      </c>
      <c r="B2936" t="str">
        <f>"1551601392907520"</f>
        <v>1551601392907520</v>
      </c>
      <c r="C2936" t="s">
        <v>40</v>
      </c>
      <c r="D2936">
        <v>5.503552</v>
      </c>
      <c r="E2936">
        <v>0.47177190000000002</v>
      </c>
      <c r="F2936" t="s">
        <v>47</v>
      </c>
      <c r="G2936">
        <v>-456.20370000000003</v>
      </c>
      <c r="H2936" s="1">
        <v>1.6766880000000001E-6</v>
      </c>
      <c r="I2936">
        <v>216.62559999999999</v>
      </c>
      <c r="J2936">
        <v>-476.34390000000002</v>
      </c>
      <c r="K2936">
        <v>1.120131</v>
      </c>
      <c r="L2936">
        <v>217.47970000000001</v>
      </c>
      <c r="M2936">
        <v>0.97408240000000001</v>
      </c>
      <c r="N2936">
        <v>-1.218111E-2</v>
      </c>
      <c r="O2936">
        <v>-0.2258655</v>
      </c>
      <c r="P2936">
        <v>0.97990889999999997</v>
      </c>
      <c r="Q2936">
        <v>0.16312639999999901</v>
      </c>
      <c r="R2936">
        <v>-0.1147543</v>
      </c>
      <c r="S2936">
        <v>3.0727229999999999</v>
      </c>
      <c r="T2936">
        <v>-0.16880819999999999</v>
      </c>
      <c r="U2936">
        <v>-0.1375122</v>
      </c>
      <c r="V2936">
        <v>-0.1092524</v>
      </c>
      <c r="W2936">
        <v>0.17524719999999999</v>
      </c>
      <c r="X2936">
        <v>0.97844390000000003</v>
      </c>
      <c r="Y2936">
        <v>-0.1815708</v>
      </c>
      <c r="Z2936">
        <v>1.561509E-2</v>
      </c>
      <c r="AA2936">
        <v>0.98325390000000001</v>
      </c>
      <c r="AB2936">
        <v>26</v>
      </c>
      <c r="AC2936">
        <v>20.1402</v>
      </c>
      <c r="AD2936">
        <v>-1.120129323312</v>
      </c>
      <c r="AE2936">
        <v>-0.85410000000001596</v>
      </c>
      <c r="AF2936">
        <v>-3.7058457623265202</v>
      </c>
      <c r="AG2936">
        <v>-1.120129323312</v>
      </c>
      <c r="AH2936">
        <v>19.7516086714216</v>
      </c>
      <c r="AI2936">
        <v>93.190263762063907</v>
      </c>
      <c r="AJ2936">
        <v>100.626434265903</v>
      </c>
      <c r="AK2936">
        <v>20.127444637212999</v>
      </c>
      <c r="AL2936">
        <v>79.906956744010202</v>
      </c>
      <c r="AM2936">
        <v>96.371218008245094</v>
      </c>
      <c r="AN2936">
        <v>1.0000000667304001</v>
      </c>
    </row>
    <row r="2937" spans="1:40" x14ac:dyDescent="0.25">
      <c r="A2937" t="str">
        <f>"20190303162312941"</f>
        <v>20190303162312941</v>
      </c>
      <c r="B2937" t="str">
        <f>"1551601392937776"</f>
        <v>1551601392937776</v>
      </c>
      <c r="C2937" t="s">
        <v>40</v>
      </c>
      <c r="D2937">
        <v>5.4348839999999896</v>
      </c>
      <c r="E2937">
        <v>0.47944399999999998</v>
      </c>
      <c r="F2937" t="s">
        <v>47</v>
      </c>
      <c r="G2937">
        <v>-456.19299999999998</v>
      </c>
      <c r="H2937" s="1">
        <v>1.676088E-6</v>
      </c>
      <c r="I2937">
        <v>216.5093</v>
      </c>
      <c r="J2937">
        <v>-476.09120000000001</v>
      </c>
      <c r="K2937">
        <v>1.120187</v>
      </c>
      <c r="L2937">
        <v>217.42019999999999</v>
      </c>
      <c r="M2937">
        <v>0.97391550000000005</v>
      </c>
      <c r="N2937">
        <v>-1.215185E-2</v>
      </c>
      <c r="O2937">
        <v>-0.22658590000000001</v>
      </c>
      <c r="P2937">
        <v>0.9802206</v>
      </c>
      <c r="Q2937">
        <v>0.16072629999999999</v>
      </c>
      <c r="R2937">
        <v>-0.1154766</v>
      </c>
      <c r="S2937">
        <v>3.072632</v>
      </c>
      <c r="T2937">
        <v>-0.170798799999999</v>
      </c>
      <c r="U2937">
        <v>-0.1479645</v>
      </c>
      <c r="V2937">
        <v>-0.1093763</v>
      </c>
      <c r="W2937">
        <v>0.1728064</v>
      </c>
      <c r="X2937">
        <v>0.97886399999999996</v>
      </c>
      <c r="Y2937">
        <v>-0.17894939999999901</v>
      </c>
      <c r="Z2937">
        <v>1.5761979999999998E-2</v>
      </c>
      <c r="AA2937">
        <v>0.98373200000000005</v>
      </c>
      <c r="AB2937">
        <v>26</v>
      </c>
      <c r="AC2937">
        <v>19.8981999999999</v>
      </c>
      <c r="AD2937">
        <v>-1.1201853239120001</v>
      </c>
      <c r="AE2937">
        <v>-0.91089999999999705</v>
      </c>
      <c r="AF2937">
        <v>-3.6103608194866501</v>
      </c>
      <c r="AG2937">
        <v>-1.1201853239120001</v>
      </c>
      <c r="AH2937">
        <v>19.525256000350002</v>
      </c>
      <c r="AI2937">
        <v>93.228905732948306</v>
      </c>
      <c r="AJ2937">
        <v>100.47607810840999</v>
      </c>
      <c r="AK2937">
        <v>19.887813914203701</v>
      </c>
      <c r="AL2937">
        <v>80.048970439482602</v>
      </c>
      <c r="AM2937">
        <v>96.375669036849004</v>
      </c>
      <c r="AN2937">
        <v>0.999999978689324</v>
      </c>
    </row>
    <row r="2938" spans="1:40" x14ac:dyDescent="0.25">
      <c r="A2938" t="str">
        <f>"20190303162312963"</f>
        <v>20190303162312963</v>
      </c>
      <c r="B2938" t="str">
        <f>"1551601392957296"</f>
        <v>1551601392957296</v>
      </c>
      <c r="C2938" t="s">
        <v>40</v>
      </c>
      <c r="D2938">
        <v>5.4928019999999904</v>
      </c>
      <c r="E2938">
        <v>0.48019869999999998</v>
      </c>
      <c r="F2938" t="s">
        <v>47</v>
      </c>
      <c r="G2938">
        <v>-458.22489999999999</v>
      </c>
      <c r="H2938" s="1">
        <v>2.7711219999999998E-6</v>
      </c>
      <c r="I2938">
        <v>216.19409999999999</v>
      </c>
      <c r="J2938">
        <v>-475.84399999999999</v>
      </c>
      <c r="K2938">
        <v>1.12029</v>
      </c>
      <c r="L2938">
        <v>217.36189999999999</v>
      </c>
      <c r="M2938">
        <v>0.97379000000000004</v>
      </c>
      <c r="N2938">
        <v>-1.2127219999999999E-2</v>
      </c>
      <c r="O2938">
        <v>-0.2271261</v>
      </c>
      <c r="P2938">
        <v>0.98100540000000003</v>
      </c>
      <c r="Q2938">
        <v>0.1563726</v>
      </c>
      <c r="R2938">
        <v>-0.1147875</v>
      </c>
      <c r="S2938">
        <v>3.0672299999999999</v>
      </c>
      <c r="T2938">
        <v>-0.1923097</v>
      </c>
      <c r="U2938">
        <v>-0.21049499999999999</v>
      </c>
      <c r="V2938">
        <v>-0.1108239</v>
      </c>
      <c r="W2938">
        <v>0.1684068</v>
      </c>
      <c r="X2938">
        <v>0.9794678</v>
      </c>
      <c r="Y2938">
        <v>-0.15928210000000001</v>
      </c>
      <c r="Z2938">
        <v>1.7266110000000001E-2</v>
      </c>
      <c r="AA2938">
        <v>0.98708209999999996</v>
      </c>
      <c r="AB2938">
        <v>26</v>
      </c>
      <c r="AC2938">
        <v>17.6191</v>
      </c>
      <c r="AD2938">
        <v>-1.1202872288779999</v>
      </c>
      <c r="AE2938">
        <v>-1.16779999999999</v>
      </c>
      <c r="AF2938">
        <v>-2.8532906770067701</v>
      </c>
      <c r="AG2938">
        <v>-1.1202872288779999</v>
      </c>
      <c r="AH2938">
        <v>17.353966736443901</v>
      </c>
      <c r="AI2938">
        <v>93.6448081740904</v>
      </c>
      <c r="AJ2938">
        <v>99.336875263000707</v>
      </c>
      <c r="AK2938">
        <v>17.622612537654099</v>
      </c>
      <c r="AL2938">
        <v>80.304799846821794</v>
      </c>
      <c r="AM2938">
        <v>96.455394437989995</v>
      </c>
      <c r="AN2938">
        <v>0.999999979167144</v>
      </c>
    </row>
    <row r="2939" spans="1:40" x14ac:dyDescent="0.25">
      <c r="A2939" t="str">
        <f>"20190303162312986"</f>
        <v>20190303162312986</v>
      </c>
      <c r="B2939" t="str">
        <f>"1551601392977792"</f>
        <v>1551601392977792</v>
      </c>
      <c r="C2939" t="s">
        <v>40</v>
      </c>
      <c r="D2939">
        <v>5.4959220000000002</v>
      </c>
      <c r="E2939">
        <v>0.48102719999999999</v>
      </c>
      <c r="F2939" t="s">
        <v>47</v>
      </c>
      <c r="G2939">
        <v>-459.07690000000002</v>
      </c>
      <c r="H2939" s="1">
        <v>3.2245919999999998E-6</v>
      </c>
      <c r="I2939">
        <v>216.1926</v>
      </c>
      <c r="J2939">
        <v>-475.57859999999999</v>
      </c>
      <c r="K2939">
        <v>1.1204480000000001</v>
      </c>
      <c r="L2939">
        <v>217.29939999999999</v>
      </c>
      <c r="M2939">
        <v>0.97370639999999997</v>
      </c>
      <c r="N2939">
        <v>-1.210499E-2</v>
      </c>
      <c r="O2939">
        <v>-0.22748380000000001</v>
      </c>
      <c r="P2939">
        <v>0.981325</v>
      </c>
      <c r="Q2939">
        <v>0.15529780000000001</v>
      </c>
      <c r="R2939">
        <v>-0.11350689999999999</v>
      </c>
      <c r="S2939">
        <v>3.0657350000000001</v>
      </c>
      <c r="T2939">
        <v>-0.2048365</v>
      </c>
      <c r="U2939">
        <v>-0.21379090000000001</v>
      </c>
      <c r="V2939">
        <v>-0.11257250000000001</v>
      </c>
      <c r="W2939">
        <v>0.1672669</v>
      </c>
      <c r="X2939">
        <v>0.9794638</v>
      </c>
      <c r="Y2939">
        <v>-0.15846350000000001</v>
      </c>
      <c r="Z2939">
        <v>1.8504739999999999E-2</v>
      </c>
      <c r="AA2939">
        <v>0.98719140000000005</v>
      </c>
      <c r="AB2939">
        <v>26</v>
      </c>
      <c r="AC2939">
        <v>16.5016999999999</v>
      </c>
      <c r="AD2939">
        <v>-1.12044477540799</v>
      </c>
      <c r="AE2939">
        <v>-1.10679999999999</v>
      </c>
      <c r="AF2939">
        <v>-2.66414053444448</v>
      </c>
      <c r="AG2939">
        <v>-1.12044477540799</v>
      </c>
      <c r="AH2939">
        <v>16.2462257603901</v>
      </c>
      <c r="AI2939">
        <v>93.893401729540201</v>
      </c>
      <c r="AJ2939">
        <v>99.312772981277604</v>
      </c>
      <c r="AK2939">
        <v>16.501299728796301</v>
      </c>
      <c r="AL2939">
        <v>80.371051880840895</v>
      </c>
      <c r="AM2939">
        <v>96.556395367119194</v>
      </c>
      <c r="AN2939">
        <v>1.00000005955114</v>
      </c>
    </row>
    <row r="2940" spans="1:40" x14ac:dyDescent="0.25">
      <c r="A2940" t="str">
        <f>"20190303162313009"</f>
        <v>20190303162313009</v>
      </c>
      <c r="B2940" t="str">
        <f>"1551601392997313"</f>
        <v>1551601392997313</v>
      </c>
      <c r="C2940" t="s">
        <v>40</v>
      </c>
      <c r="D2940">
        <v>5.5006409999999999</v>
      </c>
      <c r="E2940">
        <v>0.48146820000000001</v>
      </c>
      <c r="F2940" t="s">
        <v>47</v>
      </c>
      <c r="G2940">
        <v>-458.85239999999999</v>
      </c>
      <c r="H2940" s="1">
        <v>3.1083329999999998E-6</v>
      </c>
      <c r="I2940">
        <v>216.11869999999999</v>
      </c>
      <c r="J2940">
        <v>-475.3125</v>
      </c>
      <c r="K2940">
        <v>1.120652</v>
      </c>
      <c r="L2940">
        <v>217.23699999999999</v>
      </c>
      <c r="M2940">
        <v>0.97368259999999995</v>
      </c>
      <c r="N2940">
        <v>-1.208652E-2</v>
      </c>
      <c r="O2940">
        <v>-0.22758790000000001</v>
      </c>
      <c r="P2940">
        <v>0.98120459999999998</v>
      </c>
      <c r="Q2940">
        <v>0.1568388</v>
      </c>
      <c r="R2940">
        <v>-0.1124261</v>
      </c>
      <c r="S2940">
        <v>3.0644840000000002</v>
      </c>
      <c r="T2940">
        <v>-0.2052813</v>
      </c>
      <c r="U2940">
        <v>-0.21632390000000001</v>
      </c>
      <c r="V2940">
        <v>-0.1137813</v>
      </c>
      <c r="W2940">
        <v>0.16873199999999999</v>
      </c>
      <c r="X2940">
        <v>0.97907270000000002</v>
      </c>
      <c r="Y2940">
        <v>-0.15772659999999999</v>
      </c>
      <c r="Z2940">
        <v>1.8535309999999999E-2</v>
      </c>
      <c r="AA2940">
        <v>0.98730890000000004</v>
      </c>
      <c r="AB2940">
        <v>26</v>
      </c>
      <c r="AC2940">
        <v>16.460100000000001</v>
      </c>
      <c r="AD2940">
        <v>-1.1206488916670001</v>
      </c>
      <c r="AE2940">
        <v>-1.1183000000000001</v>
      </c>
      <c r="AF2940">
        <v>-2.6452392273582599</v>
      </c>
      <c r="AG2940">
        <v>-1.1206488916670001</v>
      </c>
      <c r="AH2940">
        <v>16.207830376643699</v>
      </c>
      <c r="AI2940">
        <v>93.903787465068604</v>
      </c>
      <c r="AJ2940">
        <v>99.269374836156899</v>
      </c>
      <c r="AK2940">
        <v>16.460465061060798</v>
      </c>
      <c r="AL2940">
        <v>80.285897073257999</v>
      </c>
      <c r="AM2940">
        <v>96.628798294671398</v>
      </c>
      <c r="AN2940">
        <v>1.0000000119694801</v>
      </c>
    </row>
    <row r="2941" spans="1:40" x14ac:dyDescent="0.25">
      <c r="A2941" t="str">
        <f>"20190303162313031"</f>
        <v>20190303162313031</v>
      </c>
      <c r="B2941" t="str">
        <f>"1551601393017808"</f>
        <v>1551601393017808</v>
      </c>
      <c r="C2941" t="s">
        <v>40</v>
      </c>
      <c r="D2941">
        <v>5.5026279999999996</v>
      </c>
      <c r="E2941">
        <v>0.48178539999999997</v>
      </c>
      <c r="F2941" t="s">
        <v>47</v>
      </c>
      <c r="G2941">
        <v>-457.99430000000001</v>
      </c>
      <c r="H2941" s="1">
        <v>2.6561840000000001E-6</v>
      </c>
      <c r="I2941">
        <v>216.0164</v>
      </c>
      <c r="J2941">
        <v>-475.06150000000002</v>
      </c>
      <c r="K2941">
        <v>1.12086</v>
      </c>
      <c r="L2941">
        <v>217.17830000000001</v>
      </c>
      <c r="M2941">
        <v>0.97371419999999997</v>
      </c>
      <c r="N2941">
        <v>-1.2072019999999999E-2</v>
      </c>
      <c r="O2941">
        <v>-0.22745399999999999</v>
      </c>
      <c r="P2941">
        <v>0.98090549999999999</v>
      </c>
      <c r="Q2941">
        <v>0.159880299999999</v>
      </c>
      <c r="R2941">
        <v>-0.110739</v>
      </c>
      <c r="S2941">
        <v>3.0644840000000002</v>
      </c>
      <c r="T2941">
        <v>-0.1983008</v>
      </c>
      <c r="U2941">
        <v>-0.2159729</v>
      </c>
      <c r="V2941">
        <v>-0.1152977</v>
      </c>
      <c r="W2941">
        <v>0.1716993</v>
      </c>
      <c r="X2941">
        <v>0.9783792</v>
      </c>
      <c r="Y2941">
        <v>-0.1577559</v>
      </c>
      <c r="Z2941">
        <v>1.784121E-2</v>
      </c>
      <c r="AA2941">
        <v>0.987317</v>
      </c>
      <c r="AB2941">
        <v>26</v>
      </c>
      <c r="AC2941">
        <v>17.0672</v>
      </c>
      <c r="AD2941">
        <v>-1.1208573438160001</v>
      </c>
      <c r="AE2941">
        <v>-1.1618999999999999</v>
      </c>
      <c r="AF2941">
        <v>-2.7390851983873201</v>
      </c>
      <c r="AG2941">
        <v>-1.1208573438160001</v>
      </c>
      <c r="AH2941">
        <v>16.811906068529201</v>
      </c>
      <c r="AI2941">
        <v>93.764795882908004</v>
      </c>
      <c r="AJ2941">
        <v>99.2536268190958</v>
      </c>
      <c r="AK2941">
        <v>17.070415770163901</v>
      </c>
      <c r="AL2941">
        <v>80.113365677835404</v>
      </c>
      <c r="AM2941">
        <v>96.721057755416695</v>
      </c>
      <c r="AN2941">
        <v>1.0000000341191999</v>
      </c>
    </row>
    <row r="2942" spans="1:40" x14ac:dyDescent="0.25">
      <c r="A2942" t="str">
        <f>"20190303162313055"</f>
        <v>20190303162313055</v>
      </c>
      <c r="B2942" t="str">
        <f>"1551601393047089"</f>
        <v>1551601393047089</v>
      </c>
      <c r="C2942" t="s">
        <v>40</v>
      </c>
      <c r="D2942">
        <v>5.5631440000000003</v>
      </c>
      <c r="E2942">
        <v>0.48233740000000003</v>
      </c>
      <c r="F2942" t="s">
        <v>47</v>
      </c>
      <c r="G2942">
        <v>-456.60169999999999</v>
      </c>
      <c r="H2942" s="1">
        <v>1.9200120000000002E-6</v>
      </c>
      <c r="I2942">
        <v>215.90440000000001</v>
      </c>
      <c r="J2942">
        <v>-474.78590000000003</v>
      </c>
      <c r="K2942">
        <v>1.1211120000000001</v>
      </c>
      <c r="L2942">
        <v>217.11420000000001</v>
      </c>
      <c r="M2942">
        <v>0.97382619999999998</v>
      </c>
      <c r="N2942">
        <v>-1.205907E-2</v>
      </c>
      <c r="O2942">
        <v>-0.22697439999999999</v>
      </c>
      <c r="P2942">
        <v>0.98088759999999997</v>
      </c>
      <c r="Q2942">
        <v>0.1624013</v>
      </c>
      <c r="R2942">
        <v>-0.1071714</v>
      </c>
      <c r="S2942">
        <v>3.064819</v>
      </c>
      <c r="T2942">
        <v>-0.1860927</v>
      </c>
      <c r="U2942">
        <v>-0.2115021</v>
      </c>
      <c r="V2942">
        <v>-0.11838220000000001</v>
      </c>
      <c r="W2942">
        <v>0.1741326</v>
      </c>
      <c r="X2942">
        <v>0.97758040000000002</v>
      </c>
      <c r="Y2942">
        <v>-0.15879589999999999</v>
      </c>
      <c r="Z2942">
        <v>1.665003E-2</v>
      </c>
      <c r="AA2942">
        <v>0.98717100000000002</v>
      </c>
      <c r="AB2942">
        <v>26</v>
      </c>
      <c r="AC2942">
        <v>18.184200000000001</v>
      </c>
      <c r="AD2942">
        <v>-1.1211100799880001</v>
      </c>
      <c r="AE2942">
        <v>-1.2098</v>
      </c>
      <c r="AF2942">
        <v>-2.9383074640234899</v>
      </c>
      <c r="AG2942">
        <v>-1.1211100799880001</v>
      </c>
      <c r="AH2942">
        <v>17.916347761515201</v>
      </c>
      <c r="AI2942">
        <v>93.533515406273395</v>
      </c>
      <c r="AJ2942">
        <v>99.313681221161502</v>
      </c>
      <c r="AK2942">
        <v>18.1902736558892</v>
      </c>
      <c r="AL2942">
        <v>79.971814977304206</v>
      </c>
      <c r="AM2942">
        <v>96.9047350279331</v>
      </c>
      <c r="AN2942">
        <v>0.99999997306187904</v>
      </c>
    </row>
    <row r="2943" spans="1:40" x14ac:dyDescent="0.25">
      <c r="A2943" t="str">
        <f>"20190303162313076"</f>
        <v>20190303162313076</v>
      </c>
      <c r="B2943" t="str">
        <f>"1551601393067584"</f>
        <v>1551601393067584</v>
      </c>
      <c r="C2943" t="s">
        <v>40</v>
      </c>
      <c r="D2943">
        <v>5.5636239999999999</v>
      </c>
      <c r="E2943">
        <v>0.4828249</v>
      </c>
      <c r="F2943" t="s">
        <v>47</v>
      </c>
      <c r="G2943">
        <v>-455.04610000000002</v>
      </c>
      <c r="H2943" s="1">
        <v>1.0964720000000001E-6</v>
      </c>
      <c r="I2943">
        <v>215.80690000000001</v>
      </c>
      <c r="J2943">
        <v>-474.54289999999997</v>
      </c>
      <c r="K2943">
        <v>1.1213709999999999</v>
      </c>
      <c r="L2943">
        <v>217.0582</v>
      </c>
      <c r="M2943">
        <v>0.97400679999999995</v>
      </c>
      <c r="N2943">
        <v>-1.2050719999999999E-2</v>
      </c>
      <c r="O2943">
        <v>-0.2261987</v>
      </c>
      <c r="P2943">
        <v>0.98059079999999998</v>
      </c>
      <c r="Q2943">
        <v>0.16664519999999999</v>
      </c>
      <c r="R2943">
        <v>-0.1033008</v>
      </c>
      <c r="S2943">
        <v>3.0651250000000001</v>
      </c>
      <c r="T2943">
        <v>-0.174082399999999</v>
      </c>
      <c r="U2943">
        <v>-0.20300289999999999</v>
      </c>
      <c r="V2943">
        <v>-0.1214118</v>
      </c>
      <c r="W2943">
        <v>0.17828229999999901</v>
      </c>
      <c r="X2943">
        <v>0.9764602</v>
      </c>
      <c r="Y2943">
        <v>-0.16081790000000001</v>
      </c>
      <c r="Z2943">
        <v>1.5499290000000001E-2</v>
      </c>
      <c r="AA2943">
        <v>0.98686240000000003</v>
      </c>
      <c r="AB2943">
        <v>26</v>
      </c>
      <c r="AC2943">
        <v>19.496799999999901</v>
      </c>
      <c r="AD2943">
        <v>-1.12136990352799</v>
      </c>
      <c r="AE2943">
        <v>-1.2512999999999801</v>
      </c>
      <c r="AF2943">
        <v>-3.1811272115091098</v>
      </c>
      <c r="AG2943">
        <v>-1.12136990352799</v>
      </c>
      <c r="AH2943">
        <v>19.211164056645401</v>
      </c>
      <c r="AI2943">
        <v>93.2958286666764</v>
      </c>
      <c r="AJ2943">
        <v>99.4021470192191</v>
      </c>
      <c r="AK2943">
        <v>19.505021538252301</v>
      </c>
      <c r="AL2943">
        <v>79.7302750151228</v>
      </c>
      <c r="AM2943">
        <v>97.087707006751003</v>
      </c>
      <c r="AN2943">
        <v>0.99999996292828397</v>
      </c>
    </row>
    <row r="2944" spans="1:40" x14ac:dyDescent="0.25">
      <c r="A2944" t="str">
        <f>"20190303162313098"</f>
        <v>20190303162313098</v>
      </c>
      <c r="B2944" t="str">
        <f>"1551601393087104"</f>
        <v>1551601393087104</v>
      </c>
      <c r="C2944" t="s">
        <v>40</v>
      </c>
      <c r="D2944">
        <v>5.5637290000000004</v>
      </c>
      <c r="E2944">
        <v>0.48321809999999998</v>
      </c>
      <c r="F2944" t="s">
        <v>47</v>
      </c>
      <c r="G2944">
        <v>-453.04539999999997</v>
      </c>
      <c r="H2944" s="1">
        <v>3.6667170000000001E-8</v>
      </c>
      <c r="I2944">
        <v>215.69550000000001</v>
      </c>
      <c r="J2944">
        <v>-474.29289999999997</v>
      </c>
      <c r="K2944">
        <v>1.1216930000000001</v>
      </c>
      <c r="L2944">
        <v>217.00129999999999</v>
      </c>
      <c r="M2944">
        <v>0.97428179999999998</v>
      </c>
      <c r="N2944">
        <v>-1.2046350000000001E-2</v>
      </c>
      <c r="O2944">
        <v>-0.2250113</v>
      </c>
      <c r="P2944">
        <v>0.98034920000000003</v>
      </c>
      <c r="Q2944">
        <v>0.1702176</v>
      </c>
      <c r="R2944">
        <v>-9.970764E-2</v>
      </c>
      <c r="S2944">
        <v>3.0661320000000001</v>
      </c>
      <c r="T2944">
        <v>-0.1599381</v>
      </c>
      <c r="U2944">
        <v>-0.1943665</v>
      </c>
      <c r="V2944">
        <v>-0.1238011</v>
      </c>
      <c r="W2944">
        <v>0.18174760000000001</v>
      </c>
      <c r="X2944">
        <v>0.97552090000000002</v>
      </c>
      <c r="Y2944">
        <v>-0.16249</v>
      </c>
      <c r="Z2944">
        <v>1.4103009999999999E-2</v>
      </c>
      <c r="AA2944">
        <v>0.98660939999999997</v>
      </c>
      <c r="AB2944">
        <v>26</v>
      </c>
      <c r="AC2944">
        <v>21.247499999999999</v>
      </c>
      <c r="AD2944">
        <v>-1.1216929633328301</v>
      </c>
      <c r="AE2944">
        <v>-1.3057999999999701</v>
      </c>
      <c r="AF2944">
        <v>-3.4992490293312701</v>
      </c>
      <c r="AG2944">
        <v>-1.1216929633328301</v>
      </c>
      <c r="AH2944">
        <v>20.938258698470801</v>
      </c>
      <c r="AI2944">
        <v>93.024618776832995</v>
      </c>
      <c r="AJ2944">
        <v>99.487718177432697</v>
      </c>
      <c r="AK2944">
        <v>21.2582599522481</v>
      </c>
      <c r="AL2944">
        <v>79.528430487578404</v>
      </c>
      <c r="AM2944">
        <v>97.2326117378867</v>
      </c>
      <c r="AN2944">
        <v>0.99999996440188899</v>
      </c>
    </row>
    <row r="2945" spans="1:40" x14ac:dyDescent="0.25">
      <c r="A2945" t="str">
        <f>"20190303162313120"</f>
        <v>20190303162313120</v>
      </c>
      <c r="B2945" t="str">
        <f>"1551601393107604"</f>
        <v>1551601393107604</v>
      </c>
      <c r="C2945" t="s">
        <v>40</v>
      </c>
      <c r="D2945">
        <v>5.5783820000000004</v>
      </c>
      <c r="E2945">
        <v>0.48298659999999999</v>
      </c>
      <c r="F2945" t="s">
        <v>47</v>
      </c>
      <c r="G2945">
        <v>-451.11320000000001</v>
      </c>
      <c r="H2945" s="1">
        <v>-9.8741489999999991E-7</v>
      </c>
      <c r="I2945">
        <v>215.59989999999999</v>
      </c>
      <c r="J2945">
        <v>-474.04430000000002</v>
      </c>
      <c r="K2945">
        <v>1.122055</v>
      </c>
      <c r="L2945">
        <v>216.94540000000001</v>
      </c>
      <c r="M2945">
        <v>0.97464910000000005</v>
      </c>
      <c r="N2945">
        <v>-1.204676E-2</v>
      </c>
      <c r="O2945">
        <v>-0.22341449999999999</v>
      </c>
      <c r="P2945">
        <v>0.97989590000000004</v>
      </c>
      <c r="Q2945">
        <v>0.1743875</v>
      </c>
      <c r="R2945">
        <v>-9.691843E-2</v>
      </c>
      <c r="S2945">
        <v>3.067078</v>
      </c>
      <c r="T2945">
        <v>-0.1484193</v>
      </c>
      <c r="U2945">
        <v>-0.1854248</v>
      </c>
      <c r="V2945">
        <v>-0.1249749</v>
      </c>
      <c r="W2945">
        <v>0.18580389999999999</v>
      </c>
      <c r="X2945">
        <v>0.97460670000000005</v>
      </c>
      <c r="Y2945">
        <v>-0.16382240000000001</v>
      </c>
      <c r="Z2945">
        <v>1.294446E-2</v>
      </c>
      <c r="AA2945">
        <v>0.98640490000000003</v>
      </c>
      <c r="AB2945">
        <v>26</v>
      </c>
      <c r="AC2945">
        <v>22.931100000000001</v>
      </c>
      <c r="AD2945">
        <v>-1.1220559874148901</v>
      </c>
      <c r="AE2945">
        <v>-1.3455000000000099</v>
      </c>
      <c r="AF2945">
        <v>-3.8029522537049201</v>
      </c>
      <c r="AG2945">
        <v>-1.1220559874148901</v>
      </c>
      <c r="AH2945">
        <v>22.5981024884472</v>
      </c>
      <c r="AI2945">
        <v>92.803201197197694</v>
      </c>
      <c r="AJ2945">
        <v>99.552591477633797</v>
      </c>
      <c r="AK2945">
        <v>22.943314746592701</v>
      </c>
      <c r="AL2945">
        <v>79.291995067779894</v>
      </c>
      <c r="AM2945">
        <v>97.307224163612702</v>
      </c>
      <c r="AN2945">
        <v>1.0000000172850501</v>
      </c>
    </row>
    <row r="2946" spans="1:40" x14ac:dyDescent="0.25">
      <c r="A2946" t="str">
        <f>"20190303162313140"</f>
        <v>20190303162313140</v>
      </c>
      <c r="B2946" t="str">
        <f>"1551601393127121"</f>
        <v>1551601393127121</v>
      </c>
      <c r="C2946" t="s">
        <v>40</v>
      </c>
      <c r="D2946">
        <v>5.6356310000000001</v>
      </c>
      <c r="E2946">
        <v>0.47066520000000001</v>
      </c>
      <c r="F2946" t="s">
        <v>47</v>
      </c>
      <c r="G2946">
        <v>-448.73899999999998</v>
      </c>
      <c r="H2946" s="1">
        <v>3.074856E-6</v>
      </c>
      <c r="I2946">
        <v>215.50409999999999</v>
      </c>
      <c r="J2946">
        <v>-473.80549999999999</v>
      </c>
      <c r="K2946">
        <v>1.1224050000000001</v>
      </c>
      <c r="L2946">
        <v>216.89269999999999</v>
      </c>
      <c r="M2946">
        <v>0.97509089999999998</v>
      </c>
      <c r="N2946">
        <v>-1.205085E-2</v>
      </c>
      <c r="O2946">
        <v>-0.22147790000000001</v>
      </c>
      <c r="P2946">
        <v>0.97947949999999995</v>
      </c>
      <c r="Q2946">
        <v>0.1784849</v>
      </c>
      <c r="R2946">
        <v>-9.3612150000000005E-2</v>
      </c>
      <c r="S2946">
        <v>3.0684809999999998</v>
      </c>
      <c r="T2946">
        <v>-0.13605799999999901</v>
      </c>
      <c r="U2946">
        <v>-0.17477419999999999</v>
      </c>
      <c r="V2946">
        <v>-0.12633</v>
      </c>
      <c r="W2946">
        <v>0.1897896</v>
      </c>
      <c r="X2946">
        <v>0.97366350000000002</v>
      </c>
      <c r="Y2946">
        <v>-0.1653655</v>
      </c>
      <c r="Z2946">
        <v>1.170292E-2</v>
      </c>
      <c r="AA2946">
        <v>0.98616289999999995</v>
      </c>
      <c r="AB2946">
        <v>26</v>
      </c>
      <c r="AC2946">
        <v>25.066499999999898</v>
      </c>
      <c r="AD2946">
        <v>-1.1224019251439901</v>
      </c>
      <c r="AE2946">
        <v>-1.3885999999999901</v>
      </c>
      <c r="AF2946">
        <v>-4.1895951578244501</v>
      </c>
      <c r="AG2946">
        <v>-1.1224019251439901</v>
      </c>
      <c r="AH2946">
        <v>24.7020826393492</v>
      </c>
      <c r="AI2946">
        <v>92.565009221956799</v>
      </c>
      <c r="AJ2946">
        <v>99.626044201456494</v>
      </c>
      <c r="AK2946">
        <v>25.079979672824098</v>
      </c>
      <c r="AL2946">
        <v>79.059494093450397</v>
      </c>
      <c r="AM2946">
        <v>97.392661481386995</v>
      </c>
      <c r="AN2946">
        <v>0.99999998620020403</v>
      </c>
    </row>
    <row r="2947" spans="1:40" x14ac:dyDescent="0.25">
      <c r="A2947" t="str">
        <f>"20190303162313164"</f>
        <v>20190303162313164</v>
      </c>
      <c r="B2947" t="str">
        <f>"1551601393157377"</f>
        <v>1551601393157377</v>
      </c>
      <c r="C2947" t="s">
        <v>40</v>
      </c>
      <c r="D2947">
        <v>5.6223359999999998</v>
      </c>
      <c r="E2947">
        <v>0.47013120000000003</v>
      </c>
      <c r="F2947" t="s">
        <v>47</v>
      </c>
      <c r="G2947">
        <v>-444.66899999999998</v>
      </c>
      <c r="H2947" s="1">
        <v>8.762017E-7</v>
      </c>
      <c r="I2947">
        <v>216.2544</v>
      </c>
      <c r="J2947">
        <v>-473.54559999999998</v>
      </c>
      <c r="K2947">
        <v>1.122762</v>
      </c>
      <c r="L2947">
        <v>216.8364</v>
      </c>
      <c r="M2947">
        <v>0.97566649999999999</v>
      </c>
      <c r="N2947">
        <v>-1.205766E-2</v>
      </c>
      <c r="O2947">
        <v>-0.21892790000000001</v>
      </c>
      <c r="P2947">
        <v>0.97924750000000005</v>
      </c>
      <c r="Q2947">
        <v>0.1823784</v>
      </c>
      <c r="R2947">
        <v>-8.8387820000000006E-2</v>
      </c>
      <c r="S2947">
        <v>3.0779719999999999</v>
      </c>
      <c r="T2947">
        <v>-0.1185702</v>
      </c>
      <c r="U2947">
        <v>-6.7428589999999997E-2</v>
      </c>
      <c r="V2947">
        <v>-0.12900210000000001</v>
      </c>
      <c r="W2947">
        <v>0.1935588</v>
      </c>
      <c r="X2947">
        <v>0.9725705</v>
      </c>
      <c r="Y2947">
        <v>-0.1972554</v>
      </c>
      <c r="Z2947">
        <v>1.070345E-2</v>
      </c>
      <c r="AA2947">
        <v>0.98029370000000005</v>
      </c>
      <c r="AB2947">
        <v>26</v>
      </c>
      <c r="AC2947">
        <v>28.8765999999999</v>
      </c>
      <c r="AD2947">
        <v>-1.1227611237983</v>
      </c>
      <c r="AE2947">
        <v>-0.58199999999999297</v>
      </c>
      <c r="AF2947">
        <v>-5.7457912931724699</v>
      </c>
      <c r="AG2947">
        <v>-1.1227611237983</v>
      </c>
      <c r="AH2947">
        <v>28.260699782841399</v>
      </c>
      <c r="AI2947">
        <v>92.229524556528204</v>
      </c>
      <c r="AJ2947">
        <v>101.492381780271</v>
      </c>
      <c r="AK2947">
        <v>28.860732186514301</v>
      </c>
      <c r="AL2947">
        <v>78.839454607709001</v>
      </c>
      <c r="AM2947">
        <v>97.555628840839603</v>
      </c>
      <c r="AN2947">
        <v>0.99999996416604897</v>
      </c>
    </row>
    <row r="2948" spans="1:40" x14ac:dyDescent="0.25">
      <c r="A2948" t="str">
        <f>"20190303162313185"</f>
        <v>20190303162313185</v>
      </c>
      <c r="B2948" t="str">
        <f>"1551601393177873"</f>
        <v>1551601393177873</v>
      </c>
      <c r="C2948" t="s">
        <v>40</v>
      </c>
      <c r="D2948">
        <v>5.6199680000000001</v>
      </c>
      <c r="E2948">
        <v>0.47077190000000002</v>
      </c>
      <c r="F2948" t="s">
        <v>47</v>
      </c>
      <c r="G2948">
        <v>-443.49009999999998</v>
      </c>
      <c r="H2948" s="1">
        <v>2.4447620000000001E-7</v>
      </c>
      <c r="I2948">
        <v>216.3554</v>
      </c>
      <c r="J2948">
        <v>-473.29379999999998</v>
      </c>
      <c r="K2948">
        <v>1.1230639999999901</v>
      </c>
      <c r="L2948">
        <v>216.78299999999999</v>
      </c>
      <c r="M2948">
        <v>0.97631330000000005</v>
      </c>
      <c r="N2948">
        <v>-1.206543E-2</v>
      </c>
      <c r="O2948">
        <v>-0.2160252</v>
      </c>
      <c r="P2948">
        <v>0.97948840000000004</v>
      </c>
      <c r="Q2948">
        <v>0.18415300000000001</v>
      </c>
      <c r="R2948">
        <v>-8.1795889999999996E-2</v>
      </c>
      <c r="S2948">
        <v>3.0805660000000001</v>
      </c>
      <c r="T2948">
        <v>-0.11507870000000001</v>
      </c>
      <c r="U2948">
        <v>-4.9301150000000002E-2</v>
      </c>
      <c r="V2948">
        <v>-0.13273989999999999</v>
      </c>
      <c r="W2948">
        <v>0.1952189</v>
      </c>
      <c r="X2948">
        <v>0.97173540000000003</v>
      </c>
      <c r="Y2948">
        <v>-0.20013810000000001</v>
      </c>
      <c r="Z2948">
        <v>1.033717E-2</v>
      </c>
      <c r="AA2948">
        <v>0.9797131</v>
      </c>
      <c r="AB2948">
        <v>26</v>
      </c>
      <c r="AC2948">
        <v>29.8036999999999</v>
      </c>
      <c r="AD2948">
        <v>-1.1230637555237999</v>
      </c>
      <c r="AE2948">
        <v>-0.42759999999998399</v>
      </c>
      <c r="AF2948">
        <v>-6.01278061157638</v>
      </c>
      <c r="AG2948">
        <v>-1.1230637555237999</v>
      </c>
      <c r="AH2948">
        <v>29.150860397029899</v>
      </c>
      <c r="AI2948">
        <v>92.160838463432896</v>
      </c>
      <c r="AJ2948">
        <v>101.65462421461299</v>
      </c>
      <c r="AK2948">
        <v>29.785692282856999</v>
      </c>
      <c r="AL2948">
        <v>78.7424885278283</v>
      </c>
      <c r="AM2948">
        <v>97.778509881053694</v>
      </c>
      <c r="AN2948">
        <v>0.99999999379118998</v>
      </c>
    </row>
    <row r="2949" spans="1:40" x14ac:dyDescent="0.25">
      <c r="A2949" t="str">
        <f>"20190303162313208"</f>
        <v>20190303162313208</v>
      </c>
      <c r="B2949" t="str">
        <f>"1551601393197391"</f>
        <v>1551601393197391</v>
      </c>
      <c r="C2949" t="s">
        <v>40</v>
      </c>
      <c r="D2949">
        <v>5.617515</v>
      </c>
      <c r="E2949">
        <v>0.47115479999999998</v>
      </c>
      <c r="F2949" t="s">
        <v>47</v>
      </c>
      <c r="G2949">
        <v>-443.45330000000001</v>
      </c>
      <c r="H2949" s="1">
        <v>2.223088E-7</v>
      </c>
      <c r="I2949">
        <v>216.4145</v>
      </c>
      <c r="J2949">
        <v>-473.03629999999998</v>
      </c>
      <c r="K2949">
        <v>1.123294</v>
      </c>
      <c r="L2949">
        <v>216.72970000000001</v>
      </c>
      <c r="M2949">
        <v>0.97703609999999996</v>
      </c>
      <c r="N2949">
        <v>-1.207272E-2</v>
      </c>
      <c r="O2949">
        <v>-0.212732</v>
      </c>
      <c r="P2949">
        <v>0.98060480000000005</v>
      </c>
      <c r="Q2949">
        <v>0.18145819999999999</v>
      </c>
      <c r="R2949">
        <v>-7.407685E-2</v>
      </c>
      <c r="S2949">
        <v>3.0814819999999998</v>
      </c>
      <c r="T2949">
        <v>-0.1159736</v>
      </c>
      <c r="U2949">
        <v>-3.805542E-2</v>
      </c>
      <c r="V2949">
        <v>-0.1373357</v>
      </c>
      <c r="W2949">
        <v>0.19242609999999999</v>
      </c>
      <c r="X2949">
        <v>0.97165380000000001</v>
      </c>
      <c r="Y2949">
        <v>-0.2004108</v>
      </c>
      <c r="Z2949">
        <v>1.035108E-2</v>
      </c>
      <c r="AA2949">
        <v>0.97965729999999995</v>
      </c>
      <c r="AB2949">
        <v>26</v>
      </c>
      <c r="AC2949">
        <v>29.582999999999899</v>
      </c>
      <c r="AD2949">
        <v>-1.1232937776912</v>
      </c>
      <c r="AE2949">
        <v>-0.31520000000000398</v>
      </c>
      <c r="AF2949">
        <v>-5.9771078591274502</v>
      </c>
      <c r="AG2949">
        <v>-1.1232937776912</v>
      </c>
      <c r="AH2949">
        <v>28.9311128454396</v>
      </c>
      <c r="AI2949">
        <v>92.177537254331298</v>
      </c>
      <c r="AJ2949">
        <v>101.672960460681</v>
      </c>
      <c r="AK2949">
        <v>29.563438530492402</v>
      </c>
      <c r="AL2949">
        <v>78.905597438233997</v>
      </c>
      <c r="AM2949">
        <v>98.045021361189399</v>
      </c>
      <c r="AN2949">
        <v>1.0000000027550699</v>
      </c>
    </row>
    <row r="2950" spans="1:40" x14ac:dyDescent="0.25">
      <c r="A2950" t="str">
        <f>"20190303162313235"</f>
        <v>20190303162313235</v>
      </c>
      <c r="B2950" t="str">
        <f>"1551601393227649"</f>
        <v>1551601393227649</v>
      </c>
      <c r="C2950" t="s">
        <v>40</v>
      </c>
      <c r="D2950">
        <v>5.5554829999999997</v>
      </c>
      <c r="E2950">
        <v>0.47187489999999999</v>
      </c>
      <c r="F2950" t="s">
        <v>47</v>
      </c>
      <c r="G2950">
        <v>-447.02789999999999</v>
      </c>
      <c r="H2950" s="1">
        <v>2.1182080000000001E-6</v>
      </c>
      <c r="I2950">
        <v>216.55840000000001</v>
      </c>
      <c r="J2950">
        <v>-472.72919999999999</v>
      </c>
      <c r="K2950">
        <v>1.1234999999999999</v>
      </c>
      <c r="L2950">
        <v>216.66759999999999</v>
      </c>
      <c r="M2950">
        <v>0.97796260000000002</v>
      </c>
      <c r="N2950">
        <v>-1.208009E-2</v>
      </c>
      <c r="O2950">
        <v>-0.2084308</v>
      </c>
      <c r="P2950">
        <v>0.98202849999999997</v>
      </c>
      <c r="Q2950">
        <v>0.1776442</v>
      </c>
      <c r="R2950">
        <v>-6.3740320000000003E-2</v>
      </c>
      <c r="S2950">
        <v>3.0824280000000002</v>
      </c>
      <c r="T2950">
        <v>-0.13312889999999999</v>
      </c>
      <c r="U2950">
        <v>-2.029419E-2</v>
      </c>
      <c r="V2950">
        <v>-0.14354120000000001</v>
      </c>
      <c r="W2950">
        <v>0.1885001</v>
      </c>
      <c r="X2950">
        <v>0.97152640000000001</v>
      </c>
      <c r="Y2950">
        <v>-0.20166390000000001</v>
      </c>
      <c r="Z2950">
        <v>1.1986399999999999E-2</v>
      </c>
      <c r="AA2950">
        <v>0.97938139999999996</v>
      </c>
      <c r="AB2950">
        <v>26</v>
      </c>
      <c r="AC2950">
        <v>25.7013</v>
      </c>
      <c r="AD2950">
        <v>-1.1234978817919901</v>
      </c>
      <c r="AE2950">
        <v>-0.109199999999987</v>
      </c>
      <c r="AF2950">
        <v>-5.24051782155734</v>
      </c>
      <c r="AG2950">
        <v>-1.1234978817919901</v>
      </c>
      <c r="AH2950">
        <v>25.111520101631001</v>
      </c>
      <c r="AI2950">
        <v>92.507768872799602</v>
      </c>
      <c r="AJ2950">
        <v>101.78786136254099</v>
      </c>
      <c r="AK2950">
        <v>25.6771049057925</v>
      </c>
      <c r="AL2950">
        <v>79.134734825128106</v>
      </c>
      <c r="AM2950">
        <v>98.404540087561202</v>
      </c>
      <c r="AN2950">
        <v>0.99999995484720305</v>
      </c>
    </row>
    <row r="2951" spans="1:40" x14ac:dyDescent="0.25">
      <c r="A2951" t="str">
        <f>"20190303162313255"</f>
        <v>20190303162313255</v>
      </c>
      <c r="B2951" t="str">
        <f>"1551601393247168"</f>
        <v>1551601393247168</v>
      </c>
      <c r="C2951" t="s">
        <v>40</v>
      </c>
      <c r="D2951">
        <v>5.6087759999999998</v>
      </c>
      <c r="E2951">
        <v>0.47697929999999999</v>
      </c>
      <c r="F2951" t="s">
        <v>47</v>
      </c>
      <c r="G2951">
        <v>-450.13529999999997</v>
      </c>
      <c r="H2951" s="1">
        <v>-1.5562429999999999E-6</v>
      </c>
      <c r="I2951">
        <v>216.70859999999999</v>
      </c>
      <c r="J2951">
        <v>-472.48660000000001</v>
      </c>
      <c r="K2951">
        <v>1.1236520000000001</v>
      </c>
      <c r="L2951">
        <v>216.6199</v>
      </c>
      <c r="M2951">
        <v>0.978738</v>
      </c>
      <c r="N2951">
        <v>-1.208701E-2</v>
      </c>
      <c r="O2951">
        <v>-0.2047583</v>
      </c>
      <c r="P2951">
        <v>0.98298569999999996</v>
      </c>
      <c r="Q2951">
        <v>0.17540620000000001</v>
      </c>
      <c r="R2951">
        <v>-5.4513899999999997E-2</v>
      </c>
      <c r="S2951">
        <v>3.083008</v>
      </c>
      <c r="T2951">
        <v>-0.15330489999999999</v>
      </c>
      <c r="U2951">
        <v>5.5847170000000003E-3</v>
      </c>
      <c r="V2951">
        <v>-0.14917520000000001</v>
      </c>
      <c r="W2951">
        <v>0.186167</v>
      </c>
      <c r="X2951">
        <v>0.97112750000000003</v>
      </c>
      <c r="Y2951">
        <v>-0.20608779999999999</v>
      </c>
      <c r="Z2951">
        <v>1.4001710000000001E-2</v>
      </c>
      <c r="AA2951">
        <v>0.97843329999999995</v>
      </c>
      <c r="AB2951">
        <v>26</v>
      </c>
      <c r="AC2951">
        <v>22.351299999999998</v>
      </c>
      <c r="AD2951">
        <v>-1.1236535562429999</v>
      </c>
      <c r="AE2951">
        <v>8.8699999999988594E-2</v>
      </c>
      <c r="AF2951">
        <v>-4.6520117280394002</v>
      </c>
      <c r="AG2951">
        <v>-1.1236535562429999</v>
      </c>
      <c r="AH2951">
        <v>21.804394333897701</v>
      </c>
      <c r="AI2951">
        <v>92.885212097262297</v>
      </c>
      <c r="AJ2951">
        <v>102.043599582048</v>
      </c>
      <c r="AK2951">
        <v>22.3234276646841</v>
      </c>
      <c r="AL2951">
        <v>79.270821430721099</v>
      </c>
      <c r="AM2951">
        <v>98.732961585729498</v>
      </c>
      <c r="AN2951">
        <v>1.00000000672014</v>
      </c>
    </row>
    <row r="2952" spans="1:40" x14ac:dyDescent="0.25">
      <c r="A2952" t="str">
        <f>"20190303162313278"</f>
        <v>20190303162313278</v>
      </c>
      <c r="B2952" t="str">
        <f>"1551601393267665"</f>
        <v>1551601393267665</v>
      </c>
      <c r="C2952" t="s">
        <v>40</v>
      </c>
      <c r="D2952">
        <v>5.6730790000000004</v>
      </c>
      <c r="E2952">
        <v>0.47691080000000002</v>
      </c>
      <c r="F2952" t="s">
        <v>47</v>
      </c>
      <c r="G2952">
        <v>-454.54919999999998</v>
      </c>
      <c r="H2952" s="1">
        <v>7.9892949999999995E-7</v>
      </c>
      <c r="I2952">
        <v>216.5643</v>
      </c>
      <c r="J2952">
        <v>-472.23360000000002</v>
      </c>
      <c r="K2952">
        <v>1.123837</v>
      </c>
      <c r="L2952">
        <v>216.57140000000001</v>
      </c>
      <c r="M2952">
        <v>0.97958699999999999</v>
      </c>
      <c r="N2952">
        <v>-1.2097399999999999E-2</v>
      </c>
      <c r="O2952">
        <v>-0.20065640000000001</v>
      </c>
      <c r="P2952">
        <v>0.98359289999999999</v>
      </c>
      <c r="Q2952">
        <v>0.17423559999999999</v>
      </c>
      <c r="R2952">
        <v>-4.6765840000000003E-2</v>
      </c>
      <c r="S2952">
        <v>3.0859070000000002</v>
      </c>
      <c r="T2952">
        <v>-0.1933107</v>
      </c>
      <c r="U2952">
        <v>-9.5672610000000005E-3</v>
      </c>
      <c r="V2952">
        <v>-0.15288979999999999</v>
      </c>
      <c r="W2952">
        <v>0.18490470000000001</v>
      </c>
      <c r="X2952">
        <v>0.97079090000000001</v>
      </c>
      <c r="Y2952">
        <v>-0.19692109999999999</v>
      </c>
      <c r="Z2952">
        <v>1.740798E-2</v>
      </c>
      <c r="AA2952">
        <v>0.98026480000000005</v>
      </c>
      <c r="AB2952">
        <v>26</v>
      </c>
      <c r="AC2952">
        <v>17.6844</v>
      </c>
      <c r="AD2952">
        <v>-1.1238362010705001</v>
      </c>
      <c r="AE2952">
        <v>-7.1000000000083201E-3</v>
      </c>
      <c r="AF2952">
        <v>-3.5275459314859501</v>
      </c>
      <c r="AG2952">
        <v>-1.1238362010705001</v>
      </c>
      <c r="AH2952">
        <v>17.256409766475301</v>
      </c>
      <c r="AI2952">
        <v>93.650878148627697</v>
      </c>
      <c r="AJ2952">
        <v>101.553201460671</v>
      </c>
      <c r="AK2952">
        <v>17.6490868357001</v>
      </c>
      <c r="AL2952">
        <v>79.344423804402098</v>
      </c>
      <c r="AM2952">
        <v>98.949996177749398</v>
      </c>
      <c r="AN2952">
        <v>1.00000000527447</v>
      </c>
    </row>
    <row r="2953" spans="1:40" x14ac:dyDescent="0.25">
      <c r="A2953" t="str">
        <f>"20190303162313300"</f>
        <v>20190303162313300</v>
      </c>
      <c r="B2953" t="str">
        <f>"1551601393287184"</f>
        <v>1551601393287184</v>
      </c>
      <c r="C2953" t="s">
        <v>40</v>
      </c>
      <c r="D2953">
        <v>5.6725000000000003</v>
      </c>
      <c r="E2953">
        <v>0.47795890000000002</v>
      </c>
      <c r="F2953" t="s">
        <v>47</v>
      </c>
      <c r="G2953">
        <v>-454.11009999999999</v>
      </c>
      <c r="H2953" s="1">
        <v>5.6128500000000004E-7</v>
      </c>
      <c r="I2953">
        <v>216.6549</v>
      </c>
      <c r="J2953">
        <v>-471.9744</v>
      </c>
      <c r="K2953">
        <v>1.1240810000000001</v>
      </c>
      <c r="L2953">
        <v>216.5231</v>
      </c>
      <c r="M2953">
        <v>0.9805043</v>
      </c>
      <c r="N2953">
        <v>-1.211284E-2</v>
      </c>
      <c r="O2953">
        <v>-0.19612379999999999</v>
      </c>
      <c r="P2953">
        <v>0.98409630000000003</v>
      </c>
      <c r="Q2953">
        <v>0.17281969999999999</v>
      </c>
      <c r="R2953">
        <v>-4.1083920000000003E-2</v>
      </c>
      <c r="S2953">
        <v>3.0845950000000002</v>
      </c>
      <c r="T2953">
        <v>-0.19127549999999999</v>
      </c>
      <c r="U2953">
        <v>1.422119E-2</v>
      </c>
      <c r="V2953">
        <v>-0.15415770000000001</v>
      </c>
      <c r="W2953">
        <v>0.1834054</v>
      </c>
      <c r="X2953">
        <v>0.97087480000000004</v>
      </c>
      <c r="Y2953">
        <v>-0.1999581</v>
      </c>
      <c r="Z2953">
        <v>1.7112579999999999E-2</v>
      </c>
      <c r="AA2953">
        <v>0.97965500000000005</v>
      </c>
      <c r="AB2953">
        <v>26</v>
      </c>
      <c r="AC2953">
        <v>17.8643</v>
      </c>
      <c r="AD2953">
        <v>-1.1240804387150001</v>
      </c>
      <c r="AE2953">
        <v>0.131799999999998</v>
      </c>
      <c r="AF2953">
        <v>-3.61878428104741</v>
      </c>
      <c r="AG2953">
        <v>-1.1240804387150001</v>
      </c>
      <c r="AH2953">
        <v>17.422479768802599</v>
      </c>
      <c r="AI2953">
        <v>93.614610769092707</v>
      </c>
      <c r="AJ2953">
        <v>101.733933003614</v>
      </c>
      <c r="AK2953">
        <v>17.829805321421599</v>
      </c>
      <c r="AL2953">
        <v>79.431822152020402</v>
      </c>
      <c r="AM2953">
        <v>99.022234519078793</v>
      </c>
      <c r="AN2953">
        <v>1.0000000072467401</v>
      </c>
    </row>
    <row r="2954" spans="1:40" x14ac:dyDescent="0.25">
      <c r="A2954" t="str">
        <f>"20190303162313333"</f>
        <v>20190303162313333</v>
      </c>
      <c r="B2954" t="str">
        <f>"1551601393327200"</f>
        <v>1551601393327200</v>
      </c>
      <c r="C2954" t="s">
        <v>40</v>
      </c>
      <c r="D2954">
        <v>5.6733949999999904</v>
      </c>
      <c r="E2954">
        <v>0.47832150000000001</v>
      </c>
      <c r="F2954" t="s">
        <v>47</v>
      </c>
      <c r="G2954">
        <v>-454.11320000000001</v>
      </c>
      <c r="H2954" s="1">
        <v>5.6229809999999999E-7</v>
      </c>
      <c r="I2954">
        <v>216.6696</v>
      </c>
      <c r="J2954">
        <v>-471.60640000000001</v>
      </c>
      <c r="K2954">
        <v>1.12453</v>
      </c>
      <c r="L2954">
        <v>216.45779999999999</v>
      </c>
      <c r="M2954">
        <v>0.98191419999999996</v>
      </c>
      <c r="N2954">
        <v>-1.214689E-2</v>
      </c>
      <c r="O2954">
        <v>-0.1889364</v>
      </c>
      <c r="P2954">
        <v>0.98412219999999995</v>
      </c>
      <c r="Q2954">
        <v>0.1739667</v>
      </c>
      <c r="R2954">
        <v>-3.5200330000000002E-2</v>
      </c>
      <c r="S2954">
        <v>3.083618</v>
      </c>
      <c r="T2954">
        <v>-0.1940653</v>
      </c>
      <c r="U2954">
        <v>2.528381E-2</v>
      </c>
      <c r="V2954">
        <v>-0.1530157</v>
      </c>
      <c r="W2954">
        <v>0.1844314</v>
      </c>
      <c r="X2954">
        <v>0.97086110000000003</v>
      </c>
      <c r="Y2954">
        <v>-0.19629240000000001</v>
      </c>
      <c r="Z2954">
        <v>1.6887909999999999E-2</v>
      </c>
      <c r="AA2954">
        <v>0.98040000000000005</v>
      </c>
      <c r="AB2954">
        <v>26</v>
      </c>
      <c r="AC2954">
        <v>17.493200000000002</v>
      </c>
      <c r="AD2954">
        <v>-1.1245294377018999</v>
      </c>
      <c r="AE2954">
        <v>0.21180000000001001</v>
      </c>
      <c r="AF2954">
        <v>-3.4988741945556798</v>
      </c>
      <c r="AG2954">
        <v>-1.1245294377018999</v>
      </c>
      <c r="AH2954">
        <v>17.0675493508</v>
      </c>
      <c r="AI2954">
        <v>93.693015113541506</v>
      </c>
      <c r="AJ2954">
        <v>101.585211847696</v>
      </c>
      <c r="AK2954">
        <v>17.458749323121001</v>
      </c>
      <c r="AL2954">
        <v>79.372016521974899</v>
      </c>
      <c r="AM2954">
        <v>98.956609600778506</v>
      </c>
      <c r="AN2954">
        <v>1.0000000106228299</v>
      </c>
    </row>
    <row r="2955" spans="1:40" x14ac:dyDescent="0.25">
      <c r="A2955" t="str">
        <f>"20190303162313354"</f>
        <v>20190303162313354</v>
      </c>
      <c r="B2955" t="str">
        <f>"1551601393347696"</f>
        <v>1551601393347696</v>
      </c>
      <c r="C2955" t="s">
        <v>40</v>
      </c>
      <c r="D2955">
        <v>5.6664680000000001</v>
      </c>
      <c r="E2955">
        <v>0.47888969999999997</v>
      </c>
      <c r="F2955" t="s">
        <v>47</v>
      </c>
      <c r="G2955">
        <v>-453.44009999999997</v>
      </c>
      <c r="H2955" s="1">
        <v>2.0157819999999999E-7</v>
      </c>
      <c r="I2955">
        <v>216.72720000000001</v>
      </c>
      <c r="J2955">
        <v>-471.36540000000002</v>
      </c>
      <c r="K2955">
        <v>1.124857</v>
      </c>
      <c r="L2955">
        <v>216.4171</v>
      </c>
      <c r="M2955">
        <v>0.98289689999999996</v>
      </c>
      <c r="N2955">
        <v>-1.217561E-2</v>
      </c>
      <c r="O2955">
        <v>-0.18375459999999999</v>
      </c>
      <c r="P2955">
        <v>0.98397140000000005</v>
      </c>
      <c r="Q2955">
        <v>0.17490020000000001</v>
      </c>
      <c r="R2955">
        <v>-3.4793409999999997E-2</v>
      </c>
      <c r="S2955">
        <v>3.083771</v>
      </c>
      <c r="T2955">
        <v>-0.1908908</v>
      </c>
      <c r="U2955">
        <v>4.5730590000000002E-2</v>
      </c>
      <c r="V2955">
        <v>-0.14840539999999999</v>
      </c>
      <c r="W2955">
        <v>0.18532789999999999</v>
      </c>
      <c r="X2955">
        <v>0.97140590000000004</v>
      </c>
      <c r="Y2955">
        <v>-0.19764680000000001</v>
      </c>
      <c r="Z2955">
        <v>1.638974E-2</v>
      </c>
      <c r="AA2955">
        <v>0.98013629999999996</v>
      </c>
      <c r="AB2955">
        <v>26</v>
      </c>
      <c r="AC2955">
        <v>17.9253</v>
      </c>
      <c r="AD2955">
        <v>-1.1248567984218001</v>
      </c>
      <c r="AE2955">
        <v>0.31010000000000498</v>
      </c>
      <c r="AF2955">
        <v>-3.5848065792068402</v>
      </c>
      <c r="AG2955">
        <v>-1.1248567984218001</v>
      </c>
      <c r="AH2955">
        <v>17.494169415362901</v>
      </c>
      <c r="AI2955">
        <v>93.604303740621205</v>
      </c>
      <c r="AJ2955">
        <v>101.58041738355701</v>
      </c>
      <c r="AK2955">
        <v>17.8930742065386</v>
      </c>
      <c r="AL2955">
        <v>79.319749808390398</v>
      </c>
      <c r="AM2955">
        <v>98.6861335591543</v>
      </c>
      <c r="AN2955">
        <v>1.0000000079111899</v>
      </c>
    </row>
    <row r="2956" spans="1:40" x14ac:dyDescent="0.25">
      <c r="A2956" t="str">
        <f>"20190303162313376"</f>
        <v>20190303162313376</v>
      </c>
      <c r="B2956" t="str">
        <f>"1551601393367216"</f>
        <v>1551601393367216</v>
      </c>
      <c r="C2956" t="s">
        <v>40</v>
      </c>
      <c r="D2956">
        <v>5.780316</v>
      </c>
      <c r="E2956">
        <v>0.4792787</v>
      </c>
      <c r="F2956" t="s">
        <v>47</v>
      </c>
      <c r="G2956">
        <v>-452.97379999999998</v>
      </c>
      <c r="H2956" s="1">
        <v>-4.5090520000000002E-8</v>
      </c>
      <c r="I2956">
        <v>216.69390000000001</v>
      </c>
      <c r="J2956">
        <v>-471.09780000000001</v>
      </c>
      <c r="K2956">
        <v>1.1252070000000001</v>
      </c>
      <c r="L2956">
        <v>216.37389999999999</v>
      </c>
      <c r="M2956">
        <v>0.98403810000000003</v>
      </c>
      <c r="N2956">
        <v>-1.22103E-2</v>
      </c>
      <c r="O2956">
        <v>-0.17753959999999999</v>
      </c>
      <c r="P2956">
        <v>0.98378969999999999</v>
      </c>
      <c r="Q2956">
        <v>0.17553569999999999</v>
      </c>
      <c r="R2956">
        <v>-3.6679000000000003E-2</v>
      </c>
      <c r="S2956">
        <v>3.084076</v>
      </c>
      <c r="T2956">
        <v>-0.18862709999999999</v>
      </c>
      <c r="U2956">
        <v>4.6417239999999999E-2</v>
      </c>
      <c r="V2956">
        <v>-0.14052700000000001</v>
      </c>
      <c r="W2956">
        <v>0.1859674</v>
      </c>
      <c r="X2956">
        <v>0.97245479999999995</v>
      </c>
      <c r="Y2956">
        <v>-0.19170309999999999</v>
      </c>
      <c r="Z2956">
        <v>1.566234E-2</v>
      </c>
      <c r="AA2956">
        <v>0.98132799999999998</v>
      </c>
      <c r="AB2956">
        <v>26</v>
      </c>
      <c r="AC2956">
        <v>18.123999999999999</v>
      </c>
      <c r="AD2956">
        <v>-1.1252070450905201</v>
      </c>
      <c r="AE2956">
        <v>0.32000000000002099</v>
      </c>
      <c r="AF2956">
        <v>-3.5193219494393402</v>
      </c>
      <c r="AG2956">
        <v>-1.1252070450905201</v>
      </c>
      <c r="AH2956">
        <v>17.710971963626001</v>
      </c>
      <c r="AI2956">
        <v>93.565680080876803</v>
      </c>
      <c r="AJ2956">
        <v>101.238767367344</v>
      </c>
      <c r="AK2956">
        <v>18.0922703322295</v>
      </c>
      <c r="AL2956">
        <v>79.282461124816095</v>
      </c>
      <c r="AM2956">
        <v>98.222747503369604</v>
      </c>
      <c r="AN2956">
        <v>1.0000000248173899</v>
      </c>
    </row>
    <row r="2957" spans="1:40" x14ac:dyDescent="0.25">
      <c r="A2957" t="str">
        <f>"20190303162313431"</f>
        <v>20190303162313431</v>
      </c>
      <c r="B2957" t="str">
        <f>"1551601393417969"</f>
        <v>1551601393417969</v>
      </c>
      <c r="C2957" t="s">
        <v>40</v>
      </c>
      <c r="D2957">
        <v>5.7794359999999996</v>
      </c>
      <c r="E2957">
        <v>0.48007949999999999</v>
      </c>
      <c r="F2957" t="s">
        <v>47</v>
      </c>
      <c r="G2957">
        <v>-452.60739999999998</v>
      </c>
      <c r="H2957" s="1">
        <v>-2.3667510000000001E-7</v>
      </c>
      <c r="I2957">
        <v>216.61590000000001</v>
      </c>
      <c r="J2957">
        <v>-470.4753</v>
      </c>
      <c r="K2957">
        <v>1.1260939999999999</v>
      </c>
      <c r="L2957">
        <v>216.28280000000001</v>
      </c>
      <c r="M2957">
        <v>0.98690580000000006</v>
      </c>
      <c r="N2957">
        <v>-1.231117E-2</v>
      </c>
      <c r="O2957">
        <v>-0.1608279</v>
      </c>
      <c r="P2957">
        <v>0.98308119999999999</v>
      </c>
      <c r="Q2957">
        <v>0.17820629999999901</v>
      </c>
      <c r="R2957">
        <v>-4.2356930000000001E-2</v>
      </c>
      <c r="S2957">
        <v>3.084473</v>
      </c>
      <c r="T2957">
        <v>-0.18770100000000001</v>
      </c>
      <c r="U2957">
        <v>4.0374760000000003E-2</v>
      </c>
      <c r="V2957">
        <v>-0.1186841</v>
      </c>
      <c r="W2957">
        <v>0.18875149999999999</v>
      </c>
      <c r="X2957">
        <v>0.97482659999999999</v>
      </c>
      <c r="Y2957">
        <v>-0.17317199999999999</v>
      </c>
      <c r="Z2957">
        <v>1.409473E-2</v>
      </c>
      <c r="AA2957">
        <v>0.98479070000000002</v>
      </c>
      <c r="AB2957">
        <v>26</v>
      </c>
      <c r="AC2957">
        <v>17.867899999999999</v>
      </c>
      <c r="AD2957">
        <v>-1.1260942366750999</v>
      </c>
      <c r="AE2957">
        <v>0.33310000000000101</v>
      </c>
      <c r="AF2957">
        <v>-3.1899715239808302</v>
      </c>
      <c r="AG2957">
        <v>-1.1260942366750999</v>
      </c>
      <c r="AH2957">
        <v>17.512159681703899</v>
      </c>
      <c r="AI2957">
        <v>93.619853627935001</v>
      </c>
      <c r="AJ2957">
        <v>100.323665655753</v>
      </c>
      <c r="AK2957">
        <v>17.835911618730801</v>
      </c>
      <c r="AL2957">
        <v>79.120067561647801</v>
      </c>
      <c r="AM2957">
        <v>96.941536963533196</v>
      </c>
      <c r="AN2957">
        <v>0.99999997220630898</v>
      </c>
    </row>
    <row r="2958" spans="1:40" x14ac:dyDescent="0.25">
      <c r="A2958" t="str">
        <f>"20190303162313457"</f>
        <v>20190303162313457</v>
      </c>
      <c r="B2958" t="str">
        <f>"1551601393447248"</f>
        <v>1551601393447248</v>
      </c>
      <c r="C2958" t="s">
        <v>40</v>
      </c>
      <c r="D2958">
        <v>5.8836190000000004</v>
      </c>
      <c r="E2958">
        <v>0.49901970000000001</v>
      </c>
      <c r="F2958" t="s">
        <v>47</v>
      </c>
      <c r="G2958">
        <v>-451.04559999999998</v>
      </c>
      <c r="H2958" s="1">
        <v>-1.058941E-6</v>
      </c>
      <c r="I2958">
        <v>216.41409999999999</v>
      </c>
      <c r="J2958">
        <v>-470.18380000000002</v>
      </c>
      <c r="K2958">
        <v>1.126484</v>
      </c>
      <c r="L2958">
        <v>216.24510000000001</v>
      </c>
      <c r="M2958">
        <v>0.9883033</v>
      </c>
      <c r="N2958">
        <v>-1.236869E-2</v>
      </c>
      <c r="O2958">
        <v>-0.1519992</v>
      </c>
      <c r="P2958">
        <v>0.98337419999999998</v>
      </c>
      <c r="Q2958">
        <v>0.17651919999999999</v>
      </c>
      <c r="R2958">
        <v>-4.261765E-2</v>
      </c>
      <c r="S2958">
        <v>3.0849000000000002</v>
      </c>
      <c r="T2958">
        <v>-0.17879320000000001</v>
      </c>
      <c r="U2958">
        <v>2.0843509999999999E-2</v>
      </c>
      <c r="V2958">
        <v>-0.1098894</v>
      </c>
      <c r="W2958">
        <v>0.1871456</v>
      </c>
      <c r="X2958">
        <v>0.97616639999999999</v>
      </c>
      <c r="Y2958">
        <v>-0.15820699999999999</v>
      </c>
      <c r="Z2958">
        <v>1.2453509999999999E-2</v>
      </c>
      <c r="AA2958">
        <v>0.98732750000000002</v>
      </c>
      <c r="AB2958">
        <v>26</v>
      </c>
      <c r="AC2958">
        <v>19.138200000000001</v>
      </c>
      <c r="AD2958">
        <v>-1.126485058941</v>
      </c>
      <c r="AE2958">
        <v>0.168999999999982</v>
      </c>
      <c r="AF2958">
        <v>-3.0656291853934099</v>
      </c>
      <c r="AG2958">
        <v>-1.126485058941</v>
      </c>
      <c r="AH2958">
        <v>18.824886941241701</v>
      </c>
      <c r="AI2958">
        <v>93.380085954847601</v>
      </c>
      <c r="AJ2958">
        <v>99.249411937226995</v>
      </c>
      <c r="AK2958">
        <v>19.106109474220201</v>
      </c>
      <c r="AL2958">
        <v>79.213748648604593</v>
      </c>
      <c r="AM2958">
        <v>96.422883388873103</v>
      </c>
      <c r="AN2958">
        <v>0.99999999816034002</v>
      </c>
    </row>
    <row r="2959" spans="1:40" x14ac:dyDescent="0.25">
      <c r="A2959" t="str">
        <f>"20190303162313478"</f>
        <v>20190303162313478</v>
      </c>
      <c r="B2959" t="str">
        <f>"1551601393467745"</f>
        <v>1551601393467745</v>
      </c>
      <c r="C2959" t="s">
        <v>40</v>
      </c>
      <c r="D2959">
        <v>5.5525310000000001</v>
      </c>
      <c r="E2959">
        <v>0.51716600000000001</v>
      </c>
      <c r="F2959" t="s">
        <v>47</v>
      </c>
      <c r="G2959">
        <v>-447.43090000000001</v>
      </c>
      <c r="H2959" s="1">
        <v>2.3880389999999999E-6</v>
      </c>
      <c r="I2959">
        <v>215.292</v>
      </c>
      <c r="J2959">
        <v>-469.93970000000002</v>
      </c>
      <c r="K2959">
        <v>1.1267640000000001</v>
      </c>
      <c r="L2959">
        <v>216.2159</v>
      </c>
      <c r="M2959">
        <v>0.98947079999999998</v>
      </c>
      <c r="N2959">
        <v>-1.241427E-2</v>
      </c>
      <c r="O2959">
        <v>-0.1442001</v>
      </c>
      <c r="P2959">
        <v>0.98357340000000004</v>
      </c>
      <c r="Q2959">
        <v>0.17481859999999999</v>
      </c>
      <c r="R2959">
        <v>-4.496766E-2</v>
      </c>
      <c r="S2959">
        <v>3.0724179999999999</v>
      </c>
      <c r="T2959">
        <v>-0.15211329999999901</v>
      </c>
      <c r="U2959">
        <v>-0.12869259999999999</v>
      </c>
      <c r="V2959">
        <v>-9.9981990000000007E-2</v>
      </c>
      <c r="W2959">
        <v>0.1855715</v>
      </c>
      <c r="X2959">
        <v>0.97753100000000004</v>
      </c>
      <c r="Y2959">
        <v>-0.10241840000000001</v>
      </c>
      <c r="Z2959">
        <v>8.4821710000000002E-3</v>
      </c>
      <c r="AA2959">
        <v>0.99470530000000001</v>
      </c>
      <c r="AB2959">
        <v>26</v>
      </c>
      <c r="AC2959">
        <v>22.508800000000001</v>
      </c>
      <c r="AD2959">
        <v>-1.12676161196099</v>
      </c>
      <c r="AE2959">
        <v>-0.92390000000000305</v>
      </c>
      <c r="AF2959">
        <v>-2.32595977663554</v>
      </c>
      <c r="AG2959">
        <v>-1.12676161196099</v>
      </c>
      <c r="AH2959">
        <v>22.350836514224198</v>
      </c>
      <c r="AI2959">
        <v>92.870505102097098</v>
      </c>
      <c r="AJ2959">
        <v>95.941151106540801</v>
      </c>
      <c r="AK2959">
        <v>22.499768298769101</v>
      </c>
      <c r="AL2959">
        <v>79.305546285563494</v>
      </c>
      <c r="AM2959">
        <v>95.8399116156519</v>
      </c>
      <c r="AN2959">
        <v>1.0000000179488</v>
      </c>
    </row>
    <row r="2960" spans="1:40" x14ac:dyDescent="0.25">
      <c r="A2960" t="str">
        <f>"20190303162313498"</f>
        <v>20190303162313498</v>
      </c>
      <c r="B2960" t="str">
        <f>"1551601393487264"</f>
        <v>1551601393487264</v>
      </c>
      <c r="C2960" t="s">
        <v>40</v>
      </c>
      <c r="D2960">
        <v>5.5295489999999896</v>
      </c>
      <c r="E2960">
        <v>0.5229895</v>
      </c>
      <c r="F2960" t="s">
        <v>47</v>
      </c>
      <c r="G2960">
        <v>-447.5806</v>
      </c>
      <c r="H2960" s="1">
        <v>2.5161739999999999E-6</v>
      </c>
      <c r="I2960">
        <v>214.18279999999999</v>
      </c>
      <c r="J2960">
        <v>-469.70269999999999</v>
      </c>
      <c r="K2960">
        <v>1.1270020000000001</v>
      </c>
      <c r="L2960">
        <v>216.18989999999999</v>
      </c>
      <c r="M2960">
        <v>0.99058809999999997</v>
      </c>
      <c r="N2960">
        <v>-1.245418E-2</v>
      </c>
      <c r="O2960">
        <v>-0.1363095</v>
      </c>
      <c r="P2960">
        <v>0.98353049999999997</v>
      </c>
      <c r="Q2960">
        <v>0.174791</v>
      </c>
      <c r="R2960">
        <v>-4.600133E-2</v>
      </c>
      <c r="S2960">
        <v>3.0647890000000002</v>
      </c>
      <c r="T2960">
        <v>-0.15444649999999999</v>
      </c>
      <c r="U2960">
        <v>-0.2786865</v>
      </c>
      <c r="V2960">
        <v>-9.1250650000000003E-2</v>
      </c>
      <c r="W2960">
        <v>0.1856652</v>
      </c>
      <c r="X2960">
        <v>0.97836690000000004</v>
      </c>
      <c r="Y2960">
        <v>-4.5879360000000001E-2</v>
      </c>
      <c r="Z2960">
        <v>6.5635049999999999E-3</v>
      </c>
      <c r="AA2960">
        <v>0.99892539999999996</v>
      </c>
      <c r="AB2960">
        <v>26</v>
      </c>
      <c r="AC2960">
        <v>22.1220999999999</v>
      </c>
      <c r="AD2960">
        <v>-1.126999483826</v>
      </c>
      <c r="AE2960">
        <v>-2.0070999999999999</v>
      </c>
      <c r="AF2960">
        <v>-1.0246849062283001</v>
      </c>
      <c r="AG2960">
        <v>-1.126999483826</v>
      </c>
      <c r="AH2960">
        <v>22.132223090881901</v>
      </c>
      <c r="AI2960">
        <v>92.911938491711197</v>
      </c>
      <c r="AJ2960">
        <v>92.650805796500606</v>
      </c>
      <c r="AK2960">
        <v>22.1845758566208</v>
      </c>
      <c r="AL2960">
        <v>79.300082739701594</v>
      </c>
      <c r="AM2960">
        <v>95.328466786972399</v>
      </c>
      <c r="AN2960">
        <v>1.0000000193160301</v>
      </c>
    </row>
    <row r="2961" spans="1:40" x14ac:dyDescent="0.25">
      <c r="A2961" t="str">
        <f>"20190303162313520"</f>
        <v>20190303162313520</v>
      </c>
      <c r="B2961" t="str">
        <f>"1551601393507760"</f>
        <v>1551601393507760</v>
      </c>
      <c r="C2961" t="s">
        <v>40</v>
      </c>
      <c r="D2961">
        <v>5.5704140000000004</v>
      </c>
      <c r="E2961">
        <v>0.52543189999999995</v>
      </c>
      <c r="F2961" t="s">
        <v>47</v>
      </c>
      <c r="G2961">
        <v>-446.63990000000001</v>
      </c>
      <c r="H2961" s="1">
        <v>2.0355039999999999E-6</v>
      </c>
      <c r="I2961">
        <v>213.72730000000001</v>
      </c>
      <c r="J2961">
        <v>-469.45229999999998</v>
      </c>
      <c r="K2961">
        <v>1.1272089999999999</v>
      </c>
      <c r="L2961">
        <v>216.16470000000001</v>
      </c>
      <c r="M2961">
        <v>0.99173520000000004</v>
      </c>
      <c r="N2961">
        <v>-1.249283E-2</v>
      </c>
      <c r="O2961">
        <v>-0.1276921</v>
      </c>
      <c r="P2961">
        <v>0.98340320000000003</v>
      </c>
      <c r="Q2961">
        <v>0.1758287</v>
      </c>
      <c r="R2961">
        <v>-4.4748490000000002E-2</v>
      </c>
      <c r="S2961">
        <v>3.0615230000000002</v>
      </c>
      <c r="T2961">
        <v>-0.14960609999999999</v>
      </c>
      <c r="U2961">
        <v>-0.32690429999999998</v>
      </c>
      <c r="V2961">
        <v>-8.4059250000000002E-2</v>
      </c>
      <c r="W2961">
        <v>0.1868107</v>
      </c>
      <c r="X2961">
        <v>0.97879300000000002</v>
      </c>
      <c r="Y2961">
        <v>-2.15605E-2</v>
      </c>
      <c r="Z2961">
        <v>5.2592749999999999E-3</v>
      </c>
      <c r="AA2961">
        <v>0.99975369999999997</v>
      </c>
      <c r="AB2961">
        <v>26</v>
      </c>
      <c r="AC2961">
        <v>22.812399999999901</v>
      </c>
      <c r="AD2961">
        <v>-1.1272069644960001</v>
      </c>
      <c r="AE2961">
        <v>-2.43739999999999</v>
      </c>
      <c r="AF2961">
        <v>-0.49455271481437901</v>
      </c>
      <c r="AG2961">
        <v>-1.1272069644960001</v>
      </c>
      <c r="AH2961">
        <v>22.881650096530699</v>
      </c>
      <c r="AI2961">
        <v>92.819595175543697</v>
      </c>
      <c r="AJ2961">
        <v>91.238169980229202</v>
      </c>
      <c r="AK2961">
        <v>22.914735195253801</v>
      </c>
      <c r="AL2961">
        <v>79.233281134556705</v>
      </c>
      <c r="AM2961">
        <v>94.908547271905903</v>
      </c>
      <c r="AN2961">
        <v>0.99999996599702501</v>
      </c>
    </row>
    <row r="2962" spans="1:40" x14ac:dyDescent="0.25">
      <c r="A2962" t="str">
        <f>"20190303162313544"</f>
        <v>20190303162313544</v>
      </c>
      <c r="B2962" t="str">
        <f>"1551601393538017"</f>
        <v>1551601393538017</v>
      </c>
      <c r="C2962" t="s">
        <v>40</v>
      </c>
      <c r="D2962">
        <v>5.5893389999999998</v>
      </c>
      <c r="E2962">
        <v>0.52682519999999999</v>
      </c>
      <c r="F2962" t="s">
        <v>47</v>
      </c>
      <c r="G2962">
        <v>-445.3272</v>
      </c>
      <c r="H2962" s="1">
        <v>1.3477560000000001E-6</v>
      </c>
      <c r="I2962">
        <v>213.48009999999999</v>
      </c>
      <c r="J2962">
        <v>-469.18349999999998</v>
      </c>
      <c r="K2962">
        <v>1.127367</v>
      </c>
      <c r="L2962">
        <v>216.1404</v>
      </c>
      <c r="M2962">
        <v>0.99290889999999998</v>
      </c>
      <c r="N2962">
        <v>-1.252959E-2</v>
      </c>
      <c r="O2962">
        <v>-0.1182156</v>
      </c>
      <c r="P2962">
        <v>0.98295399999999999</v>
      </c>
      <c r="Q2962">
        <v>0.17858840000000001</v>
      </c>
      <c r="R2962">
        <v>-4.367629E-2</v>
      </c>
      <c r="S2962">
        <v>3.0606990000000001</v>
      </c>
      <c r="T2962">
        <v>-0.14300639999999901</v>
      </c>
      <c r="U2962">
        <v>-0.34059139999999999</v>
      </c>
      <c r="V2962">
        <v>-7.5817380000000004E-2</v>
      </c>
      <c r="W2962">
        <v>0.18970580000000001</v>
      </c>
      <c r="X2962">
        <v>0.97890929999999998</v>
      </c>
      <c r="Y2962">
        <v>-7.601109E-3</v>
      </c>
      <c r="Z2962">
        <v>4.228379E-3</v>
      </c>
      <c r="AA2962">
        <v>0.99996220000000002</v>
      </c>
      <c r="AB2962">
        <v>26</v>
      </c>
      <c r="AC2962">
        <v>23.856299999999901</v>
      </c>
      <c r="AD2962">
        <v>-1.1273656522440001</v>
      </c>
      <c r="AE2962">
        <v>-2.6602999999999999</v>
      </c>
      <c r="AF2962">
        <v>-0.17837186056961801</v>
      </c>
      <c r="AG2962">
        <v>-1.1273656522440001</v>
      </c>
      <c r="AH2962">
        <v>23.9506765703713</v>
      </c>
      <c r="AI2962">
        <v>92.694866054560507</v>
      </c>
      <c r="AJ2962">
        <v>90.426700507674298</v>
      </c>
      <c r="AK2962">
        <v>23.9778580780902</v>
      </c>
      <c r="AL2962">
        <v>79.064384381459803</v>
      </c>
      <c r="AM2962">
        <v>94.428766748762399</v>
      </c>
      <c r="AN2962">
        <v>0.99999999164509701</v>
      </c>
    </row>
    <row r="2963" spans="1:40" x14ac:dyDescent="0.25">
      <c r="A2963" t="str">
        <f>"20190303162313566"</f>
        <v>20190303162313566</v>
      </c>
      <c r="B2963" t="str">
        <f>"1551601393557537"</f>
        <v>1551601393557537</v>
      </c>
      <c r="C2963" t="s">
        <v>40</v>
      </c>
      <c r="D2963">
        <v>5.7089280000000002</v>
      </c>
      <c r="E2963">
        <v>0.52773149999999902</v>
      </c>
      <c r="F2963" t="s">
        <v>47</v>
      </c>
      <c r="G2963">
        <v>-445.58519999999999</v>
      </c>
      <c r="H2963" s="1">
        <v>1.485123E-6</v>
      </c>
      <c r="I2963">
        <v>213.4786</v>
      </c>
      <c r="J2963">
        <v>-468.92230000000001</v>
      </c>
      <c r="K2963">
        <v>1.127454</v>
      </c>
      <c r="L2963">
        <v>216.11969999999999</v>
      </c>
      <c r="M2963">
        <v>0.99397840000000004</v>
      </c>
      <c r="N2963">
        <v>-1.25585E-2</v>
      </c>
      <c r="O2963">
        <v>-0.10885499999999999</v>
      </c>
      <c r="P2963">
        <v>0.98286359999999995</v>
      </c>
      <c r="Q2963">
        <v>0.17930869999999999</v>
      </c>
      <c r="R2963">
        <v>-4.2752430000000001E-2</v>
      </c>
      <c r="S2963">
        <v>3.0632630000000001</v>
      </c>
      <c r="T2963">
        <v>-0.14634179999999999</v>
      </c>
      <c r="U2963">
        <v>-0.34553529999999999</v>
      </c>
      <c r="V2963">
        <v>-6.7535120000000004E-2</v>
      </c>
      <c r="W2963">
        <v>0.1905742</v>
      </c>
      <c r="X2963">
        <v>0.97934699999999997</v>
      </c>
      <c r="Y2963">
        <v>3.3064209999999999E-3</v>
      </c>
      <c r="Z2963">
        <v>3.6994770000000001E-3</v>
      </c>
      <c r="AA2963">
        <v>0.99998770000000003</v>
      </c>
      <c r="AB2963">
        <v>26</v>
      </c>
      <c r="AC2963">
        <v>23.3371</v>
      </c>
      <c r="AD2963">
        <v>-1.127452514877</v>
      </c>
      <c r="AE2963">
        <v>-2.64109999999999</v>
      </c>
      <c r="AF2963">
        <v>8.4647943906326295E-2</v>
      </c>
      <c r="AG2963">
        <v>-1.127452514877</v>
      </c>
      <c r="AH2963">
        <v>23.431921456486201</v>
      </c>
      <c r="AI2963">
        <v>92.754706552022199</v>
      </c>
      <c r="AJ2963">
        <v>89.793019584766895</v>
      </c>
      <c r="AK2963">
        <v>23.459182798866799</v>
      </c>
      <c r="AL2963">
        <v>79.013704616320695</v>
      </c>
      <c r="AM2963">
        <v>93.944833814253997</v>
      </c>
      <c r="AN2963">
        <v>1.0000000322740199</v>
      </c>
    </row>
    <row r="2964" spans="1:40" x14ac:dyDescent="0.25">
      <c r="A2964" t="str">
        <f>"20190303162313589"</f>
        <v>20190303162313589</v>
      </c>
      <c r="B2964" t="str">
        <f>"1551601393577057"</f>
        <v>1551601393577057</v>
      </c>
      <c r="C2964" t="s">
        <v>40</v>
      </c>
      <c r="D2964">
        <v>5.5861679999999998</v>
      </c>
      <c r="E2964">
        <v>0.52789430000000004</v>
      </c>
      <c r="F2964" t="s">
        <v>47</v>
      </c>
      <c r="G2964">
        <v>-445.33019999999999</v>
      </c>
      <c r="H2964" s="1">
        <v>1.3513099999999999E-6</v>
      </c>
      <c r="I2964">
        <v>213.43549999999999</v>
      </c>
      <c r="J2964">
        <v>-468.65390000000002</v>
      </c>
      <c r="K2964">
        <v>1.127481</v>
      </c>
      <c r="L2964">
        <v>216.1009</v>
      </c>
      <c r="M2964">
        <v>0.99499070000000001</v>
      </c>
      <c r="N2964">
        <v>-1.258078E-2</v>
      </c>
      <c r="O2964">
        <v>-9.9172819999999995E-2</v>
      </c>
      <c r="P2964">
        <v>0.98332260000000005</v>
      </c>
      <c r="Q2964">
        <v>0.1774636</v>
      </c>
      <c r="R2964">
        <v>-3.9792340000000002E-2</v>
      </c>
      <c r="S2964">
        <v>3.0638429999999999</v>
      </c>
      <c r="T2964">
        <v>-0.1464193</v>
      </c>
      <c r="U2964">
        <v>-0.34858699999999998</v>
      </c>
      <c r="V2964">
        <v>-6.0958940000000003E-2</v>
      </c>
      <c r="W2964">
        <v>0.18885830000000001</v>
      </c>
      <c r="X2964">
        <v>0.9801105</v>
      </c>
      <c r="Y2964">
        <v>1.398306E-2</v>
      </c>
      <c r="Z2964">
        <v>3.041392E-3</v>
      </c>
      <c r="AA2964">
        <v>0.99989760000000005</v>
      </c>
      <c r="AB2964">
        <v>26</v>
      </c>
      <c r="AC2964">
        <v>23.323699999999999</v>
      </c>
      <c r="AD2964">
        <v>-1.1274796486900001</v>
      </c>
      <c r="AE2964">
        <v>-2.6654</v>
      </c>
      <c r="AF2964">
        <v>0.33821777518528501</v>
      </c>
      <c r="AG2964">
        <v>-1.1274796486900001</v>
      </c>
      <c r="AH2964">
        <v>23.4190370579758</v>
      </c>
      <c r="AI2964">
        <v>92.756016998748294</v>
      </c>
      <c r="AJ2964">
        <v>89.172591770901207</v>
      </c>
      <c r="AK2964">
        <v>23.448601202300001</v>
      </c>
      <c r="AL2964">
        <v>79.113836838570094</v>
      </c>
      <c r="AM2964">
        <v>93.558983167059296</v>
      </c>
      <c r="AN2964">
        <v>1.0000000210275299</v>
      </c>
    </row>
    <row r="2965" spans="1:40" x14ac:dyDescent="0.25">
      <c r="A2965" t="str">
        <f>"20190303162313612"</f>
        <v>20190303162313612</v>
      </c>
      <c r="B2965" t="str">
        <f>"1551601393597553"</f>
        <v>1551601393597553</v>
      </c>
      <c r="C2965" t="s">
        <v>40</v>
      </c>
      <c r="D2965">
        <v>5.6353910000000003</v>
      </c>
      <c r="E2965">
        <v>0.52822199999999997</v>
      </c>
      <c r="F2965" t="s">
        <v>47</v>
      </c>
      <c r="G2965">
        <v>-445.56470000000002</v>
      </c>
      <c r="H2965" s="1">
        <v>1.471355E-6</v>
      </c>
      <c r="I2965">
        <v>213.54329999999999</v>
      </c>
      <c r="J2965">
        <v>-468.39859999999999</v>
      </c>
      <c r="K2965">
        <v>1.1274759999999999</v>
      </c>
      <c r="L2965">
        <v>216.0856</v>
      </c>
      <c r="M2965">
        <v>0.99586520000000001</v>
      </c>
      <c r="N2965">
        <v>-1.2596329999999999E-2</v>
      </c>
      <c r="O2965">
        <v>-8.9965719999999999E-2</v>
      </c>
      <c r="P2965">
        <v>0.98387599999999997</v>
      </c>
      <c r="Q2965">
        <v>0.17494970000000001</v>
      </c>
      <c r="R2965">
        <v>-3.715305E-2</v>
      </c>
      <c r="S2965">
        <v>3.0641479999999999</v>
      </c>
      <c r="T2965">
        <v>-0.1496265</v>
      </c>
      <c r="U2965">
        <v>-0.33941650000000001</v>
      </c>
      <c r="V2965">
        <v>-5.4511039999999997E-2</v>
      </c>
      <c r="W2965">
        <v>0.18647250000000001</v>
      </c>
      <c r="X2965">
        <v>0.98094680000000001</v>
      </c>
      <c r="Y2965">
        <v>2.0252309999999999E-2</v>
      </c>
      <c r="Z2965">
        <v>2.6146889999999999E-3</v>
      </c>
      <c r="AA2965">
        <v>0.99979150000000006</v>
      </c>
      <c r="AB2965">
        <v>26</v>
      </c>
      <c r="AC2965">
        <v>22.8338999999999</v>
      </c>
      <c r="AD2965">
        <v>-1.1274745286450001</v>
      </c>
      <c r="AE2965">
        <v>-2.5423000000000102</v>
      </c>
      <c r="AF2965">
        <v>0.47641041479987001</v>
      </c>
      <c r="AG2965">
        <v>-1.1274745286450001</v>
      </c>
      <c r="AH2965">
        <v>22.914843850819899</v>
      </c>
      <c r="AI2965">
        <v>92.816233654294393</v>
      </c>
      <c r="AJ2965">
        <v>88.808965297959304</v>
      </c>
      <c r="AK2965">
        <v>22.947510418420801</v>
      </c>
      <c r="AL2965">
        <v>79.253005913864698</v>
      </c>
      <c r="AM2965">
        <v>93.180645065477094</v>
      </c>
      <c r="AN2965">
        <v>1.00000003558418</v>
      </c>
    </row>
    <row r="2966" spans="1:40" x14ac:dyDescent="0.25">
      <c r="A2966" t="str">
        <f>"20190303162313633"</f>
        <v>20190303162313633</v>
      </c>
      <c r="B2966" t="str">
        <f>"1551601393627809"</f>
        <v>1551601393627809</v>
      </c>
      <c r="C2966" t="s">
        <v>40</v>
      </c>
      <c r="D2966">
        <v>5.6301969999999999</v>
      </c>
      <c r="E2966">
        <v>0.52834989999999904</v>
      </c>
      <c r="F2966" t="s">
        <v>47</v>
      </c>
      <c r="G2966">
        <v>-446.4228</v>
      </c>
      <c r="H2966" s="1">
        <v>1.9207600000000001E-6</v>
      </c>
      <c r="I2966">
        <v>213.70949999999999</v>
      </c>
      <c r="J2966">
        <v>-468.14789999999999</v>
      </c>
      <c r="K2966">
        <v>1.1274459999999999</v>
      </c>
      <c r="L2966">
        <v>216.0727</v>
      </c>
      <c r="M2966">
        <v>0.99663550000000001</v>
      </c>
      <c r="N2966">
        <v>-1.2606239999999999E-2</v>
      </c>
      <c r="O2966">
        <v>-8.0986610000000001E-2</v>
      </c>
      <c r="P2966">
        <v>0.9840198</v>
      </c>
      <c r="Q2966">
        <v>0.1743971</v>
      </c>
      <c r="R2966">
        <v>-3.5928740000000001E-2</v>
      </c>
      <c r="S2966">
        <v>3.064575</v>
      </c>
      <c r="T2966">
        <v>-0.157228799999999</v>
      </c>
      <c r="U2966">
        <v>-0.33134459999999999</v>
      </c>
      <c r="V2966">
        <v>-4.6857009999999998E-2</v>
      </c>
      <c r="W2966">
        <v>0.18606159999999999</v>
      </c>
      <c r="X2966">
        <v>0.98142019999999996</v>
      </c>
      <c r="Y2966">
        <v>2.663389E-2</v>
      </c>
      <c r="Z2966">
        <v>2.2635789999999999E-3</v>
      </c>
      <c r="AA2966">
        <v>0.9996427</v>
      </c>
      <c r="AB2966">
        <v>26</v>
      </c>
      <c r="AC2966">
        <v>21.725100000000001</v>
      </c>
      <c r="AD2966">
        <v>-1.12744407924</v>
      </c>
      <c r="AE2966">
        <v>-2.3632</v>
      </c>
      <c r="AF2966">
        <v>0.59427236994959698</v>
      </c>
      <c r="AG2966">
        <v>-1.12744407924</v>
      </c>
      <c r="AH2966">
        <v>21.787137913586001</v>
      </c>
      <c r="AI2966">
        <v>92.961208849615801</v>
      </c>
      <c r="AJ2966">
        <v>88.437570900823104</v>
      </c>
      <c r="AK2966">
        <v>21.8243824257897</v>
      </c>
      <c r="AL2966">
        <v>79.276968303949701</v>
      </c>
      <c r="AM2966">
        <v>92.733458889277003</v>
      </c>
      <c r="AN2966">
        <v>1.0000000536743601</v>
      </c>
    </row>
    <row r="2967" spans="1:40" x14ac:dyDescent="0.25">
      <c r="A2967" t="str">
        <f>"20190303162313658"</f>
        <v>20190303162313658</v>
      </c>
      <c r="B2967" t="str">
        <f>"1551601393647329"</f>
        <v>1551601393647329</v>
      </c>
      <c r="C2967" t="s">
        <v>40</v>
      </c>
      <c r="D2967">
        <v>5.6486099999999997</v>
      </c>
      <c r="E2967">
        <v>0.52837609999999902</v>
      </c>
      <c r="F2967" t="s">
        <v>47</v>
      </c>
      <c r="G2967">
        <v>-447.34820000000002</v>
      </c>
      <c r="H2967" s="1">
        <v>2.4065449999999999E-6</v>
      </c>
      <c r="I2967">
        <v>213.8621</v>
      </c>
      <c r="J2967">
        <v>-467.86880000000002</v>
      </c>
      <c r="K2967">
        <v>1.1273690000000001</v>
      </c>
      <c r="L2967">
        <v>216.0608</v>
      </c>
      <c r="M2967">
        <v>0.9973881</v>
      </c>
      <c r="N2967">
        <v>-1.2610730000000001E-2</v>
      </c>
      <c r="O2967">
        <v>-7.1120829999999996E-2</v>
      </c>
      <c r="P2967">
        <v>0.98386980000000002</v>
      </c>
      <c r="Q2967">
        <v>0.17555419999999999</v>
      </c>
      <c r="R2967">
        <v>-3.4369259999999999E-2</v>
      </c>
      <c r="S2967">
        <v>3.066284</v>
      </c>
      <c r="T2967">
        <v>-0.16620739999999901</v>
      </c>
      <c r="U2967">
        <v>-0.32588200000000001</v>
      </c>
      <c r="V2967">
        <v>-3.8650049999999998E-2</v>
      </c>
      <c r="W2967">
        <v>0.18736249999999999</v>
      </c>
      <c r="X2967">
        <v>0.98153020000000002</v>
      </c>
      <c r="Y2967">
        <v>3.4686500000000002E-2</v>
      </c>
      <c r="Z2967">
        <v>1.7838089999999999E-3</v>
      </c>
      <c r="AA2967">
        <v>0.99939659999999997</v>
      </c>
      <c r="AB2967">
        <v>26</v>
      </c>
      <c r="AC2967">
        <v>20.520600000000002</v>
      </c>
      <c r="AD2967">
        <v>-1.1273665934549999</v>
      </c>
      <c r="AE2967">
        <v>-2.1987000000000001</v>
      </c>
      <c r="AF2967">
        <v>0.73139092116973803</v>
      </c>
      <c r="AG2967">
        <v>-1.1273665934549999</v>
      </c>
      <c r="AH2967">
        <v>20.563652273747199</v>
      </c>
      <c r="AI2967">
        <v>93.136021488121401</v>
      </c>
      <c r="AJ2967">
        <v>87.963009913321997</v>
      </c>
      <c r="AK2967">
        <v>20.607515205652401</v>
      </c>
      <c r="AL2967">
        <v>79.201097795132796</v>
      </c>
      <c r="AM2967">
        <v>92.254990454418106</v>
      </c>
      <c r="AN2967">
        <v>1.0000000331416401</v>
      </c>
    </row>
    <row r="2968" spans="1:40" x14ac:dyDescent="0.25">
      <c r="A2968" t="str">
        <f>"20190303162313682"</f>
        <v>20190303162313682</v>
      </c>
      <c r="B2968" t="str">
        <f>"1551601393667824"</f>
        <v>1551601393667824</v>
      </c>
      <c r="C2968" t="s">
        <v>40</v>
      </c>
      <c r="D2968">
        <v>5.6454610000000001</v>
      </c>
      <c r="E2968">
        <v>0.52847719999999998</v>
      </c>
      <c r="F2968" t="s">
        <v>47</v>
      </c>
      <c r="G2968">
        <v>-447.20240000000001</v>
      </c>
      <c r="H2968" s="1">
        <v>2.326894E-6</v>
      </c>
      <c r="I2968">
        <v>213.90870000000001</v>
      </c>
      <c r="J2968">
        <v>-467.5967</v>
      </c>
      <c r="K2968">
        <v>1.1272549999999999</v>
      </c>
      <c r="L2968">
        <v>216.05179999999999</v>
      </c>
      <c r="M2968">
        <v>0.99801490000000004</v>
      </c>
      <c r="N2968">
        <v>-1.2607989999999999E-2</v>
      </c>
      <c r="O2968">
        <v>-6.1705549999999998E-2</v>
      </c>
      <c r="P2968">
        <v>0.98353139999999994</v>
      </c>
      <c r="Q2968">
        <v>0.1775786</v>
      </c>
      <c r="R2968">
        <v>-3.3649850000000002E-2</v>
      </c>
      <c r="S2968">
        <v>3.0678709999999998</v>
      </c>
      <c r="T2968">
        <v>-0.1673547</v>
      </c>
      <c r="U2968">
        <v>-0.31947330000000002</v>
      </c>
      <c r="V2968">
        <v>-3.003873E-2</v>
      </c>
      <c r="W2968">
        <v>0.18952649999999999</v>
      </c>
      <c r="X2968">
        <v>0.98141599999999996</v>
      </c>
      <c r="Y2968">
        <v>4.1976520000000003E-2</v>
      </c>
      <c r="Z2968">
        <v>1.1672E-3</v>
      </c>
      <c r="AA2968">
        <v>0.9991179</v>
      </c>
      <c r="AB2968">
        <v>26</v>
      </c>
      <c r="AC2968">
        <v>20.394299999999902</v>
      </c>
      <c r="AD2968">
        <v>-1.127252673106</v>
      </c>
      <c r="AE2968">
        <v>-2.1430999999999698</v>
      </c>
      <c r="AF2968">
        <v>0.87782155641983906</v>
      </c>
      <c r="AG2968">
        <v>-1.127252673106</v>
      </c>
      <c r="AH2968">
        <v>20.425960323134898</v>
      </c>
      <c r="AI2968">
        <v>93.155885442245193</v>
      </c>
      <c r="AJ2968">
        <v>87.539183472506394</v>
      </c>
      <c r="AK2968">
        <v>20.475866877771601</v>
      </c>
      <c r="AL2968">
        <v>79.074847337556804</v>
      </c>
      <c r="AM2968">
        <v>91.753135572143094</v>
      </c>
      <c r="AN2968">
        <v>0.99999999227913094</v>
      </c>
    </row>
    <row r="2969" spans="1:40" x14ac:dyDescent="0.25">
      <c r="A2969" t="str">
        <f>"20190303162313701"</f>
        <v>20190303162313701</v>
      </c>
      <c r="B2969" t="str">
        <f>"1551601393687345"</f>
        <v>1551601393687345</v>
      </c>
      <c r="C2969" t="s">
        <v>40</v>
      </c>
      <c r="D2969">
        <v>5.6841949999999999</v>
      </c>
      <c r="E2969">
        <v>0.52856829999999999</v>
      </c>
      <c r="F2969" t="s">
        <v>47</v>
      </c>
      <c r="G2969">
        <v>-446.1891</v>
      </c>
      <c r="H2969" s="1">
        <v>1.7904160000000001E-6</v>
      </c>
      <c r="I2969">
        <v>213.84559999999999</v>
      </c>
      <c r="J2969">
        <v>-467.36290000000002</v>
      </c>
      <c r="K2969">
        <v>1.1271139999999999</v>
      </c>
      <c r="L2969">
        <v>216.04589999999999</v>
      </c>
      <c r="M2969">
        <v>0.99846979999999996</v>
      </c>
      <c r="N2969">
        <v>-1.2599000000000001E-2</v>
      </c>
      <c r="O2969">
        <v>-5.384742E-2</v>
      </c>
      <c r="P2969">
        <v>0.98311959999999998</v>
      </c>
      <c r="Q2969">
        <v>0.179524499999999</v>
      </c>
      <c r="R2969">
        <v>-3.5316199999999999E-2</v>
      </c>
      <c r="S2969">
        <v>3.0686040000000001</v>
      </c>
      <c r="T2969">
        <v>-0.1615819</v>
      </c>
      <c r="U2969">
        <v>-0.31623839999999998</v>
      </c>
      <c r="V2969">
        <v>-2.0570729999999999E-2</v>
      </c>
      <c r="W2969">
        <v>0.19161420000000001</v>
      </c>
      <c r="X2969">
        <v>0.98125479999999998</v>
      </c>
      <c r="Y2969">
        <v>4.8756140000000003E-2</v>
      </c>
      <c r="Z2969">
        <v>5.5836709999999997E-4</v>
      </c>
      <c r="AA2969">
        <v>0.99881050000000005</v>
      </c>
      <c r="AB2969">
        <v>26</v>
      </c>
      <c r="AC2969">
        <v>21.1738</v>
      </c>
      <c r="AD2969">
        <v>-1.127112209584</v>
      </c>
      <c r="AE2969">
        <v>-2.2002999999999902</v>
      </c>
      <c r="AF2969">
        <v>1.0539079292159601</v>
      </c>
      <c r="AG2969">
        <v>-1.127112209584</v>
      </c>
      <c r="AH2969">
        <v>21.202129251401701</v>
      </c>
      <c r="AI2969">
        <v>93.039252832824502</v>
      </c>
      <c r="AJ2969">
        <v>87.154303911515896</v>
      </c>
      <c r="AK2969">
        <v>21.258207559655599</v>
      </c>
      <c r="AL2969">
        <v>78.952998707222307</v>
      </c>
      <c r="AM2969">
        <v>91.200955549913004</v>
      </c>
      <c r="AN2969">
        <v>1.0000000695486999</v>
      </c>
    </row>
    <row r="2970" spans="1:40" x14ac:dyDescent="0.25">
      <c r="A2970" t="str">
        <f>"20190303162313723"</f>
        <v>20190303162313723</v>
      </c>
      <c r="B2970" t="str">
        <f>"1551601393717601"</f>
        <v>1551601393717601</v>
      </c>
      <c r="C2970" t="s">
        <v>40</v>
      </c>
      <c r="D2970">
        <v>5.6393719999999998</v>
      </c>
      <c r="E2970">
        <v>0.52881080000000003</v>
      </c>
      <c r="F2970" t="s">
        <v>47</v>
      </c>
      <c r="G2970">
        <v>-445.51249999999999</v>
      </c>
      <c r="H2970" s="1">
        <v>1.4338369999999999E-6</v>
      </c>
      <c r="I2970">
        <v>213.76609999999999</v>
      </c>
      <c r="J2970">
        <v>-467.1087</v>
      </c>
      <c r="K2970">
        <v>1.1268959999999999</v>
      </c>
      <c r="L2970">
        <v>216.04130000000001</v>
      </c>
      <c r="M2970">
        <v>0.99888060000000001</v>
      </c>
      <c r="N2970">
        <v>-1.2582619999999999E-2</v>
      </c>
      <c r="O2970">
        <v>-4.56026E-2</v>
      </c>
      <c r="P2970">
        <v>0.98324659999999997</v>
      </c>
      <c r="Q2970">
        <v>0.17880860000000001</v>
      </c>
      <c r="R2970">
        <v>-3.5408559999999999E-2</v>
      </c>
      <c r="S2970">
        <v>3.0689389999999999</v>
      </c>
      <c r="T2970">
        <v>-0.15830520000000001</v>
      </c>
      <c r="U2970">
        <v>-0.32020569999999998</v>
      </c>
      <c r="V2970">
        <v>-1.225559E-2</v>
      </c>
      <c r="W2970">
        <v>0.19101560000000001</v>
      </c>
      <c r="X2970">
        <v>0.98151049999999995</v>
      </c>
      <c r="Y2970">
        <v>5.8245110000000003E-2</v>
      </c>
      <c r="Z2970" s="1">
        <v>-9.498792E-5</v>
      </c>
      <c r="AA2970">
        <v>0.99830229999999998</v>
      </c>
      <c r="AB2970">
        <v>26</v>
      </c>
      <c r="AC2970">
        <v>21.5962</v>
      </c>
      <c r="AD2970">
        <v>-1.1268945661630001</v>
      </c>
      <c r="AE2970">
        <v>-2.2752000000000101</v>
      </c>
      <c r="AF2970">
        <v>1.2844531001313</v>
      </c>
      <c r="AG2970">
        <v>-1.1268945661630001</v>
      </c>
      <c r="AH2970">
        <v>21.619274023402301</v>
      </c>
      <c r="AI2970">
        <v>92.978572586372593</v>
      </c>
      <c r="AJ2970">
        <v>86.599916665154197</v>
      </c>
      <c r="AK2970">
        <v>21.686694548239601</v>
      </c>
      <c r="AL2970">
        <v>78.987940734534703</v>
      </c>
      <c r="AM2970">
        <v>90.715384188423002</v>
      </c>
      <c r="AN2970">
        <v>1.00000001026992</v>
      </c>
    </row>
    <row r="2971" spans="1:40" x14ac:dyDescent="0.25">
      <c r="A2971" t="str">
        <f>"20190303162313744"</f>
        <v>20190303162313744</v>
      </c>
      <c r="B2971" t="str">
        <f>"1551601393737121"</f>
        <v>1551601393737121</v>
      </c>
      <c r="C2971" t="s">
        <v>40</v>
      </c>
      <c r="D2971">
        <v>5.6496199999999996</v>
      </c>
      <c r="E2971">
        <v>0.52907939999999998</v>
      </c>
      <c r="F2971" t="s">
        <v>47</v>
      </c>
      <c r="G2971">
        <v>-446.05500000000001</v>
      </c>
      <c r="H2971" s="1">
        <v>1.718872E-6</v>
      </c>
      <c r="I2971">
        <v>213.8501</v>
      </c>
      <c r="J2971">
        <v>-466.8587</v>
      </c>
      <c r="K2971">
        <v>1.126611</v>
      </c>
      <c r="L2971">
        <v>216.0385</v>
      </c>
      <c r="M2971">
        <v>0.99920319999999996</v>
      </c>
      <c r="N2971">
        <v>-1.255917E-2</v>
      </c>
      <c r="O2971">
        <v>-3.7887860000000002E-2</v>
      </c>
      <c r="P2971">
        <v>0.98369629999999997</v>
      </c>
      <c r="Q2971">
        <v>0.17685300000000001</v>
      </c>
      <c r="R2971">
        <v>-3.2630310000000003E-2</v>
      </c>
      <c r="S2971">
        <v>3.0694889999999999</v>
      </c>
      <c r="T2971">
        <v>-0.16429379999999999</v>
      </c>
      <c r="U2971">
        <v>-0.31945800000000002</v>
      </c>
      <c r="V2971">
        <v>-7.3027830000000002E-3</v>
      </c>
      <c r="W2971">
        <v>0.1891168</v>
      </c>
      <c r="X2971">
        <v>0.98192749999999995</v>
      </c>
      <c r="Y2971">
        <v>6.5670999999999993E-2</v>
      </c>
      <c r="Z2971">
        <v>-6.2036260000000005E-4</v>
      </c>
      <c r="AA2971">
        <v>0.99784110000000004</v>
      </c>
      <c r="AB2971">
        <v>26</v>
      </c>
      <c r="AC2971">
        <v>20.8036999999999</v>
      </c>
      <c r="AD2971">
        <v>-1.126609281128</v>
      </c>
      <c r="AE2971">
        <v>-2.1884000000000001</v>
      </c>
      <c r="AF2971">
        <v>1.39451382196806</v>
      </c>
      <c r="AG2971">
        <v>-1.126609281128</v>
      </c>
      <c r="AH2971">
        <v>20.811315783708501</v>
      </c>
      <c r="AI2971">
        <v>93.091731700588298</v>
      </c>
      <c r="AJ2971">
        <v>86.166484855451699</v>
      </c>
      <c r="AK2971">
        <v>20.888388686569801</v>
      </c>
      <c r="AL2971">
        <v>79.098754455289495</v>
      </c>
      <c r="AM2971">
        <v>90.426111836522594</v>
      </c>
      <c r="AN2971">
        <v>1.00000005496901</v>
      </c>
    </row>
    <row r="2972" spans="1:40" x14ac:dyDescent="0.25">
      <c r="A2972" t="str">
        <f>"20190303162313766"</f>
        <v>20190303162313766</v>
      </c>
      <c r="B2972" t="str">
        <f>"1551601393757616"</f>
        <v>1551601393757616</v>
      </c>
      <c r="C2972" t="s">
        <v>40</v>
      </c>
      <c r="D2972">
        <v>5.9806710000000001</v>
      </c>
      <c r="E2972">
        <v>0.52907169999999903</v>
      </c>
      <c r="F2972" t="s">
        <v>47</v>
      </c>
      <c r="G2972">
        <v>-446.68099999999998</v>
      </c>
      <c r="H2972" s="1">
        <v>2.046386E-6</v>
      </c>
      <c r="I2972">
        <v>213.97810000000001</v>
      </c>
      <c r="J2972">
        <v>-466.61829999999998</v>
      </c>
      <c r="K2972">
        <v>1.1263449999999999</v>
      </c>
      <c r="L2972">
        <v>216.03729999999999</v>
      </c>
      <c r="M2972">
        <v>0.99944739999999999</v>
      </c>
      <c r="N2972">
        <v>-1.2533829999999999E-2</v>
      </c>
      <c r="O2972">
        <v>-3.0786259999999999E-2</v>
      </c>
      <c r="P2972">
        <v>0.98403149999999995</v>
      </c>
      <c r="Q2972">
        <v>0.1758691</v>
      </c>
      <c r="R2972">
        <v>-2.7431339999999999E-2</v>
      </c>
      <c r="S2972">
        <v>3.0701290000000001</v>
      </c>
      <c r="T2972">
        <v>-0.1714184</v>
      </c>
      <c r="U2972">
        <v>-0.31349179999999999</v>
      </c>
      <c r="V2972">
        <v>-5.3822269999999998E-3</v>
      </c>
      <c r="W2972">
        <v>0.18813849999999999</v>
      </c>
      <c r="X2972">
        <v>0.98212770000000005</v>
      </c>
      <c r="Y2972">
        <v>7.0799230000000005E-2</v>
      </c>
      <c r="Z2972">
        <v>-1.087722E-3</v>
      </c>
      <c r="AA2972">
        <v>0.99748999999999999</v>
      </c>
      <c r="AB2972">
        <v>26</v>
      </c>
      <c r="AC2972">
        <v>19.9373</v>
      </c>
      <c r="AD2972">
        <v>-1.1263429536139999</v>
      </c>
      <c r="AE2972">
        <v>-2.0591999999999699</v>
      </c>
      <c r="AF2972">
        <v>1.4398337746258001</v>
      </c>
      <c r="AG2972">
        <v>-1.1263429536139999</v>
      </c>
      <c r="AH2972">
        <v>19.928316190133199</v>
      </c>
      <c r="AI2972">
        <v>93.226507396356098</v>
      </c>
      <c r="AJ2972">
        <v>85.867523497380901</v>
      </c>
      <c r="AK2972">
        <v>20.0119853068514</v>
      </c>
      <c r="AL2972">
        <v>79.155830277241904</v>
      </c>
      <c r="AM2972">
        <v>90.3139874829224</v>
      </c>
      <c r="AN2972">
        <v>0.999999941328508</v>
      </c>
    </row>
    <row r="2973" spans="1:40" x14ac:dyDescent="0.25">
      <c r="A2973" t="str">
        <f>"20190303162313789"</f>
        <v>20190303162313789</v>
      </c>
      <c r="B2973" t="str">
        <f>"1551601393777137"</f>
        <v>1551601393777137</v>
      </c>
      <c r="C2973" t="s">
        <v>40</v>
      </c>
      <c r="D2973">
        <v>5.8442119999999997</v>
      </c>
      <c r="E2973">
        <v>0.48685240000000002</v>
      </c>
      <c r="F2973" t="s">
        <v>47</v>
      </c>
      <c r="G2973">
        <v>-446.66800000000001</v>
      </c>
      <c r="H2973" s="1">
        <v>2.035269E-6</v>
      </c>
      <c r="I2973">
        <v>214.07409999999999</v>
      </c>
      <c r="J2973">
        <v>-466.34140000000002</v>
      </c>
      <c r="K2973">
        <v>1.1260300000000001</v>
      </c>
      <c r="L2973">
        <v>216.03749999999999</v>
      </c>
      <c r="M2973">
        <v>0.99965539999999997</v>
      </c>
      <c r="N2973">
        <v>-1.2502889999999999E-2</v>
      </c>
      <c r="O2973">
        <v>-2.308025E-2</v>
      </c>
      <c r="P2973">
        <v>0.98424579999999995</v>
      </c>
      <c r="Q2973">
        <v>0.1754906</v>
      </c>
      <c r="R2973">
        <v>-2.15214E-2</v>
      </c>
      <c r="S2973">
        <v>3.0712890000000002</v>
      </c>
      <c r="T2973">
        <v>-0.1733963</v>
      </c>
      <c r="U2973">
        <v>-0.30221559999999997</v>
      </c>
      <c r="V2973">
        <v>-3.5555869999999998E-3</v>
      </c>
      <c r="W2973">
        <v>0.1877559</v>
      </c>
      <c r="X2973">
        <v>0.98220929999999995</v>
      </c>
      <c r="Y2973">
        <v>7.4807819999999997E-2</v>
      </c>
      <c r="Z2973">
        <v>-1.563605E-3</v>
      </c>
      <c r="AA2973">
        <v>0.99719669999999905</v>
      </c>
      <c r="AB2973">
        <v>26</v>
      </c>
      <c r="AC2973">
        <v>19.673400000000001</v>
      </c>
      <c r="AD2973">
        <v>-1.1260279647310001</v>
      </c>
      <c r="AE2973">
        <v>-1.9634</v>
      </c>
      <c r="AF2973">
        <v>1.5038962718361899</v>
      </c>
      <c r="AG2973">
        <v>-1.1260279647310001</v>
      </c>
      <c r="AH2973">
        <v>19.649740718696801</v>
      </c>
      <c r="AI2973">
        <v>93.270203468988598</v>
      </c>
      <c r="AJ2973">
        <v>85.623389917200996</v>
      </c>
      <c r="AK2973">
        <v>19.739350376489298</v>
      </c>
      <c r="AL2973">
        <v>79.178150192346095</v>
      </c>
      <c r="AM2973">
        <v>90.207409193668994</v>
      </c>
      <c r="AN2973">
        <v>1.0000000145951</v>
      </c>
    </row>
    <row r="2974" spans="1:40" x14ac:dyDescent="0.25">
      <c r="A2974" t="str">
        <f>"20190303162313816"</f>
        <v>20190303162313816</v>
      </c>
      <c r="B2974" t="str">
        <f>"1551601393807392"</f>
        <v>1551601393807392</v>
      </c>
      <c r="C2974" t="s">
        <v>40</v>
      </c>
      <c r="D2974">
        <v>5.7586849999999998</v>
      </c>
      <c r="E2974">
        <v>0.43329060000000003</v>
      </c>
      <c r="F2974" t="s">
        <v>49</v>
      </c>
      <c r="G2974">
        <v>-438.14760000000001</v>
      </c>
      <c r="H2974" s="1">
        <v>5.6657429999999999E-6</v>
      </c>
      <c r="I2974">
        <v>216.4967</v>
      </c>
      <c r="J2974">
        <v>-466.03870000000001</v>
      </c>
      <c r="K2974">
        <v>1.1256280000000001</v>
      </c>
      <c r="L2974">
        <v>216.0395</v>
      </c>
      <c r="M2974">
        <v>0.99980460000000004</v>
      </c>
      <c r="N2974">
        <v>-1.246412E-2</v>
      </c>
      <c r="O2974">
        <v>-1.534129E-2</v>
      </c>
      <c r="P2974">
        <v>0.98430410000000002</v>
      </c>
      <c r="Q2974">
        <v>0.1757995</v>
      </c>
      <c r="R2974">
        <v>-1.549443E-2</v>
      </c>
      <c r="S2974">
        <v>3.0709840000000002</v>
      </c>
      <c r="T2974">
        <v>-0.1226516</v>
      </c>
      <c r="U2974">
        <v>5.0018310000000003E-2</v>
      </c>
      <c r="V2974">
        <v>-1.781824E-3</v>
      </c>
      <c r="W2974">
        <v>0.18804770000000001</v>
      </c>
      <c r="X2974">
        <v>0.98215830000000004</v>
      </c>
      <c r="Y2974">
        <v>-3.1584939999999999E-2</v>
      </c>
      <c r="Z2974">
        <v>1.2486750000000001E-3</v>
      </c>
      <c r="AA2974">
        <v>0.99950030000000001</v>
      </c>
      <c r="AB2974">
        <v>26</v>
      </c>
      <c r="AC2974">
        <v>27.891099999999899</v>
      </c>
      <c r="AD2974">
        <v>-1.125622334257</v>
      </c>
      <c r="AE2974">
        <v>0.4572</v>
      </c>
      <c r="AF2974">
        <v>-0.88362607347755096</v>
      </c>
      <c r="AG2974">
        <v>-1.125622334257</v>
      </c>
      <c r="AH2974">
        <v>27.835477733635599</v>
      </c>
      <c r="AI2974">
        <v>92.314523624855099</v>
      </c>
      <c r="AJ2974">
        <v>91.818220946205301</v>
      </c>
      <c r="AK2974">
        <v>27.872237824344701</v>
      </c>
      <c r="AL2974">
        <v>79.161128134977602</v>
      </c>
      <c r="AM2974">
        <v>90.103945446504397</v>
      </c>
      <c r="AN2974">
        <v>1.0000000193154699</v>
      </c>
    </row>
    <row r="2975" spans="1:40" x14ac:dyDescent="0.25">
      <c r="A2975" t="str">
        <f>"20190303162313836"</f>
        <v>20190303162313836</v>
      </c>
      <c r="B2975" t="str">
        <f>"1551601393827889"</f>
        <v>1551601393827889</v>
      </c>
      <c r="C2975" t="s">
        <v>40</v>
      </c>
      <c r="D2975">
        <v>5.2716839999999996</v>
      </c>
      <c r="E2975">
        <v>0.4354885</v>
      </c>
      <c r="F2975" t="s">
        <v>47</v>
      </c>
      <c r="G2975">
        <v>-448.19310000000002</v>
      </c>
      <c r="H2975" s="1">
        <v>2.6354370000000002E-6</v>
      </c>
      <c r="I2975">
        <v>218.91050000000001</v>
      </c>
      <c r="J2975">
        <v>-465.79349999999999</v>
      </c>
      <c r="K2975">
        <v>1.125235</v>
      </c>
      <c r="L2975">
        <v>216.04220000000001</v>
      </c>
      <c r="M2975">
        <v>0.99987570000000003</v>
      </c>
      <c r="N2975">
        <v>-1.242653E-2</v>
      </c>
      <c r="O2975">
        <v>-9.7164230000000001E-3</v>
      </c>
      <c r="P2975">
        <v>0.98400460000000001</v>
      </c>
      <c r="Q2975">
        <v>0.17785119999999999</v>
      </c>
      <c r="R2975">
        <v>-1.020867E-2</v>
      </c>
      <c r="S2975">
        <v>3.0904539999999998</v>
      </c>
      <c r="T2975">
        <v>-0.19493189999999999</v>
      </c>
      <c r="U2975">
        <v>0.49719239999999998</v>
      </c>
      <c r="V2975">
        <v>-1.365876E-3</v>
      </c>
      <c r="W2975">
        <v>0.1900625</v>
      </c>
      <c r="X2975">
        <v>0.98177110000000001</v>
      </c>
      <c r="Y2975">
        <v>-0.16802059999999999</v>
      </c>
      <c r="Z2975">
        <v>6.8005050000000001E-3</v>
      </c>
      <c r="AA2975">
        <v>0.98575999999999997</v>
      </c>
      <c r="AB2975">
        <v>26</v>
      </c>
      <c r="AC2975">
        <v>17.600399999999901</v>
      </c>
      <c r="AD2975">
        <v>-1.125232364563</v>
      </c>
      <c r="AE2975">
        <v>2.8683000000000001</v>
      </c>
      <c r="AF2975">
        <v>-3.02713789833455</v>
      </c>
      <c r="AG2975">
        <v>-1.125232364563</v>
      </c>
      <c r="AH2975">
        <v>17.502011580630199</v>
      </c>
      <c r="AI2975">
        <v>93.624901521851001</v>
      </c>
      <c r="AJ2975">
        <v>99.812764290034295</v>
      </c>
      <c r="AK2975">
        <v>17.7974751326784</v>
      </c>
      <c r="AL2975">
        <v>79.043568974127695</v>
      </c>
      <c r="AM2975">
        <v>90.0797119406419</v>
      </c>
      <c r="AN2975">
        <v>1.0000000561593501</v>
      </c>
    </row>
    <row r="2976" spans="1:40" x14ac:dyDescent="0.25">
      <c r="A2976" t="str">
        <f>"20190303162313859"</f>
        <v>20190303162313859</v>
      </c>
      <c r="B2976" t="str">
        <f>"1551601393847411"</f>
        <v>1551601393847411</v>
      </c>
      <c r="C2976" t="s">
        <v>40</v>
      </c>
      <c r="D2976">
        <v>5.5793439999999999</v>
      </c>
      <c r="E2976">
        <v>0.43762129999999999</v>
      </c>
      <c r="F2976" t="s">
        <v>47</v>
      </c>
      <c r="G2976">
        <v>-447.1601</v>
      </c>
      <c r="H2976" s="1">
        <v>2.081019E-6</v>
      </c>
      <c r="I2976">
        <v>219.01910000000001</v>
      </c>
      <c r="J2976">
        <v>-465.5419</v>
      </c>
      <c r="K2976">
        <v>1.1247419999999999</v>
      </c>
      <c r="L2976">
        <v>216.04570000000001</v>
      </c>
      <c r="M2976">
        <v>0.99991260000000004</v>
      </c>
      <c r="N2976">
        <v>-1.238423E-2</v>
      </c>
      <c r="O2976">
        <v>-4.6338159999999998E-3</v>
      </c>
      <c r="P2976">
        <v>0.98358420000000002</v>
      </c>
      <c r="Q2976">
        <v>0.1803583</v>
      </c>
      <c r="R2976">
        <v>-5.773111E-3</v>
      </c>
      <c r="S2976">
        <v>3.0875240000000002</v>
      </c>
      <c r="T2976">
        <v>-0.18644930000000001</v>
      </c>
      <c r="U2976">
        <v>0.49327090000000001</v>
      </c>
      <c r="V2976">
        <v>-5.9174230000000002E-4</v>
      </c>
      <c r="W2976">
        <v>0.19252859999999999</v>
      </c>
      <c r="X2976">
        <v>0.98129120000000003</v>
      </c>
      <c r="Y2976">
        <v>-0.16198299999999999</v>
      </c>
      <c r="Z2976">
        <v>6.0870680000000002E-3</v>
      </c>
      <c r="AA2976">
        <v>0.9867747</v>
      </c>
      <c r="AB2976">
        <v>26</v>
      </c>
      <c r="AC2976">
        <v>18.381799999999998</v>
      </c>
      <c r="AD2976">
        <v>-1.1247399189809999</v>
      </c>
      <c r="AE2976">
        <v>2.9733999999999901</v>
      </c>
      <c r="AF2976">
        <v>-3.0474340121426402</v>
      </c>
      <c r="AG2976">
        <v>-1.1247399189809999</v>
      </c>
      <c r="AH2976">
        <v>18.3010525461487</v>
      </c>
      <c r="AI2976">
        <v>93.469192680305596</v>
      </c>
      <c r="AJ2976">
        <v>99.453971328250802</v>
      </c>
      <c r="AK2976">
        <v>18.587103546292699</v>
      </c>
      <c r="AL2976">
        <v>78.899612859250396</v>
      </c>
      <c r="AM2976">
        <v>90.034550735031203</v>
      </c>
      <c r="AN2976">
        <v>1.00000001558717</v>
      </c>
    </row>
    <row r="2977" spans="1:40" x14ac:dyDescent="0.25">
      <c r="A2977" t="str">
        <f>"20190303162313881"</f>
        <v>20190303162313881</v>
      </c>
      <c r="B2977" t="str">
        <f>"1551601393867905"</f>
        <v>1551601393867905</v>
      </c>
      <c r="C2977" t="s">
        <v>40</v>
      </c>
      <c r="D2977">
        <v>5.4935219999999996</v>
      </c>
      <c r="E2977">
        <v>0.43948340000000002</v>
      </c>
      <c r="F2977" t="s">
        <v>47</v>
      </c>
      <c r="G2977">
        <v>-446.00920000000002</v>
      </c>
      <c r="H2977" s="1">
        <v>1.4641220000000001E-6</v>
      </c>
      <c r="I2977">
        <v>219.1207</v>
      </c>
      <c r="J2977">
        <v>-465.27359999999999</v>
      </c>
      <c r="K2977">
        <v>1.1241509999999999</v>
      </c>
      <c r="L2977">
        <v>216.05</v>
      </c>
      <c r="M2977">
        <v>0.99992380000000003</v>
      </c>
      <c r="N2977">
        <v>-1.234003E-2</v>
      </c>
      <c r="O2977" s="1">
        <v>-1.2978180000000001E-5</v>
      </c>
      <c r="P2977">
        <v>0.98370570000000002</v>
      </c>
      <c r="Q2977">
        <v>0.17977079999999901</v>
      </c>
      <c r="R2977">
        <v>-2.348681E-3</v>
      </c>
      <c r="S2977">
        <v>3.0855100000000002</v>
      </c>
      <c r="T2977">
        <v>-0.17767160000000001</v>
      </c>
      <c r="U2977">
        <v>0.48574830000000002</v>
      </c>
      <c r="V2977">
        <v>8.1498929999999903E-4</v>
      </c>
      <c r="W2977">
        <v>0.19190860000000001</v>
      </c>
      <c r="X2977">
        <v>0.98141250000000002</v>
      </c>
      <c r="Y2977">
        <v>-0.15522049999999901</v>
      </c>
      <c r="Z2977">
        <v>5.4031749999999996E-3</v>
      </c>
      <c r="AA2977">
        <v>0.98786510000000005</v>
      </c>
      <c r="AB2977">
        <v>26</v>
      </c>
      <c r="AC2977">
        <v>19.264399999999899</v>
      </c>
      <c r="AD2977">
        <v>-1.124149535878</v>
      </c>
      <c r="AE2977">
        <v>3.07069999999998</v>
      </c>
      <c r="AF2977">
        <v>-3.0607858262790901</v>
      </c>
      <c r="AG2977">
        <v>-1.124149535878</v>
      </c>
      <c r="AH2977">
        <v>19.200599096166201</v>
      </c>
      <c r="AI2977">
        <v>93.309021129891505</v>
      </c>
      <c r="AJ2977">
        <v>99.057366500683898</v>
      </c>
      <c r="AK2977">
        <v>19.475500704861599</v>
      </c>
      <c r="AL2977">
        <v>78.935811483842201</v>
      </c>
      <c r="AM2977">
        <v>89.952420173469804</v>
      </c>
      <c r="AN2977">
        <v>1.00000003505888</v>
      </c>
    </row>
    <row r="2978" spans="1:40" x14ac:dyDescent="0.25">
      <c r="A2978" t="str">
        <f>"20190303162313923"</f>
        <v>20190303162313923</v>
      </c>
      <c r="B2978" t="str">
        <f>"1551601393917681"</f>
        <v>1551601393917681</v>
      </c>
      <c r="C2978" t="s">
        <v>40</v>
      </c>
      <c r="D2978">
        <v>5.5713470000000003</v>
      </c>
      <c r="E2978">
        <v>0.44238240000000001</v>
      </c>
      <c r="F2978" t="s">
        <v>47</v>
      </c>
      <c r="G2978">
        <v>-445.90660000000003</v>
      </c>
      <c r="H2978" s="1">
        <v>1.4120129999999999E-6</v>
      </c>
      <c r="I2978">
        <v>219.06399999999999</v>
      </c>
      <c r="J2978">
        <v>-464.78910000000002</v>
      </c>
      <c r="K2978">
        <v>1.123008</v>
      </c>
      <c r="L2978">
        <v>216.0582</v>
      </c>
      <c r="M2978">
        <v>0.99990670000000004</v>
      </c>
      <c r="N2978">
        <v>-1.226964E-2</v>
      </c>
      <c r="O2978">
        <v>6.020325E-3</v>
      </c>
      <c r="P2978">
        <v>0.98387179999999996</v>
      </c>
      <c r="Q2978">
        <v>0.1787986</v>
      </c>
      <c r="R2978">
        <v>5.2657549999999996E-3</v>
      </c>
      <c r="S2978">
        <v>3.0835270000000001</v>
      </c>
      <c r="T2978">
        <v>-0.17898269999999999</v>
      </c>
      <c r="U2978">
        <v>0.47988890000000001</v>
      </c>
      <c r="V2978">
        <v>-3.223298E-4</v>
      </c>
      <c r="W2978">
        <v>0.19085830000000001</v>
      </c>
      <c r="X2978">
        <v>0.98161759999999998</v>
      </c>
      <c r="Y2978">
        <v>-0.14753820000000001</v>
      </c>
      <c r="Z2978">
        <v>4.8906130000000003E-3</v>
      </c>
      <c r="AA2978">
        <v>0.98904420000000004</v>
      </c>
      <c r="AB2978">
        <v>26</v>
      </c>
      <c r="AC2978">
        <v>18.8825</v>
      </c>
      <c r="AD2978">
        <v>-1.1230065879869999</v>
      </c>
      <c r="AE2978">
        <v>3.0058000000000198</v>
      </c>
      <c r="AF2978">
        <v>-2.8821158308610002</v>
      </c>
      <c r="AG2978">
        <v>-1.1230065879869999</v>
      </c>
      <c r="AH2978">
        <v>18.835279463262601</v>
      </c>
      <c r="AI2978">
        <v>93.372912448788995</v>
      </c>
      <c r="AJ2978">
        <v>98.699741579559799</v>
      </c>
      <c r="AK2978">
        <v>19.087574175844399</v>
      </c>
      <c r="AL2978">
        <v>78.997122762588702</v>
      </c>
      <c r="AM2978">
        <v>90.018813982642001</v>
      </c>
      <c r="AN2978">
        <v>1.0000000536025699</v>
      </c>
    </row>
    <row r="2979" spans="1:40" x14ac:dyDescent="0.25">
      <c r="A2979" t="str">
        <f>"20190303162313969"</f>
        <v>20190303162313969</v>
      </c>
      <c r="B2979" t="str">
        <f>"1551601393957697"</f>
        <v>1551601393957697</v>
      </c>
      <c r="C2979" t="s">
        <v>40</v>
      </c>
      <c r="D2979">
        <v>5.6329359999999999</v>
      </c>
      <c r="E2979">
        <v>0.44468439999999998</v>
      </c>
      <c r="F2979" t="s">
        <v>47</v>
      </c>
      <c r="G2979">
        <v>-445.4692</v>
      </c>
      <c r="H2979" s="1">
        <v>1.179365E-6</v>
      </c>
      <c r="I2979">
        <v>219.06120000000001</v>
      </c>
      <c r="J2979">
        <v>-464.26080000000002</v>
      </c>
      <c r="K2979">
        <v>1.1218889999999999</v>
      </c>
      <c r="L2979">
        <v>216.06639999999999</v>
      </c>
      <c r="M2979">
        <v>0.99988259999999995</v>
      </c>
      <c r="N2979">
        <v>-1.220663E-2</v>
      </c>
      <c r="O2979">
        <v>9.2688309999999999E-3</v>
      </c>
      <c r="P2979">
        <v>0.98386510000000005</v>
      </c>
      <c r="Q2979">
        <v>0.17860699999999999</v>
      </c>
      <c r="R2979">
        <v>1.044262E-2</v>
      </c>
      <c r="S2979">
        <v>3.0791019999999998</v>
      </c>
      <c r="T2979">
        <v>-0.17897869999999999</v>
      </c>
      <c r="U2979">
        <v>0.47860720000000001</v>
      </c>
      <c r="V2979">
        <v>-1.782336E-3</v>
      </c>
      <c r="W2979">
        <v>0.1906004</v>
      </c>
      <c r="X2979">
        <v>0.98166609999999999</v>
      </c>
      <c r="Y2979">
        <v>-0.1441479</v>
      </c>
      <c r="Z2979">
        <v>4.6243370000000001E-3</v>
      </c>
      <c r="AA2979">
        <v>0.98954529999999996</v>
      </c>
      <c r="AB2979">
        <v>26</v>
      </c>
      <c r="AC2979">
        <v>18.791599999999999</v>
      </c>
      <c r="AD2979">
        <v>-1.12188782063499</v>
      </c>
      <c r="AE2979">
        <v>2.9948000000000201</v>
      </c>
      <c r="AF2979">
        <v>-2.81071219245479</v>
      </c>
      <c r="AG2979">
        <v>-1.12188782063499</v>
      </c>
      <c r="AH2979">
        <v>18.753366482438601</v>
      </c>
      <c r="AI2979">
        <v>93.3858133581667</v>
      </c>
      <c r="AJ2979">
        <v>98.523914668906698</v>
      </c>
      <c r="AK2979">
        <v>18.995986148014399</v>
      </c>
      <c r="AL2979">
        <v>79.012175195763106</v>
      </c>
      <c r="AM2979">
        <v>90.104027447073506</v>
      </c>
      <c r="AN2979">
        <v>1.00000001054549</v>
      </c>
    </row>
    <row r="2980" spans="1:40" x14ac:dyDescent="0.25">
      <c r="A2980" t="str">
        <f>"20190303162313991"</f>
        <v>20190303162313991</v>
      </c>
      <c r="B2980" t="str">
        <f>"1551601393977217"</f>
        <v>1551601393977217</v>
      </c>
      <c r="C2980" t="s">
        <v>40</v>
      </c>
      <c r="D2980">
        <v>5.6913879999999999</v>
      </c>
      <c r="E2980">
        <v>0.4460074</v>
      </c>
      <c r="F2980" t="s">
        <v>47</v>
      </c>
      <c r="G2980">
        <v>-444.81509999999997</v>
      </c>
      <c r="H2980" s="1">
        <v>8.310529E-7</v>
      </c>
      <c r="I2980">
        <v>219.0658</v>
      </c>
      <c r="J2980">
        <v>-463.98590000000002</v>
      </c>
      <c r="K2980">
        <v>1.121426</v>
      </c>
      <c r="L2980">
        <v>216.0702</v>
      </c>
      <c r="M2980">
        <v>0.99987700000000002</v>
      </c>
      <c r="N2980">
        <v>-1.2176960000000001E-2</v>
      </c>
      <c r="O2980">
        <v>9.8986669999999999E-3</v>
      </c>
      <c r="P2980">
        <v>0.9839407</v>
      </c>
      <c r="Q2980">
        <v>0.1779239</v>
      </c>
      <c r="R2980">
        <v>1.428457E-2</v>
      </c>
      <c r="S2980">
        <v>3.076355</v>
      </c>
      <c r="T2980">
        <v>-0.1774849</v>
      </c>
      <c r="U2980">
        <v>0.4745026</v>
      </c>
      <c r="V2980">
        <v>-4.7891030000000003E-3</v>
      </c>
      <c r="W2980">
        <v>0.189887</v>
      </c>
      <c r="X2980">
        <v>0.98179430000000001</v>
      </c>
      <c r="Y2980">
        <v>-0.142377</v>
      </c>
      <c r="Z2980">
        <v>4.5050910000000001E-3</v>
      </c>
      <c r="AA2980">
        <v>0.98980219999999997</v>
      </c>
      <c r="AB2980">
        <v>26</v>
      </c>
      <c r="AC2980">
        <v>19.1708</v>
      </c>
      <c r="AD2980">
        <v>-1.1214251689471</v>
      </c>
      <c r="AE2980">
        <v>2.9955999999999898</v>
      </c>
      <c r="AF2980">
        <v>-2.79633325629199</v>
      </c>
      <c r="AG2980">
        <v>-1.1214251689471</v>
      </c>
      <c r="AH2980">
        <v>19.1355969276458</v>
      </c>
      <c r="AI2980">
        <v>93.318765248168006</v>
      </c>
      <c r="AJ2980">
        <v>98.313930158735602</v>
      </c>
      <c r="AK2980">
        <v>19.371322718573499</v>
      </c>
      <c r="AL2980">
        <v>79.053810585579896</v>
      </c>
      <c r="AM2980">
        <v>90.2794813671904</v>
      </c>
      <c r="AN2980">
        <v>1.00000002789451</v>
      </c>
    </row>
    <row r="2981" spans="1:40" x14ac:dyDescent="0.25">
      <c r="A2981" t="str">
        <f>"20190303162314012"</f>
        <v>20190303162314012</v>
      </c>
      <c r="B2981" t="str">
        <f>"1551601393997713"</f>
        <v>1551601393997713</v>
      </c>
      <c r="C2981" t="s">
        <v>40</v>
      </c>
      <c r="D2981">
        <v>5.6892139999999998</v>
      </c>
      <c r="E2981">
        <v>0.44664700000000002</v>
      </c>
      <c r="F2981" t="s">
        <v>47</v>
      </c>
      <c r="G2981">
        <v>-444.8329</v>
      </c>
      <c r="H2981" s="1">
        <v>8.4292849999999995E-7</v>
      </c>
      <c r="I2981">
        <v>219.01140000000001</v>
      </c>
      <c r="J2981">
        <v>-463.74</v>
      </c>
      <c r="K2981">
        <v>1.1210389999999999</v>
      </c>
      <c r="L2981">
        <v>216.07310000000001</v>
      </c>
      <c r="M2981">
        <v>0.99987729999999997</v>
      </c>
      <c r="N2981">
        <v>-1.215284E-2</v>
      </c>
      <c r="O2981">
        <v>9.8864560000000001E-3</v>
      </c>
      <c r="P2981">
        <v>0.98399760000000003</v>
      </c>
      <c r="Q2981">
        <v>0.1772676</v>
      </c>
      <c r="R2981">
        <v>1.8027970000000001E-2</v>
      </c>
      <c r="S2981">
        <v>3.0746769999999999</v>
      </c>
      <c r="T2981">
        <v>-0.18002470000000001</v>
      </c>
      <c r="U2981">
        <v>0.47215269999999998</v>
      </c>
      <c r="V2981">
        <v>-8.3654809999999993E-3</v>
      </c>
      <c r="W2981">
        <v>0.1892114</v>
      </c>
      <c r="X2981">
        <v>0.98190080000000002</v>
      </c>
      <c r="Y2981">
        <v>-0.14172560000000001</v>
      </c>
      <c r="Z2981">
        <v>4.5330479999999996E-3</v>
      </c>
      <c r="AA2981">
        <v>0.98989559999999999</v>
      </c>
      <c r="AB2981">
        <v>26</v>
      </c>
      <c r="AC2981">
        <v>18.9071</v>
      </c>
      <c r="AD2981">
        <v>-1.1210381570715</v>
      </c>
      <c r="AE2981">
        <v>2.9382999999999901</v>
      </c>
      <c r="AF2981">
        <v>-2.7418067612708099</v>
      </c>
      <c r="AG2981">
        <v>-1.1210381570715</v>
      </c>
      <c r="AH2981">
        <v>18.870452101936301</v>
      </c>
      <c r="AI2981">
        <v>93.364531887333897</v>
      </c>
      <c r="AJ2981">
        <v>98.267013359855198</v>
      </c>
      <c r="AK2981">
        <v>19.1015233266154</v>
      </c>
      <c r="AL2981">
        <v>79.093234651454296</v>
      </c>
      <c r="AM2981">
        <v>90.488129919623503</v>
      </c>
      <c r="AN2981">
        <v>1.0000000581014701</v>
      </c>
    </row>
    <row r="2982" spans="1:40" x14ac:dyDescent="0.25">
      <c r="A2982" t="str">
        <f>"20190303162314034"</f>
        <v>20190303162314034</v>
      </c>
      <c r="B2982" t="str">
        <f>"1551601394027969"</f>
        <v>1551601394027969</v>
      </c>
      <c r="C2982" t="s">
        <v>40</v>
      </c>
      <c r="D2982">
        <v>5.6231429999999998</v>
      </c>
      <c r="E2982">
        <v>0.46124379999999998</v>
      </c>
      <c r="F2982" t="s">
        <v>47</v>
      </c>
      <c r="G2982">
        <v>-444.84980000000002</v>
      </c>
      <c r="H2982" s="1">
        <v>8.5237039999999997E-7</v>
      </c>
      <c r="I2982">
        <v>219.00149999999999</v>
      </c>
      <c r="J2982">
        <v>-463.47879999999998</v>
      </c>
      <c r="K2982">
        <v>1.1206259999999999</v>
      </c>
      <c r="L2982">
        <v>216.07560000000001</v>
      </c>
      <c r="M2982">
        <v>0.99988310000000002</v>
      </c>
      <c r="N2982">
        <v>-1.2132459999999999E-2</v>
      </c>
      <c r="O2982">
        <v>9.3091909999999996E-3</v>
      </c>
      <c r="P2982">
        <v>0.98404879999999995</v>
      </c>
      <c r="Q2982">
        <v>0.17671220000000001</v>
      </c>
      <c r="R2982">
        <v>2.050985E-2</v>
      </c>
      <c r="S2982">
        <v>3.0728759999999999</v>
      </c>
      <c r="T2982">
        <v>-0.1823602</v>
      </c>
      <c r="U2982">
        <v>0.47636410000000001</v>
      </c>
      <c r="V2982">
        <v>-1.122602E-2</v>
      </c>
      <c r="W2982">
        <v>0.18864710000000001</v>
      </c>
      <c r="X2982">
        <v>0.98198079999999999</v>
      </c>
      <c r="Y2982">
        <v>-0.14369760000000001</v>
      </c>
      <c r="Z2982">
        <v>4.6763400000000002E-3</v>
      </c>
      <c r="AA2982">
        <v>0.98961060000000001</v>
      </c>
      <c r="AB2982">
        <v>26</v>
      </c>
      <c r="AC2982">
        <v>18.628999999999898</v>
      </c>
      <c r="AD2982">
        <v>-1.1206251476296001</v>
      </c>
      <c r="AE2982">
        <v>2.92589999999998</v>
      </c>
      <c r="AF2982">
        <v>-2.7426538576038801</v>
      </c>
      <c r="AG2982">
        <v>-1.1206251476296001</v>
      </c>
      <c r="AH2982">
        <v>18.589782741248602</v>
      </c>
      <c r="AI2982">
        <v>93.412862097704405</v>
      </c>
      <c r="AJ2982">
        <v>98.392620607109095</v>
      </c>
      <c r="AK2982">
        <v>18.824398350835899</v>
      </c>
      <c r="AL2982">
        <v>79.126159213375402</v>
      </c>
      <c r="AM2982">
        <v>90.654977723214003</v>
      </c>
      <c r="AN2982">
        <v>1.0000000217160401</v>
      </c>
    </row>
    <row r="2983" spans="1:40" x14ac:dyDescent="0.25">
      <c r="A2983" t="str">
        <f>"20190303162314059"</f>
        <v>20190303162314059</v>
      </c>
      <c r="B2983" t="str">
        <f>"1551601394047489"</f>
        <v>1551601394047489</v>
      </c>
      <c r="C2983" t="s">
        <v>40</v>
      </c>
      <c r="D2983">
        <v>5.6285850000000002</v>
      </c>
      <c r="E2983">
        <v>0.4622619</v>
      </c>
      <c r="F2983" t="s">
        <v>49</v>
      </c>
      <c r="G2983">
        <v>-439.60590000000002</v>
      </c>
      <c r="H2983" s="1">
        <v>6.0990689999999898E-6</v>
      </c>
      <c r="I2983">
        <v>218.93719999999999</v>
      </c>
      <c r="J2983">
        <v>-463.19260000000003</v>
      </c>
      <c r="K2983">
        <v>1.1201749999999999</v>
      </c>
      <c r="L2983">
        <v>216.07749999999999</v>
      </c>
      <c r="M2983">
        <v>0.9998939</v>
      </c>
      <c r="N2983">
        <v>-1.211688E-2</v>
      </c>
      <c r="O2983">
        <v>8.1011809999999903E-3</v>
      </c>
      <c r="P2983">
        <v>0.9841898</v>
      </c>
      <c r="Q2983">
        <v>0.1757435</v>
      </c>
      <c r="R2983">
        <v>2.2023480000000002E-2</v>
      </c>
      <c r="S2983">
        <v>3.0667719999999998</v>
      </c>
      <c r="T2983">
        <v>-0.14395759999999999</v>
      </c>
      <c r="U2983">
        <v>0.36759950000000002</v>
      </c>
      <c r="V2983">
        <v>-1.3720100000000001E-2</v>
      </c>
      <c r="W2983">
        <v>0.18768190000000001</v>
      </c>
      <c r="X2983">
        <v>0.98213399999999995</v>
      </c>
      <c r="Y2983">
        <v>-0.1108184</v>
      </c>
      <c r="Z2983">
        <v>2.9836659999999998E-3</v>
      </c>
      <c r="AA2983">
        <v>0.99383619999999995</v>
      </c>
      <c r="AB2983">
        <v>26</v>
      </c>
      <c r="AC2983">
        <v>23.5867</v>
      </c>
      <c r="AD2983">
        <v>-1.1201689009310001</v>
      </c>
      <c r="AE2983">
        <v>2.8597000000000001</v>
      </c>
      <c r="AF2983">
        <v>-2.66259367328946</v>
      </c>
      <c r="AG2983">
        <v>-1.1201689009310001</v>
      </c>
      <c r="AH2983">
        <v>23.556733256365899</v>
      </c>
      <c r="AI2983">
        <v>92.705275975593807</v>
      </c>
      <c r="AJ2983">
        <v>96.448714833729895</v>
      </c>
      <c r="AK2983">
        <v>23.733180679108902</v>
      </c>
      <c r="AL2983">
        <v>79.182466278307601</v>
      </c>
      <c r="AM2983">
        <v>90.8003517787795</v>
      </c>
      <c r="AN2983">
        <v>0.99999996534380897</v>
      </c>
    </row>
    <row r="2984" spans="1:40" x14ac:dyDescent="0.25">
      <c r="A2984" t="str">
        <f>"20190303162314079"</f>
        <v>20190303162314079</v>
      </c>
      <c r="B2984" t="str">
        <f>"1551601394067984"</f>
        <v>1551601394067984</v>
      </c>
      <c r="C2984" t="s">
        <v>40</v>
      </c>
      <c r="D2984">
        <v>5.5807630000000001</v>
      </c>
      <c r="E2984">
        <v>0.463084</v>
      </c>
      <c r="F2984" t="s">
        <v>49</v>
      </c>
      <c r="G2984">
        <v>-439.22210000000001</v>
      </c>
      <c r="H2984" s="1">
        <v>5.9297839999999999E-6</v>
      </c>
      <c r="I2984">
        <v>218.92670000000001</v>
      </c>
      <c r="J2984">
        <v>-462.9504</v>
      </c>
      <c r="K2984">
        <v>1.1198049999999999</v>
      </c>
      <c r="L2984">
        <v>216.07830000000001</v>
      </c>
      <c r="M2984">
        <v>0.99990449999999997</v>
      </c>
      <c r="N2984">
        <v>-1.2107629999999999E-2</v>
      </c>
      <c r="O2984">
        <v>6.6586659999999997E-3</v>
      </c>
      <c r="P2984">
        <v>0.98439929999999998</v>
      </c>
      <c r="Q2984">
        <v>0.17426520000000001</v>
      </c>
      <c r="R2984">
        <v>2.4291710000000001E-2</v>
      </c>
      <c r="S2984">
        <v>3.0656129999999999</v>
      </c>
      <c r="T2984">
        <v>-0.14325959999999999</v>
      </c>
      <c r="U2984">
        <v>0.36437989999999998</v>
      </c>
      <c r="V2984">
        <v>-1.7247579999999998E-2</v>
      </c>
      <c r="W2984">
        <v>0.186219</v>
      </c>
      <c r="X2984">
        <v>0.98235680000000003</v>
      </c>
      <c r="Y2984">
        <v>-0.11126709999999999</v>
      </c>
      <c r="Z2984">
        <v>3.0361810000000002E-3</v>
      </c>
      <c r="AA2984">
        <v>0.9937859</v>
      </c>
      <c r="AB2984">
        <v>26</v>
      </c>
      <c r="AC2984">
        <v>23.728299999999901</v>
      </c>
      <c r="AD2984">
        <v>-1.1197990702159999</v>
      </c>
      <c r="AE2984">
        <v>2.8483999999999901</v>
      </c>
      <c r="AF2984">
        <v>-2.6844327617503398</v>
      </c>
      <c r="AG2984">
        <v>-1.1197990702159999</v>
      </c>
      <c r="AH2984">
        <v>23.694720072438798</v>
      </c>
      <c r="AI2984">
        <v>92.688579237816697</v>
      </c>
      <c r="AJ2984">
        <v>96.463619047755699</v>
      </c>
      <c r="AK2984">
        <v>23.872576076352701</v>
      </c>
      <c r="AL2984">
        <v>79.267788284852998</v>
      </c>
      <c r="AM2984">
        <v>91.005858581325597</v>
      </c>
      <c r="AN2984">
        <v>0.99999993874154602</v>
      </c>
    </row>
    <row r="2985" spans="1:40" x14ac:dyDescent="0.25">
      <c r="A2985" t="str">
        <f>"20190303162314104"</f>
        <v>20190303162314104</v>
      </c>
      <c r="B2985" t="str">
        <f>"1551601394097265"</f>
        <v>1551601394097265</v>
      </c>
      <c r="C2985" t="s">
        <v>40</v>
      </c>
      <c r="D2985">
        <v>5.6140210000000002</v>
      </c>
      <c r="E2985">
        <v>0.48788379999999998</v>
      </c>
      <c r="F2985" t="s">
        <v>49</v>
      </c>
      <c r="G2985">
        <v>-439.65449999999998</v>
      </c>
      <c r="H2985" s="1">
        <v>6.1288230000000001E-6</v>
      </c>
      <c r="I2985">
        <v>218.8432</v>
      </c>
      <c r="J2985">
        <v>-462.6712</v>
      </c>
      <c r="K2985">
        <v>1.119459</v>
      </c>
      <c r="L2985">
        <v>216.07820000000001</v>
      </c>
      <c r="M2985">
        <v>0.99991620000000003</v>
      </c>
      <c r="N2985">
        <v>-1.2098340000000001E-2</v>
      </c>
      <c r="O2985">
        <v>4.6074130000000003E-3</v>
      </c>
      <c r="P2985">
        <v>0.98466770000000003</v>
      </c>
      <c r="Q2985">
        <v>0.17238529999999999</v>
      </c>
      <c r="R2985">
        <v>2.6699520000000001E-2</v>
      </c>
      <c r="S2985">
        <v>3.064667</v>
      </c>
      <c r="T2985">
        <v>-0.14731379999999999</v>
      </c>
      <c r="U2985">
        <v>0.36373899999999998</v>
      </c>
      <c r="V2985">
        <v>-2.152194E-2</v>
      </c>
      <c r="W2985">
        <v>0.184363</v>
      </c>
      <c r="X2985">
        <v>0.98262260000000001</v>
      </c>
      <c r="Y2985">
        <v>-0.11312510000000001</v>
      </c>
      <c r="Z2985">
        <v>3.2300150000000001E-3</v>
      </c>
      <c r="AA2985">
        <v>0.99357549999999994</v>
      </c>
      <c r="AB2985">
        <v>26</v>
      </c>
      <c r="AC2985">
        <v>23.0167</v>
      </c>
      <c r="AD2985">
        <v>-1.119452871177</v>
      </c>
      <c r="AE2985">
        <v>2.7649999999999801</v>
      </c>
      <c r="AF2985">
        <v>-2.6527296429107898</v>
      </c>
      <c r="AG2985">
        <v>-1.119452871177</v>
      </c>
      <c r="AH2985">
        <v>22.9756201088213</v>
      </c>
      <c r="AI2985">
        <v>92.771065622913198</v>
      </c>
      <c r="AJ2985">
        <v>96.586119837111397</v>
      </c>
      <c r="AK2985">
        <v>23.155329163586401</v>
      </c>
      <c r="AL2985">
        <v>79.376004265717796</v>
      </c>
      <c r="AM2985">
        <v>91.254723025363802</v>
      </c>
      <c r="AN2985">
        <v>1.0000000418505599</v>
      </c>
    </row>
    <row r="2986" spans="1:40" x14ac:dyDescent="0.25">
      <c r="A2986" t="str">
        <f>"20190303162314124"</f>
        <v>20190303162314124</v>
      </c>
      <c r="B2986" t="str">
        <f>"1551601394117761"</f>
        <v>1551601394117761</v>
      </c>
      <c r="C2986" t="s">
        <v>40</v>
      </c>
      <c r="D2986">
        <v>5.4479410000000001</v>
      </c>
      <c r="E2986">
        <v>0.4965273</v>
      </c>
      <c r="F2986" t="s">
        <v>49</v>
      </c>
      <c r="G2986">
        <v>-435.53250000000003</v>
      </c>
      <c r="H2986" s="1">
        <v>4.408177E-6</v>
      </c>
      <c r="I2986">
        <v>217.61590000000001</v>
      </c>
      <c r="J2986">
        <v>-462.42939999999999</v>
      </c>
      <c r="K2986">
        <v>1.119232</v>
      </c>
      <c r="L2986">
        <v>216.0772</v>
      </c>
      <c r="M2986">
        <v>0.99992380000000003</v>
      </c>
      <c r="N2986">
        <v>-1.2090419999999999E-2</v>
      </c>
      <c r="O2986">
        <v>2.5305029999999999E-3</v>
      </c>
      <c r="P2986">
        <v>0.98466560000000003</v>
      </c>
      <c r="Q2986">
        <v>0.17237169999999999</v>
      </c>
      <c r="R2986">
        <v>2.686641E-2</v>
      </c>
      <c r="S2986">
        <v>3.0641780000000001</v>
      </c>
      <c r="T2986">
        <v>-0.12639529999999999</v>
      </c>
      <c r="U2986">
        <v>0.1736145</v>
      </c>
      <c r="V2986">
        <v>-2.363459E-2</v>
      </c>
      <c r="W2986">
        <v>0.18436159999999999</v>
      </c>
      <c r="X2986">
        <v>0.98257430000000001</v>
      </c>
      <c r="Y2986">
        <v>-5.3983700000000003E-2</v>
      </c>
      <c r="Z2986">
        <v>1.365139E-3</v>
      </c>
      <c r="AA2986">
        <v>0.99854089999999995</v>
      </c>
      <c r="AB2986">
        <v>26</v>
      </c>
      <c r="AC2986">
        <v>26.896899999999899</v>
      </c>
      <c r="AD2986">
        <v>-1.1192275918229999</v>
      </c>
      <c r="AE2986">
        <v>1.5387</v>
      </c>
      <c r="AF2986">
        <v>-1.4680936481653799</v>
      </c>
      <c r="AG2986">
        <v>-1.1192275918229999</v>
      </c>
      <c r="AH2986">
        <v>26.854360140586</v>
      </c>
      <c r="AI2986">
        <v>92.383020040153994</v>
      </c>
      <c r="AJ2986">
        <v>93.129172380014893</v>
      </c>
      <c r="AK2986">
        <v>26.9177381650535</v>
      </c>
      <c r="AL2986">
        <v>79.376085689195904</v>
      </c>
      <c r="AM2986">
        <v>91.377912269083396</v>
      </c>
      <c r="AN2986">
        <v>1.00000002420975</v>
      </c>
    </row>
    <row r="2987" spans="1:40" x14ac:dyDescent="0.25">
      <c r="A2987" t="str">
        <f>"20190303162314147"</f>
        <v>20190303162314147</v>
      </c>
      <c r="B2987" t="str">
        <f>"1551601394137547"</f>
        <v>1551601394137547</v>
      </c>
      <c r="C2987" t="s">
        <v>40</v>
      </c>
      <c r="D2987">
        <v>5.4071449999999999</v>
      </c>
      <c r="E2987">
        <v>0.5024189</v>
      </c>
      <c r="F2987" t="s">
        <v>49</v>
      </c>
      <c r="G2987">
        <v>-437.02839999999998</v>
      </c>
      <c r="H2987" s="1">
        <v>5.1278920000000003E-6</v>
      </c>
      <c r="I2987">
        <v>216.97130000000001</v>
      </c>
      <c r="J2987">
        <v>-462.16219999999998</v>
      </c>
      <c r="K2987">
        <v>1.1190599999999999</v>
      </c>
      <c r="L2987">
        <v>216.0753</v>
      </c>
      <c r="M2987">
        <v>0.99992700000000001</v>
      </c>
      <c r="N2987">
        <v>-1.208176E-2</v>
      </c>
      <c r="O2987" s="1">
        <v>2.5423849999999999E-5</v>
      </c>
      <c r="P2987">
        <v>0.98504190000000003</v>
      </c>
      <c r="Q2987">
        <v>0.1705237</v>
      </c>
      <c r="R2987">
        <v>2.478433E-2</v>
      </c>
      <c r="S2987">
        <v>3.0674130000000002</v>
      </c>
      <c r="T2987">
        <v>-0.13515720000000001</v>
      </c>
      <c r="U2987">
        <v>0.1079712</v>
      </c>
      <c r="V2987">
        <v>-2.3957820000000001E-2</v>
      </c>
      <c r="W2987">
        <v>0.1825194</v>
      </c>
      <c r="X2987">
        <v>0.98291030000000001</v>
      </c>
      <c r="Y2987">
        <v>-3.510887E-2</v>
      </c>
      <c r="Z2987">
        <v>9.8435490000000009E-4</v>
      </c>
      <c r="AA2987">
        <v>0.99938300000000002</v>
      </c>
      <c r="AB2987">
        <v>26</v>
      </c>
      <c r="AC2987">
        <v>25.133800000000001</v>
      </c>
      <c r="AD2987">
        <v>-1.119054872108</v>
      </c>
      <c r="AE2987">
        <v>0.89600000000001501</v>
      </c>
      <c r="AF2987">
        <v>-0.89359176689901199</v>
      </c>
      <c r="AG2987">
        <v>-1.119054872108</v>
      </c>
      <c r="AH2987">
        <v>25.084159604032099</v>
      </c>
      <c r="AI2987">
        <v>92.552769252528705</v>
      </c>
      <c r="AJ2987">
        <v>92.040227620358706</v>
      </c>
      <c r="AK2987">
        <v>25.125004539168</v>
      </c>
      <c r="AL2987">
        <v>79.4834575730154</v>
      </c>
      <c r="AM2987">
        <v>91.396272099150494</v>
      </c>
      <c r="AN2987">
        <v>0.99999998318080097</v>
      </c>
    </row>
    <row r="2988" spans="1:40" x14ac:dyDescent="0.25">
      <c r="A2988" t="str">
        <f>"20190303162314169"</f>
        <v>20190303162314169</v>
      </c>
      <c r="B2988" t="str">
        <f>"1551601394157068"</f>
        <v>1551601394157068</v>
      </c>
      <c r="C2988" t="s">
        <v>40</v>
      </c>
      <c r="D2988">
        <v>5.3877129999999998</v>
      </c>
      <c r="E2988">
        <v>0.50571270000000001</v>
      </c>
      <c r="F2988" t="s">
        <v>49</v>
      </c>
      <c r="G2988">
        <v>-438.67579999999998</v>
      </c>
      <c r="H2988" s="1">
        <v>5.8989460000000004E-6</v>
      </c>
      <c r="I2988">
        <v>216.50819999999999</v>
      </c>
      <c r="J2988">
        <v>-461.90120000000002</v>
      </c>
      <c r="K2988">
        <v>1.1189610000000001</v>
      </c>
      <c r="L2988">
        <v>216.07249999999999</v>
      </c>
      <c r="M2988">
        <v>0.99992400000000004</v>
      </c>
      <c r="N2988">
        <v>-1.207367E-2</v>
      </c>
      <c r="O2988">
        <v>-2.5387460000000001E-3</v>
      </c>
      <c r="P2988">
        <v>0.98581859999999999</v>
      </c>
      <c r="Q2988">
        <v>0.1664254</v>
      </c>
      <c r="R2988">
        <v>2.15476E-2</v>
      </c>
      <c r="S2988">
        <v>3.069458</v>
      </c>
      <c r="T2988">
        <v>-0.14624999999999999</v>
      </c>
      <c r="U2988">
        <v>5.6579589999999999E-2</v>
      </c>
      <c r="V2988">
        <v>-2.3232220000000001E-2</v>
      </c>
      <c r="W2988">
        <v>0.17842349999999901</v>
      </c>
      <c r="X2988">
        <v>0.98367950000000004</v>
      </c>
      <c r="Y2988">
        <v>-2.0937020000000001E-2</v>
      </c>
      <c r="Z2988">
        <v>7.152126E-4</v>
      </c>
      <c r="AA2988">
        <v>0.99978049999999996</v>
      </c>
      <c r="AB2988">
        <v>26</v>
      </c>
      <c r="AC2988">
        <v>23.2254</v>
      </c>
      <c r="AD2988">
        <v>-1.118955101054</v>
      </c>
      <c r="AE2988">
        <v>0.43569999999999698</v>
      </c>
      <c r="AF2988">
        <v>-0.493521156229137</v>
      </c>
      <c r="AG2988">
        <v>-1.118955101054</v>
      </c>
      <c r="AH2988">
        <v>23.170456277421401</v>
      </c>
      <c r="AI2988">
        <v>92.764172206546505</v>
      </c>
      <c r="AJ2988">
        <v>91.220191957418805</v>
      </c>
      <c r="AK2988">
        <v>23.2027081986935</v>
      </c>
      <c r="AL2988">
        <v>79.722053617726104</v>
      </c>
      <c r="AM2988">
        <v>91.352941423103204</v>
      </c>
      <c r="AN2988">
        <v>1.00000002005931</v>
      </c>
    </row>
    <row r="2989" spans="1:40" x14ac:dyDescent="0.25">
      <c r="A2989" t="str">
        <f>"20190303162314214"</f>
        <v>20190303162314214</v>
      </c>
      <c r="B2989" t="str">
        <f>"1551601394207820"</f>
        <v>1551601394207820</v>
      </c>
      <c r="C2989" t="s">
        <v>40</v>
      </c>
      <c r="D2989">
        <v>5.3921559999999999</v>
      </c>
      <c r="E2989">
        <v>0.51139020000000002</v>
      </c>
      <c r="F2989" t="s">
        <v>47</v>
      </c>
      <c r="G2989">
        <v>-440.76190000000003</v>
      </c>
      <c r="H2989" s="1">
        <v>-1.200699E-6</v>
      </c>
      <c r="I2989">
        <v>216.20320000000001</v>
      </c>
      <c r="J2989">
        <v>-461.37560000000002</v>
      </c>
      <c r="K2989">
        <v>1.1189209999999901</v>
      </c>
      <c r="L2989">
        <v>216.06479999999999</v>
      </c>
      <c r="M2989">
        <v>0.99989709999999998</v>
      </c>
      <c r="N2989">
        <v>-1.205958E-2</v>
      </c>
      <c r="O2989">
        <v>-7.789158E-3</v>
      </c>
      <c r="P2989">
        <v>0.98657740000000005</v>
      </c>
      <c r="Q2989">
        <v>0.16281010000000001</v>
      </c>
      <c r="R2989">
        <v>1.2575380000000001E-2</v>
      </c>
      <c r="S2989">
        <v>3.07016</v>
      </c>
      <c r="T2989">
        <v>-0.16251189999999999</v>
      </c>
      <c r="U2989">
        <v>1.8981930000000001E-2</v>
      </c>
      <c r="V2989">
        <v>-1.9448409999999999E-2</v>
      </c>
      <c r="W2989">
        <v>0.1747871</v>
      </c>
      <c r="X2989">
        <v>0.98441420000000002</v>
      </c>
      <c r="Y2989">
        <v>-1.3941520000000001E-2</v>
      </c>
      <c r="Z2989">
        <v>7.7098259999999904E-4</v>
      </c>
      <c r="AA2989">
        <v>0.99990250000000003</v>
      </c>
      <c r="AB2989">
        <v>26</v>
      </c>
      <c r="AC2989">
        <v>20.613699999999898</v>
      </c>
      <c r="AD2989">
        <v>-1.1189222006989901</v>
      </c>
      <c r="AE2989">
        <v>0.13840000000001801</v>
      </c>
      <c r="AF2989">
        <v>-0.29809256617102398</v>
      </c>
      <c r="AG2989">
        <v>-1.1189222006989901</v>
      </c>
      <c r="AH2989">
        <v>20.551446955010299</v>
      </c>
      <c r="AI2989">
        <v>93.116061064094595</v>
      </c>
      <c r="AJ2989">
        <v>90.830999801319507</v>
      </c>
      <c r="AK2989">
        <v>20.5840428005246</v>
      </c>
      <c r="AL2989">
        <v>79.933731562705503</v>
      </c>
      <c r="AM2989">
        <v>91.131806985892197</v>
      </c>
      <c r="AN2989">
        <v>1.00000004406978</v>
      </c>
    </row>
    <row r="2990" spans="1:40" x14ac:dyDescent="0.25">
      <c r="A2990" t="str">
        <f>"20190303162314237"</f>
        <v>20190303162314237</v>
      </c>
      <c r="B2990" t="str">
        <f>"1551601394227340"</f>
        <v>1551601394227340</v>
      </c>
      <c r="C2990" t="s">
        <v>40</v>
      </c>
      <c r="D2990">
        <v>5.3738960000000002</v>
      </c>
      <c r="E2990">
        <v>0.51250220000000002</v>
      </c>
      <c r="F2990" t="s">
        <v>47</v>
      </c>
      <c r="G2990">
        <v>-442.01600000000002</v>
      </c>
      <c r="H2990" s="1">
        <v>-5.1116140000000003E-7</v>
      </c>
      <c r="I2990">
        <v>215.69589999999999</v>
      </c>
      <c r="J2990">
        <v>-461.0994</v>
      </c>
      <c r="K2990">
        <v>1.118949</v>
      </c>
      <c r="L2990">
        <v>216.05969999999999</v>
      </c>
      <c r="M2990">
        <v>0.99987219999999999</v>
      </c>
      <c r="N2990">
        <v>-1.2053650000000001E-2</v>
      </c>
      <c r="O2990">
        <v>-1.050164E-2</v>
      </c>
      <c r="P2990">
        <v>0.98637929999999996</v>
      </c>
      <c r="Q2990">
        <v>0.1643213</v>
      </c>
      <c r="R2990">
        <v>7.3847590000000003E-3</v>
      </c>
      <c r="S2990">
        <v>3.070862</v>
      </c>
      <c r="T2990">
        <v>-0.1774857</v>
      </c>
      <c r="U2990">
        <v>-5.851746E-2</v>
      </c>
      <c r="V2990">
        <v>-1.6934810000000002E-2</v>
      </c>
      <c r="W2990">
        <v>0.17627660000000001</v>
      </c>
      <c r="X2990">
        <v>0.98419500000000004</v>
      </c>
      <c r="Y2990">
        <v>8.5444490000000008E-3</v>
      </c>
      <c r="Z2990">
        <v>1.816315E-4</v>
      </c>
      <c r="AA2990">
        <v>0.99996350000000001</v>
      </c>
      <c r="AB2990">
        <v>26</v>
      </c>
      <c r="AC2990">
        <v>19.083400000000001</v>
      </c>
      <c r="AD2990">
        <v>-1.1189495111613901</v>
      </c>
      <c r="AE2990">
        <v>-0.36379999999999701</v>
      </c>
      <c r="AF2990">
        <v>0.16279887410326599</v>
      </c>
      <c r="AG2990">
        <v>-1.1189495111613901</v>
      </c>
      <c r="AH2990">
        <v>19.020798002381699</v>
      </c>
      <c r="AI2990">
        <v>93.366574907878402</v>
      </c>
      <c r="AJ2990">
        <v>89.509617807117607</v>
      </c>
      <c r="AK2990">
        <v>19.054377663134201</v>
      </c>
      <c r="AL2990">
        <v>79.847043233383602</v>
      </c>
      <c r="AM2990">
        <v>90.985777612936005</v>
      </c>
      <c r="AN2990">
        <v>1.0000000127611399</v>
      </c>
    </row>
    <row r="2991" spans="1:40" x14ac:dyDescent="0.25">
      <c r="A2991" t="str">
        <f>"20190303162314282"</f>
        <v>20190303162314282</v>
      </c>
      <c r="B2991" t="str">
        <f>"1551601394277116"</f>
        <v>1551601394277116</v>
      </c>
      <c r="C2991" t="s">
        <v>40</v>
      </c>
      <c r="D2991">
        <v>5.3687370000000003</v>
      </c>
      <c r="E2991">
        <v>0.51364309999999902</v>
      </c>
      <c r="F2991" t="s">
        <v>47</v>
      </c>
      <c r="G2991">
        <v>-440.78579999999999</v>
      </c>
      <c r="H2991" s="1">
        <v>-1.1569760000000001E-6</v>
      </c>
      <c r="I2991">
        <v>215.4933</v>
      </c>
      <c r="J2991">
        <v>-460.55829999999997</v>
      </c>
      <c r="K2991">
        <v>1.119027</v>
      </c>
      <c r="L2991">
        <v>216.04759999999999</v>
      </c>
      <c r="M2991">
        <v>0.99980590000000003</v>
      </c>
      <c r="N2991">
        <v>-1.2043130000000001E-2</v>
      </c>
      <c r="O2991">
        <v>-1.559893E-2</v>
      </c>
      <c r="P2991">
        <v>0.98641429999999997</v>
      </c>
      <c r="Q2991">
        <v>0.1642769</v>
      </c>
      <c r="R2991">
        <v>-2.3557760000000001E-4</v>
      </c>
      <c r="S2991">
        <v>3.0702509999999998</v>
      </c>
      <c r="T2991">
        <v>-0.1691211</v>
      </c>
      <c r="U2991">
        <v>-8.560181E-2</v>
      </c>
      <c r="V2991">
        <v>-1.437912E-2</v>
      </c>
      <c r="W2991">
        <v>0.17620810000000001</v>
      </c>
      <c r="X2991">
        <v>0.98424789999999995</v>
      </c>
      <c r="Y2991">
        <v>1.2264590000000001E-2</v>
      </c>
      <c r="Z2991">
        <v>2.5921720000000002E-4</v>
      </c>
      <c r="AA2991">
        <v>0.99992479999999995</v>
      </c>
      <c r="AB2991">
        <v>26</v>
      </c>
      <c r="AC2991">
        <v>19.772499999999901</v>
      </c>
      <c r="AD2991">
        <v>-1.1190281569760001</v>
      </c>
      <c r="AE2991">
        <v>-0.55429999999998303</v>
      </c>
      <c r="AF2991">
        <v>0.244996256226513</v>
      </c>
      <c r="AG2991">
        <v>-1.1190281569760001</v>
      </c>
      <c r="AH2991">
        <v>19.715641142615201</v>
      </c>
      <c r="AI2991">
        <v>93.248280857282396</v>
      </c>
      <c r="AJ2991">
        <v>89.288051100630597</v>
      </c>
      <c r="AK2991">
        <v>19.7488924460602</v>
      </c>
      <c r="AL2991">
        <v>79.851030184319995</v>
      </c>
      <c r="AM2991">
        <v>90.836988612567296</v>
      </c>
      <c r="AN2991">
        <v>0.99999999112599702</v>
      </c>
    </row>
    <row r="2992" spans="1:40" x14ac:dyDescent="0.25">
      <c r="A2992" t="str">
        <f>"20190303162314326"</f>
        <v>20190303162314326</v>
      </c>
      <c r="B2992" t="str">
        <f>"1551601394317132"</f>
        <v>1551601394317132</v>
      </c>
      <c r="C2992" t="s">
        <v>40</v>
      </c>
      <c r="D2992">
        <v>5.3559919999999996</v>
      </c>
      <c r="E2992">
        <v>0.51401569999999996</v>
      </c>
      <c r="F2992" t="s">
        <v>49</v>
      </c>
      <c r="G2992">
        <v>-439.44189999999998</v>
      </c>
      <c r="H2992" s="1">
        <v>6.3516450000000001E-6</v>
      </c>
      <c r="I2992">
        <v>215.21619999999999</v>
      </c>
      <c r="J2992">
        <v>-460.05259999999998</v>
      </c>
      <c r="K2992">
        <v>1.119162</v>
      </c>
      <c r="L2992">
        <v>216.03389999999999</v>
      </c>
      <c r="M2992">
        <v>0.99972689999999997</v>
      </c>
      <c r="N2992">
        <v>-1.203368E-2</v>
      </c>
      <c r="O2992">
        <v>-2.0039499999999998E-2</v>
      </c>
      <c r="P2992">
        <v>0.98624670000000003</v>
      </c>
      <c r="Q2992">
        <v>0.16512379999999999</v>
      </c>
      <c r="R2992">
        <v>-7.2011410000000003E-3</v>
      </c>
      <c r="S2992">
        <v>3.0683289999999999</v>
      </c>
      <c r="T2992">
        <v>-0.16259960000000001</v>
      </c>
      <c r="U2992">
        <v>-0.1208038</v>
      </c>
      <c r="V2992">
        <v>-1.183966E-2</v>
      </c>
      <c r="W2992">
        <v>0.177029399999999</v>
      </c>
      <c r="X2992">
        <v>0.98413430000000002</v>
      </c>
      <c r="Y2992">
        <v>1.9290990000000001E-2</v>
      </c>
      <c r="Z2992">
        <v>1.9286220000000001E-4</v>
      </c>
      <c r="AA2992">
        <v>0.99981390000000003</v>
      </c>
      <c r="AB2992">
        <v>26</v>
      </c>
      <c r="AC2992">
        <v>20.610700000000001</v>
      </c>
      <c r="AD2992">
        <v>-1.119155648355</v>
      </c>
      <c r="AE2992">
        <v>-0.81770000000000198</v>
      </c>
      <c r="AF2992">
        <v>0.403290578753353</v>
      </c>
      <c r="AG2992">
        <v>-1.119155648355</v>
      </c>
      <c r="AH2992">
        <v>20.5624158117989</v>
      </c>
      <c r="AI2992">
        <v>93.114779772980398</v>
      </c>
      <c r="AJ2992">
        <v>88.876402163006205</v>
      </c>
      <c r="AK2992">
        <v>20.596798214127201</v>
      </c>
      <c r="AL2992">
        <v>79.803221185147095</v>
      </c>
      <c r="AM2992">
        <v>90.689265504108405</v>
      </c>
      <c r="AN2992">
        <v>0.999999953224881</v>
      </c>
    </row>
    <row r="2993" spans="1:40" x14ac:dyDescent="0.25">
      <c r="A2993" t="str">
        <f>"20190303162314348"</f>
        <v>20190303162314348</v>
      </c>
      <c r="B2993" t="str">
        <f>"1551601394337628"</f>
        <v>1551601394337628</v>
      </c>
      <c r="C2993" t="s">
        <v>40</v>
      </c>
      <c r="D2993">
        <v>5.2808580000000003</v>
      </c>
      <c r="E2993">
        <v>0.51436629999999905</v>
      </c>
      <c r="F2993" t="s">
        <v>49</v>
      </c>
      <c r="G2993">
        <v>-438.20209999999997</v>
      </c>
      <c r="H2993" s="1">
        <v>5.8173619999999998E-6</v>
      </c>
      <c r="I2993">
        <v>215.0386</v>
      </c>
      <c r="J2993">
        <v>-459.79509999999999</v>
      </c>
      <c r="K2993">
        <v>1.119216</v>
      </c>
      <c r="L2993">
        <v>216.02629999999999</v>
      </c>
      <c r="M2993">
        <v>0.99968129999999999</v>
      </c>
      <c r="N2993">
        <v>-1.202952E-2</v>
      </c>
      <c r="O2993">
        <v>-2.2195980000000001E-2</v>
      </c>
      <c r="P2993">
        <v>0.98623700000000003</v>
      </c>
      <c r="Q2993">
        <v>0.16506660000000001</v>
      </c>
      <c r="R2993">
        <v>-9.4635659999999996E-3</v>
      </c>
      <c r="S2993">
        <v>3.067078</v>
      </c>
      <c r="T2993">
        <v>-0.15709229999999999</v>
      </c>
      <c r="U2993">
        <v>-0.13970949999999999</v>
      </c>
      <c r="V2993">
        <v>-1.173186E-2</v>
      </c>
      <c r="W2993">
        <v>0.17696609999999999</v>
      </c>
      <c r="X2993">
        <v>0.98414699999999999</v>
      </c>
      <c r="Y2993">
        <v>2.3297689999999999E-2</v>
      </c>
      <c r="Z2993">
        <v>1.3225069999999901E-4</v>
      </c>
      <c r="AA2993">
        <v>0.99972859999999997</v>
      </c>
      <c r="AB2993">
        <v>26</v>
      </c>
      <c r="AC2993">
        <v>21.593</v>
      </c>
      <c r="AD2993">
        <v>-1.1192101826379901</v>
      </c>
      <c r="AE2993">
        <v>-0.98769999999998903</v>
      </c>
      <c r="AF2993">
        <v>0.50678550399807498</v>
      </c>
      <c r="AG2993">
        <v>-1.1192101826379901</v>
      </c>
      <c r="AH2993">
        <v>21.551824626505201</v>
      </c>
      <c r="AI2993">
        <v>92.971942940832804</v>
      </c>
      <c r="AJ2993">
        <v>88.652953014328403</v>
      </c>
      <c r="AK2993">
        <v>21.586815599148</v>
      </c>
      <c r="AL2993">
        <v>79.806906438283505</v>
      </c>
      <c r="AM2993">
        <v>90.682981532122696</v>
      </c>
      <c r="AN2993">
        <v>0.99999997734863399</v>
      </c>
    </row>
    <row r="2994" spans="1:40" x14ac:dyDescent="0.25">
      <c r="A2994" t="str">
        <f>"20190303162314369"</f>
        <v>20190303162314369</v>
      </c>
      <c r="B2994" t="str">
        <f>"1551601394357147"</f>
        <v>1551601394357147</v>
      </c>
      <c r="C2994" t="s">
        <v>40</v>
      </c>
      <c r="D2994">
        <v>5.3139000000000003</v>
      </c>
      <c r="E2994">
        <v>0.51453019999999905</v>
      </c>
      <c r="F2994" t="s">
        <v>49</v>
      </c>
      <c r="G2994">
        <v>-438.11869999999999</v>
      </c>
      <c r="H2994" s="1">
        <v>5.7854900000000001E-6</v>
      </c>
      <c r="I2994">
        <v>214.98009999999999</v>
      </c>
      <c r="J2994">
        <v>-459.53129999999999</v>
      </c>
      <c r="K2994">
        <v>1.119273</v>
      </c>
      <c r="L2994">
        <v>216.0179</v>
      </c>
      <c r="M2994">
        <v>0.99963120000000005</v>
      </c>
      <c r="N2994">
        <v>-1.2025620000000001E-2</v>
      </c>
      <c r="O2994">
        <v>-2.4349539999999999E-2</v>
      </c>
      <c r="P2994">
        <v>0.98627310000000001</v>
      </c>
      <c r="Q2994">
        <v>0.16471079999999999</v>
      </c>
      <c r="R2994">
        <v>-1.165561E-2</v>
      </c>
      <c r="S2994">
        <v>3.0669559999999998</v>
      </c>
      <c r="T2994">
        <v>-0.15835479999999999</v>
      </c>
      <c r="U2994">
        <v>-0.1480255</v>
      </c>
      <c r="V2994">
        <v>-1.1690870000000001E-2</v>
      </c>
      <c r="W2994">
        <v>0.17660519999999999</v>
      </c>
      <c r="X2994">
        <v>0.98421230000000004</v>
      </c>
      <c r="Y2994">
        <v>2.3851170000000001E-2</v>
      </c>
      <c r="Z2994">
        <v>2.042112E-4</v>
      </c>
      <c r="AA2994">
        <v>0.99971549999999998</v>
      </c>
      <c r="AB2994">
        <v>26</v>
      </c>
      <c r="AC2994">
        <v>21.412600000000001</v>
      </c>
      <c r="AD2994">
        <v>-1.11926721451</v>
      </c>
      <c r="AE2994">
        <v>-1.0378000000000001</v>
      </c>
      <c r="AF2994">
        <v>0.51466467886874601</v>
      </c>
      <c r="AG2994">
        <v>-1.11926721451</v>
      </c>
      <c r="AH2994">
        <v>21.373260800589801</v>
      </c>
      <c r="AI2994">
        <v>92.996839317490199</v>
      </c>
      <c r="AJ2994">
        <v>88.620593424120898</v>
      </c>
      <c r="AK2994">
        <v>21.4087345744483</v>
      </c>
      <c r="AL2994">
        <v>79.827915235009598</v>
      </c>
      <c r="AM2994">
        <v>90.680550333098495</v>
      </c>
      <c r="AN2994">
        <v>0.999999962289842</v>
      </c>
    </row>
    <row r="2995" spans="1:40" x14ac:dyDescent="0.25">
      <c r="A2995" t="str">
        <f>"20190303162314415"</f>
        <v>20190303162314415</v>
      </c>
      <c r="B2995" t="str">
        <f>"1551601394407899"</f>
        <v>1551601394407899</v>
      </c>
      <c r="C2995" t="s">
        <v>40</v>
      </c>
      <c r="D2995">
        <v>5.2120680000000004</v>
      </c>
      <c r="E2995">
        <v>0.51481659999999996</v>
      </c>
      <c r="F2995" t="s">
        <v>49</v>
      </c>
      <c r="G2995">
        <v>-438.30099999999999</v>
      </c>
      <c r="H2995" s="1">
        <v>5.8689319999999999E-6</v>
      </c>
      <c r="I2995">
        <v>214.9502</v>
      </c>
      <c r="J2995">
        <v>-458.99509999999998</v>
      </c>
      <c r="K2995">
        <v>1.1193789999999999</v>
      </c>
      <c r="L2995">
        <v>215.99940000000001</v>
      </c>
      <c r="M2995">
        <v>0.99952039999999998</v>
      </c>
      <c r="N2995">
        <v>-1.2018859999999999E-2</v>
      </c>
      <c r="O2995">
        <v>-2.8545859999999999E-2</v>
      </c>
      <c r="P2995">
        <v>0.98623470000000002</v>
      </c>
      <c r="Q2995">
        <v>0.16468849999999999</v>
      </c>
      <c r="R2995">
        <v>-1.480094E-2</v>
      </c>
      <c r="S2995">
        <v>3.0669249999999999</v>
      </c>
      <c r="T2995">
        <v>-0.16168879999999999</v>
      </c>
      <c r="U2995">
        <v>-0.15423580000000001</v>
      </c>
      <c r="V2995">
        <v>-1.2723399999999999E-2</v>
      </c>
      <c r="W2995">
        <v>0.1765775</v>
      </c>
      <c r="X2995">
        <v>0.98420450000000004</v>
      </c>
      <c r="Y2995">
        <v>2.168088E-2</v>
      </c>
      <c r="Z2995">
        <v>4.5848960000000001E-4</v>
      </c>
      <c r="AA2995">
        <v>0.99976489999999996</v>
      </c>
      <c r="AB2995">
        <v>26</v>
      </c>
      <c r="AC2995">
        <v>20.694099999999899</v>
      </c>
      <c r="AD2995">
        <v>-1.119373131068</v>
      </c>
      <c r="AE2995">
        <v>-1.0492000000000099</v>
      </c>
      <c r="AF2995">
        <v>0.45666619798103297</v>
      </c>
      <c r="AG2995">
        <v>-1.119373131068</v>
      </c>
      <c r="AH2995">
        <v>20.655337969721199</v>
      </c>
      <c r="AI2995">
        <v>93.101235025987705</v>
      </c>
      <c r="AJ2995">
        <v>88.733461350194503</v>
      </c>
      <c r="AK2995">
        <v>20.690686959749399</v>
      </c>
      <c r="AL2995">
        <v>79.829528037016601</v>
      </c>
      <c r="AM2995">
        <v>90.740655539018206</v>
      </c>
      <c r="AN2995">
        <v>0.99999999811703</v>
      </c>
    </row>
    <row r="2996" spans="1:40" x14ac:dyDescent="0.25">
      <c r="A2996" t="str">
        <f>"20190303162314437"</f>
        <v>20190303162314437</v>
      </c>
      <c r="B2996" t="str">
        <f>"1551601394427419"</f>
        <v>1551601394427419</v>
      </c>
      <c r="C2996" t="s">
        <v>40</v>
      </c>
      <c r="D2996">
        <v>5.469328</v>
      </c>
      <c r="E2996">
        <v>0.51481639999999995</v>
      </c>
      <c r="F2996" t="s">
        <v>49</v>
      </c>
      <c r="G2996">
        <v>-437.8648</v>
      </c>
      <c r="H2996" s="1">
        <v>5.6833399999999997E-6</v>
      </c>
      <c r="I2996">
        <v>214.8605</v>
      </c>
      <c r="J2996">
        <v>-458.74</v>
      </c>
      <c r="K2996">
        <v>1.1194120000000001</v>
      </c>
      <c r="L2996">
        <v>215.98990000000001</v>
      </c>
      <c r="M2996">
        <v>0.99946299999999999</v>
      </c>
      <c r="N2996">
        <v>-1.201616E-2</v>
      </c>
      <c r="O2996">
        <v>-3.0487630000000002E-2</v>
      </c>
      <c r="P2996">
        <v>0.98610439999999999</v>
      </c>
      <c r="Q2996">
        <v>0.1655961</v>
      </c>
      <c r="R2996">
        <v>-1.3277199999999999E-2</v>
      </c>
      <c r="S2996">
        <v>3.0664980000000002</v>
      </c>
      <c r="T2996">
        <v>-0.16244710000000001</v>
      </c>
      <c r="U2996">
        <v>-0.16528319999999999</v>
      </c>
      <c r="V2996">
        <v>-1.616766E-2</v>
      </c>
      <c r="W2996">
        <v>0.17749119999999999</v>
      </c>
      <c r="X2996">
        <v>0.98398960000000002</v>
      </c>
      <c r="Y2996">
        <v>2.3336289999999999E-2</v>
      </c>
      <c r="Z2996">
        <v>4.8857570000000001E-4</v>
      </c>
      <c r="AA2996">
        <v>0.99972749999999999</v>
      </c>
      <c r="AB2996">
        <v>26</v>
      </c>
      <c r="AC2996">
        <v>20.8752</v>
      </c>
      <c r="AD2996">
        <v>-1.1194063166599999</v>
      </c>
      <c r="AE2996">
        <v>-1.1294</v>
      </c>
      <c r="AF2996">
        <v>0.49098593292517101</v>
      </c>
      <c r="AG2996">
        <v>-1.1194063166599999</v>
      </c>
      <c r="AH2996">
        <v>20.840178699810199</v>
      </c>
      <c r="AI2996">
        <v>93.073771164600004</v>
      </c>
      <c r="AJ2996">
        <v>88.650384957081101</v>
      </c>
      <c r="AK2996">
        <v>20.875995447598001</v>
      </c>
      <c r="AL2996">
        <v>79.776336995913994</v>
      </c>
      <c r="AM2996">
        <v>90.941326346644999</v>
      </c>
      <c r="AN2996">
        <v>1.00000002610773</v>
      </c>
    </row>
    <row r="2997" spans="1:40" x14ac:dyDescent="0.25">
      <c r="A2997" t="str">
        <f>"20190303162314460"</f>
        <v>20190303162314460</v>
      </c>
      <c r="B2997" t="str">
        <f>"1551601394447916"</f>
        <v>1551601394447916</v>
      </c>
      <c r="C2997" t="s">
        <v>40</v>
      </c>
      <c r="D2997">
        <v>5.2246030000000001</v>
      </c>
      <c r="E2997">
        <v>0.51479370000000002</v>
      </c>
      <c r="F2997" t="s">
        <v>49</v>
      </c>
      <c r="G2997">
        <v>-436.9701</v>
      </c>
      <c r="H2997" s="1">
        <v>5.2892139999999899E-6</v>
      </c>
      <c r="I2997">
        <v>214.83029999999999</v>
      </c>
      <c r="J2997">
        <v>-458.47669999999999</v>
      </c>
      <c r="K2997">
        <v>1.119424</v>
      </c>
      <c r="L2997">
        <v>215.9796</v>
      </c>
      <c r="M2997">
        <v>0.99940039999999997</v>
      </c>
      <c r="N2997">
        <v>-1.20138E-2</v>
      </c>
      <c r="O2997">
        <v>-3.2480509999999997E-2</v>
      </c>
      <c r="P2997">
        <v>0.98606020000000005</v>
      </c>
      <c r="Q2997">
        <v>0.16588359999999999</v>
      </c>
      <c r="R2997">
        <v>-1.296869E-2</v>
      </c>
      <c r="S2997">
        <v>3.0665279999999999</v>
      </c>
      <c r="T2997">
        <v>-0.15768019999999999</v>
      </c>
      <c r="U2997">
        <v>-0.1633453</v>
      </c>
      <c r="V2997">
        <v>-1.8447430000000001E-2</v>
      </c>
      <c r="W2997">
        <v>0.1777821</v>
      </c>
      <c r="X2997">
        <v>0.98389700000000002</v>
      </c>
      <c r="Y2997">
        <v>2.071827E-2</v>
      </c>
      <c r="Z2997">
        <v>6.2080380000000001E-4</v>
      </c>
      <c r="AA2997">
        <v>0.99978520000000004</v>
      </c>
      <c r="AB2997">
        <v>26</v>
      </c>
      <c r="AC2997">
        <v>21.506599999999899</v>
      </c>
      <c r="AD2997">
        <v>-1.1194187107860001</v>
      </c>
      <c r="AE2997">
        <v>-1.14930000000001</v>
      </c>
      <c r="AF2997">
        <v>0.44888526098530301</v>
      </c>
      <c r="AG2997">
        <v>-1.1194187107860001</v>
      </c>
      <c r="AH2997">
        <v>21.4745700493988</v>
      </c>
      <c r="AI2997">
        <v>92.983342553481904</v>
      </c>
      <c r="AJ2997">
        <v>88.802514511675895</v>
      </c>
      <c r="AK2997">
        <v>21.508411262436901</v>
      </c>
      <c r="AL2997">
        <v>79.759400487444495</v>
      </c>
      <c r="AM2997">
        <v>91.074132814787504</v>
      </c>
      <c r="AN2997">
        <v>1.0000000446815001</v>
      </c>
    </row>
    <row r="2998" spans="1:40" x14ac:dyDescent="0.25">
      <c r="A2998" t="str">
        <f>"20190303162314483"</f>
        <v>20190303162314483</v>
      </c>
      <c r="B2998" t="str">
        <f>"1551601394467435"</f>
        <v>1551601394467435</v>
      </c>
      <c r="C2998" t="s">
        <v>40</v>
      </c>
      <c r="D2998">
        <v>5.2452649999999998</v>
      </c>
      <c r="E2998">
        <v>0.51474790000000004</v>
      </c>
      <c r="F2998" t="s">
        <v>49</v>
      </c>
      <c r="G2998">
        <v>-436.31720000000001</v>
      </c>
      <c r="H2998" s="1">
        <v>5.0025440000000003E-6</v>
      </c>
      <c r="I2998">
        <v>214.79759999999999</v>
      </c>
      <c r="J2998">
        <v>-458.2122</v>
      </c>
      <c r="K2998">
        <v>1.119421</v>
      </c>
      <c r="L2998">
        <v>215.96870000000001</v>
      </c>
      <c r="M2998">
        <v>0.99933329999999998</v>
      </c>
      <c r="N2998">
        <v>-1.201209E-2</v>
      </c>
      <c r="O2998">
        <v>-3.4483180000000002E-2</v>
      </c>
      <c r="P2998">
        <v>0.98607979999999995</v>
      </c>
      <c r="Q2998">
        <v>0.16568239999999901</v>
      </c>
      <c r="R2998">
        <v>-1.4017760000000001E-2</v>
      </c>
      <c r="S2998">
        <v>3.0663149999999999</v>
      </c>
      <c r="T2998">
        <v>-0.1548995</v>
      </c>
      <c r="U2998">
        <v>-0.16355899999999901</v>
      </c>
      <c r="V2998">
        <v>-1.9377539999999999E-2</v>
      </c>
      <c r="W2998">
        <v>0.1775823</v>
      </c>
      <c r="X2998">
        <v>0.98391519999999999</v>
      </c>
      <c r="Y2998">
        <v>1.879231E-2</v>
      </c>
      <c r="Z2998">
        <v>7.3801279999999997E-4</v>
      </c>
      <c r="AA2998">
        <v>0.99982320000000002</v>
      </c>
      <c r="AB2998">
        <v>26</v>
      </c>
      <c r="AC2998">
        <v>21.8949999999999</v>
      </c>
      <c r="AD2998">
        <v>-1.1194159974560001</v>
      </c>
      <c r="AE2998">
        <v>-1.17110000000002</v>
      </c>
      <c r="AF2998">
        <v>0.41426012336441098</v>
      </c>
      <c r="AG2998">
        <v>-1.1194159974560001</v>
      </c>
      <c r="AH2998">
        <v>21.865371455852902</v>
      </c>
      <c r="AI2998">
        <v>92.930221742524196</v>
      </c>
      <c r="AJ2998">
        <v>88.914607171317499</v>
      </c>
      <c r="AK2998">
        <v>21.897926215228701</v>
      </c>
      <c r="AL2998">
        <v>79.771033253422701</v>
      </c>
      <c r="AM2998">
        <v>91.128255514052299</v>
      </c>
      <c r="AN2998">
        <v>1.00000004156039</v>
      </c>
    </row>
    <row r="2999" spans="1:40" x14ac:dyDescent="0.25">
      <c r="A2999" t="str">
        <f>"20190303162314505"</f>
        <v>20190303162314505</v>
      </c>
      <c r="B2999" t="str">
        <f>"1551601394498668"</f>
        <v>1551601394498668</v>
      </c>
      <c r="C2999" t="s">
        <v>40</v>
      </c>
      <c r="D2999">
        <v>5.2767839999999904</v>
      </c>
      <c r="E2999">
        <v>0.51468249999999904</v>
      </c>
      <c r="F2999" t="s">
        <v>49</v>
      </c>
      <c r="G2999">
        <v>-435.9615</v>
      </c>
      <c r="H2999" s="1">
        <v>4.8477449999999999E-6</v>
      </c>
      <c r="I2999">
        <v>214.76410000000001</v>
      </c>
      <c r="J2999">
        <v>-457.94299999999998</v>
      </c>
      <c r="K2999">
        <v>1.119418</v>
      </c>
      <c r="L2999">
        <v>215.9571</v>
      </c>
      <c r="M2999">
        <v>0.99926040000000005</v>
      </c>
      <c r="N2999">
        <v>-1.201078E-2</v>
      </c>
      <c r="O2999">
        <v>-3.6531939999999999E-2</v>
      </c>
      <c r="P2999">
        <v>0.98585460000000003</v>
      </c>
      <c r="Q2999">
        <v>0.16693920000000001</v>
      </c>
      <c r="R2999">
        <v>-1.490504E-2</v>
      </c>
      <c r="S2999">
        <v>3.0659179999999999</v>
      </c>
      <c r="T2999">
        <v>-0.15424389999999999</v>
      </c>
      <c r="U2999">
        <v>-0.1659851</v>
      </c>
      <c r="V2999">
        <v>-2.049784E-2</v>
      </c>
      <c r="W2999">
        <v>0.1788392</v>
      </c>
      <c r="X2999">
        <v>0.98366480000000001</v>
      </c>
      <c r="Y2999">
        <v>1.7541629999999999E-2</v>
      </c>
      <c r="Z2999">
        <v>8.5002869999999998E-4</v>
      </c>
      <c r="AA2999">
        <v>0.99984569999999995</v>
      </c>
      <c r="AB2999">
        <v>26</v>
      </c>
      <c r="AC2999">
        <v>21.9815</v>
      </c>
      <c r="AD2999">
        <v>-1.1194131522549999</v>
      </c>
      <c r="AE2999">
        <v>-1.1929999999999801</v>
      </c>
      <c r="AF2999">
        <v>0.38811527502230497</v>
      </c>
      <c r="AG2999">
        <v>-1.1194131522549999</v>
      </c>
      <c r="AH2999">
        <v>21.953643736694701</v>
      </c>
      <c r="AI2999">
        <v>92.918520348097701</v>
      </c>
      <c r="AJ2999">
        <v>88.987181753454394</v>
      </c>
      <c r="AK2999">
        <v>21.985590567229799</v>
      </c>
      <c r="AL2999">
        <v>79.697846517395703</v>
      </c>
      <c r="AM2999">
        <v>91.193770248019405</v>
      </c>
      <c r="AN2999">
        <v>1.0000000298301699</v>
      </c>
    </row>
    <row r="3000" spans="1:40" x14ac:dyDescent="0.25">
      <c r="A3000" t="str">
        <f>"20190303162314525"</f>
        <v>20190303162314525</v>
      </c>
      <c r="B3000" t="str">
        <f>"1551601394517212"</f>
        <v>1551601394517212</v>
      </c>
      <c r="C3000" t="s">
        <v>40</v>
      </c>
      <c r="D3000">
        <v>5.4177929999999996</v>
      </c>
      <c r="E3000">
        <v>0.51463400000000004</v>
      </c>
      <c r="F3000" t="s">
        <v>49</v>
      </c>
      <c r="G3000">
        <v>-434.82069999999999</v>
      </c>
      <c r="H3000" s="1">
        <v>4.3492760000000002E-6</v>
      </c>
      <c r="I3000">
        <v>214.67930000000001</v>
      </c>
      <c r="J3000">
        <v>-457.69409999999999</v>
      </c>
      <c r="K3000">
        <v>1.119413</v>
      </c>
      <c r="L3000">
        <v>215.94579999999999</v>
      </c>
      <c r="M3000">
        <v>0.99918890000000005</v>
      </c>
      <c r="N3000">
        <v>-1.2009789999999999E-2</v>
      </c>
      <c r="O3000">
        <v>-3.8436400000000003E-2</v>
      </c>
      <c r="P3000">
        <v>0.98560329999999996</v>
      </c>
      <c r="Q3000">
        <v>0.16844509999999999</v>
      </c>
      <c r="R3000">
        <v>-1.457611E-2</v>
      </c>
      <c r="S3000">
        <v>3.0656430000000001</v>
      </c>
      <c r="T3000">
        <v>-0.1484164</v>
      </c>
      <c r="U3000">
        <v>-0.16941829999999999</v>
      </c>
      <c r="V3000">
        <v>-2.2686580000000001E-2</v>
      </c>
      <c r="W3000">
        <v>0.1803487</v>
      </c>
      <c r="X3000">
        <v>0.98334100000000002</v>
      </c>
      <c r="Y3000">
        <v>1.6758869999999999E-2</v>
      </c>
      <c r="Z3000">
        <v>8.9027529999999896E-4</v>
      </c>
      <c r="AA3000">
        <v>0.99985919999999895</v>
      </c>
      <c r="AB3000">
        <v>26</v>
      </c>
      <c r="AC3000">
        <v>22.8734</v>
      </c>
      <c r="AD3000">
        <v>-1.119408650724</v>
      </c>
      <c r="AE3000">
        <v>-1.26649999999997</v>
      </c>
      <c r="AF3000">
        <v>0.38540918695333398</v>
      </c>
      <c r="AG3000">
        <v>-1.119408650724</v>
      </c>
      <c r="AH3000">
        <v>22.8506171835039</v>
      </c>
      <c r="AI3000">
        <v>92.804171941118796</v>
      </c>
      <c r="AJ3000">
        <v>89.033714231784899</v>
      </c>
      <c r="AK3000">
        <v>22.881265735001399</v>
      </c>
      <c r="AL3000">
        <v>79.609928000785004</v>
      </c>
      <c r="AM3000">
        <v>91.321631801690003</v>
      </c>
      <c r="AN3000">
        <v>0.99999992839239005</v>
      </c>
    </row>
    <row r="3001" spans="1:40" x14ac:dyDescent="0.25">
      <c r="A3001" t="str">
        <f>"20190303162314548"</f>
        <v>20190303162314548</v>
      </c>
      <c r="B3001" t="str">
        <f>"1551601394537708"</f>
        <v>1551601394537708</v>
      </c>
      <c r="C3001" t="s">
        <v>40</v>
      </c>
      <c r="D3001">
        <v>5.4781089999999999</v>
      </c>
      <c r="E3001">
        <v>0.51458459999999995</v>
      </c>
      <c r="F3001" t="s">
        <v>49</v>
      </c>
      <c r="G3001">
        <v>-433.58789999999999</v>
      </c>
      <c r="H3001" s="1">
        <v>3.8084479999999999E-6</v>
      </c>
      <c r="I3001">
        <v>214.6121</v>
      </c>
      <c r="J3001">
        <v>-457.4391</v>
      </c>
      <c r="K3001">
        <v>1.1194010000000001</v>
      </c>
      <c r="L3001">
        <v>215.93379999999999</v>
      </c>
      <c r="M3001">
        <v>0.99911150000000004</v>
      </c>
      <c r="N3001">
        <v>-1.2008939999999999E-2</v>
      </c>
      <c r="O3001">
        <v>-4.0400810000000002E-2</v>
      </c>
      <c r="P3001">
        <v>0.98559330000000001</v>
      </c>
      <c r="Q3001">
        <v>0.16840810000000001</v>
      </c>
      <c r="R3001">
        <v>-1.564755E-2</v>
      </c>
      <c r="S3001">
        <v>3.0656430000000001</v>
      </c>
      <c r="T3001">
        <v>-0.14235809999999999</v>
      </c>
      <c r="U3001">
        <v>-0.16961670000000001</v>
      </c>
      <c r="V3001">
        <v>-2.3549489999999999E-2</v>
      </c>
      <c r="W3001">
        <v>0.180314</v>
      </c>
      <c r="X3001">
        <v>0.98332719999999996</v>
      </c>
      <c r="Y3001">
        <v>1.486036E-2</v>
      </c>
      <c r="Z3001">
        <v>9.5392719999999999E-4</v>
      </c>
      <c r="AA3001">
        <v>0.99988909999999998</v>
      </c>
      <c r="AB3001">
        <v>26</v>
      </c>
      <c r="AC3001">
        <v>23.851199999999999</v>
      </c>
      <c r="AD3001">
        <v>-1.119397191552</v>
      </c>
      <c r="AE3001">
        <v>-1.3216999999999901</v>
      </c>
      <c r="AF3001">
        <v>0.35616146642276503</v>
      </c>
      <c r="AG3001">
        <v>-1.119397191552</v>
      </c>
      <c r="AH3001">
        <v>23.8327906860005</v>
      </c>
      <c r="AI3001">
        <v>92.688836977796996</v>
      </c>
      <c r="AJ3001">
        <v>89.1438254041433</v>
      </c>
      <c r="AK3001">
        <v>23.861722757280798</v>
      </c>
      <c r="AL3001">
        <v>79.611950575655001</v>
      </c>
      <c r="AM3001">
        <v>91.371901964015606</v>
      </c>
      <c r="AN3001">
        <v>1.0000000496675401</v>
      </c>
    </row>
    <row r="3002" spans="1:40" x14ac:dyDescent="0.25">
      <c r="A3002" t="str">
        <f>"20190303162314570"</f>
        <v>20190303162314570</v>
      </c>
      <c r="B3002" t="str">
        <f>"1551601394557228"</f>
        <v>1551601394557228</v>
      </c>
      <c r="C3002" t="s">
        <v>40</v>
      </c>
      <c r="D3002">
        <v>5.2944639999999996</v>
      </c>
      <c r="E3002">
        <v>0.51454679999999997</v>
      </c>
      <c r="F3002" t="s">
        <v>49</v>
      </c>
      <c r="G3002">
        <v>-433.17520000000002</v>
      </c>
      <c r="H3002" s="1">
        <v>3.6299460000000002E-6</v>
      </c>
      <c r="I3002">
        <v>214.56039999999999</v>
      </c>
      <c r="J3002">
        <v>-457.17419999999998</v>
      </c>
      <c r="K3002">
        <v>1.1193869999999999</v>
      </c>
      <c r="L3002">
        <v>215.92080000000001</v>
      </c>
      <c r="M3002">
        <v>0.99902630000000003</v>
      </c>
      <c r="N3002">
        <v>-1.20083E-2</v>
      </c>
      <c r="O3002">
        <v>-4.2453739999999997E-2</v>
      </c>
      <c r="P3002">
        <v>0.98577079999999995</v>
      </c>
      <c r="Q3002">
        <v>0.16720839999999901</v>
      </c>
      <c r="R3002">
        <v>-1.7243669999999999E-2</v>
      </c>
      <c r="S3002">
        <v>3.065277</v>
      </c>
      <c r="T3002">
        <v>-0.14141429999999999</v>
      </c>
      <c r="U3002">
        <v>-0.17350769999999999</v>
      </c>
      <c r="V3002">
        <v>-2.3989E-2</v>
      </c>
      <c r="W3002">
        <v>0.1791179</v>
      </c>
      <c r="X3002">
        <v>0.9835351</v>
      </c>
      <c r="Y3002">
        <v>1.4079639999999999E-2</v>
      </c>
      <c r="Z3002">
        <v>1.0364560000000001E-3</v>
      </c>
      <c r="AA3002">
        <v>0.99990029999999996</v>
      </c>
      <c r="AB3002">
        <v>26</v>
      </c>
      <c r="AC3002">
        <v>23.998999999999899</v>
      </c>
      <c r="AD3002">
        <v>-1.1193833700539999</v>
      </c>
      <c r="AE3002">
        <v>-1.36040000000002</v>
      </c>
      <c r="AF3002">
        <v>0.33951632089380102</v>
      </c>
      <c r="AG3002">
        <v>-1.1193833700539999</v>
      </c>
      <c r="AH3002">
        <v>23.983108804525799</v>
      </c>
      <c r="AI3002">
        <v>92.672006375894597</v>
      </c>
      <c r="AJ3002">
        <v>89.188947809500107</v>
      </c>
      <c r="AK3002">
        <v>24.011617987779001</v>
      </c>
      <c r="AL3002">
        <v>79.681615733150196</v>
      </c>
      <c r="AM3002">
        <v>91.3972007654002</v>
      </c>
      <c r="AN3002">
        <v>0.99999999357670999</v>
      </c>
    </row>
    <row r="3003" spans="1:40" x14ac:dyDescent="0.25">
      <c r="A3003" t="str">
        <f>"20190303162314593"</f>
        <v>20190303162314593</v>
      </c>
      <c r="B3003" t="str">
        <f>"1551601394587484"</f>
        <v>1551601394587484</v>
      </c>
      <c r="C3003" t="s">
        <v>40</v>
      </c>
      <c r="D3003">
        <v>5.3236869999999996</v>
      </c>
      <c r="E3003">
        <v>0.51445940000000001</v>
      </c>
      <c r="F3003" t="s">
        <v>49</v>
      </c>
      <c r="G3003">
        <v>-433.44170000000003</v>
      </c>
      <c r="H3003" s="1">
        <v>3.7509150000000002E-6</v>
      </c>
      <c r="I3003">
        <v>214.5282</v>
      </c>
      <c r="J3003">
        <v>-456.91160000000002</v>
      </c>
      <c r="K3003">
        <v>1.119386</v>
      </c>
      <c r="L3003">
        <v>215.90729999999999</v>
      </c>
      <c r="M3003">
        <v>0.99893739999999998</v>
      </c>
      <c r="N3003">
        <v>-1.200536E-2</v>
      </c>
      <c r="O3003">
        <v>-4.4498749999999997E-2</v>
      </c>
      <c r="P3003">
        <v>0.9857882</v>
      </c>
      <c r="Q3003">
        <v>0.1669775</v>
      </c>
      <c r="R3003">
        <v>-1.8443080000000001E-2</v>
      </c>
      <c r="S3003">
        <v>3.0646969999999998</v>
      </c>
      <c r="T3003">
        <v>-0.14455129999999999</v>
      </c>
      <c r="U3003">
        <v>-0.17982479999999901</v>
      </c>
      <c r="V3003">
        <v>-2.480796E-2</v>
      </c>
      <c r="W3003">
        <v>0.17888799999999999</v>
      </c>
      <c r="X3003">
        <v>0.9835566</v>
      </c>
      <c r="Y3003">
        <v>1.409964E-2</v>
      </c>
      <c r="Z3003">
        <v>1.1440000000000001E-3</v>
      </c>
      <c r="AA3003">
        <v>0.99989989999999995</v>
      </c>
      <c r="AB3003">
        <v>26</v>
      </c>
      <c r="AC3003">
        <v>23.469899999999999</v>
      </c>
      <c r="AD3003">
        <v>-1.1193822490850001</v>
      </c>
      <c r="AE3003">
        <v>-1.37909999999999</v>
      </c>
      <c r="AF3003">
        <v>0.33252353487106601</v>
      </c>
      <c r="AG3003">
        <v>-1.1193822490850001</v>
      </c>
      <c r="AH3003">
        <v>23.454850532135801</v>
      </c>
      <c r="AI3003">
        <v>92.732092517761799</v>
      </c>
      <c r="AJ3003">
        <v>89.187762087144094</v>
      </c>
      <c r="AK3003">
        <v>23.483900911169801</v>
      </c>
      <c r="AL3003">
        <v>79.695004015419499</v>
      </c>
      <c r="AM3003">
        <v>91.444848317550594</v>
      </c>
      <c r="AN3003">
        <v>0.99999996841345995</v>
      </c>
    </row>
    <row r="3004" spans="1:40" x14ac:dyDescent="0.25">
      <c r="A3004" t="str">
        <f>"20190303162314615"</f>
        <v>20190303162314615</v>
      </c>
      <c r="B3004" t="str">
        <f>"1551601394607980"</f>
        <v>1551601394607980</v>
      </c>
      <c r="C3004" t="s">
        <v>40</v>
      </c>
      <c r="D3004">
        <v>5.3975809999999997</v>
      </c>
      <c r="E3004">
        <v>0.51880490000000001</v>
      </c>
      <c r="F3004" t="s">
        <v>49</v>
      </c>
      <c r="G3004">
        <v>-433.23050000000001</v>
      </c>
      <c r="H3004" s="1">
        <v>3.6617099999999999E-6</v>
      </c>
      <c r="I3004">
        <v>214.47739999999999</v>
      </c>
      <c r="J3004">
        <v>-456.6397</v>
      </c>
      <c r="K3004">
        <v>1.119381</v>
      </c>
      <c r="L3004">
        <v>215.89279999999999</v>
      </c>
      <c r="M3004">
        <v>0.99884059999999997</v>
      </c>
      <c r="N3004">
        <v>-1.199677E-2</v>
      </c>
      <c r="O3004">
        <v>-4.6621650000000001E-2</v>
      </c>
      <c r="P3004">
        <v>0.98582550000000002</v>
      </c>
      <c r="Q3004">
        <v>0.1666348</v>
      </c>
      <c r="R3004">
        <v>-1.9522080000000001E-2</v>
      </c>
      <c r="S3004">
        <v>3.0643310000000001</v>
      </c>
      <c r="T3004">
        <v>-0.144848</v>
      </c>
      <c r="U3004">
        <v>-0.1850281</v>
      </c>
      <c r="V3004">
        <v>-2.582779E-2</v>
      </c>
      <c r="W3004">
        <v>0.17854039999999999</v>
      </c>
      <c r="X3004">
        <v>0.98359350000000001</v>
      </c>
      <c r="Y3004">
        <v>1.3675410000000001E-2</v>
      </c>
      <c r="Z3004">
        <v>1.235318E-3</v>
      </c>
      <c r="AA3004">
        <v>0.99990570000000001</v>
      </c>
      <c r="AB3004">
        <v>26</v>
      </c>
      <c r="AC3004">
        <v>23.409199999999998</v>
      </c>
      <c r="AD3004">
        <v>-1.1193773382900001</v>
      </c>
      <c r="AE3004">
        <v>-1.4154</v>
      </c>
      <c r="AF3004">
        <v>0.32167380773013399</v>
      </c>
      <c r="AG3004">
        <v>-1.1193773382900001</v>
      </c>
      <c r="AH3004">
        <v>23.396432514943999</v>
      </c>
      <c r="AI3004">
        <v>92.738908197871794</v>
      </c>
      <c r="AJ3004">
        <v>89.212299124235599</v>
      </c>
      <c r="AK3004">
        <v>23.425403605709398</v>
      </c>
      <c r="AL3004">
        <v>79.715245827759404</v>
      </c>
      <c r="AM3004">
        <v>91.504161406178298</v>
      </c>
      <c r="AN3004">
        <v>0.99999996120534596</v>
      </c>
    </row>
    <row r="3005" spans="1:40" x14ac:dyDescent="0.25">
      <c r="A3005" t="str">
        <f>"20190303162314637"</f>
        <v>20190303162314637</v>
      </c>
      <c r="B3005" t="str">
        <f>"1551601394627499"</f>
        <v>1551601394627499</v>
      </c>
      <c r="C3005" t="s">
        <v>40</v>
      </c>
      <c r="D3005">
        <v>5.3711880000000001</v>
      </c>
      <c r="E3005">
        <v>0.52173779999999903</v>
      </c>
      <c r="F3005" t="s">
        <v>42</v>
      </c>
      <c r="G3005">
        <v>-455.8383</v>
      </c>
      <c r="H3005">
        <v>1.0278499999999999</v>
      </c>
      <c r="I3005">
        <v>215.833</v>
      </c>
      <c r="J3005">
        <v>-456.38529999999997</v>
      </c>
      <c r="K3005">
        <v>1.1193690000000001</v>
      </c>
      <c r="L3005">
        <v>215.87870000000001</v>
      </c>
      <c r="M3005">
        <v>0.99874629999999998</v>
      </c>
      <c r="N3005">
        <v>-1.198658E-2</v>
      </c>
      <c r="O3005">
        <v>-4.8602850000000003E-2</v>
      </c>
      <c r="P3005">
        <v>0.98613830000000002</v>
      </c>
      <c r="Q3005">
        <v>0.16466459999999999</v>
      </c>
      <c r="R3005">
        <v>-2.041695E-2</v>
      </c>
      <c r="S3005">
        <v>3.098328</v>
      </c>
      <c r="T3005">
        <v>-0.35369420000000001</v>
      </c>
      <c r="U3005">
        <v>-0.23004150000000001</v>
      </c>
      <c r="V3005">
        <v>-2.6911549999999999E-2</v>
      </c>
      <c r="W3005">
        <v>0.17656810000000001</v>
      </c>
      <c r="X3005">
        <v>0.98392049999999998</v>
      </c>
      <c r="Y3005">
        <v>2.555135E-2</v>
      </c>
      <c r="Z3005">
        <v>3.3325469999999999E-3</v>
      </c>
      <c r="AA3005">
        <v>0.99966790000000005</v>
      </c>
      <c r="AB3005">
        <v>26</v>
      </c>
      <c r="AC3005">
        <v>0.54699999999996796</v>
      </c>
      <c r="AD3005">
        <v>-9.15190000000001E-2</v>
      </c>
      <c r="AE3005">
        <v>-4.5700000000010697E-2</v>
      </c>
      <c r="AF3005">
        <v>1.8542845313482201E-2</v>
      </c>
      <c r="AG3005">
        <v>-9.15190000000001E-2</v>
      </c>
      <c r="AH3005">
        <v>0.53373746874987205</v>
      </c>
      <c r="AI3005">
        <v>99.724029503880402</v>
      </c>
      <c r="AJ3005">
        <v>88.010258398324098</v>
      </c>
      <c r="AK3005">
        <v>0.54184430422478402</v>
      </c>
      <c r="AL3005">
        <v>79.830075623627707</v>
      </c>
      <c r="AM3005">
        <v>91.566726078610799</v>
      </c>
      <c r="AN3005">
        <v>1.00000003789063</v>
      </c>
    </row>
    <row r="3006" spans="1:40" x14ac:dyDescent="0.25">
      <c r="A3006" t="str">
        <f>"20190303162314661"</f>
        <v>20190303162314661</v>
      </c>
      <c r="B3006" t="str">
        <f>"1551601394657321"</f>
        <v>1551601394657321</v>
      </c>
      <c r="C3006" t="s">
        <v>40</v>
      </c>
      <c r="D3006">
        <v>5.3455339999999998</v>
      </c>
      <c r="E3006">
        <v>0.52999350000000001</v>
      </c>
      <c r="F3006" t="s">
        <v>42</v>
      </c>
      <c r="G3006">
        <v>-455.61250000000001</v>
      </c>
      <c r="H3006">
        <v>1.009665</v>
      </c>
      <c r="I3006">
        <v>215.81360000000001</v>
      </c>
      <c r="J3006">
        <v>-456.11439999999999</v>
      </c>
      <c r="K3006">
        <v>1.119373</v>
      </c>
      <c r="L3006">
        <v>215.86320000000001</v>
      </c>
      <c r="M3006">
        <v>0.9986429</v>
      </c>
      <c r="N3006">
        <v>-1.197607E-2</v>
      </c>
      <c r="O3006">
        <v>-5.0684689999999998E-2</v>
      </c>
      <c r="P3006">
        <v>0.98634900000000003</v>
      </c>
      <c r="Q3006">
        <v>0.16339609999999999</v>
      </c>
      <c r="R3006">
        <v>-2.0433840000000002E-2</v>
      </c>
      <c r="S3006">
        <v>3.110474</v>
      </c>
      <c r="T3006">
        <v>-0.44134329999999999</v>
      </c>
      <c r="U3006">
        <v>-0.26118469999999999</v>
      </c>
      <c r="V3006">
        <v>-2.897079E-2</v>
      </c>
      <c r="W3006">
        <v>0.17529790000000001</v>
      </c>
      <c r="X3006">
        <v>0.98408910000000005</v>
      </c>
      <c r="Y3006">
        <v>3.312126E-2</v>
      </c>
      <c r="Z3006">
        <v>3.9998220000000001E-3</v>
      </c>
      <c r="AA3006">
        <v>0.99944339999999998</v>
      </c>
      <c r="AB3006">
        <v>26</v>
      </c>
      <c r="AC3006">
        <v>0.50189999999997703</v>
      </c>
      <c r="AD3006">
        <v>-0.109707999999999</v>
      </c>
      <c r="AE3006">
        <v>-4.9599999999998E-2</v>
      </c>
      <c r="AF3006">
        <v>2.30071311021211E-2</v>
      </c>
      <c r="AG3006">
        <v>-0.109707999999999</v>
      </c>
      <c r="AH3006">
        <v>0.48100884623265899</v>
      </c>
      <c r="AI3006">
        <v>102.8339978186</v>
      </c>
      <c r="AJ3006">
        <v>87.261572985612801</v>
      </c>
      <c r="AK3006">
        <v>0.493897442289008</v>
      </c>
      <c r="AL3006">
        <v>79.904005579949995</v>
      </c>
      <c r="AM3006">
        <v>91.686254545270103</v>
      </c>
      <c r="AN3006">
        <v>1.0000000085782199</v>
      </c>
    </row>
    <row r="3007" spans="1:40" x14ac:dyDescent="0.25">
      <c r="A3007" t="str">
        <f>"20190303162314684"</f>
        <v>20190303162314684</v>
      </c>
      <c r="B3007" t="str">
        <f>"1551601394677818"</f>
        <v>1551601394677818</v>
      </c>
      <c r="C3007" t="s">
        <v>40</v>
      </c>
      <c r="D3007">
        <v>5.3641759999999996</v>
      </c>
      <c r="E3007">
        <v>0.5295261</v>
      </c>
      <c r="F3007" t="s">
        <v>42</v>
      </c>
      <c r="G3007">
        <v>-455.42619999999999</v>
      </c>
      <c r="H3007">
        <v>0.90925509999999998</v>
      </c>
      <c r="I3007">
        <v>215.78800000000001</v>
      </c>
      <c r="J3007">
        <v>-455.83670000000001</v>
      </c>
      <c r="K3007">
        <v>1.119413</v>
      </c>
      <c r="L3007">
        <v>215.8467</v>
      </c>
      <c r="M3007">
        <v>0.99853630000000004</v>
      </c>
      <c r="N3007">
        <v>-1.1965760000000001E-2</v>
      </c>
      <c r="O3007">
        <v>-5.2742770000000001E-2</v>
      </c>
      <c r="P3007">
        <v>0.98637819999999998</v>
      </c>
      <c r="Q3007">
        <v>0.16332839999999901</v>
      </c>
      <c r="R3007">
        <v>-1.9537680000000002E-2</v>
      </c>
      <c r="S3007">
        <v>3.1959529999999998</v>
      </c>
      <c r="T3007">
        <v>-0.97541949999999999</v>
      </c>
      <c r="U3007">
        <v>-0.34667969999999998</v>
      </c>
      <c r="V3007">
        <v>-3.1916090000000001E-2</v>
      </c>
      <c r="W3007">
        <v>0.17522599999999999</v>
      </c>
      <c r="X3007">
        <v>0.98401079999999996</v>
      </c>
      <c r="Y3007">
        <v>5.4870820000000001E-2</v>
      </c>
      <c r="Z3007">
        <v>6.5614209999999996E-3</v>
      </c>
      <c r="AA3007">
        <v>0.99847189999999997</v>
      </c>
      <c r="AB3007">
        <v>26</v>
      </c>
      <c r="AC3007">
        <v>0.41050000000001302</v>
      </c>
      <c r="AD3007">
        <v>-0.21015789999999901</v>
      </c>
      <c r="AE3007">
        <v>-5.8700000000015899E-2</v>
      </c>
      <c r="AF3007">
        <v>2.9411558852828399E-2</v>
      </c>
      <c r="AG3007">
        <v>-0.21015789999999901</v>
      </c>
      <c r="AH3007">
        <v>0.32861981230195197</v>
      </c>
      <c r="AI3007">
        <v>122.495944425777</v>
      </c>
      <c r="AJ3007">
        <v>84.885639599740102</v>
      </c>
      <c r="AK3007">
        <v>0.39118073030753098</v>
      </c>
      <c r="AL3007">
        <v>79.908190040913198</v>
      </c>
      <c r="AM3007">
        <v>91.857719859505806</v>
      </c>
      <c r="AN3007">
        <v>1.0000000211967599</v>
      </c>
    </row>
    <row r="3008" spans="1:40" x14ac:dyDescent="0.25">
      <c r="A3008" t="str">
        <f>"20190303162314706"</f>
        <v>20190303162314706</v>
      </c>
      <c r="B3008" t="str">
        <f>"1551601394697338"</f>
        <v>1551601394697338</v>
      </c>
      <c r="C3008" t="s">
        <v>40</v>
      </c>
      <c r="D3008">
        <v>5.3855680000000001</v>
      </c>
      <c r="E3008">
        <v>0.52980740000000004</v>
      </c>
      <c r="F3008" t="s">
        <v>42</v>
      </c>
      <c r="G3008">
        <v>-454.97989999999999</v>
      </c>
      <c r="H3008">
        <v>0.85400589999999998</v>
      </c>
      <c r="I3008">
        <v>215.75479999999999</v>
      </c>
      <c r="J3008">
        <v>-455.58030000000002</v>
      </c>
      <c r="K3008">
        <v>1.1194839999999999</v>
      </c>
      <c r="L3008">
        <v>215.83109999999999</v>
      </c>
      <c r="M3008">
        <v>0.99844120000000003</v>
      </c>
      <c r="N3008">
        <v>-1.195563E-2</v>
      </c>
      <c r="O3008">
        <v>-5.4521029999999998E-2</v>
      </c>
      <c r="P3008">
        <v>0.98631349999999995</v>
      </c>
      <c r="Q3008">
        <v>0.16392799999999999</v>
      </c>
      <c r="R3008">
        <v>-1.7706530000000002E-2</v>
      </c>
      <c r="S3008">
        <v>3.1987000000000001</v>
      </c>
      <c r="T3008">
        <v>-0.99068639999999997</v>
      </c>
      <c r="U3008">
        <v>-0.34161380000000002</v>
      </c>
      <c r="V3008">
        <v>-3.552686E-2</v>
      </c>
      <c r="W3008">
        <v>0.175819</v>
      </c>
      <c r="X3008">
        <v>0.98378120000000002</v>
      </c>
      <c r="Y3008">
        <v>5.166072E-2</v>
      </c>
      <c r="Z3008">
        <v>7.6880859999999898E-3</v>
      </c>
      <c r="AA3008">
        <v>0.9986351</v>
      </c>
      <c r="AB3008">
        <v>26</v>
      </c>
      <c r="AC3008">
        <v>0.60040000000003602</v>
      </c>
      <c r="AD3008">
        <v>-0.265478099999999</v>
      </c>
      <c r="AE3008">
        <v>-7.6300000000003296E-2</v>
      </c>
      <c r="AF3008">
        <v>3.6438713836106897E-2</v>
      </c>
      <c r="AG3008">
        <v>-0.265478099999999</v>
      </c>
      <c r="AH3008">
        <v>0.50625975922069799</v>
      </c>
      <c r="AI3008">
        <v>117.61127692583401</v>
      </c>
      <c r="AJ3008">
        <v>85.883160132349403</v>
      </c>
      <c r="AK3008">
        <v>0.57280480554185198</v>
      </c>
      <c r="AL3008">
        <v>79.873677271448301</v>
      </c>
      <c r="AM3008">
        <v>92.068198669150306</v>
      </c>
      <c r="AN3008">
        <v>0.99999996400794899</v>
      </c>
    </row>
    <row r="3009" spans="1:40" x14ac:dyDescent="0.25">
      <c r="A3009" t="str">
        <f>"20190303162314727"</f>
        <v>20190303162314727</v>
      </c>
      <c r="B3009" t="str">
        <f>"1551601394717834"</f>
        <v>1551601394717834</v>
      </c>
      <c r="C3009" t="s">
        <v>40</v>
      </c>
      <c r="D3009">
        <v>5.4171399999999998</v>
      </c>
      <c r="E3009">
        <v>0.52979089999999995</v>
      </c>
      <c r="F3009" t="s">
        <v>42</v>
      </c>
      <c r="G3009">
        <v>-454.74200000000002</v>
      </c>
      <c r="H3009">
        <v>0.86103200000000002</v>
      </c>
      <c r="I3009">
        <v>215.74260000000001</v>
      </c>
      <c r="J3009">
        <v>-455.32839999999999</v>
      </c>
      <c r="K3009">
        <v>1.119575</v>
      </c>
      <c r="L3009">
        <v>215.81549999999999</v>
      </c>
      <c r="M3009">
        <v>0.99835110000000005</v>
      </c>
      <c r="N3009">
        <v>-1.194577E-2</v>
      </c>
      <c r="O3009">
        <v>-5.6149440000000002E-2</v>
      </c>
      <c r="P3009">
        <v>0.98644949999999998</v>
      </c>
      <c r="Q3009">
        <v>0.1633474</v>
      </c>
      <c r="R3009">
        <v>-1.534137E-2</v>
      </c>
      <c r="S3009">
        <v>3.199554</v>
      </c>
      <c r="T3009">
        <v>-0.98639580000000004</v>
      </c>
      <c r="U3009">
        <v>-0.33703610000000001</v>
      </c>
      <c r="V3009">
        <v>-3.9546749999999999E-2</v>
      </c>
      <c r="W3009">
        <v>0.17523169999999999</v>
      </c>
      <c r="X3009">
        <v>0.98373259999999996</v>
      </c>
      <c r="Y3009">
        <v>4.8796590000000001E-2</v>
      </c>
      <c r="Z3009">
        <v>8.5685789999999998E-3</v>
      </c>
      <c r="AA3009">
        <v>0.99877199999999999</v>
      </c>
      <c r="AB3009">
        <v>26</v>
      </c>
      <c r="AC3009">
        <v>0.58640000000002601</v>
      </c>
      <c r="AD3009">
        <v>-0.25854300000000002</v>
      </c>
      <c r="AE3009">
        <v>-7.2899999999975706E-2</v>
      </c>
      <c r="AF3009">
        <v>3.3452655054235003E-2</v>
      </c>
      <c r="AG3009">
        <v>-0.25854300000000002</v>
      </c>
      <c r="AH3009">
        <v>0.49483965479647601</v>
      </c>
      <c r="AI3009">
        <v>117.532513386307</v>
      </c>
      <c r="AJ3009">
        <v>86.1325167945771</v>
      </c>
      <c r="AK3009">
        <v>0.55931194063623701</v>
      </c>
      <c r="AL3009">
        <v>79.907857710822597</v>
      </c>
      <c r="AM3009">
        <v>92.302091475901406</v>
      </c>
      <c r="AN3009">
        <v>0.99999996121160495</v>
      </c>
    </row>
    <row r="3010" spans="1:40" x14ac:dyDescent="0.25">
      <c r="A3010" t="str">
        <f>"20190303162314748"</f>
        <v>20190303162314748</v>
      </c>
      <c r="B3010" t="str">
        <f>"1551601394737941"</f>
        <v>1551601394737941</v>
      </c>
      <c r="C3010" t="s">
        <v>40</v>
      </c>
      <c r="D3010">
        <v>5.4180440000000001</v>
      </c>
      <c r="E3010">
        <v>0.52981290000000003</v>
      </c>
      <c r="F3010" t="s">
        <v>42</v>
      </c>
      <c r="G3010">
        <v>-454.505</v>
      </c>
      <c r="H3010">
        <v>0.86512520000000004</v>
      </c>
      <c r="I3010">
        <v>215.73089999999999</v>
      </c>
      <c r="J3010">
        <v>-455.07810000000001</v>
      </c>
      <c r="K3010">
        <v>1.11969599999999</v>
      </c>
      <c r="L3010">
        <v>215.7997</v>
      </c>
      <c r="M3010">
        <v>0.99826939999999997</v>
      </c>
      <c r="N3010">
        <v>-1.1936260000000001E-2</v>
      </c>
      <c r="O3010">
        <v>-5.7582710000000002E-2</v>
      </c>
      <c r="P3010">
        <v>0.98649419999999999</v>
      </c>
      <c r="Q3010">
        <v>0.163266299999999</v>
      </c>
      <c r="R3010">
        <v>-1.3176490000000001E-2</v>
      </c>
      <c r="S3010">
        <v>3.1998289999999998</v>
      </c>
      <c r="T3010">
        <v>-0.98862539999999999</v>
      </c>
      <c r="U3010">
        <v>-0.32708739999999997</v>
      </c>
      <c r="V3010">
        <v>-4.3181659999999997E-2</v>
      </c>
      <c r="W3010">
        <v>0.17513679999999901</v>
      </c>
      <c r="X3010">
        <v>0.98359669999999999</v>
      </c>
      <c r="Y3010">
        <v>4.454673E-2</v>
      </c>
      <c r="Z3010">
        <v>9.6707400000000006E-3</v>
      </c>
      <c r="AA3010">
        <v>0.99896050000000003</v>
      </c>
      <c r="AB3010">
        <v>26</v>
      </c>
      <c r="AC3010">
        <v>0.57310000000001005</v>
      </c>
      <c r="AD3010">
        <v>-0.25457079999999899</v>
      </c>
      <c r="AE3010">
        <v>-6.8800000000010103E-2</v>
      </c>
      <c r="AF3010">
        <v>2.9872351681572502E-2</v>
      </c>
      <c r="AG3010">
        <v>-0.25457079999999899</v>
      </c>
      <c r="AH3010">
        <v>0.48229891722428198</v>
      </c>
      <c r="AI3010">
        <v>117.78108280977899</v>
      </c>
      <c r="AJ3010">
        <v>86.455774656063397</v>
      </c>
      <c r="AK3010">
        <v>0.54617844626398704</v>
      </c>
      <c r="AL3010">
        <v>79.913380997711101</v>
      </c>
      <c r="AM3010">
        <v>92.513773367394094</v>
      </c>
      <c r="AN3010">
        <v>1.0000000113627401</v>
      </c>
    </row>
    <row r="3011" spans="1:40" x14ac:dyDescent="0.25">
      <c r="A3011" t="str">
        <f>"20190303162314772"</f>
        <v>20190303162314772</v>
      </c>
      <c r="B3011" t="str">
        <f>"1551601394767222"</f>
        <v>1551601394767222</v>
      </c>
      <c r="C3011" t="s">
        <v>40</v>
      </c>
      <c r="D3011">
        <v>5.4333850000000004</v>
      </c>
      <c r="E3011">
        <v>0.52994410000000003</v>
      </c>
      <c r="F3011" t="s">
        <v>42</v>
      </c>
      <c r="G3011">
        <v>-454.26799999999997</v>
      </c>
      <c r="H3011">
        <v>0.86944249999999901</v>
      </c>
      <c r="I3011">
        <v>215.7199</v>
      </c>
      <c r="J3011">
        <v>-454.80489999999998</v>
      </c>
      <c r="K3011">
        <v>1.119882</v>
      </c>
      <c r="L3011">
        <v>215.78229999999999</v>
      </c>
      <c r="M3011">
        <v>0.99819579999999997</v>
      </c>
      <c r="N3011">
        <v>-1.1926590000000001E-2</v>
      </c>
      <c r="O3011">
        <v>-5.884789E-2</v>
      </c>
      <c r="P3011">
        <v>0.98665360000000002</v>
      </c>
      <c r="Q3011">
        <v>0.16239210000000001</v>
      </c>
      <c r="R3011">
        <v>-1.199338E-2</v>
      </c>
      <c r="S3011">
        <v>3.2004389999999998</v>
      </c>
      <c r="T3011">
        <v>-0.98851230000000001</v>
      </c>
      <c r="U3011">
        <v>-0.31480409999999998</v>
      </c>
      <c r="V3011">
        <v>-4.5706110000000001E-2</v>
      </c>
      <c r="W3011">
        <v>0.17423820000000001</v>
      </c>
      <c r="X3011">
        <v>0.98364220000000002</v>
      </c>
      <c r="Y3011">
        <v>3.9748899999999997E-2</v>
      </c>
      <c r="Z3011">
        <v>1.0787740000000001E-2</v>
      </c>
      <c r="AA3011">
        <v>0.99915149999999997</v>
      </c>
      <c r="AB3011">
        <v>26</v>
      </c>
      <c r="AC3011">
        <v>0.53689999999994598</v>
      </c>
      <c r="AD3011">
        <v>-0.25043949999999998</v>
      </c>
      <c r="AE3011">
        <v>-6.2399999999996597E-2</v>
      </c>
      <c r="AF3011">
        <v>2.5269341536155499E-2</v>
      </c>
      <c r="AG3011">
        <v>-0.25043949999999998</v>
      </c>
      <c r="AH3011">
        <v>0.44426657661503299</v>
      </c>
      <c r="AI3011">
        <v>119.371018843502</v>
      </c>
      <c r="AJ3011">
        <v>86.744593478831405</v>
      </c>
      <c r="AK3011">
        <v>0.51061852089320203</v>
      </c>
      <c r="AL3011">
        <v>79.965670766887996</v>
      </c>
      <c r="AM3011">
        <v>92.660403250004194</v>
      </c>
      <c r="AN3011">
        <v>0.99999998822570502</v>
      </c>
    </row>
    <row r="3012" spans="1:40" x14ac:dyDescent="0.25">
      <c r="A3012" t="str">
        <f>"20190303162314794"</f>
        <v>20190303162314794</v>
      </c>
      <c r="B3012" t="str">
        <f>"1551601394787718"</f>
        <v>1551601394787718</v>
      </c>
      <c r="C3012" t="s">
        <v>40</v>
      </c>
      <c r="D3012">
        <v>5.4919219999999997</v>
      </c>
      <c r="E3012">
        <v>0.52996430000000005</v>
      </c>
      <c r="F3012" t="s">
        <v>42</v>
      </c>
      <c r="G3012">
        <v>-454.02870000000001</v>
      </c>
      <c r="H3012">
        <v>0.87868020000000002</v>
      </c>
      <c r="I3012">
        <v>215.70840000000001</v>
      </c>
      <c r="J3012">
        <v>-454.54669999999999</v>
      </c>
      <c r="K3012">
        <v>1.120107</v>
      </c>
      <c r="L3012">
        <v>215.76599999999999</v>
      </c>
      <c r="M3012">
        <v>0.99814550000000002</v>
      </c>
      <c r="N3012">
        <v>-1.1918430000000001E-2</v>
      </c>
      <c r="O3012">
        <v>-5.9698279999999999E-2</v>
      </c>
      <c r="P3012">
        <v>0.98711340000000003</v>
      </c>
      <c r="Q3012">
        <v>0.15966810000000001</v>
      </c>
      <c r="R3012">
        <v>-1.065115E-2</v>
      </c>
      <c r="S3012">
        <v>3.2006230000000002</v>
      </c>
      <c r="T3012">
        <v>-0.99468029999999996</v>
      </c>
      <c r="U3012">
        <v>-0.3043671</v>
      </c>
      <c r="V3012">
        <v>-4.8017949999999997E-2</v>
      </c>
      <c r="W3012">
        <v>0.1714879</v>
      </c>
      <c r="X3012">
        <v>0.98401530000000004</v>
      </c>
      <c r="Y3012">
        <v>3.5896829999999998E-2</v>
      </c>
      <c r="Z3012">
        <v>1.1713909999999999E-2</v>
      </c>
      <c r="AA3012">
        <v>0.99928680000000003</v>
      </c>
      <c r="AB3012">
        <v>26</v>
      </c>
      <c r="AC3012">
        <v>0.51799999999997204</v>
      </c>
      <c r="AD3012">
        <v>-0.241426799999999</v>
      </c>
      <c r="AE3012">
        <v>-5.7599999999979397E-2</v>
      </c>
      <c r="AF3012">
        <v>2.1877121545315799E-2</v>
      </c>
      <c r="AG3012">
        <v>-0.241426799999999</v>
      </c>
      <c r="AH3012">
        <v>0.42855802140810001</v>
      </c>
      <c r="AI3012">
        <v>119.36272537249801</v>
      </c>
      <c r="AJ3012">
        <v>87.077689466235199</v>
      </c>
      <c r="AK3012">
        <v>0.49236925769037798</v>
      </c>
      <c r="AL3012">
        <v>80.125659692792397</v>
      </c>
      <c r="AM3012">
        <v>92.793701695963506</v>
      </c>
      <c r="AN3012">
        <v>0.99999996700134997</v>
      </c>
    </row>
    <row r="3013" spans="1:40" x14ac:dyDescent="0.25">
      <c r="A3013" t="str">
        <f>"20190303162314817"</f>
        <v>20190303162314817</v>
      </c>
      <c r="B3013" t="str">
        <f>"1551601394808214"</f>
        <v>1551601394808214</v>
      </c>
      <c r="C3013" t="s">
        <v>40</v>
      </c>
      <c r="D3013">
        <v>5.4443020000000004</v>
      </c>
      <c r="E3013">
        <v>0.51736309999999996</v>
      </c>
      <c r="F3013" t="s">
        <v>42</v>
      </c>
      <c r="G3013">
        <v>-453.79160000000002</v>
      </c>
      <c r="H3013">
        <v>0.8837353</v>
      </c>
      <c r="I3013">
        <v>215.69560000000001</v>
      </c>
      <c r="J3013">
        <v>-454.26979999999998</v>
      </c>
      <c r="K3013">
        <v>1.1203959999999999</v>
      </c>
      <c r="L3013">
        <v>215.74860000000001</v>
      </c>
      <c r="M3013">
        <v>0.9981158</v>
      </c>
      <c r="N3013">
        <v>-1.1911730000000001E-2</v>
      </c>
      <c r="O3013">
        <v>-6.019095E-2</v>
      </c>
      <c r="P3013">
        <v>0.98758959999999996</v>
      </c>
      <c r="Q3013">
        <v>0.1568522</v>
      </c>
      <c r="R3013">
        <v>-8.0366759999999995E-3</v>
      </c>
      <c r="S3013">
        <v>3.1978759999999999</v>
      </c>
      <c r="T3013">
        <v>-1.00095499999999</v>
      </c>
      <c r="U3013">
        <v>-0.29676819999999998</v>
      </c>
      <c r="V3013">
        <v>-5.1271949999999997E-2</v>
      </c>
      <c r="W3013">
        <v>0.1686366</v>
      </c>
      <c r="X3013">
        <v>0.98434390000000005</v>
      </c>
      <c r="Y3013">
        <v>3.3294289999999997E-2</v>
      </c>
      <c r="Z3013">
        <v>1.235966E-2</v>
      </c>
      <c r="AA3013">
        <v>0.99936910000000001</v>
      </c>
      <c r="AB3013">
        <v>26</v>
      </c>
      <c r="AC3013">
        <v>0.47819999999995799</v>
      </c>
      <c r="AD3013">
        <v>-0.236660699999999</v>
      </c>
      <c r="AE3013">
        <v>-5.2999999999997202E-2</v>
      </c>
      <c r="AF3013">
        <v>1.9419847610954801E-2</v>
      </c>
      <c r="AG3013">
        <v>-0.236660699999999</v>
      </c>
      <c r="AH3013">
        <v>0.386909345601541</v>
      </c>
      <c r="AI3013">
        <v>121.420783618673</v>
      </c>
      <c r="AJ3013">
        <v>87.126607676661195</v>
      </c>
      <c r="AK3013">
        <v>0.45396504173728502</v>
      </c>
      <c r="AL3013">
        <v>80.291442582314303</v>
      </c>
      <c r="AM3013">
        <v>92.981695655683396</v>
      </c>
      <c r="AN3013">
        <v>1.00000001459178</v>
      </c>
    </row>
    <row r="3014" spans="1:40" x14ac:dyDescent="0.25">
      <c r="A3014" t="str">
        <f>"20190303162314838"</f>
        <v>20190303162314838</v>
      </c>
      <c r="B3014" t="str">
        <f>"1551601394827734"</f>
        <v>1551601394827734</v>
      </c>
      <c r="C3014" t="s">
        <v>40</v>
      </c>
      <c r="D3014">
        <v>5.4012339999999996</v>
      </c>
      <c r="E3014">
        <v>0.51256610000000002</v>
      </c>
      <c r="F3014" t="s">
        <v>42</v>
      </c>
      <c r="G3014">
        <v>-453.52460000000002</v>
      </c>
      <c r="H3014">
        <v>0.95048770000000005</v>
      </c>
      <c r="I3014">
        <v>215.7054</v>
      </c>
      <c r="J3014">
        <v>-454.02659999999997</v>
      </c>
      <c r="K3014">
        <v>1.120679</v>
      </c>
      <c r="L3014">
        <v>215.7337</v>
      </c>
      <c r="M3014">
        <v>0.99811380000000005</v>
      </c>
      <c r="N3014">
        <v>-1.1907910000000001E-2</v>
      </c>
      <c r="O3014">
        <v>-6.0225769999999998E-2</v>
      </c>
      <c r="P3014">
        <v>0.98794599999999999</v>
      </c>
      <c r="Q3014">
        <v>0.15464310000000001</v>
      </c>
      <c r="R3014">
        <v>-6.9679069999999997E-3</v>
      </c>
      <c r="S3014">
        <v>3.150299</v>
      </c>
      <c r="T3014">
        <v>-0.71830130000000003</v>
      </c>
      <c r="U3014">
        <v>-0.18197630000000001</v>
      </c>
      <c r="V3014">
        <v>-5.2512580000000003E-2</v>
      </c>
      <c r="W3014">
        <v>0.16639189999999901</v>
      </c>
      <c r="X3014">
        <v>0.98466039999999999</v>
      </c>
      <c r="Y3014">
        <v>-1.1536999999999999E-3</v>
      </c>
      <c r="Z3014">
        <v>1.2963300000000001E-2</v>
      </c>
      <c r="AA3014">
        <v>0.99991529999999995</v>
      </c>
      <c r="AB3014">
        <v>26</v>
      </c>
      <c r="AC3014">
        <v>0.50199999999995204</v>
      </c>
      <c r="AD3014">
        <v>-0.17019129999999899</v>
      </c>
      <c r="AE3014">
        <v>-2.8300000000001501E-2</v>
      </c>
      <c r="AF3014">
        <v>-1.7826140605539901E-3</v>
      </c>
      <c r="AG3014">
        <v>-0.17019129999999899</v>
      </c>
      <c r="AH3014">
        <v>0.45110756578243</v>
      </c>
      <c r="AI3014">
        <v>110.670055405095</v>
      </c>
      <c r="AJ3014">
        <v>90.226411034281298</v>
      </c>
      <c r="AK3014">
        <v>0.48214758343761199</v>
      </c>
      <c r="AL3014">
        <v>80.421897387397706</v>
      </c>
      <c r="AM3014">
        <v>93.052729255836894</v>
      </c>
      <c r="AN3014">
        <v>0.99999996938601199</v>
      </c>
    </row>
    <row r="3015" spans="1:40" x14ac:dyDescent="0.25">
      <c r="A3015" t="str">
        <f>"20190303162314860"</f>
        <v>20190303162314860</v>
      </c>
      <c r="B3015" t="str">
        <f>"1551601394848193"</f>
        <v>1551601394848193</v>
      </c>
      <c r="C3015" t="s">
        <v>40</v>
      </c>
      <c r="D3015">
        <v>5.4624860000000002</v>
      </c>
      <c r="E3015">
        <v>0.51013739999999996</v>
      </c>
      <c r="F3015" t="s">
        <v>42</v>
      </c>
      <c r="G3015">
        <v>-453.27969999999999</v>
      </c>
      <c r="H3015">
        <v>0.97033259999999999</v>
      </c>
      <c r="I3015">
        <v>215.70140000000001</v>
      </c>
      <c r="J3015">
        <v>-453.75920000000002</v>
      </c>
      <c r="K3015">
        <v>1.120981</v>
      </c>
      <c r="L3015">
        <v>215.71770000000001</v>
      </c>
      <c r="M3015">
        <v>0.99813609999999997</v>
      </c>
      <c r="N3015">
        <v>-1.190545E-2</v>
      </c>
      <c r="O3015">
        <v>-5.9856159999999999E-2</v>
      </c>
      <c r="P3015">
        <v>0.98823170000000005</v>
      </c>
      <c r="Q3015">
        <v>0.15278520000000001</v>
      </c>
      <c r="R3015">
        <v>-7.4225509999999899E-3</v>
      </c>
      <c r="S3015">
        <v>3.1343990000000002</v>
      </c>
      <c r="T3015">
        <v>-0.63084709999999999</v>
      </c>
      <c r="U3015">
        <v>-0.13519289999999901</v>
      </c>
      <c r="V3015">
        <v>-5.1836739999999999E-2</v>
      </c>
      <c r="W3015">
        <v>0.16449530000000001</v>
      </c>
      <c r="X3015">
        <v>0.98501490000000003</v>
      </c>
      <c r="Y3015">
        <v>-1.540475E-2</v>
      </c>
      <c r="Z3015">
        <v>1.283346E-2</v>
      </c>
      <c r="AA3015">
        <v>0.99979899999999999</v>
      </c>
      <c r="AB3015">
        <v>26</v>
      </c>
      <c r="AC3015">
        <v>0.47950000000003001</v>
      </c>
      <c r="AD3015">
        <v>-0.15064839999999999</v>
      </c>
      <c r="AE3015">
        <v>-1.6300000000001001E-2</v>
      </c>
      <c r="AF3015">
        <v>-1.1316547253116699E-2</v>
      </c>
      <c r="AG3015">
        <v>-0.15064839999999999</v>
      </c>
      <c r="AH3015">
        <v>0.43657246284074502</v>
      </c>
      <c r="AI3015">
        <v>109.032125564401</v>
      </c>
      <c r="AJ3015">
        <v>91.484851401748202</v>
      </c>
      <c r="AK3015">
        <v>0.46197242339248501</v>
      </c>
      <c r="AL3015">
        <v>80.5320838168264</v>
      </c>
      <c r="AM3015">
        <v>93.012430793140993</v>
      </c>
      <c r="AN3015">
        <v>1.00000005227896</v>
      </c>
    </row>
    <row r="3016" spans="1:40" x14ac:dyDescent="0.25">
      <c r="A3016" t="str">
        <f>"20190303162314886"</f>
        <v>20190303162314886</v>
      </c>
      <c r="B3016" t="str">
        <f>"1551601394877474"</f>
        <v>1551601394877474</v>
      </c>
      <c r="C3016" t="s">
        <v>40</v>
      </c>
      <c r="D3016">
        <v>5.4459030000000004</v>
      </c>
      <c r="E3016">
        <v>0.50882819999999995</v>
      </c>
      <c r="F3016" t="s">
        <v>42</v>
      </c>
      <c r="G3016">
        <v>-453.03769999999997</v>
      </c>
      <c r="H3016">
        <v>0.98572420000000005</v>
      </c>
      <c r="I3016">
        <v>215.6909</v>
      </c>
      <c r="J3016">
        <v>-453.47710000000001</v>
      </c>
      <c r="K3016">
        <v>1.1212740000000001</v>
      </c>
      <c r="L3016">
        <v>215.70150000000001</v>
      </c>
      <c r="M3016">
        <v>0.99818560000000001</v>
      </c>
      <c r="N3016">
        <v>-1.1903749999999999E-2</v>
      </c>
      <c r="O3016">
        <v>-5.9026339999999997E-2</v>
      </c>
      <c r="P3016">
        <v>0.98835740000000005</v>
      </c>
      <c r="Q3016">
        <v>0.1519076</v>
      </c>
      <c r="R3016">
        <v>-8.5944400000000001E-3</v>
      </c>
      <c r="S3016">
        <v>3.1255190000000002</v>
      </c>
      <c r="T3016">
        <v>-0.58623990000000004</v>
      </c>
      <c r="U3016">
        <v>-0.1140137</v>
      </c>
      <c r="V3016">
        <v>-4.996838E-2</v>
      </c>
      <c r="W3016">
        <v>0.16358510000000001</v>
      </c>
      <c r="X3016">
        <v>0.98526290000000005</v>
      </c>
      <c r="Y3016">
        <v>-2.1305810000000001E-2</v>
      </c>
      <c r="Z3016">
        <v>1.2375300000000001E-2</v>
      </c>
      <c r="AA3016">
        <v>0.99969640000000004</v>
      </c>
      <c r="AB3016">
        <v>26</v>
      </c>
      <c r="AC3016">
        <v>0.43940000000003399</v>
      </c>
      <c r="AD3016">
        <v>-0.135549799999999</v>
      </c>
      <c r="AE3016">
        <v>-1.06000000000108E-2</v>
      </c>
      <c r="AF3016">
        <v>-1.40227884258278E-2</v>
      </c>
      <c r="AG3016">
        <v>-0.135549799999999</v>
      </c>
      <c r="AH3016">
        <v>0.40111001919952999</v>
      </c>
      <c r="AI3016">
        <v>108.661388228698</v>
      </c>
      <c r="AJ3016">
        <v>92.002242455806098</v>
      </c>
      <c r="AK3016">
        <v>0.42362676305625802</v>
      </c>
      <c r="AL3016">
        <v>80.584949643109297</v>
      </c>
      <c r="AM3016">
        <v>92.903312863839304</v>
      </c>
      <c r="AN3016">
        <v>0.99999995302912104</v>
      </c>
    </row>
    <row r="3017" spans="1:40" x14ac:dyDescent="0.25">
      <c r="A3017" t="str">
        <f>"20190303162314929"</f>
        <v>20190303162314929</v>
      </c>
      <c r="B3017" t="str">
        <f>"1551601394917490"</f>
        <v>1551601394917490</v>
      </c>
      <c r="C3017" t="s">
        <v>40</v>
      </c>
      <c r="D3017">
        <v>5.5033849999999997</v>
      </c>
      <c r="E3017">
        <v>0.51056659999999998</v>
      </c>
      <c r="F3017" t="s">
        <v>42</v>
      </c>
      <c r="G3017">
        <v>-452.5829</v>
      </c>
      <c r="H3017">
        <v>0.9557137</v>
      </c>
      <c r="I3017">
        <v>215.6703</v>
      </c>
      <c r="J3017">
        <v>-452.97570000000002</v>
      </c>
      <c r="K3017">
        <v>1.1216349999999999</v>
      </c>
      <c r="L3017">
        <v>215.67429999999999</v>
      </c>
      <c r="M3017">
        <v>0.99831550000000002</v>
      </c>
      <c r="N3017">
        <v>-1.189929E-2</v>
      </c>
      <c r="O3017">
        <v>-5.6785019999999999E-2</v>
      </c>
      <c r="P3017">
        <v>0.98767340000000003</v>
      </c>
      <c r="Q3017">
        <v>0.15608939999999999</v>
      </c>
      <c r="R3017">
        <v>-1.171058E-2</v>
      </c>
      <c r="S3017">
        <v>3.123383</v>
      </c>
      <c r="T3017">
        <v>-0.57862969999999903</v>
      </c>
      <c r="U3017">
        <v>-0.1071472</v>
      </c>
      <c r="V3017">
        <v>-4.4745189999999997E-2</v>
      </c>
      <c r="W3017">
        <v>0.16772709999999999</v>
      </c>
      <c r="X3017">
        <v>0.98481750000000001</v>
      </c>
      <c r="Y3017">
        <v>-2.1297050000000001E-2</v>
      </c>
      <c r="Z3017">
        <v>1.183412E-2</v>
      </c>
      <c r="AA3017">
        <v>0.99970320000000001</v>
      </c>
      <c r="AB3017">
        <v>26</v>
      </c>
      <c r="AC3017">
        <v>0.39280000000002202</v>
      </c>
      <c r="AD3017">
        <v>-0.16592129999999999</v>
      </c>
      <c r="AE3017">
        <v>-3.9999999999906699E-3</v>
      </c>
      <c r="AF3017">
        <v>-1.5540609143030799E-2</v>
      </c>
      <c r="AG3017">
        <v>-0.16592129999999999</v>
      </c>
      <c r="AH3017">
        <v>0.332985677768592</v>
      </c>
      <c r="AI3017">
        <v>116.461450060404</v>
      </c>
      <c r="AJ3017">
        <v>92.672083933274294</v>
      </c>
      <c r="AK3017">
        <v>0.37235849651274999</v>
      </c>
      <c r="AL3017">
        <v>80.344306040652199</v>
      </c>
      <c r="AM3017">
        <v>92.601445038352495</v>
      </c>
      <c r="AN3017">
        <v>1.00000001020439</v>
      </c>
    </row>
    <row r="3018" spans="1:40" x14ac:dyDescent="0.25">
      <c r="A3018" t="str">
        <f>"20190303162314950"</f>
        <v>20190303162314950</v>
      </c>
      <c r="B3018" t="str">
        <f>"1551601394937471"</f>
        <v>1551601394937471</v>
      </c>
      <c r="C3018" t="s">
        <v>40</v>
      </c>
      <c r="D3018">
        <v>5.4535439999999999</v>
      </c>
      <c r="E3018">
        <v>0.53516039999999998</v>
      </c>
      <c r="F3018" t="s">
        <v>42</v>
      </c>
      <c r="G3018">
        <v>-452.1114</v>
      </c>
      <c r="H3018">
        <v>0.96432220000000002</v>
      </c>
      <c r="I3018">
        <v>215.6361</v>
      </c>
      <c r="J3018">
        <v>-452.7217</v>
      </c>
      <c r="K3018">
        <v>1.121734</v>
      </c>
      <c r="L3018">
        <v>215.6611</v>
      </c>
      <c r="M3018">
        <v>0.99839089999999997</v>
      </c>
      <c r="N3018">
        <v>-1.189611E-2</v>
      </c>
      <c r="O3018">
        <v>-5.544876E-2</v>
      </c>
      <c r="P3018">
        <v>0.98713510000000004</v>
      </c>
      <c r="Q3018">
        <v>0.15950610000000001</v>
      </c>
      <c r="R3018">
        <v>-1.1064050000000001E-2</v>
      </c>
      <c r="S3018">
        <v>3.1257320000000002</v>
      </c>
      <c r="T3018">
        <v>-0.56911979999999995</v>
      </c>
      <c r="U3018">
        <v>-0.1368713</v>
      </c>
      <c r="V3018">
        <v>-4.4084140000000001E-2</v>
      </c>
      <c r="W3018">
        <v>0.17112669999999999</v>
      </c>
      <c r="X3018">
        <v>0.98426230000000003</v>
      </c>
      <c r="Y3018">
        <v>-1.0738839999999999E-2</v>
      </c>
      <c r="Z3018">
        <v>1.038089E-2</v>
      </c>
      <c r="AA3018">
        <v>0.99988849999999996</v>
      </c>
      <c r="AB3018">
        <v>26</v>
      </c>
      <c r="AC3018">
        <v>0.61029999999999496</v>
      </c>
      <c r="AD3018">
        <v>-0.15741179999999999</v>
      </c>
      <c r="AE3018">
        <v>-2.5000000000005601E-2</v>
      </c>
      <c r="AF3018">
        <v>-8.3281277351496402E-3</v>
      </c>
      <c r="AG3018">
        <v>-0.15741179999999999</v>
      </c>
      <c r="AH3018">
        <v>0.57271121127318003</v>
      </c>
      <c r="AI3018">
        <v>105.36691052447701</v>
      </c>
      <c r="AJ3018">
        <v>90.833112626117099</v>
      </c>
      <c r="AK3018">
        <v>0.59400838715358695</v>
      </c>
      <c r="AL3018">
        <v>80.146665941473998</v>
      </c>
      <c r="AM3018">
        <v>92.564507658761897</v>
      </c>
      <c r="AN3018">
        <v>1.0000000170268499</v>
      </c>
    </row>
    <row r="3019" spans="1:40" x14ac:dyDescent="0.25">
      <c r="A3019" t="str">
        <f>"20190303162314972"</f>
        <v>20190303162314972</v>
      </c>
      <c r="B3019" t="str">
        <f>"1551601394967727"</f>
        <v>1551601394967727</v>
      </c>
      <c r="C3019" t="s">
        <v>40</v>
      </c>
      <c r="D3019">
        <v>5.3966690000000002</v>
      </c>
      <c r="E3019">
        <v>0.53358169999999905</v>
      </c>
      <c r="F3019" t="s">
        <v>42</v>
      </c>
      <c r="G3019">
        <v>-451.93419999999998</v>
      </c>
      <c r="H3019">
        <v>0.84504959999999996</v>
      </c>
      <c r="I3019">
        <v>215.5763</v>
      </c>
      <c r="J3019">
        <v>-452.4615</v>
      </c>
      <c r="K3019">
        <v>1.1217809999999999</v>
      </c>
      <c r="L3019">
        <v>215.6481</v>
      </c>
      <c r="M3019">
        <v>0.99846829999999998</v>
      </c>
      <c r="N3019">
        <v>-1.1892969999999999E-2</v>
      </c>
      <c r="O3019">
        <v>-5.4033579999999998E-2</v>
      </c>
      <c r="P3019">
        <v>0.98691079999999998</v>
      </c>
      <c r="Q3019">
        <v>0.1610085</v>
      </c>
      <c r="R3019">
        <v>-9.1344489999999993E-3</v>
      </c>
      <c r="S3019">
        <v>3.2178960000000001</v>
      </c>
      <c r="T3019">
        <v>-1.1306020000000001</v>
      </c>
      <c r="U3019">
        <v>-0.34683229999999998</v>
      </c>
      <c r="V3019">
        <v>-4.4624759999999999E-2</v>
      </c>
      <c r="W3019">
        <v>0.1726162</v>
      </c>
      <c r="X3019">
        <v>0.98397780000000001</v>
      </c>
      <c r="Y3019">
        <v>5.30102E-2</v>
      </c>
      <c r="Z3019">
        <v>8.3968480000000002E-3</v>
      </c>
      <c r="AA3019">
        <v>0.99855859999999996</v>
      </c>
      <c r="AB3019">
        <v>26</v>
      </c>
      <c r="AC3019">
        <v>0.52730000000002497</v>
      </c>
      <c r="AD3019">
        <v>-0.27673140000000002</v>
      </c>
      <c r="AE3019">
        <v>-7.1799999999996006E-2</v>
      </c>
      <c r="AF3019">
        <v>3.4005691634093602E-2</v>
      </c>
      <c r="AG3019">
        <v>-0.27673140000000002</v>
      </c>
      <c r="AH3019">
        <v>0.41751043798043203</v>
      </c>
      <c r="AI3019">
        <v>123.449767810594</v>
      </c>
      <c r="AJ3019">
        <v>85.343610490474006</v>
      </c>
      <c r="AK3019">
        <v>0.50204742866793495</v>
      </c>
      <c r="AL3019">
        <v>80.060034737825106</v>
      </c>
      <c r="AM3019">
        <v>92.596663933341802</v>
      </c>
      <c r="AN3019">
        <v>1.0000000163001601</v>
      </c>
    </row>
    <row r="3020" spans="1:40" x14ac:dyDescent="0.25">
      <c r="A3020" t="str">
        <f>"20190303162314995"</f>
        <v>20190303162314995</v>
      </c>
      <c r="B3020" t="str">
        <f>"1551601394988223"</f>
        <v>1551601394988223</v>
      </c>
      <c r="C3020" t="s">
        <v>40</v>
      </c>
      <c r="D3020">
        <v>5.412083</v>
      </c>
      <c r="E3020">
        <v>0.5334236</v>
      </c>
      <c r="F3020" t="s">
        <v>42</v>
      </c>
      <c r="G3020">
        <v>-451.70139999999998</v>
      </c>
      <c r="H3020">
        <v>0.840184499999999</v>
      </c>
      <c r="I3020">
        <v>215.56950000000001</v>
      </c>
      <c r="J3020">
        <v>-452.19189999999998</v>
      </c>
      <c r="K3020">
        <v>1.1217839999999999</v>
      </c>
      <c r="L3020">
        <v>215.63509999999999</v>
      </c>
      <c r="M3020">
        <v>0.99854639999999995</v>
      </c>
      <c r="N3020">
        <v>-1.189013E-2</v>
      </c>
      <c r="O3020">
        <v>-5.2572069999999999E-2</v>
      </c>
      <c r="P3020">
        <v>0.98729880000000003</v>
      </c>
      <c r="Q3020">
        <v>0.1587182</v>
      </c>
      <c r="R3020">
        <v>-7.0593319999999998E-3</v>
      </c>
      <c r="S3020">
        <v>3.2320859999999998</v>
      </c>
      <c r="T3020">
        <v>-1.197444</v>
      </c>
      <c r="U3020">
        <v>-0.33268740000000002</v>
      </c>
      <c r="V3020">
        <v>-4.5274620000000002E-2</v>
      </c>
      <c r="W3020">
        <v>0.17032420000000001</v>
      </c>
      <c r="X3020">
        <v>0.98434750000000004</v>
      </c>
      <c r="Y3020">
        <v>4.979894E-2</v>
      </c>
      <c r="Z3020">
        <v>8.9686230000000002E-3</v>
      </c>
      <c r="AA3020">
        <v>0.99871900000000002</v>
      </c>
      <c r="AB3020">
        <v>26</v>
      </c>
      <c r="AC3020">
        <v>0.49049999999999699</v>
      </c>
      <c r="AD3020">
        <v>-0.2815995</v>
      </c>
      <c r="AE3020">
        <v>-6.5599999999989195E-2</v>
      </c>
      <c r="AF3020">
        <v>3.00050139910738E-2</v>
      </c>
      <c r="AG3020">
        <v>-0.2815995</v>
      </c>
      <c r="AH3020">
        <v>0.37261516135565298</v>
      </c>
      <c r="AI3020">
        <v>126.99070693091601</v>
      </c>
      <c r="AJ3020">
        <v>85.396163782530706</v>
      </c>
      <c r="AK3020">
        <v>0.46801777502243902</v>
      </c>
      <c r="AL3020">
        <v>80.1933313610906</v>
      </c>
      <c r="AM3020">
        <v>92.633437613031305</v>
      </c>
      <c r="AN3020">
        <v>1.00000006253901</v>
      </c>
    </row>
    <row r="3021" spans="1:40" x14ac:dyDescent="0.25">
      <c r="A3021" t="str">
        <f>"20190303162315016"</f>
        <v>20190303162315016</v>
      </c>
      <c r="B3021" t="str">
        <f>"1551601395007743"</f>
        <v>1551601395007743</v>
      </c>
      <c r="C3021" t="s">
        <v>40</v>
      </c>
      <c r="D3021">
        <v>5.3882949999999896</v>
      </c>
      <c r="E3021">
        <v>0.53339190000000003</v>
      </c>
      <c r="F3021" t="s">
        <v>42</v>
      </c>
      <c r="G3021">
        <v>-451.46370000000002</v>
      </c>
      <c r="H3021">
        <v>0.8477074</v>
      </c>
      <c r="I3021">
        <v>215.56139999999999</v>
      </c>
      <c r="J3021">
        <v>-451.9384</v>
      </c>
      <c r="K3021">
        <v>1.1217539999999999</v>
      </c>
      <c r="L3021">
        <v>215.6232</v>
      </c>
      <c r="M3021">
        <v>0.99861560000000005</v>
      </c>
      <c r="N3021">
        <v>-1.1887699999999999E-2</v>
      </c>
      <c r="O3021">
        <v>-5.1242959999999997E-2</v>
      </c>
      <c r="P3021">
        <v>0.98793180000000003</v>
      </c>
      <c r="Q3021">
        <v>0.15481429999999999</v>
      </c>
      <c r="R3021">
        <v>-4.8544640000000002E-3</v>
      </c>
      <c r="S3021">
        <v>3.2318120000000001</v>
      </c>
      <c r="T3021">
        <v>-1.21634</v>
      </c>
      <c r="U3021">
        <v>-0.32568360000000002</v>
      </c>
      <c r="V3021">
        <v>-4.6181180000000002E-2</v>
      </c>
      <c r="W3021">
        <v>0.1664243</v>
      </c>
      <c r="X3021">
        <v>0.98497219999999996</v>
      </c>
      <c r="Y3021">
        <v>4.8968999999999999E-2</v>
      </c>
      <c r="Z3021">
        <v>8.8068139999999996E-3</v>
      </c>
      <c r="AA3021">
        <v>0.99876149999999997</v>
      </c>
      <c r="AB3021">
        <v>26</v>
      </c>
      <c r="AC3021">
        <v>0.47469999999998402</v>
      </c>
      <c r="AD3021">
        <v>-0.27404659999999997</v>
      </c>
      <c r="AE3021">
        <v>-6.1800000000005101E-2</v>
      </c>
      <c r="AF3021">
        <v>2.8162466947393199E-2</v>
      </c>
      <c r="AG3021">
        <v>-0.27404659999999997</v>
      </c>
      <c r="AH3021">
        <v>0.35944403435404099</v>
      </c>
      <c r="AI3021">
        <v>127.23805068954501</v>
      </c>
      <c r="AJ3021">
        <v>85.520023564024498</v>
      </c>
      <c r="AK3021">
        <v>0.45287379847903803</v>
      </c>
      <c r="AL3021">
        <v>80.420014972137594</v>
      </c>
      <c r="AM3021">
        <v>92.684390880312407</v>
      </c>
      <c r="AN3021">
        <v>0.99999999189476096</v>
      </c>
    </row>
    <row r="3022" spans="1:40" x14ac:dyDescent="0.25">
      <c r="A3022" t="str">
        <f>"20190303162315039"</f>
        <v>20190303162315039</v>
      </c>
      <c r="B3022" t="str">
        <f>"1551601395027263"</f>
        <v>1551601395027263</v>
      </c>
      <c r="C3022" t="s">
        <v>40</v>
      </c>
      <c r="D3022">
        <v>5.3963799999999997</v>
      </c>
      <c r="E3022">
        <v>0.53330979999999995</v>
      </c>
      <c r="F3022" t="s">
        <v>42</v>
      </c>
      <c r="G3022">
        <v>-451.22800000000001</v>
      </c>
      <c r="H3022">
        <v>0.85000259999999905</v>
      </c>
      <c r="I3022">
        <v>215.55369999999999</v>
      </c>
      <c r="J3022">
        <v>-451.65960000000001</v>
      </c>
      <c r="K3022">
        <v>1.121704</v>
      </c>
      <c r="L3022">
        <v>215.6104</v>
      </c>
      <c r="M3022">
        <v>0.99868559999999995</v>
      </c>
      <c r="N3022">
        <v>-1.1885110000000001E-2</v>
      </c>
      <c r="O3022">
        <v>-4.9859779999999999E-2</v>
      </c>
      <c r="P3022">
        <v>0.98813119999999999</v>
      </c>
      <c r="Q3022">
        <v>0.15360389999999999</v>
      </c>
      <c r="R3022">
        <v>-1.743582E-3</v>
      </c>
      <c r="S3022">
        <v>3.2286679999999999</v>
      </c>
      <c r="T3022">
        <v>-1.235311</v>
      </c>
      <c r="U3022">
        <v>-0.31338500000000002</v>
      </c>
      <c r="V3022">
        <v>-4.7911879999999997E-2</v>
      </c>
      <c r="W3022">
        <v>0.165213</v>
      </c>
      <c r="X3022">
        <v>0.98509349999999996</v>
      </c>
      <c r="Y3022">
        <v>4.6750840000000002E-2</v>
      </c>
      <c r="Z3022">
        <v>8.8893059999999996E-3</v>
      </c>
      <c r="AA3022">
        <v>0.99886699999999995</v>
      </c>
      <c r="AB3022">
        <v>26</v>
      </c>
      <c r="AC3022">
        <v>0.43160000000000298</v>
      </c>
      <c r="AD3022">
        <v>-0.27170139999999998</v>
      </c>
      <c r="AE3022">
        <v>-5.6700000000006398E-2</v>
      </c>
      <c r="AF3022">
        <v>2.52656414277217E-2</v>
      </c>
      <c r="AG3022">
        <v>-0.27170139999999998</v>
      </c>
      <c r="AH3022">
        <v>0.31224711836600799</v>
      </c>
      <c r="AI3022">
        <v>130.93555574688901</v>
      </c>
      <c r="AJ3022">
        <v>85.373960061407999</v>
      </c>
      <c r="AK3022">
        <v>0.41467850960302999</v>
      </c>
      <c r="AL3022">
        <v>80.490392128134204</v>
      </c>
      <c r="AM3022">
        <v>92.7844940478533</v>
      </c>
      <c r="AN3022">
        <v>1.00000004367819</v>
      </c>
    </row>
    <row r="3023" spans="1:40" x14ac:dyDescent="0.25">
      <c r="A3023" t="str">
        <f>"20190303162315060"</f>
        <v>20190303162315060</v>
      </c>
      <c r="B3023" t="str">
        <f>"1551601395057518"</f>
        <v>1551601395057518</v>
      </c>
      <c r="C3023" t="s">
        <v>40</v>
      </c>
      <c r="D3023">
        <v>5.4202250000000003</v>
      </c>
      <c r="E3023">
        <v>0.53329709999999997</v>
      </c>
      <c r="F3023" t="s">
        <v>42</v>
      </c>
      <c r="G3023">
        <v>-450.98779999999999</v>
      </c>
      <c r="H3023">
        <v>0.86264859999999899</v>
      </c>
      <c r="I3023">
        <v>215.54859999999999</v>
      </c>
      <c r="J3023">
        <v>-451.42099999999999</v>
      </c>
      <c r="K3023">
        <v>1.121656</v>
      </c>
      <c r="L3023">
        <v>215.59979999999999</v>
      </c>
      <c r="M3023">
        <v>0.99873990000000001</v>
      </c>
      <c r="N3023">
        <v>-1.1882800000000001E-2</v>
      </c>
      <c r="O3023">
        <v>-4.8759150000000001E-2</v>
      </c>
      <c r="P3023">
        <v>0.98804990000000004</v>
      </c>
      <c r="Q3023">
        <v>0.1541294</v>
      </c>
      <c r="R3023">
        <v>1.3266759999999999E-3</v>
      </c>
      <c r="S3023">
        <v>3.229034</v>
      </c>
      <c r="T3023">
        <v>-1.2451209999999999</v>
      </c>
      <c r="U3023">
        <v>-0.29733280000000001</v>
      </c>
      <c r="V3023">
        <v>-4.986753E-2</v>
      </c>
      <c r="W3023">
        <v>0.16573640000000001</v>
      </c>
      <c r="X3023">
        <v>0.98490849999999996</v>
      </c>
      <c r="Y3023">
        <v>4.3113430000000001E-2</v>
      </c>
      <c r="Z3023">
        <v>9.2661470000000006E-3</v>
      </c>
      <c r="AA3023">
        <v>0.9990272</v>
      </c>
      <c r="AB3023">
        <v>26</v>
      </c>
      <c r="AC3023">
        <v>0.43319999999999897</v>
      </c>
      <c r="AD3023">
        <v>-0.2590074</v>
      </c>
      <c r="AE3023">
        <v>-5.1199999999994299E-2</v>
      </c>
      <c r="AF3023">
        <v>2.21914901978809E-2</v>
      </c>
      <c r="AG3023">
        <v>-0.2590074</v>
      </c>
      <c r="AH3023">
        <v>0.32174837494818997</v>
      </c>
      <c r="AI3023">
        <v>128.76766724292301</v>
      </c>
      <c r="AJ3023">
        <v>86.054468680315395</v>
      </c>
      <c r="AK3023">
        <v>0.413641526292712</v>
      </c>
      <c r="AL3023">
        <v>80.459984273038501</v>
      </c>
      <c r="AM3023">
        <v>92.898503988982199</v>
      </c>
      <c r="AN3023">
        <v>1.0000000391027499</v>
      </c>
    </row>
    <row r="3024" spans="1:40" x14ac:dyDescent="0.25">
      <c r="A3024" t="str">
        <f>"20190303162315085"</f>
        <v>20190303162315085</v>
      </c>
      <c r="B3024" t="str">
        <f>"1551601395078016"</f>
        <v>1551601395078016</v>
      </c>
      <c r="C3024" t="s">
        <v>40</v>
      </c>
      <c r="D3024">
        <v>5.419143</v>
      </c>
      <c r="E3024">
        <v>0.53331329999999999</v>
      </c>
      <c r="F3024" t="s">
        <v>42</v>
      </c>
      <c r="G3024">
        <v>-450.75259999999997</v>
      </c>
      <c r="H3024">
        <v>0.86368539999999905</v>
      </c>
      <c r="I3024">
        <v>215.54060000000001</v>
      </c>
      <c r="J3024">
        <v>-451.13220000000001</v>
      </c>
      <c r="K3024">
        <v>1.1215850000000001</v>
      </c>
      <c r="L3024">
        <v>215.58709999999999</v>
      </c>
      <c r="M3024">
        <v>0.99879899999999999</v>
      </c>
      <c r="N3024">
        <v>-1.1880160000000001E-2</v>
      </c>
      <c r="O3024">
        <v>-4.7533400000000003E-2</v>
      </c>
      <c r="P3024">
        <v>0.98798439999999998</v>
      </c>
      <c r="Q3024">
        <v>0.15453120000000001</v>
      </c>
      <c r="R3024">
        <v>2.67995E-3</v>
      </c>
      <c r="S3024">
        <v>3.231201</v>
      </c>
      <c r="T3024">
        <v>-1.247015</v>
      </c>
      <c r="U3024">
        <v>-0.28486630000000002</v>
      </c>
      <c r="V3024">
        <v>-4.9975819999999997E-2</v>
      </c>
      <c r="W3024">
        <v>0.1661436</v>
      </c>
      <c r="X3024">
        <v>0.9848344</v>
      </c>
      <c r="Y3024">
        <v>4.0561340000000001E-2</v>
      </c>
      <c r="Z3024">
        <v>9.3257059999999996E-3</v>
      </c>
      <c r="AA3024">
        <v>0.99913350000000001</v>
      </c>
      <c r="AB3024">
        <v>26</v>
      </c>
      <c r="AC3024">
        <v>0.37960000000003802</v>
      </c>
      <c r="AD3024">
        <v>-0.25789960000000001</v>
      </c>
      <c r="AE3024">
        <v>-4.6499999999980397E-2</v>
      </c>
      <c r="AF3024">
        <v>1.9523849539945799E-2</v>
      </c>
      <c r="AG3024">
        <v>-0.25789960000000001</v>
      </c>
      <c r="AH3024">
        <v>0.26216132061307901</v>
      </c>
      <c r="AI3024">
        <v>134.45128017932001</v>
      </c>
      <c r="AJ3024">
        <v>85.740893495955007</v>
      </c>
      <c r="AK3024">
        <v>0.36826884528373</v>
      </c>
      <c r="AL3024">
        <v>80.436325401423602</v>
      </c>
      <c r="AM3024">
        <v>92.905005661682296</v>
      </c>
      <c r="AN3024">
        <v>1.0000000369144899</v>
      </c>
    </row>
    <row r="3025" spans="1:40" x14ac:dyDescent="0.25">
      <c r="A3025" t="str">
        <f>"20190303162315108"</f>
        <v>20190303162315108</v>
      </c>
      <c r="B3025" t="str">
        <f>"1551601395097535"</f>
        <v>1551601395097535</v>
      </c>
      <c r="C3025" t="s">
        <v>40</v>
      </c>
      <c r="D3025">
        <v>5.3993539999999998</v>
      </c>
      <c r="E3025">
        <v>0.53335469999999996</v>
      </c>
      <c r="F3025" t="s">
        <v>42</v>
      </c>
      <c r="G3025">
        <v>-450.30799999999999</v>
      </c>
      <c r="H3025">
        <v>0.80366340000000003</v>
      </c>
      <c r="I3025">
        <v>215.5153</v>
      </c>
      <c r="J3025">
        <v>-450.86810000000003</v>
      </c>
      <c r="K3025">
        <v>1.121513</v>
      </c>
      <c r="L3025">
        <v>215.57579999999999</v>
      </c>
      <c r="M3025">
        <v>0.99884740000000005</v>
      </c>
      <c r="N3025">
        <v>-1.187822E-2</v>
      </c>
      <c r="O3025">
        <v>-4.6509179999999997E-2</v>
      </c>
      <c r="P3025">
        <v>0.98810770000000003</v>
      </c>
      <c r="Q3025">
        <v>0.15374289999999999</v>
      </c>
      <c r="R3025">
        <v>2.5658349999999998E-3</v>
      </c>
      <c r="S3025">
        <v>3.2323</v>
      </c>
      <c r="T3025">
        <v>-1.2468239999999999</v>
      </c>
      <c r="U3025">
        <v>-0.27973940000000003</v>
      </c>
      <c r="V3025">
        <v>-4.8825630000000002E-2</v>
      </c>
      <c r="W3025">
        <v>0.1653654</v>
      </c>
      <c r="X3025">
        <v>0.98502299999999998</v>
      </c>
      <c r="Y3025">
        <v>3.9959090000000003E-2</v>
      </c>
      <c r="Z3025">
        <v>9.0693219999999995E-3</v>
      </c>
      <c r="AA3025">
        <v>0.99916020000000005</v>
      </c>
      <c r="AB3025">
        <v>26</v>
      </c>
      <c r="AC3025">
        <v>0.56009999999997695</v>
      </c>
      <c r="AD3025">
        <v>-0.31784959999999901</v>
      </c>
      <c r="AE3025">
        <v>-6.0499999999990402E-2</v>
      </c>
      <c r="AF3025">
        <v>2.60806908362675E-2</v>
      </c>
      <c r="AG3025">
        <v>-0.31784959999999901</v>
      </c>
      <c r="AH3025">
        <v>0.42653115067630798</v>
      </c>
      <c r="AI3025">
        <v>126.642147074478</v>
      </c>
      <c r="AJ3025">
        <v>86.500946428339702</v>
      </c>
      <c r="AK3025">
        <v>0.53257618530301598</v>
      </c>
      <c r="AL3025">
        <v>80.481537898511505</v>
      </c>
      <c r="AM3025">
        <v>92.837715220563098</v>
      </c>
      <c r="AN3025">
        <v>0.99999998409552804</v>
      </c>
    </row>
    <row r="3026" spans="1:40" x14ac:dyDescent="0.25">
      <c r="A3026" t="str">
        <f>"20190303162315130"</f>
        <v>20190303162315130</v>
      </c>
      <c r="B3026" t="str">
        <f>"1551601395127791"</f>
        <v>1551601395127791</v>
      </c>
      <c r="C3026" t="s">
        <v>40</v>
      </c>
      <c r="D3026">
        <v>5.4272119999999999</v>
      </c>
      <c r="E3026">
        <v>0.53343509999999905</v>
      </c>
      <c r="F3026" t="s">
        <v>42</v>
      </c>
      <c r="G3026">
        <v>-450.06950000000001</v>
      </c>
      <c r="H3026">
        <v>0.81270180000000003</v>
      </c>
      <c r="I3026">
        <v>215.5069</v>
      </c>
      <c r="J3026">
        <v>-450.60129999999998</v>
      </c>
      <c r="K3026">
        <v>1.1214550000000001</v>
      </c>
      <c r="L3026">
        <v>215.56450000000001</v>
      </c>
      <c r="M3026">
        <v>0.9988918</v>
      </c>
      <c r="N3026">
        <v>-1.187644E-2</v>
      </c>
      <c r="O3026">
        <v>-4.5543849999999997E-2</v>
      </c>
      <c r="P3026">
        <v>0.98826069999999999</v>
      </c>
      <c r="Q3026">
        <v>0.1527598</v>
      </c>
      <c r="R3026">
        <v>2.337862E-3</v>
      </c>
      <c r="S3026">
        <v>3.2312620000000001</v>
      </c>
      <c r="T3026">
        <v>-1.2496039999999999</v>
      </c>
      <c r="U3026">
        <v>-0.27722170000000002</v>
      </c>
      <c r="V3026">
        <v>-4.7625389999999997E-2</v>
      </c>
      <c r="W3026">
        <v>0.16439279999999901</v>
      </c>
      <c r="X3026">
        <v>0.98524460000000003</v>
      </c>
      <c r="Y3026">
        <v>4.0105479999999999E-2</v>
      </c>
      <c r="Z3026">
        <v>8.7171119999999904E-3</v>
      </c>
      <c r="AA3026">
        <v>0.99915739999999997</v>
      </c>
      <c r="AB3026">
        <v>26</v>
      </c>
      <c r="AC3026">
        <v>0.53179999999997496</v>
      </c>
      <c r="AD3026">
        <v>-0.30875319999999901</v>
      </c>
      <c r="AE3026">
        <v>-5.7600000000007798E-2</v>
      </c>
      <c r="AF3026">
        <v>2.4991853043637002E-2</v>
      </c>
      <c r="AG3026">
        <v>-0.30875319999999901</v>
      </c>
      <c r="AH3026">
        <v>0.40045387280294398</v>
      </c>
      <c r="AI3026">
        <v>127.57867928778499</v>
      </c>
      <c r="AJ3026">
        <v>86.428869644674094</v>
      </c>
      <c r="AK3026">
        <v>0.50627703431191795</v>
      </c>
      <c r="AL3026">
        <v>80.538037628898294</v>
      </c>
      <c r="AM3026">
        <v>92.767446253523204</v>
      </c>
      <c r="AN3026">
        <v>1.0000000461468199</v>
      </c>
    </row>
    <row r="3027" spans="1:40" x14ac:dyDescent="0.25">
      <c r="A3027" t="str">
        <f>"20190303162315149"</f>
        <v>20190303162315149</v>
      </c>
      <c r="B3027" t="str">
        <f>"1551601395147819"</f>
        <v>1551601395147819</v>
      </c>
      <c r="C3027" t="s">
        <v>40</v>
      </c>
      <c r="D3027">
        <v>5.4408570000000003</v>
      </c>
      <c r="E3027">
        <v>0.53362069999999995</v>
      </c>
      <c r="F3027" t="s">
        <v>42</v>
      </c>
      <c r="G3027">
        <v>-449.83049999999997</v>
      </c>
      <c r="H3027">
        <v>0.82293549999999904</v>
      </c>
      <c r="I3027">
        <v>215.49809999999999</v>
      </c>
      <c r="J3027">
        <v>-450.37139999999999</v>
      </c>
      <c r="K3027">
        <v>1.1214219999999999</v>
      </c>
      <c r="L3027">
        <v>215.55500000000001</v>
      </c>
      <c r="M3027">
        <v>0.99892740000000002</v>
      </c>
      <c r="N3027">
        <v>-1.187499E-2</v>
      </c>
      <c r="O3027">
        <v>-4.4757819999999997E-2</v>
      </c>
      <c r="P3027">
        <v>0.98820359999999996</v>
      </c>
      <c r="Q3027">
        <v>0.15312500000000001</v>
      </c>
      <c r="R3027">
        <v>2.5578269999999999E-3</v>
      </c>
      <c r="S3027">
        <v>3.2296140000000002</v>
      </c>
      <c r="T3027">
        <v>-1.250934</v>
      </c>
      <c r="U3027">
        <v>-0.27633669999999999</v>
      </c>
      <c r="V3027">
        <v>-4.7050700000000001E-2</v>
      </c>
      <c r="W3027">
        <v>0.16476150000000001</v>
      </c>
      <c r="X3027">
        <v>0.98521060000000005</v>
      </c>
      <c r="Y3027">
        <v>4.0576250000000001E-2</v>
      </c>
      <c r="Z3027">
        <v>8.35672199999999E-3</v>
      </c>
      <c r="AA3027">
        <v>0.99914150000000002</v>
      </c>
      <c r="AB3027">
        <v>26</v>
      </c>
      <c r="AC3027">
        <v>0.54090000000002103</v>
      </c>
      <c r="AD3027">
        <v>-0.29848649999999999</v>
      </c>
      <c r="AE3027">
        <v>-5.6900000000013003E-2</v>
      </c>
      <c r="AF3027">
        <v>2.5078460397002199E-2</v>
      </c>
      <c r="AG3027">
        <v>-0.29848649999999999</v>
      </c>
      <c r="AH3027">
        <v>0.41723815009340598</v>
      </c>
      <c r="AI3027">
        <v>125.53054223209899</v>
      </c>
      <c r="AJ3027">
        <v>86.560325751077599</v>
      </c>
      <c r="AK3027">
        <v>0.51362514906447199</v>
      </c>
      <c r="AL3027">
        <v>80.516620419709</v>
      </c>
      <c r="AM3027">
        <v>92.734196996550494</v>
      </c>
      <c r="AN3027">
        <v>1.0000000233025399</v>
      </c>
    </row>
    <row r="3028" spans="1:40" x14ac:dyDescent="0.25">
      <c r="A3028" t="str">
        <f>"20190303162315174"</f>
        <v>20190303162315174</v>
      </c>
      <c r="B3028" t="str">
        <f>"1551601395168315"</f>
        <v>1551601395168315</v>
      </c>
      <c r="C3028" t="s">
        <v>40</v>
      </c>
      <c r="D3028">
        <v>5.4368819999999998</v>
      </c>
      <c r="E3028">
        <v>0.53378639999999999</v>
      </c>
      <c r="F3028" t="s">
        <v>42</v>
      </c>
      <c r="G3028">
        <v>-449.59570000000002</v>
      </c>
      <c r="H3028">
        <v>0.82281170000000003</v>
      </c>
      <c r="I3028">
        <v>215.48840000000001</v>
      </c>
      <c r="J3028">
        <v>-450.0872</v>
      </c>
      <c r="K3028">
        <v>1.121394</v>
      </c>
      <c r="L3028">
        <v>215.54339999999999</v>
      </c>
      <c r="M3028">
        <v>0.99896850000000004</v>
      </c>
      <c r="N3028">
        <v>-1.1873430000000001E-2</v>
      </c>
      <c r="O3028">
        <v>-4.3828680000000002E-2</v>
      </c>
      <c r="P3028">
        <v>0.98789349999999998</v>
      </c>
      <c r="Q3028">
        <v>0.1550926</v>
      </c>
      <c r="R3028">
        <v>3.594893E-3</v>
      </c>
      <c r="S3028">
        <v>3.2291560000000001</v>
      </c>
      <c r="T3028">
        <v>-1.243079</v>
      </c>
      <c r="U3028">
        <v>-0.27723690000000001</v>
      </c>
      <c r="V3028">
        <v>-4.7144360000000003E-2</v>
      </c>
      <c r="W3028">
        <v>0.1667276</v>
      </c>
      <c r="X3028">
        <v>0.98487530000000001</v>
      </c>
      <c r="Y3028">
        <v>4.1651720000000003E-2</v>
      </c>
      <c r="Z3028">
        <v>7.7646800000000004E-3</v>
      </c>
      <c r="AA3028">
        <v>0.99910200000000005</v>
      </c>
      <c r="AB3028">
        <v>26</v>
      </c>
      <c r="AC3028">
        <v>0.49149999999997301</v>
      </c>
      <c r="AD3028">
        <v>-0.29858230000000002</v>
      </c>
      <c r="AE3028">
        <v>-5.49999999999784E-2</v>
      </c>
      <c r="AF3028">
        <v>2.4480950674032099E-2</v>
      </c>
      <c r="AG3028">
        <v>-0.29858230000000002</v>
      </c>
      <c r="AH3028">
        <v>0.36163044956934598</v>
      </c>
      <c r="AI3028">
        <v>129.48068818392599</v>
      </c>
      <c r="AJ3028">
        <v>86.127211213821298</v>
      </c>
      <c r="AK3028">
        <v>0.46960333141378102</v>
      </c>
      <c r="AL3028">
        <v>80.402391201400206</v>
      </c>
      <c r="AM3028">
        <v>92.740562739692606</v>
      </c>
      <c r="AN3028">
        <v>1.0000000199158201</v>
      </c>
    </row>
    <row r="3029" spans="1:40" x14ac:dyDescent="0.25">
      <c r="A3029" t="str">
        <f>"20190303162315196"</f>
        <v>20190303162315196</v>
      </c>
      <c r="B3029" t="str">
        <f>"1551601395187835"</f>
        <v>1551601395187835</v>
      </c>
      <c r="C3029" t="s">
        <v>40</v>
      </c>
      <c r="D3029">
        <v>5.4343760000000003</v>
      </c>
      <c r="E3029">
        <v>0.53382130000000005</v>
      </c>
      <c r="F3029" t="s">
        <v>42</v>
      </c>
      <c r="G3029">
        <v>-449.35300000000001</v>
      </c>
      <c r="H3029">
        <v>0.84170900000000004</v>
      </c>
      <c r="I3029">
        <v>215.48079999999999</v>
      </c>
      <c r="J3029">
        <v>-449.82889999999998</v>
      </c>
      <c r="K3029">
        <v>1.1213839999999999</v>
      </c>
      <c r="L3029">
        <v>215.53299999999999</v>
      </c>
      <c r="M3029">
        <v>0.99900440000000001</v>
      </c>
      <c r="N3029">
        <v>-1.1872290000000001E-2</v>
      </c>
      <c r="O3029">
        <v>-4.3004729999999998E-2</v>
      </c>
      <c r="P3029">
        <v>0.98756940000000004</v>
      </c>
      <c r="Q3029">
        <v>0.15713079999999999</v>
      </c>
      <c r="R3029">
        <v>4.0892519999999998E-3</v>
      </c>
      <c r="S3029">
        <v>3.230988</v>
      </c>
      <c r="T3029">
        <v>-1.2307520000000001</v>
      </c>
      <c r="U3029">
        <v>-0.27415469999999997</v>
      </c>
      <c r="V3029">
        <v>-4.6806220000000003E-2</v>
      </c>
      <c r="W3029">
        <v>0.168763</v>
      </c>
      <c r="X3029">
        <v>0.98454470000000005</v>
      </c>
      <c r="Y3029">
        <v>4.1442529999999998E-2</v>
      </c>
      <c r="Z3029">
        <v>7.42843699999999E-3</v>
      </c>
      <c r="AA3029">
        <v>0.99911329999999998</v>
      </c>
      <c r="AB3029">
        <v>26</v>
      </c>
      <c r="AC3029">
        <v>0.47589999999996702</v>
      </c>
      <c r="AD3029">
        <v>-0.27967499999999901</v>
      </c>
      <c r="AE3029">
        <v>-5.2199999999999101E-2</v>
      </c>
      <c r="AF3029">
        <v>2.36228417237722E-2</v>
      </c>
      <c r="AG3029">
        <v>-0.27967499999999901</v>
      </c>
      <c r="AH3029">
        <v>0.35616183871238299</v>
      </c>
      <c r="AI3029">
        <v>128.07960189247501</v>
      </c>
      <c r="AJ3029">
        <v>86.205349734335499</v>
      </c>
      <c r="AK3029">
        <v>0.45346157459159903</v>
      </c>
      <c r="AL3029">
        <v>80.284095134428696</v>
      </c>
      <c r="AM3029">
        <v>92.721848158341501</v>
      </c>
      <c r="AN3029">
        <v>1.0000000193488801</v>
      </c>
    </row>
    <row r="3030" spans="1:40" x14ac:dyDescent="0.25">
      <c r="A3030" t="str">
        <f>"20190303162315217"</f>
        <v>20190303162315217</v>
      </c>
      <c r="B3030" t="str">
        <f>"1551601395207355"</f>
        <v>1551601395207355</v>
      </c>
      <c r="C3030" t="s">
        <v>40</v>
      </c>
      <c r="D3030">
        <v>5.4298219999999997</v>
      </c>
      <c r="E3030">
        <v>0.53386309999999904</v>
      </c>
      <c r="F3030" t="s">
        <v>42</v>
      </c>
      <c r="G3030">
        <v>-449.11380000000003</v>
      </c>
      <c r="H3030">
        <v>0.85183009999999904</v>
      </c>
      <c r="I3030">
        <v>215.47280000000001</v>
      </c>
      <c r="J3030">
        <v>-449.58030000000002</v>
      </c>
      <c r="K3030">
        <v>1.121383</v>
      </c>
      <c r="L3030">
        <v>215.5232</v>
      </c>
      <c r="M3030">
        <v>0.99903799999999998</v>
      </c>
      <c r="N3030">
        <v>-1.1871349999999999E-2</v>
      </c>
      <c r="O3030">
        <v>-4.2216419999999998E-2</v>
      </c>
      <c r="P3030">
        <v>0.98711369999999998</v>
      </c>
      <c r="Q3030">
        <v>0.1599536</v>
      </c>
      <c r="R3030">
        <v>4.6585709999999898E-3</v>
      </c>
      <c r="S3030">
        <v>3.232758</v>
      </c>
      <c r="T3030">
        <v>-1.2185919999999999</v>
      </c>
      <c r="U3030">
        <v>-0.27201839999999999</v>
      </c>
      <c r="V3030">
        <v>-4.6577109999999998E-2</v>
      </c>
      <c r="W3030">
        <v>0.1715814</v>
      </c>
      <c r="X3030">
        <v>0.98406830000000001</v>
      </c>
      <c r="Y3030">
        <v>4.1477269999999997E-2</v>
      </c>
      <c r="Z3030">
        <v>7.0650069999999999E-3</v>
      </c>
      <c r="AA3030">
        <v>0.99911450000000002</v>
      </c>
      <c r="AB3030">
        <v>26</v>
      </c>
      <c r="AC3030">
        <v>0.46649999999999597</v>
      </c>
      <c r="AD3030">
        <v>-0.26955289999999998</v>
      </c>
      <c r="AE3030">
        <v>-5.0399999999996198E-2</v>
      </c>
      <c r="AF3030">
        <v>2.3052009885126502E-2</v>
      </c>
      <c r="AG3030">
        <v>-0.26955289999999998</v>
      </c>
      <c r="AH3030">
        <v>0.35203281320450502</v>
      </c>
      <c r="AI3030">
        <v>127.38226989273301</v>
      </c>
      <c r="AJ3030">
        <v>86.2534745498631</v>
      </c>
      <c r="AK3030">
        <v>0.44397889885762798</v>
      </c>
      <c r="AL3030">
        <v>80.1202223836966</v>
      </c>
      <c r="AM3030">
        <v>92.709854262435499</v>
      </c>
      <c r="AN3030">
        <v>1.0000000115334</v>
      </c>
    </row>
    <row r="3031" spans="1:40" x14ac:dyDescent="0.25">
      <c r="A3031" t="str">
        <f>"20190303162315240"</f>
        <v>20190303162315240</v>
      </c>
      <c r="B3031" t="str">
        <f>"1551601395238035"</f>
        <v>1551601395238035</v>
      </c>
      <c r="C3031" t="s">
        <v>40</v>
      </c>
      <c r="D3031">
        <v>5.5807859999999998</v>
      </c>
      <c r="E3031">
        <v>0.53390130000000002</v>
      </c>
      <c r="F3031" t="s">
        <v>42</v>
      </c>
      <c r="G3031">
        <v>-448.8759</v>
      </c>
      <c r="H3031">
        <v>0.85910549999999997</v>
      </c>
      <c r="I3031">
        <v>215.4641</v>
      </c>
      <c r="J3031">
        <v>-449.30380000000002</v>
      </c>
      <c r="K3031">
        <v>1.1213879999999901</v>
      </c>
      <c r="L3031">
        <v>215.51259999999999</v>
      </c>
      <c r="M3031">
        <v>0.99907480000000004</v>
      </c>
      <c r="N3031">
        <v>-1.187042E-2</v>
      </c>
      <c r="O3031">
        <v>-4.1336039999999998E-2</v>
      </c>
      <c r="P3031">
        <v>0.98681160000000001</v>
      </c>
      <c r="Q3031">
        <v>0.16174720000000001</v>
      </c>
      <c r="R3031">
        <v>6.3749490000000004E-3</v>
      </c>
      <c r="S3031">
        <v>3.2356569999999998</v>
      </c>
      <c r="T3031">
        <v>-1.2048190000000001</v>
      </c>
      <c r="U3031">
        <v>-0.26986690000000002</v>
      </c>
      <c r="V3031">
        <v>-4.741041E-2</v>
      </c>
      <c r="W3031">
        <v>0.1733691</v>
      </c>
      <c r="X3031">
        <v>0.98371509999999995</v>
      </c>
      <c r="Y3031">
        <v>4.1564499999999997E-2</v>
      </c>
      <c r="Z3031">
        <v>6.6537009999999997E-3</v>
      </c>
      <c r="AA3031">
        <v>0.99911369999999999</v>
      </c>
      <c r="AB3031">
        <v>26</v>
      </c>
      <c r="AC3031">
        <v>0.42790000000002198</v>
      </c>
      <c r="AD3031">
        <v>-0.26228249999999897</v>
      </c>
      <c r="AE3031">
        <v>-4.8499999999990002E-2</v>
      </c>
      <c r="AF3031">
        <v>2.2444073118307799E-2</v>
      </c>
      <c r="AG3031">
        <v>-0.26228249999999897</v>
      </c>
      <c r="AH3031">
        <v>0.313315973962352</v>
      </c>
      <c r="AI3031">
        <v>129.86115937145101</v>
      </c>
      <c r="AJ3031">
        <v>85.902673559565997</v>
      </c>
      <c r="AK3031">
        <v>0.40922212276997799</v>
      </c>
      <c r="AL3031">
        <v>80.016236186607799</v>
      </c>
      <c r="AM3031">
        <v>92.759250222469603</v>
      </c>
      <c r="AN3031">
        <v>0.99999999488959401</v>
      </c>
    </row>
    <row r="3032" spans="1:40" x14ac:dyDescent="0.25">
      <c r="A3032" t="str">
        <f>"20190303162315264"</f>
        <v>20190303162315264</v>
      </c>
      <c r="B3032" t="str">
        <f>"1551601395257555"</f>
        <v>1551601395257555</v>
      </c>
      <c r="C3032" t="s">
        <v>40</v>
      </c>
      <c r="D3032">
        <v>5.527037</v>
      </c>
      <c r="E3032">
        <v>0.53359760000000001</v>
      </c>
      <c r="F3032" t="s">
        <v>42</v>
      </c>
      <c r="G3032">
        <v>-448.63420000000002</v>
      </c>
      <c r="H3032">
        <v>0.87418569999999995</v>
      </c>
      <c r="I3032">
        <v>215.458</v>
      </c>
      <c r="J3032">
        <v>-449.04250000000002</v>
      </c>
      <c r="K3032">
        <v>1.1213959999999901</v>
      </c>
      <c r="L3032">
        <v>215.50280000000001</v>
      </c>
      <c r="M3032">
        <v>0.99910920000000003</v>
      </c>
      <c r="N3032">
        <v>-1.186954E-2</v>
      </c>
      <c r="O3032">
        <v>-4.0496129999999998E-2</v>
      </c>
      <c r="P3032">
        <v>0.98659070000000004</v>
      </c>
      <c r="Q3032">
        <v>0.16295809999999999</v>
      </c>
      <c r="R3032">
        <v>9.1343280000000006E-3</v>
      </c>
      <c r="S3032">
        <v>3.2377319999999998</v>
      </c>
      <c r="T3032">
        <v>-1.1953469999999999</v>
      </c>
      <c r="U3032">
        <v>-0.26365660000000002</v>
      </c>
      <c r="V3032">
        <v>-4.9330829999999999E-2</v>
      </c>
      <c r="W3032">
        <v>0.17457300000000001</v>
      </c>
      <c r="X3032">
        <v>0.9834077</v>
      </c>
      <c r="Y3032">
        <v>4.0472849999999998E-2</v>
      </c>
      <c r="Z3032">
        <v>6.5072899999999998E-3</v>
      </c>
      <c r="AA3032">
        <v>0.99915949999999998</v>
      </c>
      <c r="AB3032">
        <v>26</v>
      </c>
      <c r="AC3032">
        <v>0.408299999999997</v>
      </c>
      <c r="AD3032">
        <v>-0.24721029999999899</v>
      </c>
      <c r="AE3032">
        <v>-4.4800000000009201E-2</v>
      </c>
      <c r="AF3032">
        <v>2.0721638894950399E-2</v>
      </c>
      <c r="AG3032">
        <v>-0.24721029999999899</v>
      </c>
      <c r="AH3032">
        <v>0.30081647675259299</v>
      </c>
      <c r="AI3032">
        <v>129.346781018109</v>
      </c>
      <c r="AJ3032">
        <v>86.059424991538094</v>
      </c>
      <c r="AK3032">
        <v>0.38991392823343202</v>
      </c>
      <c r="AL3032">
        <v>79.9461895234774</v>
      </c>
      <c r="AM3032">
        <v>92.871729763538298</v>
      </c>
      <c r="AN3032">
        <v>0.99999998376838894</v>
      </c>
    </row>
    <row r="3033" spans="1:40" x14ac:dyDescent="0.25">
      <c r="A3033" t="str">
        <f>"20190303162315287"</f>
        <v>20190303162315287</v>
      </c>
      <c r="B3033" t="str">
        <f>"1551601395279027"</f>
        <v>1551601395279027</v>
      </c>
      <c r="C3033" t="s">
        <v>40</v>
      </c>
      <c r="D3033">
        <v>5.4031370000000001</v>
      </c>
      <c r="E3033">
        <v>0.49679479999999998</v>
      </c>
      <c r="F3033" t="s">
        <v>42</v>
      </c>
      <c r="G3033">
        <v>-448.19029999999998</v>
      </c>
      <c r="H3033">
        <v>0.81165430000000005</v>
      </c>
      <c r="I3033">
        <v>215.43639999999999</v>
      </c>
      <c r="J3033">
        <v>-448.75639999999999</v>
      </c>
      <c r="K3033">
        <v>1.1214090000000001</v>
      </c>
      <c r="L3033">
        <v>215.4923</v>
      </c>
      <c r="M3033">
        <v>0.99914650000000005</v>
      </c>
      <c r="N3033">
        <v>-1.18689E-2</v>
      </c>
      <c r="O3033">
        <v>-3.9568699999999998E-2</v>
      </c>
      <c r="P3033">
        <v>0.98632379999999997</v>
      </c>
      <c r="Q3033">
        <v>0.16437070000000001</v>
      </c>
      <c r="R3033">
        <v>1.215456E-2</v>
      </c>
      <c r="S3033">
        <v>3.2374879999999999</v>
      </c>
      <c r="T3033">
        <v>-1.1767080000000001</v>
      </c>
      <c r="U3033">
        <v>-0.25225829999999999</v>
      </c>
      <c r="V3033">
        <v>-5.1425930000000002E-2</v>
      </c>
      <c r="W3033">
        <v>0.17597760000000001</v>
      </c>
      <c r="X3033">
        <v>0.98304999999999998</v>
      </c>
      <c r="Y3033">
        <v>3.8020819999999997E-2</v>
      </c>
      <c r="Z3033">
        <v>6.5341150000000001E-3</v>
      </c>
      <c r="AA3033">
        <v>0.99925560000000002</v>
      </c>
      <c r="AB3033">
        <v>26</v>
      </c>
      <c r="AC3033">
        <v>0.56610000000000504</v>
      </c>
      <c r="AD3033">
        <v>-0.30975469999999999</v>
      </c>
      <c r="AE3033">
        <v>-5.59000000000082E-2</v>
      </c>
      <c r="AF3033">
        <v>2.58037893465306E-2</v>
      </c>
      <c r="AG3033">
        <v>-0.30975469999999999</v>
      </c>
      <c r="AH3033">
        <v>0.43799881718211398</v>
      </c>
      <c r="AI3033">
        <v>125.221340255211</v>
      </c>
      <c r="AJ3033">
        <v>86.628435311844299</v>
      </c>
      <c r="AK3033">
        <v>0.53708171963832596</v>
      </c>
      <c r="AL3033">
        <v>79.864446829738498</v>
      </c>
      <c r="AM3033">
        <v>92.994563199436996</v>
      </c>
      <c r="AN3033">
        <v>1.0000000222390599</v>
      </c>
    </row>
    <row r="3034" spans="1:40" x14ac:dyDescent="0.25">
      <c r="A3034" t="str">
        <f>"20190303162315311"</f>
        <v>20190303162315311</v>
      </c>
      <c r="B3034" t="str">
        <f>"1551601395297571"</f>
        <v>1551601395297571</v>
      </c>
      <c r="C3034" t="s">
        <v>40</v>
      </c>
      <c r="D3034">
        <v>5.7176400000000003</v>
      </c>
      <c r="E3034">
        <v>0.4878362</v>
      </c>
      <c r="F3034" t="s">
        <v>49</v>
      </c>
      <c r="G3034">
        <v>-434.97449999999998</v>
      </c>
      <c r="H3034" s="1">
        <v>4.3244030000000003E-6</v>
      </c>
      <c r="I3034">
        <v>215.74379999999999</v>
      </c>
      <c r="J3034">
        <v>-448.48399999999998</v>
      </c>
      <c r="K3034">
        <v>1.121413</v>
      </c>
      <c r="L3034">
        <v>215.48249999999999</v>
      </c>
      <c r="M3034">
        <v>0.99918130000000005</v>
      </c>
      <c r="N3034">
        <v>-1.1868449999999999E-2</v>
      </c>
      <c r="O3034">
        <v>-3.8681449999999999E-2</v>
      </c>
      <c r="P3034">
        <v>0.98605359999999997</v>
      </c>
      <c r="Q3034">
        <v>0.16577159999999999</v>
      </c>
      <c r="R3034">
        <v>1.4773949999999999E-2</v>
      </c>
      <c r="S3034">
        <v>3.082703</v>
      </c>
      <c r="T3034">
        <v>-0.25083290000000003</v>
      </c>
      <c r="U3034">
        <v>5.6259160000000002E-2</v>
      </c>
      <c r="V3034">
        <v>-5.3160329999999999E-2</v>
      </c>
      <c r="W3034">
        <v>0.17737149999999999</v>
      </c>
      <c r="X3034">
        <v>0.98270709999999994</v>
      </c>
      <c r="Y3034">
        <v>-5.660337E-2</v>
      </c>
      <c r="Z3034">
        <v>5.3186259999999999E-3</v>
      </c>
      <c r="AA3034">
        <v>0.99838260000000001</v>
      </c>
      <c r="AB3034">
        <v>26</v>
      </c>
      <c r="AC3034">
        <v>13.509499999999999</v>
      </c>
      <c r="AD3034">
        <v>-1.1214086755970001</v>
      </c>
      <c r="AE3034">
        <v>0.26130000000000497</v>
      </c>
      <c r="AF3034">
        <v>-0.77834699396706397</v>
      </c>
      <c r="AG3034">
        <v>-1.1214086755970001</v>
      </c>
      <c r="AH3034">
        <v>13.3970025840989</v>
      </c>
      <c r="AI3034">
        <v>94.776824714274696</v>
      </c>
      <c r="AJ3034">
        <v>93.325066313529305</v>
      </c>
      <c r="AK3034">
        <v>13.4663677247829</v>
      </c>
      <c r="AL3034">
        <v>79.783305161307098</v>
      </c>
      <c r="AM3034">
        <v>93.096443141277504</v>
      </c>
      <c r="AN3034">
        <v>0.99999995704418299</v>
      </c>
    </row>
    <row r="3035" spans="1:40" x14ac:dyDescent="0.25">
      <c r="A3035" t="str">
        <f>"20190303162315332"</f>
        <v>20190303162315332</v>
      </c>
      <c r="B3035" t="str">
        <f>"1551601395318066"</f>
        <v>1551601395318066</v>
      </c>
      <c r="C3035" t="s">
        <v>40</v>
      </c>
      <c r="D3035">
        <v>5.6376900000000001</v>
      </c>
      <c r="E3035">
        <v>0.48794460000000001</v>
      </c>
      <c r="F3035" t="s">
        <v>49</v>
      </c>
      <c r="G3035">
        <v>-418.85520000000002</v>
      </c>
      <c r="H3035" s="1">
        <v>3.5854969999999999E-6</v>
      </c>
      <c r="I3035">
        <v>216.80119999999999</v>
      </c>
      <c r="J3035">
        <v>-448.22980000000001</v>
      </c>
      <c r="K3035">
        <v>1.121416</v>
      </c>
      <c r="L3035">
        <v>215.4736</v>
      </c>
      <c r="M3035">
        <v>0.99921269999999995</v>
      </c>
      <c r="N3035">
        <v>-1.186824E-2</v>
      </c>
      <c r="O3035">
        <v>-3.785968E-2</v>
      </c>
      <c r="P3035">
        <v>0.98581019999999997</v>
      </c>
      <c r="Q3035">
        <v>0.167006399999999</v>
      </c>
      <c r="R3035">
        <v>1.6961629999999998E-2</v>
      </c>
      <c r="S3035">
        <v>3.0598139999999998</v>
      </c>
      <c r="T3035">
        <v>-0.1158096</v>
      </c>
      <c r="U3035">
        <v>0.13618469999999999</v>
      </c>
      <c r="V3035">
        <v>-5.4527939999999997E-2</v>
      </c>
      <c r="W3035">
        <v>0.17860139999999999</v>
      </c>
      <c r="X3035">
        <v>0.98240939999999999</v>
      </c>
      <c r="Y3035">
        <v>-8.2166569999999994E-2</v>
      </c>
      <c r="Z3035">
        <v>3.0244529999999999E-3</v>
      </c>
      <c r="AA3035">
        <v>0.996614</v>
      </c>
      <c r="AB3035">
        <v>26</v>
      </c>
      <c r="AC3035">
        <v>29.374599999999901</v>
      </c>
      <c r="AD3035">
        <v>-1.121412414503</v>
      </c>
      <c r="AE3035">
        <v>1.3275999999999799</v>
      </c>
      <c r="AF3035">
        <v>-2.4352971906196599</v>
      </c>
      <c r="AG3035">
        <v>-1.121412414503</v>
      </c>
      <c r="AH3035">
        <v>29.260712901553301</v>
      </c>
      <c r="AI3035">
        <v>92.187223182139206</v>
      </c>
      <c r="AJ3035">
        <v>94.757622002366602</v>
      </c>
      <c r="AK3035">
        <v>29.383287047523702</v>
      </c>
      <c r="AL3035">
        <v>79.711694019988897</v>
      </c>
      <c r="AM3035">
        <v>93.176902068260404</v>
      </c>
      <c r="AN3035">
        <v>0.99999999276548102</v>
      </c>
    </row>
    <row r="3036" spans="1:40" x14ac:dyDescent="0.25">
      <c r="A3036" t="str">
        <f>"20190303162315351"</f>
        <v>20190303162315351</v>
      </c>
      <c r="B3036" t="str">
        <f>"1551601395347854"</f>
        <v>1551601395347854</v>
      </c>
      <c r="C3036" t="s">
        <v>40</v>
      </c>
      <c r="D3036">
        <v>5.6091410000000002</v>
      </c>
      <c r="E3036">
        <v>0.48782039999999999</v>
      </c>
      <c r="F3036" t="s">
        <v>49</v>
      </c>
      <c r="G3036">
        <v>-415.26049999999998</v>
      </c>
      <c r="H3036" s="1">
        <v>2.930059E-6</v>
      </c>
      <c r="I3036">
        <v>217.00489999999999</v>
      </c>
      <c r="J3036">
        <v>-448.00510000000003</v>
      </c>
      <c r="K3036">
        <v>1.1214090000000001</v>
      </c>
      <c r="L3036">
        <v>215.4659</v>
      </c>
      <c r="M3036">
        <v>0.99923910000000005</v>
      </c>
      <c r="N3036">
        <v>-1.186795E-2</v>
      </c>
      <c r="O3036">
        <v>-3.7152200000000003E-2</v>
      </c>
      <c r="P3036">
        <v>0.9855952</v>
      </c>
      <c r="Q3036">
        <v>0.1681318</v>
      </c>
      <c r="R3036">
        <v>1.82732E-2</v>
      </c>
      <c r="S3036">
        <v>3.0583499999999999</v>
      </c>
      <c r="T3036">
        <v>-0.1040263</v>
      </c>
      <c r="U3036">
        <v>0.14204410000000001</v>
      </c>
      <c r="V3036">
        <v>-5.5131069999999997E-2</v>
      </c>
      <c r="W3036">
        <v>0.17972439999999901</v>
      </c>
      <c r="X3036">
        <v>0.98217089999999996</v>
      </c>
      <c r="Y3036">
        <v>-8.3403379999999999E-2</v>
      </c>
      <c r="Z3036">
        <v>2.7347560000000001E-3</v>
      </c>
      <c r="AA3036">
        <v>0.99651210000000001</v>
      </c>
      <c r="AB3036">
        <v>26</v>
      </c>
      <c r="AC3036">
        <v>32.744599999999998</v>
      </c>
      <c r="AD3036">
        <v>-1.121406069941</v>
      </c>
      <c r="AE3036">
        <v>1.5389999999999799</v>
      </c>
      <c r="AF3036">
        <v>-2.7513371941154601</v>
      </c>
      <c r="AG3036">
        <v>-1.121406069941</v>
      </c>
      <c r="AH3036">
        <v>32.626627144455703</v>
      </c>
      <c r="AI3036">
        <v>91.961574989723402</v>
      </c>
      <c r="AJ3036">
        <v>94.820232401834701</v>
      </c>
      <c r="AK3036">
        <v>32.761627046786899</v>
      </c>
      <c r="AL3036">
        <v>79.646292550175303</v>
      </c>
      <c r="AM3036">
        <v>93.212746728712204</v>
      </c>
      <c r="AN3036">
        <v>0.999999985820757</v>
      </c>
    </row>
    <row r="3037" spans="1:40" x14ac:dyDescent="0.25">
      <c r="A3037" t="str">
        <f>"20190303162315375"</f>
        <v>20190303162315375</v>
      </c>
      <c r="B3037" t="str">
        <f>"1551601395368349"</f>
        <v>1551601395368349</v>
      </c>
      <c r="C3037" t="s">
        <v>40</v>
      </c>
      <c r="D3037">
        <v>5.5940089999999998</v>
      </c>
      <c r="E3037">
        <v>0.48826399999999998</v>
      </c>
      <c r="F3037" t="s">
        <v>49</v>
      </c>
      <c r="G3037">
        <v>-413.17939999999999</v>
      </c>
      <c r="H3037" s="1">
        <v>2.548674E-6</v>
      </c>
      <c r="I3037">
        <v>217.1448</v>
      </c>
      <c r="J3037">
        <v>-447.73090000000002</v>
      </c>
      <c r="K3037">
        <v>1.1213949999999999</v>
      </c>
      <c r="L3037">
        <v>215.45670000000001</v>
      </c>
      <c r="M3037">
        <v>0.99926950000000003</v>
      </c>
      <c r="N3037">
        <v>-1.186744E-2</v>
      </c>
      <c r="O3037">
        <v>-3.6327970000000001E-2</v>
      </c>
      <c r="P3037">
        <v>0.98535649999999997</v>
      </c>
      <c r="Q3037">
        <v>0.1693799</v>
      </c>
      <c r="R3037">
        <v>1.9569320000000001E-2</v>
      </c>
      <c r="S3037">
        <v>3.0578919999999998</v>
      </c>
      <c r="T3037">
        <v>-9.846568E-2</v>
      </c>
      <c r="U3037">
        <v>0.1474152</v>
      </c>
      <c r="V3037">
        <v>-5.559679E-2</v>
      </c>
      <c r="W3037">
        <v>0.1809711</v>
      </c>
      <c r="X3037">
        <v>0.98191569999999995</v>
      </c>
      <c r="Y3037">
        <v>-8.4341540000000007E-2</v>
      </c>
      <c r="Z3037">
        <v>2.5957950000000001E-3</v>
      </c>
      <c r="AA3037">
        <v>0.99643349999999997</v>
      </c>
      <c r="AB3037">
        <v>26</v>
      </c>
      <c r="AC3037">
        <v>34.551499999999997</v>
      </c>
      <c r="AD3037">
        <v>-1.1213924513259901</v>
      </c>
      <c r="AE3037">
        <v>1.6880999999999899</v>
      </c>
      <c r="AF3037">
        <v>-2.9391710944217899</v>
      </c>
      <c r="AG3037">
        <v>-1.1213924513259901</v>
      </c>
      <c r="AH3037">
        <v>34.4311780799964</v>
      </c>
      <c r="AI3037">
        <v>91.858657615342594</v>
      </c>
      <c r="AJ3037">
        <v>94.879148534741802</v>
      </c>
      <c r="AK3037">
        <v>34.574589971952001</v>
      </c>
      <c r="AL3037">
        <v>79.573671180659701</v>
      </c>
      <c r="AM3037">
        <v>93.240669087913105</v>
      </c>
      <c r="AN3037">
        <v>0.999999992000002</v>
      </c>
    </row>
    <row r="3038" spans="1:40" x14ac:dyDescent="0.25">
      <c r="A3038" t="str">
        <f>"20190303162315396"</f>
        <v>20190303162315396</v>
      </c>
      <c r="B3038" t="str">
        <f>"1551601395387869"</f>
        <v>1551601395387869</v>
      </c>
      <c r="C3038" t="s">
        <v>40</v>
      </c>
      <c r="D3038">
        <v>5.5909750000000003</v>
      </c>
      <c r="E3038">
        <v>0.48864269999999999</v>
      </c>
      <c r="F3038" t="s">
        <v>49</v>
      </c>
      <c r="G3038">
        <v>-412.08280000000002</v>
      </c>
      <c r="H3038" s="1">
        <v>2.3505920000000002E-6</v>
      </c>
      <c r="I3038">
        <v>217.18559999999999</v>
      </c>
      <c r="J3038">
        <v>-447.476</v>
      </c>
      <c r="K3038">
        <v>1.121362</v>
      </c>
      <c r="L3038">
        <v>215.44829999999999</v>
      </c>
      <c r="M3038">
        <v>0.9992955</v>
      </c>
      <c r="N3038">
        <v>-1.186689E-2</v>
      </c>
      <c r="O3038">
        <v>-3.5608269999999997E-2</v>
      </c>
      <c r="P3038">
        <v>0.98515589999999997</v>
      </c>
      <c r="Q3038">
        <v>0.17038710000000001</v>
      </c>
      <c r="R3038">
        <v>2.0886559999999998E-2</v>
      </c>
      <c r="S3038">
        <v>3.0581670000000001</v>
      </c>
      <c r="T3038">
        <v>-9.6201659999999994E-2</v>
      </c>
      <c r="U3038">
        <v>0.14831539999999999</v>
      </c>
      <c r="V3038">
        <v>-5.6184060000000001E-2</v>
      </c>
      <c r="W3038">
        <v>0.18197930000000001</v>
      </c>
      <c r="X3038">
        <v>0.98169600000000001</v>
      </c>
      <c r="Y3038">
        <v>-8.3915569999999995E-2</v>
      </c>
      <c r="Z3038">
        <v>2.514198E-3</v>
      </c>
      <c r="AA3038">
        <v>0.99646970000000001</v>
      </c>
      <c r="AB3038">
        <v>26</v>
      </c>
      <c r="AC3038">
        <v>35.393199999999901</v>
      </c>
      <c r="AD3038">
        <v>-1.121359649408</v>
      </c>
      <c r="AE3038">
        <v>1.7373000000000001</v>
      </c>
      <c r="AF3038">
        <v>-2.99357953987943</v>
      </c>
      <c r="AG3038">
        <v>-1.121359649408</v>
      </c>
      <c r="AH3038">
        <v>35.2735620076269</v>
      </c>
      <c r="AI3038">
        <v>91.814323177122304</v>
      </c>
      <c r="AJ3038">
        <v>94.850926433006506</v>
      </c>
      <c r="AK3038">
        <v>35.418118846584797</v>
      </c>
      <c r="AL3038">
        <v>79.514931092808695</v>
      </c>
      <c r="AM3038">
        <v>93.275557522712404</v>
      </c>
      <c r="AN3038">
        <v>1.0000000753212801</v>
      </c>
    </row>
    <row r="3039" spans="1:40" x14ac:dyDescent="0.25">
      <c r="A3039" t="str">
        <f>"20190303162315419"</f>
        <v>20190303162315419</v>
      </c>
      <c r="B3039" t="str">
        <f>"1551601395407388"</f>
        <v>1551601395407388</v>
      </c>
      <c r="C3039" t="s">
        <v>40</v>
      </c>
      <c r="D3039">
        <v>5.6098339999999904</v>
      </c>
      <c r="E3039">
        <v>0.48909789999999997</v>
      </c>
      <c r="F3039" t="s">
        <v>49</v>
      </c>
      <c r="G3039">
        <v>-411.12450000000001</v>
      </c>
      <c r="H3039" s="1">
        <v>2.1766029999999999E-6</v>
      </c>
      <c r="I3039">
        <v>217.2313</v>
      </c>
      <c r="J3039">
        <v>-447.21269999999998</v>
      </c>
      <c r="K3039">
        <v>1.121319</v>
      </c>
      <c r="L3039">
        <v>215.43969999999999</v>
      </c>
      <c r="M3039">
        <v>0.99931999999999999</v>
      </c>
      <c r="N3039">
        <v>-1.186633E-2</v>
      </c>
      <c r="O3039">
        <v>-3.4914399999999998E-2</v>
      </c>
      <c r="P3039">
        <v>0.98533919999999997</v>
      </c>
      <c r="Q3039">
        <v>0.1693115</v>
      </c>
      <c r="R3039">
        <v>2.099173E-2</v>
      </c>
      <c r="S3039">
        <v>3.0583499999999999</v>
      </c>
      <c r="T3039">
        <v>-9.4343070000000001E-2</v>
      </c>
      <c r="U3039">
        <v>0.15000920000000001</v>
      </c>
      <c r="V3039">
        <v>-5.5593650000000001E-2</v>
      </c>
      <c r="W3039">
        <v>0.18091199999999999</v>
      </c>
      <c r="X3039">
        <v>0.98192679999999999</v>
      </c>
      <c r="Y3039">
        <v>-8.3773860000000006E-2</v>
      </c>
      <c r="Z3039">
        <v>2.4507639999999998E-3</v>
      </c>
      <c r="AA3039">
        <v>0.99648179999999997</v>
      </c>
      <c r="AB3039">
        <v>26</v>
      </c>
      <c r="AC3039">
        <v>36.088199999999901</v>
      </c>
      <c r="AD3039">
        <v>-1.1213168233969999</v>
      </c>
      <c r="AE3039">
        <v>1.7916000000000101</v>
      </c>
      <c r="AF3039">
        <v>-3.0476588036272201</v>
      </c>
      <c r="AG3039">
        <v>-1.1213168233969999</v>
      </c>
      <c r="AH3039">
        <v>35.968996522939698</v>
      </c>
      <c r="AI3039">
        <v>91.779219975184802</v>
      </c>
      <c r="AJ3039">
        <v>94.843112736558098</v>
      </c>
      <c r="AK3039">
        <v>36.115291587761099</v>
      </c>
      <c r="AL3039">
        <v>79.577114520010895</v>
      </c>
      <c r="AM3039">
        <v>93.240449897820994</v>
      </c>
      <c r="AN3039">
        <v>1.00000002311128</v>
      </c>
    </row>
    <row r="3040" spans="1:40" x14ac:dyDescent="0.25">
      <c r="A3040" t="str">
        <f>"20190303162315440"</f>
        <v>20190303162315440</v>
      </c>
      <c r="B3040" t="str">
        <f>"1551601395427884"</f>
        <v>1551601395427884</v>
      </c>
      <c r="C3040" t="s">
        <v>40</v>
      </c>
      <c r="D3040">
        <v>5.661365</v>
      </c>
      <c r="E3040">
        <v>0.48993920000000002</v>
      </c>
      <c r="F3040" t="s">
        <v>49</v>
      </c>
      <c r="G3040">
        <v>-412.38819999999998</v>
      </c>
      <c r="H3040" s="1">
        <v>2.4110989999999999E-6</v>
      </c>
      <c r="I3040">
        <v>217.11320000000001</v>
      </c>
      <c r="J3040">
        <v>-446.9545</v>
      </c>
      <c r="K3040">
        <v>1.1212799999999901</v>
      </c>
      <c r="L3040">
        <v>215.4314</v>
      </c>
      <c r="M3040">
        <v>0.99934199999999995</v>
      </c>
      <c r="N3040">
        <v>-1.1866120000000001E-2</v>
      </c>
      <c r="O3040">
        <v>-3.4277450000000001E-2</v>
      </c>
      <c r="P3040">
        <v>0.98537920000000001</v>
      </c>
      <c r="Q3040">
        <v>0.16914960000000001</v>
      </c>
      <c r="R3040">
        <v>2.0413870000000001E-2</v>
      </c>
      <c r="S3040">
        <v>3.0584410000000002</v>
      </c>
      <c r="T3040">
        <v>-9.8479029999999995E-2</v>
      </c>
      <c r="U3040">
        <v>0.14697270000000001</v>
      </c>
      <c r="V3040">
        <v>-5.4375479999999997E-2</v>
      </c>
      <c r="W3040">
        <v>0.1807568</v>
      </c>
      <c r="X3040">
        <v>0.9820236</v>
      </c>
      <c r="Y3040">
        <v>-8.2146269999999993E-2</v>
      </c>
      <c r="Z3040">
        <v>2.5056789999999998E-3</v>
      </c>
      <c r="AA3040">
        <v>0.99661710000000003</v>
      </c>
      <c r="AB3040">
        <v>26</v>
      </c>
      <c r="AC3040">
        <v>34.566299999999998</v>
      </c>
      <c r="AD3040">
        <v>-1.1212775889009901</v>
      </c>
      <c r="AE3040">
        <v>1.6818</v>
      </c>
      <c r="AF3040">
        <v>-2.8627342888042202</v>
      </c>
      <c r="AG3040">
        <v>-1.1212775889009901</v>
      </c>
      <c r="AH3040">
        <v>34.452165772729103</v>
      </c>
      <c r="AI3040">
        <v>91.857688517891603</v>
      </c>
      <c r="AJ3040">
        <v>94.749967089321501</v>
      </c>
      <c r="AK3040">
        <v>34.589076851966901</v>
      </c>
      <c r="AL3040">
        <v>79.586155981100205</v>
      </c>
      <c r="AM3040">
        <v>93.169279641419294</v>
      </c>
      <c r="AN3040">
        <v>1.00000003226421</v>
      </c>
    </row>
    <row r="3041" spans="1:40" x14ac:dyDescent="0.25">
      <c r="A3041" t="str">
        <f>"20190303162315464"</f>
        <v>20190303162315464</v>
      </c>
      <c r="B3041" t="str">
        <f>"1551601395458140"</f>
        <v>1551601395458140</v>
      </c>
      <c r="C3041" t="s">
        <v>40</v>
      </c>
      <c r="D3041">
        <v>5.6679700000000004</v>
      </c>
      <c r="E3041">
        <v>0.49084309999999998</v>
      </c>
      <c r="F3041" t="s">
        <v>49</v>
      </c>
      <c r="G3041">
        <v>-413.66730000000001</v>
      </c>
      <c r="H3041" s="1">
        <v>2.6529290000000002E-6</v>
      </c>
      <c r="I3041">
        <v>216.94220000000001</v>
      </c>
      <c r="J3041">
        <v>-446.68220000000002</v>
      </c>
      <c r="K3041">
        <v>1.1212580000000001</v>
      </c>
      <c r="L3041">
        <v>215.4228</v>
      </c>
      <c r="M3041">
        <v>0.99936340000000001</v>
      </c>
      <c r="N3041">
        <v>-1.186593E-2</v>
      </c>
      <c r="O3041">
        <v>-3.36423E-2</v>
      </c>
      <c r="P3041">
        <v>0.9853305</v>
      </c>
      <c r="Q3041">
        <v>0.1696599</v>
      </c>
      <c r="R3041">
        <v>1.8420550000000001E-2</v>
      </c>
      <c r="S3041">
        <v>3.0593569999999999</v>
      </c>
      <c r="T3041">
        <v>-0.103054199999999</v>
      </c>
      <c r="U3041">
        <v>0.13885500000000001</v>
      </c>
      <c r="V3041">
        <v>-5.1745659999999999E-2</v>
      </c>
      <c r="W3041">
        <v>0.18127360000000001</v>
      </c>
      <c r="X3041">
        <v>0.98207040000000001</v>
      </c>
      <c r="Y3041">
        <v>-7.8856309999999999E-2</v>
      </c>
      <c r="Z3041">
        <v>2.5288400000000001E-3</v>
      </c>
      <c r="AA3041">
        <v>0.99688279999999996</v>
      </c>
      <c r="AB3041">
        <v>26</v>
      </c>
      <c r="AC3041">
        <v>33.014899999999997</v>
      </c>
      <c r="AD3041">
        <v>-1.1212553470710001</v>
      </c>
      <c r="AE3041">
        <v>1.5194000000000101</v>
      </c>
      <c r="AF3041">
        <v>-2.6262924537499899</v>
      </c>
      <c r="AG3041">
        <v>-1.1212553470710001</v>
      </c>
      <c r="AH3041">
        <v>32.907213398670002</v>
      </c>
      <c r="AI3041">
        <v>91.945317082894505</v>
      </c>
      <c r="AJ3041">
        <v>94.563048335219506</v>
      </c>
      <c r="AK3041">
        <v>33.030884324697801</v>
      </c>
      <c r="AL3041">
        <v>79.556047819989502</v>
      </c>
      <c r="AM3041">
        <v>93.016147090081603</v>
      </c>
      <c r="AN3041">
        <v>1.00000000097097</v>
      </c>
    </row>
    <row r="3042" spans="1:40" x14ac:dyDescent="0.25">
      <c r="A3042" t="str">
        <f>"20190303162315487"</f>
        <v>20190303162315487</v>
      </c>
      <c r="B3042" t="str">
        <f>"1551601395477660"</f>
        <v>1551601395477660</v>
      </c>
      <c r="C3042" t="s">
        <v>40</v>
      </c>
      <c r="D3042">
        <v>5.6636749999999996</v>
      </c>
      <c r="E3042">
        <v>0.49141469999999998</v>
      </c>
      <c r="F3042" t="s">
        <v>49</v>
      </c>
      <c r="G3042">
        <v>-414.17590000000001</v>
      </c>
      <c r="H3042" s="1">
        <v>2.7589770000000002E-6</v>
      </c>
      <c r="I3042">
        <v>216.7612</v>
      </c>
      <c r="J3042">
        <v>-446.4151</v>
      </c>
      <c r="K3042">
        <v>1.1212580000000001</v>
      </c>
      <c r="L3042">
        <v>215.41460000000001</v>
      </c>
      <c r="M3042">
        <v>0.99938349999999998</v>
      </c>
      <c r="N3042">
        <v>-1.186569E-2</v>
      </c>
      <c r="O3042">
        <v>-3.3045110000000003E-2</v>
      </c>
      <c r="P3042">
        <v>0.98526670000000005</v>
      </c>
      <c r="Q3042">
        <v>0.17025100000000001</v>
      </c>
      <c r="R3042">
        <v>1.6250110000000002E-2</v>
      </c>
      <c r="S3042">
        <v>3.060486</v>
      </c>
      <c r="T3042">
        <v>-0.1055667</v>
      </c>
      <c r="U3042">
        <v>0.12600710000000001</v>
      </c>
      <c r="V3042">
        <v>-4.8981299999999998E-2</v>
      </c>
      <c r="W3042">
        <v>0.18186910000000001</v>
      </c>
      <c r="X3042">
        <v>0.98210209999999998</v>
      </c>
      <c r="Y3042">
        <v>-7.4066809999999997E-2</v>
      </c>
      <c r="Z3042">
        <v>2.46349E-3</v>
      </c>
      <c r="AA3042">
        <v>0.99725030000000003</v>
      </c>
      <c r="AB3042">
        <v>26</v>
      </c>
      <c r="AC3042">
        <v>32.239199999999897</v>
      </c>
      <c r="AD3042">
        <v>-1.1212552410229999</v>
      </c>
      <c r="AE3042">
        <v>1.34659999999999</v>
      </c>
      <c r="AF3042">
        <v>-2.4083792068280698</v>
      </c>
      <c r="AG3042">
        <v>-1.1212552410229999</v>
      </c>
      <c r="AH3042">
        <v>32.138282126775202</v>
      </c>
      <c r="AI3042">
        <v>91.992568695410498</v>
      </c>
      <c r="AJ3042">
        <v>94.285621944889002</v>
      </c>
      <c r="AK3042">
        <v>32.247894222407801</v>
      </c>
      <c r="AL3042">
        <v>79.521351823631093</v>
      </c>
      <c r="AM3042">
        <v>92.855200416247698</v>
      </c>
      <c r="AN3042">
        <v>1.0000000360544501</v>
      </c>
    </row>
    <row r="3043" spans="1:40" x14ac:dyDescent="0.25">
      <c r="A3043" t="str">
        <f>"20190303162315509"</f>
        <v>20190303162315509</v>
      </c>
      <c r="B3043" t="str">
        <f>"1551601395497180"</f>
        <v>1551601395497180</v>
      </c>
      <c r="C3043" t="s">
        <v>40</v>
      </c>
      <c r="D3043">
        <v>5.6027709999999997</v>
      </c>
      <c r="E3043">
        <v>0.49182239999999999</v>
      </c>
      <c r="F3043" t="s">
        <v>49</v>
      </c>
      <c r="G3043">
        <v>-414.33199999999999</v>
      </c>
      <c r="H3043" s="1">
        <v>2.7992389999999998E-6</v>
      </c>
      <c r="I3043">
        <v>216.6174</v>
      </c>
      <c r="J3043">
        <v>-446.142</v>
      </c>
      <c r="K3043">
        <v>1.1212569999999999</v>
      </c>
      <c r="L3043">
        <v>215.40620000000001</v>
      </c>
      <c r="M3043">
        <v>0.99940320000000005</v>
      </c>
      <c r="N3043">
        <v>-1.18657E-2</v>
      </c>
      <c r="O3043">
        <v>-3.24452E-2</v>
      </c>
      <c r="P3043">
        <v>0.98517089999999996</v>
      </c>
      <c r="Q3043">
        <v>0.1709956</v>
      </c>
      <c r="R3043">
        <v>1.411011E-2</v>
      </c>
      <c r="S3043">
        <v>3.0614319999999999</v>
      </c>
      <c r="T3043">
        <v>-0.1069922</v>
      </c>
      <c r="U3043">
        <v>0.11477660000000001</v>
      </c>
      <c r="V3043">
        <v>-4.6247660000000003E-2</v>
      </c>
      <c r="W3043">
        <v>0.1826169</v>
      </c>
      <c r="X3043">
        <v>0.98209579999999996</v>
      </c>
      <c r="Y3043">
        <v>-6.9804149999999995E-2</v>
      </c>
      <c r="Z3043">
        <v>2.3818490000000001E-3</v>
      </c>
      <c r="AA3043">
        <v>0.9975579</v>
      </c>
      <c r="AB3043">
        <v>26</v>
      </c>
      <c r="AC3043">
        <v>31.81</v>
      </c>
      <c r="AD3043">
        <v>-1.121254200761</v>
      </c>
      <c r="AE3043">
        <v>1.2111999999999901</v>
      </c>
      <c r="AF3043">
        <v>-2.23993758972414</v>
      </c>
      <c r="AG3043">
        <v>-1.121254200761</v>
      </c>
      <c r="AH3043">
        <v>31.714602861175401</v>
      </c>
      <c r="AI3043">
        <v>92.019793550221706</v>
      </c>
      <c r="AJ3043">
        <v>94.039975185600994</v>
      </c>
      <c r="AK3043">
        <v>31.813370868719002</v>
      </c>
      <c r="AL3043">
        <v>79.477775593276803</v>
      </c>
      <c r="AM3043">
        <v>92.696111371910703</v>
      </c>
      <c r="AN3043">
        <v>0.99999996929936197</v>
      </c>
    </row>
    <row r="3044" spans="1:40" x14ac:dyDescent="0.25">
      <c r="A3044" t="str">
        <f>"20190303162315532"</f>
        <v>20190303162315532</v>
      </c>
      <c r="B3044" t="str">
        <f>"1551601395517677"</f>
        <v>1551601395517677</v>
      </c>
      <c r="C3044" t="s">
        <v>40</v>
      </c>
      <c r="D3044">
        <v>5.5998599999999996</v>
      </c>
      <c r="E3044">
        <v>0.49208249999999998</v>
      </c>
      <c r="F3044" t="s">
        <v>49</v>
      </c>
      <c r="G3044">
        <v>-414.2679</v>
      </c>
      <c r="H3044" s="1">
        <v>2.7983169999999998E-6</v>
      </c>
      <c r="I3044">
        <v>216.49789999999999</v>
      </c>
      <c r="J3044">
        <v>-445.8843</v>
      </c>
      <c r="K3044">
        <v>1.121256</v>
      </c>
      <c r="L3044">
        <v>215.39850000000001</v>
      </c>
      <c r="M3044">
        <v>0.99942140000000002</v>
      </c>
      <c r="N3044">
        <v>-1.186576E-2</v>
      </c>
      <c r="O3044">
        <v>-3.1879339999999999E-2</v>
      </c>
      <c r="P3044">
        <v>0.98511559999999998</v>
      </c>
      <c r="Q3044">
        <v>0.1714454</v>
      </c>
      <c r="R3044">
        <v>1.240604E-2</v>
      </c>
      <c r="S3044">
        <v>3.0623469999999999</v>
      </c>
      <c r="T3044">
        <v>-0.10772619999999999</v>
      </c>
      <c r="U3044">
        <v>0.10488889999999999</v>
      </c>
      <c r="V3044">
        <v>-4.3986110000000002E-2</v>
      </c>
      <c r="W3044">
        <v>0.1830688</v>
      </c>
      <c r="X3044">
        <v>0.98211559999999998</v>
      </c>
      <c r="Y3044">
        <v>-6.6013359999999993E-2</v>
      </c>
      <c r="Z3044">
        <v>2.29502E-3</v>
      </c>
      <c r="AA3044">
        <v>0.99781609999999998</v>
      </c>
      <c r="AB3044">
        <v>26</v>
      </c>
      <c r="AC3044">
        <v>31.616399999999999</v>
      </c>
      <c r="AD3044">
        <v>-1.1212532016829999</v>
      </c>
      <c r="AE3044">
        <v>1.09939999999997</v>
      </c>
      <c r="AF3044">
        <v>-2.1041786757135799</v>
      </c>
      <c r="AG3044">
        <v>-1.1212532016829999</v>
      </c>
      <c r="AH3044">
        <v>31.5256748368422</v>
      </c>
      <c r="AI3044">
        <v>92.032424906411293</v>
      </c>
      <c r="AJ3044">
        <v>93.818538613652507</v>
      </c>
      <c r="AK3044">
        <v>31.6157073392312</v>
      </c>
      <c r="AL3044">
        <v>79.451440070818407</v>
      </c>
      <c r="AM3044">
        <v>92.564398118122497</v>
      </c>
      <c r="AN3044">
        <v>1.0000000075848601</v>
      </c>
    </row>
    <row r="3045" spans="1:40" x14ac:dyDescent="0.25">
      <c r="A3045" t="str">
        <f>"20190303162315553"</f>
        <v>20190303162315553</v>
      </c>
      <c r="B3045" t="str">
        <f>"1551601395547933"</f>
        <v>1551601395547933</v>
      </c>
      <c r="C3045" t="s">
        <v>40</v>
      </c>
      <c r="D3045">
        <v>5.6624549999999996</v>
      </c>
      <c r="E3045">
        <v>0.49231469999999999</v>
      </c>
      <c r="F3045" t="s">
        <v>49</v>
      </c>
      <c r="G3045">
        <v>-414.1909</v>
      </c>
      <c r="H3045" s="1">
        <v>2.7931099999999998E-6</v>
      </c>
      <c r="I3045">
        <v>216.40110000000001</v>
      </c>
      <c r="J3045">
        <v>-445.63560000000001</v>
      </c>
      <c r="K3045">
        <v>1.1212679999999999</v>
      </c>
      <c r="L3045">
        <v>215.3912</v>
      </c>
      <c r="M3045">
        <v>0.99943879999999996</v>
      </c>
      <c r="N3045">
        <v>-1.1865860000000001E-2</v>
      </c>
      <c r="O3045">
        <v>-3.1327519999999998E-2</v>
      </c>
      <c r="P3045">
        <v>0.98521559999999997</v>
      </c>
      <c r="Q3045">
        <v>0.17091249999999999</v>
      </c>
      <c r="R3045">
        <v>1.181075E-2</v>
      </c>
      <c r="S3045">
        <v>3.0629270000000002</v>
      </c>
      <c r="T3045">
        <v>-0.1083604</v>
      </c>
      <c r="U3045">
        <v>9.6893309999999996E-2</v>
      </c>
      <c r="V3045">
        <v>-4.2850520000000003E-2</v>
      </c>
      <c r="W3045">
        <v>0.1825386</v>
      </c>
      <c r="X3045">
        <v>0.98226449999999998</v>
      </c>
      <c r="Y3045">
        <v>-6.2855820000000007E-2</v>
      </c>
      <c r="Z3045">
        <v>2.2205279999999998E-3</v>
      </c>
      <c r="AA3045">
        <v>0.99802020000000002</v>
      </c>
      <c r="AB3045">
        <v>26</v>
      </c>
      <c r="AC3045">
        <v>31.444700000000001</v>
      </c>
      <c r="AD3045">
        <v>-1.12126520689</v>
      </c>
      <c r="AE3045">
        <v>1.00990000000001</v>
      </c>
      <c r="AF3045">
        <v>-1.9920277210843</v>
      </c>
      <c r="AG3045">
        <v>-1.12126520689</v>
      </c>
      <c r="AH3045">
        <v>31.357793179251299</v>
      </c>
      <c r="AI3045">
        <v>92.043744969791206</v>
      </c>
      <c r="AJ3045">
        <v>93.6348737922834</v>
      </c>
      <c r="AK3045">
        <v>31.4410019429797</v>
      </c>
      <c r="AL3045">
        <v>79.482339171623906</v>
      </c>
      <c r="AM3045">
        <v>92.497899778217501</v>
      </c>
      <c r="AN3045">
        <v>1.0000000277572301</v>
      </c>
    </row>
    <row r="3046" spans="1:40" x14ac:dyDescent="0.25">
      <c r="A3046" t="str">
        <f>"20190303162315575"</f>
        <v>20190303162315575</v>
      </c>
      <c r="B3046" t="str">
        <f>"1551601395567452"</f>
        <v>1551601395567452</v>
      </c>
      <c r="C3046" t="s">
        <v>40</v>
      </c>
      <c r="D3046">
        <v>5.6092240000000002</v>
      </c>
      <c r="E3046">
        <v>0.49252869999999999</v>
      </c>
      <c r="F3046" t="s">
        <v>49</v>
      </c>
      <c r="G3046">
        <v>-414.9341</v>
      </c>
      <c r="H3046" s="1">
        <v>2.9317429999999999E-6</v>
      </c>
      <c r="I3046">
        <v>216.32329999999999</v>
      </c>
      <c r="J3046">
        <v>-445.37709999999998</v>
      </c>
      <c r="K3046">
        <v>1.121267</v>
      </c>
      <c r="L3046">
        <v>215.38380000000001</v>
      </c>
      <c r="M3046">
        <v>0.99945700000000004</v>
      </c>
      <c r="N3046">
        <v>-1.186312E-2</v>
      </c>
      <c r="O3046">
        <v>-3.074613E-2</v>
      </c>
      <c r="P3046">
        <v>0.98529860000000002</v>
      </c>
      <c r="Q3046">
        <v>0.1704157</v>
      </c>
      <c r="R3046">
        <v>1.205693E-2</v>
      </c>
      <c r="S3046">
        <v>3.0632630000000001</v>
      </c>
      <c r="T3046">
        <v>-0.1118748</v>
      </c>
      <c r="U3046">
        <v>9.3002319999999999E-2</v>
      </c>
      <c r="V3046">
        <v>-4.2526639999999997E-2</v>
      </c>
      <c r="W3046">
        <v>0.1820407</v>
      </c>
      <c r="X3046">
        <v>0.98237090000000005</v>
      </c>
      <c r="Y3046">
        <v>-6.1003139999999997E-2</v>
      </c>
      <c r="Z3046">
        <v>2.2331E-3</v>
      </c>
      <c r="AA3046">
        <v>0.99813510000000005</v>
      </c>
      <c r="AB3046">
        <v>26</v>
      </c>
      <c r="AC3046">
        <v>30.442999999999898</v>
      </c>
      <c r="AD3046">
        <v>-1.1212640682570001</v>
      </c>
      <c r="AE3046">
        <v>0.93949999999998102</v>
      </c>
      <c r="AF3046">
        <v>-1.8725880352798401</v>
      </c>
      <c r="AG3046">
        <v>-1.1212640682570001</v>
      </c>
      <c r="AH3046">
        <v>30.358573081549402</v>
      </c>
      <c r="AI3046">
        <v>92.111193086354305</v>
      </c>
      <c r="AJ3046">
        <v>93.529666224441002</v>
      </c>
      <c r="AK3046">
        <v>30.4369311627899</v>
      </c>
      <c r="AL3046">
        <v>79.511352131823003</v>
      </c>
      <c r="AM3046">
        <v>92.478775207569896</v>
      </c>
      <c r="AN3046">
        <v>0.99999995836649302</v>
      </c>
    </row>
    <row r="3047" spans="1:40" x14ac:dyDescent="0.25">
      <c r="A3047" t="str">
        <f>"20190303162315597"</f>
        <v>20190303162315597</v>
      </c>
      <c r="B3047" t="str">
        <f>"1551601395587949"</f>
        <v>1551601395587949</v>
      </c>
      <c r="C3047" t="s">
        <v>40</v>
      </c>
      <c r="D3047">
        <v>5.483358</v>
      </c>
      <c r="E3047">
        <v>0.49256800000000001</v>
      </c>
      <c r="F3047" t="s">
        <v>49</v>
      </c>
      <c r="G3047">
        <v>-415.61579999999998</v>
      </c>
      <c r="H3047" s="1">
        <v>3.0559939999999999E-6</v>
      </c>
      <c r="I3047">
        <v>216.28530000000001</v>
      </c>
      <c r="J3047">
        <v>-445.10730000000001</v>
      </c>
      <c r="K3047">
        <v>1.1212610000000001</v>
      </c>
      <c r="L3047">
        <v>215.37610000000001</v>
      </c>
      <c r="M3047">
        <v>0.99947569999999997</v>
      </c>
      <c r="N3047">
        <v>-1.1854959999999999E-2</v>
      </c>
      <c r="O3047">
        <v>-3.013242E-2</v>
      </c>
      <c r="P3047">
        <v>0.98549880000000001</v>
      </c>
      <c r="Q3047">
        <v>0.16917360000000001</v>
      </c>
      <c r="R3047">
        <v>1.313863E-2</v>
      </c>
      <c r="S3047">
        <v>3.0636290000000002</v>
      </c>
      <c r="T3047">
        <v>-0.115423</v>
      </c>
      <c r="U3047">
        <v>9.2803960000000005E-2</v>
      </c>
      <c r="V3047">
        <v>-4.3008409999999997E-2</v>
      </c>
      <c r="W3047">
        <v>0.18079239999999999</v>
      </c>
      <c r="X3047">
        <v>0.98258049999999997</v>
      </c>
      <c r="Y3047">
        <v>-6.031897E-2</v>
      </c>
      <c r="Z3047">
        <v>2.270925E-3</v>
      </c>
      <c r="AA3047">
        <v>0.99817659999999997</v>
      </c>
      <c r="AB3047">
        <v>26</v>
      </c>
      <c r="AC3047">
        <v>29.491499999999998</v>
      </c>
      <c r="AD3047">
        <v>-1.121257944006</v>
      </c>
      <c r="AE3047">
        <v>0.90919999999999801</v>
      </c>
      <c r="AF3047">
        <v>-1.79490765506422</v>
      </c>
      <c r="AG3047">
        <v>-1.121257944006</v>
      </c>
      <c r="AH3047">
        <v>29.408238997303702</v>
      </c>
      <c r="AI3047">
        <v>92.179426400067996</v>
      </c>
      <c r="AJ3047">
        <v>93.492668101822801</v>
      </c>
      <c r="AK3047">
        <v>29.484291305536601</v>
      </c>
      <c r="AL3047">
        <v>79.584082028672498</v>
      </c>
      <c r="AM3047">
        <v>92.5062867328717</v>
      </c>
      <c r="AN3047">
        <v>1.0000000271043601</v>
      </c>
    </row>
    <row r="3048" spans="1:40" x14ac:dyDescent="0.25">
      <c r="A3048" t="str">
        <f>"20190303162315619"</f>
        <v>20190303162315619</v>
      </c>
      <c r="B3048" t="str">
        <f>"1551601395607469"</f>
        <v>1551601395607469</v>
      </c>
      <c r="C3048" t="s">
        <v>40</v>
      </c>
      <c r="D3048">
        <v>5.5415519999999896</v>
      </c>
      <c r="E3048">
        <v>0.49254900000000001</v>
      </c>
      <c r="F3048" t="s">
        <v>49</v>
      </c>
      <c r="G3048">
        <v>-416.56150000000002</v>
      </c>
      <c r="H3048" s="1">
        <v>3.2244040000000001E-6</v>
      </c>
      <c r="I3048">
        <v>216.27770000000001</v>
      </c>
      <c r="J3048">
        <v>-444.8571</v>
      </c>
      <c r="K3048">
        <v>1.121254</v>
      </c>
      <c r="L3048">
        <v>215.36920000000001</v>
      </c>
      <c r="M3048">
        <v>0.99949299999999996</v>
      </c>
      <c r="N3048">
        <v>-1.18453E-2</v>
      </c>
      <c r="O3048">
        <v>-2.9559579999999998E-2</v>
      </c>
      <c r="P3048">
        <v>0.98585239999999996</v>
      </c>
      <c r="Q3048">
        <v>0.16701729999999901</v>
      </c>
      <c r="R3048">
        <v>1.4166750000000001E-2</v>
      </c>
      <c r="S3048">
        <v>3.063507</v>
      </c>
      <c r="T3048">
        <v>-0.1203322</v>
      </c>
      <c r="U3048">
        <v>9.6755980000000005E-2</v>
      </c>
      <c r="V3048">
        <v>-4.3480339999999999E-2</v>
      </c>
      <c r="W3048">
        <v>0.17863039999999999</v>
      </c>
      <c r="X3048">
        <v>0.98295500000000002</v>
      </c>
      <c r="Y3048">
        <v>-6.102846E-2</v>
      </c>
      <c r="Z3048">
        <v>2.3699300000000001E-3</v>
      </c>
      <c r="AA3048">
        <v>0.99813320000000005</v>
      </c>
      <c r="AB3048">
        <v>26</v>
      </c>
      <c r="AC3048">
        <v>28.295599999999901</v>
      </c>
      <c r="AD3048">
        <v>-1.1212507755959999</v>
      </c>
      <c r="AE3048">
        <v>0.90850000000000297</v>
      </c>
      <c r="AF3048">
        <v>-1.7418352506704</v>
      </c>
      <c r="AG3048">
        <v>-1.1212507755959999</v>
      </c>
      <c r="AH3048">
        <v>28.2121225517099</v>
      </c>
      <c r="AI3048">
        <v>92.271620686796297</v>
      </c>
      <c r="AJ3048">
        <v>93.532995017977001</v>
      </c>
      <c r="AK3048">
        <v>28.2880726140002</v>
      </c>
      <c r="AL3048">
        <v>79.710004798108102</v>
      </c>
      <c r="AM3048">
        <v>92.532788408538195</v>
      </c>
      <c r="AN3048">
        <v>0.99999994589783603</v>
      </c>
    </row>
    <row r="3049" spans="1:40" x14ac:dyDescent="0.25">
      <c r="A3049" t="str">
        <f>"20190303162315641"</f>
        <v>20190303162315641</v>
      </c>
      <c r="B3049" t="str">
        <f>"1551601395637725"</f>
        <v>1551601395637725</v>
      </c>
      <c r="C3049" t="s">
        <v>40</v>
      </c>
      <c r="D3049">
        <v>5.4833749999999997</v>
      </c>
      <c r="E3049">
        <v>0.4925947</v>
      </c>
      <c r="F3049" t="s">
        <v>49</v>
      </c>
      <c r="G3049">
        <v>-417.81349999999998</v>
      </c>
      <c r="H3049" s="1">
        <v>3.4485789999999898E-6</v>
      </c>
      <c r="I3049">
        <v>216.25380000000001</v>
      </c>
      <c r="J3049">
        <v>-444.5899</v>
      </c>
      <c r="K3049">
        <v>1.12124</v>
      </c>
      <c r="L3049">
        <v>215.36199999999999</v>
      </c>
      <c r="M3049">
        <v>0.99951120000000004</v>
      </c>
      <c r="N3049">
        <v>-1.18359E-2</v>
      </c>
      <c r="O3049">
        <v>-2.8940810000000001E-2</v>
      </c>
      <c r="P3049">
        <v>0.98616999999999999</v>
      </c>
      <c r="Q3049">
        <v>0.1650122</v>
      </c>
      <c r="R3049">
        <v>1.549247E-2</v>
      </c>
      <c r="S3049">
        <v>3.06311</v>
      </c>
      <c r="T3049">
        <v>-0.1269988</v>
      </c>
      <c r="U3049">
        <v>0.10018920000000001</v>
      </c>
      <c r="V3049">
        <v>-4.4203920000000001E-2</v>
      </c>
      <c r="W3049">
        <v>0.17661879999999999</v>
      </c>
      <c r="X3049">
        <v>0.98328629999999995</v>
      </c>
      <c r="Y3049">
        <v>-6.1523929999999998E-2</v>
      </c>
      <c r="Z3049">
        <v>2.4956689999999998E-3</v>
      </c>
      <c r="AA3049">
        <v>0.9981025</v>
      </c>
      <c r="AB3049">
        <v>26</v>
      </c>
      <c r="AC3049">
        <v>26.776399999999999</v>
      </c>
      <c r="AD3049">
        <v>-1.1212365514210001</v>
      </c>
      <c r="AE3049">
        <v>0.89180000000001702</v>
      </c>
      <c r="AF3049">
        <v>-1.6634976653078499</v>
      </c>
      <c r="AG3049">
        <v>-1.1212365514210001</v>
      </c>
      <c r="AH3049">
        <v>26.692619341316899</v>
      </c>
      <c r="AI3049">
        <v>92.400671315068905</v>
      </c>
      <c r="AJ3049">
        <v>93.566090288285693</v>
      </c>
      <c r="AK3049">
        <v>26.767897250011501</v>
      </c>
      <c r="AL3049">
        <v>79.827124648582895</v>
      </c>
      <c r="AM3049">
        <v>92.574015263033203</v>
      </c>
      <c r="AN3049">
        <v>1.00000006741224</v>
      </c>
    </row>
    <row r="3050" spans="1:40" x14ac:dyDescent="0.25">
      <c r="A3050" t="str">
        <f>"20190303162315665"</f>
        <v>20190303162315665</v>
      </c>
      <c r="B3050" t="str">
        <f>"1551601395658220"</f>
        <v>1551601395658220</v>
      </c>
      <c r="C3050" t="s">
        <v>40</v>
      </c>
      <c r="D3050">
        <v>5.489363</v>
      </c>
      <c r="E3050">
        <v>0.49264239999999998</v>
      </c>
      <c r="F3050" t="s">
        <v>49</v>
      </c>
      <c r="G3050">
        <v>-418.81920000000002</v>
      </c>
      <c r="H3050" s="1">
        <v>3.6276389999999998E-6</v>
      </c>
      <c r="I3050">
        <v>216.24629999999999</v>
      </c>
      <c r="J3050">
        <v>-444.3252</v>
      </c>
      <c r="K3050">
        <v>1.121243</v>
      </c>
      <c r="L3050">
        <v>215.35509999999999</v>
      </c>
      <c r="M3050">
        <v>0.99952920000000001</v>
      </c>
      <c r="N3050">
        <v>-1.1827280000000001E-2</v>
      </c>
      <c r="O3050">
        <v>-2.8310979999999999E-2</v>
      </c>
      <c r="P3050">
        <v>0.9863748</v>
      </c>
      <c r="Q3050">
        <v>0.16366420000000001</v>
      </c>
      <c r="R3050">
        <v>1.670578E-2</v>
      </c>
      <c r="S3050">
        <v>3.0627439999999999</v>
      </c>
      <c r="T3050">
        <v>-0.1332545</v>
      </c>
      <c r="U3050">
        <v>0.10508729999999999</v>
      </c>
      <c r="V3050">
        <v>-4.4805240000000003E-2</v>
      </c>
      <c r="W3050">
        <v>0.1752631</v>
      </c>
      <c r="X3050">
        <v>0.98350159999999998</v>
      </c>
      <c r="Y3050">
        <v>-6.248455E-2</v>
      </c>
      <c r="Z3050">
        <v>2.624319E-3</v>
      </c>
      <c r="AA3050">
        <v>0.99804250000000005</v>
      </c>
      <c r="AB3050">
        <v>26</v>
      </c>
      <c r="AC3050">
        <v>25.505999999999901</v>
      </c>
      <c r="AD3050">
        <v>-1.1212393723609999</v>
      </c>
      <c r="AE3050">
        <v>0.89119999999999699</v>
      </c>
      <c r="AF3050">
        <v>-1.60988582805325</v>
      </c>
      <c r="AG3050">
        <v>-1.1212393723609999</v>
      </c>
      <c r="AH3050">
        <v>25.421476085902501</v>
      </c>
      <c r="AI3050">
        <v>92.520407968022695</v>
      </c>
      <c r="AJ3050">
        <v>93.623576095438295</v>
      </c>
      <c r="AK3050">
        <v>25.4970656448073</v>
      </c>
      <c r="AL3050">
        <v>79.906031050217393</v>
      </c>
      <c r="AM3050">
        <v>92.608412006675906</v>
      </c>
      <c r="AN3050">
        <v>1.0000000304778101</v>
      </c>
    </row>
    <row r="3051" spans="1:40" x14ac:dyDescent="0.25">
      <c r="A3051" t="str">
        <f>"20190303162315686"</f>
        <v>20190303162315686</v>
      </c>
      <c r="B3051" t="str">
        <f>"1551601395677741"</f>
        <v>1551601395677741</v>
      </c>
      <c r="C3051" t="s">
        <v>40</v>
      </c>
      <c r="D3051">
        <v>5.4886530000000002</v>
      </c>
      <c r="E3051">
        <v>0.49267919999999998</v>
      </c>
      <c r="F3051" t="s">
        <v>49</v>
      </c>
      <c r="G3051">
        <v>-419.27679999999998</v>
      </c>
      <c r="H3051" s="1">
        <v>3.7083760000000001E-6</v>
      </c>
      <c r="I3051">
        <v>216.25120000000001</v>
      </c>
      <c r="J3051">
        <v>-444.06549999999999</v>
      </c>
      <c r="K3051">
        <v>1.121251</v>
      </c>
      <c r="L3051">
        <v>215.3484</v>
      </c>
      <c r="M3051">
        <v>0.99954770000000004</v>
      </c>
      <c r="N3051">
        <v>-1.181347E-2</v>
      </c>
      <c r="O3051">
        <v>-2.7658189999999999E-2</v>
      </c>
      <c r="P3051">
        <v>0.98641400000000001</v>
      </c>
      <c r="Q3051">
        <v>0.163303</v>
      </c>
      <c r="R3051">
        <v>1.7881169999999998E-2</v>
      </c>
      <c r="S3051">
        <v>3.0623170000000002</v>
      </c>
      <c r="T3051">
        <v>-0.13707800000000001</v>
      </c>
      <c r="U3051">
        <v>0.10955810000000001</v>
      </c>
      <c r="V3051">
        <v>-4.5347169999999999E-2</v>
      </c>
      <c r="W3051">
        <v>0.17488570000000001</v>
      </c>
      <c r="X3051">
        <v>0.98354390000000003</v>
      </c>
      <c r="Y3051">
        <v>-6.3287070000000001E-2</v>
      </c>
      <c r="Z3051">
        <v>2.7000460000000002E-3</v>
      </c>
      <c r="AA3051">
        <v>0.99799170000000004</v>
      </c>
      <c r="AB3051">
        <v>26</v>
      </c>
      <c r="AC3051">
        <v>24.788699999999999</v>
      </c>
      <c r="AD3051">
        <v>-1.1212472916239999</v>
      </c>
      <c r="AE3051">
        <v>0.90280000000001304</v>
      </c>
      <c r="AF3051">
        <v>-1.58487466792453</v>
      </c>
      <c r="AG3051">
        <v>-1.1212472916239999</v>
      </c>
      <c r="AH3051">
        <v>24.7037681773275</v>
      </c>
      <c r="AI3051">
        <v>92.593415972292703</v>
      </c>
      <c r="AJ3051">
        <v>93.670790316855999</v>
      </c>
      <c r="AK3051">
        <v>24.779935136338501</v>
      </c>
      <c r="AL3051">
        <v>79.927993258628902</v>
      </c>
      <c r="AM3051">
        <v>92.639803625732895</v>
      </c>
      <c r="AN3051">
        <v>0.99999998855935401</v>
      </c>
    </row>
    <row r="3052" spans="1:40" x14ac:dyDescent="0.25">
      <c r="A3052" t="str">
        <f>"20190303162315710"</f>
        <v>20190303162315710</v>
      </c>
      <c r="B3052" t="str">
        <f>"1551601395697261"</f>
        <v>1551601395697261</v>
      </c>
      <c r="C3052" t="s">
        <v>40</v>
      </c>
      <c r="D3052">
        <v>5.4306739999999998</v>
      </c>
      <c r="E3052">
        <v>0.49273309999999998</v>
      </c>
      <c r="F3052" t="s">
        <v>49</v>
      </c>
      <c r="G3052">
        <v>-419.13029999999998</v>
      </c>
      <c r="H3052" s="1">
        <v>3.6804899999999999E-6</v>
      </c>
      <c r="I3052">
        <v>216.27289999999999</v>
      </c>
      <c r="J3052">
        <v>-443.78129999999999</v>
      </c>
      <c r="K3052">
        <v>1.1212879999999901</v>
      </c>
      <c r="L3052">
        <v>215.34139999999999</v>
      </c>
      <c r="M3052">
        <v>0.99956849999999997</v>
      </c>
      <c r="N3052">
        <v>-1.179475E-2</v>
      </c>
      <c r="O3052">
        <v>-2.6899369999999999E-2</v>
      </c>
      <c r="P3052">
        <v>0.98612100000000003</v>
      </c>
      <c r="Q3052">
        <v>0.16492579999999901</v>
      </c>
      <c r="R3052">
        <v>1.9106950000000001E-2</v>
      </c>
      <c r="S3052">
        <v>3.0620120000000002</v>
      </c>
      <c r="T3052">
        <v>-0.1376878</v>
      </c>
      <c r="U3052">
        <v>0.113525399999999</v>
      </c>
      <c r="V3052">
        <v>-4.5833840000000001E-2</v>
      </c>
      <c r="W3052">
        <v>0.17648220000000001</v>
      </c>
      <c r="X3052">
        <v>0.98323609999999995</v>
      </c>
      <c r="Y3052">
        <v>-6.3823229999999995E-2</v>
      </c>
      <c r="Z3052">
        <v>2.7020479999999999E-3</v>
      </c>
      <c r="AA3052">
        <v>0.9979576</v>
      </c>
      <c r="AB3052">
        <v>26</v>
      </c>
      <c r="AC3052">
        <v>24.651</v>
      </c>
      <c r="AD3052">
        <v>-1.12128431950999</v>
      </c>
      <c r="AE3052">
        <v>0.931499999999999</v>
      </c>
      <c r="AF3052">
        <v>-1.59101828746926</v>
      </c>
      <c r="AG3052">
        <v>-1.12128431950999</v>
      </c>
      <c r="AH3052">
        <v>24.566264844937599</v>
      </c>
      <c r="AI3052">
        <v>92.607896126052793</v>
      </c>
      <c r="AJ3052">
        <v>93.705549084902302</v>
      </c>
      <c r="AK3052">
        <v>24.6432543741256</v>
      </c>
      <c r="AL3052">
        <v>79.835075136647703</v>
      </c>
      <c r="AM3052">
        <v>92.6689275528786</v>
      </c>
      <c r="AN3052">
        <v>0.99999996807459701</v>
      </c>
    </row>
    <row r="3053" spans="1:40" x14ac:dyDescent="0.25">
      <c r="A3053" t="str">
        <f>"20190303162315733"</f>
        <v>20190303162315733</v>
      </c>
      <c r="B3053" t="str">
        <f>"1551601395727517"</f>
        <v>1551601395727517</v>
      </c>
      <c r="C3053" t="s">
        <v>40</v>
      </c>
      <c r="D3053">
        <v>5.4237460000000004</v>
      </c>
      <c r="E3053">
        <v>0.49279580000000001</v>
      </c>
      <c r="F3053" t="s">
        <v>49</v>
      </c>
      <c r="G3053">
        <v>-417.7783</v>
      </c>
      <c r="H3053" s="1">
        <v>3.4354230000000002E-6</v>
      </c>
      <c r="I3053">
        <v>216.3329</v>
      </c>
      <c r="J3053">
        <v>-443.51280000000003</v>
      </c>
      <c r="K3053">
        <v>1.121329</v>
      </c>
      <c r="L3053">
        <v>215.33500000000001</v>
      </c>
      <c r="M3053">
        <v>0.99958959999999997</v>
      </c>
      <c r="N3053">
        <v>-1.1775559999999999E-2</v>
      </c>
      <c r="O3053">
        <v>-2.611803E-2</v>
      </c>
      <c r="P3053">
        <v>0.98580659999999998</v>
      </c>
      <c r="Q3053">
        <v>0.1666986</v>
      </c>
      <c r="R3053">
        <v>1.9925910000000002E-2</v>
      </c>
      <c r="S3053">
        <v>3.0620419999999999</v>
      </c>
      <c r="T3053">
        <v>-0.1320395</v>
      </c>
      <c r="U3053">
        <v>0.1167603</v>
      </c>
      <c r="V3053">
        <v>-4.5895129999999999E-2</v>
      </c>
      <c r="W3053">
        <v>0.178227</v>
      </c>
      <c r="X3053">
        <v>0.98291850000000003</v>
      </c>
      <c r="Y3053">
        <v>-6.4103099999999996E-2</v>
      </c>
      <c r="Z3053">
        <v>2.5767839999999999E-3</v>
      </c>
      <c r="AA3053">
        <v>0.99793989999999999</v>
      </c>
      <c r="AB3053">
        <v>26</v>
      </c>
      <c r="AC3053">
        <v>25.734500000000001</v>
      </c>
      <c r="AD3053">
        <v>-1.1213255645769999</v>
      </c>
      <c r="AE3053">
        <v>0.99789999999998702</v>
      </c>
      <c r="AF3053">
        <v>-1.6665811123991801</v>
      </c>
      <c r="AG3053">
        <v>-1.1213255645769999</v>
      </c>
      <c r="AH3053">
        <v>25.651027132193502</v>
      </c>
      <c r="AI3053">
        <v>92.497811357300705</v>
      </c>
      <c r="AJ3053">
        <v>93.717357685730803</v>
      </c>
      <c r="AK3053">
        <v>25.729556089495802</v>
      </c>
      <c r="AL3053">
        <v>79.733495448703295</v>
      </c>
      <c r="AM3053">
        <v>92.673353610742694</v>
      </c>
      <c r="AN3053">
        <v>1.0000000020644799</v>
      </c>
    </row>
    <row r="3054" spans="1:40" x14ac:dyDescent="0.25">
      <c r="A3054" t="str">
        <f>"20190303162315754"</f>
        <v>20190303162315754</v>
      </c>
      <c r="B3054" t="str">
        <f>"1551601395748013"</f>
        <v>1551601395748013</v>
      </c>
      <c r="C3054" t="s">
        <v>40</v>
      </c>
      <c r="D3054">
        <v>5.4170989999999897</v>
      </c>
      <c r="E3054">
        <v>0.49283440000000001</v>
      </c>
      <c r="F3054" t="s">
        <v>49</v>
      </c>
      <c r="G3054">
        <v>-416.00310000000002</v>
      </c>
      <c r="H3054" s="1">
        <v>3.1144720000000001E-6</v>
      </c>
      <c r="I3054">
        <v>216.40219999999999</v>
      </c>
      <c r="J3054">
        <v>-443.25979999999998</v>
      </c>
      <c r="K3054">
        <v>1.1213820000000001</v>
      </c>
      <c r="L3054">
        <v>215.32929999999999</v>
      </c>
      <c r="M3054">
        <v>0.99961080000000002</v>
      </c>
      <c r="N3054">
        <v>-1.1754479999999999E-2</v>
      </c>
      <c r="O3054">
        <v>-2.5298870000000001E-2</v>
      </c>
      <c r="P3054">
        <v>0.98563559999999995</v>
      </c>
      <c r="Q3054">
        <v>0.16765959999999999</v>
      </c>
      <c r="R3054">
        <v>2.0322880000000001E-2</v>
      </c>
      <c r="S3054">
        <v>3.06189</v>
      </c>
      <c r="T3054">
        <v>-0.124806</v>
      </c>
      <c r="U3054">
        <v>0.1187744</v>
      </c>
      <c r="V3054">
        <v>-4.5505770000000001E-2</v>
      </c>
      <c r="W3054">
        <v>0.17916009999999999</v>
      </c>
      <c r="X3054">
        <v>0.9827669</v>
      </c>
      <c r="Y3054">
        <v>-6.3952270000000006E-2</v>
      </c>
      <c r="Z3054">
        <v>2.411837E-3</v>
      </c>
      <c r="AA3054">
        <v>0.99795</v>
      </c>
      <c r="AB3054">
        <v>26</v>
      </c>
      <c r="AC3054">
        <v>27.256699999999899</v>
      </c>
      <c r="AD3054">
        <v>-1.12137888552799</v>
      </c>
      <c r="AE3054">
        <v>1.0729</v>
      </c>
      <c r="AF3054">
        <v>-1.7591948878396699</v>
      </c>
      <c r="AG3054">
        <v>-1.12137888552799</v>
      </c>
      <c r="AH3054">
        <v>27.174904278862201</v>
      </c>
      <c r="AI3054">
        <v>92.358053074678097</v>
      </c>
      <c r="AJ3054">
        <v>93.703931866383002</v>
      </c>
      <c r="AK3054">
        <v>27.254865250513198</v>
      </c>
      <c r="AL3054">
        <v>79.679157621812806</v>
      </c>
      <c r="AM3054">
        <v>92.651114506570707</v>
      </c>
      <c r="AN3054">
        <v>0.99999994813545501</v>
      </c>
    </row>
    <row r="3055" spans="1:40" x14ac:dyDescent="0.25">
      <c r="A3055" t="str">
        <f>"20190303162315777"</f>
        <v>20190303162315777</v>
      </c>
      <c r="B3055" t="str">
        <f>"1551601395767533"</f>
        <v>1551601395767533</v>
      </c>
      <c r="C3055" t="s">
        <v>40</v>
      </c>
      <c r="D3055">
        <v>5.1893330000000004</v>
      </c>
      <c r="E3055">
        <v>0.49286960000000002</v>
      </c>
      <c r="F3055" t="s">
        <v>49</v>
      </c>
      <c r="G3055">
        <v>-414.93329999999997</v>
      </c>
      <c r="H3055" s="1">
        <v>2.9215069999999999E-6</v>
      </c>
      <c r="I3055">
        <v>216.43899999999999</v>
      </c>
      <c r="J3055">
        <v>-442.99400000000003</v>
      </c>
      <c r="K3055">
        <v>1.121461</v>
      </c>
      <c r="L3055">
        <v>215.3236</v>
      </c>
      <c r="M3055">
        <v>0.99963519999999995</v>
      </c>
      <c r="N3055">
        <v>-1.172817E-2</v>
      </c>
      <c r="O3055">
        <v>-2.4332260000000001E-2</v>
      </c>
      <c r="P3055">
        <v>0.98557720000000004</v>
      </c>
      <c r="Q3055">
        <v>0.1680246</v>
      </c>
      <c r="R3055">
        <v>2.013069E-2</v>
      </c>
      <c r="S3055">
        <v>3.06189</v>
      </c>
      <c r="T3055">
        <v>-0.1212134</v>
      </c>
      <c r="U3055">
        <v>0.11994929999999999</v>
      </c>
      <c r="V3055">
        <v>-4.4392840000000003E-2</v>
      </c>
      <c r="W3055">
        <v>0.17949270000000001</v>
      </c>
      <c r="X3055">
        <v>0.9827572</v>
      </c>
      <c r="Y3055">
        <v>-6.3374899999999998E-2</v>
      </c>
      <c r="Z3055">
        <v>2.3028200000000001E-3</v>
      </c>
      <c r="AA3055">
        <v>0.99798719999999996</v>
      </c>
      <c r="AB3055">
        <v>26</v>
      </c>
      <c r="AC3055">
        <v>28.060700000000001</v>
      </c>
      <c r="AD3055">
        <v>-1.1214580784929999</v>
      </c>
      <c r="AE3055">
        <v>1.1154000000000199</v>
      </c>
      <c r="AF3055">
        <v>-1.7950343067994501</v>
      </c>
      <c r="AG3055">
        <v>-1.1214580784929999</v>
      </c>
      <c r="AH3055">
        <v>27.9806276046059</v>
      </c>
      <c r="AI3055">
        <v>92.290471738019605</v>
      </c>
      <c r="AJ3055">
        <v>93.670651921615502</v>
      </c>
      <c r="AK3055">
        <v>28.0605655240952</v>
      </c>
      <c r="AL3055">
        <v>79.659787936500095</v>
      </c>
      <c r="AM3055">
        <v>92.586391105754103</v>
      </c>
      <c r="AN3055">
        <v>1.0000000338741899</v>
      </c>
    </row>
    <row r="3056" spans="1:40" x14ac:dyDescent="0.25">
      <c r="A3056" t="str">
        <f>"20190303162315799"</f>
        <v>20190303162315799</v>
      </c>
      <c r="B3056" t="str">
        <f>"1551601395788029"</f>
        <v>1551601395788029</v>
      </c>
      <c r="C3056" t="s">
        <v>40</v>
      </c>
      <c r="D3056">
        <v>5.1366420000000002</v>
      </c>
      <c r="E3056">
        <v>0.50277299999999903</v>
      </c>
      <c r="F3056" t="s">
        <v>49</v>
      </c>
      <c r="G3056">
        <v>-414.16269999999997</v>
      </c>
      <c r="H3056" s="1">
        <v>2.7848520000000002E-6</v>
      </c>
      <c r="I3056">
        <v>216.4385</v>
      </c>
      <c r="J3056">
        <v>-442.73</v>
      </c>
      <c r="K3056">
        <v>1.1215469999999901</v>
      </c>
      <c r="L3056">
        <v>215.31829999999999</v>
      </c>
      <c r="M3056">
        <v>0.99966120000000003</v>
      </c>
      <c r="N3056">
        <v>-1.169076E-2</v>
      </c>
      <c r="O3056">
        <v>-2.325605E-2</v>
      </c>
      <c r="P3056">
        <v>0.98535819999999996</v>
      </c>
      <c r="Q3056">
        <v>0.1693683</v>
      </c>
      <c r="R3056">
        <v>1.9588459999999999E-2</v>
      </c>
      <c r="S3056">
        <v>3.0617369999999999</v>
      </c>
      <c r="T3056">
        <v>-0.1190932</v>
      </c>
      <c r="U3056">
        <v>0.118392899999999</v>
      </c>
      <c r="V3056">
        <v>-4.2824760000000003E-2</v>
      </c>
      <c r="W3056">
        <v>0.18079149999999999</v>
      </c>
      <c r="X3056">
        <v>0.98258860000000003</v>
      </c>
      <c r="Y3056">
        <v>-6.1800189999999998E-2</v>
      </c>
      <c r="Z3056">
        <v>2.1948499999999999E-3</v>
      </c>
      <c r="AA3056">
        <v>0.99808620000000003</v>
      </c>
      <c r="AB3056">
        <v>26</v>
      </c>
      <c r="AC3056">
        <v>28.567299999999999</v>
      </c>
      <c r="AD3056">
        <v>-1.121544215148</v>
      </c>
      <c r="AE3056">
        <v>1.1202000000000101</v>
      </c>
      <c r="AF3056">
        <v>-1.78156318924541</v>
      </c>
      <c r="AG3056">
        <v>-1.121544215148</v>
      </c>
      <c r="AH3056">
        <v>28.489675017078099</v>
      </c>
      <c r="AI3056">
        <v>92.249990704114595</v>
      </c>
      <c r="AJ3056">
        <v>93.578254517645206</v>
      </c>
      <c r="AK3056">
        <v>28.567348693964099</v>
      </c>
      <c r="AL3056">
        <v>79.584133559313301</v>
      </c>
      <c r="AM3056">
        <v>92.495577663218697</v>
      </c>
      <c r="AN3056">
        <v>0.999999941695632</v>
      </c>
    </row>
    <row r="3057" spans="1:40" x14ac:dyDescent="0.25">
      <c r="A3057" t="str">
        <f>"20190303162315824"</f>
        <v>20190303162315824</v>
      </c>
      <c r="B3057" t="str">
        <f>"1551601395818285"</f>
        <v>1551601395818285</v>
      </c>
      <c r="C3057" t="s">
        <v>40</v>
      </c>
      <c r="D3057">
        <v>5.417376</v>
      </c>
      <c r="E3057">
        <v>0.50550720000000005</v>
      </c>
      <c r="F3057" t="s">
        <v>47</v>
      </c>
      <c r="G3057">
        <v>-326.41640000000001</v>
      </c>
      <c r="H3057" s="1">
        <v>1.8776719999999999E-6</v>
      </c>
      <c r="I3057">
        <v>216.71940000000001</v>
      </c>
      <c r="J3057">
        <v>-442.44909999999999</v>
      </c>
      <c r="K3057">
        <v>1.121629</v>
      </c>
      <c r="L3057">
        <v>215.31309999999999</v>
      </c>
      <c r="M3057">
        <v>0.99969050000000004</v>
      </c>
      <c r="N3057">
        <v>-1.1626050000000001E-2</v>
      </c>
      <c r="O3057">
        <v>-2.199746E-2</v>
      </c>
      <c r="P3057">
        <v>0.98490759999999999</v>
      </c>
      <c r="Q3057">
        <v>0.1720341</v>
      </c>
      <c r="R3057">
        <v>1.9013800000000001E-2</v>
      </c>
      <c r="S3057">
        <v>3.04895</v>
      </c>
      <c r="T3057">
        <v>-2.939928E-2</v>
      </c>
      <c r="U3057">
        <v>3.6727910000000002E-2</v>
      </c>
      <c r="V3057">
        <v>-4.1043900000000001E-2</v>
      </c>
      <c r="W3057">
        <v>0.1833834</v>
      </c>
      <c r="X3057">
        <v>0.98218430000000001</v>
      </c>
      <c r="Y3057">
        <v>-3.4036110000000001E-2</v>
      </c>
      <c r="Z3057">
        <v>3.1830170000000002E-4</v>
      </c>
      <c r="AA3057">
        <v>0.99942050000000004</v>
      </c>
      <c r="AB3057">
        <v>26</v>
      </c>
      <c r="AC3057">
        <v>116.032699999999</v>
      </c>
      <c r="AD3057">
        <v>-1.1216271223280001</v>
      </c>
      <c r="AE3057">
        <v>1.4063000000000101</v>
      </c>
      <c r="AF3057">
        <v>-3.9581868687456798</v>
      </c>
      <c r="AG3057">
        <v>-1.1216271223280001</v>
      </c>
      <c r="AH3057">
        <v>115.96284820343</v>
      </c>
      <c r="AI3057">
        <v>90.553842001686903</v>
      </c>
      <c r="AJ3057">
        <v>91.954931188403705</v>
      </c>
      <c r="AK3057">
        <v>116.035802466916</v>
      </c>
      <c r="AL3057">
        <v>79.433104715823106</v>
      </c>
      <c r="AM3057">
        <v>92.392906107522606</v>
      </c>
      <c r="AN3057">
        <v>1.00000003614462</v>
      </c>
    </row>
    <row r="3058" spans="1:40" x14ac:dyDescent="0.25">
      <c r="A3058" t="str">
        <f>"20190303162315842"</f>
        <v>20190303162315842</v>
      </c>
      <c r="B3058" t="str">
        <f>"1551601395829021"</f>
        <v>1551601395829021</v>
      </c>
      <c r="C3058" t="s">
        <v>40</v>
      </c>
      <c r="D3058">
        <v>5.476953</v>
      </c>
      <c r="E3058">
        <v>0.5054786</v>
      </c>
      <c r="F3058" t="s">
        <v>47</v>
      </c>
      <c r="G3058">
        <v>-248.22479999999999</v>
      </c>
      <c r="H3058" s="1">
        <v>2.772487E-6</v>
      </c>
      <c r="I3058">
        <v>216.1618</v>
      </c>
      <c r="J3058">
        <v>-442.21879999999999</v>
      </c>
      <c r="K3058">
        <v>1.1216809999999999</v>
      </c>
      <c r="L3058">
        <v>215.3092</v>
      </c>
      <c r="M3058">
        <v>0.99971520000000003</v>
      </c>
      <c r="N3058">
        <v>-1.154607E-2</v>
      </c>
      <c r="O3058">
        <v>-2.088914E-2</v>
      </c>
      <c r="P3058">
        <v>0.98461480000000001</v>
      </c>
      <c r="Q3058">
        <v>0.17369679999999901</v>
      </c>
      <c r="R3058">
        <v>1.9060500000000001E-2</v>
      </c>
      <c r="S3058">
        <v>3.0487980000000001</v>
      </c>
      <c r="T3058">
        <v>-1.7606500000000001E-2</v>
      </c>
      <c r="U3058">
        <v>1.332092E-2</v>
      </c>
      <c r="V3058">
        <v>-4.0021620000000001E-2</v>
      </c>
      <c r="W3058">
        <v>0.1849614</v>
      </c>
      <c r="X3058">
        <v>0.98193050000000004</v>
      </c>
      <c r="Y3058">
        <v>-2.525697E-2</v>
      </c>
      <c r="Z3058" s="1">
        <v>9.816491E-5</v>
      </c>
      <c r="AA3058">
        <v>0.99968100000000004</v>
      </c>
      <c r="AB3058">
        <v>26</v>
      </c>
      <c r="AC3058">
        <v>193.994</v>
      </c>
      <c r="AD3058">
        <v>-1.1216782275129999</v>
      </c>
      <c r="AE3058">
        <v>0.85259999999999503</v>
      </c>
      <c r="AF3058">
        <v>-4.9048876244176203</v>
      </c>
      <c r="AG3058">
        <v>-1.1216782275129999</v>
      </c>
      <c r="AH3058">
        <v>193.927370018364</v>
      </c>
      <c r="AI3058">
        <v>90.331289833770697</v>
      </c>
      <c r="AJ3058">
        <v>91.448838591018202</v>
      </c>
      <c r="AK3058">
        <v>193.99263111493099</v>
      </c>
      <c r="AL3058">
        <v>79.341117822247796</v>
      </c>
      <c r="AM3058">
        <v>92.333975177347796</v>
      </c>
      <c r="AN3058">
        <v>0.99999997819381703</v>
      </c>
    </row>
    <row r="3059" spans="1:40" x14ac:dyDescent="0.25">
      <c r="A3059" t="str">
        <f>"20190303162315867"</f>
        <v>20190303162315867</v>
      </c>
      <c r="B3059" t="str">
        <f>"1551601395858300"</f>
        <v>1551601395858300</v>
      </c>
      <c r="C3059" t="s">
        <v>40</v>
      </c>
      <c r="D3059">
        <v>5.4090590000000001</v>
      </c>
      <c r="E3059">
        <v>0.50571499999999903</v>
      </c>
      <c r="F3059" t="s">
        <v>47</v>
      </c>
      <c r="G3059">
        <v>-216.55199999999999</v>
      </c>
      <c r="H3059" s="1">
        <v>1.8742180000000001E-6</v>
      </c>
      <c r="I3059">
        <v>216.34700000000001</v>
      </c>
      <c r="J3059">
        <v>-441.93150000000003</v>
      </c>
      <c r="K3059">
        <v>1.12171</v>
      </c>
      <c r="L3059">
        <v>215.3049</v>
      </c>
      <c r="M3059">
        <v>0.99974580000000002</v>
      </c>
      <c r="N3059">
        <v>-1.1430259999999999E-2</v>
      </c>
      <c r="O3059">
        <v>-1.9444099999999999E-2</v>
      </c>
      <c r="P3059">
        <v>0.98422960000000004</v>
      </c>
      <c r="Q3059">
        <v>0.17556550000000001</v>
      </c>
      <c r="R3059">
        <v>2.166038E-2</v>
      </c>
      <c r="S3059">
        <v>3.0492859999999999</v>
      </c>
      <c r="T3059">
        <v>-1.515651E-2</v>
      </c>
      <c r="U3059">
        <v>1.402283E-2</v>
      </c>
      <c r="V3059">
        <v>-4.1213420000000001E-2</v>
      </c>
      <c r="W3059">
        <v>0.18670529999999999</v>
      </c>
      <c r="X3059">
        <v>0.98155110000000001</v>
      </c>
      <c r="Y3059">
        <v>-2.4041590000000002E-2</v>
      </c>
      <c r="Z3059" s="1">
        <v>7.1533059999999998E-5</v>
      </c>
      <c r="AA3059">
        <v>0.99971100000000002</v>
      </c>
      <c r="AB3059">
        <v>26</v>
      </c>
      <c r="AC3059">
        <v>225.37950000000001</v>
      </c>
      <c r="AD3059">
        <v>-1.1217081257820001</v>
      </c>
      <c r="AE3059">
        <v>1.0421</v>
      </c>
      <c r="AF3059">
        <v>-5.4243555891285302</v>
      </c>
      <c r="AG3059">
        <v>-1.1217081257820001</v>
      </c>
      <c r="AH3059">
        <v>225.31104055140901</v>
      </c>
      <c r="AI3059">
        <v>90.2851613199024</v>
      </c>
      <c r="AJ3059">
        <v>91.379127522511197</v>
      </c>
      <c r="AK3059">
        <v>225.37911805896201</v>
      </c>
      <c r="AL3059">
        <v>79.239428507565194</v>
      </c>
      <c r="AM3059">
        <v>92.404325973822495</v>
      </c>
      <c r="AN3059">
        <v>0.99999998847369798</v>
      </c>
    </row>
    <row r="3060" spans="1:40" x14ac:dyDescent="0.25">
      <c r="A3060" t="str">
        <f>"20190303162315888"</f>
        <v>20190303162315888</v>
      </c>
      <c r="B3060" t="str">
        <f>"1551601395877821"</f>
        <v>1551601395877821</v>
      </c>
      <c r="C3060" t="s">
        <v>40</v>
      </c>
      <c r="D3060">
        <v>5.473662</v>
      </c>
      <c r="E3060">
        <v>0.50599989999999995</v>
      </c>
      <c r="F3060" t="s">
        <v>50</v>
      </c>
      <c r="G3060">
        <v>-107.39749999999999</v>
      </c>
      <c r="H3060">
        <v>0.17778910000000001</v>
      </c>
      <c r="I3060">
        <v>217.3974</v>
      </c>
      <c r="J3060">
        <v>-441.68270000000001</v>
      </c>
      <c r="K3060">
        <v>1.1217109999999999</v>
      </c>
      <c r="L3060">
        <v>215.3014</v>
      </c>
      <c r="M3060">
        <v>0.99977079999999996</v>
      </c>
      <c r="N3060">
        <v>-1.13093E-2</v>
      </c>
      <c r="O3060">
        <v>-1.8179170000000001E-2</v>
      </c>
      <c r="P3060">
        <v>0.9836646</v>
      </c>
      <c r="Q3060">
        <v>0.178255</v>
      </c>
      <c r="R3060">
        <v>2.5080379999999999E-2</v>
      </c>
      <c r="S3060">
        <v>3.0492249999999999</v>
      </c>
      <c r="T3060">
        <v>-8.6032150000000009E-3</v>
      </c>
      <c r="U3060">
        <v>1.9073489999999999E-2</v>
      </c>
      <c r="V3060">
        <v>-4.3388179999999998E-2</v>
      </c>
      <c r="W3060">
        <v>0.18926380000000001</v>
      </c>
      <c r="X3060">
        <v>0.98096719999999904</v>
      </c>
      <c r="Y3060">
        <v>-2.4432880000000001E-2</v>
      </c>
      <c r="Z3060" s="1">
        <v>1.8318479999999999E-5</v>
      </c>
      <c r="AA3060">
        <v>0.99970150000000002</v>
      </c>
      <c r="AB3060">
        <v>27</v>
      </c>
      <c r="AC3060">
        <v>334.28519999999997</v>
      </c>
      <c r="AD3060">
        <v>-0.94392189999999998</v>
      </c>
      <c r="AE3060">
        <v>2.0960000000000001</v>
      </c>
      <c r="AF3060">
        <v>-8.1730044553520607</v>
      </c>
      <c r="AG3060">
        <v>-0.94392189999999998</v>
      </c>
      <c r="AH3060">
        <v>334.18918025187003</v>
      </c>
      <c r="AI3060">
        <v>90.161783906206693</v>
      </c>
      <c r="AJ3060">
        <v>91.400958984252199</v>
      </c>
      <c r="AK3060">
        <v>334.29043837327703</v>
      </c>
      <c r="AL3060">
        <v>79.090176286626104</v>
      </c>
      <c r="AM3060">
        <v>92.532541767420497</v>
      </c>
      <c r="AN3060">
        <v>0.999999983814995</v>
      </c>
    </row>
    <row r="3061" spans="1:40" x14ac:dyDescent="0.25">
      <c r="A3061" t="str">
        <f>"20190303162315912"</f>
        <v>20190303162315912</v>
      </c>
      <c r="B3061" t="str">
        <f>"1551601395908076"</f>
        <v>1551601395908076</v>
      </c>
      <c r="C3061" t="s">
        <v>40</v>
      </c>
      <c r="D3061">
        <v>5.5295399999999999</v>
      </c>
      <c r="E3061">
        <v>0.50649299999999997</v>
      </c>
      <c r="F3061" t="s">
        <v>50</v>
      </c>
      <c r="G3061">
        <v>-107.39749999999999</v>
      </c>
      <c r="H3061">
        <v>0.84662399999999904</v>
      </c>
      <c r="I3061">
        <v>218.17320000000001</v>
      </c>
      <c r="J3061">
        <v>-441.39229999999998</v>
      </c>
      <c r="K3061">
        <v>1.1216839999999999</v>
      </c>
      <c r="L3061">
        <v>215.2978</v>
      </c>
      <c r="M3061">
        <v>0.99979799999999996</v>
      </c>
      <c r="N3061">
        <v>-1.1150729999999999E-2</v>
      </c>
      <c r="O3061">
        <v>-1.6722420000000002E-2</v>
      </c>
      <c r="P3061">
        <v>0.98285279999999997</v>
      </c>
      <c r="Q3061">
        <v>0.18223159999999999</v>
      </c>
      <c r="R3061">
        <v>2.8145119999999999E-2</v>
      </c>
      <c r="S3061">
        <v>3.049652</v>
      </c>
      <c r="T3061">
        <v>-2.5091169999999999E-3</v>
      </c>
      <c r="U3061">
        <v>2.6199340000000002E-2</v>
      </c>
      <c r="V3061">
        <v>-4.5008100000000002E-2</v>
      </c>
      <c r="W3061">
        <v>0.19307369999999999</v>
      </c>
      <c r="X3061">
        <v>0.98015140000000001</v>
      </c>
      <c r="Y3061">
        <v>-2.5311239999999999E-2</v>
      </c>
      <c r="Z3061" s="1">
        <v>-2.117617E-5</v>
      </c>
      <c r="AA3061">
        <v>0.9996796</v>
      </c>
      <c r="AB3061">
        <v>27</v>
      </c>
      <c r="AC3061">
        <v>333.9948</v>
      </c>
      <c r="AD3061">
        <v>-0.27506000000000003</v>
      </c>
      <c r="AE3061">
        <v>2.8754000000000102</v>
      </c>
      <c r="AF3061">
        <v>-8.4605406782107497</v>
      </c>
      <c r="AG3061">
        <v>-0.27506000000000003</v>
      </c>
      <c r="AH3061">
        <v>333.899778807622</v>
      </c>
      <c r="AI3061">
        <v>90.047183968845005</v>
      </c>
      <c r="AJ3061">
        <v>91.451482150790497</v>
      </c>
      <c r="AK3061">
        <v>334.00706383900001</v>
      </c>
      <c r="AL3061">
        <v>78.867783287550395</v>
      </c>
      <c r="AM3061">
        <v>92.629148849601506</v>
      </c>
      <c r="AN3061">
        <v>0.99999997480962899</v>
      </c>
    </row>
    <row r="3062" spans="1:40" x14ac:dyDescent="0.25">
      <c r="A3062" t="str">
        <f>"20190303162315933"</f>
        <v>20190303162315933</v>
      </c>
      <c r="B3062" t="str">
        <f>"1551601395927597"</f>
        <v>1551601395927597</v>
      </c>
      <c r="C3062" t="s">
        <v>40</v>
      </c>
      <c r="D3062">
        <v>5.4033419999999897</v>
      </c>
      <c r="E3062">
        <v>0.50628459999999997</v>
      </c>
      <c r="F3062" t="s">
        <v>50</v>
      </c>
      <c r="G3062">
        <v>-107.39749999999999</v>
      </c>
      <c r="H3062">
        <v>1.7220569999999999</v>
      </c>
      <c r="I3062">
        <v>218.77449999999999</v>
      </c>
      <c r="J3062">
        <v>-441.14460000000003</v>
      </c>
      <c r="K3062">
        <v>1.1216390000000001</v>
      </c>
      <c r="L3062">
        <v>215.29490000000001</v>
      </c>
      <c r="M3062">
        <v>0.99981900000000001</v>
      </c>
      <c r="N3062">
        <v>-1.09972E-2</v>
      </c>
      <c r="O3062">
        <v>-1.5529899999999999E-2</v>
      </c>
      <c r="P3062">
        <v>0.98245159999999998</v>
      </c>
      <c r="Q3062">
        <v>0.18399869999999999</v>
      </c>
      <c r="R3062">
        <v>3.0552760000000002E-2</v>
      </c>
      <c r="S3062">
        <v>3.0504150000000001</v>
      </c>
      <c r="T3062">
        <v>5.4837469999999998E-3</v>
      </c>
      <c r="U3062">
        <v>3.1753539999999997E-2</v>
      </c>
      <c r="V3062">
        <v>-4.6226900000000001E-2</v>
      </c>
      <c r="W3062">
        <v>0.1946861</v>
      </c>
      <c r="X3062">
        <v>0.97977570000000003</v>
      </c>
      <c r="Y3062">
        <v>-2.59367E-2</v>
      </c>
      <c r="Z3062" s="1">
        <v>-7.9393279999999996E-5</v>
      </c>
      <c r="AA3062">
        <v>0.99966359999999999</v>
      </c>
      <c r="AB3062">
        <v>27</v>
      </c>
      <c r="AC3062">
        <v>333.74709999999999</v>
      </c>
      <c r="AD3062">
        <v>0.60041799999999901</v>
      </c>
      <c r="AE3062">
        <v>3.4795999999999698</v>
      </c>
      <c r="AF3062">
        <v>-8.6625244359355698</v>
      </c>
      <c r="AG3062">
        <v>0.60041799999999901</v>
      </c>
      <c r="AH3062">
        <v>333.65172567351902</v>
      </c>
      <c r="AI3062">
        <v>89.896929075883094</v>
      </c>
      <c r="AJ3062">
        <v>91.487223287690696</v>
      </c>
      <c r="AK3062">
        <v>333.76469836742001</v>
      </c>
      <c r="AL3062">
        <v>78.7736131323324</v>
      </c>
      <c r="AM3062">
        <v>92.701274970262006</v>
      </c>
      <c r="AN3062">
        <v>1.0000000130636499</v>
      </c>
    </row>
    <row r="3063" spans="1:40" x14ac:dyDescent="0.25">
      <c r="A3063" t="str">
        <f>"20190303162315955"</f>
        <v>20190303162315955</v>
      </c>
      <c r="B3063" t="str">
        <f>"1551601395948093"</f>
        <v>1551601395948093</v>
      </c>
      <c r="C3063" t="s">
        <v>40</v>
      </c>
      <c r="D3063">
        <v>5.258057</v>
      </c>
      <c r="E3063">
        <v>0.50617789999999996</v>
      </c>
      <c r="F3063" t="s">
        <v>51</v>
      </c>
      <c r="G3063">
        <v>-157.8382</v>
      </c>
      <c r="H3063">
        <v>1.7971950000000001</v>
      </c>
      <c r="I3063">
        <v>219.04400000000001</v>
      </c>
      <c r="J3063">
        <v>-440.88040000000001</v>
      </c>
      <c r="K3063">
        <v>1.1215489999999999</v>
      </c>
      <c r="L3063">
        <v>215.2921</v>
      </c>
      <c r="M3063">
        <v>0.99983900000000003</v>
      </c>
      <c r="N3063">
        <v>-1.0802559999999999E-2</v>
      </c>
      <c r="O3063">
        <v>-1.4341100000000001E-2</v>
      </c>
      <c r="P3063">
        <v>0.98236950000000001</v>
      </c>
      <c r="Q3063">
        <v>0.1840666</v>
      </c>
      <c r="R3063">
        <v>3.2714159999999999E-2</v>
      </c>
      <c r="S3063">
        <v>3.0509339999999998</v>
      </c>
      <c r="T3063">
        <v>7.2757009999999999E-3</v>
      </c>
      <c r="U3063">
        <v>4.0374760000000003E-2</v>
      </c>
      <c r="V3063">
        <v>-4.7196050000000003E-2</v>
      </c>
      <c r="W3063">
        <v>0.1945664</v>
      </c>
      <c r="X3063">
        <v>0.97975330000000005</v>
      </c>
      <c r="Y3063">
        <v>-2.757076E-2</v>
      </c>
      <c r="Z3063" s="1">
        <v>-7.3061290000000004E-5</v>
      </c>
      <c r="AA3063">
        <v>0.99961979999999995</v>
      </c>
      <c r="AB3063">
        <v>27</v>
      </c>
      <c r="AC3063">
        <v>283.04219999999998</v>
      </c>
      <c r="AD3063">
        <v>0.67564599999999997</v>
      </c>
      <c r="AE3063">
        <v>3.7519</v>
      </c>
      <c r="AF3063">
        <v>-7.8108421821001297</v>
      </c>
      <c r="AG3063">
        <v>0.67564599999999997</v>
      </c>
      <c r="AH3063">
        <v>282.95766731372299</v>
      </c>
      <c r="AI3063">
        <v>89.863241556669706</v>
      </c>
      <c r="AJ3063">
        <v>91.581207097340396</v>
      </c>
      <c r="AK3063">
        <v>283.06625946010303</v>
      </c>
      <c r="AL3063">
        <v>78.780605448086604</v>
      </c>
      <c r="AM3063">
        <v>92.757883797896895</v>
      </c>
      <c r="AN3063">
        <v>1.00000004000272</v>
      </c>
    </row>
    <row r="3064" spans="1:40" x14ac:dyDescent="0.25">
      <c r="A3064" t="str">
        <f>"20190303162315977"</f>
        <v>20190303162315977</v>
      </c>
      <c r="B3064" t="str">
        <f>"1551601395967613"</f>
        <v>1551601395967613</v>
      </c>
      <c r="C3064" t="s">
        <v>40</v>
      </c>
      <c r="D3064">
        <v>5.2802210000000001</v>
      </c>
      <c r="E3064">
        <v>0.50618479999999999</v>
      </c>
      <c r="F3064" t="s">
        <v>51</v>
      </c>
      <c r="G3064">
        <v>-157.8382</v>
      </c>
      <c r="H3064">
        <v>1.3454349999999999</v>
      </c>
      <c r="I3064">
        <v>219.6551</v>
      </c>
      <c r="J3064">
        <v>-440.62209999999999</v>
      </c>
      <c r="K3064">
        <v>1.121451</v>
      </c>
      <c r="L3064">
        <v>215.28960000000001</v>
      </c>
      <c r="M3064">
        <v>0.99985590000000002</v>
      </c>
      <c r="N3064">
        <v>-1.0577039999999999E-2</v>
      </c>
      <c r="O3064">
        <v>-1.328153E-2</v>
      </c>
      <c r="P3064">
        <v>0.98250590000000004</v>
      </c>
      <c r="Q3064">
        <v>0.18304709999999999</v>
      </c>
      <c r="R3064">
        <v>3.4293089999999998E-2</v>
      </c>
      <c r="S3064">
        <v>3.0517880000000002</v>
      </c>
      <c r="T3064">
        <v>2.414584E-3</v>
      </c>
      <c r="U3064">
        <v>4.7042849999999997E-2</v>
      </c>
      <c r="V3064">
        <v>-4.7704040000000003E-2</v>
      </c>
      <c r="W3064">
        <v>0.1933338</v>
      </c>
      <c r="X3064">
        <v>0.97997270000000003</v>
      </c>
      <c r="Y3064">
        <v>-2.8691600000000001E-2</v>
      </c>
      <c r="Z3064" s="1">
        <v>-1.058249E-5</v>
      </c>
      <c r="AA3064">
        <v>0.99958829999999999</v>
      </c>
      <c r="AB3064">
        <v>27</v>
      </c>
      <c r="AC3064">
        <v>282.78390000000002</v>
      </c>
      <c r="AD3064">
        <v>0.22398399999999999</v>
      </c>
      <c r="AE3064">
        <v>4.3654999999999902</v>
      </c>
      <c r="AF3064">
        <v>-8.1211225923790096</v>
      </c>
      <c r="AG3064">
        <v>0.22398399999999999</v>
      </c>
      <c r="AH3064">
        <v>282.70079363123301</v>
      </c>
      <c r="AI3064">
        <v>89.954623250109506</v>
      </c>
      <c r="AJ3064">
        <v>91.645478638646296</v>
      </c>
      <c r="AK3064">
        <v>282.81750568294399</v>
      </c>
      <c r="AL3064">
        <v>78.852595475229606</v>
      </c>
      <c r="AM3064">
        <v>92.786898339479393</v>
      </c>
      <c r="AN3064">
        <v>1.0000000632000201</v>
      </c>
    </row>
    <row r="3065" spans="1:40" x14ac:dyDescent="0.25">
      <c r="A3065" t="str">
        <f>"20190303162316000"</f>
        <v>20190303162316000</v>
      </c>
      <c r="B3065" t="str">
        <f>"1551601395988110"</f>
        <v>1551601395988110</v>
      </c>
      <c r="C3065" t="s">
        <v>40</v>
      </c>
      <c r="D3065">
        <v>5.4591209999999997</v>
      </c>
      <c r="E3065">
        <v>0.50629060000000004</v>
      </c>
      <c r="F3065" t="s">
        <v>51</v>
      </c>
      <c r="G3065">
        <v>-157.8382</v>
      </c>
      <c r="H3065">
        <v>0.62578389999999995</v>
      </c>
      <c r="I3065">
        <v>220.04329999999999</v>
      </c>
      <c r="J3065">
        <v>-440.34649999999999</v>
      </c>
      <c r="K3065">
        <v>1.1213280000000001</v>
      </c>
      <c r="L3065">
        <v>215.28700000000001</v>
      </c>
      <c r="M3065">
        <v>0.99987159999999997</v>
      </c>
      <c r="N3065">
        <v>-1.0305709999999999E-2</v>
      </c>
      <c r="O3065">
        <v>-1.2271870000000001E-2</v>
      </c>
      <c r="P3065">
        <v>0.98245530000000003</v>
      </c>
      <c r="Q3065">
        <v>0.18304670000000001</v>
      </c>
      <c r="R3065">
        <v>3.5710869999999999E-2</v>
      </c>
      <c r="S3065">
        <v>3.0525820000000001</v>
      </c>
      <c r="T3065">
        <v>-5.3499940000000003E-3</v>
      </c>
      <c r="U3065">
        <v>5.1315310000000003E-2</v>
      </c>
      <c r="V3065">
        <v>-4.8092040000000003E-2</v>
      </c>
      <c r="W3065">
        <v>0.19307560000000001</v>
      </c>
      <c r="X3065">
        <v>0.9800046</v>
      </c>
      <c r="Y3065">
        <v>-2.9076850000000001E-2</v>
      </c>
      <c r="Z3065" s="1">
        <v>7.0364679999999999E-5</v>
      </c>
      <c r="AA3065">
        <v>0.99957720000000005</v>
      </c>
      <c r="AB3065">
        <v>27</v>
      </c>
      <c r="AC3065">
        <v>282.50830000000002</v>
      </c>
      <c r="AD3065">
        <v>-0.49554409999999999</v>
      </c>
      <c r="AE3065">
        <v>4.75629999999998</v>
      </c>
      <c r="AF3065">
        <v>-8.2230057207694305</v>
      </c>
      <c r="AG3065">
        <v>-0.49554409999999999</v>
      </c>
      <c r="AH3065">
        <v>282.42778370736102</v>
      </c>
      <c r="AI3065">
        <v>90.100487740100803</v>
      </c>
      <c r="AJ3065">
        <v>91.667719986575406</v>
      </c>
      <c r="AK3065">
        <v>282.54790106615701</v>
      </c>
      <c r="AL3065">
        <v>78.867672890561295</v>
      </c>
      <c r="AM3065">
        <v>92.809438052080097</v>
      </c>
      <c r="AN3065">
        <v>1.0000000238239399</v>
      </c>
    </row>
    <row r="3066" spans="1:40" x14ac:dyDescent="0.25">
      <c r="A3066" t="str">
        <f>"20190303162316021"</f>
        <v>20190303162316021</v>
      </c>
      <c r="B3066" t="str">
        <f>"1551601396007629"</f>
        <v>1551601396007629</v>
      </c>
      <c r="C3066" t="s">
        <v>40</v>
      </c>
      <c r="D3066">
        <v>5.3996430000000002</v>
      </c>
      <c r="E3066">
        <v>0.50632140000000003</v>
      </c>
      <c r="F3066" t="s">
        <v>51</v>
      </c>
      <c r="G3066">
        <v>-157.8382</v>
      </c>
      <c r="H3066">
        <v>0.30507279999999998</v>
      </c>
      <c r="I3066">
        <v>220.3811</v>
      </c>
      <c r="J3066">
        <v>-440.09410000000003</v>
      </c>
      <c r="K3066">
        <v>1.121213</v>
      </c>
      <c r="L3066">
        <v>215.28489999999999</v>
      </c>
      <c r="M3066">
        <v>0.999884</v>
      </c>
      <c r="N3066">
        <v>-1.0045760000000001E-2</v>
      </c>
      <c r="O3066">
        <v>-1.1462989999999999E-2</v>
      </c>
      <c r="P3066">
        <v>0.98221550000000002</v>
      </c>
      <c r="Q3066">
        <v>0.18417620000000001</v>
      </c>
      <c r="R3066">
        <v>3.6500570000000003E-2</v>
      </c>
      <c r="S3066">
        <v>3.0531920000000001</v>
      </c>
      <c r="T3066">
        <v>-8.8210110000000001E-3</v>
      </c>
      <c r="U3066">
        <v>5.5053709999999999E-2</v>
      </c>
      <c r="V3066">
        <v>-4.8050339999999997E-2</v>
      </c>
      <c r="W3066">
        <v>0.1939574</v>
      </c>
      <c r="X3066">
        <v>0.9798325</v>
      </c>
      <c r="Y3066">
        <v>-2.948827E-2</v>
      </c>
      <c r="Z3066">
        <v>1.08695E-4</v>
      </c>
      <c r="AA3066">
        <v>0.99956509999999998</v>
      </c>
      <c r="AB3066">
        <v>27</v>
      </c>
      <c r="AC3066">
        <v>282.2559</v>
      </c>
      <c r="AD3066">
        <v>-0.81614019999999898</v>
      </c>
      <c r="AE3066">
        <v>5.0961999999999996</v>
      </c>
      <c r="AF3066">
        <v>-8.3314547952916094</v>
      </c>
      <c r="AG3066">
        <v>-0.81614019999999898</v>
      </c>
      <c r="AH3066">
        <v>282.17657423551799</v>
      </c>
      <c r="AI3066">
        <v>90.165644117288593</v>
      </c>
      <c r="AJ3066">
        <v>91.691205431337593</v>
      </c>
      <c r="AK3066">
        <v>282.300723114775</v>
      </c>
      <c r="AL3066">
        <v>78.816175962819599</v>
      </c>
      <c r="AM3066">
        <v>92.807498161737001</v>
      </c>
      <c r="AN3066">
        <v>1.0000000181225599</v>
      </c>
    </row>
    <row r="3067" spans="1:40" x14ac:dyDescent="0.25">
      <c r="A3067" t="str">
        <f>"20190303162316044"</f>
        <v>20190303162316044</v>
      </c>
      <c r="B3067" t="str">
        <f>"1551601396037886"</f>
        <v>1551601396037886</v>
      </c>
      <c r="C3067" t="s">
        <v>40</v>
      </c>
      <c r="D3067">
        <v>5.2355080000000003</v>
      </c>
      <c r="E3067">
        <v>0.50658610000000004</v>
      </c>
      <c r="F3067" t="s">
        <v>51</v>
      </c>
      <c r="G3067">
        <v>-157.8382</v>
      </c>
      <c r="H3067">
        <v>0.3298779</v>
      </c>
      <c r="I3067">
        <v>220.6456</v>
      </c>
      <c r="J3067">
        <v>-439.81740000000002</v>
      </c>
      <c r="K3067">
        <v>1.121092</v>
      </c>
      <c r="L3067">
        <v>215.2826</v>
      </c>
      <c r="M3067">
        <v>0.99989519999999998</v>
      </c>
      <c r="N3067">
        <v>-9.7713039999999998E-3</v>
      </c>
      <c r="O3067">
        <v>-1.070027E-2</v>
      </c>
      <c r="P3067">
        <v>0.98200100000000001</v>
      </c>
      <c r="Q3067">
        <v>0.1851476</v>
      </c>
      <c r="R3067">
        <v>3.7349849999999997E-2</v>
      </c>
      <c r="S3067">
        <v>3.053741</v>
      </c>
      <c r="T3067">
        <v>-8.5608960000000001E-3</v>
      </c>
      <c r="U3067">
        <v>5.799866E-2</v>
      </c>
      <c r="V3067">
        <v>-4.8109789999999999E-2</v>
      </c>
      <c r="W3067">
        <v>0.19466749999999999</v>
      </c>
      <c r="X3067">
        <v>0.97968880000000003</v>
      </c>
      <c r="Y3067">
        <v>-2.9686210000000001E-2</v>
      </c>
      <c r="Z3067">
        <v>1.1210860000000001E-4</v>
      </c>
      <c r="AA3067">
        <v>0.99955930000000004</v>
      </c>
      <c r="AB3067">
        <v>27</v>
      </c>
      <c r="AC3067">
        <v>281.97919999999999</v>
      </c>
      <c r="AD3067">
        <v>-0.79121409999999903</v>
      </c>
      <c r="AE3067">
        <v>5.3630000000000004</v>
      </c>
      <c r="AF3067">
        <v>-8.3800240322628596</v>
      </c>
      <c r="AG3067">
        <v>-0.79121409999999903</v>
      </c>
      <c r="AH3067">
        <v>281.90344831898602</v>
      </c>
      <c r="AI3067">
        <v>90.160739762095702</v>
      </c>
      <c r="AJ3067">
        <v>91.702705868778196</v>
      </c>
      <c r="AK3067">
        <v>282.02908537359798</v>
      </c>
      <c r="AL3067">
        <v>78.774700224752195</v>
      </c>
      <c r="AM3067">
        <v>92.811377803554194</v>
      </c>
      <c r="AN3067">
        <v>1.0000000661477599</v>
      </c>
    </row>
    <row r="3068" spans="1:40" x14ac:dyDescent="0.25">
      <c r="A3068" t="str">
        <f>"20190303162316067"</f>
        <v>20190303162316067</v>
      </c>
      <c r="B3068" t="str">
        <f>"1551601396057406"</f>
        <v>1551601396057406</v>
      </c>
      <c r="C3068" t="s">
        <v>40</v>
      </c>
      <c r="D3068">
        <v>5.343102</v>
      </c>
      <c r="E3068">
        <v>0.50673199999999996</v>
      </c>
      <c r="F3068" t="s">
        <v>51</v>
      </c>
      <c r="G3068">
        <v>-157.8382</v>
      </c>
      <c r="H3068">
        <v>0.30915550000000003</v>
      </c>
      <c r="I3068">
        <v>220.69749999999999</v>
      </c>
      <c r="J3068">
        <v>-439.53289999999998</v>
      </c>
      <c r="K3068">
        <v>1.1209819999999999</v>
      </c>
      <c r="L3068">
        <v>215.28030000000001</v>
      </c>
      <c r="M3068">
        <v>0.99990429999999997</v>
      </c>
      <c r="N3068">
        <v>-9.5135410000000004E-3</v>
      </c>
      <c r="O3068">
        <v>-1.004773E-2</v>
      </c>
      <c r="P3068">
        <v>0.98193960000000002</v>
      </c>
      <c r="Q3068">
        <v>0.18553149999999999</v>
      </c>
      <c r="R3068">
        <v>3.7053870000000003E-2</v>
      </c>
      <c r="S3068">
        <v>3.0544129999999998</v>
      </c>
      <c r="T3068">
        <v>-8.7943080000000007E-3</v>
      </c>
      <c r="U3068">
        <v>5.8654789999999998E-2</v>
      </c>
      <c r="V3068">
        <v>-4.7133939999999999E-2</v>
      </c>
      <c r="W3068">
        <v>0.1948087</v>
      </c>
      <c r="X3068">
        <v>0.97970809999999997</v>
      </c>
      <c r="Y3068">
        <v>-2.9244369999999999E-2</v>
      </c>
      <c r="Z3068">
        <v>1.145674E-4</v>
      </c>
      <c r="AA3068">
        <v>0.99957229999999997</v>
      </c>
      <c r="AB3068">
        <v>27</v>
      </c>
      <c r="AC3068">
        <v>281.69470000000001</v>
      </c>
      <c r="AD3068">
        <v>-0.81182650000000001</v>
      </c>
      <c r="AE3068">
        <v>5.4171999999999798</v>
      </c>
      <c r="AF3068">
        <v>-8.2473783212731799</v>
      </c>
      <c r="AG3068">
        <v>-0.81182650000000001</v>
      </c>
      <c r="AH3068">
        <v>281.62370764308702</v>
      </c>
      <c r="AI3068">
        <v>90.165093240843703</v>
      </c>
      <c r="AJ3068">
        <v>91.677433186169495</v>
      </c>
      <c r="AK3068">
        <v>281.74561401746598</v>
      </c>
      <c r="AL3068">
        <v>78.766451396340798</v>
      </c>
      <c r="AM3068">
        <v>92.7543868906006</v>
      </c>
      <c r="AN3068">
        <v>0.99999999955061103</v>
      </c>
    </row>
    <row r="3069" spans="1:40" x14ac:dyDescent="0.25">
      <c r="A3069" t="str">
        <f>"20190303162316089"</f>
        <v>20190303162316089</v>
      </c>
      <c r="B3069" t="str">
        <f>"1551601396077901"</f>
        <v>1551601396077901</v>
      </c>
      <c r="C3069" t="s">
        <v>40</v>
      </c>
      <c r="D3069">
        <v>5.1498269999999904</v>
      </c>
      <c r="E3069">
        <v>0.50698889999999996</v>
      </c>
      <c r="F3069" t="s">
        <v>51</v>
      </c>
      <c r="G3069">
        <v>-157.8382</v>
      </c>
      <c r="H3069">
        <v>0.26809119999999997</v>
      </c>
      <c r="I3069">
        <v>220.4992</v>
      </c>
      <c r="J3069">
        <v>-439.26400000000001</v>
      </c>
      <c r="K3069">
        <v>1.1208979999999999</v>
      </c>
      <c r="L3069">
        <v>215.2782</v>
      </c>
      <c r="M3069">
        <v>0.99991160000000001</v>
      </c>
      <c r="N3069">
        <v>-9.2915429999999993E-3</v>
      </c>
      <c r="O3069">
        <v>-9.5208040000000008E-3</v>
      </c>
      <c r="P3069">
        <v>0.98178100000000001</v>
      </c>
      <c r="Q3069">
        <v>0.18651770000000001</v>
      </c>
      <c r="R3069">
        <v>3.6296759999999997E-2</v>
      </c>
      <c r="S3069">
        <v>3.0547789999999999</v>
      </c>
      <c r="T3069">
        <v>-9.2483760000000009E-3</v>
      </c>
      <c r="U3069">
        <v>5.6594850000000002E-2</v>
      </c>
      <c r="V3069">
        <v>-4.5828439999999998E-2</v>
      </c>
      <c r="W3069">
        <v>0.19558500000000001</v>
      </c>
      <c r="X3069">
        <v>0.97961540000000003</v>
      </c>
      <c r="Y3069">
        <v>-2.804152E-2</v>
      </c>
      <c r="Z3069">
        <v>1.130993E-4</v>
      </c>
      <c r="AA3069">
        <v>0.99960669999999996</v>
      </c>
      <c r="AB3069">
        <v>27</v>
      </c>
      <c r="AC3069">
        <v>281.42579999999998</v>
      </c>
      <c r="AD3069">
        <v>-0.85280679999999998</v>
      </c>
      <c r="AE3069">
        <v>5.2210000000000001</v>
      </c>
      <c r="AF3069">
        <v>-7.9002061230771998</v>
      </c>
      <c r="AG3069">
        <v>-0.85280679999999998</v>
      </c>
      <c r="AH3069">
        <v>281.36075055167998</v>
      </c>
      <c r="AI3069">
        <v>90.173595039741798</v>
      </c>
      <c r="AJ3069">
        <v>91.608360677863203</v>
      </c>
      <c r="AK3069">
        <v>281.47293384485403</v>
      </c>
      <c r="AL3069">
        <v>78.721100717151501</v>
      </c>
      <c r="AM3069">
        <v>92.678462534127604</v>
      </c>
      <c r="AN3069">
        <v>1.00000003502749</v>
      </c>
    </row>
    <row r="3070" spans="1:40" x14ac:dyDescent="0.25">
      <c r="A3070" t="str">
        <f>"20190303162316112"</f>
        <v>20190303162316112</v>
      </c>
      <c r="B3070" t="str">
        <f>"1551601396097421"</f>
        <v>1551601396097421</v>
      </c>
      <c r="C3070" t="s">
        <v>40</v>
      </c>
      <c r="D3070">
        <v>5.1911139999999998</v>
      </c>
      <c r="E3070">
        <v>0.50710690000000003</v>
      </c>
      <c r="F3070" t="s">
        <v>51</v>
      </c>
      <c r="G3070">
        <v>-157.8382</v>
      </c>
      <c r="H3070">
        <v>0.3451881</v>
      </c>
      <c r="I3070">
        <v>220.0822</v>
      </c>
      <c r="J3070">
        <v>-438.99040000000002</v>
      </c>
      <c r="K3070">
        <v>1.1208340000000001</v>
      </c>
      <c r="L3070">
        <v>215.27619999999999</v>
      </c>
      <c r="M3070">
        <v>0.99991759999999996</v>
      </c>
      <c r="N3070">
        <v>-9.0915049999999997E-3</v>
      </c>
      <c r="O3070">
        <v>-9.070547E-3</v>
      </c>
      <c r="P3070">
        <v>0.98138429999999999</v>
      </c>
      <c r="Q3070">
        <v>0.18880549999999999</v>
      </c>
      <c r="R3070">
        <v>3.5177159999999999E-2</v>
      </c>
      <c r="S3070">
        <v>3.0553279999999998</v>
      </c>
      <c r="T3070">
        <v>-8.4209439999999997E-3</v>
      </c>
      <c r="U3070">
        <v>5.2154539999999999E-2</v>
      </c>
      <c r="V3070">
        <v>-4.4238029999999998E-2</v>
      </c>
      <c r="W3070">
        <v>0.197681</v>
      </c>
      <c r="X3070">
        <v>0.97926769999999996</v>
      </c>
      <c r="Y3070">
        <v>-2.6135829999999999E-2</v>
      </c>
      <c r="Z3070" s="1">
        <v>9.7371450000000004E-5</v>
      </c>
      <c r="AA3070">
        <v>0.99965839999999995</v>
      </c>
      <c r="AB3070">
        <v>27</v>
      </c>
      <c r="AC3070">
        <v>281.15219999999999</v>
      </c>
      <c r="AD3070">
        <v>-0.7756459</v>
      </c>
      <c r="AE3070">
        <v>4.8060000000000098</v>
      </c>
      <c r="AF3070">
        <v>-7.3560557724708797</v>
      </c>
      <c r="AG3070">
        <v>-0.7756459</v>
      </c>
      <c r="AH3070">
        <v>281.09489928655898</v>
      </c>
      <c r="AI3070">
        <v>90.158045963555395</v>
      </c>
      <c r="AJ3070">
        <v>91.499048107714898</v>
      </c>
      <c r="AK3070">
        <v>281.19220399579098</v>
      </c>
      <c r="AL3070">
        <v>78.598617171493501</v>
      </c>
      <c r="AM3070">
        <v>92.586555574309997</v>
      </c>
      <c r="AN3070">
        <v>1.00000000466128</v>
      </c>
    </row>
    <row r="3071" spans="1:40" x14ac:dyDescent="0.25">
      <c r="A3071" t="str">
        <f>"20190303162316134"</f>
        <v>20190303162316134</v>
      </c>
      <c r="B3071" t="str">
        <f>"1551601396127678"</f>
        <v>1551601396127678</v>
      </c>
      <c r="C3071" t="s">
        <v>40</v>
      </c>
      <c r="D3071">
        <v>5.1209339999999903</v>
      </c>
      <c r="E3071">
        <v>0.50730039999999998</v>
      </c>
      <c r="F3071" t="s">
        <v>51</v>
      </c>
      <c r="G3071">
        <v>-157.8382</v>
      </c>
      <c r="H3071">
        <v>0.81300930000000005</v>
      </c>
      <c r="I3071">
        <v>219.65350000000001</v>
      </c>
      <c r="J3071">
        <v>-438.71660000000003</v>
      </c>
      <c r="K3071">
        <v>1.1207860000000001</v>
      </c>
      <c r="L3071">
        <v>215.2741</v>
      </c>
      <c r="M3071">
        <v>0.99992230000000004</v>
      </c>
      <c r="N3071">
        <v>-8.9235249999999999E-3</v>
      </c>
      <c r="O3071">
        <v>-8.7050400000000007E-3</v>
      </c>
      <c r="P3071">
        <v>0.98064240000000003</v>
      </c>
      <c r="Q3071">
        <v>0.1927953</v>
      </c>
      <c r="R3071">
        <v>3.4213460000000001E-2</v>
      </c>
      <c r="S3071">
        <v>3.055847</v>
      </c>
      <c r="T3071">
        <v>-3.3451319999999998E-3</v>
      </c>
      <c r="U3071">
        <v>4.7576899999999998E-2</v>
      </c>
      <c r="V3071">
        <v>-4.2885670000000001E-2</v>
      </c>
      <c r="W3071">
        <v>0.2015063</v>
      </c>
      <c r="X3071">
        <v>0.97854790000000003</v>
      </c>
      <c r="Y3071">
        <v>-2.4270590000000002E-2</v>
      </c>
      <c r="Z3071" s="1">
        <v>5.3434469999999901E-5</v>
      </c>
      <c r="AA3071">
        <v>0.99970539999999997</v>
      </c>
      <c r="AB3071">
        <v>27</v>
      </c>
      <c r="AC3071">
        <v>280.8784</v>
      </c>
      <c r="AD3071">
        <v>-0.30777670000000001</v>
      </c>
      <c r="AE3071">
        <v>4.3794000000000004</v>
      </c>
      <c r="AF3071">
        <v>-6.8243809072201804</v>
      </c>
      <c r="AG3071">
        <v>-0.30777670000000001</v>
      </c>
      <c r="AH3071">
        <v>280.82929530855603</v>
      </c>
      <c r="AI3071">
        <v>90.062775126020298</v>
      </c>
      <c r="AJ3071">
        <v>91.392060195459507</v>
      </c>
      <c r="AK3071">
        <v>280.912370686597</v>
      </c>
      <c r="AL3071">
        <v>78.374942587640305</v>
      </c>
      <c r="AM3071">
        <v>92.509429062989199</v>
      </c>
      <c r="AN3071">
        <v>0.99999998111272403</v>
      </c>
    </row>
    <row r="3072" spans="1:40" x14ac:dyDescent="0.25">
      <c r="A3072" t="str">
        <f>"20190303162316156"</f>
        <v>20190303162316156</v>
      </c>
      <c r="B3072" t="str">
        <f>"1551601396148173"</f>
        <v>1551601396148173</v>
      </c>
      <c r="C3072" t="s">
        <v>40</v>
      </c>
      <c r="D3072">
        <v>5.1620749999999997</v>
      </c>
      <c r="E3072">
        <v>0.52005509999999999</v>
      </c>
      <c r="F3072" t="s">
        <v>51</v>
      </c>
      <c r="G3072">
        <v>-157.8382</v>
      </c>
      <c r="H3072">
        <v>1.731266</v>
      </c>
      <c r="I3072">
        <v>219.2467</v>
      </c>
      <c r="J3072">
        <v>-438.44510000000002</v>
      </c>
      <c r="K3072">
        <v>1.120741</v>
      </c>
      <c r="L3072">
        <v>215.2722</v>
      </c>
      <c r="M3072">
        <v>0.99992599999999998</v>
      </c>
      <c r="N3072">
        <v>-8.7864969999999903E-3</v>
      </c>
      <c r="O3072">
        <v>-8.4215680000000008E-3</v>
      </c>
      <c r="P3072">
        <v>0.97990940000000004</v>
      </c>
      <c r="Q3072">
        <v>0.19665270000000001</v>
      </c>
      <c r="R3072">
        <v>3.3251019999999999E-2</v>
      </c>
      <c r="S3072">
        <v>3.0564269999999998</v>
      </c>
      <c r="T3072">
        <v>6.6436530000000002E-3</v>
      </c>
      <c r="U3072">
        <v>4.322815E-2</v>
      </c>
      <c r="V3072">
        <v>-4.1613909999999997E-2</v>
      </c>
      <c r="W3072">
        <v>0.20523</v>
      </c>
      <c r="X3072">
        <v>0.9778287</v>
      </c>
      <c r="Y3072">
        <v>-2.2562160000000001E-2</v>
      </c>
      <c r="Z3072" s="1">
        <v>-1.769017E-5</v>
      </c>
      <c r="AA3072">
        <v>0.99974540000000001</v>
      </c>
      <c r="AB3072">
        <v>27</v>
      </c>
      <c r="AC3072">
        <v>280.6069</v>
      </c>
      <c r="AD3072">
        <v>0.61052499999999998</v>
      </c>
      <c r="AE3072">
        <v>3.9744999999999999</v>
      </c>
      <c r="AF3072">
        <v>-6.3375702113944099</v>
      </c>
      <c r="AG3072">
        <v>0.61052499999999998</v>
      </c>
      <c r="AH3072">
        <v>280.56214767038102</v>
      </c>
      <c r="AI3072">
        <v>89.875351932442101</v>
      </c>
      <c r="AJ3072">
        <v>91.294024467616197</v>
      </c>
      <c r="AK3072">
        <v>280.63438178950298</v>
      </c>
      <c r="AL3072">
        <v>78.157036864200094</v>
      </c>
      <c r="AM3072">
        <v>92.436892618762002</v>
      </c>
      <c r="AN3072">
        <v>1.0000000184745801</v>
      </c>
    </row>
    <row r="3073" spans="1:40" x14ac:dyDescent="0.25">
      <c r="A3073" t="str">
        <f>"20190303162316178"</f>
        <v>20190303162316178</v>
      </c>
      <c r="B3073" t="str">
        <f>"1551601396167706"</f>
        <v>1551601396167706</v>
      </c>
      <c r="C3073" t="s">
        <v>40</v>
      </c>
      <c r="D3073">
        <v>5.1703320000000001</v>
      </c>
      <c r="E3073">
        <v>0.52799529999999995</v>
      </c>
      <c r="F3073" t="s">
        <v>52</v>
      </c>
      <c r="G3073">
        <v>-169.39709999999999</v>
      </c>
      <c r="H3073">
        <v>15.225339999999999</v>
      </c>
      <c r="I3073">
        <v>209.86770000000001</v>
      </c>
      <c r="J3073">
        <v>-438.1841</v>
      </c>
      <c r="K3073">
        <v>1.120703</v>
      </c>
      <c r="L3073">
        <v>215.27019999999999</v>
      </c>
      <c r="M3073">
        <v>0.9999287</v>
      </c>
      <c r="N3073">
        <v>-8.6777620000000003E-3</v>
      </c>
      <c r="O3073">
        <v>-8.2187930000000003E-3</v>
      </c>
      <c r="P3073">
        <v>0.97947289999999998</v>
      </c>
      <c r="Q3073">
        <v>0.19893189999999999</v>
      </c>
      <c r="R3073">
        <v>3.254758E-2</v>
      </c>
      <c r="S3073">
        <v>3.0316770000000002</v>
      </c>
      <c r="T3073">
        <v>0.158933299999999</v>
      </c>
      <c r="U3073">
        <v>-6.089783E-2</v>
      </c>
      <c r="V3073">
        <v>-4.0680929999999997E-2</v>
      </c>
      <c r="W3073">
        <v>0.2074047</v>
      </c>
      <c r="X3073">
        <v>0.97740899999999997</v>
      </c>
      <c r="Y3073">
        <v>1.1866740000000001E-2</v>
      </c>
      <c r="Z3073">
        <v>-2.424886E-4</v>
      </c>
      <c r="AA3073">
        <v>0.99992950000000003</v>
      </c>
      <c r="AB3073">
        <v>27</v>
      </c>
      <c r="AC3073">
        <v>268.78699999999998</v>
      </c>
      <c r="AD3073">
        <v>14.104637</v>
      </c>
      <c r="AE3073">
        <v>-5.4024999999999697</v>
      </c>
      <c r="AF3073">
        <v>3.1843648499478698</v>
      </c>
      <c r="AG3073">
        <v>14.104637</v>
      </c>
      <c r="AH3073">
        <v>268.08441466893203</v>
      </c>
      <c r="AI3073">
        <v>86.988504923490197</v>
      </c>
      <c r="AJ3073">
        <v>89.319460303186105</v>
      </c>
      <c r="AK3073">
        <v>268.47408506741101</v>
      </c>
      <c r="AL3073">
        <v>78.029695764651194</v>
      </c>
      <c r="AM3073">
        <v>92.383343172034699</v>
      </c>
      <c r="AN3073">
        <v>1.0000000004643701</v>
      </c>
    </row>
    <row r="3074" spans="1:40" x14ac:dyDescent="0.25">
      <c r="A3074" t="str">
        <f>"20190303162316199"</f>
        <v>20190303162316199</v>
      </c>
      <c r="B3074" t="str">
        <f>"1551601396187213"</f>
        <v>1551601396187213</v>
      </c>
      <c r="C3074" t="s">
        <v>40</v>
      </c>
      <c r="D3074">
        <v>5.021585</v>
      </c>
      <c r="E3074">
        <v>0.57239790000000002</v>
      </c>
      <c r="F3074" t="s">
        <v>52</v>
      </c>
      <c r="G3074">
        <v>-168.41909999999999</v>
      </c>
      <c r="H3074">
        <v>23.338609999999999</v>
      </c>
      <c r="I3074">
        <v>203.91460000000001</v>
      </c>
      <c r="J3074">
        <v>-437.91480000000001</v>
      </c>
      <c r="K3074">
        <v>1.120652</v>
      </c>
      <c r="L3074">
        <v>215.26820000000001</v>
      </c>
      <c r="M3074">
        <v>0.9999306</v>
      </c>
      <c r="N3074">
        <v>-8.5871760000000002E-3</v>
      </c>
      <c r="O3074">
        <v>-8.0784610000000003E-3</v>
      </c>
      <c r="P3074">
        <v>0.97919049999999996</v>
      </c>
      <c r="Q3074">
        <v>0.2006252</v>
      </c>
      <c r="R3074">
        <v>3.059098E-2</v>
      </c>
      <c r="S3074">
        <v>3.016632</v>
      </c>
      <c r="T3074">
        <v>0.2484508</v>
      </c>
      <c r="U3074">
        <v>-0.1269836</v>
      </c>
      <c r="V3074">
        <v>-3.8555600000000002E-2</v>
      </c>
      <c r="W3074">
        <v>0.20901330000000001</v>
      </c>
      <c r="X3074">
        <v>0.97715249999999998</v>
      </c>
      <c r="Y3074">
        <v>3.3914970000000003E-2</v>
      </c>
      <c r="Z3074">
        <v>5.146355E-4</v>
      </c>
      <c r="AA3074">
        <v>0.9994246</v>
      </c>
      <c r="AB3074">
        <v>27</v>
      </c>
      <c r="AC3074">
        <v>269.4957</v>
      </c>
      <c r="AD3074">
        <v>22.217957999999999</v>
      </c>
      <c r="AE3074">
        <v>-11.3536</v>
      </c>
      <c r="AF3074">
        <v>9.1142012719359595</v>
      </c>
      <c r="AG3074">
        <v>22.217957999999999</v>
      </c>
      <c r="AH3074">
        <v>267.76192798871199</v>
      </c>
      <c r="AI3074">
        <v>85.259393698212705</v>
      </c>
      <c r="AJ3074">
        <v>88.050493092741903</v>
      </c>
      <c r="AK3074">
        <v>268.83667235469898</v>
      </c>
      <c r="AL3074">
        <v>77.935465245745107</v>
      </c>
      <c r="AM3074">
        <v>92.259552954754596</v>
      </c>
      <c r="AN3074">
        <v>1.00000005106224</v>
      </c>
    </row>
    <row r="3075" spans="1:40" x14ac:dyDescent="0.25">
      <c r="A3075" t="str">
        <f>"20190303162316223"</f>
        <v>20190303162316223</v>
      </c>
      <c r="B3075" t="str">
        <f>"1551601396217469"</f>
        <v>1551601396217469</v>
      </c>
      <c r="C3075" t="s">
        <v>40</v>
      </c>
      <c r="D3075">
        <v>5.0379430000000003</v>
      </c>
      <c r="E3075">
        <v>0.57281479999999996</v>
      </c>
      <c r="F3075" t="s">
        <v>53</v>
      </c>
      <c r="G3075">
        <v>0</v>
      </c>
      <c r="H3075">
        <v>0</v>
      </c>
      <c r="I3075">
        <v>0</v>
      </c>
      <c r="J3075">
        <v>-437.62849999999997</v>
      </c>
      <c r="K3075">
        <v>1.1205989999999999</v>
      </c>
      <c r="L3075">
        <v>215.26599999999999</v>
      </c>
      <c r="M3075">
        <v>0.99993180000000004</v>
      </c>
      <c r="N3075">
        <v>-8.5201870000000002E-3</v>
      </c>
      <c r="O3075">
        <v>-7.9948309999999904E-3</v>
      </c>
      <c r="P3075">
        <v>0.9791436</v>
      </c>
      <c r="Q3075">
        <v>0.2012063</v>
      </c>
      <c r="R3075">
        <v>2.817805E-2</v>
      </c>
      <c r="S3075">
        <v>2.9100950000000001</v>
      </c>
      <c r="T3075">
        <v>0.823631</v>
      </c>
      <c r="U3075">
        <v>-0.48387150000000001</v>
      </c>
      <c r="V3075">
        <v>-3.6032479999999999E-2</v>
      </c>
      <c r="W3075">
        <v>0.2095351</v>
      </c>
      <c r="X3075">
        <v>0.97713700000000003</v>
      </c>
      <c r="Y3075">
        <v>0.150869899999999</v>
      </c>
      <c r="Z3075">
        <v>1.7874319999999999E-2</v>
      </c>
      <c r="AA3075">
        <v>0.98839200000000005</v>
      </c>
      <c r="AB3075">
        <v>28</v>
      </c>
      <c r="AC3075">
        <v>2.9100950000000001</v>
      </c>
      <c r="AD3075">
        <v>0.823631</v>
      </c>
      <c r="AE3075">
        <v>-0.48387150000000001</v>
      </c>
      <c r="AF3075">
        <v>0.42728342011883103</v>
      </c>
      <c r="AG3075">
        <v>0.823631</v>
      </c>
      <c r="AH3075">
        <v>2.70316337317086</v>
      </c>
      <c r="AI3075">
        <v>73.250570442457899</v>
      </c>
      <c r="AJ3075">
        <v>81.017692169881101</v>
      </c>
      <c r="AK3075">
        <v>2.8579767961482601</v>
      </c>
      <c r="AL3075">
        <v>77.904890772659002</v>
      </c>
      <c r="AM3075">
        <v>92.111857409898306</v>
      </c>
      <c r="AN3075">
        <v>1.00000000725798</v>
      </c>
    </row>
    <row r="3076" spans="1:40" x14ac:dyDescent="0.25">
      <c r="A3076" t="str">
        <f>"20190303162316246"</f>
        <v>20190303162316246</v>
      </c>
      <c r="B3076" t="str">
        <f>"1551601396237965"</f>
        <v>1551601396237965</v>
      </c>
      <c r="C3076" t="s">
        <v>40</v>
      </c>
      <c r="D3076">
        <v>5.0984309999999997</v>
      </c>
      <c r="E3076">
        <v>0.57305059999999997</v>
      </c>
      <c r="F3076" t="s">
        <v>53</v>
      </c>
      <c r="G3076">
        <v>0</v>
      </c>
      <c r="H3076">
        <v>0</v>
      </c>
      <c r="I3076">
        <v>0</v>
      </c>
      <c r="J3076">
        <v>-437.34120000000001</v>
      </c>
      <c r="K3076">
        <v>1.120566</v>
      </c>
      <c r="L3076">
        <v>215.2638</v>
      </c>
      <c r="M3076">
        <v>0.99993240000000005</v>
      </c>
      <c r="N3076">
        <v>-8.4912630000000006E-3</v>
      </c>
      <c r="O3076">
        <v>-7.9663970000000001E-3</v>
      </c>
      <c r="P3076">
        <v>0.97908459999999997</v>
      </c>
      <c r="Q3076">
        <v>0.20189489999999999</v>
      </c>
      <c r="R3076">
        <v>2.514276E-2</v>
      </c>
      <c r="S3076">
        <v>2.8748469999999999</v>
      </c>
      <c r="T3076">
        <v>0.98925549999999995</v>
      </c>
      <c r="U3076">
        <v>-0.49247740000000001</v>
      </c>
      <c r="V3076">
        <v>-3.2947669999999998E-2</v>
      </c>
      <c r="W3076">
        <v>0.21019850000000001</v>
      </c>
      <c r="X3076">
        <v>0.97710339999999996</v>
      </c>
      <c r="Y3076">
        <v>0.1531198</v>
      </c>
      <c r="Z3076">
        <v>2.205381E-2</v>
      </c>
      <c r="AA3076">
        <v>0.98796150000000005</v>
      </c>
      <c r="AB3076">
        <v>28</v>
      </c>
      <c r="AC3076">
        <v>2.8748469999999999</v>
      </c>
      <c r="AD3076">
        <v>0.98925549999999995</v>
      </c>
      <c r="AE3076">
        <v>-0.49247740000000001</v>
      </c>
      <c r="AF3076">
        <v>0.42111610359856699</v>
      </c>
      <c r="AG3076">
        <v>0.98925549999999995</v>
      </c>
      <c r="AH3076">
        <v>2.5816963021420798</v>
      </c>
      <c r="AI3076">
        <v>69.284267313582504</v>
      </c>
      <c r="AJ3076">
        <v>80.735728122511503</v>
      </c>
      <c r="AK3076">
        <v>2.7966267204409698</v>
      </c>
      <c r="AL3076">
        <v>77.866014976249303</v>
      </c>
      <c r="AM3076">
        <v>91.931266894086704</v>
      </c>
      <c r="AN3076">
        <v>1.0000000063261101</v>
      </c>
    </row>
    <row r="3077" spans="1:40" x14ac:dyDescent="0.25">
      <c r="A3077" t="str">
        <f>"20190303162316270"</f>
        <v>20190303162316270</v>
      </c>
      <c r="B3077" t="str">
        <f>"1551601396257486"</f>
        <v>1551601396257486</v>
      </c>
      <c r="C3077" t="s">
        <v>40</v>
      </c>
      <c r="D3077">
        <v>5.0986789999999997</v>
      </c>
      <c r="E3077">
        <v>0.57342510000000002</v>
      </c>
      <c r="F3077" t="s">
        <v>53</v>
      </c>
      <c r="G3077">
        <v>0</v>
      </c>
      <c r="H3077">
        <v>0</v>
      </c>
      <c r="I3077">
        <v>0</v>
      </c>
      <c r="J3077">
        <v>-437.06229999999999</v>
      </c>
      <c r="K3077">
        <v>1.1205750000000001</v>
      </c>
      <c r="L3077">
        <v>215.26159999999999</v>
      </c>
      <c r="M3077">
        <v>0.9999323</v>
      </c>
      <c r="N3077">
        <v>-8.4835029999999999E-3</v>
      </c>
      <c r="O3077">
        <v>-7.9703099999999995E-3</v>
      </c>
      <c r="P3077">
        <v>0.97814659999999998</v>
      </c>
      <c r="Q3077">
        <v>0.206789</v>
      </c>
      <c r="R3077">
        <v>2.1635700000000001E-2</v>
      </c>
      <c r="S3077">
        <v>2.8661500000000002</v>
      </c>
      <c r="T3077">
        <v>1.022262</v>
      </c>
      <c r="U3077">
        <v>-0.50196839999999998</v>
      </c>
      <c r="V3077">
        <v>-2.942527E-2</v>
      </c>
      <c r="W3077">
        <v>0.21507870000000001</v>
      </c>
      <c r="X3077">
        <v>0.9761533</v>
      </c>
      <c r="Y3077">
        <v>0.15604899999999999</v>
      </c>
      <c r="Z3077">
        <v>2.3320440000000001E-2</v>
      </c>
      <c r="AA3077">
        <v>0.98747399999999996</v>
      </c>
      <c r="AB3077">
        <v>28</v>
      </c>
      <c r="AC3077">
        <v>2.8661500000000002</v>
      </c>
      <c r="AD3077">
        <v>1.022262</v>
      </c>
      <c r="AE3077">
        <v>-0.50196839999999998</v>
      </c>
      <c r="AF3077">
        <v>0.42647013691251701</v>
      </c>
      <c r="AG3077">
        <v>1.022262</v>
      </c>
      <c r="AH3077">
        <v>2.5547393449716602</v>
      </c>
      <c r="AI3077">
        <v>68.461746240666599</v>
      </c>
      <c r="AJ3077">
        <v>80.522834709474907</v>
      </c>
      <c r="AK3077">
        <v>2.78452679912915</v>
      </c>
      <c r="AL3077">
        <v>77.579855239852904</v>
      </c>
      <c r="AM3077">
        <v>91.726607292433798</v>
      </c>
      <c r="AN3077">
        <v>0.99999997940457597</v>
      </c>
    </row>
    <row r="3078" spans="1:40" x14ac:dyDescent="0.25">
      <c r="A3078" t="str">
        <f>"20190303162316291"</f>
        <v>20190303162316291</v>
      </c>
      <c r="B3078" t="str">
        <f>"1551601396287742"</f>
        <v>1551601396287742</v>
      </c>
      <c r="C3078" t="s">
        <v>40</v>
      </c>
      <c r="D3078">
        <v>5.2486300000000004</v>
      </c>
      <c r="E3078">
        <v>0.57302980000000003</v>
      </c>
      <c r="F3078" t="s">
        <v>53</v>
      </c>
      <c r="G3078">
        <v>0</v>
      </c>
      <c r="H3078">
        <v>0</v>
      </c>
      <c r="I3078">
        <v>0</v>
      </c>
      <c r="J3078">
        <v>-436.77870000000001</v>
      </c>
      <c r="K3078">
        <v>1.1205969999999901</v>
      </c>
      <c r="L3078">
        <v>215.2593</v>
      </c>
      <c r="M3078">
        <v>0.99993209999999999</v>
      </c>
      <c r="N3078">
        <v>-8.4910419999999903E-3</v>
      </c>
      <c r="O3078">
        <v>-8.0008939999999997E-3</v>
      </c>
      <c r="P3078">
        <v>0.97676099999999999</v>
      </c>
      <c r="Q3078">
        <v>0.21360580000000001</v>
      </c>
      <c r="R3078">
        <v>1.7624689999999998E-2</v>
      </c>
      <c r="S3078">
        <v>2.8562319999999999</v>
      </c>
      <c r="T3078">
        <v>1.050962</v>
      </c>
      <c r="U3078">
        <v>-0.5141907</v>
      </c>
      <c r="V3078">
        <v>-2.542461E-2</v>
      </c>
      <c r="W3078">
        <v>0.22189229999999999</v>
      </c>
      <c r="X3078">
        <v>0.97473969999999999</v>
      </c>
      <c r="Y3078">
        <v>0.15992339999999999</v>
      </c>
      <c r="Z3078">
        <v>2.4682450000000002E-2</v>
      </c>
      <c r="AA3078">
        <v>0.98682080000000005</v>
      </c>
      <c r="AB3078">
        <v>28</v>
      </c>
      <c r="AC3078">
        <v>2.8562319999999999</v>
      </c>
      <c r="AD3078">
        <v>1.050962</v>
      </c>
      <c r="AE3078">
        <v>-0.5141907</v>
      </c>
      <c r="AF3078">
        <v>0.43435912463604698</v>
      </c>
      <c r="AG3078">
        <v>1.050962</v>
      </c>
      <c r="AH3078">
        <v>2.5286476701124001</v>
      </c>
      <c r="AI3078">
        <v>67.7248763526581</v>
      </c>
      <c r="AJ3078">
        <v>80.253125557749797</v>
      </c>
      <c r="AK3078">
        <v>2.7725886846345298</v>
      </c>
      <c r="AL3078">
        <v>77.1797993345739</v>
      </c>
      <c r="AM3078">
        <v>91.494134920254993</v>
      </c>
      <c r="AN3078">
        <v>1.00000004317451</v>
      </c>
    </row>
    <row r="3079" spans="1:40" x14ac:dyDescent="0.25">
      <c r="A3079" t="str">
        <f>"20190303162316316"</f>
        <v>20190303162316316</v>
      </c>
      <c r="B3079" t="str">
        <f>"1551601396307262"</f>
        <v>1551601396307262</v>
      </c>
      <c r="C3079" t="s">
        <v>40</v>
      </c>
      <c r="D3079">
        <v>5.3121669999999996</v>
      </c>
      <c r="E3079">
        <v>0.5717354</v>
      </c>
      <c r="F3079" t="s">
        <v>53</v>
      </c>
      <c r="G3079">
        <v>0</v>
      </c>
      <c r="H3079">
        <v>0</v>
      </c>
      <c r="I3079">
        <v>0</v>
      </c>
      <c r="J3079">
        <v>-436.48090000000002</v>
      </c>
      <c r="K3079">
        <v>1.1206100000000001</v>
      </c>
      <c r="L3079">
        <v>215.2569</v>
      </c>
      <c r="M3079">
        <v>0.99993129999999997</v>
      </c>
      <c r="N3079">
        <v>-8.5159369999999995E-3</v>
      </c>
      <c r="O3079">
        <v>-8.0618389999999995E-3</v>
      </c>
      <c r="P3079">
        <v>0.97518830000000001</v>
      </c>
      <c r="Q3079">
        <v>0.22091279999999999</v>
      </c>
      <c r="R3079">
        <v>1.4334339999999999E-2</v>
      </c>
      <c r="S3079">
        <v>2.8473820000000001</v>
      </c>
      <c r="T3079">
        <v>1.0673049999999999</v>
      </c>
      <c r="U3079">
        <v>-0.52177429999999902</v>
      </c>
      <c r="V3079">
        <v>-2.2172310000000001E-2</v>
      </c>
      <c r="W3079">
        <v>0.22921030000000001</v>
      </c>
      <c r="X3079">
        <v>0.9731244</v>
      </c>
      <c r="Y3079">
        <v>0.16244400000000001</v>
      </c>
      <c r="Z3079">
        <v>2.5539289999999999E-2</v>
      </c>
      <c r="AA3079">
        <v>0.98638720000000002</v>
      </c>
      <c r="AB3079">
        <v>28</v>
      </c>
      <c r="AC3079">
        <v>2.8473820000000001</v>
      </c>
      <c r="AD3079">
        <v>1.0673049999999999</v>
      </c>
      <c r="AE3079">
        <v>-0.52177429999999902</v>
      </c>
      <c r="AF3079">
        <v>0.43910957939380901</v>
      </c>
      <c r="AG3079">
        <v>1.0673049999999999</v>
      </c>
      <c r="AH3079">
        <v>2.51025618870759</v>
      </c>
      <c r="AI3079">
        <v>67.275174689514898</v>
      </c>
      <c r="AJ3079">
        <v>80.0778572530497</v>
      </c>
      <c r="AK3079">
        <v>2.7628505784217099</v>
      </c>
      <c r="AL3079">
        <v>76.749417201581807</v>
      </c>
      <c r="AM3079">
        <v>91.305239102195699</v>
      </c>
      <c r="AN3079">
        <v>1.0000000354160901</v>
      </c>
    </row>
    <row r="3080" spans="1:40" x14ac:dyDescent="0.25">
      <c r="A3080" t="str">
        <f>"20190303162316336"</f>
        <v>20190303162316336</v>
      </c>
      <c r="B3080" t="str">
        <f>"1551601396327757"</f>
        <v>1551601396327757</v>
      </c>
      <c r="C3080" t="s">
        <v>40</v>
      </c>
      <c r="D3080">
        <v>5.2786609999999996</v>
      </c>
      <c r="E3080">
        <v>0.57131730000000003</v>
      </c>
      <c r="F3080" t="s">
        <v>53</v>
      </c>
      <c r="G3080">
        <v>0</v>
      </c>
      <c r="H3080">
        <v>0</v>
      </c>
      <c r="I3080">
        <v>0</v>
      </c>
      <c r="J3080">
        <v>-436.21589999999998</v>
      </c>
      <c r="K3080">
        <v>1.1206020000000001</v>
      </c>
      <c r="L3080">
        <v>215.25470000000001</v>
      </c>
      <c r="M3080">
        <v>0.9999304</v>
      </c>
      <c r="N3080">
        <v>-8.5552509999999998E-3</v>
      </c>
      <c r="O3080">
        <v>-8.1418389999999997E-3</v>
      </c>
      <c r="P3080">
        <v>0.97475089999999998</v>
      </c>
      <c r="Q3080">
        <v>0.2228919</v>
      </c>
      <c r="R3080">
        <v>1.3429730000000001E-2</v>
      </c>
      <c r="S3080">
        <v>2.8399350000000001</v>
      </c>
      <c r="T3080">
        <v>1.0772330000000001</v>
      </c>
      <c r="U3080">
        <v>-0.52038569999999995</v>
      </c>
      <c r="V3080">
        <v>-2.1330789999999999E-2</v>
      </c>
      <c r="W3080">
        <v>0.23122509999999999</v>
      </c>
      <c r="X3080">
        <v>0.97266640000000004</v>
      </c>
      <c r="Y3080">
        <v>0.16215060000000001</v>
      </c>
      <c r="Z3080">
        <v>2.574806E-2</v>
      </c>
      <c r="AA3080">
        <v>0.98643000000000003</v>
      </c>
      <c r="AB3080">
        <v>28</v>
      </c>
      <c r="AC3080">
        <v>2.8399350000000001</v>
      </c>
      <c r="AD3080">
        <v>1.0772330000000001</v>
      </c>
      <c r="AE3080">
        <v>-0.52038569999999995</v>
      </c>
      <c r="AF3080">
        <v>0.43648386578472298</v>
      </c>
      <c r="AG3080">
        <v>1.0772330000000001</v>
      </c>
      <c r="AH3080">
        <v>2.4965426270458302</v>
      </c>
      <c r="AI3080">
        <v>66.972440409816798</v>
      </c>
      <c r="AJ3080">
        <v>80.082909026392301</v>
      </c>
      <c r="AK3080">
        <v>2.7538471617060098</v>
      </c>
      <c r="AL3080">
        <v>76.630790600347495</v>
      </c>
      <c r="AM3080">
        <v>91.256307784622095</v>
      </c>
      <c r="AN3080">
        <v>0.99999998758049702</v>
      </c>
    </row>
    <row r="3081" spans="1:40" x14ac:dyDescent="0.25">
      <c r="A3081" t="str">
        <f>"20190303162316358"</f>
        <v>20190303162316358</v>
      </c>
      <c r="B3081" t="str">
        <f>"1551601396347278"</f>
        <v>1551601396347278</v>
      </c>
      <c r="C3081" t="s">
        <v>40</v>
      </c>
      <c r="D3081">
        <v>5.3566140000000004</v>
      </c>
      <c r="E3081">
        <v>0.57069239999999999</v>
      </c>
      <c r="F3081" t="s">
        <v>53</v>
      </c>
      <c r="G3081">
        <v>0</v>
      </c>
      <c r="H3081">
        <v>0</v>
      </c>
      <c r="I3081">
        <v>0</v>
      </c>
      <c r="J3081">
        <v>-435.94580000000002</v>
      </c>
      <c r="K3081">
        <v>1.120595</v>
      </c>
      <c r="L3081">
        <v>215.25239999999999</v>
      </c>
      <c r="M3081">
        <v>0.99992879999999995</v>
      </c>
      <c r="N3081">
        <v>-8.618545E-3</v>
      </c>
      <c r="O3081">
        <v>-8.2463250000000005E-3</v>
      </c>
      <c r="P3081">
        <v>0.9744874</v>
      </c>
      <c r="Q3081">
        <v>0.22412399999999999</v>
      </c>
      <c r="R3081">
        <v>1.194452E-2</v>
      </c>
      <c r="S3081">
        <v>2.839172</v>
      </c>
      <c r="T3081">
        <v>1.074659</v>
      </c>
      <c r="U3081">
        <v>-0.51940920000000002</v>
      </c>
      <c r="V3081">
        <v>-1.9931649999999999E-2</v>
      </c>
      <c r="W3081">
        <v>0.2325179</v>
      </c>
      <c r="X3081">
        <v>0.97238789999999997</v>
      </c>
      <c r="Y3081">
        <v>0.1618377</v>
      </c>
      <c r="Z3081">
        <v>2.5596020000000001E-2</v>
      </c>
      <c r="AA3081">
        <v>0.98648539999999996</v>
      </c>
      <c r="AB3081">
        <v>28</v>
      </c>
      <c r="AC3081">
        <v>2.839172</v>
      </c>
      <c r="AD3081">
        <v>1.074659</v>
      </c>
      <c r="AE3081">
        <v>-0.51940920000000002</v>
      </c>
      <c r="AF3081">
        <v>0.435591408568546</v>
      </c>
      <c r="AG3081">
        <v>1.074659</v>
      </c>
      <c r="AH3081">
        <v>2.4971729570955099</v>
      </c>
      <c r="AI3081">
        <v>67.025542123704497</v>
      </c>
      <c r="AJ3081">
        <v>80.105233507576799</v>
      </c>
      <c r="AK3081">
        <v>2.7532716210263102</v>
      </c>
      <c r="AL3081">
        <v>76.554643990793394</v>
      </c>
      <c r="AM3081">
        <v>91.174263404448297</v>
      </c>
      <c r="AN3081">
        <v>1.00000003627927</v>
      </c>
    </row>
    <row r="3082" spans="1:40" x14ac:dyDescent="0.25">
      <c r="A3082" t="str">
        <f>"20190303162316379"</f>
        <v>20190303162316379</v>
      </c>
      <c r="B3082" t="str">
        <f>"1551601396367774"</f>
        <v>1551601396367774</v>
      </c>
      <c r="C3082" t="s">
        <v>40</v>
      </c>
      <c r="D3082">
        <v>5.275188</v>
      </c>
      <c r="E3082">
        <v>0.57037839999999995</v>
      </c>
      <c r="F3082" t="s">
        <v>53</v>
      </c>
      <c r="G3082">
        <v>0</v>
      </c>
      <c r="H3082">
        <v>0</v>
      </c>
      <c r="I3082">
        <v>0</v>
      </c>
      <c r="J3082">
        <v>-435.68130000000002</v>
      </c>
      <c r="K3082">
        <v>1.1205799999999999</v>
      </c>
      <c r="L3082">
        <v>215.2501</v>
      </c>
      <c r="M3082">
        <v>0.99992720000000002</v>
      </c>
      <c r="N3082">
        <v>-8.7043769999999993E-3</v>
      </c>
      <c r="O3082">
        <v>-8.3726310000000002E-3</v>
      </c>
      <c r="P3082">
        <v>0.97440800000000005</v>
      </c>
      <c r="Q3082">
        <v>0.2245499</v>
      </c>
      <c r="R3082">
        <v>1.031285E-2</v>
      </c>
      <c r="S3082">
        <v>2.8390200000000001</v>
      </c>
      <c r="T3082">
        <v>1.069062</v>
      </c>
      <c r="U3082">
        <v>-0.51882929999999905</v>
      </c>
      <c r="V3082">
        <v>-1.8407550000000002E-2</v>
      </c>
      <c r="W3082">
        <v>0.23302709999999999</v>
      </c>
      <c r="X3082">
        <v>0.97229600000000005</v>
      </c>
      <c r="Y3082">
        <v>0.16165199999999999</v>
      </c>
      <c r="Z3082">
        <v>2.5381879999999999E-2</v>
      </c>
      <c r="AA3082">
        <v>0.98652139999999999</v>
      </c>
      <c r="AB3082">
        <v>28</v>
      </c>
      <c r="AC3082">
        <v>2.8390200000000001</v>
      </c>
      <c r="AD3082">
        <v>1.069062</v>
      </c>
      <c r="AE3082">
        <v>-0.51882929999999905</v>
      </c>
      <c r="AF3082">
        <v>0.43530920399994</v>
      </c>
      <c r="AG3082">
        <v>1.069062</v>
      </c>
      <c r="AH3082">
        <v>2.5001997467709298</v>
      </c>
      <c r="AI3082">
        <v>67.1565792908752</v>
      </c>
      <c r="AJ3082">
        <v>80.123252705033096</v>
      </c>
      <c r="AK3082">
        <v>2.7537949155092298</v>
      </c>
      <c r="AL3082">
        <v>76.524644299890596</v>
      </c>
      <c r="AM3082">
        <v>91.084596611466097</v>
      </c>
      <c r="AN3082">
        <v>0.99999998942370605</v>
      </c>
    </row>
    <row r="3083" spans="1:40" x14ac:dyDescent="0.25">
      <c r="A3083" t="str">
        <f>"20190303162316401"</f>
        <v>20190303162316401</v>
      </c>
      <c r="B3083" t="str">
        <f>"1551601396398029"</f>
        <v>1551601396398029</v>
      </c>
      <c r="C3083" t="s">
        <v>40</v>
      </c>
      <c r="D3083">
        <v>5.2081019999999896</v>
      </c>
      <c r="E3083">
        <v>0.56997869999999995</v>
      </c>
      <c r="F3083" t="s">
        <v>53</v>
      </c>
      <c r="G3083">
        <v>0</v>
      </c>
      <c r="H3083">
        <v>0</v>
      </c>
      <c r="I3083">
        <v>0</v>
      </c>
      <c r="J3083">
        <v>-435.40109999999999</v>
      </c>
      <c r="K3083">
        <v>1.120581</v>
      </c>
      <c r="L3083">
        <v>215.24760000000001</v>
      </c>
      <c r="M3083">
        <v>0.9999247</v>
      </c>
      <c r="N3083">
        <v>-8.8200290000000001E-3</v>
      </c>
      <c r="O3083">
        <v>-8.5325729999999999E-3</v>
      </c>
      <c r="P3083">
        <v>0.97396910000000003</v>
      </c>
      <c r="Q3083">
        <v>0.22648879999999999</v>
      </c>
      <c r="R3083">
        <v>9.3433579999999995E-3</v>
      </c>
      <c r="S3083">
        <v>2.839172</v>
      </c>
      <c r="T3083">
        <v>1.063769</v>
      </c>
      <c r="U3083">
        <v>-0.52110290000000004</v>
      </c>
      <c r="V3083">
        <v>-1.7574759999999998E-2</v>
      </c>
      <c r="W3083">
        <v>0.2350757</v>
      </c>
      <c r="X3083">
        <v>0.97181810000000002</v>
      </c>
      <c r="Y3083">
        <v>0.1623202</v>
      </c>
      <c r="Z3083">
        <v>2.5305080000000001E-2</v>
      </c>
      <c r="AA3083">
        <v>0.9864136</v>
      </c>
      <c r="AB3083">
        <v>28</v>
      </c>
      <c r="AC3083">
        <v>2.839172</v>
      </c>
      <c r="AD3083">
        <v>1.063769</v>
      </c>
      <c r="AE3083">
        <v>-0.52110290000000004</v>
      </c>
      <c r="AF3083">
        <v>0.43744891844673101</v>
      </c>
      <c r="AG3083">
        <v>1.063769</v>
      </c>
      <c r="AH3083">
        <v>2.5035196617717501</v>
      </c>
      <c r="AI3083">
        <v>67.287393421447902</v>
      </c>
      <c r="AJ3083">
        <v>80.088567082802896</v>
      </c>
      <c r="AK3083">
        <v>2.7551001322073501</v>
      </c>
      <c r="AL3083">
        <v>76.403914073425099</v>
      </c>
      <c r="AM3083">
        <v>91.036047611644605</v>
      </c>
      <c r="AN3083">
        <v>0.99999993820357602</v>
      </c>
    </row>
    <row r="3084" spans="1:40" x14ac:dyDescent="0.25">
      <c r="A3084" t="str">
        <f>"20190303162316424"</f>
        <v>20190303162316424</v>
      </c>
      <c r="B3084" t="str">
        <f>"1551601396417550"</f>
        <v>1551601396417550</v>
      </c>
      <c r="C3084" t="s">
        <v>40</v>
      </c>
      <c r="D3084">
        <v>5.2607569999999999</v>
      </c>
      <c r="E3084">
        <v>0.5693762</v>
      </c>
      <c r="F3084" t="s">
        <v>53</v>
      </c>
      <c r="G3084">
        <v>0</v>
      </c>
      <c r="H3084">
        <v>0</v>
      </c>
      <c r="I3084">
        <v>0</v>
      </c>
      <c r="J3084">
        <v>-435.12360000000001</v>
      </c>
      <c r="K3084">
        <v>1.1205989999999999</v>
      </c>
      <c r="L3084">
        <v>215.24510000000001</v>
      </c>
      <c r="M3084">
        <v>0.99992179999999997</v>
      </c>
      <c r="N3084">
        <v>-8.9619480000000008E-3</v>
      </c>
      <c r="O3084">
        <v>-8.7154709999999903E-3</v>
      </c>
      <c r="P3084">
        <v>0.97282270000000004</v>
      </c>
      <c r="Q3084">
        <v>0.23137940000000001</v>
      </c>
      <c r="R3084">
        <v>8.9227030000000006E-3</v>
      </c>
      <c r="S3084">
        <v>2.8385009999999999</v>
      </c>
      <c r="T3084">
        <v>1.0609690000000001</v>
      </c>
      <c r="U3084">
        <v>-0.52096560000000003</v>
      </c>
      <c r="V3084">
        <v>-1.730959E-2</v>
      </c>
      <c r="W3084">
        <v>0.24009430000000001</v>
      </c>
      <c r="X3084">
        <v>0.97059519999999999</v>
      </c>
      <c r="Y3084">
        <v>0.16220609999999999</v>
      </c>
      <c r="Z3084">
        <v>2.5146229999999999E-2</v>
      </c>
      <c r="AA3084">
        <v>0.98643639999999999</v>
      </c>
      <c r="AB3084">
        <v>28</v>
      </c>
      <c r="AC3084">
        <v>2.8385009999999999</v>
      </c>
      <c r="AD3084">
        <v>1.0609690000000001</v>
      </c>
      <c r="AE3084">
        <v>-0.52096560000000003</v>
      </c>
      <c r="AF3084">
        <v>0.43712533783555702</v>
      </c>
      <c r="AG3084">
        <v>1.0609690000000001</v>
      </c>
      <c r="AH3084">
        <v>2.5044407975800098</v>
      </c>
      <c r="AI3084">
        <v>67.347953025769499</v>
      </c>
      <c r="AJ3084">
        <v>80.099324027010496</v>
      </c>
      <c r="AK3084">
        <v>2.7548062524471701</v>
      </c>
      <c r="AL3084">
        <v>76.107893464400902</v>
      </c>
      <c r="AM3084">
        <v>91.021704339700506</v>
      </c>
      <c r="AN3084">
        <v>0.99999996853074802</v>
      </c>
    </row>
    <row r="3085" spans="1:40" x14ac:dyDescent="0.25">
      <c r="A3085" t="str">
        <f>"20190303162316445"</f>
        <v>20190303162316445</v>
      </c>
      <c r="B3085" t="str">
        <f>"1551601396438046"</f>
        <v>1551601396438046</v>
      </c>
      <c r="C3085" t="s">
        <v>40</v>
      </c>
      <c r="D3085">
        <v>5.1559089999999896</v>
      </c>
      <c r="E3085">
        <v>0.56881459999999995</v>
      </c>
      <c r="F3085" t="s">
        <v>53</v>
      </c>
      <c r="G3085">
        <v>0</v>
      </c>
      <c r="H3085">
        <v>0</v>
      </c>
      <c r="I3085">
        <v>0</v>
      </c>
      <c r="J3085">
        <v>-434.84190000000001</v>
      </c>
      <c r="K3085">
        <v>1.120628</v>
      </c>
      <c r="L3085">
        <v>215.2424</v>
      </c>
      <c r="M3085">
        <v>0.99991859999999999</v>
      </c>
      <c r="N3085">
        <v>-9.126281E-3</v>
      </c>
      <c r="O3085">
        <v>-8.9203449999999997E-3</v>
      </c>
      <c r="P3085">
        <v>0.97177959999999997</v>
      </c>
      <c r="Q3085">
        <v>0.23573359999999999</v>
      </c>
      <c r="R3085">
        <v>8.6277799999999998E-3</v>
      </c>
      <c r="S3085">
        <v>2.8344119999999999</v>
      </c>
      <c r="T3085">
        <v>1.068627</v>
      </c>
      <c r="U3085">
        <v>-0.51826479999999997</v>
      </c>
      <c r="V3085">
        <v>-1.7195680000000001E-2</v>
      </c>
      <c r="W3085">
        <v>0.24459880000000001</v>
      </c>
      <c r="X3085">
        <v>0.96947190000000005</v>
      </c>
      <c r="Y3085">
        <v>0.1612606</v>
      </c>
      <c r="Z3085">
        <v>2.5100899999999999E-2</v>
      </c>
      <c r="AA3085">
        <v>0.98659260000000004</v>
      </c>
      <c r="AB3085">
        <v>28</v>
      </c>
      <c r="AC3085">
        <v>2.8344119999999999</v>
      </c>
      <c r="AD3085">
        <v>1.068627</v>
      </c>
      <c r="AE3085">
        <v>-0.51826479999999997</v>
      </c>
      <c r="AF3085">
        <v>0.43335368066381802</v>
      </c>
      <c r="AG3085">
        <v>1.068627</v>
      </c>
      <c r="AH3085">
        <v>2.4956579300852</v>
      </c>
      <c r="AI3085">
        <v>67.126020225053395</v>
      </c>
      <c r="AJ3085">
        <v>80.149208499866702</v>
      </c>
      <c r="AK3085">
        <v>2.74919398763911</v>
      </c>
      <c r="AL3085">
        <v>75.841874908355507</v>
      </c>
      <c r="AM3085">
        <v>91.016157960085096</v>
      </c>
      <c r="AN3085">
        <v>1.0000000146308501</v>
      </c>
    </row>
    <row r="3086" spans="1:40" x14ac:dyDescent="0.25">
      <c r="A3086" t="str">
        <f>"20190303162316469"</f>
        <v>20190303162316469</v>
      </c>
      <c r="B3086" t="str">
        <f>"1551601396457565"</f>
        <v>1551601396457565</v>
      </c>
      <c r="C3086" t="s">
        <v>40</v>
      </c>
      <c r="D3086">
        <v>5.1863659999999996</v>
      </c>
      <c r="E3086">
        <v>0.56837799999999905</v>
      </c>
      <c r="F3086" t="s">
        <v>53</v>
      </c>
      <c r="G3086">
        <v>0</v>
      </c>
      <c r="H3086">
        <v>0</v>
      </c>
      <c r="I3086">
        <v>0</v>
      </c>
      <c r="J3086">
        <v>-434.55079999999998</v>
      </c>
      <c r="K3086">
        <v>1.12066</v>
      </c>
      <c r="L3086">
        <v>215.23949999999999</v>
      </c>
      <c r="M3086">
        <v>0.99991509999999995</v>
      </c>
      <c r="N3086">
        <v>-9.2976329999999996E-3</v>
      </c>
      <c r="O3086">
        <v>-9.1433209999999994E-3</v>
      </c>
      <c r="P3086">
        <v>0.97112940000000003</v>
      </c>
      <c r="Q3086">
        <v>0.23843149999999999</v>
      </c>
      <c r="R3086">
        <v>7.6408319999999898E-3</v>
      </c>
      <c r="S3086">
        <v>2.8312680000000001</v>
      </c>
      <c r="T3086">
        <v>1.0737559999999999</v>
      </c>
      <c r="U3086">
        <v>-0.51544190000000001</v>
      </c>
      <c r="V3086">
        <v>-1.6414160000000001E-2</v>
      </c>
      <c r="W3086">
        <v>0.2474565</v>
      </c>
      <c r="X3086">
        <v>0.96875999999999995</v>
      </c>
      <c r="Y3086">
        <v>0.16025410000000001</v>
      </c>
      <c r="Z3086">
        <v>2.4968980000000002E-2</v>
      </c>
      <c r="AA3086">
        <v>0.98675999999999997</v>
      </c>
      <c r="AB3086">
        <v>28</v>
      </c>
      <c r="AC3086">
        <v>2.8312680000000001</v>
      </c>
      <c r="AD3086">
        <v>1.0737559999999999</v>
      </c>
      <c r="AE3086">
        <v>-0.51544190000000001</v>
      </c>
      <c r="AF3086">
        <v>0.429709656857447</v>
      </c>
      <c r="AG3086">
        <v>1.0737559999999999</v>
      </c>
      <c r="AH3086">
        <v>2.4893111682825002</v>
      </c>
      <c r="AI3086">
        <v>66.971592090447899</v>
      </c>
      <c r="AJ3086">
        <v>80.206013196873101</v>
      </c>
      <c r="AK3086">
        <v>2.7448629162981102</v>
      </c>
      <c r="AL3086">
        <v>75.672948747019106</v>
      </c>
      <c r="AM3086">
        <v>90.970696675529595</v>
      </c>
      <c r="AN3086">
        <v>1.00000004082037</v>
      </c>
    </row>
    <row r="3087" spans="1:40" x14ac:dyDescent="0.25">
      <c r="A3087" t="str">
        <f>"20190303162316490"</f>
        <v>20190303162316490</v>
      </c>
      <c r="B3087" t="str">
        <f>"1551601396478061"</f>
        <v>1551601396478061</v>
      </c>
      <c r="C3087" t="s">
        <v>40</v>
      </c>
      <c r="D3087">
        <v>5.0488759999999999</v>
      </c>
      <c r="E3087">
        <v>0.56815170000000004</v>
      </c>
      <c r="F3087" t="s">
        <v>53</v>
      </c>
      <c r="G3087">
        <v>0</v>
      </c>
      <c r="H3087">
        <v>0</v>
      </c>
      <c r="I3087">
        <v>0</v>
      </c>
      <c r="J3087">
        <v>-434.28609999999998</v>
      </c>
      <c r="K3087">
        <v>1.120692</v>
      </c>
      <c r="L3087">
        <v>215.23689999999999</v>
      </c>
      <c r="M3087">
        <v>0.99991169999999996</v>
      </c>
      <c r="N3087">
        <v>-9.4490870000000001E-3</v>
      </c>
      <c r="O3087">
        <v>-9.3498399999999999E-3</v>
      </c>
      <c r="P3087">
        <v>0.97038970000000002</v>
      </c>
      <c r="Q3087">
        <v>0.24149200000000001</v>
      </c>
      <c r="R3087">
        <v>5.07553E-3</v>
      </c>
      <c r="S3087">
        <v>2.8284609999999999</v>
      </c>
      <c r="T3087">
        <v>1.078357</v>
      </c>
      <c r="U3087">
        <v>-0.51470950000000004</v>
      </c>
      <c r="V3087">
        <v>-1.403981E-2</v>
      </c>
      <c r="W3087">
        <v>0.25065589999999999</v>
      </c>
      <c r="X3087">
        <v>0.96797440000000001</v>
      </c>
      <c r="Y3087">
        <v>0.15991559999999999</v>
      </c>
      <c r="Z3087">
        <v>2.494511E-2</v>
      </c>
      <c r="AA3087">
        <v>0.98681549999999996</v>
      </c>
      <c r="AB3087">
        <v>28</v>
      </c>
      <c r="AC3087">
        <v>2.8284609999999999</v>
      </c>
      <c r="AD3087">
        <v>1.078357</v>
      </c>
      <c r="AE3087">
        <v>-0.51470950000000004</v>
      </c>
      <c r="AF3087">
        <v>0.42802021516197702</v>
      </c>
      <c r="AG3087">
        <v>1.078357</v>
      </c>
      <c r="AH3087">
        <v>2.4837069422981601</v>
      </c>
      <c r="AI3087">
        <v>66.8355888714283</v>
      </c>
      <c r="AJ3087">
        <v>80.222188267441197</v>
      </c>
      <c r="AK3087">
        <v>2.7413236400061201</v>
      </c>
      <c r="AL3087">
        <v>75.483671169166996</v>
      </c>
      <c r="AM3087">
        <v>90.830978024961794</v>
      </c>
      <c r="AN3087">
        <v>0.999999967762502</v>
      </c>
    </row>
    <row r="3088" spans="1:40" x14ac:dyDescent="0.25">
      <c r="A3088" t="str">
        <f>"20190303162316515"</f>
        <v>20190303162316515</v>
      </c>
      <c r="B3088" t="str">
        <f>"1551601396507343"</f>
        <v>1551601396507343</v>
      </c>
      <c r="C3088" t="s">
        <v>40</v>
      </c>
      <c r="D3088">
        <v>5.087599</v>
      </c>
      <c r="E3088">
        <v>0.56891029999999998</v>
      </c>
      <c r="F3088" t="s">
        <v>53</v>
      </c>
      <c r="G3088">
        <v>0</v>
      </c>
      <c r="H3088">
        <v>0</v>
      </c>
      <c r="I3088">
        <v>0</v>
      </c>
      <c r="J3088">
        <v>-433.98219999999998</v>
      </c>
      <c r="K3088">
        <v>1.120717</v>
      </c>
      <c r="L3088">
        <v>215.2338</v>
      </c>
      <c r="M3088">
        <v>0.99990789999999996</v>
      </c>
      <c r="N3088">
        <v>-9.6158600000000004E-3</v>
      </c>
      <c r="O3088">
        <v>-9.5876650000000004E-3</v>
      </c>
      <c r="P3088">
        <v>0.96945879999999995</v>
      </c>
      <c r="Q3088">
        <v>0.24525340000000001</v>
      </c>
      <c r="R3088">
        <v>9.2876700000000005E-4</v>
      </c>
      <c r="S3088">
        <v>2.8245849999999999</v>
      </c>
      <c r="T3088">
        <v>1.0838080000000001</v>
      </c>
      <c r="U3088">
        <v>-0.520401</v>
      </c>
      <c r="V3088">
        <v>-1.0112640000000001E-2</v>
      </c>
      <c r="W3088">
        <v>0.25456780000000001</v>
      </c>
      <c r="X3088">
        <v>0.96700200000000003</v>
      </c>
      <c r="Y3088">
        <v>0.16163089999999999</v>
      </c>
      <c r="Z3088">
        <v>2.5297190000000001E-2</v>
      </c>
      <c r="AA3088">
        <v>0.98652700000000004</v>
      </c>
      <c r="AB3088">
        <v>28</v>
      </c>
      <c r="AC3088">
        <v>2.8245849999999999</v>
      </c>
      <c r="AD3088">
        <v>1.0838080000000001</v>
      </c>
      <c r="AE3088">
        <v>-0.520401</v>
      </c>
      <c r="AF3088">
        <v>0.43180699842570203</v>
      </c>
      <c r="AG3088">
        <v>1.0838080000000001</v>
      </c>
      <c r="AH3088">
        <v>2.4767632590081599</v>
      </c>
      <c r="AI3088">
        <v>66.679709161396701</v>
      </c>
      <c r="AJ3088">
        <v>80.110268467333</v>
      </c>
      <c r="AK3088">
        <v>2.7377825527105202</v>
      </c>
      <c r="AL3088">
        <v>75.252022444978607</v>
      </c>
      <c r="AM3088">
        <v>90.599161605525495</v>
      </c>
      <c r="AN3088">
        <v>0.99999994914430301</v>
      </c>
    </row>
    <row r="3089" spans="1:40" x14ac:dyDescent="0.25">
      <c r="A3089" t="str">
        <f>"20190303162316537"</f>
        <v>20190303162316537</v>
      </c>
      <c r="B3089" t="str">
        <f>"1551601396527838"</f>
        <v>1551601396527838</v>
      </c>
      <c r="C3089" t="s">
        <v>40</v>
      </c>
      <c r="D3089">
        <v>4.9989819999999998</v>
      </c>
      <c r="E3089">
        <v>0.56985180000000002</v>
      </c>
      <c r="F3089" t="s">
        <v>53</v>
      </c>
      <c r="G3089">
        <v>0</v>
      </c>
      <c r="H3089">
        <v>0</v>
      </c>
      <c r="I3089">
        <v>0</v>
      </c>
      <c r="J3089">
        <v>-433.69380000000001</v>
      </c>
      <c r="K3089">
        <v>1.120743</v>
      </c>
      <c r="L3089">
        <v>215.23079999999999</v>
      </c>
      <c r="M3089">
        <v>0.99990429999999997</v>
      </c>
      <c r="N3089">
        <v>-9.7670680000000003E-3</v>
      </c>
      <c r="O3089">
        <v>-9.8113520000000006E-3</v>
      </c>
      <c r="P3089">
        <v>0.96864119999999998</v>
      </c>
      <c r="Q3089">
        <v>0.24843970000000001</v>
      </c>
      <c r="R3089">
        <v>-3.5465330000000002E-3</v>
      </c>
      <c r="S3089">
        <v>2.818146</v>
      </c>
      <c r="T3089">
        <v>1.094441</v>
      </c>
      <c r="U3089">
        <v>-0.53890990000000005</v>
      </c>
      <c r="V3089">
        <v>-5.8438739999999998E-3</v>
      </c>
      <c r="W3089">
        <v>0.25789060000000003</v>
      </c>
      <c r="X3089">
        <v>0.96615640000000003</v>
      </c>
      <c r="Y3089">
        <v>0.16746449999999999</v>
      </c>
      <c r="Z3089">
        <v>2.6532670000000001E-2</v>
      </c>
      <c r="AA3089">
        <v>0.98552099999999998</v>
      </c>
      <c r="AB3089">
        <v>28</v>
      </c>
      <c r="AC3089">
        <v>2.818146</v>
      </c>
      <c r="AD3089">
        <v>1.094441</v>
      </c>
      <c r="AE3089">
        <v>-0.53890990000000005</v>
      </c>
      <c r="AF3089">
        <v>0.44629707571142802</v>
      </c>
      <c r="AG3089">
        <v>1.094441</v>
      </c>
      <c r="AH3089">
        <v>2.4646884997178602</v>
      </c>
      <c r="AI3089">
        <v>66.397424355678993</v>
      </c>
      <c r="AJ3089">
        <v>79.736296342286707</v>
      </c>
      <c r="AK3089">
        <v>2.73343585673984</v>
      </c>
      <c r="AL3089">
        <v>75.055064703635196</v>
      </c>
      <c r="AM3089">
        <v>90.3465538633465</v>
      </c>
      <c r="AN3089">
        <v>0.99999995084632198</v>
      </c>
    </row>
    <row r="3090" spans="1:40" x14ac:dyDescent="0.25">
      <c r="A3090" t="str">
        <f>"20190303162316557"</f>
        <v>20190303162316557</v>
      </c>
      <c r="B3090" t="str">
        <f>"1551601396547358"</f>
        <v>1551601396547358</v>
      </c>
      <c r="C3090" t="s">
        <v>40</v>
      </c>
      <c r="D3090">
        <v>4.9517249999999997</v>
      </c>
      <c r="E3090">
        <v>0.57073240000000003</v>
      </c>
      <c r="F3090" t="s">
        <v>53</v>
      </c>
      <c r="G3090">
        <v>0</v>
      </c>
      <c r="H3090">
        <v>0</v>
      </c>
      <c r="I3090">
        <v>0</v>
      </c>
      <c r="J3090">
        <v>-433.43889999999999</v>
      </c>
      <c r="K3090">
        <v>1.1207609999999999</v>
      </c>
      <c r="L3090">
        <v>215.22800000000001</v>
      </c>
      <c r="M3090">
        <v>0.99990100000000004</v>
      </c>
      <c r="N3090">
        <v>-9.8909050000000002E-3</v>
      </c>
      <c r="O3090">
        <v>-1.000701E-2</v>
      </c>
      <c r="P3090">
        <v>0.96826540000000005</v>
      </c>
      <c r="Q3090">
        <v>0.2498244</v>
      </c>
      <c r="R3090">
        <v>-7.0585939999999996E-3</v>
      </c>
      <c r="S3090">
        <v>2.811401</v>
      </c>
      <c r="T3090">
        <v>1.1059030000000001</v>
      </c>
      <c r="U3090">
        <v>-0.55928040000000001</v>
      </c>
      <c r="V3090">
        <v>-2.5165500000000002E-3</v>
      </c>
      <c r="W3090">
        <v>0.25939089999999998</v>
      </c>
      <c r="X3090">
        <v>0.96576919999999999</v>
      </c>
      <c r="Y3090">
        <v>0.1738992</v>
      </c>
      <c r="Z3090">
        <v>2.7932780000000001E-2</v>
      </c>
      <c r="AA3090">
        <v>0.9843672</v>
      </c>
      <c r="AB3090">
        <v>28</v>
      </c>
      <c r="AC3090">
        <v>2.811401</v>
      </c>
      <c r="AD3090">
        <v>1.1059030000000001</v>
      </c>
      <c r="AE3090">
        <v>-0.55928040000000001</v>
      </c>
      <c r="AF3090">
        <v>0.46230562647307</v>
      </c>
      <c r="AG3090">
        <v>1.1059030000000001</v>
      </c>
      <c r="AH3090">
        <v>2.4519045825877002</v>
      </c>
      <c r="AI3090">
        <v>66.095711276172096</v>
      </c>
      <c r="AJ3090">
        <v>79.322260587963896</v>
      </c>
      <c r="AK3090">
        <v>2.7292094129605098</v>
      </c>
      <c r="AL3090">
        <v>74.966077536434</v>
      </c>
      <c r="AM3090">
        <v>90.149297956068693</v>
      </c>
      <c r="AN3090">
        <v>1.0000000598476699</v>
      </c>
    </row>
    <row r="3091" spans="1:40" x14ac:dyDescent="0.25">
      <c r="A3091" t="str">
        <f>"20190303162316579"</f>
        <v>20190303162316579</v>
      </c>
      <c r="B3091" t="str">
        <f>"1551601396567853"</f>
        <v>1551601396567853</v>
      </c>
      <c r="C3091" t="s">
        <v>40</v>
      </c>
      <c r="D3091">
        <v>4.9439060000000001</v>
      </c>
      <c r="E3091">
        <v>0.57147150000000002</v>
      </c>
      <c r="F3091" t="s">
        <v>53</v>
      </c>
      <c r="G3091">
        <v>0</v>
      </c>
      <c r="H3091">
        <v>0</v>
      </c>
      <c r="I3091">
        <v>0</v>
      </c>
      <c r="J3091">
        <v>-433.16489999999999</v>
      </c>
      <c r="K3091">
        <v>1.1207769999999999</v>
      </c>
      <c r="L3091">
        <v>215.22499999999999</v>
      </c>
      <c r="M3091">
        <v>0.99989779999999995</v>
      </c>
      <c r="N3091">
        <v>-1.001206E-2</v>
      </c>
      <c r="O3091">
        <v>-1.021566E-2</v>
      </c>
      <c r="P3091">
        <v>0.96816950000000002</v>
      </c>
      <c r="Q3091">
        <v>0.25013469999999999</v>
      </c>
      <c r="R3091">
        <v>-8.9645660000000002E-3</v>
      </c>
      <c r="S3091">
        <v>2.8071899999999999</v>
      </c>
      <c r="T3091">
        <v>1.1121179999999999</v>
      </c>
      <c r="U3091">
        <v>-0.57653809999999905</v>
      </c>
      <c r="V3091">
        <v>-8.1162420000000001E-4</v>
      </c>
      <c r="W3091">
        <v>0.2598163</v>
      </c>
      <c r="X3091">
        <v>0.96565769999999995</v>
      </c>
      <c r="Y3091">
        <v>0.179286</v>
      </c>
      <c r="Z3091">
        <v>2.9005059999999999E-2</v>
      </c>
      <c r="AA3091">
        <v>0.98336939999999995</v>
      </c>
      <c r="AB3091">
        <v>28</v>
      </c>
      <c r="AC3091">
        <v>2.8071899999999999</v>
      </c>
      <c r="AD3091">
        <v>1.1121179999999999</v>
      </c>
      <c r="AE3091">
        <v>-0.57653809999999905</v>
      </c>
      <c r="AF3091">
        <v>0.47612628250922701</v>
      </c>
      <c r="AG3091">
        <v>1.1121179999999999</v>
      </c>
      <c r="AH3091">
        <v>2.4447608539094401</v>
      </c>
      <c r="AI3091">
        <v>65.938786431476402</v>
      </c>
      <c r="AJ3091">
        <v>78.979385257925799</v>
      </c>
      <c r="AK3091">
        <v>2.7277020210477598</v>
      </c>
      <c r="AL3091">
        <v>74.940837387857201</v>
      </c>
      <c r="AM3091">
        <v>90.048156432927001</v>
      </c>
      <c r="AN3091">
        <v>0.99999998102441001</v>
      </c>
    </row>
    <row r="3092" spans="1:40" x14ac:dyDescent="0.25">
      <c r="A3092" t="str">
        <f>"20190303162316602"</f>
        <v>20190303162316602</v>
      </c>
      <c r="B3092" t="str">
        <f>"1551601396598109"</f>
        <v>1551601396598109</v>
      </c>
      <c r="C3092" t="s">
        <v>40</v>
      </c>
      <c r="D3092">
        <v>4.8721990000000002</v>
      </c>
      <c r="E3092">
        <v>0.5723975</v>
      </c>
      <c r="F3092" t="s">
        <v>53</v>
      </c>
      <c r="G3092">
        <v>0</v>
      </c>
      <c r="H3092">
        <v>0</v>
      </c>
      <c r="I3092">
        <v>0</v>
      </c>
      <c r="J3092">
        <v>-432.87180000000001</v>
      </c>
      <c r="K3092">
        <v>1.120792</v>
      </c>
      <c r="L3092">
        <v>215.2218</v>
      </c>
      <c r="M3092">
        <v>0.99989430000000001</v>
      </c>
      <c r="N3092">
        <v>-1.012803E-2</v>
      </c>
      <c r="O3092">
        <v>-1.0437510000000001E-2</v>
      </c>
      <c r="P3092">
        <v>0.96816089999999999</v>
      </c>
      <c r="Q3092">
        <v>0.25013829999999998</v>
      </c>
      <c r="R3092">
        <v>-9.7624410000000002E-3</v>
      </c>
      <c r="S3092">
        <v>2.805634</v>
      </c>
      <c r="T3092">
        <v>1.1130359999999999</v>
      </c>
      <c r="U3092">
        <v>-0.58831789999999995</v>
      </c>
      <c r="V3092">
        <v>-2.2821310000000001E-4</v>
      </c>
      <c r="W3092">
        <v>0.259932</v>
      </c>
      <c r="X3092">
        <v>0.96562689999999995</v>
      </c>
      <c r="Y3092">
        <v>0.18288090000000001</v>
      </c>
      <c r="Z3092">
        <v>2.959494E-2</v>
      </c>
      <c r="AA3092">
        <v>0.98268960000000005</v>
      </c>
      <c r="AB3092">
        <v>28</v>
      </c>
      <c r="AC3092">
        <v>2.805634</v>
      </c>
      <c r="AD3092">
        <v>1.1130359999999999</v>
      </c>
      <c r="AE3092">
        <v>-0.58831789999999995</v>
      </c>
      <c r="AF3092">
        <v>0.48576901421382601</v>
      </c>
      <c r="AG3092">
        <v>1.1130359999999999</v>
      </c>
      <c r="AH3092">
        <v>2.4432873098122401</v>
      </c>
      <c r="AI3092">
        <v>65.924745902620103</v>
      </c>
      <c r="AJ3092">
        <v>78.755212036986705</v>
      </c>
      <c r="AK3092">
        <v>2.7284562578050999</v>
      </c>
      <c r="AL3092">
        <v>74.933972746642198</v>
      </c>
      <c r="AM3092">
        <v>90.013541096686595</v>
      </c>
      <c r="AN3092">
        <v>1.0000000033544101</v>
      </c>
    </row>
    <row r="3093" spans="1:40" x14ac:dyDescent="0.25">
      <c r="A3093" t="str">
        <f>"20190303162316625"</f>
        <v>20190303162316625</v>
      </c>
      <c r="B3093" t="str">
        <f>"1551601396617630"</f>
        <v>1551601396617630</v>
      </c>
      <c r="C3093" t="s">
        <v>40</v>
      </c>
      <c r="D3093">
        <v>4.8414999999999999</v>
      </c>
      <c r="E3093">
        <v>0.57294730000000005</v>
      </c>
      <c r="F3093" t="s">
        <v>53</v>
      </c>
      <c r="G3093">
        <v>0</v>
      </c>
      <c r="H3093">
        <v>0</v>
      </c>
      <c r="I3093">
        <v>0</v>
      </c>
      <c r="J3093">
        <v>-432.58710000000002</v>
      </c>
      <c r="K3093">
        <v>1.1208070000000001</v>
      </c>
      <c r="L3093">
        <v>215.21860000000001</v>
      </c>
      <c r="M3093">
        <v>0.99989110000000003</v>
      </c>
      <c r="N3093">
        <v>-1.0227470000000001E-2</v>
      </c>
      <c r="O3093">
        <v>-1.065259E-2</v>
      </c>
      <c r="P3093">
        <v>0.96769709999999998</v>
      </c>
      <c r="Q3093">
        <v>0.25194670000000002</v>
      </c>
      <c r="R3093">
        <v>-9.2576440000000006E-3</v>
      </c>
      <c r="S3093">
        <v>2.8052060000000001</v>
      </c>
      <c r="T3093">
        <v>1.1123890000000001</v>
      </c>
      <c r="U3093">
        <v>-0.59802250000000001</v>
      </c>
      <c r="V3093">
        <v>-9.3634220000000002E-4</v>
      </c>
      <c r="W3093">
        <v>0.2618317</v>
      </c>
      <c r="X3093">
        <v>0.96511309999999995</v>
      </c>
      <c r="Y3093">
        <v>0.1857897</v>
      </c>
      <c r="Z3093">
        <v>3.001332E-2</v>
      </c>
      <c r="AA3093">
        <v>0.98213110000000003</v>
      </c>
      <c r="AB3093">
        <v>28</v>
      </c>
      <c r="AC3093">
        <v>2.8052060000000001</v>
      </c>
      <c r="AD3093">
        <v>1.1123890000000001</v>
      </c>
      <c r="AE3093">
        <v>-0.59802250000000001</v>
      </c>
      <c r="AF3093">
        <v>0.493826916323794</v>
      </c>
      <c r="AG3093">
        <v>1.1123890000000001</v>
      </c>
      <c r="AH3093">
        <v>2.4438359476821501</v>
      </c>
      <c r="AI3093">
        <v>65.955306251250704</v>
      </c>
      <c r="AJ3093">
        <v>78.576050198840704</v>
      </c>
      <c r="AK3093">
        <v>2.7301297496255299</v>
      </c>
      <c r="AL3093">
        <v>74.821223548782996</v>
      </c>
      <c r="AM3093">
        <v>90.055587722731602</v>
      </c>
      <c r="AN3093">
        <v>1.0000000058266001</v>
      </c>
    </row>
    <row r="3094" spans="1:40" x14ac:dyDescent="0.25">
      <c r="A3094" t="str">
        <f>"20190303162316646"</f>
        <v>20190303162316646</v>
      </c>
      <c r="B3094" t="str">
        <f>"1551601396638125"</f>
        <v>1551601396638125</v>
      </c>
      <c r="C3094" t="s">
        <v>40</v>
      </c>
      <c r="D3094">
        <v>4.832897</v>
      </c>
      <c r="E3094">
        <v>0.57339010000000001</v>
      </c>
      <c r="F3094" t="s">
        <v>53</v>
      </c>
      <c r="G3094">
        <v>0</v>
      </c>
      <c r="H3094">
        <v>0</v>
      </c>
      <c r="I3094">
        <v>0</v>
      </c>
      <c r="J3094">
        <v>-432.31209999999999</v>
      </c>
      <c r="K3094">
        <v>1.1208119999999999</v>
      </c>
      <c r="L3094">
        <v>215.21539999999999</v>
      </c>
      <c r="M3094">
        <v>0.99988790000000005</v>
      </c>
      <c r="N3094">
        <v>-1.031235E-2</v>
      </c>
      <c r="O3094">
        <v>-1.0861050000000001E-2</v>
      </c>
      <c r="P3094">
        <v>0.9675513</v>
      </c>
      <c r="Q3094">
        <v>0.25252229999999998</v>
      </c>
      <c r="R3094">
        <v>-8.7945430000000002E-3</v>
      </c>
      <c r="S3094">
        <v>2.8035580000000002</v>
      </c>
      <c r="T3094">
        <v>1.117035</v>
      </c>
      <c r="U3094">
        <v>-0.60131840000000003</v>
      </c>
      <c r="V3094">
        <v>-1.5996579999999999E-3</v>
      </c>
      <c r="W3094">
        <v>0.26248739999999998</v>
      </c>
      <c r="X3094">
        <v>0.96493410000000002</v>
      </c>
      <c r="Y3094">
        <v>0.1866543</v>
      </c>
      <c r="Z3094">
        <v>3.0216590000000002E-2</v>
      </c>
      <c r="AA3094">
        <v>0.98196079999999997</v>
      </c>
      <c r="AB3094">
        <v>28</v>
      </c>
      <c r="AC3094">
        <v>2.8035580000000002</v>
      </c>
      <c r="AD3094">
        <v>1.117035</v>
      </c>
      <c r="AE3094">
        <v>-0.60131840000000003</v>
      </c>
      <c r="AF3094">
        <v>0.49561328823140499</v>
      </c>
      <c r="AG3094">
        <v>1.117035</v>
      </c>
      <c r="AH3094">
        <v>2.43966052396588</v>
      </c>
      <c r="AI3094">
        <v>65.834236990079901</v>
      </c>
      <c r="AJ3094">
        <v>78.516717531778099</v>
      </c>
      <c r="AK3094">
        <v>2.7286156187513901</v>
      </c>
      <c r="AL3094">
        <v>74.782293093220005</v>
      </c>
      <c r="AM3094">
        <v>90.094984277269802</v>
      </c>
      <c r="AN3094">
        <v>1.00000000570364</v>
      </c>
    </row>
    <row r="3095" spans="1:40" x14ac:dyDescent="0.25">
      <c r="A3095" t="str">
        <f>"20190303162316669"</f>
        <v>20190303162316669</v>
      </c>
      <c r="B3095" t="str">
        <f>"1551601396657645"</f>
        <v>1551601396657645</v>
      </c>
      <c r="C3095" t="s">
        <v>40</v>
      </c>
      <c r="D3095">
        <v>4.8150729999999999</v>
      </c>
      <c r="E3095">
        <v>0.57380769999999903</v>
      </c>
      <c r="F3095" t="s">
        <v>53</v>
      </c>
      <c r="G3095">
        <v>0</v>
      </c>
      <c r="H3095">
        <v>0</v>
      </c>
      <c r="I3095">
        <v>0</v>
      </c>
      <c r="J3095">
        <v>-432.02710000000002</v>
      </c>
      <c r="K3095">
        <v>1.1208089999999999</v>
      </c>
      <c r="L3095">
        <v>215.21209999999999</v>
      </c>
      <c r="M3095">
        <v>0.99988480000000002</v>
      </c>
      <c r="N3095">
        <v>-1.038998E-2</v>
      </c>
      <c r="O3095">
        <v>-1.107758E-2</v>
      </c>
      <c r="P3095">
        <v>0.96773370000000003</v>
      </c>
      <c r="Q3095">
        <v>0.25181720000000002</v>
      </c>
      <c r="R3095">
        <v>-8.9403869999999993E-3</v>
      </c>
      <c r="S3095">
        <v>2.8036500000000002</v>
      </c>
      <c r="T3095">
        <v>1.117062</v>
      </c>
      <c r="U3095">
        <v>-0.60432430000000004</v>
      </c>
      <c r="V3095">
        <v>-1.665749E-3</v>
      </c>
      <c r="W3095">
        <v>0.26185930000000002</v>
      </c>
      <c r="X3095">
        <v>0.96510459999999998</v>
      </c>
      <c r="Y3095">
        <v>0.18741169999999999</v>
      </c>
      <c r="Z3095">
        <v>3.0260160000000001E-2</v>
      </c>
      <c r="AA3095">
        <v>0.98181529999999995</v>
      </c>
      <c r="AB3095">
        <v>28</v>
      </c>
      <c r="AC3095">
        <v>2.8036500000000002</v>
      </c>
      <c r="AD3095">
        <v>1.117062</v>
      </c>
      <c r="AE3095">
        <v>-0.60432430000000004</v>
      </c>
      <c r="AF3095">
        <v>0.49772354468947999</v>
      </c>
      <c r="AG3095">
        <v>1.117062</v>
      </c>
      <c r="AH3095">
        <v>2.4400228658674301</v>
      </c>
      <c r="AI3095">
        <v>65.840388751454796</v>
      </c>
      <c r="AJ3095">
        <v>78.470796601260602</v>
      </c>
      <c r="AK3095">
        <v>2.72933468536531</v>
      </c>
      <c r="AL3095">
        <v>74.819584589088905</v>
      </c>
      <c r="AM3095">
        <v>90.098891138490103</v>
      </c>
      <c r="AN3095">
        <v>0.99999997832869003</v>
      </c>
    </row>
    <row r="3096" spans="1:40" x14ac:dyDescent="0.25">
      <c r="A3096" t="str">
        <f>"20190303162316691"</f>
        <v>20190303162316691</v>
      </c>
      <c r="B3096" t="str">
        <f>"1551601396687902"</f>
        <v>1551601396687902</v>
      </c>
      <c r="C3096" t="s">
        <v>40</v>
      </c>
      <c r="D3096">
        <v>4.8031449999999998</v>
      </c>
      <c r="E3096">
        <v>0.57430419999999904</v>
      </c>
      <c r="F3096" t="s">
        <v>53</v>
      </c>
      <c r="G3096">
        <v>0</v>
      </c>
      <c r="H3096">
        <v>0</v>
      </c>
      <c r="I3096">
        <v>0</v>
      </c>
      <c r="J3096">
        <v>-431.73930000000001</v>
      </c>
      <c r="K3096">
        <v>1.1208049999999901</v>
      </c>
      <c r="L3096">
        <v>215.20859999999999</v>
      </c>
      <c r="M3096">
        <v>0.99988160000000004</v>
      </c>
      <c r="N3096">
        <v>-1.045885E-2</v>
      </c>
      <c r="O3096">
        <v>-1.129586E-2</v>
      </c>
      <c r="P3096">
        <v>0.96823110000000001</v>
      </c>
      <c r="Q3096">
        <v>0.249862</v>
      </c>
      <c r="R3096">
        <v>-9.8791120000000007E-3</v>
      </c>
      <c r="S3096">
        <v>2.8048709999999999</v>
      </c>
      <c r="T3096">
        <v>1.112808</v>
      </c>
      <c r="U3096">
        <v>-0.60931400000000002</v>
      </c>
      <c r="V3096">
        <v>-9.4465640000000002E-4</v>
      </c>
      <c r="W3096">
        <v>0.25997609999999999</v>
      </c>
      <c r="X3096">
        <v>0.96561459999999999</v>
      </c>
      <c r="Y3096">
        <v>0.18880830000000001</v>
      </c>
      <c r="Z3096">
        <v>3.0295659999999999E-2</v>
      </c>
      <c r="AA3096">
        <v>0.98154649999999999</v>
      </c>
      <c r="AB3096">
        <v>28</v>
      </c>
      <c r="AC3096">
        <v>2.8048709999999999</v>
      </c>
      <c r="AD3096">
        <v>1.112808</v>
      </c>
      <c r="AE3096">
        <v>-0.60931400000000002</v>
      </c>
      <c r="AF3096">
        <v>0.50211663033896303</v>
      </c>
      <c r="AG3096">
        <v>1.112808</v>
      </c>
      <c r="AH3096">
        <v>2.4441883081662201</v>
      </c>
      <c r="AI3096">
        <v>65.964373728113699</v>
      </c>
      <c r="AJ3096">
        <v>78.391074176029505</v>
      </c>
      <c r="AK3096">
        <v>2.7321272373561598</v>
      </c>
      <c r="AL3096">
        <v>74.931356150850903</v>
      </c>
      <c r="AM3096">
        <v>90.0560521843218</v>
      </c>
      <c r="AN3096">
        <v>1.0000000103400399</v>
      </c>
    </row>
    <row r="3097" spans="1:40" x14ac:dyDescent="0.25">
      <c r="A3097" t="str">
        <f>"20190303162316715"</f>
        <v>20190303162316715</v>
      </c>
      <c r="B3097" t="str">
        <f>"1551601396707421"</f>
        <v>1551601396707421</v>
      </c>
      <c r="C3097" t="s">
        <v>40</v>
      </c>
      <c r="D3097">
        <v>4.755179</v>
      </c>
      <c r="E3097">
        <v>0.57460290000000003</v>
      </c>
      <c r="F3097" t="s">
        <v>53</v>
      </c>
      <c r="G3097">
        <v>0</v>
      </c>
      <c r="H3097">
        <v>0</v>
      </c>
      <c r="I3097">
        <v>0</v>
      </c>
      <c r="J3097">
        <v>-431.44459999999998</v>
      </c>
      <c r="K3097">
        <v>1.120822</v>
      </c>
      <c r="L3097">
        <v>215.20500000000001</v>
      </c>
      <c r="M3097">
        <v>0.9998783</v>
      </c>
      <c r="N3097">
        <v>-1.0520430000000001E-2</v>
      </c>
      <c r="O3097">
        <v>-1.1519710000000001E-2</v>
      </c>
      <c r="P3097">
        <v>0.96761870000000005</v>
      </c>
      <c r="Q3097">
        <v>0.2521523</v>
      </c>
      <c r="R3097">
        <v>-1.156943E-2</v>
      </c>
      <c r="S3097">
        <v>2.8067929999999999</v>
      </c>
      <c r="T3097">
        <v>1.105515</v>
      </c>
      <c r="U3097">
        <v>-0.61683650000000001</v>
      </c>
      <c r="V3097">
        <v>5.3691950000000002E-4</v>
      </c>
      <c r="W3097">
        <v>0.26231860000000001</v>
      </c>
      <c r="X3097">
        <v>0.96498119999999998</v>
      </c>
      <c r="Y3097">
        <v>0.19101090000000001</v>
      </c>
      <c r="Z3097">
        <v>3.0384899999999999E-2</v>
      </c>
      <c r="AA3097">
        <v>0.98111749999999998</v>
      </c>
      <c r="AB3097">
        <v>28</v>
      </c>
      <c r="AC3097">
        <v>2.8067929999999999</v>
      </c>
      <c r="AD3097">
        <v>1.105515</v>
      </c>
      <c r="AE3097">
        <v>-0.61683650000000001</v>
      </c>
      <c r="AF3097">
        <v>0.50911745901329397</v>
      </c>
      <c r="AG3097">
        <v>1.105515</v>
      </c>
      <c r="AH3097">
        <v>2.4509967237796602</v>
      </c>
      <c r="AI3097">
        <v>66.172767420408107</v>
      </c>
      <c r="AJ3097">
        <v>78.265475047857194</v>
      </c>
      <c r="AK3097">
        <v>2.7365578638639798</v>
      </c>
      <c r="AL3097">
        <v>74.792316154216294</v>
      </c>
      <c r="AM3097">
        <v>89.968120396424595</v>
      </c>
      <c r="AN3097">
        <v>1.0000000262709701</v>
      </c>
    </row>
    <row r="3098" spans="1:40" x14ac:dyDescent="0.25">
      <c r="A3098" t="str">
        <f>"20190303162316738"</f>
        <v>20190303162316738</v>
      </c>
      <c r="B3098" t="str">
        <f>"1551601396727918"</f>
        <v>1551601396727918</v>
      </c>
      <c r="C3098" t="s">
        <v>40</v>
      </c>
      <c r="D3098">
        <v>4.7177319999999998</v>
      </c>
      <c r="E3098">
        <v>0.57488050000000002</v>
      </c>
      <c r="F3098" t="s">
        <v>53</v>
      </c>
      <c r="G3098">
        <v>0</v>
      </c>
      <c r="H3098">
        <v>0</v>
      </c>
      <c r="I3098">
        <v>0</v>
      </c>
      <c r="J3098">
        <v>-431.15129999999999</v>
      </c>
      <c r="K3098">
        <v>1.1208720000000001</v>
      </c>
      <c r="L3098">
        <v>215.20140000000001</v>
      </c>
      <c r="M3098">
        <v>0.99987519999999996</v>
      </c>
      <c r="N3098">
        <v>-1.0573900000000001E-2</v>
      </c>
      <c r="O3098">
        <v>-1.1742799999999999E-2</v>
      </c>
      <c r="P3098">
        <v>0.96492029999999995</v>
      </c>
      <c r="Q3098">
        <v>0.26216050000000002</v>
      </c>
      <c r="R3098">
        <v>-1.4181249999999999E-2</v>
      </c>
      <c r="S3098">
        <v>2.803436</v>
      </c>
      <c r="T3098">
        <v>1.1107959999999999</v>
      </c>
      <c r="U3098">
        <v>-0.62512209999999901</v>
      </c>
      <c r="V3098">
        <v>2.9688789999999998E-3</v>
      </c>
      <c r="W3098">
        <v>0.27234899999999901</v>
      </c>
      <c r="X3098">
        <v>0.96219399999999999</v>
      </c>
      <c r="Y3098">
        <v>0.1935113</v>
      </c>
      <c r="Z3098">
        <v>3.0916280000000001E-2</v>
      </c>
      <c r="AA3098">
        <v>0.9806108</v>
      </c>
      <c r="AB3098">
        <v>28</v>
      </c>
      <c r="AC3098">
        <v>2.803436</v>
      </c>
      <c r="AD3098">
        <v>1.1107959999999999</v>
      </c>
      <c r="AE3098">
        <v>-0.62512209999999901</v>
      </c>
      <c r="AF3098">
        <v>0.51511656366209901</v>
      </c>
      <c r="AG3098">
        <v>1.1107959999999999</v>
      </c>
      <c r="AH3098">
        <v>2.4449231181386102</v>
      </c>
      <c r="AI3098">
        <v>66.031617175459104</v>
      </c>
      <c r="AJ3098">
        <v>78.102458083929207</v>
      </c>
      <c r="AK3098">
        <v>2.7343851011486402</v>
      </c>
      <c r="AL3098">
        <v>74.195906722016701</v>
      </c>
      <c r="AM3098">
        <v>89.823212681889103</v>
      </c>
      <c r="AN3098">
        <v>1.00000004283975</v>
      </c>
    </row>
    <row r="3099" spans="1:40" x14ac:dyDescent="0.25">
      <c r="A3099" t="str">
        <f>"20190303162316759"</f>
        <v>20190303162316759</v>
      </c>
      <c r="B3099" t="str">
        <f>"1551601396747438"</f>
        <v>1551601396747438</v>
      </c>
      <c r="C3099" t="s">
        <v>40</v>
      </c>
      <c r="D3099">
        <v>4.7995890000000001</v>
      </c>
      <c r="E3099">
        <v>0.57511040000000002</v>
      </c>
      <c r="F3099" t="s">
        <v>53</v>
      </c>
      <c r="G3099">
        <v>0</v>
      </c>
      <c r="H3099">
        <v>0</v>
      </c>
      <c r="I3099">
        <v>0</v>
      </c>
      <c r="J3099">
        <v>-430.88299999999998</v>
      </c>
      <c r="K3099">
        <v>1.1209990000000001</v>
      </c>
      <c r="L3099">
        <v>215.19800000000001</v>
      </c>
      <c r="M3099">
        <v>0.99987230000000005</v>
      </c>
      <c r="N3099">
        <v>-1.0616489999999999E-2</v>
      </c>
      <c r="O3099">
        <v>-1.194687E-2</v>
      </c>
      <c r="P3099">
        <v>0.95959760000000005</v>
      </c>
      <c r="Q3099">
        <v>0.2808872</v>
      </c>
      <c r="R3099">
        <v>-1.6584599999999901E-2</v>
      </c>
      <c r="S3099">
        <v>2.7901609999999999</v>
      </c>
      <c r="T3099">
        <v>1.1394679999999999</v>
      </c>
      <c r="U3099">
        <v>-0.63496399999999997</v>
      </c>
      <c r="V3099">
        <v>5.2470850000000003E-3</v>
      </c>
      <c r="W3099">
        <v>0.29105769999999997</v>
      </c>
      <c r="X3099">
        <v>0.95669110000000002</v>
      </c>
      <c r="Y3099">
        <v>0.19662350000000001</v>
      </c>
      <c r="Z3099">
        <v>3.2315679999999999E-2</v>
      </c>
      <c r="AA3099">
        <v>0.9799464</v>
      </c>
      <c r="AB3099">
        <v>28</v>
      </c>
      <c r="AC3099">
        <v>2.7901609999999999</v>
      </c>
      <c r="AD3099">
        <v>1.1394679999999999</v>
      </c>
      <c r="AE3099">
        <v>-0.63496399999999997</v>
      </c>
      <c r="AF3099">
        <v>0.51924689320519701</v>
      </c>
      <c r="AG3099">
        <v>1.1394679999999999</v>
      </c>
      <c r="AH3099">
        <v>2.4146591540025502</v>
      </c>
      <c r="AI3099">
        <v>65.233776539368506</v>
      </c>
      <c r="AJ3099">
        <v>77.863961282399998</v>
      </c>
      <c r="AK3099">
        <v>2.7200337294113699</v>
      </c>
      <c r="AL3099">
        <v>73.078710215771807</v>
      </c>
      <c r="AM3099">
        <v>89.685757700868905</v>
      </c>
      <c r="AN3099">
        <v>0.99999998872474805</v>
      </c>
    </row>
    <row r="3100" spans="1:40" x14ac:dyDescent="0.25">
      <c r="A3100" t="str">
        <f>"20190303162316904"</f>
        <v>20190303162316904</v>
      </c>
      <c r="B3100" t="str">
        <f>"1551601396897742"</f>
        <v>1551601396897742</v>
      </c>
      <c r="C3100" t="s">
        <v>40</v>
      </c>
      <c r="D3100">
        <v>4.60487</v>
      </c>
      <c r="E3100">
        <v>0.51786799999999999</v>
      </c>
      <c r="F3100" t="s">
        <v>53</v>
      </c>
      <c r="G3100">
        <v>0</v>
      </c>
      <c r="H3100">
        <v>0</v>
      </c>
      <c r="I3100">
        <v>0</v>
      </c>
      <c r="J3100">
        <v>-429.0412</v>
      </c>
      <c r="K3100">
        <v>1.121745</v>
      </c>
      <c r="L3100">
        <v>215.17349999999999</v>
      </c>
      <c r="M3100">
        <v>0.99985520000000006</v>
      </c>
      <c r="N3100">
        <v>-1.079772E-2</v>
      </c>
      <c r="O3100">
        <v>-1.316268E-2</v>
      </c>
      <c r="P3100">
        <v>0.89266000000000001</v>
      </c>
      <c r="Q3100">
        <v>0.448961</v>
      </c>
      <c r="R3100">
        <v>-3.990871E-2</v>
      </c>
      <c r="S3100">
        <v>2.7662049999999998</v>
      </c>
      <c r="T3100">
        <v>1.1921029999999999</v>
      </c>
      <c r="U3100">
        <v>-0.64363099999999995</v>
      </c>
      <c r="V3100">
        <v>2.831641E-2</v>
      </c>
      <c r="W3100">
        <v>0.45856839999999999</v>
      </c>
      <c r="X3100">
        <v>0.88820789999999905</v>
      </c>
      <c r="Y3100">
        <v>0.19864770000000001</v>
      </c>
      <c r="Z3100">
        <v>3.3876330000000003E-2</v>
      </c>
      <c r="AA3100">
        <v>0.9794853</v>
      </c>
      <c r="AB3100">
        <v>29</v>
      </c>
      <c r="AC3100">
        <v>2.7662049999999998</v>
      </c>
      <c r="AD3100">
        <v>1.1921029999999999</v>
      </c>
      <c r="AE3100">
        <v>-0.64363099999999995</v>
      </c>
      <c r="AF3100">
        <v>0.516214763083918</v>
      </c>
      <c r="AG3100">
        <v>1.1921029999999999</v>
      </c>
      <c r="AH3100">
        <v>2.3588509589189099</v>
      </c>
      <c r="AI3100">
        <v>63.7248675902351</v>
      </c>
      <c r="AJ3100">
        <v>77.655903149729795</v>
      </c>
      <c r="AK3100">
        <v>2.69291015272093</v>
      </c>
      <c r="AL3100">
        <v>62.705233548882603</v>
      </c>
      <c r="AM3100">
        <v>88.174006932020504</v>
      </c>
      <c r="AN3100">
        <v>1.00000003508812</v>
      </c>
    </row>
    <row r="3101" spans="1:40" x14ac:dyDescent="0.25">
      <c r="A3101" t="str">
        <f>"20190303162316927"</f>
        <v>20190303162316927</v>
      </c>
      <c r="B3101" t="str">
        <f>"1551601396917262"</f>
        <v>1551601396917262</v>
      </c>
      <c r="C3101" t="s">
        <v>40</v>
      </c>
      <c r="D3101">
        <v>4.4959040000000003</v>
      </c>
      <c r="E3101">
        <v>0.51513409999999904</v>
      </c>
      <c r="F3101" t="s">
        <v>53</v>
      </c>
      <c r="G3101">
        <v>0</v>
      </c>
      <c r="H3101">
        <v>0</v>
      </c>
      <c r="I3101">
        <v>0</v>
      </c>
      <c r="J3101">
        <v>-428.74560000000002</v>
      </c>
      <c r="K3101">
        <v>1.1217090000000001</v>
      </c>
      <c r="L3101">
        <v>215.1694</v>
      </c>
      <c r="M3101">
        <v>0.99985279999999999</v>
      </c>
      <c r="N3101">
        <v>-1.081462E-2</v>
      </c>
      <c r="O3101">
        <v>-1.3326640000000001E-2</v>
      </c>
      <c r="P3101">
        <v>0.89699449999999903</v>
      </c>
      <c r="Q3101">
        <v>0.4401214</v>
      </c>
      <c r="R3101">
        <v>-4.1159750000000002E-2</v>
      </c>
      <c r="S3101">
        <v>2.368652</v>
      </c>
      <c r="T3101">
        <v>1.9505429999999999</v>
      </c>
      <c r="U3101">
        <v>-0.24818419999999999</v>
      </c>
      <c r="V3101">
        <v>2.9357210000000002E-2</v>
      </c>
      <c r="W3101">
        <v>0.4497913</v>
      </c>
      <c r="X3101">
        <v>0.89265110000000003</v>
      </c>
      <c r="Y3101">
        <v>7.3745039999999998E-2</v>
      </c>
      <c r="Z3101">
        <v>1.6289769999999999E-2</v>
      </c>
      <c r="AA3101">
        <v>0.99714409999999998</v>
      </c>
      <c r="AB3101">
        <v>29</v>
      </c>
      <c r="AC3101">
        <v>2.368652</v>
      </c>
      <c r="AD3101">
        <v>1.9505429999999999</v>
      </c>
      <c r="AE3101">
        <v>-0.24818419999999999</v>
      </c>
      <c r="AF3101">
        <v>0.129638161914746</v>
      </c>
      <c r="AG3101">
        <v>1.9505429999999999</v>
      </c>
      <c r="AH3101">
        <v>1.41956386739411</v>
      </c>
      <c r="AI3101">
        <v>36.159606454416704</v>
      </c>
      <c r="AJ3101">
        <v>84.7820778990138</v>
      </c>
      <c r="AK3101">
        <v>2.4159026514916899</v>
      </c>
      <c r="AL3101">
        <v>63.2697058942951</v>
      </c>
      <c r="AM3101">
        <v>88.116354539459493</v>
      </c>
      <c r="AN3101">
        <v>1.00000002283294</v>
      </c>
    </row>
    <row r="3102" spans="1:40" x14ac:dyDescent="0.25">
      <c r="A3102" t="str">
        <f>"20190303162316949"</f>
        <v>20190303162316949</v>
      </c>
      <c r="B3102" t="str">
        <f>"1551601396937758"</f>
        <v>1551601396937758</v>
      </c>
      <c r="C3102" t="s">
        <v>40</v>
      </c>
      <c r="D3102">
        <v>4.5386290000000002</v>
      </c>
      <c r="E3102">
        <v>0.51212879999999905</v>
      </c>
      <c r="F3102" t="s">
        <v>53</v>
      </c>
      <c r="G3102">
        <v>0</v>
      </c>
      <c r="H3102">
        <v>0</v>
      </c>
      <c r="I3102">
        <v>0</v>
      </c>
      <c r="J3102">
        <v>-428.45830000000001</v>
      </c>
      <c r="K3102">
        <v>1.1216740000000001</v>
      </c>
      <c r="L3102">
        <v>215.16540000000001</v>
      </c>
      <c r="M3102">
        <v>0.99985049999999998</v>
      </c>
      <c r="N3102">
        <v>-1.082907E-2</v>
      </c>
      <c r="O3102">
        <v>-1.34837E-2</v>
      </c>
      <c r="P3102">
        <v>0.89906759999999997</v>
      </c>
      <c r="Q3102">
        <v>0.43580289999999999</v>
      </c>
      <c r="R3102">
        <v>-4.1874639999999998E-2</v>
      </c>
      <c r="S3102">
        <v>2.4190670000000001</v>
      </c>
      <c r="T3102">
        <v>1.86439</v>
      </c>
      <c r="U3102">
        <v>-0.23275760000000001</v>
      </c>
      <c r="V3102">
        <v>2.9900139999999999E-2</v>
      </c>
      <c r="W3102">
        <v>0.44550849999999997</v>
      </c>
      <c r="X3102">
        <v>0.89477830000000003</v>
      </c>
      <c r="Y3102">
        <v>6.8453189999999997E-2</v>
      </c>
      <c r="Z3102">
        <v>1.35682999999999E-2</v>
      </c>
      <c r="AA3102">
        <v>0.99756210000000001</v>
      </c>
      <c r="AB3102">
        <v>29</v>
      </c>
      <c r="AC3102">
        <v>2.4190670000000001</v>
      </c>
      <c r="AD3102">
        <v>1.86439</v>
      </c>
      <c r="AE3102">
        <v>-0.23275760000000001</v>
      </c>
      <c r="AF3102">
        <v>0.125975185741383</v>
      </c>
      <c r="AG3102">
        <v>1.86439</v>
      </c>
      <c r="AH3102">
        <v>1.5246619579075</v>
      </c>
      <c r="AI3102">
        <v>39.371182457536896</v>
      </c>
      <c r="AJ3102">
        <v>85.276665601165305</v>
      </c>
      <c r="AK3102">
        <v>2.4117242598217699</v>
      </c>
      <c r="AL3102">
        <v>63.5441236481022</v>
      </c>
      <c r="AM3102">
        <v>88.086101781532605</v>
      </c>
      <c r="AN3102">
        <v>1.0000000240475699</v>
      </c>
    </row>
    <row r="3103" spans="1:40" x14ac:dyDescent="0.25">
      <c r="A3103" t="str">
        <f>"20190303162316969"</f>
        <v>20190303162316969</v>
      </c>
      <c r="B3103" t="str">
        <f>"1551601396957278"</f>
        <v>1551601396957278</v>
      </c>
      <c r="C3103" t="s">
        <v>40</v>
      </c>
      <c r="D3103">
        <v>4.5566040000000001</v>
      </c>
      <c r="E3103">
        <v>0.51012159999999995</v>
      </c>
      <c r="F3103" t="s">
        <v>53</v>
      </c>
      <c r="G3103">
        <v>0</v>
      </c>
      <c r="H3103">
        <v>0</v>
      </c>
      <c r="I3103">
        <v>0</v>
      </c>
      <c r="J3103">
        <v>-428.19069999999999</v>
      </c>
      <c r="K3103">
        <v>1.1216469999999901</v>
      </c>
      <c r="L3103">
        <v>215.16159999999999</v>
      </c>
      <c r="M3103">
        <v>0.99984830000000002</v>
      </c>
      <c r="N3103">
        <v>-1.084098E-2</v>
      </c>
      <c r="O3103">
        <v>-1.3629550000000001E-2</v>
      </c>
      <c r="P3103">
        <v>0.90150759999999996</v>
      </c>
      <c r="Q3103">
        <v>0.43069849999999998</v>
      </c>
      <c r="R3103">
        <v>-4.2222570000000001E-2</v>
      </c>
      <c r="S3103">
        <v>2.4522710000000001</v>
      </c>
      <c r="T3103">
        <v>1.8042910000000001</v>
      </c>
      <c r="U3103">
        <v>-0.2130737</v>
      </c>
      <c r="V3103">
        <v>3.0081420000000001E-2</v>
      </c>
      <c r="W3103">
        <v>0.44044139999999998</v>
      </c>
      <c r="X3103">
        <v>0.897277199999999</v>
      </c>
      <c r="Y3103">
        <v>6.1793870000000001E-2</v>
      </c>
      <c r="Z3103">
        <v>1.081968E-2</v>
      </c>
      <c r="AA3103">
        <v>0.99803030000000004</v>
      </c>
      <c r="AB3103">
        <v>29</v>
      </c>
      <c r="AC3103">
        <v>2.4522710000000001</v>
      </c>
      <c r="AD3103">
        <v>1.8042910000000001</v>
      </c>
      <c r="AE3103">
        <v>-0.2130737</v>
      </c>
      <c r="AF3103">
        <v>0.116847463557177</v>
      </c>
      <c r="AG3103">
        <v>1.8042910000000001</v>
      </c>
      <c r="AH3103">
        <v>1.596930553512</v>
      </c>
      <c r="AI3103">
        <v>41.587126761179903</v>
      </c>
      <c r="AJ3103">
        <v>85.815123614088094</v>
      </c>
      <c r="AK3103">
        <v>2.4123238868694399</v>
      </c>
      <c r="AL3103">
        <v>63.867950904655203</v>
      </c>
      <c r="AM3103">
        <v>88.079865258435802</v>
      </c>
      <c r="AN3103">
        <v>0.999999946151506</v>
      </c>
    </row>
    <row r="3104" spans="1:40" x14ac:dyDescent="0.25">
      <c r="A3104" t="str">
        <f>"20190303162316994"</f>
        <v>20190303162316994</v>
      </c>
      <c r="B3104" t="str">
        <f>"1551601396987534"</f>
        <v>1551601396987534</v>
      </c>
      <c r="C3104" t="s">
        <v>40</v>
      </c>
      <c r="D3104">
        <v>4.6453049999999996</v>
      </c>
      <c r="E3104">
        <v>0.50747330000000002</v>
      </c>
      <c r="F3104" t="s">
        <v>53</v>
      </c>
      <c r="G3104">
        <v>0</v>
      </c>
      <c r="H3104">
        <v>0</v>
      </c>
      <c r="I3104">
        <v>0</v>
      </c>
      <c r="J3104">
        <v>-427.87740000000002</v>
      </c>
      <c r="K3104">
        <v>1.1216189999999999</v>
      </c>
      <c r="L3104">
        <v>215.15719999999999</v>
      </c>
      <c r="M3104">
        <v>0.99984589999999995</v>
      </c>
      <c r="N3104">
        <v>-1.08532E-2</v>
      </c>
      <c r="O3104">
        <v>-1.3801269999999999E-2</v>
      </c>
      <c r="P3104">
        <v>0.90501810000000005</v>
      </c>
      <c r="Q3104">
        <v>0.42330010000000001</v>
      </c>
      <c r="R3104">
        <v>-4.1949760000000003E-2</v>
      </c>
      <c r="S3104">
        <v>2.4761959999999998</v>
      </c>
      <c r="T3104">
        <v>1.762902</v>
      </c>
      <c r="U3104">
        <v>-0.1992188</v>
      </c>
      <c r="V3104">
        <v>2.9602280000000002E-2</v>
      </c>
      <c r="W3104">
        <v>0.43309310000000001</v>
      </c>
      <c r="X3104">
        <v>0.90086299999999997</v>
      </c>
      <c r="Y3104">
        <v>5.6997880000000001E-2</v>
      </c>
      <c r="Z3104">
        <v>8.9104490000000008E-3</v>
      </c>
      <c r="AA3104">
        <v>0.99833450000000001</v>
      </c>
      <c r="AB3104">
        <v>29</v>
      </c>
      <c r="AC3104">
        <v>2.4761959999999998</v>
      </c>
      <c r="AD3104">
        <v>1.762902</v>
      </c>
      <c r="AE3104">
        <v>-0.1992188</v>
      </c>
      <c r="AF3104">
        <v>0.109752159569054</v>
      </c>
      <c r="AG3104">
        <v>1.762902</v>
      </c>
      <c r="AH3104">
        <v>1.6485185800684199</v>
      </c>
      <c r="AI3104">
        <v>43.142828788150403</v>
      </c>
      <c r="AJ3104">
        <v>86.191083651506602</v>
      </c>
      <c r="AK3104">
        <v>2.41608826555755</v>
      </c>
      <c r="AL3104">
        <v>64.335984200220807</v>
      </c>
      <c r="AM3104">
        <v>88.117942861309203</v>
      </c>
      <c r="AN3104">
        <v>1.0000000365088999</v>
      </c>
    </row>
    <row r="3105" spans="1:40" x14ac:dyDescent="0.25">
      <c r="A3105" t="str">
        <f>"20190303162317015"</f>
        <v>20190303162317015</v>
      </c>
      <c r="B3105" t="str">
        <f>"1551601397008030"</f>
        <v>1551601397008030</v>
      </c>
      <c r="C3105" t="s">
        <v>40</v>
      </c>
      <c r="D3105">
        <v>4.6372419999999996</v>
      </c>
      <c r="E3105">
        <v>0.50619879999999995</v>
      </c>
      <c r="F3105" t="s">
        <v>53</v>
      </c>
      <c r="G3105">
        <v>0</v>
      </c>
      <c r="H3105">
        <v>0</v>
      </c>
      <c r="I3105">
        <v>0</v>
      </c>
      <c r="J3105">
        <v>-427.60750000000002</v>
      </c>
      <c r="K3105">
        <v>1.1215790000000001</v>
      </c>
      <c r="L3105">
        <v>215.1533</v>
      </c>
      <c r="M3105">
        <v>0.99984360000000005</v>
      </c>
      <c r="N3105">
        <v>-1.0862490000000001E-2</v>
      </c>
      <c r="O3105">
        <v>-1.395044E-2</v>
      </c>
      <c r="P3105">
        <v>0.90774239999999995</v>
      </c>
      <c r="Q3105">
        <v>0.417439</v>
      </c>
      <c r="R3105">
        <v>-4.1811470000000003E-2</v>
      </c>
      <c r="S3105">
        <v>2.5100099999999999</v>
      </c>
      <c r="T3105">
        <v>1.70314399999999</v>
      </c>
      <c r="U3105">
        <v>-0.17767330000000001</v>
      </c>
      <c r="V3105">
        <v>2.9288999999999999E-2</v>
      </c>
      <c r="W3105">
        <v>0.42727029999999999</v>
      </c>
      <c r="X3105">
        <v>0.90364940000000005</v>
      </c>
      <c r="Y3105">
        <v>4.9585230000000001E-2</v>
      </c>
      <c r="Z3105">
        <v>6.2259419999999999E-3</v>
      </c>
      <c r="AA3105">
        <v>0.99875049999999999</v>
      </c>
      <c r="AB3105">
        <v>29</v>
      </c>
      <c r="AC3105">
        <v>2.5100099999999999</v>
      </c>
      <c r="AD3105">
        <v>1.70314399999999</v>
      </c>
      <c r="AE3105">
        <v>-0.17767330000000001</v>
      </c>
      <c r="AF3105">
        <v>9.7823222423716494E-2</v>
      </c>
      <c r="AG3105">
        <v>1.70314399999999</v>
      </c>
      <c r="AH3105">
        <v>1.7229315774186</v>
      </c>
      <c r="AI3105">
        <v>45.377010335382401</v>
      </c>
      <c r="AJ3105">
        <v>86.750395210586603</v>
      </c>
      <c r="AK3105">
        <v>2.4246158640179498</v>
      </c>
      <c r="AL3105">
        <v>64.705549062787497</v>
      </c>
      <c r="AM3105">
        <v>88.143584435250006</v>
      </c>
      <c r="AN3105">
        <v>0.99999999645172499</v>
      </c>
    </row>
    <row r="3106" spans="1:40" x14ac:dyDescent="0.25">
      <c r="A3106" t="str">
        <f>"20190303162317038"</f>
        <v>20190303162317038</v>
      </c>
      <c r="B3106" t="str">
        <f>"1551601397027550"</f>
        <v>1551601397027550</v>
      </c>
      <c r="C3106" t="s">
        <v>40</v>
      </c>
      <c r="D3106">
        <v>4.6310310000000001</v>
      </c>
      <c r="E3106">
        <v>0.50499929999999904</v>
      </c>
      <c r="F3106" t="s">
        <v>53</v>
      </c>
      <c r="G3106">
        <v>0</v>
      </c>
      <c r="H3106">
        <v>0</v>
      </c>
      <c r="I3106">
        <v>0</v>
      </c>
      <c r="J3106">
        <v>-427.32670000000002</v>
      </c>
      <c r="K3106">
        <v>1.1215409999999999</v>
      </c>
      <c r="L3106">
        <v>215.14920000000001</v>
      </c>
      <c r="M3106">
        <v>0.99984150000000005</v>
      </c>
      <c r="N3106">
        <v>-1.087109E-2</v>
      </c>
      <c r="O3106">
        <v>-1.410665E-2</v>
      </c>
      <c r="P3106">
        <v>0.91129349999999998</v>
      </c>
      <c r="Q3106">
        <v>0.40970450000000003</v>
      </c>
      <c r="R3106">
        <v>-4.1074109999999997E-2</v>
      </c>
      <c r="S3106">
        <v>2.5302730000000002</v>
      </c>
      <c r="T3106">
        <v>1.6678539999999999</v>
      </c>
      <c r="U3106">
        <v>-0.16586300000000001</v>
      </c>
      <c r="V3106">
        <v>2.8356900000000001E-2</v>
      </c>
      <c r="W3106">
        <v>0.41958240000000002</v>
      </c>
      <c r="X3106">
        <v>0.90727420000000003</v>
      </c>
      <c r="Y3106">
        <v>4.5429530000000003E-2</v>
      </c>
      <c r="Z3106">
        <v>4.7524519999999999E-3</v>
      </c>
      <c r="AA3106">
        <v>0.99895630000000002</v>
      </c>
      <c r="AB3106">
        <v>29</v>
      </c>
      <c r="AC3106">
        <v>2.5302730000000002</v>
      </c>
      <c r="AD3106">
        <v>1.6678539999999999</v>
      </c>
      <c r="AE3106">
        <v>-0.16586300000000001</v>
      </c>
      <c r="AF3106">
        <v>9.08472430911266E-2</v>
      </c>
      <c r="AG3106">
        <v>1.6678539999999999</v>
      </c>
      <c r="AH3106">
        <v>1.7676278548765501</v>
      </c>
      <c r="AI3106">
        <v>46.701247198683703</v>
      </c>
      <c r="AJ3106">
        <v>87.057871773650803</v>
      </c>
      <c r="AK3106">
        <v>2.4319741816534002</v>
      </c>
      <c r="AL3106">
        <v>65.191774243896305</v>
      </c>
      <c r="AM3106">
        <v>88.209800360979798</v>
      </c>
      <c r="AN3106">
        <v>0.999999989076504</v>
      </c>
    </row>
    <row r="3107" spans="1:40" x14ac:dyDescent="0.25">
      <c r="A3107" t="str">
        <f>"20190303162317059"</f>
        <v>20190303162317059</v>
      </c>
      <c r="B3107" t="str">
        <f>"1551601397047575"</f>
        <v>1551601397047575</v>
      </c>
      <c r="C3107" t="s">
        <v>40</v>
      </c>
      <c r="D3107">
        <v>4.6558199999999896</v>
      </c>
      <c r="E3107">
        <v>0.5041968</v>
      </c>
      <c r="F3107" t="s">
        <v>53</v>
      </c>
      <c r="G3107">
        <v>0</v>
      </c>
      <c r="H3107">
        <v>0</v>
      </c>
      <c r="I3107">
        <v>0</v>
      </c>
      <c r="J3107">
        <v>-427.05250000000001</v>
      </c>
      <c r="K3107">
        <v>1.1215079999999999</v>
      </c>
      <c r="L3107">
        <v>215.14519999999999</v>
      </c>
      <c r="M3107">
        <v>0.99983920000000004</v>
      </c>
      <c r="N3107">
        <v>-1.0878580000000001E-2</v>
      </c>
      <c r="O3107">
        <v>-1.4259519999999999E-2</v>
      </c>
      <c r="P3107">
        <v>0.91544809999999999</v>
      </c>
      <c r="Q3107">
        <v>0.4004374</v>
      </c>
      <c r="R3107">
        <v>-4.0060180000000001E-2</v>
      </c>
      <c r="S3107">
        <v>2.5508120000000001</v>
      </c>
      <c r="T3107">
        <v>1.633216</v>
      </c>
      <c r="U3107">
        <v>-0.15376280000000001</v>
      </c>
      <c r="V3107">
        <v>2.714169E-2</v>
      </c>
      <c r="W3107">
        <v>0.41036850000000002</v>
      </c>
      <c r="X3107">
        <v>0.91151579999999999</v>
      </c>
      <c r="Y3107">
        <v>4.1153929999999998E-2</v>
      </c>
      <c r="Z3107">
        <v>3.31248E-3</v>
      </c>
      <c r="AA3107">
        <v>0.99914740000000002</v>
      </c>
      <c r="AB3107">
        <v>29</v>
      </c>
      <c r="AC3107">
        <v>2.5508120000000001</v>
      </c>
      <c r="AD3107">
        <v>1.633216</v>
      </c>
      <c r="AE3107">
        <v>-0.15376280000000001</v>
      </c>
      <c r="AF3107">
        <v>8.3333016988683506E-2</v>
      </c>
      <c r="AG3107">
        <v>1.633216</v>
      </c>
      <c r="AH3107">
        <v>1.81243045791844</v>
      </c>
      <c r="AI3107">
        <v>48.0074612143774</v>
      </c>
      <c r="AJ3107">
        <v>87.367474247253398</v>
      </c>
      <c r="AK3107">
        <v>2.4411560907010599</v>
      </c>
      <c r="AL3107">
        <v>65.7720149012099</v>
      </c>
      <c r="AM3107">
        <v>88.294439957733402</v>
      </c>
      <c r="AN3107">
        <v>1.0000000153889701</v>
      </c>
    </row>
    <row r="3108" spans="1:40" x14ac:dyDescent="0.25">
      <c r="A3108" t="str">
        <f>"20190303162317082"</f>
        <v>20190303162317082</v>
      </c>
      <c r="B3108" t="str">
        <f>"1551601397077832"</f>
        <v>1551601397077832</v>
      </c>
      <c r="C3108" t="s">
        <v>40</v>
      </c>
      <c r="D3108">
        <v>4.6261199999999896</v>
      </c>
      <c r="E3108">
        <v>0.50327129999999998</v>
      </c>
      <c r="F3108" t="s">
        <v>53</v>
      </c>
      <c r="G3108">
        <v>0</v>
      </c>
      <c r="H3108">
        <v>0</v>
      </c>
      <c r="I3108">
        <v>0</v>
      </c>
      <c r="J3108">
        <v>-426.75</v>
      </c>
      <c r="K3108">
        <v>1.1214900000000001</v>
      </c>
      <c r="L3108">
        <v>215.14070000000001</v>
      </c>
      <c r="M3108">
        <v>0.99983659999999996</v>
      </c>
      <c r="N3108">
        <v>-1.088599E-2</v>
      </c>
      <c r="O3108">
        <v>-1.442859E-2</v>
      </c>
      <c r="P3108">
        <v>0.91743620000000004</v>
      </c>
      <c r="Q3108">
        <v>0.39605620000000002</v>
      </c>
      <c r="R3108">
        <v>-3.808251E-2</v>
      </c>
      <c r="S3108">
        <v>2.5725709999999999</v>
      </c>
      <c r="T3108">
        <v>1.596187</v>
      </c>
      <c r="U3108">
        <v>-0.14442439999999901</v>
      </c>
      <c r="V3108">
        <v>2.4979310000000001E-2</v>
      </c>
      <c r="W3108">
        <v>0.4060163</v>
      </c>
      <c r="X3108">
        <v>0.91352440000000001</v>
      </c>
      <c r="Y3108">
        <v>3.7754339999999997E-2</v>
      </c>
      <c r="Z3108">
        <v>2.169388E-3</v>
      </c>
      <c r="AA3108">
        <v>0.99928470000000003</v>
      </c>
      <c r="AB3108">
        <v>29</v>
      </c>
      <c r="AC3108">
        <v>2.5725709999999999</v>
      </c>
      <c r="AD3108">
        <v>1.596187</v>
      </c>
      <c r="AE3108">
        <v>-0.14442439999999901</v>
      </c>
      <c r="AF3108">
        <v>7.75337825850832E-2</v>
      </c>
      <c r="AG3108">
        <v>1.596187</v>
      </c>
      <c r="AH3108">
        <v>1.86042123491136</v>
      </c>
      <c r="AI3108">
        <v>49.395938185643303</v>
      </c>
      <c r="AJ3108">
        <v>87.613556962625793</v>
      </c>
      <c r="AK3108">
        <v>2.4525479807172101</v>
      </c>
      <c r="AL3108">
        <v>66.045170979066796</v>
      </c>
      <c r="AM3108">
        <v>88.433700841842395</v>
      </c>
      <c r="AN3108">
        <v>1.0000000155945601</v>
      </c>
    </row>
    <row r="3109" spans="1:40" x14ac:dyDescent="0.25">
      <c r="A3109" t="str">
        <f>"20190303162317105"</f>
        <v>20190303162317105</v>
      </c>
      <c r="B3109" t="str">
        <f>"1551601397097351"</f>
        <v>1551601397097351</v>
      </c>
      <c r="C3109" t="s">
        <v>40</v>
      </c>
      <c r="D3109">
        <v>4.616276</v>
      </c>
      <c r="E3109">
        <v>0.50336199999999998</v>
      </c>
      <c r="F3109" t="s">
        <v>53</v>
      </c>
      <c r="G3109">
        <v>0</v>
      </c>
      <c r="H3109">
        <v>0</v>
      </c>
      <c r="I3109">
        <v>0</v>
      </c>
      <c r="J3109">
        <v>-426.46260000000001</v>
      </c>
      <c r="K3109">
        <v>1.1214820000000001</v>
      </c>
      <c r="L3109">
        <v>215.13640000000001</v>
      </c>
      <c r="M3109">
        <v>0.99983420000000001</v>
      </c>
      <c r="N3109">
        <v>-1.0892209999999999E-2</v>
      </c>
      <c r="O3109">
        <v>-1.4589090000000001E-2</v>
      </c>
      <c r="P3109">
        <v>0.91819759999999995</v>
      </c>
      <c r="Q3109">
        <v>0.39447189999999999</v>
      </c>
      <c r="R3109">
        <v>-3.6127449999999998E-2</v>
      </c>
      <c r="S3109">
        <v>2.5859070000000002</v>
      </c>
      <c r="T3109">
        <v>1.571917</v>
      </c>
      <c r="U3109">
        <v>-0.13110350000000001</v>
      </c>
      <c r="V3109">
        <v>2.2865960000000001E-2</v>
      </c>
      <c r="W3109">
        <v>0.40444649999999999</v>
      </c>
      <c r="X3109">
        <v>0.91427579999999997</v>
      </c>
      <c r="Y3109">
        <v>3.3118229999999999E-2</v>
      </c>
      <c r="Z3109">
        <v>7.6348330000000002E-4</v>
      </c>
      <c r="AA3109">
        <v>0.99945119999999998</v>
      </c>
      <c r="AB3109">
        <v>29</v>
      </c>
      <c r="AC3109">
        <v>2.5859070000000002</v>
      </c>
      <c r="AD3109">
        <v>1.571917</v>
      </c>
      <c r="AE3109">
        <v>-0.13110350000000001</v>
      </c>
      <c r="AF3109">
        <v>6.8218183599663196E-2</v>
      </c>
      <c r="AG3109">
        <v>1.571917</v>
      </c>
      <c r="AH3109">
        <v>1.8906938457594999</v>
      </c>
      <c r="AI3109">
        <v>50.278290749800199</v>
      </c>
      <c r="AJ3109">
        <v>87.933605587376903</v>
      </c>
      <c r="AK3109">
        <v>2.4597357569168801</v>
      </c>
      <c r="AL3109">
        <v>66.143554149872998</v>
      </c>
      <c r="AM3109">
        <v>88.567336085945598</v>
      </c>
      <c r="AN3109">
        <v>1.0000000309773001</v>
      </c>
    </row>
    <row r="3110" spans="1:40" x14ac:dyDescent="0.25">
      <c r="A3110" t="str">
        <f>"20190303162317128"</f>
        <v>20190303162317128</v>
      </c>
      <c r="B3110" t="str">
        <f>"1551601397117848"</f>
        <v>1551601397117848</v>
      </c>
      <c r="C3110" t="s">
        <v>40</v>
      </c>
      <c r="D3110">
        <v>4.7037409999999999</v>
      </c>
      <c r="E3110">
        <v>0.50316779999999905</v>
      </c>
      <c r="F3110" t="s">
        <v>53</v>
      </c>
      <c r="G3110">
        <v>0</v>
      </c>
      <c r="H3110">
        <v>0</v>
      </c>
      <c r="I3110">
        <v>0</v>
      </c>
      <c r="J3110">
        <v>-426.16309999999999</v>
      </c>
      <c r="K3110">
        <v>1.1214710000000001</v>
      </c>
      <c r="L3110">
        <v>215.1318</v>
      </c>
      <c r="M3110">
        <v>0.99983169999999999</v>
      </c>
      <c r="N3110">
        <v>-1.0898079999999999E-2</v>
      </c>
      <c r="O3110">
        <v>-1.475625E-2</v>
      </c>
      <c r="P3110">
        <v>0.91874060000000002</v>
      </c>
      <c r="Q3110">
        <v>0.39327859999999998</v>
      </c>
      <c r="R3110">
        <v>-3.5325229999999999E-2</v>
      </c>
      <c r="S3110">
        <v>2.58786</v>
      </c>
      <c r="T3110">
        <v>1.5700240000000001</v>
      </c>
      <c r="U3110">
        <v>-0.12573239999999999</v>
      </c>
      <c r="V3110">
        <v>2.1902209999999998E-2</v>
      </c>
      <c r="W3110">
        <v>0.40326479999999998</v>
      </c>
      <c r="X3110">
        <v>0.9148212</v>
      </c>
      <c r="Y3110">
        <v>3.1201300000000001E-2</v>
      </c>
      <c r="Z3110">
        <v>1.4185630000000001E-4</v>
      </c>
      <c r="AA3110">
        <v>0.99951310000000004</v>
      </c>
      <c r="AB3110">
        <v>29</v>
      </c>
      <c r="AC3110">
        <v>2.58786</v>
      </c>
      <c r="AD3110">
        <v>1.5700240000000001</v>
      </c>
      <c r="AE3110">
        <v>-0.12573239999999999</v>
      </c>
      <c r="AF3110">
        <v>6.4020694115401205E-2</v>
      </c>
      <c r="AG3110">
        <v>1.5700240000000001</v>
      </c>
      <c r="AH3110">
        <v>1.89396329862038</v>
      </c>
      <c r="AI3110">
        <v>50.358624626389897</v>
      </c>
      <c r="AJ3110">
        <v>88.063996562111399</v>
      </c>
      <c r="AK3110">
        <v>2.4609288868985999</v>
      </c>
      <c r="AL3110">
        <v>66.217564228001294</v>
      </c>
      <c r="AM3110">
        <v>88.628513955961793</v>
      </c>
      <c r="AN3110">
        <v>1.00000001684568</v>
      </c>
    </row>
    <row r="3111" spans="1:40" x14ac:dyDescent="0.25">
      <c r="A3111" t="str">
        <f>"20190303162317150"</f>
        <v>20190303162317150</v>
      </c>
      <c r="B3111" t="str">
        <f>"1551601397137368"</f>
        <v>1551601397137368</v>
      </c>
      <c r="C3111" t="s">
        <v>40</v>
      </c>
      <c r="D3111">
        <v>4.730702</v>
      </c>
      <c r="E3111">
        <v>0.50289919999999999</v>
      </c>
      <c r="F3111" t="s">
        <v>53</v>
      </c>
      <c r="G3111">
        <v>0</v>
      </c>
      <c r="H3111">
        <v>0</v>
      </c>
      <c r="I3111">
        <v>0</v>
      </c>
      <c r="J3111">
        <v>-425.88619999999997</v>
      </c>
      <c r="K3111">
        <v>1.1214679999999999</v>
      </c>
      <c r="L3111">
        <v>215.1276</v>
      </c>
      <c r="M3111">
        <v>0.99982950000000004</v>
      </c>
      <c r="N3111">
        <v>-1.0903049999999999E-2</v>
      </c>
      <c r="O3111">
        <v>-1.491113E-2</v>
      </c>
      <c r="P3111">
        <v>0.92024450000000002</v>
      </c>
      <c r="Q3111">
        <v>0.38972810000000002</v>
      </c>
      <c r="R3111">
        <v>-3.5528879999999999E-2</v>
      </c>
      <c r="S3111">
        <v>2.5891419999999998</v>
      </c>
      <c r="T3111">
        <v>1.5687089999999999</v>
      </c>
      <c r="U3111">
        <v>-0.1225586</v>
      </c>
      <c r="V3111">
        <v>2.1940230000000002E-2</v>
      </c>
      <c r="W3111">
        <v>0.39973570000000003</v>
      </c>
      <c r="X3111">
        <v>0.91636779999999995</v>
      </c>
      <c r="Y3111">
        <v>3.0027640000000001E-2</v>
      </c>
      <c r="Z3111">
        <v>-2.6762299999999998E-4</v>
      </c>
      <c r="AA3111">
        <v>0.99954900000000002</v>
      </c>
      <c r="AB3111">
        <v>29</v>
      </c>
      <c r="AC3111">
        <v>2.5891419999999998</v>
      </c>
      <c r="AD3111">
        <v>1.5687089999999999</v>
      </c>
      <c r="AE3111">
        <v>-0.1225586</v>
      </c>
      <c r="AF3111">
        <v>6.1434172312660899E-2</v>
      </c>
      <c r="AG3111">
        <v>1.5687089999999999</v>
      </c>
      <c r="AH3111">
        <v>1.8961714992363199</v>
      </c>
      <c r="AI3111">
        <v>50.413693516524802</v>
      </c>
      <c r="AJ3111">
        <v>88.144319778307604</v>
      </c>
      <c r="AK3111">
        <v>2.4617246878407899</v>
      </c>
      <c r="AL3111">
        <v>66.438342505152505</v>
      </c>
      <c r="AM3111">
        <v>88.628451963993797</v>
      </c>
      <c r="AN3111">
        <v>0.99999997421189102</v>
      </c>
    </row>
    <row r="3112" spans="1:40" x14ac:dyDescent="0.25">
      <c r="A3112" t="str">
        <f>"20190303162317173"</f>
        <v>20190303162317173</v>
      </c>
      <c r="B3112" t="str">
        <f>"1551601397167970"</f>
        <v>1551601397167970</v>
      </c>
      <c r="C3112" t="s">
        <v>40</v>
      </c>
      <c r="D3112">
        <v>4.6855570000000002</v>
      </c>
      <c r="E3112">
        <v>0.50233539999999999</v>
      </c>
      <c r="F3112" t="s">
        <v>53</v>
      </c>
      <c r="G3112">
        <v>0</v>
      </c>
      <c r="H3112">
        <v>0</v>
      </c>
      <c r="I3112">
        <v>0</v>
      </c>
      <c r="J3112">
        <v>-425.59379999999999</v>
      </c>
      <c r="K3112">
        <v>1.1214660000000001</v>
      </c>
      <c r="L3112">
        <v>215.12299999999999</v>
      </c>
      <c r="M3112">
        <v>0.99982689999999996</v>
      </c>
      <c r="N3112">
        <v>-1.090785E-2</v>
      </c>
      <c r="O3112">
        <v>-1.507447E-2</v>
      </c>
      <c r="P3112">
        <v>0.92073400000000005</v>
      </c>
      <c r="Q3112">
        <v>0.38854309999999997</v>
      </c>
      <c r="R3112">
        <v>-3.582432E-2</v>
      </c>
      <c r="S3112">
        <v>2.5960390000000002</v>
      </c>
      <c r="T3112">
        <v>1.5567489999999999</v>
      </c>
      <c r="U3112">
        <v>-0.1221008</v>
      </c>
      <c r="V3112">
        <v>2.207775E-2</v>
      </c>
      <c r="W3112">
        <v>0.39856049999999998</v>
      </c>
      <c r="X3112">
        <v>0.91687629999999998</v>
      </c>
      <c r="Y3112">
        <v>2.9691970000000002E-2</v>
      </c>
      <c r="Z3112">
        <v>-4.5123139999999999E-4</v>
      </c>
      <c r="AA3112">
        <v>0.99955899999999998</v>
      </c>
      <c r="AB3112">
        <v>29</v>
      </c>
      <c r="AC3112">
        <v>2.5960390000000002</v>
      </c>
      <c r="AD3112">
        <v>1.5567489999999999</v>
      </c>
      <c r="AE3112">
        <v>-0.1221008</v>
      </c>
      <c r="AF3112">
        <v>6.1046916836717903E-2</v>
      </c>
      <c r="AG3112">
        <v>1.5567489999999999</v>
      </c>
      <c r="AH3112">
        <v>1.9116724222931401</v>
      </c>
      <c r="AI3112">
        <v>50.857033792425497</v>
      </c>
      <c r="AJ3112">
        <v>88.170951038675895</v>
      </c>
      <c r="AK3112">
        <v>2.4661073831470501</v>
      </c>
      <c r="AL3112">
        <v>66.511781427497496</v>
      </c>
      <c r="AM3112">
        <v>88.620623631988806</v>
      </c>
      <c r="AN3112">
        <v>1.0000000243535001</v>
      </c>
    </row>
    <row r="3113" spans="1:40" x14ac:dyDescent="0.25">
      <c r="A3113" t="str">
        <f>"20190303162317194"</f>
        <v>20190303162317194</v>
      </c>
      <c r="B3113" t="str">
        <f>"1551601397187489"</f>
        <v>1551601397187489</v>
      </c>
      <c r="C3113" t="s">
        <v>40</v>
      </c>
      <c r="D3113">
        <v>4.698753</v>
      </c>
      <c r="E3113">
        <v>0.50218160000000001</v>
      </c>
      <c r="F3113" t="s">
        <v>53</v>
      </c>
      <c r="G3113">
        <v>0</v>
      </c>
      <c r="H3113">
        <v>0</v>
      </c>
      <c r="I3113">
        <v>0</v>
      </c>
      <c r="J3113">
        <v>-425.3066</v>
      </c>
      <c r="K3113">
        <v>1.1214550000000001</v>
      </c>
      <c r="L3113">
        <v>215.11850000000001</v>
      </c>
      <c r="M3113">
        <v>0.9998245</v>
      </c>
      <c r="N3113">
        <v>-1.091219E-2</v>
      </c>
      <c r="O3113">
        <v>-1.5234589999999999E-2</v>
      </c>
      <c r="P3113">
        <v>0.92144459999999995</v>
      </c>
      <c r="Q3113">
        <v>0.38673760000000001</v>
      </c>
      <c r="R3113">
        <v>-3.7067019999999999E-2</v>
      </c>
      <c r="S3113">
        <v>2.599335</v>
      </c>
      <c r="T3113">
        <v>1.5505389999999999</v>
      </c>
      <c r="U3113">
        <v>-0.1187744</v>
      </c>
      <c r="V3113">
        <v>2.3161379999999999E-2</v>
      </c>
      <c r="W3113">
        <v>0.39676670000000003</v>
      </c>
      <c r="X3113">
        <v>0.91762719999999998</v>
      </c>
      <c r="Y3113">
        <v>2.844576E-2</v>
      </c>
      <c r="Z3113">
        <v>-8.7664320000000004E-4</v>
      </c>
      <c r="AA3113">
        <v>0.99959489999999995</v>
      </c>
      <c r="AB3113">
        <v>29</v>
      </c>
      <c r="AC3113">
        <v>2.599335</v>
      </c>
      <c r="AD3113">
        <v>1.5505389999999999</v>
      </c>
      <c r="AE3113">
        <v>-0.1187744</v>
      </c>
      <c r="AF3113">
        <v>5.8415765655807098E-2</v>
      </c>
      <c r="AG3113">
        <v>1.5505389999999999</v>
      </c>
      <c r="AH3113">
        <v>1.91931770789542</v>
      </c>
      <c r="AI3113">
        <v>51.079625960751102</v>
      </c>
      <c r="AJ3113">
        <v>88.2567013687204</v>
      </c>
      <c r="AK3113">
        <v>2.4680688920771798</v>
      </c>
      <c r="AL3113">
        <v>66.623795023442099</v>
      </c>
      <c r="AM3113">
        <v>88.554132205689498</v>
      </c>
      <c r="AN3113">
        <v>0.99999997096611604</v>
      </c>
    </row>
    <row r="3114" spans="1:40" x14ac:dyDescent="0.25">
      <c r="A3114" t="str">
        <f>"20190303162317216"</f>
        <v>20190303162317216</v>
      </c>
      <c r="B3114" t="str">
        <f>"1551601397207985"</f>
        <v>1551601397207985</v>
      </c>
      <c r="C3114" t="s">
        <v>40</v>
      </c>
      <c r="D3114">
        <v>4.7290700000000001</v>
      </c>
      <c r="E3114">
        <v>0.50204859999999996</v>
      </c>
      <c r="F3114" t="s">
        <v>53</v>
      </c>
      <c r="G3114">
        <v>0</v>
      </c>
      <c r="H3114">
        <v>0</v>
      </c>
      <c r="I3114">
        <v>0</v>
      </c>
      <c r="J3114">
        <v>-425.02980000000002</v>
      </c>
      <c r="K3114">
        <v>1.1214230000000001</v>
      </c>
      <c r="L3114">
        <v>215.11410000000001</v>
      </c>
      <c r="M3114">
        <v>0.99982210000000005</v>
      </c>
      <c r="N3114">
        <v>-1.091605E-2</v>
      </c>
      <c r="O3114">
        <v>-1.538923E-2</v>
      </c>
      <c r="P3114">
        <v>0.92487600000000003</v>
      </c>
      <c r="Q3114">
        <v>0.37804939999999998</v>
      </c>
      <c r="R3114">
        <v>-4.1034370000000001E-2</v>
      </c>
      <c r="S3114">
        <v>2.6023559999999999</v>
      </c>
      <c r="T3114">
        <v>1.545207</v>
      </c>
      <c r="U3114">
        <v>-0.1212158</v>
      </c>
      <c r="V3114">
        <v>2.6929870000000002E-2</v>
      </c>
      <c r="W3114">
        <v>0.3881192</v>
      </c>
      <c r="X3114">
        <v>0.92121569999999997</v>
      </c>
      <c r="Y3114">
        <v>2.911188E-2</v>
      </c>
      <c r="Z3114">
        <v>-7.8206229999999905E-4</v>
      </c>
      <c r="AA3114">
        <v>0.99957589999999996</v>
      </c>
      <c r="AB3114">
        <v>29</v>
      </c>
      <c r="AC3114">
        <v>2.6023559999999999</v>
      </c>
      <c r="AD3114">
        <v>1.545207</v>
      </c>
      <c r="AE3114">
        <v>-0.1212158</v>
      </c>
      <c r="AF3114">
        <v>6.0031564127974897E-2</v>
      </c>
      <c r="AG3114">
        <v>1.545207</v>
      </c>
      <c r="AH3114">
        <v>1.9262530512368301</v>
      </c>
      <c r="AI3114">
        <v>51.277588443809499</v>
      </c>
      <c r="AJ3114">
        <v>88.214958129080003</v>
      </c>
      <c r="AK3114">
        <v>2.4701658403718301</v>
      </c>
      <c r="AL3114">
        <v>67.162480124495602</v>
      </c>
      <c r="AM3114">
        <v>88.325551121001695</v>
      </c>
      <c r="AN3114">
        <v>1.00000004861667</v>
      </c>
    </row>
    <row r="3115" spans="1:40" x14ac:dyDescent="0.25">
      <c r="A3115" t="str">
        <f>"20190303162317240"</f>
        <v>20190303162317240</v>
      </c>
      <c r="B3115" t="str">
        <f>"1551601397227505"</f>
        <v>1551601397227505</v>
      </c>
      <c r="C3115" t="s">
        <v>40</v>
      </c>
      <c r="D3115">
        <v>4.6701410000000001</v>
      </c>
      <c r="E3115">
        <v>0.50200429999999996</v>
      </c>
      <c r="F3115" t="s">
        <v>53</v>
      </c>
      <c r="G3115">
        <v>0</v>
      </c>
      <c r="H3115">
        <v>0</v>
      </c>
      <c r="I3115">
        <v>0</v>
      </c>
      <c r="J3115">
        <v>-424.72770000000003</v>
      </c>
      <c r="K3115">
        <v>1.1213360000000001</v>
      </c>
      <c r="L3115">
        <v>215.10929999999999</v>
      </c>
      <c r="M3115">
        <v>0.99981940000000002</v>
      </c>
      <c r="N3115">
        <v>-1.091992E-2</v>
      </c>
      <c r="O3115">
        <v>-1.555757E-2</v>
      </c>
      <c r="P3115">
        <v>0.9313089</v>
      </c>
      <c r="Q3115">
        <v>0.36141010000000001</v>
      </c>
      <c r="R3115">
        <v>-4.523953E-2</v>
      </c>
      <c r="S3115">
        <v>2.6161799999999999</v>
      </c>
      <c r="T3115">
        <v>1.5207580000000001</v>
      </c>
      <c r="U3115">
        <v>-0.13261410000000001</v>
      </c>
      <c r="V3115">
        <v>3.087316E-2</v>
      </c>
      <c r="W3115">
        <v>0.371554</v>
      </c>
      <c r="X3115">
        <v>0.92789790000000005</v>
      </c>
      <c r="Y3115">
        <v>3.2617210000000001E-2</v>
      </c>
      <c r="Z3115" s="1">
        <v>5.7590190000000002E-5</v>
      </c>
      <c r="AA3115">
        <v>0.99946789999999996</v>
      </c>
      <c r="AB3115">
        <v>29</v>
      </c>
      <c r="AC3115">
        <v>2.6161799999999999</v>
      </c>
      <c r="AD3115">
        <v>1.5207580000000001</v>
      </c>
      <c r="AE3115">
        <v>-0.13261410000000001</v>
      </c>
      <c r="AF3115">
        <v>6.8730033561813703E-2</v>
      </c>
      <c r="AG3115">
        <v>1.5207580000000001</v>
      </c>
      <c r="AH3115">
        <v>1.9580141541249401</v>
      </c>
      <c r="AI3115">
        <v>52.181177748563499</v>
      </c>
      <c r="AJ3115">
        <v>87.989634209125398</v>
      </c>
      <c r="AK3115">
        <v>2.4801709900389901</v>
      </c>
      <c r="AL3115">
        <v>68.188512003484604</v>
      </c>
      <c r="AM3115">
        <v>88.094349113820797</v>
      </c>
      <c r="AN3115">
        <v>1.0000000198743899</v>
      </c>
    </row>
    <row r="3116" spans="1:40" x14ac:dyDescent="0.25">
      <c r="A3116" t="str">
        <f>"20190303162317261"</f>
        <v>20190303162317261</v>
      </c>
      <c r="B3116" t="str">
        <f>"1551601397248001"</f>
        <v>1551601397248001</v>
      </c>
      <c r="C3116" t="s">
        <v>40</v>
      </c>
      <c r="D3116">
        <v>4.7648799999999998</v>
      </c>
      <c r="E3116">
        <v>0.50189150000000005</v>
      </c>
      <c r="F3116" t="s">
        <v>53</v>
      </c>
      <c r="G3116">
        <v>0</v>
      </c>
      <c r="H3116">
        <v>0</v>
      </c>
      <c r="I3116">
        <v>0</v>
      </c>
      <c r="J3116">
        <v>-424.44080000000002</v>
      </c>
      <c r="K3116">
        <v>1.1212249999999999</v>
      </c>
      <c r="L3116">
        <v>215.1046</v>
      </c>
      <c r="M3116">
        <v>0.99981699999999996</v>
      </c>
      <c r="N3116">
        <v>-1.092335E-2</v>
      </c>
      <c r="O3116">
        <v>-1.5717689999999999E-2</v>
      </c>
      <c r="P3116">
        <v>0.94046379999999996</v>
      </c>
      <c r="Q3116">
        <v>0.33652650000000001</v>
      </c>
      <c r="R3116">
        <v>-4.7732419999999998E-2</v>
      </c>
      <c r="S3116">
        <v>2.6429140000000002</v>
      </c>
      <c r="T3116">
        <v>1.472126</v>
      </c>
      <c r="U3116">
        <v>-0.14550779999999999</v>
      </c>
      <c r="V3116">
        <v>3.3064259999999998E-2</v>
      </c>
      <c r="W3116">
        <v>0.34677459999999999</v>
      </c>
      <c r="X3116">
        <v>0.93736549999999996</v>
      </c>
      <c r="Y3116">
        <v>3.6483769999999999E-2</v>
      </c>
      <c r="Z3116">
        <v>9.3911310000000003E-4</v>
      </c>
      <c r="AA3116">
        <v>0.99933380000000005</v>
      </c>
      <c r="AB3116">
        <v>29</v>
      </c>
      <c r="AC3116">
        <v>2.6429140000000002</v>
      </c>
      <c r="AD3116">
        <v>1.472126</v>
      </c>
      <c r="AE3116">
        <v>-0.14550779999999999</v>
      </c>
      <c r="AF3116">
        <v>7.9389886444584598E-2</v>
      </c>
      <c r="AG3116">
        <v>1.472126</v>
      </c>
      <c r="AH3116">
        <v>2.0200352306397198</v>
      </c>
      <c r="AI3116">
        <v>53.937878981519901</v>
      </c>
      <c r="AJ3116">
        <v>87.749363193898901</v>
      </c>
      <c r="AK3116">
        <v>2.5007998814322101</v>
      </c>
      <c r="AL3116">
        <v>69.709837813741501</v>
      </c>
      <c r="AM3116">
        <v>87.979808910054402</v>
      </c>
      <c r="AN3116">
        <v>0.99999997454237799</v>
      </c>
    </row>
    <row r="3117" spans="1:40" x14ac:dyDescent="0.25">
      <c r="A3117" t="str">
        <f>"20190303162317286"</f>
        <v>20190303162317286</v>
      </c>
      <c r="B3117" t="str">
        <f>"1551601397278257"</f>
        <v>1551601397278257</v>
      </c>
      <c r="C3117" t="s">
        <v>40</v>
      </c>
      <c r="D3117">
        <v>4.6238340000000004</v>
      </c>
      <c r="E3117">
        <v>0.50212139999999905</v>
      </c>
      <c r="F3117" t="s">
        <v>53</v>
      </c>
      <c r="G3117">
        <v>0</v>
      </c>
      <c r="H3117">
        <v>0</v>
      </c>
      <c r="I3117">
        <v>0</v>
      </c>
      <c r="J3117">
        <v>-424.1386</v>
      </c>
      <c r="K3117">
        <v>1.121084</v>
      </c>
      <c r="L3117">
        <v>215.09970000000001</v>
      </c>
      <c r="M3117">
        <v>0.99981419999999999</v>
      </c>
      <c r="N3117">
        <v>-1.0926719999999999E-2</v>
      </c>
      <c r="O3117">
        <v>-1.5886020000000001E-2</v>
      </c>
      <c r="P3117">
        <v>0.95131149999999998</v>
      </c>
      <c r="Q3117">
        <v>0.30439529999999998</v>
      </c>
      <c r="R3117">
        <v>-4.8474419999999997E-2</v>
      </c>
      <c r="S3117">
        <v>2.6809080000000001</v>
      </c>
      <c r="T3117">
        <v>1.400814</v>
      </c>
      <c r="U3117">
        <v>-0.15284729999999999</v>
      </c>
      <c r="V3117">
        <v>3.3464380000000002E-2</v>
      </c>
      <c r="W3117">
        <v>0.31476759999999998</v>
      </c>
      <c r="X3117">
        <v>0.9485787</v>
      </c>
      <c r="Y3117">
        <v>3.8378130000000003E-2</v>
      </c>
      <c r="Z3117">
        <v>1.2368780000000001E-3</v>
      </c>
      <c r="AA3117">
        <v>0.99926250000000005</v>
      </c>
      <c r="AB3117">
        <v>29</v>
      </c>
      <c r="AC3117">
        <v>2.6809080000000001</v>
      </c>
      <c r="AD3117">
        <v>1.400814</v>
      </c>
      <c r="AE3117">
        <v>-0.15284729999999999</v>
      </c>
      <c r="AF3117">
        <v>8.6654586249280005E-2</v>
      </c>
      <c r="AG3117">
        <v>1.400814</v>
      </c>
      <c r="AH3117">
        <v>2.1090478029395001</v>
      </c>
      <c r="AI3117">
        <v>56.430446989576602</v>
      </c>
      <c r="AJ3117">
        <v>87.647207883861398</v>
      </c>
      <c r="AK3117">
        <v>2.5333518340329202</v>
      </c>
      <c r="AL3117">
        <v>71.653215947461902</v>
      </c>
      <c r="AM3117">
        <v>87.979532009730605</v>
      </c>
      <c r="AN3117">
        <v>1.0000000284161099</v>
      </c>
    </row>
    <row r="3118" spans="1:40" x14ac:dyDescent="0.25">
      <c r="A3118" t="str">
        <f>"20190303162317307"</f>
        <v>20190303162317307</v>
      </c>
      <c r="B3118" t="str">
        <f>"1551601397297777"</f>
        <v>1551601397297777</v>
      </c>
      <c r="C3118" t="s">
        <v>40</v>
      </c>
      <c r="D3118">
        <v>4.8839430000000004</v>
      </c>
      <c r="E3118">
        <v>0.51115580000000005</v>
      </c>
      <c r="F3118" t="s">
        <v>53</v>
      </c>
      <c r="G3118">
        <v>0</v>
      </c>
      <c r="H3118">
        <v>0</v>
      </c>
      <c r="I3118">
        <v>0</v>
      </c>
      <c r="J3118">
        <v>-423.85329999999999</v>
      </c>
      <c r="K3118">
        <v>1.120922</v>
      </c>
      <c r="L3118">
        <v>215.095</v>
      </c>
      <c r="M3118">
        <v>0.99981160000000002</v>
      </c>
      <c r="N3118">
        <v>-1.092974E-2</v>
      </c>
      <c r="O3118">
        <v>-1.6045299999999998E-2</v>
      </c>
      <c r="P3118">
        <v>0.96166779999999996</v>
      </c>
      <c r="Q3118">
        <v>0.26979560000000002</v>
      </c>
      <c r="R3118">
        <v>-4.9043780000000002E-2</v>
      </c>
      <c r="S3118">
        <v>2.7263489999999999</v>
      </c>
      <c r="T3118">
        <v>1.3100969999999901</v>
      </c>
      <c r="U3118">
        <v>-0.15763849999999999</v>
      </c>
      <c r="V3118">
        <v>3.3703959999999998E-2</v>
      </c>
      <c r="W3118">
        <v>0.28028579999999997</v>
      </c>
      <c r="X3118">
        <v>0.95932470000000003</v>
      </c>
      <c r="Y3118">
        <v>3.9344169999999998E-2</v>
      </c>
      <c r="Z3118">
        <v>1.260206E-3</v>
      </c>
      <c r="AA3118">
        <v>0.99922489999999997</v>
      </c>
      <c r="AB3118">
        <v>29</v>
      </c>
      <c r="AC3118">
        <v>2.7263489999999999</v>
      </c>
      <c r="AD3118">
        <v>1.3100969999999901</v>
      </c>
      <c r="AE3118">
        <v>-0.15763849999999999</v>
      </c>
      <c r="AF3118">
        <v>9.2567016334185001E-2</v>
      </c>
      <c r="AG3118">
        <v>1.3100969999999901</v>
      </c>
      <c r="AH3118">
        <v>2.2180602900551398</v>
      </c>
      <c r="AI3118">
        <v>59.453608010727699</v>
      </c>
      <c r="AJ3118">
        <v>87.610243735160694</v>
      </c>
      <c r="AK3118">
        <v>2.5777343253798501</v>
      </c>
      <c r="AL3118">
        <v>73.722736840659195</v>
      </c>
      <c r="AM3118">
        <v>87.987854671101204</v>
      </c>
      <c r="AN3118">
        <v>0.99999998331570505</v>
      </c>
    </row>
    <row r="3119" spans="1:40" x14ac:dyDescent="0.25">
      <c r="A3119" t="str">
        <f>"20190303162317329"</f>
        <v>20190303162317329</v>
      </c>
      <c r="B3119" t="str">
        <f>"1551601397317298"</f>
        <v>1551601397317298</v>
      </c>
      <c r="C3119" t="s">
        <v>40</v>
      </c>
      <c r="D3119">
        <v>4.7541229999999999</v>
      </c>
      <c r="E3119">
        <v>0.51866800000000002</v>
      </c>
      <c r="F3119" t="s">
        <v>53</v>
      </c>
      <c r="G3119">
        <v>0</v>
      </c>
      <c r="H3119">
        <v>0</v>
      </c>
      <c r="I3119">
        <v>0</v>
      </c>
      <c r="J3119">
        <v>-423.57049999999998</v>
      </c>
      <c r="K3119">
        <v>1.120735</v>
      </c>
      <c r="L3119">
        <v>215.09030000000001</v>
      </c>
      <c r="M3119">
        <v>0.99980910000000001</v>
      </c>
      <c r="N3119">
        <v>-1.0932559999999999E-2</v>
      </c>
      <c r="O3119">
        <v>-1.620303E-2</v>
      </c>
      <c r="P3119">
        <v>0.9720685</v>
      </c>
      <c r="Q3119">
        <v>0.22918330000000001</v>
      </c>
      <c r="R3119">
        <v>-5.0577629999999998E-2</v>
      </c>
      <c r="S3119">
        <v>2.879791</v>
      </c>
      <c r="T3119">
        <v>0.81176090000000001</v>
      </c>
      <c r="U3119">
        <v>-0.23599239999999999</v>
      </c>
      <c r="V3119">
        <v>3.4903330000000003E-2</v>
      </c>
      <c r="W3119">
        <v>0.23979200000000001</v>
      </c>
      <c r="X3119">
        <v>0.97019670000000002</v>
      </c>
      <c r="Y3119">
        <v>6.3820070000000007E-2</v>
      </c>
      <c r="Z3119">
        <v>3.807717E-3</v>
      </c>
      <c r="AA3119">
        <v>0.99795409999999996</v>
      </c>
      <c r="AB3119">
        <v>29</v>
      </c>
      <c r="AC3119">
        <v>2.879791</v>
      </c>
      <c r="AD3119">
        <v>0.81176090000000001</v>
      </c>
      <c r="AE3119">
        <v>-0.23599239999999999</v>
      </c>
      <c r="AF3119">
        <v>0.17544952562212501</v>
      </c>
      <c r="AG3119">
        <v>0.81176090000000001</v>
      </c>
      <c r="AH3119">
        <v>2.6723179173376099</v>
      </c>
      <c r="AI3119">
        <v>73.137208917567193</v>
      </c>
      <c r="AJ3119">
        <v>86.243668949939604</v>
      </c>
      <c r="AK3119">
        <v>2.79839620964106</v>
      </c>
      <c r="AL3119">
        <v>76.125736219022102</v>
      </c>
      <c r="AM3119">
        <v>87.939643142025005</v>
      </c>
      <c r="AN3119">
        <v>1.0000000411999801</v>
      </c>
    </row>
    <row r="3120" spans="1:40" x14ac:dyDescent="0.25">
      <c r="A3120" t="str">
        <f>"20190303162317352"</f>
        <v>20190303162317352</v>
      </c>
      <c r="B3120" t="str">
        <f>"1551601397347553"</f>
        <v>1551601397347553</v>
      </c>
      <c r="C3120" t="s">
        <v>40</v>
      </c>
      <c r="D3120">
        <v>4.7708519999999996</v>
      </c>
      <c r="E3120">
        <v>0.52297139999999998</v>
      </c>
      <c r="F3120" t="s">
        <v>54</v>
      </c>
      <c r="G3120">
        <v>-280.97980000000001</v>
      </c>
      <c r="H3120">
        <v>10.77637</v>
      </c>
      <c r="I3120">
        <v>200.77199999999999</v>
      </c>
      <c r="J3120">
        <v>-423.27080000000001</v>
      </c>
      <c r="K3120">
        <v>1.12053799999999</v>
      </c>
      <c r="L3120">
        <v>215.08519999999999</v>
      </c>
      <c r="M3120">
        <v>0.99980619999999998</v>
      </c>
      <c r="N3120">
        <v>-1.093541E-2</v>
      </c>
      <c r="O3120">
        <v>-1.6369930000000001E-2</v>
      </c>
      <c r="P3120">
        <v>0.9815178</v>
      </c>
      <c r="Q3120">
        <v>0.18428610000000001</v>
      </c>
      <c r="R3120">
        <v>-5.159035E-2</v>
      </c>
      <c r="S3120">
        <v>3.022125</v>
      </c>
      <c r="T3120">
        <v>0.20464470000000001</v>
      </c>
      <c r="U3120">
        <v>-0.30346679999999998</v>
      </c>
      <c r="V3120">
        <v>3.5583080000000003E-2</v>
      </c>
      <c r="W3120">
        <v>0.1950037</v>
      </c>
      <c r="X3120">
        <v>0.98015680000000005</v>
      </c>
      <c r="Y3120">
        <v>8.3501870000000006E-2</v>
      </c>
      <c r="Z3120">
        <v>1.076163E-3</v>
      </c>
      <c r="AA3120">
        <v>0.99650700000000003</v>
      </c>
      <c r="AB3120">
        <v>29</v>
      </c>
      <c r="AC3120">
        <v>142.291</v>
      </c>
      <c r="AD3120">
        <v>9.6558320000000002</v>
      </c>
      <c r="AE3120">
        <v>-14.313199999999901</v>
      </c>
      <c r="AF3120">
        <v>11.927473681794501</v>
      </c>
      <c r="AG3120">
        <v>9.6558320000000002</v>
      </c>
      <c r="AH3120">
        <v>141.85953962286601</v>
      </c>
      <c r="AI3120">
        <v>86.119752450229996</v>
      </c>
      <c r="AJ3120">
        <v>85.193905778403405</v>
      </c>
      <c r="AK3120">
        <v>142.68717076897099</v>
      </c>
      <c r="AL3120">
        <v>78.755059985845307</v>
      </c>
      <c r="AM3120">
        <v>87.920878212122602</v>
      </c>
      <c r="AN3120">
        <v>0.99999997559110798</v>
      </c>
    </row>
    <row r="3121" spans="1:40" x14ac:dyDescent="0.25">
      <c r="A3121" t="str">
        <f>"20190303162317373"</f>
        <v>20190303162317373</v>
      </c>
      <c r="B3121" t="str">
        <f>"1551601397358290"</f>
        <v>1551601397358290</v>
      </c>
      <c r="C3121" t="s">
        <v>40</v>
      </c>
      <c r="D3121">
        <v>4.7731000000000003</v>
      </c>
      <c r="E3121">
        <v>0.52255039999999997</v>
      </c>
      <c r="F3121" t="s">
        <v>42</v>
      </c>
      <c r="G3121">
        <v>-422.45460000000003</v>
      </c>
      <c r="H3121">
        <v>0.94832019999999995</v>
      </c>
      <c r="I3121">
        <v>214.99600000000001</v>
      </c>
      <c r="J3121">
        <v>-422.99270000000001</v>
      </c>
      <c r="K3121">
        <v>1.120368</v>
      </c>
      <c r="L3121">
        <v>215.0805</v>
      </c>
      <c r="M3121">
        <v>0.99980369999999996</v>
      </c>
      <c r="N3121">
        <v>-1.093796E-2</v>
      </c>
      <c r="O3121">
        <v>-1.6525270000000002E-2</v>
      </c>
      <c r="P3121">
        <v>0.98857340000000005</v>
      </c>
      <c r="Q3121">
        <v>0.14273179999999999</v>
      </c>
      <c r="R3121">
        <v>-4.8484380000000001E-2</v>
      </c>
      <c r="S3121">
        <v>3.1636350000000002</v>
      </c>
      <c r="T3121">
        <v>-0.66748929999999995</v>
      </c>
      <c r="U3121">
        <v>-0.34542850000000003</v>
      </c>
      <c r="V3121">
        <v>3.2193819999999998E-2</v>
      </c>
      <c r="W3121">
        <v>0.15353249999999999</v>
      </c>
      <c r="X3121">
        <v>0.98761900000000002</v>
      </c>
      <c r="Y3121">
        <v>9.0351529999999999E-2</v>
      </c>
      <c r="Z3121">
        <v>-6.6424659999999996E-3</v>
      </c>
      <c r="AA3121">
        <v>0.99588779999999999</v>
      </c>
      <c r="AB3121">
        <v>29</v>
      </c>
      <c r="AC3121">
        <v>0.53809999999998503</v>
      </c>
      <c r="AD3121">
        <v>-0.1720478</v>
      </c>
      <c r="AE3121">
        <v>-8.4500000000019698E-2</v>
      </c>
      <c r="AF3121">
        <v>6.8737824389870306E-2</v>
      </c>
      <c r="AG3121">
        <v>-0.1720478</v>
      </c>
      <c r="AH3121">
        <v>0.49048783876030599</v>
      </c>
      <c r="AI3121">
        <v>109.15590584466101</v>
      </c>
      <c r="AJ3121">
        <v>82.022424173060003</v>
      </c>
      <c r="AK3121">
        <v>0.52431255369144902</v>
      </c>
      <c r="AL3121">
        <v>81.168303841343103</v>
      </c>
      <c r="AM3121">
        <v>88.132967179207498</v>
      </c>
      <c r="AN3121">
        <v>0.99999997988172096</v>
      </c>
    </row>
    <row r="3122" spans="1:40" x14ac:dyDescent="0.25">
      <c r="A3122" t="str">
        <f>"20190303162317394"</f>
        <v>20190303162317394</v>
      </c>
      <c r="B3122" t="str">
        <f>"1551601397387569"</f>
        <v>1551601397387569</v>
      </c>
      <c r="C3122" t="s">
        <v>40</v>
      </c>
      <c r="D3122">
        <v>4.8093709999999996</v>
      </c>
      <c r="E3122">
        <v>0.52033609999999997</v>
      </c>
      <c r="F3122" t="s">
        <v>42</v>
      </c>
      <c r="G3122">
        <v>-422.21429999999998</v>
      </c>
      <c r="H3122">
        <v>0.90852480000000002</v>
      </c>
      <c r="I3122">
        <v>214.99889999999999</v>
      </c>
      <c r="J3122">
        <v>-422.72250000000003</v>
      </c>
      <c r="K3122">
        <v>1.1203369999999999</v>
      </c>
      <c r="L3122">
        <v>215.07589999999999</v>
      </c>
      <c r="M3122">
        <v>0.99980119999999895</v>
      </c>
      <c r="N3122">
        <v>-1.094035E-2</v>
      </c>
      <c r="O3122">
        <v>-1.6675849999999999E-2</v>
      </c>
      <c r="P3122">
        <v>0.98989340000000003</v>
      </c>
      <c r="Q3122">
        <v>0.1347797</v>
      </c>
      <c r="R3122">
        <v>-4.4110780000000002E-2</v>
      </c>
      <c r="S3122">
        <v>3.1420590000000002</v>
      </c>
      <c r="T3122">
        <v>-0.85510849999999905</v>
      </c>
      <c r="U3122">
        <v>-0.32783509999999999</v>
      </c>
      <c r="V3122">
        <v>2.7647209999999998E-2</v>
      </c>
      <c r="W3122">
        <v>0.14559810000000001</v>
      </c>
      <c r="X3122">
        <v>0.98895750000000004</v>
      </c>
      <c r="Y3122">
        <v>8.4556220000000001E-2</v>
      </c>
      <c r="Z3122">
        <v>-7.477956E-3</v>
      </c>
      <c r="AA3122">
        <v>0.99639060000000002</v>
      </c>
      <c r="AB3122">
        <v>29</v>
      </c>
      <c r="AC3122">
        <v>0.50820000000004395</v>
      </c>
      <c r="AD3122">
        <v>-0.21181220000000001</v>
      </c>
      <c r="AE3122">
        <v>-7.6999999999998098E-2</v>
      </c>
      <c r="AF3122">
        <v>5.8568350900481597E-2</v>
      </c>
      <c r="AG3122">
        <v>-0.21181220000000001</v>
      </c>
      <c r="AH3122">
        <v>0.43546506810006402</v>
      </c>
      <c r="AI3122">
        <v>115.737043973859</v>
      </c>
      <c r="AJ3122">
        <v>82.339909019313296</v>
      </c>
      <c r="AK3122">
        <v>0.487775035576274</v>
      </c>
      <c r="AL3122">
        <v>81.628085109386902</v>
      </c>
      <c r="AM3122">
        <v>88.398661242355303</v>
      </c>
      <c r="AN3122">
        <v>1.0000000558753199</v>
      </c>
    </row>
    <row r="3123" spans="1:40" x14ac:dyDescent="0.25">
      <c r="A3123" t="str">
        <f>"20190303162317417"</f>
        <v>20190303162317417</v>
      </c>
      <c r="B3123" t="str">
        <f>"1551601397408065"</f>
        <v>1551601397408065</v>
      </c>
      <c r="C3123" t="s">
        <v>40</v>
      </c>
      <c r="D3123">
        <v>4.8181629999999904</v>
      </c>
      <c r="E3123">
        <v>0.51899879999999998</v>
      </c>
      <c r="F3123" t="s">
        <v>42</v>
      </c>
      <c r="G3123">
        <v>-421.96039999999999</v>
      </c>
      <c r="H3123">
        <v>0.89521070000000003</v>
      </c>
      <c r="I3123">
        <v>215.00530000000001</v>
      </c>
      <c r="J3123">
        <v>-422.42180000000002</v>
      </c>
      <c r="K3123">
        <v>1.1203099999999999</v>
      </c>
      <c r="L3123">
        <v>215.07069999999999</v>
      </c>
      <c r="M3123">
        <v>0.99979819999999997</v>
      </c>
      <c r="N3123">
        <v>-1.094289E-2</v>
      </c>
      <c r="O3123">
        <v>-1.6843110000000001E-2</v>
      </c>
      <c r="P3123">
        <v>0.9908264</v>
      </c>
      <c r="Q3123">
        <v>0.1286989</v>
      </c>
      <c r="R3123">
        <v>-4.1225339999999999E-2</v>
      </c>
      <c r="S3123">
        <v>3.1441650000000001</v>
      </c>
      <c r="T3123">
        <v>-0.92879769999999995</v>
      </c>
      <c r="U3123">
        <v>-0.290329</v>
      </c>
      <c r="V3123">
        <v>2.4578760000000002E-2</v>
      </c>
      <c r="W3123">
        <v>0.1395315</v>
      </c>
      <c r="X3123">
        <v>0.98991260000000003</v>
      </c>
      <c r="Y3123">
        <v>7.2627979999999995E-2</v>
      </c>
      <c r="Z3123">
        <v>-6.2084419999999998E-3</v>
      </c>
      <c r="AA3123">
        <v>0.9973398</v>
      </c>
      <c r="AB3123">
        <v>29</v>
      </c>
      <c r="AC3123">
        <v>0.46140000000002601</v>
      </c>
      <c r="AD3123">
        <v>-0.2250993</v>
      </c>
      <c r="AE3123">
        <v>-6.53999999999825E-2</v>
      </c>
      <c r="AF3123">
        <v>4.6718441547933802E-2</v>
      </c>
      <c r="AG3123">
        <v>-0.2250993</v>
      </c>
      <c r="AH3123">
        <v>0.37495191230057701</v>
      </c>
      <c r="AI3123">
        <v>120.783748295045</v>
      </c>
      <c r="AJ3123">
        <v>82.897635759657405</v>
      </c>
      <c r="AK3123">
        <v>0.439819558659022</v>
      </c>
      <c r="AL3123">
        <v>81.979263359365603</v>
      </c>
      <c r="AM3123">
        <v>88.577682587374895</v>
      </c>
      <c r="AN3123">
        <v>1.00000005528707</v>
      </c>
    </row>
    <row r="3124" spans="1:40" x14ac:dyDescent="0.25">
      <c r="A3124" t="str">
        <f>"20190303162317439"</f>
        <v>20190303162317439</v>
      </c>
      <c r="B3124" t="str">
        <f>"1551601397427585"</f>
        <v>1551601397427585</v>
      </c>
      <c r="C3124" t="s">
        <v>40</v>
      </c>
      <c r="D3124">
        <v>4.8555799999999998</v>
      </c>
      <c r="E3124">
        <v>0.51944239999999997</v>
      </c>
      <c r="F3124" t="s">
        <v>42</v>
      </c>
      <c r="G3124">
        <v>-421.69389999999999</v>
      </c>
      <c r="H3124">
        <v>0.91002229999999995</v>
      </c>
      <c r="I3124">
        <v>215.00739999999999</v>
      </c>
      <c r="J3124">
        <v>-422.13920000000002</v>
      </c>
      <c r="K3124">
        <v>1.1203190000000001</v>
      </c>
      <c r="L3124">
        <v>215.06569999999999</v>
      </c>
      <c r="M3124">
        <v>0.99979569999999995</v>
      </c>
      <c r="N3124">
        <v>-1.094533E-2</v>
      </c>
      <c r="O3124">
        <v>-1.7000709999999999E-2</v>
      </c>
      <c r="P3124">
        <v>0.99045680000000003</v>
      </c>
      <c r="Q3124">
        <v>0.13147909999999999</v>
      </c>
      <c r="R3124">
        <v>-4.133879E-2</v>
      </c>
      <c r="S3124">
        <v>3.134125</v>
      </c>
      <c r="T3124">
        <v>-0.90543910000000005</v>
      </c>
      <c r="U3124">
        <v>-0.27113340000000002</v>
      </c>
      <c r="V3124">
        <v>2.454313E-2</v>
      </c>
      <c r="W3124">
        <v>0.14230970000000001</v>
      </c>
      <c r="X3124">
        <v>0.98951789999999995</v>
      </c>
      <c r="Y3124">
        <v>6.7046939999999999E-2</v>
      </c>
      <c r="Z3124">
        <v>-5.2279830000000003E-3</v>
      </c>
      <c r="AA3124">
        <v>0.99773610000000001</v>
      </c>
      <c r="AB3124">
        <v>29</v>
      </c>
      <c r="AC3124">
        <v>0.445300000000031</v>
      </c>
      <c r="AD3124">
        <v>-0.2102967</v>
      </c>
      <c r="AE3124">
        <v>-5.83000000000026E-2</v>
      </c>
      <c r="AF3124">
        <v>4.1599252823958002E-2</v>
      </c>
      <c r="AG3124">
        <v>-0.2102967</v>
      </c>
      <c r="AH3124">
        <v>0.36597880756106499</v>
      </c>
      <c r="AI3124">
        <v>119.723689018633</v>
      </c>
      <c r="AJ3124">
        <v>83.515264499069104</v>
      </c>
      <c r="AK3124">
        <v>0.424141117377484</v>
      </c>
      <c r="AL3124">
        <v>81.818479619033496</v>
      </c>
      <c r="AM3124">
        <v>88.579177288728999</v>
      </c>
      <c r="AN3124">
        <v>1.0000000451823401</v>
      </c>
    </row>
    <row r="3125" spans="1:40" x14ac:dyDescent="0.25">
      <c r="A3125" t="str">
        <f>"20190303162317463"</f>
        <v>20190303162317463</v>
      </c>
      <c r="B3125" t="str">
        <f>"1551601397457841"</f>
        <v>1551601397457841</v>
      </c>
      <c r="C3125" t="s">
        <v>40</v>
      </c>
      <c r="D3125">
        <v>4.8563390000000002</v>
      </c>
      <c r="E3125">
        <v>0.52164670000000002</v>
      </c>
      <c r="F3125" t="s">
        <v>42</v>
      </c>
      <c r="G3125">
        <v>-421.42809999999997</v>
      </c>
      <c r="H3125">
        <v>0.92370249999999998</v>
      </c>
      <c r="I3125">
        <v>215.0017</v>
      </c>
      <c r="J3125">
        <v>-421.83249999999998</v>
      </c>
      <c r="K3125">
        <v>1.1203449999999999</v>
      </c>
      <c r="L3125">
        <v>215.06030000000001</v>
      </c>
      <c r="M3125">
        <v>0.99979260000000003</v>
      </c>
      <c r="N3125">
        <v>-1.0947800000000001E-2</v>
      </c>
      <c r="O3125">
        <v>-1.7171789999999999E-2</v>
      </c>
      <c r="P3125">
        <v>0.98927449999999995</v>
      </c>
      <c r="Q3125">
        <v>0.14022000000000001</v>
      </c>
      <c r="R3125">
        <v>-4.0916470000000003E-2</v>
      </c>
      <c r="S3125">
        <v>3.1321409999999998</v>
      </c>
      <c r="T3125">
        <v>-0.86598809999999904</v>
      </c>
      <c r="U3125">
        <v>-0.2812347</v>
      </c>
      <c r="V3125">
        <v>2.3974809999999999E-2</v>
      </c>
      <c r="W3125">
        <v>0.15103989999999901</v>
      </c>
      <c r="X3125">
        <v>0.98823689999999997</v>
      </c>
      <c r="Y3125">
        <v>7.018278E-2</v>
      </c>
      <c r="Z3125">
        <v>-5.4317050000000002E-3</v>
      </c>
      <c r="AA3125">
        <v>0.99751939999999995</v>
      </c>
      <c r="AB3125">
        <v>29</v>
      </c>
      <c r="AC3125">
        <v>0.40440000000000897</v>
      </c>
      <c r="AD3125">
        <v>-0.1966425</v>
      </c>
      <c r="AE3125">
        <v>-5.86000000000126E-2</v>
      </c>
      <c r="AF3125">
        <v>4.1935174271591998E-2</v>
      </c>
      <c r="AG3125">
        <v>-0.1966425</v>
      </c>
      <c r="AH3125">
        <v>0.32912642884232501</v>
      </c>
      <c r="AI3125">
        <v>120.654226745256</v>
      </c>
      <c r="AJ3125">
        <v>82.738864295791004</v>
      </c>
      <c r="AK3125">
        <v>0.385682560935727</v>
      </c>
      <c r="AL3125">
        <v>81.312804975038603</v>
      </c>
      <c r="AM3125">
        <v>88.610266393166199</v>
      </c>
      <c r="AN3125">
        <v>1.00000000671407</v>
      </c>
    </row>
    <row r="3126" spans="1:40" x14ac:dyDescent="0.25">
      <c r="A3126" t="str">
        <f>"20190303162317485"</f>
        <v>20190303162317485</v>
      </c>
      <c r="B3126" t="str">
        <f>"1551601397477361"</f>
        <v>1551601397477361</v>
      </c>
      <c r="C3126" t="s">
        <v>40</v>
      </c>
      <c r="D3126">
        <v>4.8595360000000003</v>
      </c>
      <c r="E3126">
        <v>0.52207309999999996</v>
      </c>
      <c r="F3126" t="s">
        <v>42</v>
      </c>
      <c r="G3126">
        <v>-420.87869999999998</v>
      </c>
      <c r="H3126">
        <v>0.98554790000000003</v>
      </c>
      <c r="I3126">
        <v>214.9676</v>
      </c>
      <c r="J3126">
        <v>-421.54570000000001</v>
      </c>
      <c r="K3126">
        <v>1.120404</v>
      </c>
      <c r="L3126">
        <v>215.05520000000001</v>
      </c>
      <c r="M3126">
        <v>0.99978979999999995</v>
      </c>
      <c r="N3126">
        <v>-1.095E-2</v>
      </c>
      <c r="O3126">
        <v>-1.7331539999999999E-2</v>
      </c>
      <c r="P3126">
        <v>0.98780199999999996</v>
      </c>
      <c r="Q3126">
        <v>0.15054219999999999</v>
      </c>
      <c r="R3126">
        <v>-3.9803110000000003E-2</v>
      </c>
      <c r="S3126">
        <v>3.0818789999999998</v>
      </c>
      <c r="T3126">
        <v>-0.4356006</v>
      </c>
      <c r="U3126">
        <v>-0.29930109999999999</v>
      </c>
      <c r="V3126">
        <v>2.2732659999999998E-2</v>
      </c>
      <c r="W3126">
        <v>0.16134789999999999</v>
      </c>
      <c r="X3126">
        <v>0.9866357</v>
      </c>
      <c r="Y3126">
        <v>7.8705129999999998E-2</v>
      </c>
      <c r="Z3126">
        <v>-3.713296E-3</v>
      </c>
      <c r="AA3126">
        <v>0.99689099999999997</v>
      </c>
      <c r="AB3126">
        <v>29</v>
      </c>
      <c r="AC3126">
        <v>0.66700000000003001</v>
      </c>
      <c r="AD3126">
        <v>-0.13485610000000001</v>
      </c>
      <c r="AE3126">
        <v>-8.7600000000008907E-2</v>
      </c>
      <c r="AF3126">
        <v>7.3088941659635198E-2</v>
      </c>
      <c r="AG3126">
        <v>-0.13485610000000001</v>
      </c>
      <c r="AH3126">
        <v>0.64259553041546602</v>
      </c>
      <c r="AI3126">
        <v>101.77838062523099</v>
      </c>
      <c r="AJ3126">
        <v>83.511053055554598</v>
      </c>
      <c r="AK3126">
        <v>0.66064905722332601</v>
      </c>
      <c r="AL3126">
        <v>80.714857828377802</v>
      </c>
      <c r="AM3126">
        <v>88.680105467798001</v>
      </c>
      <c r="AN3126">
        <v>0.99999996158978699</v>
      </c>
    </row>
    <row r="3127" spans="1:40" x14ac:dyDescent="0.25">
      <c r="A3127" t="str">
        <f>"20190303162317507"</f>
        <v>20190303162317507</v>
      </c>
      <c r="B3127" t="str">
        <f>"1551601397497858"</f>
        <v>1551601397497858</v>
      </c>
      <c r="C3127" t="s">
        <v>40</v>
      </c>
      <c r="D3127">
        <v>4.824141</v>
      </c>
      <c r="E3127">
        <v>0.52206799999999998</v>
      </c>
      <c r="F3127" t="s">
        <v>42</v>
      </c>
      <c r="G3127">
        <v>-420.60820000000001</v>
      </c>
      <c r="H3127">
        <v>1.0064109999999999</v>
      </c>
      <c r="I3127">
        <v>214.9631</v>
      </c>
      <c r="J3127">
        <v>-421.26069999999999</v>
      </c>
      <c r="K3127">
        <v>1.120439</v>
      </c>
      <c r="L3127">
        <v>215.05009999999999</v>
      </c>
      <c r="M3127">
        <v>0.99978719999999999</v>
      </c>
      <c r="N3127">
        <v>-1.0952140000000001E-2</v>
      </c>
      <c r="O3127">
        <v>-1.749034E-2</v>
      </c>
      <c r="P3127">
        <v>0.98673060000000001</v>
      </c>
      <c r="Q3127">
        <v>0.15776109999999999</v>
      </c>
      <c r="R3127">
        <v>-3.839853E-2</v>
      </c>
      <c r="S3127">
        <v>3.0819700000000001</v>
      </c>
      <c r="T3127">
        <v>-0.37482799999999999</v>
      </c>
      <c r="U3127">
        <v>-0.30186459999999998</v>
      </c>
      <c r="V3127">
        <v>2.1192579999999999E-2</v>
      </c>
      <c r="W3127">
        <v>0.1685567</v>
      </c>
      <c r="X3127">
        <v>0.98546409999999995</v>
      </c>
      <c r="Y3127">
        <v>7.9528249999999995E-2</v>
      </c>
      <c r="Z3127">
        <v>-3.3219479999999999E-3</v>
      </c>
      <c r="AA3127">
        <v>0.99682709999999997</v>
      </c>
      <c r="AB3127">
        <v>29</v>
      </c>
      <c r="AC3127">
        <v>0.65249999999997499</v>
      </c>
      <c r="AD3127">
        <v>-0.11402799999999901</v>
      </c>
      <c r="AE3127">
        <v>-8.6999999999989003E-2</v>
      </c>
      <c r="AF3127">
        <v>7.3371957027901794E-2</v>
      </c>
      <c r="AG3127">
        <v>-0.11402799999999901</v>
      </c>
      <c r="AH3127">
        <v>0.63487192036236895</v>
      </c>
      <c r="AI3127">
        <v>100.11628055750199</v>
      </c>
      <c r="AJ3127">
        <v>83.407590359144606</v>
      </c>
      <c r="AK3127">
        <v>0.64919040668104999</v>
      </c>
      <c r="AL3127">
        <v>80.2960867531839</v>
      </c>
      <c r="AM3127">
        <v>88.768034007707001</v>
      </c>
      <c r="AN3127">
        <v>0.99999998947537805</v>
      </c>
    </row>
    <row r="3128" spans="1:40" x14ac:dyDescent="0.25">
      <c r="A3128" t="str">
        <f>"20190303162317530"</f>
        <v>20190303162317530</v>
      </c>
      <c r="B3128" t="str">
        <f>"1551601397517376"</f>
        <v>1551601397517376</v>
      </c>
      <c r="C3128" t="s">
        <v>40</v>
      </c>
      <c r="D3128">
        <v>4.8918119999999998</v>
      </c>
      <c r="E3128">
        <v>0.52242109999999997</v>
      </c>
      <c r="F3128" t="s">
        <v>42</v>
      </c>
      <c r="G3128">
        <v>-420.34019999999998</v>
      </c>
      <c r="H3128">
        <v>1.0219</v>
      </c>
      <c r="I3128">
        <v>214.96090000000001</v>
      </c>
      <c r="J3128">
        <v>-420.96409999999997</v>
      </c>
      <c r="K3128">
        <v>1.1204809999999901</v>
      </c>
      <c r="L3128">
        <v>215.04480000000001</v>
      </c>
      <c r="M3128">
        <v>0.99978420000000001</v>
      </c>
      <c r="N3128">
        <v>-1.095433E-2</v>
      </c>
      <c r="O3128">
        <v>-1.7654969999999999E-2</v>
      </c>
      <c r="P3128">
        <v>0.98580230000000002</v>
      </c>
      <c r="Q3128">
        <v>0.16363359999999999</v>
      </c>
      <c r="R3128">
        <v>-3.7661220000000002E-2</v>
      </c>
      <c r="S3128">
        <v>3.0815429999999999</v>
      </c>
      <c r="T3128">
        <v>-0.32987480000000002</v>
      </c>
      <c r="U3128">
        <v>-0.29771419999999998</v>
      </c>
      <c r="V3128">
        <v>2.031113E-2</v>
      </c>
      <c r="W3128">
        <v>0.17442089999999999</v>
      </c>
      <c r="X3128">
        <v>0.9844617</v>
      </c>
      <c r="Y3128">
        <v>7.8167429999999996E-2</v>
      </c>
      <c r="Z3128">
        <v>-2.9055779999999998E-3</v>
      </c>
      <c r="AA3128">
        <v>0.99693600000000004</v>
      </c>
      <c r="AB3128">
        <v>29</v>
      </c>
      <c r="AC3128">
        <v>0.62389999999999102</v>
      </c>
      <c r="AD3128">
        <v>-9.8580999999999794E-2</v>
      </c>
      <c r="AE3128">
        <v>-8.3899999999999794E-2</v>
      </c>
      <c r="AF3128">
        <v>7.1127079320060599E-2</v>
      </c>
      <c r="AG3128">
        <v>-9.8580999999999794E-2</v>
      </c>
      <c r="AH3128">
        <v>0.61031730143086804</v>
      </c>
      <c r="AI3128">
        <v>99.114762711287099</v>
      </c>
      <c r="AJ3128">
        <v>83.352670139885802</v>
      </c>
      <c r="AK3128">
        <v>0.622305779660979</v>
      </c>
      <c r="AL3128">
        <v>79.955040320894398</v>
      </c>
      <c r="AM3128">
        <v>88.8180576797415</v>
      </c>
      <c r="AN3128">
        <v>1.00000001556278</v>
      </c>
    </row>
    <row r="3129" spans="1:40" x14ac:dyDescent="0.25">
      <c r="A3129" t="str">
        <f>"20190303162317554"</f>
        <v>20190303162317554</v>
      </c>
      <c r="B3129" t="str">
        <f>"1551601397537873"</f>
        <v>1551601397537873</v>
      </c>
      <c r="C3129" t="s">
        <v>40</v>
      </c>
      <c r="D3129">
        <v>4.9464300000000003</v>
      </c>
      <c r="E3129">
        <v>0.52280779999999905</v>
      </c>
      <c r="F3129" t="s">
        <v>42</v>
      </c>
      <c r="G3129">
        <v>-420.0736</v>
      </c>
      <c r="H3129">
        <v>1.0343169999999999</v>
      </c>
      <c r="I3129">
        <v>214.95840000000001</v>
      </c>
      <c r="J3129">
        <v>-420.65809999999999</v>
      </c>
      <c r="K3129">
        <v>1.12052</v>
      </c>
      <c r="L3129">
        <v>215.03919999999999</v>
      </c>
      <c r="M3129">
        <v>0.99978109999999998</v>
      </c>
      <c r="N3129">
        <v>-1.0956540000000001E-2</v>
      </c>
      <c r="O3129">
        <v>-1.7824369999999999E-2</v>
      </c>
      <c r="P3129">
        <v>0.98477820000000005</v>
      </c>
      <c r="Q3129">
        <v>0.16994020000000001</v>
      </c>
      <c r="R3129">
        <v>-3.6500610000000003E-2</v>
      </c>
      <c r="S3129">
        <v>3.0813600000000001</v>
      </c>
      <c r="T3129">
        <v>-0.29835620000000002</v>
      </c>
      <c r="U3129">
        <v>-0.29737849999999999</v>
      </c>
      <c r="V3129">
        <v>1.900429E-2</v>
      </c>
      <c r="W3129">
        <v>0.18071880000000001</v>
      </c>
      <c r="X3129">
        <v>0.98335119999999998</v>
      </c>
      <c r="Y3129">
        <v>7.7966690000000005E-2</v>
      </c>
      <c r="Z3129">
        <v>-2.663416E-3</v>
      </c>
      <c r="AA3129">
        <v>0.99695239999999996</v>
      </c>
      <c r="AB3129">
        <v>29</v>
      </c>
      <c r="AC3129">
        <v>0.58449999999999103</v>
      </c>
      <c r="AD3129">
        <v>-8.6203000000000196E-2</v>
      </c>
      <c r="AE3129">
        <v>-8.0799999999982206E-2</v>
      </c>
      <c r="AF3129">
        <v>6.8897710794900105E-2</v>
      </c>
      <c r="AG3129">
        <v>-8.6203000000000196E-2</v>
      </c>
      <c r="AH3129">
        <v>0.57360499421797795</v>
      </c>
      <c r="AI3129">
        <v>98.486513470766894</v>
      </c>
      <c r="AJ3129">
        <v>83.150815196420297</v>
      </c>
      <c r="AK3129">
        <v>0.58412373787887095</v>
      </c>
      <c r="AL3129">
        <v>79.588369496894401</v>
      </c>
      <c r="AM3129">
        <v>88.892836986739695</v>
      </c>
      <c r="AN3129">
        <v>1.0000000151266399</v>
      </c>
    </row>
    <row r="3130" spans="1:40" x14ac:dyDescent="0.25">
      <c r="A3130" t="str">
        <f>"20190303162317575"</f>
        <v>20190303162317575</v>
      </c>
      <c r="B3130" t="str">
        <f>"1551601397568129"</f>
        <v>1551601397568129</v>
      </c>
      <c r="C3130" t="s">
        <v>40</v>
      </c>
      <c r="D3130">
        <v>4.9772280000000002</v>
      </c>
      <c r="E3130">
        <v>0.52279160000000002</v>
      </c>
      <c r="F3130" t="s">
        <v>42</v>
      </c>
      <c r="G3130">
        <v>-419.80779999999999</v>
      </c>
      <c r="H3130">
        <v>1.0447649999999999</v>
      </c>
      <c r="I3130">
        <v>214.95769999999999</v>
      </c>
      <c r="J3130">
        <v>-420.37430000000001</v>
      </c>
      <c r="K3130">
        <v>1.120557</v>
      </c>
      <c r="L3130">
        <v>215.03389999999999</v>
      </c>
      <c r="M3130">
        <v>0.99977830000000001</v>
      </c>
      <c r="N3130">
        <v>-1.0958610000000001E-2</v>
      </c>
      <c r="O3130">
        <v>-1.798102E-2</v>
      </c>
      <c r="P3130">
        <v>0.98384340000000003</v>
      </c>
      <c r="Q3130">
        <v>0.17560819999999999</v>
      </c>
      <c r="R3130">
        <v>-3.484342E-2</v>
      </c>
      <c r="S3130">
        <v>3.0828250000000001</v>
      </c>
      <c r="T3130">
        <v>-0.27455819999999997</v>
      </c>
      <c r="U3130">
        <v>-0.2949524</v>
      </c>
      <c r="V3130">
        <v>1.7211560000000001E-2</v>
      </c>
      <c r="W3130">
        <v>0.18637880000000001</v>
      </c>
      <c r="X3130">
        <v>0.98232719999999996</v>
      </c>
      <c r="Y3130">
        <v>7.7039899999999994E-2</v>
      </c>
      <c r="Z3130">
        <v>-2.4422129999999999E-3</v>
      </c>
      <c r="AA3130">
        <v>0.99702500000000005</v>
      </c>
      <c r="AB3130">
        <v>29</v>
      </c>
      <c r="AC3130">
        <v>0.56650000000001899</v>
      </c>
      <c r="AD3130">
        <v>-7.5791999999999998E-2</v>
      </c>
      <c r="AE3130">
        <v>-7.6200000000000004E-2</v>
      </c>
      <c r="AF3130">
        <v>6.4860466332980704E-2</v>
      </c>
      <c r="AG3130">
        <v>-7.5791999999999998E-2</v>
      </c>
      <c r="AH3130">
        <v>0.55796863256444795</v>
      </c>
      <c r="AI3130">
        <v>97.684342296364406</v>
      </c>
      <c r="AJ3130">
        <v>83.369471927849403</v>
      </c>
      <c r="AK3130">
        <v>0.566815933335304</v>
      </c>
      <c r="AL3130">
        <v>79.258470061247706</v>
      </c>
      <c r="AM3130">
        <v>88.996211392894693</v>
      </c>
      <c r="AN3130">
        <v>1.00000001137345</v>
      </c>
    </row>
    <row r="3131" spans="1:40" x14ac:dyDescent="0.25">
      <c r="A3131" t="str">
        <f>"20190303162317597"</f>
        <v>20190303162317597</v>
      </c>
      <c r="B3131" t="str">
        <f>"1551601397587650"</f>
        <v>1551601397587650</v>
      </c>
      <c r="C3131" t="s">
        <v>40</v>
      </c>
      <c r="D3131">
        <v>5.1220889999999999</v>
      </c>
      <c r="E3131">
        <v>0.52238949999999995</v>
      </c>
      <c r="F3131" t="s">
        <v>42</v>
      </c>
      <c r="G3131">
        <v>-419.54180000000002</v>
      </c>
      <c r="H3131">
        <v>1.050854</v>
      </c>
      <c r="I3131">
        <v>214.95580000000001</v>
      </c>
      <c r="J3131">
        <v>-420.09010000000001</v>
      </c>
      <c r="K3131">
        <v>1.120571</v>
      </c>
      <c r="L3131">
        <v>215.02860000000001</v>
      </c>
      <c r="M3131">
        <v>0.99977550000000004</v>
      </c>
      <c r="N3131">
        <v>-1.096067E-2</v>
      </c>
      <c r="O3131">
        <v>-1.8138020000000001E-2</v>
      </c>
      <c r="P3131">
        <v>0.98322989999999999</v>
      </c>
      <c r="Q3131">
        <v>0.17928729999999901</v>
      </c>
      <c r="R3131">
        <v>-3.3397969999999999E-2</v>
      </c>
      <c r="S3131">
        <v>3.0852360000000001</v>
      </c>
      <c r="T3131">
        <v>-0.25842399999999999</v>
      </c>
      <c r="U3131">
        <v>-0.2879486</v>
      </c>
      <c r="V3131">
        <v>1.562408E-2</v>
      </c>
      <c r="W3131">
        <v>0.19005320000000001</v>
      </c>
      <c r="X3131">
        <v>0.98164949999999995</v>
      </c>
      <c r="Y3131">
        <v>7.4605790000000005E-2</v>
      </c>
      <c r="Z3131">
        <v>-2.2080939999999999E-3</v>
      </c>
      <c r="AA3131">
        <v>0.99721070000000001</v>
      </c>
      <c r="AB3131">
        <v>29</v>
      </c>
      <c r="AC3131">
        <v>0.54829999999998302</v>
      </c>
      <c r="AD3131">
        <v>-6.9716999999999807E-2</v>
      </c>
      <c r="AE3131">
        <v>-7.2800000000000795E-2</v>
      </c>
      <c r="AF3131">
        <v>6.1859564983329299E-2</v>
      </c>
      <c r="AG3131">
        <v>-6.9716999999999807E-2</v>
      </c>
      <c r="AH3131">
        <v>0.54093627339825301</v>
      </c>
      <c r="AI3131">
        <v>97.296876762208001</v>
      </c>
      <c r="AJ3131">
        <v>83.476196307506797</v>
      </c>
      <c r="AK3131">
        <v>0.548907203220103</v>
      </c>
      <c r="AL3131">
        <v>79.044111491431494</v>
      </c>
      <c r="AM3131">
        <v>89.088148811813497</v>
      </c>
      <c r="AN3131">
        <v>1.00000003577816</v>
      </c>
    </row>
    <row r="3132" spans="1:40" x14ac:dyDescent="0.25">
      <c r="A3132" t="str">
        <f>"20190303162317618"</f>
        <v>20190303162317618</v>
      </c>
      <c r="B3132" t="str">
        <f>"1551601397608146"</f>
        <v>1551601397608146</v>
      </c>
      <c r="C3132" t="s">
        <v>40</v>
      </c>
      <c r="D3132">
        <v>5.0578289999999999</v>
      </c>
      <c r="E3132">
        <v>0.48513859999999998</v>
      </c>
      <c r="F3132" t="s">
        <v>42</v>
      </c>
      <c r="G3132">
        <v>-419.26949999999999</v>
      </c>
      <c r="H3132">
        <v>1.0548789999999999</v>
      </c>
      <c r="I3132">
        <v>214.95419999999999</v>
      </c>
      <c r="J3132">
        <v>-419.80279999999999</v>
      </c>
      <c r="K3132">
        <v>1.120581</v>
      </c>
      <c r="L3132">
        <v>215.0232</v>
      </c>
      <c r="M3132">
        <v>0.99977240000000001</v>
      </c>
      <c r="N3132">
        <v>-1.0962700000000001E-2</v>
      </c>
      <c r="O3132">
        <v>-1.8296099999999999E-2</v>
      </c>
      <c r="P3132">
        <v>0.98293640000000004</v>
      </c>
      <c r="Q3132">
        <v>0.1811429</v>
      </c>
      <c r="R3132">
        <v>-3.1987000000000002E-2</v>
      </c>
      <c r="S3132">
        <v>3.0868229999999999</v>
      </c>
      <c r="T3132">
        <v>-0.24732109999999999</v>
      </c>
      <c r="U3132">
        <v>-0.27882390000000001</v>
      </c>
      <c r="V3132">
        <v>1.406398E-2</v>
      </c>
      <c r="W3132">
        <v>0.19190760000000001</v>
      </c>
      <c r="X3132">
        <v>0.98131219999999997</v>
      </c>
      <c r="Y3132">
        <v>7.1507509999999996E-2</v>
      </c>
      <c r="Z3132">
        <v>-1.9874580000000001E-3</v>
      </c>
      <c r="AA3132">
        <v>0.99743809999999999</v>
      </c>
      <c r="AB3132">
        <v>29</v>
      </c>
      <c r="AC3132">
        <v>0.533299999999997</v>
      </c>
      <c r="AD3132">
        <v>-6.5701999999999899E-2</v>
      </c>
      <c r="AE3132">
        <v>-6.9000000000016798E-2</v>
      </c>
      <c r="AF3132">
        <v>5.83593578084435E-2</v>
      </c>
      <c r="AG3132">
        <v>-6.5701999999999899E-2</v>
      </c>
      <c r="AH3132">
        <v>0.52661192061638096</v>
      </c>
      <c r="AI3132">
        <v>97.068847110462698</v>
      </c>
      <c r="AJ3132">
        <v>83.676260652340403</v>
      </c>
      <c r="AK3132">
        <v>0.53389388681936401</v>
      </c>
      <c r="AL3132">
        <v>78.935869227383407</v>
      </c>
      <c r="AM3132">
        <v>89.178903989120599</v>
      </c>
      <c r="AN3132">
        <v>0.99999997817001895</v>
      </c>
    </row>
    <row r="3133" spans="1:40" x14ac:dyDescent="0.25">
      <c r="A3133" t="str">
        <f>"20190303162317641"</f>
        <v>20190303162317641</v>
      </c>
      <c r="B3133" t="str">
        <f>"1551601397627666"</f>
        <v>1551601397627666</v>
      </c>
      <c r="C3133" t="s">
        <v>40</v>
      </c>
      <c r="D3133">
        <v>5.1763859999999999</v>
      </c>
      <c r="E3133">
        <v>0.47982669999999999</v>
      </c>
      <c r="F3133" t="s">
        <v>47</v>
      </c>
      <c r="G3133">
        <v>-332.45659999999998</v>
      </c>
      <c r="H3133" s="1">
        <v>-2.7660199999999998E-7</v>
      </c>
      <c r="I3133">
        <v>215.6935</v>
      </c>
      <c r="J3133">
        <v>-419.51760000000002</v>
      </c>
      <c r="K3133">
        <v>1.120581</v>
      </c>
      <c r="L3133">
        <v>215.01779999999999</v>
      </c>
      <c r="M3133">
        <v>0.99976969999999998</v>
      </c>
      <c r="N3133">
        <v>-1.0964720000000001E-2</v>
      </c>
      <c r="O3133">
        <v>-1.845287E-2</v>
      </c>
      <c r="P3133">
        <v>0.98254450000000004</v>
      </c>
      <c r="Q3133">
        <v>0.18342410000000001</v>
      </c>
      <c r="R3133">
        <v>-3.1020570000000001E-2</v>
      </c>
      <c r="S3133">
        <v>3.0600890000000001</v>
      </c>
      <c r="T3133">
        <v>-3.9258479999999998E-2</v>
      </c>
      <c r="U3133">
        <v>2.3483279999999999E-2</v>
      </c>
      <c r="V3133">
        <v>1.2951539999999999E-2</v>
      </c>
      <c r="W3133">
        <v>0.19418659999999999</v>
      </c>
      <c r="X3133">
        <v>0.9808791</v>
      </c>
      <c r="Y3133">
        <v>-2.612194E-2</v>
      </c>
      <c r="Z3133">
        <v>3.4515839999999898E-4</v>
      </c>
      <c r="AA3133">
        <v>0.99965870000000001</v>
      </c>
      <c r="AB3133">
        <v>29</v>
      </c>
      <c r="AC3133">
        <v>87.061000000000007</v>
      </c>
      <c r="AD3133">
        <v>-1.120581276602</v>
      </c>
      <c r="AE3133">
        <v>0.67570000000000596</v>
      </c>
      <c r="AF3133">
        <v>-2.28182867794927</v>
      </c>
      <c r="AG3133">
        <v>-1.120581276602</v>
      </c>
      <c r="AH3133">
        <v>87.019289634507999</v>
      </c>
      <c r="AI3133">
        <v>90.737525794139898</v>
      </c>
      <c r="AJ3133">
        <v>91.502071556431204</v>
      </c>
      <c r="AK3133">
        <v>87.056413968227403</v>
      </c>
      <c r="AL3133">
        <v>78.802788972439998</v>
      </c>
      <c r="AM3133">
        <v>89.2435097667436</v>
      </c>
      <c r="AN3133">
        <v>0.99999999341237</v>
      </c>
    </row>
    <row r="3134" spans="1:40" x14ac:dyDescent="0.25">
      <c r="A3134" t="str">
        <f>"20190303162317664"</f>
        <v>20190303162317664</v>
      </c>
      <c r="B3134" t="str">
        <f>"1551601397657921"</f>
        <v>1551601397657921</v>
      </c>
      <c r="C3134" t="s">
        <v>40</v>
      </c>
      <c r="D3134">
        <v>5.0401850000000001</v>
      </c>
      <c r="E3134">
        <v>0.47730329999999899</v>
      </c>
      <c r="F3134" t="s">
        <v>51</v>
      </c>
      <c r="G3134">
        <v>-157.8382</v>
      </c>
      <c r="H3134">
        <v>2.809275</v>
      </c>
      <c r="I3134">
        <v>220.96180000000001</v>
      </c>
      <c r="J3134">
        <v>-419.20400000000001</v>
      </c>
      <c r="K3134">
        <v>1.1205909999999999</v>
      </c>
      <c r="L3134">
        <v>215.0119</v>
      </c>
      <c r="M3134">
        <v>0.9997665</v>
      </c>
      <c r="N3134">
        <v>-1.096689E-2</v>
      </c>
      <c r="O3134">
        <v>-1.8625249999999999E-2</v>
      </c>
      <c r="P3134">
        <v>0.981765</v>
      </c>
      <c r="Q3134">
        <v>0.18751580000000001</v>
      </c>
      <c r="R3134">
        <v>-3.1234250000000002E-2</v>
      </c>
      <c r="S3134">
        <v>3.0518190000000001</v>
      </c>
      <c r="T3134">
        <v>1.9694920000000001E-2</v>
      </c>
      <c r="U3134">
        <v>6.9320679999999996E-2</v>
      </c>
      <c r="V3134">
        <v>1.301153E-2</v>
      </c>
      <c r="W3134">
        <v>0.19827130000000001</v>
      </c>
      <c r="X3134">
        <v>0.98006079999999995</v>
      </c>
      <c r="Y3134">
        <v>-4.1324100000000002E-2</v>
      </c>
      <c r="Z3134">
        <v>-2.3110700000000001E-4</v>
      </c>
      <c r="AA3134">
        <v>0.99914570000000003</v>
      </c>
      <c r="AB3134">
        <v>29</v>
      </c>
      <c r="AC3134">
        <v>261.36579999999998</v>
      </c>
      <c r="AD3134">
        <v>1.6886840000000001</v>
      </c>
      <c r="AE3134">
        <v>5.9499000000000102</v>
      </c>
      <c r="AF3134">
        <v>-10.8167120560437</v>
      </c>
      <c r="AG3134">
        <v>1.6886840000000001</v>
      </c>
      <c r="AH3134">
        <v>261.198733744175</v>
      </c>
      <c r="AI3134">
        <v>89.629897653792995</v>
      </c>
      <c r="AJ3134">
        <v>92.371366911042898</v>
      </c>
      <c r="AK3134">
        <v>261.428061659256</v>
      </c>
      <c r="AL3134">
        <v>78.564112346332905</v>
      </c>
      <c r="AM3134">
        <v>89.239371722651398</v>
      </c>
      <c r="AN3134">
        <v>0.99999999000663498</v>
      </c>
    </row>
    <row r="3135" spans="1:40" x14ac:dyDescent="0.25">
      <c r="A3135" t="str">
        <f>"20190303162317687"</f>
        <v>20190303162317687</v>
      </c>
      <c r="B3135" t="str">
        <f>"1551601397677441"</f>
        <v>1551601397677441</v>
      </c>
      <c r="C3135" t="s">
        <v>40</v>
      </c>
      <c r="D3135">
        <v>5.0342599999999997</v>
      </c>
      <c r="E3135">
        <v>0.47709970000000002</v>
      </c>
      <c r="F3135" t="s">
        <v>51</v>
      </c>
      <c r="G3135">
        <v>-168.35059999999999</v>
      </c>
      <c r="H3135">
        <v>4.2583849999999996</v>
      </c>
      <c r="I3135">
        <v>222.29669999999999</v>
      </c>
      <c r="J3135">
        <v>-418.91230000000002</v>
      </c>
      <c r="K3135">
        <v>1.120598</v>
      </c>
      <c r="L3135">
        <v>215.00620000000001</v>
      </c>
      <c r="M3135">
        <v>0.99976339999999997</v>
      </c>
      <c r="N3135">
        <v>-1.096888E-2</v>
      </c>
      <c r="O3135">
        <v>-1.87856E-2</v>
      </c>
      <c r="P3135">
        <v>0.98134779999999999</v>
      </c>
      <c r="Q3135">
        <v>0.18948970000000001</v>
      </c>
      <c r="R3135">
        <v>-3.2407890000000002E-2</v>
      </c>
      <c r="S3135">
        <v>3.0512079999999999</v>
      </c>
      <c r="T3135">
        <v>3.8166640000000002E-2</v>
      </c>
      <c r="U3135">
        <v>8.8607790000000006E-2</v>
      </c>
      <c r="V3135">
        <v>1.403624E-2</v>
      </c>
      <c r="W3135">
        <v>0.2002427</v>
      </c>
      <c r="X3135">
        <v>0.97964580000000001</v>
      </c>
      <c r="Y3135">
        <v>-4.779605E-2</v>
      </c>
      <c r="Z3135">
        <v>-4.7758970000000002E-4</v>
      </c>
      <c r="AA3135">
        <v>0.99885699999999999</v>
      </c>
      <c r="AB3135">
        <v>29</v>
      </c>
      <c r="AC3135">
        <v>250.5617</v>
      </c>
      <c r="AD3135">
        <v>3.1377869999999901</v>
      </c>
      <c r="AE3135">
        <v>7.2904999999999802</v>
      </c>
      <c r="AF3135">
        <v>-11.994568752077599</v>
      </c>
      <c r="AG3135">
        <v>3.1377869999999901</v>
      </c>
      <c r="AH3135">
        <v>250.34128790587999</v>
      </c>
      <c r="AI3135">
        <v>89.282712934977994</v>
      </c>
      <c r="AJ3135">
        <v>92.743107263807104</v>
      </c>
      <c r="AK3135">
        <v>250.64811153723099</v>
      </c>
      <c r="AL3135">
        <v>78.448848460548504</v>
      </c>
      <c r="AM3135">
        <v>89.179129551746897</v>
      </c>
      <c r="AN3135">
        <v>1.0000000241971301</v>
      </c>
    </row>
    <row r="3136" spans="1:40" x14ac:dyDescent="0.25">
      <c r="A3136" t="str">
        <f>"20190303162317708"</f>
        <v>20190303162317708</v>
      </c>
      <c r="B3136" t="str">
        <f>"1551601397697941"</f>
        <v>1551601397697941</v>
      </c>
      <c r="C3136" t="s">
        <v>40</v>
      </c>
      <c r="D3136">
        <v>5.0310439999999996</v>
      </c>
      <c r="E3136">
        <v>0.47703410000000002</v>
      </c>
      <c r="F3136" t="s">
        <v>51</v>
      </c>
      <c r="G3136">
        <v>-168.35059999999999</v>
      </c>
      <c r="H3136">
        <v>4.3699779999999997</v>
      </c>
      <c r="I3136">
        <v>222.0598</v>
      </c>
      <c r="J3136">
        <v>-418.6386</v>
      </c>
      <c r="K3136">
        <v>1.1205889999999901</v>
      </c>
      <c r="L3136">
        <v>215.0009</v>
      </c>
      <c r="M3136">
        <v>0.99976069999999995</v>
      </c>
      <c r="N3136">
        <v>-1.097071E-2</v>
      </c>
      <c r="O3136">
        <v>-1.8936290000000001E-2</v>
      </c>
      <c r="P3136">
        <v>0.98142560000000001</v>
      </c>
      <c r="Q3136">
        <v>0.18906300000000001</v>
      </c>
      <c r="R3136">
        <v>-3.2546560000000002E-2</v>
      </c>
      <c r="S3136">
        <v>3.052216</v>
      </c>
      <c r="T3136">
        <v>3.9582970000000002E-2</v>
      </c>
      <c r="U3136">
        <v>8.5922239999999997E-2</v>
      </c>
      <c r="V3136">
        <v>1.4025330000000001E-2</v>
      </c>
      <c r="W3136">
        <v>0.19981850000000001</v>
      </c>
      <c r="X3136">
        <v>0.97973259999999995</v>
      </c>
      <c r="Y3136">
        <v>-4.705848E-2</v>
      </c>
      <c r="Z3136">
        <v>-5.0008759999999996E-4</v>
      </c>
      <c r="AA3136">
        <v>0.998892</v>
      </c>
      <c r="AB3136">
        <v>29</v>
      </c>
      <c r="AC3136">
        <v>250.28799999999899</v>
      </c>
      <c r="AD3136">
        <v>3.2493889999999999</v>
      </c>
      <c r="AE3136">
        <v>7.0588999999999897</v>
      </c>
      <c r="AF3136">
        <v>-11.795458067047999</v>
      </c>
      <c r="AG3136">
        <v>3.2493889999999999</v>
      </c>
      <c r="AH3136">
        <v>250.06732385072701</v>
      </c>
      <c r="AI3136">
        <v>89.256364001916694</v>
      </c>
      <c r="AJ3136">
        <v>92.7005903780137</v>
      </c>
      <c r="AK3136">
        <v>250.36644706858999</v>
      </c>
      <c r="AL3136">
        <v>78.473655033845702</v>
      </c>
      <c r="AM3136">
        <v>89.179840164606901</v>
      </c>
      <c r="AN3136">
        <v>1.0000000551632999</v>
      </c>
    </row>
    <row r="3137" spans="1:40" x14ac:dyDescent="0.25">
      <c r="A3137" t="str">
        <f>"20190303162317731"</f>
        <v>20190303162317731</v>
      </c>
      <c r="B3137" t="str">
        <f>"1551601397717457"</f>
        <v>1551601397717457</v>
      </c>
      <c r="C3137" t="s">
        <v>40</v>
      </c>
      <c r="D3137">
        <v>5.0827609999999996</v>
      </c>
      <c r="E3137">
        <v>0.4771552</v>
      </c>
      <c r="F3137" t="s">
        <v>51</v>
      </c>
      <c r="G3137">
        <v>-168.35059999999999</v>
      </c>
      <c r="H3137">
        <v>4.0212469999999998</v>
      </c>
      <c r="I3137">
        <v>222.0429</v>
      </c>
      <c r="J3137">
        <v>-418.34280000000001</v>
      </c>
      <c r="K3137">
        <v>1.1205780000000001</v>
      </c>
      <c r="L3137">
        <v>214.99520000000001</v>
      </c>
      <c r="M3137">
        <v>0.99975749999999997</v>
      </c>
      <c r="N3137">
        <v>-1.097265E-2</v>
      </c>
      <c r="O3137">
        <v>-1.9098899999999999E-2</v>
      </c>
      <c r="P3137">
        <v>0.98184669999999996</v>
      </c>
      <c r="Q3137">
        <v>0.1870609</v>
      </c>
      <c r="R3137">
        <v>-3.139082E-2</v>
      </c>
      <c r="S3137">
        <v>3.0527950000000001</v>
      </c>
      <c r="T3137">
        <v>3.538036E-2</v>
      </c>
      <c r="U3137">
        <v>8.5891720000000005E-2</v>
      </c>
      <c r="V3137">
        <v>1.2701469999999999E-2</v>
      </c>
      <c r="W3137">
        <v>0.19782350000000001</v>
      </c>
      <c r="X3137">
        <v>0.98015529999999995</v>
      </c>
      <c r="Y3137">
        <v>-4.7206640000000001E-2</v>
      </c>
      <c r="Z3137">
        <v>-4.4524910000000003E-4</v>
      </c>
      <c r="AA3137">
        <v>0.99888500000000002</v>
      </c>
      <c r="AB3137">
        <v>29</v>
      </c>
      <c r="AC3137">
        <v>249.9922</v>
      </c>
      <c r="AD3137">
        <v>2.9006690000000002</v>
      </c>
      <c r="AE3137">
        <v>7.0476999999999901</v>
      </c>
      <c r="AF3137">
        <v>-11.819687256510599</v>
      </c>
      <c r="AG3137">
        <v>2.9006690000000002</v>
      </c>
      <c r="AH3137">
        <v>249.77838329803501</v>
      </c>
      <c r="AI3137">
        <v>89.335399330688404</v>
      </c>
      <c r="AJ3137">
        <v>92.709255210579499</v>
      </c>
      <c r="AK3137">
        <v>250.074708138327</v>
      </c>
      <c r="AL3137">
        <v>78.590287272246101</v>
      </c>
      <c r="AM3137">
        <v>89.257566741547095</v>
      </c>
      <c r="AN3137">
        <v>0.99999993830524803</v>
      </c>
    </row>
    <row r="3138" spans="1:40" x14ac:dyDescent="0.25">
      <c r="A3138" t="str">
        <f>"20190303162317754"</f>
        <v>20190303162317754</v>
      </c>
      <c r="B3138" t="str">
        <f>"1551601397737953"</f>
        <v>1551601397737953</v>
      </c>
      <c r="C3138" t="s">
        <v>40</v>
      </c>
      <c r="D3138">
        <v>5.0950290000000003</v>
      </c>
      <c r="E3138">
        <v>0.47733029999999999</v>
      </c>
      <c r="F3138" t="s">
        <v>51</v>
      </c>
      <c r="G3138">
        <v>-168.35059999999999</v>
      </c>
      <c r="H3138">
        <v>3.1272720000000001</v>
      </c>
      <c r="I3138">
        <v>222.2568</v>
      </c>
      <c r="J3138">
        <v>-418.03539999999998</v>
      </c>
      <c r="K3138">
        <v>1.12056</v>
      </c>
      <c r="L3138">
        <v>214.98910000000001</v>
      </c>
      <c r="M3138">
        <v>0.99975429999999998</v>
      </c>
      <c r="N3138">
        <v>-1.097469E-2</v>
      </c>
      <c r="O3138">
        <v>-1.9268179999999999E-2</v>
      </c>
      <c r="P3138">
        <v>0.98221539999999996</v>
      </c>
      <c r="Q3138">
        <v>0.1854191</v>
      </c>
      <c r="R3138">
        <v>-2.9542499999999999E-2</v>
      </c>
      <c r="S3138">
        <v>3.0536189999999999</v>
      </c>
      <c r="T3138">
        <v>2.451217E-2</v>
      </c>
      <c r="U3138">
        <v>8.8699340000000002E-2</v>
      </c>
      <c r="V3138">
        <v>1.067954E-2</v>
      </c>
      <c r="W3138">
        <v>0.1961878</v>
      </c>
      <c r="X3138">
        <v>0.98050820000000005</v>
      </c>
      <c r="Y3138">
        <v>-4.8287950000000003E-2</v>
      </c>
      <c r="Z3138">
        <v>-2.9478080000000002E-4</v>
      </c>
      <c r="AA3138">
        <v>0.99883339999999998</v>
      </c>
      <c r="AB3138">
        <v>29</v>
      </c>
      <c r="AC3138">
        <v>249.6848</v>
      </c>
      <c r="AD3138">
        <v>2.0067119999999998</v>
      </c>
      <c r="AE3138">
        <v>7.2676999999999898</v>
      </c>
      <c r="AF3138">
        <v>-12.0768317192161</v>
      </c>
      <c r="AG3138">
        <v>2.0067119999999998</v>
      </c>
      <c r="AH3138">
        <v>249.482295851738</v>
      </c>
      <c r="AI3138">
        <v>89.539690052800296</v>
      </c>
      <c r="AJ3138">
        <v>92.7713860898196</v>
      </c>
      <c r="AK3138">
        <v>249.78249078123801</v>
      </c>
      <c r="AL3138">
        <v>78.685880289247194</v>
      </c>
      <c r="AM3138">
        <v>89.375968121286405</v>
      </c>
      <c r="AN3138">
        <v>1.0000000178553401</v>
      </c>
    </row>
    <row r="3139" spans="1:40" x14ac:dyDescent="0.25">
      <c r="A3139" t="str">
        <f>"20190303162317776"</f>
        <v>20190303162317776</v>
      </c>
      <c r="B3139" t="str">
        <f>"1551601397768209"</f>
        <v>1551601397768209</v>
      </c>
      <c r="C3139" t="s">
        <v>40</v>
      </c>
      <c r="D3139">
        <v>5.0951849999999999</v>
      </c>
      <c r="E3139">
        <v>0.4774756</v>
      </c>
      <c r="F3139" t="s">
        <v>51</v>
      </c>
      <c r="G3139">
        <v>-168.35059999999999</v>
      </c>
      <c r="H3139">
        <v>2.1789809999999998</v>
      </c>
      <c r="I3139">
        <v>222.57470000000001</v>
      </c>
      <c r="J3139">
        <v>-417.74470000000002</v>
      </c>
      <c r="K3139">
        <v>1.1205540000000001</v>
      </c>
      <c r="L3139">
        <v>214.98339999999999</v>
      </c>
      <c r="M3139">
        <v>0.9997511</v>
      </c>
      <c r="N3139">
        <v>-1.0976619999999999E-2</v>
      </c>
      <c r="O3139">
        <v>-1.9428170000000002E-2</v>
      </c>
      <c r="P3139">
        <v>0.98243259999999999</v>
      </c>
      <c r="Q3139">
        <v>0.1844614</v>
      </c>
      <c r="R3139">
        <v>-2.8291400000000001E-2</v>
      </c>
      <c r="S3139">
        <v>3.0547179999999998</v>
      </c>
      <c r="T3139">
        <v>1.294971E-2</v>
      </c>
      <c r="U3139">
        <v>9.2803960000000005E-2</v>
      </c>
      <c r="V3139">
        <v>9.2667949999999995E-3</v>
      </c>
      <c r="W3139">
        <v>0.19523470000000001</v>
      </c>
      <c r="X3139">
        <v>0.98071280000000005</v>
      </c>
      <c r="Y3139">
        <v>-4.9779629999999998E-2</v>
      </c>
      <c r="Z3139">
        <v>-1.2776129999999999E-4</v>
      </c>
      <c r="AA3139">
        <v>0.99876019999999999</v>
      </c>
      <c r="AB3139">
        <v>29</v>
      </c>
      <c r="AC3139">
        <v>249.39410000000001</v>
      </c>
      <c r="AD3139">
        <v>1.058427</v>
      </c>
      <c r="AE3139">
        <v>7.5913000000000102</v>
      </c>
      <c r="AF3139">
        <v>-12.4352056437613</v>
      </c>
      <c r="AG3139">
        <v>1.058427</v>
      </c>
      <c r="AH3139">
        <v>249.19504436514001</v>
      </c>
      <c r="AI3139">
        <v>89.756946725310399</v>
      </c>
      <c r="AJ3139">
        <v>92.856775440247006</v>
      </c>
      <c r="AK3139">
        <v>249.50736410627499</v>
      </c>
      <c r="AL3139">
        <v>78.741565893219999</v>
      </c>
      <c r="AM3139">
        <v>89.458625968614996</v>
      </c>
      <c r="AN3139">
        <v>1.0000000288287501</v>
      </c>
    </row>
    <row r="3140" spans="1:40" x14ac:dyDescent="0.25">
      <c r="A3140" t="str">
        <f>"20190303162317798"</f>
        <v>20190303162317798</v>
      </c>
      <c r="B3140" t="str">
        <f>"1551601397787730"</f>
        <v>1551601397787730</v>
      </c>
      <c r="C3140" t="s">
        <v>40</v>
      </c>
      <c r="D3140">
        <v>5.0928440000000004</v>
      </c>
      <c r="E3140">
        <v>0.47768909999999998</v>
      </c>
      <c r="F3140" t="s">
        <v>51</v>
      </c>
      <c r="G3140">
        <v>-168.35059999999999</v>
      </c>
      <c r="H3140">
        <v>1.4493480000000001</v>
      </c>
      <c r="I3140">
        <v>222.7122</v>
      </c>
      <c r="J3140">
        <v>-417.46129999999999</v>
      </c>
      <c r="K3140">
        <v>1.1205529999999999</v>
      </c>
      <c r="L3140">
        <v>214.9777</v>
      </c>
      <c r="M3140">
        <v>0.99974799999999997</v>
      </c>
      <c r="N3140">
        <v>-1.0978480000000001E-2</v>
      </c>
      <c r="O3140">
        <v>-1.9583980000000001E-2</v>
      </c>
      <c r="P3140">
        <v>0.98265069999999999</v>
      </c>
      <c r="Q3140">
        <v>0.1834962</v>
      </c>
      <c r="R3140">
        <v>-2.6965570000000001E-2</v>
      </c>
      <c r="S3140">
        <v>3.055634</v>
      </c>
      <c r="T3140">
        <v>4.0291550000000004E-3</v>
      </c>
      <c r="U3140">
        <v>9.4696039999999995E-2</v>
      </c>
      <c r="V3140">
        <v>7.7835059999999999E-3</v>
      </c>
      <c r="W3140">
        <v>0.19427449999999999</v>
      </c>
      <c r="X3140">
        <v>0.98091629999999996</v>
      </c>
      <c r="Y3140">
        <v>-5.0544440000000003E-2</v>
      </c>
      <c r="Z3140" s="1">
        <v>3.4404219999999999E-6</v>
      </c>
      <c r="AA3140">
        <v>0.99872179999999999</v>
      </c>
      <c r="AB3140">
        <v>29</v>
      </c>
      <c r="AC3140">
        <v>249.11070000000001</v>
      </c>
      <c r="AD3140">
        <v>0.328794999999999</v>
      </c>
      <c r="AE3140">
        <v>7.7344999999999899</v>
      </c>
      <c r="AF3140">
        <v>-12.6118672082034</v>
      </c>
      <c r="AG3140">
        <v>0.328794999999999</v>
      </c>
      <c r="AH3140">
        <v>248.91100405269901</v>
      </c>
      <c r="AI3140">
        <v>89.9244130662114</v>
      </c>
      <c r="AJ3140">
        <v>92.900592290585607</v>
      </c>
      <c r="AK3140">
        <v>249.23052629875099</v>
      </c>
      <c r="AL3140">
        <v>78.797654701601104</v>
      </c>
      <c r="AM3140">
        <v>89.545371318389201</v>
      </c>
      <c r="AN3140">
        <v>0.99999997596079504</v>
      </c>
    </row>
    <row r="3141" spans="1:40" x14ac:dyDescent="0.25">
      <c r="A3141" t="str">
        <f>"20190303162317822"</f>
        <v>20190303162317822</v>
      </c>
      <c r="B3141" t="str">
        <f>"1551601397808225"</f>
        <v>1551601397808225</v>
      </c>
      <c r="C3141" t="s">
        <v>40</v>
      </c>
      <c r="D3141">
        <v>5.0924420000000001</v>
      </c>
      <c r="E3141">
        <v>0.47782619999999998</v>
      </c>
      <c r="F3141" t="s">
        <v>51</v>
      </c>
      <c r="G3141">
        <v>-168.35059999999999</v>
      </c>
      <c r="H3141">
        <v>1.0374840000000001</v>
      </c>
      <c r="I3141">
        <v>222.87530000000001</v>
      </c>
      <c r="J3141">
        <v>-417.13889999999998</v>
      </c>
      <c r="K3141">
        <v>1.120547</v>
      </c>
      <c r="L3141">
        <v>214.97120000000001</v>
      </c>
      <c r="M3141">
        <v>0.99974450000000004</v>
      </c>
      <c r="N3141">
        <v>-1.098062E-2</v>
      </c>
      <c r="O3141">
        <v>-1.9759820000000001E-2</v>
      </c>
      <c r="P3141">
        <v>0.9826182</v>
      </c>
      <c r="Q3141">
        <v>0.1838803</v>
      </c>
      <c r="R3141">
        <v>-2.5490510000000001E-2</v>
      </c>
      <c r="S3141">
        <v>3.0557859999999999</v>
      </c>
      <c r="T3141">
        <v>-1.018286E-3</v>
      </c>
      <c r="U3141">
        <v>9.6878049999999993E-2</v>
      </c>
      <c r="V3141">
        <v>6.1365450000000002E-3</v>
      </c>
      <c r="W3141">
        <v>0.19466040000000001</v>
      </c>
      <c r="X3141">
        <v>0.98085149999999999</v>
      </c>
      <c r="Y3141">
        <v>-5.143093E-2</v>
      </c>
      <c r="Z3141" s="1">
        <v>8.0680649999999998E-5</v>
      </c>
      <c r="AA3141">
        <v>0.99867649999999997</v>
      </c>
      <c r="AB3141">
        <v>29</v>
      </c>
      <c r="AC3141">
        <v>248.78829999999999</v>
      </c>
      <c r="AD3141">
        <v>-8.3062999999999804E-2</v>
      </c>
      <c r="AE3141">
        <v>7.9040999999999997</v>
      </c>
      <c r="AF3141">
        <v>-12.818863359896801</v>
      </c>
      <c r="AG3141">
        <v>-8.3062999999999804E-2</v>
      </c>
      <c r="AH3141">
        <v>248.58349896350401</v>
      </c>
      <c r="AI3141">
        <v>90.019119708030104</v>
      </c>
      <c r="AJ3141">
        <v>92.951993080858301</v>
      </c>
      <c r="AK3141">
        <v>248.91381262244201</v>
      </c>
      <c r="AL3141">
        <v>78.775114169885697</v>
      </c>
      <c r="AM3141">
        <v>89.641542535236297</v>
      </c>
      <c r="AN3141">
        <v>0.99999999678247298</v>
      </c>
    </row>
    <row r="3142" spans="1:40" x14ac:dyDescent="0.25">
      <c r="A3142" t="str">
        <f>"20190303162317842"</f>
        <v>20190303162317842</v>
      </c>
      <c r="B3142" t="str">
        <f>"1551601397827746"</f>
        <v>1551601397827746</v>
      </c>
      <c r="C3142" t="s">
        <v>40</v>
      </c>
      <c r="D3142">
        <v>5.0880280000000004</v>
      </c>
      <c r="E3142">
        <v>0.47800730000000002</v>
      </c>
      <c r="F3142" t="s">
        <v>51</v>
      </c>
      <c r="G3142">
        <v>-168.35059999999999</v>
      </c>
      <c r="H3142">
        <v>1.0487770000000001</v>
      </c>
      <c r="I3142">
        <v>223.14920000000001</v>
      </c>
      <c r="J3142">
        <v>-416.8802</v>
      </c>
      <c r="K3142">
        <v>1.120544</v>
      </c>
      <c r="L3142">
        <v>214.96600000000001</v>
      </c>
      <c r="M3142">
        <v>0.99974189999999996</v>
      </c>
      <c r="N3142">
        <v>-1.098229E-2</v>
      </c>
      <c r="O3142">
        <v>-1.989904E-2</v>
      </c>
      <c r="P3142">
        <v>0.98276490000000005</v>
      </c>
      <c r="Q3142">
        <v>0.18333250000000001</v>
      </c>
      <c r="R3142">
        <v>-2.372235E-2</v>
      </c>
      <c r="S3142">
        <v>3.055847</v>
      </c>
      <c r="T3142">
        <v>-8.8083740000000001E-4</v>
      </c>
      <c r="U3142">
        <v>0.1004486</v>
      </c>
      <c r="V3142">
        <v>4.2282159999999999E-3</v>
      </c>
      <c r="W3142">
        <v>0.19411600000000001</v>
      </c>
      <c r="X3142">
        <v>0.98096950000000005</v>
      </c>
      <c r="Y3142">
        <v>-5.2734980000000001E-2</v>
      </c>
      <c r="Z3142" s="1">
        <v>8.4517549999999894E-5</v>
      </c>
      <c r="AA3142">
        <v>0.99860850000000001</v>
      </c>
      <c r="AB3142">
        <v>29</v>
      </c>
      <c r="AC3142">
        <v>248.52959999999999</v>
      </c>
      <c r="AD3142">
        <v>-7.17669999999999E-2</v>
      </c>
      <c r="AE3142">
        <v>8.1832000000000207</v>
      </c>
      <c r="AF3142">
        <v>-13.1273760011657</v>
      </c>
      <c r="AG3142">
        <v>-7.17669999999999E-2</v>
      </c>
      <c r="AH3142">
        <v>248.31751556569799</v>
      </c>
      <c r="AI3142">
        <v>90.016536135978896</v>
      </c>
      <c r="AJ3142">
        <v>93.026140667781306</v>
      </c>
      <c r="AK3142">
        <v>248.66427505353201</v>
      </c>
      <c r="AL3142">
        <v>78.806912929277004</v>
      </c>
      <c r="AM3142">
        <v>89.753042850524295</v>
      </c>
      <c r="AN3142">
        <v>1.00000002959839</v>
      </c>
    </row>
    <row r="3143" spans="1:40" x14ac:dyDescent="0.25">
      <c r="A3143" t="str">
        <f>"20190303162317865"</f>
        <v>20190303162317865</v>
      </c>
      <c r="B3143" t="str">
        <f>"1551601397858001"</f>
        <v>1551601397858001</v>
      </c>
      <c r="C3143" t="s">
        <v>40</v>
      </c>
      <c r="D3143">
        <v>5.1384660000000002</v>
      </c>
      <c r="E3143">
        <v>0.47823320000000002</v>
      </c>
      <c r="F3143" t="s">
        <v>51</v>
      </c>
      <c r="G3143">
        <v>-168.35059999999999</v>
      </c>
      <c r="H3143">
        <v>0.759723699999999</v>
      </c>
      <c r="I3143">
        <v>223.44030000000001</v>
      </c>
      <c r="J3143">
        <v>-416.57780000000002</v>
      </c>
      <c r="K3143">
        <v>1.120539</v>
      </c>
      <c r="L3143">
        <v>214.9598</v>
      </c>
      <c r="M3143">
        <v>0.99973860000000003</v>
      </c>
      <c r="N3143">
        <v>-1.0984229999999999E-2</v>
      </c>
      <c r="O3143">
        <v>-2.0057080000000001E-2</v>
      </c>
      <c r="P3143">
        <v>0.98307940000000005</v>
      </c>
      <c r="Q3143">
        <v>0.18182789999999999</v>
      </c>
      <c r="R3143">
        <v>-2.2221959999999999E-2</v>
      </c>
      <c r="S3143">
        <v>3.0559690000000002</v>
      </c>
      <c r="T3143">
        <v>-4.4360160000000001E-3</v>
      </c>
      <c r="U3143">
        <v>0.1042023</v>
      </c>
      <c r="V3143">
        <v>2.5645949999999998E-3</v>
      </c>
      <c r="W3143">
        <v>0.19261700000000001</v>
      </c>
      <c r="X3143">
        <v>0.98127070000000005</v>
      </c>
      <c r="Y3143">
        <v>-5.4116520000000001E-2</v>
      </c>
      <c r="Z3143">
        <v>1.4543689999999999E-4</v>
      </c>
      <c r="AA3143">
        <v>0.99853460000000005</v>
      </c>
      <c r="AB3143">
        <v>29</v>
      </c>
      <c r="AC3143">
        <v>248.22720000000001</v>
      </c>
      <c r="AD3143">
        <v>-0.36081530000000001</v>
      </c>
      <c r="AE3143">
        <v>8.4804999999999993</v>
      </c>
      <c r="AF3143">
        <v>-13.4577780931797</v>
      </c>
      <c r="AG3143">
        <v>-0.36081530000000001</v>
      </c>
      <c r="AH3143">
        <v>248.006632037023</v>
      </c>
      <c r="AI3143">
        <v>90.083234909987098</v>
      </c>
      <c r="AJ3143">
        <v>93.106039505353394</v>
      </c>
      <c r="AK3143">
        <v>248.37176070003099</v>
      </c>
      <c r="AL3143">
        <v>78.894451534424704</v>
      </c>
      <c r="AM3143">
        <v>89.8502552505674</v>
      </c>
      <c r="AN3143">
        <v>1.0000000362574999</v>
      </c>
    </row>
    <row r="3144" spans="1:40" x14ac:dyDescent="0.25">
      <c r="A3144" t="str">
        <f>"20190303162317887"</f>
        <v>20190303162317887</v>
      </c>
      <c r="B3144" t="str">
        <f>"1551601397877521"</f>
        <v>1551601397877521</v>
      </c>
      <c r="C3144" t="s">
        <v>40</v>
      </c>
      <c r="D3144">
        <v>5.1946000000000003</v>
      </c>
      <c r="E3144">
        <v>0.49017620000000001</v>
      </c>
      <c r="F3144" t="s">
        <v>51</v>
      </c>
      <c r="G3144">
        <v>-168.35059999999999</v>
      </c>
      <c r="H3144">
        <v>0.3167295</v>
      </c>
      <c r="I3144">
        <v>223.5976</v>
      </c>
      <c r="J3144">
        <v>-416.2919</v>
      </c>
      <c r="K3144">
        <v>1.1205339999999999</v>
      </c>
      <c r="L3144">
        <v>214.9539</v>
      </c>
      <c r="M3144">
        <v>0.99973579999999995</v>
      </c>
      <c r="N3144">
        <v>-1.0986030000000001E-2</v>
      </c>
      <c r="O3144">
        <v>-2.0196249999999999E-2</v>
      </c>
      <c r="P3144">
        <v>0.98358950000000001</v>
      </c>
      <c r="Q3144">
        <v>0.1791267</v>
      </c>
      <c r="R3144">
        <v>-2.1578360000000001E-2</v>
      </c>
      <c r="S3144">
        <v>3.0558779999999999</v>
      </c>
      <c r="T3144">
        <v>-9.8948479999999995E-3</v>
      </c>
      <c r="U3144">
        <v>0.1063385</v>
      </c>
      <c r="V3144">
        <v>1.7704470000000001E-3</v>
      </c>
      <c r="W3144">
        <v>0.18992400000000001</v>
      </c>
      <c r="X3144">
        <v>0.98179720000000004</v>
      </c>
      <c r="Y3144">
        <v>-5.4953259999999997E-2</v>
      </c>
      <c r="Z3144">
        <v>2.344724E-4</v>
      </c>
      <c r="AA3144">
        <v>0.99848890000000001</v>
      </c>
      <c r="AB3144">
        <v>29</v>
      </c>
      <c r="AC3144">
        <v>247.94130000000001</v>
      </c>
      <c r="AD3144">
        <v>-0.80380449999999903</v>
      </c>
      <c r="AE3144">
        <v>8.6436999999999902</v>
      </c>
      <c r="AF3144">
        <v>-13.6495795540666</v>
      </c>
      <c r="AG3144">
        <v>-0.80380449999999903</v>
      </c>
      <c r="AH3144">
        <v>247.71354139484399</v>
      </c>
      <c r="AI3144">
        <v>90.185636546782902</v>
      </c>
      <c r="AJ3144">
        <v>93.153938290965698</v>
      </c>
      <c r="AK3144">
        <v>248.09061996385901</v>
      </c>
      <c r="AL3144">
        <v>79.051651051761098</v>
      </c>
      <c r="AM3144">
        <v>89.896680260445905</v>
      </c>
      <c r="AN3144">
        <v>1.0000000010932</v>
      </c>
    </row>
    <row r="3145" spans="1:40" x14ac:dyDescent="0.25">
      <c r="A3145" t="str">
        <f>"20190303162317908"</f>
        <v>20190303162317908</v>
      </c>
      <c r="B3145" t="str">
        <f>"1551601397898017"</f>
        <v>1551601397898017</v>
      </c>
      <c r="C3145" t="s">
        <v>40</v>
      </c>
      <c r="D3145">
        <v>5.1942180000000002</v>
      </c>
      <c r="E3145">
        <v>0.49124879999999999</v>
      </c>
      <c r="F3145" t="s">
        <v>47</v>
      </c>
      <c r="G3145">
        <v>-361.31700000000001</v>
      </c>
      <c r="H3145" s="1">
        <v>-8.3594319999999896E-7</v>
      </c>
      <c r="I3145">
        <v>215.18539999999999</v>
      </c>
      <c r="J3145">
        <v>-415.99970000000002</v>
      </c>
      <c r="K3145">
        <v>1.1205259999999999</v>
      </c>
      <c r="L3145">
        <v>214.9479</v>
      </c>
      <c r="M3145">
        <v>0.99973310000000004</v>
      </c>
      <c r="N3145">
        <v>-1.0987759999999999E-2</v>
      </c>
      <c r="O3145">
        <v>-2.032751E-2</v>
      </c>
      <c r="P3145">
        <v>0.98397029999999996</v>
      </c>
      <c r="Q3145">
        <v>0.17702609999999999</v>
      </c>
      <c r="R3145">
        <v>-2.15471E-2</v>
      </c>
      <c r="S3145">
        <v>3.0617369999999999</v>
      </c>
      <c r="T3145">
        <v>-6.2406419999999997E-2</v>
      </c>
      <c r="U3145">
        <v>1.2893679999999999E-2</v>
      </c>
      <c r="V3145">
        <v>1.5979550000000001E-3</v>
      </c>
      <c r="W3145">
        <v>0.187829</v>
      </c>
      <c r="X3145">
        <v>0.98220039999999997</v>
      </c>
      <c r="Y3145">
        <v>-2.4530139999999999E-2</v>
      </c>
      <c r="Z3145">
        <v>5.7566919999999997E-4</v>
      </c>
      <c r="AA3145">
        <v>0.99969889999999995</v>
      </c>
      <c r="AB3145">
        <v>29</v>
      </c>
      <c r="AC3145">
        <v>54.682699999999997</v>
      </c>
      <c r="AD3145">
        <v>-1.1205268359431999</v>
      </c>
      <c r="AE3145">
        <v>0.237499999999982</v>
      </c>
      <c r="AF3145">
        <v>-1.3485148120853001</v>
      </c>
      <c r="AG3145">
        <v>-1.1205268359431999</v>
      </c>
      <c r="AH3145">
        <v>54.643627380479302</v>
      </c>
      <c r="AI3145">
        <v>91.174389990109006</v>
      </c>
      <c r="AJ3145">
        <v>91.413678622666495</v>
      </c>
      <c r="AK3145">
        <v>54.671748516808499</v>
      </c>
      <c r="AL3145">
        <v>79.173885366154295</v>
      </c>
      <c r="AM3145">
        <v>89.906784810336404</v>
      </c>
      <c r="AN3145">
        <v>0.99999995623066995</v>
      </c>
    </row>
    <row r="3146" spans="1:40" x14ac:dyDescent="0.25">
      <c r="A3146" t="str">
        <f>"20190303162317932"</f>
        <v>20190303162317932</v>
      </c>
      <c r="B3146" t="str">
        <f>"1551601397917537"</f>
        <v>1551601397917537</v>
      </c>
      <c r="C3146" t="s">
        <v>40</v>
      </c>
      <c r="D3146">
        <v>5.1338559999999998</v>
      </c>
      <c r="E3146">
        <v>0.4914791</v>
      </c>
      <c r="F3146" t="s">
        <v>47</v>
      </c>
      <c r="G3146">
        <v>-367.23649999999998</v>
      </c>
      <c r="H3146" s="1">
        <v>2.3141040000000001E-6</v>
      </c>
      <c r="I3146">
        <v>215.0206</v>
      </c>
      <c r="J3146">
        <v>-415.69990000000001</v>
      </c>
      <c r="K3146">
        <v>1.1205270000000001</v>
      </c>
      <c r="L3146">
        <v>214.9417</v>
      </c>
      <c r="M3146">
        <v>0.99973080000000003</v>
      </c>
      <c r="N3146">
        <v>-1.098966E-2</v>
      </c>
      <c r="O3146">
        <v>-2.044261E-2</v>
      </c>
      <c r="P3146">
        <v>0.98436920000000006</v>
      </c>
      <c r="Q3146">
        <v>0.1748779</v>
      </c>
      <c r="R3146">
        <v>-2.0863530000000002E-2</v>
      </c>
      <c r="S3146">
        <v>3.0616150000000002</v>
      </c>
      <c r="T3146">
        <v>-7.0352440000000002E-2</v>
      </c>
      <c r="U3146">
        <v>4.5623779999999997E-3</v>
      </c>
      <c r="V3146">
        <v>7.8651709999999996E-4</v>
      </c>
      <c r="W3146">
        <v>0.1856872</v>
      </c>
      <c r="X3146">
        <v>0.98260860000000005</v>
      </c>
      <c r="Y3146">
        <v>-2.1923669999999999E-2</v>
      </c>
      <c r="Z3146">
        <v>6.1735469999999999E-4</v>
      </c>
      <c r="AA3146">
        <v>0.99975939999999996</v>
      </c>
      <c r="AB3146">
        <v>29</v>
      </c>
      <c r="AC3146">
        <v>48.4634</v>
      </c>
      <c r="AD3146">
        <v>-1.1205246858960001</v>
      </c>
      <c r="AE3146">
        <v>7.8900000000004397E-2</v>
      </c>
      <c r="AF3146">
        <v>-1.0690900399340999</v>
      </c>
      <c r="AG3146">
        <v>-1.1205246858960001</v>
      </c>
      <c r="AH3146">
        <v>48.425770745557898</v>
      </c>
      <c r="AI3146">
        <v>91.325208634051194</v>
      </c>
      <c r="AJ3146">
        <v>91.264706738053206</v>
      </c>
      <c r="AK3146">
        <v>48.450529423180903</v>
      </c>
      <c r="AL3146">
        <v>79.298799801271798</v>
      </c>
      <c r="AM3146">
        <v>89.954138300111893</v>
      </c>
      <c r="AN3146">
        <v>1.0000000078234701</v>
      </c>
    </row>
    <row r="3147" spans="1:40" x14ac:dyDescent="0.25">
      <c r="A3147" t="str">
        <f>"20190303162317967"</f>
        <v>20190303162317967</v>
      </c>
      <c r="B3147" t="str">
        <f>"1551601397957556"</f>
        <v>1551601397957556</v>
      </c>
      <c r="C3147" t="s">
        <v>40</v>
      </c>
      <c r="D3147">
        <v>5.1389740000000002</v>
      </c>
      <c r="E3147">
        <v>0.49105880000000002</v>
      </c>
      <c r="F3147" t="s">
        <v>47</v>
      </c>
      <c r="G3147">
        <v>-366.75330000000002</v>
      </c>
      <c r="H3147" s="1">
        <v>2.0569900000000001E-6</v>
      </c>
      <c r="I3147">
        <v>215.0249</v>
      </c>
      <c r="J3147">
        <v>-415.23649999999998</v>
      </c>
      <c r="K3147">
        <v>1.1205480000000001</v>
      </c>
      <c r="L3147">
        <v>214.93209999999999</v>
      </c>
      <c r="M3147">
        <v>0.99972810000000001</v>
      </c>
      <c r="N3147">
        <v>-1.099263E-2</v>
      </c>
      <c r="O3147">
        <v>-2.056258E-2</v>
      </c>
      <c r="P3147">
        <v>0.98468540000000004</v>
      </c>
      <c r="Q3147">
        <v>0.1733826</v>
      </c>
      <c r="R3147">
        <v>-1.8258679999999999E-2</v>
      </c>
      <c r="S3147">
        <v>3.060181</v>
      </c>
      <c r="T3147">
        <v>-7.0056199999999999E-2</v>
      </c>
      <c r="U3147">
        <v>5.2032470000000003E-3</v>
      </c>
      <c r="V3147">
        <v>-1.9574950000000001E-3</v>
      </c>
      <c r="W3147">
        <v>0.18419849999999999</v>
      </c>
      <c r="X3147">
        <v>0.98288710000000001</v>
      </c>
      <c r="Y3147">
        <v>-2.2253660000000001E-2</v>
      </c>
      <c r="Z3147">
        <v>6.2164350000000002E-4</v>
      </c>
      <c r="AA3147">
        <v>0.99975219999999998</v>
      </c>
      <c r="AB3147">
        <v>29</v>
      </c>
      <c r="AC3147">
        <v>48.483199999999897</v>
      </c>
      <c r="AD3147">
        <v>-1.12054594300999</v>
      </c>
      <c r="AE3147">
        <v>9.2800000000011096E-2</v>
      </c>
      <c r="AF3147">
        <v>-1.08919851761349</v>
      </c>
      <c r="AG3147">
        <v>-1.12054594300999</v>
      </c>
      <c r="AH3147">
        <v>48.445161832169802</v>
      </c>
      <c r="AI3147">
        <v>91.324691524855794</v>
      </c>
      <c r="AJ3147">
        <v>91.287971050960394</v>
      </c>
      <c r="AK3147">
        <v>48.470358793455297</v>
      </c>
      <c r="AL3147">
        <v>79.385593044714398</v>
      </c>
      <c r="AM3147">
        <v>90.114108785875501</v>
      </c>
      <c r="AN3147">
        <v>0.99999998526766698</v>
      </c>
    </row>
    <row r="3148" spans="1:40" x14ac:dyDescent="0.25">
      <c r="A3148" t="str">
        <f>"20190303162317989"</f>
        <v>20190303162317989</v>
      </c>
      <c r="B3148" t="str">
        <f>"1551601397978050"</f>
        <v>1551601397978050</v>
      </c>
      <c r="C3148" t="s">
        <v>40</v>
      </c>
      <c r="D3148">
        <v>4.8551719999999996</v>
      </c>
      <c r="E3148">
        <v>0.49063610000000002</v>
      </c>
      <c r="F3148" t="s">
        <v>47</v>
      </c>
      <c r="G3148">
        <v>-361.37060000000002</v>
      </c>
      <c r="H3148" s="1">
        <v>-8.0740240000000001E-7</v>
      </c>
      <c r="I3148">
        <v>215.21619999999999</v>
      </c>
      <c r="J3148">
        <v>-414.94310000000002</v>
      </c>
      <c r="K3148">
        <v>1.1205620000000001</v>
      </c>
      <c r="L3148">
        <v>214.92599999999999</v>
      </c>
      <c r="M3148">
        <v>0.99972740000000004</v>
      </c>
      <c r="N3148">
        <v>-1.0994510000000001E-2</v>
      </c>
      <c r="O3148">
        <v>-2.0601620000000001E-2</v>
      </c>
      <c r="P3148">
        <v>0.98506830000000001</v>
      </c>
      <c r="Q3148">
        <v>0.17145279999999999</v>
      </c>
      <c r="R3148">
        <v>-1.5640979999999999E-2</v>
      </c>
      <c r="S3148">
        <v>3.0581360000000002</v>
      </c>
      <c r="T3148">
        <v>-6.3617110000000004E-2</v>
      </c>
      <c r="U3148">
        <v>1.612854E-2</v>
      </c>
      <c r="V3148">
        <v>-4.6315710000000001E-3</v>
      </c>
      <c r="W3148">
        <v>0.18227470000000001</v>
      </c>
      <c r="X3148">
        <v>0.98323669999999996</v>
      </c>
      <c r="Y3148">
        <v>-2.5865820000000001E-2</v>
      </c>
      <c r="Z3148">
        <v>6.1321990000000001E-4</v>
      </c>
      <c r="AA3148">
        <v>0.99966529999999998</v>
      </c>
      <c r="AB3148">
        <v>30</v>
      </c>
      <c r="AC3148">
        <v>53.572499999999899</v>
      </c>
      <c r="AD3148">
        <v>-1.1205628074023899</v>
      </c>
      <c r="AE3148">
        <v>0.29019999999999802</v>
      </c>
      <c r="AF3148">
        <v>-1.3932757466868799</v>
      </c>
      <c r="AG3148">
        <v>-1.1205628074023899</v>
      </c>
      <c r="AH3148">
        <v>53.531729656894498</v>
      </c>
      <c r="AI3148">
        <v>91.198773501565199</v>
      </c>
      <c r="AJ3148">
        <v>91.490906462464906</v>
      </c>
      <c r="AK3148">
        <v>53.561580992073701</v>
      </c>
      <c r="AL3148">
        <v>79.497716839265806</v>
      </c>
      <c r="AM3148">
        <v>90.269891785027696</v>
      </c>
      <c r="AN3148">
        <v>0.99999996296845295</v>
      </c>
    </row>
    <row r="3149" spans="1:40" x14ac:dyDescent="0.25">
      <c r="A3149" t="str">
        <f>"20190303162318009"</f>
        <v>20190303162318009</v>
      </c>
      <c r="B3149" t="str">
        <f>"1551601397997570"</f>
        <v>1551601397997570</v>
      </c>
      <c r="C3149" t="s">
        <v>40</v>
      </c>
      <c r="D3149">
        <v>5.2000129999999896</v>
      </c>
      <c r="E3149">
        <v>0.49038100000000001</v>
      </c>
      <c r="F3149" t="s">
        <v>47</v>
      </c>
      <c r="G3149">
        <v>-362.73829999999998</v>
      </c>
      <c r="H3149" s="1">
        <v>-7.9572119999999899E-8</v>
      </c>
      <c r="I3149">
        <v>215.3921</v>
      </c>
      <c r="J3149">
        <v>-414.67559999999997</v>
      </c>
      <c r="K3149">
        <v>1.1205860000000001</v>
      </c>
      <c r="L3149">
        <v>214.9205</v>
      </c>
      <c r="M3149">
        <v>0.99972700000000003</v>
      </c>
      <c r="N3149">
        <v>-1.0996209999999999E-2</v>
      </c>
      <c r="O3149">
        <v>-2.0614130000000001E-2</v>
      </c>
      <c r="P3149">
        <v>0.98522540000000003</v>
      </c>
      <c r="Q3149">
        <v>0.17071819999999999</v>
      </c>
      <c r="R3149">
        <v>-1.36416E-2</v>
      </c>
      <c r="S3149">
        <v>3.0573429999999999</v>
      </c>
      <c r="T3149">
        <v>-6.5625069999999994E-2</v>
      </c>
      <c r="U3149">
        <v>2.7297970000000001E-2</v>
      </c>
      <c r="V3149">
        <v>-6.6545980000000003E-3</v>
      </c>
      <c r="W3149">
        <v>0.18154319999999999</v>
      </c>
      <c r="X3149">
        <v>0.98336049999999997</v>
      </c>
      <c r="Y3149">
        <v>-2.9529550000000002E-2</v>
      </c>
      <c r="Z3149">
        <v>6.9500240000000004E-4</v>
      </c>
      <c r="AA3149">
        <v>0.99956369999999894</v>
      </c>
      <c r="AB3149">
        <v>30</v>
      </c>
      <c r="AC3149">
        <v>51.937299999999901</v>
      </c>
      <c r="AD3149">
        <v>-1.1205860795721201</v>
      </c>
      <c r="AE3149">
        <v>0.47159999999999502</v>
      </c>
      <c r="AF3149">
        <v>-1.54148927659766</v>
      </c>
      <c r="AG3149">
        <v>-1.1205860795721201</v>
      </c>
      <c r="AH3149">
        <v>51.892385518074001</v>
      </c>
      <c r="AI3149">
        <v>91.2365317052395</v>
      </c>
      <c r="AJ3149">
        <v>91.701499439362905</v>
      </c>
      <c r="AK3149">
        <v>51.927368285982098</v>
      </c>
      <c r="AL3149">
        <v>79.540340721720199</v>
      </c>
      <c r="AM3149">
        <v>90.387726128586806</v>
      </c>
      <c r="AN3149">
        <v>1.00000004505051</v>
      </c>
    </row>
    <row r="3150" spans="1:40" x14ac:dyDescent="0.25">
      <c r="A3150" t="str">
        <f>"20190303162318032"</f>
        <v>20190303162318032</v>
      </c>
      <c r="B3150" t="str">
        <f>"1551601398027826"</f>
        <v>1551601398027826</v>
      </c>
      <c r="C3150" t="s">
        <v>40</v>
      </c>
      <c r="D3150">
        <v>5.2104080000000002</v>
      </c>
      <c r="E3150">
        <v>0.4902841</v>
      </c>
      <c r="F3150" t="s">
        <v>47</v>
      </c>
      <c r="G3150">
        <v>-360.91320000000002</v>
      </c>
      <c r="H3150" s="1">
        <v>-1.0508500000000001E-6</v>
      </c>
      <c r="I3150">
        <v>215.55359999999999</v>
      </c>
      <c r="J3150">
        <v>-414.37369999999999</v>
      </c>
      <c r="K3150">
        <v>1.120614</v>
      </c>
      <c r="L3150">
        <v>214.91419999999999</v>
      </c>
      <c r="M3150">
        <v>0.9997277</v>
      </c>
      <c r="N3150">
        <v>-1.099814E-2</v>
      </c>
      <c r="O3150">
        <v>-2.0580850000000001E-2</v>
      </c>
      <c r="P3150">
        <v>0.98505419999999999</v>
      </c>
      <c r="Q3150">
        <v>0.17184630000000001</v>
      </c>
      <c r="R3150">
        <v>-1.1706609999999999E-2</v>
      </c>
      <c r="S3150">
        <v>3.0564879999999999</v>
      </c>
      <c r="T3150">
        <v>-6.3707349999999996E-2</v>
      </c>
      <c r="U3150">
        <v>3.5995480000000003E-2</v>
      </c>
      <c r="V3150">
        <v>-8.5654219999999996E-3</v>
      </c>
      <c r="W3150">
        <v>0.18267040000000001</v>
      </c>
      <c r="X3150">
        <v>0.98313689999999998</v>
      </c>
      <c r="Y3150">
        <v>-3.2342379999999997E-2</v>
      </c>
      <c r="Z3150">
        <v>7.1746549999999998E-4</v>
      </c>
      <c r="AA3150">
        <v>0.99947660000000005</v>
      </c>
      <c r="AB3150">
        <v>30</v>
      </c>
      <c r="AC3150">
        <v>53.460499999999897</v>
      </c>
      <c r="AD3150">
        <v>-1.1206150508499999</v>
      </c>
      <c r="AE3150">
        <v>0.63939999999999397</v>
      </c>
      <c r="AF3150">
        <v>-1.7388297224827101</v>
      </c>
      <c r="AG3150">
        <v>-1.1206150508499999</v>
      </c>
      <c r="AH3150">
        <v>53.412549665154003</v>
      </c>
      <c r="AI3150">
        <v>91.201274114417998</v>
      </c>
      <c r="AJ3150">
        <v>91.864588602796999</v>
      </c>
      <c r="AK3150">
        <v>53.452593656702298</v>
      </c>
      <c r="AL3150">
        <v>79.474658182356606</v>
      </c>
      <c r="AM3150">
        <v>90.499167627446695</v>
      </c>
      <c r="AN3150">
        <v>1.0000000028159</v>
      </c>
    </row>
    <row r="3151" spans="1:40" x14ac:dyDescent="0.25">
      <c r="A3151" t="str">
        <f>"20190303162318055"</f>
        <v>20190303162318055</v>
      </c>
      <c r="B3151" t="str">
        <f>"1551601398048322"</f>
        <v>1551601398048322</v>
      </c>
      <c r="C3151" t="s">
        <v>40</v>
      </c>
      <c r="D3151">
        <v>5.1778769999999996</v>
      </c>
      <c r="E3151">
        <v>0.49120219999999998</v>
      </c>
      <c r="F3151" t="s">
        <v>47</v>
      </c>
      <c r="G3151">
        <v>-350.78390000000002</v>
      </c>
      <c r="H3151" s="1">
        <v>-1.1724260000000001E-6</v>
      </c>
      <c r="I3151">
        <v>215.82380000000001</v>
      </c>
      <c r="J3151">
        <v>-414.0754</v>
      </c>
      <c r="K3151">
        <v>1.120654</v>
      </c>
      <c r="L3151">
        <v>214.90819999999999</v>
      </c>
      <c r="M3151">
        <v>0.9997298</v>
      </c>
      <c r="N3151">
        <v>-1.1000100000000001E-2</v>
      </c>
      <c r="O3151">
        <v>-2.047763E-2</v>
      </c>
      <c r="P3151">
        <v>0.9849831</v>
      </c>
      <c r="Q3151">
        <v>0.17236089999999901</v>
      </c>
      <c r="R3151">
        <v>-9.9977639999999993E-3</v>
      </c>
      <c r="S3151">
        <v>3.0553889999999999</v>
      </c>
      <c r="T3151">
        <v>-5.3843740000000001E-2</v>
      </c>
      <c r="U3151">
        <v>4.3701169999999998E-2</v>
      </c>
      <c r="V3151">
        <v>-1.0190670000000001E-2</v>
      </c>
      <c r="W3151">
        <v>0.1831846</v>
      </c>
      <c r="X3151">
        <v>0.9830257</v>
      </c>
      <c r="Y3151">
        <v>-3.4766089999999999E-2</v>
      </c>
      <c r="Z3151">
        <v>6.331164E-4</v>
      </c>
      <c r="AA3151">
        <v>0.99939529999999999</v>
      </c>
      <c r="AB3151">
        <v>30</v>
      </c>
      <c r="AC3151">
        <v>63.2914999999999</v>
      </c>
      <c r="AD3151">
        <v>-1.1206551724259901</v>
      </c>
      <c r="AE3151">
        <v>0.91560000000001196</v>
      </c>
      <c r="AF3151">
        <v>-2.2108533370985701</v>
      </c>
      <c r="AG3151">
        <v>-1.1206551724259901</v>
      </c>
      <c r="AH3151">
        <v>63.239654233296299</v>
      </c>
      <c r="AI3151">
        <v>91.014599194031703</v>
      </c>
      <c r="AJ3151">
        <v>92.002240499977702</v>
      </c>
      <c r="AK3151">
        <v>63.288210656018101</v>
      </c>
      <c r="AL3151">
        <v>79.444690871532501</v>
      </c>
      <c r="AM3151">
        <v>90.593943237395095</v>
      </c>
      <c r="AN3151">
        <v>0.99999998714634897</v>
      </c>
    </row>
    <row r="3152" spans="1:40" x14ac:dyDescent="0.25">
      <c r="A3152" t="str">
        <f>"20190303162318187"</f>
        <v>20190303162318187</v>
      </c>
      <c r="B3152" t="str">
        <f>"1551601398178130"</f>
        <v>1551601398178130</v>
      </c>
      <c r="C3152" t="s">
        <v>40</v>
      </c>
      <c r="D3152">
        <v>4.5717400000000001</v>
      </c>
      <c r="E3152">
        <v>0.50117590000000001</v>
      </c>
      <c r="F3152" t="s">
        <v>47</v>
      </c>
      <c r="G3152">
        <v>-365.6377</v>
      </c>
      <c r="H3152" s="1">
        <v>1.4632879999999999E-6</v>
      </c>
      <c r="I3152">
        <v>215.5727</v>
      </c>
      <c r="J3152">
        <v>-412.31020000000001</v>
      </c>
      <c r="K3152">
        <v>1.1211329999999999</v>
      </c>
      <c r="L3152">
        <v>214.87629999999999</v>
      </c>
      <c r="M3152">
        <v>0.99978279999999997</v>
      </c>
      <c r="N3152">
        <v>-1.1014650000000001E-2</v>
      </c>
      <c r="O3152">
        <v>-1.769743E-2</v>
      </c>
      <c r="P3152">
        <v>0.98656160000000004</v>
      </c>
      <c r="Q3152">
        <v>0.1631792</v>
      </c>
      <c r="R3152">
        <v>8.3151189999999993E-3</v>
      </c>
      <c r="S3152">
        <v>3.0585330000000002</v>
      </c>
      <c r="T3152">
        <v>-7.0762039999999998E-2</v>
      </c>
      <c r="U3152">
        <v>4.196167E-2</v>
      </c>
      <c r="V3152">
        <v>-2.599512E-2</v>
      </c>
      <c r="W3152">
        <v>0.17399970000000001</v>
      </c>
      <c r="X3152">
        <v>0.98440249999999996</v>
      </c>
      <c r="Y3152">
        <v>-3.1399249999999997E-2</v>
      </c>
      <c r="Z3152">
        <v>7.5058660000000001E-4</v>
      </c>
      <c r="AA3152">
        <v>0.99950669999999997</v>
      </c>
      <c r="AB3152">
        <v>30</v>
      </c>
      <c r="AC3152">
        <v>46.672499999999999</v>
      </c>
      <c r="AD3152">
        <v>-1.1211315367119901</v>
      </c>
      <c r="AE3152">
        <v>0.69640000000001101</v>
      </c>
      <c r="AF3152">
        <v>-1.52144655409945</v>
      </c>
      <c r="AG3152">
        <v>-1.1211315367119901</v>
      </c>
      <c r="AH3152">
        <v>46.625966278712703</v>
      </c>
      <c r="AI3152">
        <v>91.376691646956004</v>
      </c>
      <c r="AJ3152">
        <v>91.868948856886803</v>
      </c>
      <c r="AK3152">
        <v>46.6642525597833</v>
      </c>
      <c r="AL3152">
        <v>79.979547521000399</v>
      </c>
      <c r="AM3152">
        <v>91.512658292949098</v>
      </c>
      <c r="AN3152">
        <v>0.99999996193507601</v>
      </c>
    </row>
    <row r="3153" spans="1:40" x14ac:dyDescent="0.25">
      <c r="A3153" t="str">
        <f>"20190303162318210"</f>
        <v>20190303162318210</v>
      </c>
      <c r="B3153" t="str">
        <f>"1551601398197650"</f>
        <v>1551601398197650</v>
      </c>
      <c r="C3153" t="s">
        <v>40</v>
      </c>
      <c r="D3153">
        <v>5.2312050000000001</v>
      </c>
      <c r="E3153">
        <v>0.50242209999999998</v>
      </c>
      <c r="F3153" t="s">
        <v>49</v>
      </c>
      <c r="G3153">
        <v>-410.08780000000002</v>
      </c>
      <c r="H3153" s="1">
        <v>2.195378E-6</v>
      </c>
      <c r="I3153">
        <v>214.91309999999999</v>
      </c>
      <c r="J3153">
        <v>-412.01990000000001</v>
      </c>
      <c r="K3153">
        <v>1.1211949999999999</v>
      </c>
      <c r="L3153">
        <v>214.87190000000001</v>
      </c>
      <c r="M3153">
        <v>0.99979629999999997</v>
      </c>
      <c r="N3153">
        <v>-1.101686E-2</v>
      </c>
      <c r="O3153">
        <v>-1.6918430000000002E-2</v>
      </c>
      <c r="P3153">
        <v>0.98583390000000004</v>
      </c>
      <c r="Q3153">
        <v>0.1674766</v>
      </c>
      <c r="R3153">
        <v>9.1402489999999996E-3</v>
      </c>
      <c r="S3153">
        <v>3.3171689999999998</v>
      </c>
      <c r="T3153">
        <v>-1.6734</v>
      </c>
      <c r="U3153">
        <v>5.4962160000000003E-2</v>
      </c>
      <c r="V3153">
        <v>-2.606727E-2</v>
      </c>
      <c r="W3153">
        <v>0.178288</v>
      </c>
      <c r="X3153">
        <v>0.98363299999999998</v>
      </c>
      <c r="Y3153">
        <v>-2.808563E-2</v>
      </c>
      <c r="Z3153">
        <v>1.472129E-2</v>
      </c>
      <c r="AA3153">
        <v>0.99949710000000003</v>
      </c>
      <c r="AB3153">
        <v>30</v>
      </c>
      <c r="AC3153">
        <v>1.9320999999999899</v>
      </c>
      <c r="AD3153">
        <v>-1.1211928046220001</v>
      </c>
      <c r="AE3153">
        <v>4.1199999999975E-2</v>
      </c>
      <c r="AF3153">
        <v>-5.5278030404145903E-2</v>
      </c>
      <c r="AG3153">
        <v>-1.1211928046220001</v>
      </c>
      <c r="AH3153">
        <v>1.44481348696006</v>
      </c>
      <c r="AI3153">
        <v>127.79160284338801</v>
      </c>
      <c r="AJ3153">
        <v>92.191046696117098</v>
      </c>
      <c r="AK3153">
        <v>1.8296488673740701</v>
      </c>
      <c r="AL3153">
        <v>79.729943456059601</v>
      </c>
      <c r="AM3153">
        <v>91.518040835447593</v>
      </c>
      <c r="AN3153">
        <v>0.99999999609912604</v>
      </c>
    </row>
    <row r="3154" spans="1:40" x14ac:dyDescent="0.25">
      <c r="A3154" t="str">
        <f>"20190303162318232"</f>
        <v>20190303162318232</v>
      </c>
      <c r="B3154" t="str">
        <f>"1551601398227906"</f>
        <v>1551601398227906</v>
      </c>
      <c r="C3154" t="s">
        <v>40</v>
      </c>
      <c r="D3154">
        <v>5.0669550000000001</v>
      </c>
      <c r="E3154">
        <v>0.50213180000000002</v>
      </c>
      <c r="F3154" t="s">
        <v>42</v>
      </c>
      <c r="G3154">
        <v>-411.16129999999998</v>
      </c>
      <c r="H3154">
        <v>0.95245100000000005</v>
      </c>
      <c r="I3154">
        <v>214.8783</v>
      </c>
      <c r="J3154">
        <v>-411.7199</v>
      </c>
      <c r="K3154">
        <v>1.121245</v>
      </c>
      <c r="L3154">
        <v>214.86779999999999</v>
      </c>
      <c r="M3154">
        <v>0.99980999999999998</v>
      </c>
      <c r="N3154">
        <v>-1.101894E-2</v>
      </c>
      <c r="O3154">
        <v>-1.6071780000000001E-2</v>
      </c>
      <c r="P3154">
        <v>0.98524840000000002</v>
      </c>
      <c r="Q3154">
        <v>0.1707803</v>
      </c>
      <c r="R3154">
        <v>1.0924100000000001E-2</v>
      </c>
      <c r="S3154">
        <v>3.1480100000000002</v>
      </c>
      <c r="T3154">
        <v>-0.6188418</v>
      </c>
      <c r="U3154">
        <v>2.3818969999999998E-2</v>
      </c>
      <c r="V3154">
        <v>-2.702674E-2</v>
      </c>
      <c r="W3154">
        <v>0.18158350000000001</v>
      </c>
      <c r="X3154">
        <v>0.98300399999999999</v>
      </c>
      <c r="Y3154">
        <v>-2.29001E-2</v>
      </c>
      <c r="Z3154">
        <v>5.3108030000000002E-3</v>
      </c>
      <c r="AA3154">
        <v>0.99972369999999999</v>
      </c>
      <c r="AB3154">
        <v>30</v>
      </c>
      <c r="AC3154">
        <v>0.55860000000001198</v>
      </c>
      <c r="AD3154">
        <v>-0.168794</v>
      </c>
      <c r="AE3154">
        <v>1.05000000000075E-2</v>
      </c>
      <c r="AF3154">
        <v>-1.78478021716999E-2</v>
      </c>
      <c r="AG3154">
        <v>-0.168794</v>
      </c>
      <c r="AH3154">
        <v>0.51165685868801303</v>
      </c>
      <c r="AI3154">
        <v>108.247199460102</v>
      </c>
      <c r="AJ3154">
        <v>91.997802359366304</v>
      </c>
      <c r="AK3154">
        <v>0.53907578272525403</v>
      </c>
      <c r="AL3154">
        <v>79.537991543911801</v>
      </c>
      <c r="AM3154">
        <v>91.574895042917206</v>
      </c>
      <c r="AN3154">
        <v>0.99999993808163601</v>
      </c>
    </row>
    <row r="3155" spans="1:40" x14ac:dyDescent="0.25">
      <c r="A3155" t="str">
        <f>"20190303162318256"</f>
        <v>20190303162318256</v>
      </c>
      <c r="B3155" t="str">
        <f>"1551601398247427"</f>
        <v>1551601398247427</v>
      </c>
      <c r="C3155" t="s">
        <v>40</v>
      </c>
      <c r="D3155">
        <v>5.0266869999999999</v>
      </c>
      <c r="E3155">
        <v>0.50305789999999995</v>
      </c>
      <c r="F3155" t="s">
        <v>42</v>
      </c>
      <c r="G3155">
        <v>-410.86610000000002</v>
      </c>
      <c r="H3155">
        <v>1.0149109999999999</v>
      </c>
      <c r="I3155">
        <v>214.87469999999999</v>
      </c>
      <c r="J3155">
        <v>-411.40219999999999</v>
      </c>
      <c r="K3155">
        <v>1.1212690000000001</v>
      </c>
      <c r="L3155">
        <v>214.86359999999999</v>
      </c>
      <c r="M3155">
        <v>0.99982459999999995</v>
      </c>
      <c r="N3155">
        <v>-1.102126E-2</v>
      </c>
      <c r="O3155">
        <v>-1.515328E-2</v>
      </c>
      <c r="P3155">
        <v>0.98494550000000003</v>
      </c>
      <c r="Q3155">
        <v>0.17221239999999999</v>
      </c>
      <c r="R3155">
        <v>1.501796E-2</v>
      </c>
      <c r="S3155">
        <v>3.1118160000000001</v>
      </c>
      <c r="T3155">
        <v>-0.38745649999999998</v>
      </c>
      <c r="U3155">
        <v>2.4948120000000001E-2</v>
      </c>
      <c r="V3155">
        <v>-3.0223199999999999E-2</v>
      </c>
      <c r="W3155">
        <v>0.18300739999999999</v>
      </c>
      <c r="X3155">
        <v>0.98264689999999999</v>
      </c>
      <c r="Y3155">
        <v>-2.2880129999999999E-2</v>
      </c>
      <c r="Z3155">
        <v>3.2585510000000002E-3</v>
      </c>
      <c r="AA3155">
        <v>0.99973290000000004</v>
      </c>
      <c r="AB3155">
        <v>30</v>
      </c>
      <c r="AC3155">
        <v>0.53609999999997604</v>
      </c>
      <c r="AD3155">
        <v>-0.106357999999999</v>
      </c>
      <c r="AE3155">
        <v>1.1099999999999E-2</v>
      </c>
      <c r="AF3155">
        <v>-1.8495240862436601E-2</v>
      </c>
      <c r="AG3155">
        <v>-0.106357999999999</v>
      </c>
      <c r="AH3155">
        <v>0.51558576561360703</v>
      </c>
      <c r="AI3155">
        <v>101.648518282781</v>
      </c>
      <c r="AJ3155">
        <v>92.054449746325403</v>
      </c>
      <c r="AK3155">
        <v>0.52676634270037503</v>
      </c>
      <c r="AL3155">
        <v>79.455018833653099</v>
      </c>
      <c r="AM3155">
        <v>91.761686796121595</v>
      </c>
      <c r="AN3155">
        <v>1.0000000401763001</v>
      </c>
    </row>
    <row r="3156" spans="1:40" x14ac:dyDescent="0.25">
      <c r="A3156" t="str">
        <f>"20190303162318278"</f>
        <v>20190303162318278</v>
      </c>
      <c r="B3156" t="str">
        <f>"1551601398267922"</f>
        <v>1551601398267922</v>
      </c>
      <c r="C3156" t="s">
        <v>40</v>
      </c>
      <c r="D3156">
        <v>5.3399190000000001</v>
      </c>
      <c r="E3156">
        <v>0.50163740000000001</v>
      </c>
      <c r="F3156" t="s">
        <v>42</v>
      </c>
      <c r="G3156">
        <v>-410.58229999999998</v>
      </c>
      <c r="H3156">
        <v>1.034721</v>
      </c>
      <c r="I3156">
        <v>214.87039999999999</v>
      </c>
      <c r="J3156">
        <v>-411.10680000000002</v>
      </c>
      <c r="K3156">
        <v>1.121283</v>
      </c>
      <c r="L3156">
        <v>214.86</v>
      </c>
      <c r="M3156">
        <v>0.99983710000000003</v>
      </c>
      <c r="N3156">
        <v>-1.10233E-2</v>
      </c>
      <c r="O3156">
        <v>-1.42945E-2</v>
      </c>
      <c r="P3156">
        <v>0.98505860000000001</v>
      </c>
      <c r="Q3156">
        <v>0.1711346</v>
      </c>
      <c r="R3156">
        <v>1.9298099999999999E-2</v>
      </c>
      <c r="S3156">
        <v>3.1027529999999999</v>
      </c>
      <c r="T3156">
        <v>-0.32771899999999998</v>
      </c>
      <c r="U3156">
        <v>2.6489260000000001E-2</v>
      </c>
      <c r="V3156">
        <v>-3.366305E-2</v>
      </c>
      <c r="W3156">
        <v>0.1819258</v>
      </c>
      <c r="X3156">
        <v>0.9827359</v>
      </c>
      <c r="Y3156">
        <v>-2.2628160000000001E-2</v>
      </c>
      <c r="Z3156">
        <v>2.6651859999999999E-3</v>
      </c>
      <c r="AA3156">
        <v>0.99974039999999997</v>
      </c>
      <c r="AB3156">
        <v>30</v>
      </c>
      <c r="AC3156">
        <v>0.52450000000004504</v>
      </c>
      <c r="AD3156">
        <v>-8.6562E-2</v>
      </c>
      <c r="AE3156">
        <v>1.03999999999757E-2</v>
      </c>
      <c r="AF3156">
        <v>-1.7422502907436001E-2</v>
      </c>
      <c r="AG3156">
        <v>-8.6562E-2</v>
      </c>
      <c r="AH3156">
        <v>0.51040125927067803</v>
      </c>
      <c r="AI3156">
        <v>99.620047015683397</v>
      </c>
      <c r="AJ3156">
        <v>91.955027393821794</v>
      </c>
      <c r="AK3156">
        <v>0.51798259518699397</v>
      </c>
      <c r="AL3156">
        <v>79.518047903466297</v>
      </c>
      <c r="AM3156">
        <v>91.961866707769801</v>
      </c>
      <c r="AN3156">
        <v>1.00000002339487</v>
      </c>
    </row>
    <row r="3157" spans="1:40" x14ac:dyDescent="0.25">
      <c r="A3157" t="str">
        <f>"20190303162318301"</f>
        <v>20190303162318301</v>
      </c>
      <c r="B3157" t="str">
        <f>"1551601398298177"</f>
        <v>1551601398298177</v>
      </c>
      <c r="C3157" t="s">
        <v>40</v>
      </c>
      <c r="D3157">
        <v>5.3832190000000004</v>
      </c>
      <c r="E3157">
        <v>0.50076430000000005</v>
      </c>
      <c r="F3157" t="s">
        <v>47</v>
      </c>
      <c r="G3157">
        <v>-398.10919999999999</v>
      </c>
      <c r="H3157" s="1">
        <v>2.7784949999999998E-6</v>
      </c>
      <c r="I3157">
        <v>215.072</v>
      </c>
      <c r="J3157">
        <v>-410.81319999999999</v>
      </c>
      <c r="K3157">
        <v>1.1212789999999999</v>
      </c>
      <c r="L3157">
        <v>214.85669999999999</v>
      </c>
      <c r="M3157">
        <v>0.99984879999999998</v>
      </c>
      <c r="N3157">
        <v>-1.1025200000000001E-2</v>
      </c>
      <c r="O3157">
        <v>-1.344652E-2</v>
      </c>
      <c r="P3157">
        <v>0.98521040000000004</v>
      </c>
      <c r="Q3157">
        <v>0.16989189999999901</v>
      </c>
      <c r="R3157">
        <v>2.23048E-2</v>
      </c>
      <c r="S3157">
        <v>3.0908509999999998</v>
      </c>
      <c r="T3157">
        <v>-0.26664100000000002</v>
      </c>
      <c r="U3157">
        <v>5.0399779999999998E-2</v>
      </c>
      <c r="V3157">
        <v>-3.5837670000000002E-2</v>
      </c>
      <c r="W3157">
        <v>0.18068310000000001</v>
      </c>
      <c r="X3157">
        <v>0.98288819999999999</v>
      </c>
      <c r="Y3157">
        <v>-2.9586089999999999E-2</v>
      </c>
      <c r="Z3157">
        <v>2.4469439999999999E-3</v>
      </c>
      <c r="AA3157">
        <v>0.99955919999999998</v>
      </c>
      <c r="AB3157">
        <v>30</v>
      </c>
      <c r="AC3157">
        <v>12.704000000000001</v>
      </c>
      <c r="AD3157">
        <v>-1.1212762215050001</v>
      </c>
      <c r="AE3157">
        <v>0.21530000000001301</v>
      </c>
      <c r="AF3157">
        <v>-0.383131721293473</v>
      </c>
      <c r="AG3157">
        <v>-1.1212762215050001</v>
      </c>
      <c r="AH3157">
        <v>12.601814614046701</v>
      </c>
      <c r="AI3157">
        <v>95.0823011932914</v>
      </c>
      <c r="AJ3157">
        <v>91.741421487555002</v>
      </c>
      <c r="AK3157">
        <v>12.6574002799775</v>
      </c>
      <c r="AL3157">
        <v>79.590448690209797</v>
      </c>
      <c r="AM3157">
        <v>92.088170378279997</v>
      </c>
      <c r="AN3157">
        <v>0.99999996745793895</v>
      </c>
    </row>
    <row r="3158" spans="1:40" x14ac:dyDescent="0.25">
      <c r="A3158" t="str">
        <f>"20190303162318322"</f>
        <v>20190303162318322</v>
      </c>
      <c r="B3158" t="str">
        <f>"1551601398307938"</f>
        <v>1551601398307938</v>
      </c>
      <c r="C3158" t="s">
        <v>40</v>
      </c>
      <c r="D3158">
        <v>5.3589539999999998</v>
      </c>
      <c r="E3158">
        <v>0.50053110000000001</v>
      </c>
      <c r="F3158" t="s">
        <v>47</v>
      </c>
      <c r="G3158">
        <v>-397.07679999999999</v>
      </c>
      <c r="H3158" s="1">
        <v>2.2291080000000002E-6</v>
      </c>
      <c r="I3158">
        <v>215.1551</v>
      </c>
      <c r="J3158">
        <v>-410.52370000000002</v>
      </c>
      <c r="K3158">
        <v>1.121275</v>
      </c>
      <c r="L3158">
        <v>214.8537</v>
      </c>
      <c r="M3158">
        <v>0.99985950000000001</v>
      </c>
      <c r="N3158">
        <v>-1.1026799999999899E-2</v>
      </c>
      <c r="O3158">
        <v>-1.2622080000000001E-2</v>
      </c>
      <c r="P3158">
        <v>0.98540079999999997</v>
      </c>
      <c r="Q3158">
        <v>0.16863339999999999</v>
      </c>
      <c r="R3158">
        <v>2.3416309999999999E-2</v>
      </c>
      <c r="S3158">
        <v>3.0869749999999998</v>
      </c>
      <c r="T3158">
        <v>-0.25198320000000002</v>
      </c>
      <c r="U3158">
        <v>6.7062380000000005E-2</v>
      </c>
      <c r="V3158">
        <v>-3.6138089999999998E-2</v>
      </c>
      <c r="W3158">
        <v>0.17942749999999999</v>
      </c>
      <c r="X3158">
        <v>0.98310719999999996</v>
      </c>
      <c r="Y3158">
        <v>-3.4176890000000001E-2</v>
      </c>
      <c r="Z3158">
        <v>2.4707570000000001E-3</v>
      </c>
      <c r="AA3158">
        <v>0.99941279999999999</v>
      </c>
      <c r="AB3158">
        <v>30</v>
      </c>
      <c r="AC3158">
        <v>13.446899999999999</v>
      </c>
      <c r="AD3158">
        <v>-1.1212727708920001</v>
      </c>
      <c r="AE3158">
        <v>0.301400000000001</v>
      </c>
      <c r="AF3158">
        <v>-0.46786269981025003</v>
      </c>
      <c r="AG3158">
        <v>-1.1212727708920001</v>
      </c>
      <c r="AH3158">
        <v>13.3492521229239</v>
      </c>
      <c r="AI3158">
        <v>94.798366476799501</v>
      </c>
      <c r="AJ3158">
        <v>92.007272764029196</v>
      </c>
      <c r="AK3158">
        <v>13.4044276406718</v>
      </c>
      <c r="AL3158">
        <v>79.663584686039997</v>
      </c>
      <c r="AM3158">
        <v>92.105190758912599</v>
      </c>
      <c r="AN3158">
        <v>0.99999997799846796</v>
      </c>
    </row>
    <row r="3159" spans="1:40" x14ac:dyDescent="0.25">
      <c r="A3159" t="str">
        <f>"20190303162318346"</f>
        <v>20190303162318346</v>
      </c>
      <c r="B3159" t="str">
        <f>"1551601398338194"</f>
        <v>1551601398338194</v>
      </c>
      <c r="C3159" t="s">
        <v>40</v>
      </c>
      <c r="D3159">
        <v>5.0064989999999998</v>
      </c>
      <c r="E3159">
        <v>0.50175829999999999</v>
      </c>
      <c r="F3159" t="s">
        <v>47</v>
      </c>
      <c r="G3159">
        <v>-396.36590000000001</v>
      </c>
      <c r="H3159" s="1">
        <v>1.8508050000000001E-6</v>
      </c>
      <c r="I3159">
        <v>215.18799999999999</v>
      </c>
      <c r="J3159">
        <v>-410.21319999999997</v>
      </c>
      <c r="K3159">
        <v>1.1212549999999999</v>
      </c>
      <c r="L3159">
        <v>214.85069999999999</v>
      </c>
      <c r="M3159">
        <v>0.99987009999999998</v>
      </c>
      <c r="N3159">
        <v>-1.102857E-2</v>
      </c>
      <c r="O3159">
        <v>-1.1753339999999999E-2</v>
      </c>
      <c r="P3159">
        <v>0.98578460000000001</v>
      </c>
      <c r="Q3159">
        <v>0.16649229999999901</v>
      </c>
      <c r="R3159">
        <v>2.256054E-2</v>
      </c>
      <c r="S3159">
        <v>3.0845639999999999</v>
      </c>
      <c r="T3159">
        <v>-0.2442917</v>
      </c>
      <c r="U3159">
        <v>7.2845460000000001E-2</v>
      </c>
      <c r="V3159">
        <v>-3.4426900000000003E-2</v>
      </c>
      <c r="W3159">
        <v>0.1772965</v>
      </c>
      <c r="X3159">
        <v>0.98355510000000002</v>
      </c>
      <c r="Y3159">
        <v>-3.5205849999999997E-2</v>
      </c>
      <c r="Z3159">
        <v>2.3861020000000002E-3</v>
      </c>
      <c r="AA3159">
        <v>0.99937730000000002</v>
      </c>
      <c r="AB3159">
        <v>30</v>
      </c>
      <c r="AC3159">
        <v>13.847299999999899</v>
      </c>
      <c r="AD3159">
        <v>-1.121253149195</v>
      </c>
      <c r="AE3159">
        <v>0.33729999999999899</v>
      </c>
      <c r="AF3159">
        <v>-0.49678335678644098</v>
      </c>
      <c r="AG3159">
        <v>-1.121253149195</v>
      </c>
      <c r="AH3159">
        <v>13.752264458841299</v>
      </c>
      <c r="AI3159">
        <v>94.658119212811499</v>
      </c>
      <c r="AJ3159">
        <v>92.068838807854704</v>
      </c>
      <c r="AK3159">
        <v>13.806838163535801</v>
      </c>
      <c r="AL3159">
        <v>79.787671450996001</v>
      </c>
      <c r="AM3159">
        <v>92.004677830100405</v>
      </c>
      <c r="AN3159">
        <v>0.99999994754593302</v>
      </c>
    </row>
    <row r="3160" spans="1:40" x14ac:dyDescent="0.25">
      <c r="A3160" t="str">
        <f>"20190303162318367"</f>
        <v>20190303162318367</v>
      </c>
      <c r="B3160" t="str">
        <f>"1551601398357714"</f>
        <v>1551601398357714</v>
      </c>
      <c r="C3160" t="s">
        <v>40</v>
      </c>
      <c r="D3160">
        <v>5.0617419999999997</v>
      </c>
      <c r="E3160">
        <v>0.50249719999999998</v>
      </c>
      <c r="F3160" t="s">
        <v>47</v>
      </c>
      <c r="G3160">
        <v>-394.56479999999999</v>
      </c>
      <c r="H3160" s="1">
        <v>8.9234889999999995E-7</v>
      </c>
      <c r="I3160">
        <v>215.16290000000001</v>
      </c>
      <c r="J3160">
        <v>-409.9187</v>
      </c>
      <c r="K3160">
        <v>1.1212359999999999</v>
      </c>
      <c r="L3160">
        <v>214.84809999999999</v>
      </c>
      <c r="M3160">
        <v>0.99987950000000003</v>
      </c>
      <c r="N3160">
        <v>-1.103028E-2</v>
      </c>
      <c r="O3160">
        <v>-1.0940399999999999E-2</v>
      </c>
      <c r="P3160">
        <v>0.98618530000000004</v>
      </c>
      <c r="Q3160">
        <v>0.16449220000000001</v>
      </c>
      <c r="R3160">
        <v>1.95269E-2</v>
      </c>
      <c r="S3160">
        <v>3.0791019999999998</v>
      </c>
      <c r="T3160">
        <v>-0.22062609999999999</v>
      </c>
      <c r="U3160">
        <v>6.1431880000000001E-2</v>
      </c>
      <c r="V3160">
        <v>-3.059195E-2</v>
      </c>
      <c r="W3160">
        <v>0.1753092</v>
      </c>
      <c r="X3160">
        <v>0.98403799999999997</v>
      </c>
      <c r="Y3160">
        <v>-3.0773849999999998E-2</v>
      </c>
      <c r="Z3160">
        <v>1.933293E-3</v>
      </c>
      <c r="AA3160">
        <v>0.99952450000000004</v>
      </c>
      <c r="AB3160">
        <v>30</v>
      </c>
      <c r="AC3160">
        <v>15.353899999999999</v>
      </c>
      <c r="AD3160">
        <v>-1.1212351076511</v>
      </c>
      <c r="AE3160">
        <v>0.31480000000001901</v>
      </c>
      <c r="AF3160">
        <v>-0.480209364981728</v>
      </c>
      <c r="AG3160">
        <v>-1.1212351076511</v>
      </c>
      <c r="AH3160">
        <v>15.268148846464801</v>
      </c>
      <c r="AI3160">
        <v>94.197977670928694</v>
      </c>
      <c r="AJ3160">
        <v>91.801456298941503</v>
      </c>
      <c r="AK3160">
        <v>15.316792692944899</v>
      </c>
      <c r="AL3160">
        <v>79.903347705488699</v>
      </c>
      <c r="AM3160">
        <v>91.780647976569895</v>
      </c>
      <c r="AN3160">
        <v>0.99999998422672098</v>
      </c>
    </row>
    <row r="3161" spans="1:40" x14ac:dyDescent="0.25">
      <c r="A3161" t="str">
        <f>"20190303162318389"</f>
        <v>20190303162318389</v>
      </c>
      <c r="B3161" t="str">
        <f>"1551601398378210"</f>
        <v>1551601398378210</v>
      </c>
      <c r="C3161" t="s">
        <v>40</v>
      </c>
      <c r="D3161">
        <v>5.2695569999999998</v>
      </c>
      <c r="E3161">
        <v>0.5030924</v>
      </c>
      <c r="F3161" t="s">
        <v>47</v>
      </c>
      <c r="G3161">
        <v>-394.10739999999998</v>
      </c>
      <c r="H3161" s="1">
        <v>6.4897939999999997E-7</v>
      </c>
      <c r="I3161">
        <v>215.08860000000001</v>
      </c>
      <c r="J3161">
        <v>-409.62259999999998</v>
      </c>
      <c r="K3161">
        <v>1.121219</v>
      </c>
      <c r="L3161">
        <v>214.84569999999999</v>
      </c>
      <c r="M3161">
        <v>0.99988790000000005</v>
      </c>
      <c r="N3161">
        <v>-1.103201E-2</v>
      </c>
      <c r="O3161">
        <v>-1.0130220000000001E-2</v>
      </c>
      <c r="P3161">
        <v>0.98656029999999995</v>
      </c>
      <c r="Q3161">
        <v>0.16274279999999999</v>
      </c>
      <c r="R3161">
        <v>1.4627670000000001E-2</v>
      </c>
      <c r="S3161">
        <v>3.077515</v>
      </c>
      <c r="T3161">
        <v>-0.2182374</v>
      </c>
      <c r="U3161">
        <v>4.6813960000000002E-2</v>
      </c>
      <c r="V3161">
        <v>-2.4893439999999999E-2</v>
      </c>
      <c r="W3161">
        <v>0.1735757</v>
      </c>
      <c r="X3161">
        <v>0.98450590000000004</v>
      </c>
      <c r="Y3161">
        <v>-2.524732E-2</v>
      </c>
      <c r="Z3161">
        <v>1.6392900000000001E-3</v>
      </c>
      <c r="AA3161">
        <v>0.99967989999999995</v>
      </c>
      <c r="AB3161">
        <v>30</v>
      </c>
      <c r="AC3161">
        <v>15.515199999999901</v>
      </c>
      <c r="AD3161">
        <v>-1.1212183510206</v>
      </c>
      <c r="AE3161">
        <v>0.24290000000001999</v>
      </c>
      <c r="AF3161">
        <v>-0.397991538232919</v>
      </c>
      <c r="AG3161">
        <v>-1.1212183510206</v>
      </c>
      <c r="AH3161">
        <v>15.4313747768763</v>
      </c>
      <c r="AI3161">
        <v>94.154337898692802</v>
      </c>
      <c r="AJ3161">
        <v>91.477391463336403</v>
      </c>
      <c r="AK3161">
        <v>15.477172072429299</v>
      </c>
      <c r="AL3161">
        <v>80.004217072860499</v>
      </c>
      <c r="AM3161">
        <v>91.448427281117603</v>
      </c>
      <c r="AN3161">
        <v>1.0000000370601601</v>
      </c>
    </row>
    <row r="3162" spans="1:40" x14ac:dyDescent="0.25">
      <c r="A3162" t="str">
        <f>"20190303162318412"</f>
        <v>20190303162318412</v>
      </c>
      <c r="B3162" t="str">
        <f>"1551601398407490"</f>
        <v>1551601398407490</v>
      </c>
      <c r="C3162" t="s">
        <v>40</v>
      </c>
      <c r="D3162">
        <v>5.4659230000000001</v>
      </c>
      <c r="E3162">
        <v>0.50439020000000001</v>
      </c>
      <c r="F3162" t="s">
        <v>47</v>
      </c>
      <c r="G3162">
        <v>-393.3152</v>
      </c>
      <c r="H3162" s="1">
        <v>2.2736809999999999E-7</v>
      </c>
      <c r="I3162">
        <v>214.98929999999999</v>
      </c>
      <c r="J3162">
        <v>-409.33139999999997</v>
      </c>
      <c r="K3162">
        <v>1.1212040000000001</v>
      </c>
      <c r="L3162">
        <v>214.84360000000001</v>
      </c>
      <c r="M3162">
        <v>0.9998956</v>
      </c>
      <c r="N3162">
        <v>-1.103373E-2</v>
      </c>
      <c r="O3162">
        <v>-9.3389690000000008E-3</v>
      </c>
      <c r="P3162">
        <v>0.98706119999999997</v>
      </c>
      <c r="Q3162">
        <v>0.16006280000000001</v>
      </c>
      <c r="R3162">
        <v>9.5084450000000008E-3</v>
      </c>
      <c r="S3162">
        <v>3.075348</v>
      </c>
      <c r="T3162">
        <v>-0.2114452</v>
      </c>
      <c r="U3162">
        <v>2.708435E-2</v>
      </c>
      <c r="V3162">
        <v>-1.899352E-2</v>
      </c>
      <c r="W3162">
        <v>0.17091329999999999</v>
      </c>
      <c r="X3162">
        <v>0.98510299999999995</v>
      </c>
      <c r="Y3162">
        <v>-1.8080289999999999E-2</v>
      </c>
      <c r="Z3162">
        <v>1.2590839999999999E-3</v>
      </c>
      <c r="AA3162">
        <v>0.99983569999999999</v>
      </c>
      <c r="AB3162">
        <v>30</v>
      </c>
      <c r="AC3162">
        <v>16.016199999999898</v>
      </c>
      <c r="AD3162">
        <v>-1.1212037726319</v>
      </c>
      <c r="AE3162">
        <v>0.14569999999997599</v>
      </c>
      <c r="AF3162">
        <v>-0.29383766897999303</v>
      </c>
      <c r="AG3162">
        <v>-1.1212037726319</v>
      </c>
      <c r="AH3162">
        <v>15.936050786132499</v>
      </c>
      <c r="AI3162">
        <v>94.023813556223601</v>
      </c>
      <c r="AJ3162">
        <v>91.056331394759695</v>
      </c>
      <c r="AK3162">
        <v>15.9781461106622</v>
      </c>
      <c r="AL3162">
        <v>80.159075668968896</v>
      </c>
      <c r="AM3162">
        <v>91.104568469566104</v>
      </c>
      <c r="AN3162">
        <v>1.0000000152639399</v>
      </c>
    </row>
    <row r="3163" spans="1:40" x14ac:dyDescent="0.25">
      <c r="A3163" t="str">
        <f>"20190303162318434"</f>
        <v>20190303162318434</v>
      </c>
      <c r="B3163" t="str">
        <f>"1551601398427986"</f>
        <v>1551601398427986</v>
      </c>
      <c r="C3163" t="s">
        <v>40</v>
      </c>
      <c r="D3163">
        <v>5.3217309999999998</v>
      </c>
      <c r="E3163">
        <v>0.53815419999999903</v>
      </c>
      <c r="F3163" t="s">
        <v>47</v>
      </c>
      <c r="G3163">
        <v>-394.07909999999998</v>
      </c>
      <c r="H3163" s="1">
        <v>6.3391630000000003E-7</v>
      </c>
      <c r="I3163">
        <v>214.8458</v>
      </c>
      <c r="J3163">
        <v>-409.0324</v>
      </c>
      <c r="K3163">
        <v>1.121205</v>
      </c>
      <c r="L3163">
        <v>214.8417</v>
      </c>
      <c r="M3163">
        <v>0.99990279999999998</v>
      </c>
      <c r="N3163">
        <v>-1.103547E-2</v>
      </c>
      <c r="O3163">
        <v>-8.5304270000000001E-3</v>
      </c>
      <c r="P3163">
        <v>0.98717809999999995</v>
      </c>
      <c r="Q3163">
        <v>0.15952920000000001</v>
      </c>
      <c r="R3163">
        <v>5.4719819999999898E-3</v>
      </c>
      <c r="S3163">
        <v>3.0760190000000001</v>
      </c>
      <c r="T3163">
        <v>-0.22611999999999999</v>
      </c>
      <c r="U3163">
        <v>4.4250490000000001E-4</v>
      </c>
      <c r="V3163">
        <v>-1.4158230000000001E-2</v>
      </c>
      <c r="W3163">
        <v>0.17039089999999901</v>
      </c>
      <c r="X3163">
        <v>0.98527489999999995</v>
      </c>
      <c r="Y3163">
        <v>-8.6313780000000003E-3</v>
      </c>
      <c r="Z3163">
        <v>8.9671529999999996E-4</v>
      </c>
      <c r="AA3163">
        <v>0.99996229999999997</v>
      </c>
      <c r="AB3163">
        <v>30</v>
      </c>
      <c r="AC3163">
        <v>14.9533</v>
      </c>
      <c r="AD3163">
        <v>-1.1212043660836899</v>
      </c>
      <c r="AE3163">
        <v>4.0999999999939904E-3</v>
      </c>
      <c r="AF3163">
        <v>-0.13092954881659999</v>
      </c>
      <c r="AG3163">
        <v>-1.1212043660836899</v>
      </c>
      <c r="AH3163">
        <v>14.869125775452</v>
      </c>
      <c r="AI3163">
        <v>94.312053183614296</v>
      </c>
      <c r="AJ3163">
        <v>90.504502873831001</v>
      </c>
      <c r="AK3163">
        <v>14.9119127915734</v>
      </c>
      <c r="AL3163">
        <v>80.189453128810797</v>
      </c>
      <c r="AM3163">
        <v>90.823273784203906</v>
      </c>
      <c r="AN3163">
        <v>1.0000000714247701</v>
      </c>
    </row>
    <row r="3164" spans="1:40" x14ac:dyDescent="0.25">
      <c r="A3164" t="str">
        <f>"20190303162318456"</f>
        <v>20190303162318456</v>
      </c>
      <c r="B3164" t="str">
        <f>"1551601398447506"</f>
        <v>1551601398447506</v>
      </c>
      <c r="C3164" t="s">
        <v>40</v>
      </c>
      <c r="D3164">
        <v>5.3552059999999999</v>
      </c>
      <c r="E3164">
        <v>0.53799090000000005</v>
      </c>
      <c r="F3164" t="s">
        <v>42</v>
      </c>
      <c r="G3164">
        <v>-408.24439999999998</v>
      </c>
      <c r="H3164">
        <v>0.93047820000000003</v>
      </c>
      <c r="I3164">
        <v>214.77250000000001</v>
      </c>
      <c r="J3164">
        <v>-408.73399999999998</v>
      </c>
      <c r="K3164">
        <v>1.1212150000000001</v>
      </c>
      <c r="L3164">
        <v>214.84</v>
      </c>
      <c r="M3164">
        <v>0.9999093</v>
      </c>
      <c r="N3164">
        <v>-1.103728E-2</v>
      </c>
      <c r="O3164">
        <v>-7.7262839999999999E-3</v>
      </c>
      <c r="P3164">
        <v>0.98685520000000004</v>
      </c>
      <c r="Q3164">
        <v>0.1615761</v>
      </c>
      <c r="R3164">
        <v>3.1616359999999998E-3</v>
      </c>
      <c r="S3164">
        <v>3.164307</v>
      </c>
      <c r="T3164">
        <v>-0.76589989999999997</v>
      </c>
      <c r="U3164">
        <v>-0.27722170000000002</v>
      </c>
      <c r="V3164">
        <v>-1.1054309999999999E-2</v>
      </c>
      <c r="W3164">
        <v>0.17244100000000001</v>
      </c>
      <c r="X3164">
        <v>0.98495779999999999</v>
      </c>
      <c r="Y3164">
        <v>7.7452350000000003E-2</v>
      </c>
      <c r="Z3164">
        <v>-7.9017110000000005E-3</v>
      </c>
      <c r="AA3164">
        <v>0.99696479999999998</v>
      </c>
      <c r="AB3164">
        <v>30</v>
      </c>
      <c r="AC3164">
        <v>0.48960000000005199</v>
      </c>
      <c r="AD3164">
        <v>-0.19073680000000001</v>
      </c>
      <c r="AE3164">
        <v>-6.7499999999995397E-2</v>
      </c>
      <c r="AF3164">
        <v>5.5455476198860203E-2</v>
      </c>
      <c r="AG3164">
        <v>-0.19073680000000001</v>
      </c>
      <c r="AH3164">
        <v>0.42657346318733502</v>
      </c>
      <c r="AI3164">
        <v>113.912778082193</v>
      </c>
      <c r="AJ3164">
        <v>82.592965563706002</v>
      </c>
      <c r="AK3164">
        <v>0.47055366985107899</v>
      </c>
      <c r="AL3164">
        <v>80.070225434007398</v>
      </c>
      <c r="AM3164">
        <v>90.643011018161005</v>
      </c>
      <c r="AN3164">
        <v>0.99999998201570695</v>
      </c>
    </row>
    <row r="3165" spans="1:40" x14ac:dyDescent="0.25">
      <c r="A3165" t="str">
        <f>"20190303162318480"</f>
        <v>20190303162318480</v>
      </c>
      <c r="B3165" t="str">
        <f>"1551601398468002"</f>
        <v>1551601398468002</v>
      </c>
      <c r="C3165" t="s">
        <v>40</v>
      </c>
      <c r="D3165">
        <v>5.446637</v>
      </c>
      <c r="E3165">
        <v>0.53766440000000004</v>
      </c>
      <c r="F3165" t="s">
        <v>42</v>
      </c>
      <c r="G3165">
        <v>-407.98509999999999</v>
      </c>
      <c r="H3165">
        <v>0.91293970000000002</v>
      </c>
      <c r="I3165">
        <v>214.77289999999999</v>
      </c>
      <c r="J3165">
        <v>-408.42349999999999</v>
      </c>
      <c r="K3165">
        <v>1.12121</v>
      </c>
      <c r="L3165">
        <v>214.83850000000001</v>
      </c>
      <c r="M3165">
        <v>0.99991540000000001</v>
      </c>
      <c r="N3165">
        <v>-1.103928E-2</v>
      </c>
      <c r="O3165">
        <v>-6.8912740000000002E-3</v>
      </c>
      <c r="P3165">
        <v>0.98662879999999997</v>
      </c>
      <c r="Q3165">
        <v>0.1629747</v>
      </c>
      <c r="R3165">
        <v>1.750152E-3</v>
      </c>
      <c r="S3165">
        <v>3.1859739999999999</v>
      </c>
      <c r="T3165">
        <v>-0.88606430000000003</v>
      </c>
      <c r="U3165">
        <v>-0.28393550000000001</v>
      </c>
      <c r="V3165">
        <v>-8.8188269999999996E-3</v>
      </c>
      <c r="W3165">
        <v>0.17384279999999999</v>
      </c>
      <c r="X3165">
        <v>0.98473390000000005</v>
      </c>
      <c r="Y3165">
        <v>7.9041669999999994E-2</v>
      </c>
      <c r="Z3165">
        <v>-9.4093709999999997E-3</v>
      </c>
      <c r="AA3165">
        <v>0.99682689999999996</v>
      </c>
      <c r="AB3165">
        <v>30</v>
      </c>
      <c r="AC3165">
        <v>0.43840000000000101</v>
      </c>
      <c r="AD3165">
        <v>-0.20827029999999999</v>
      </c>
      <c r="AE3165">
        <v>-6.5600000000017603E-2</v>
      </c>
      <c r="AF3165">
        <v>5.1261296395020702E-2</v>
      </c>
      <c r="AG3165">
        <v>-0.20827029999999999</v>
      </c>
      <c r="AH3165">
        <v>0.35948589969174699</v>
      </c>
      <c r="AI3165">
        <v>119.83660279243099</v>
      </c>
      <c r="AJ3165">
        <v>81.884554281586105</v>
      </c>
      <c r="AK3165">
        <v>0.41861002191463698</v>
      </c>
      <c r="AL3165">
        <v>79.988676461595404</v>
      </c>
      <c r="AM3165">
        <v>90.513101112747194</v>
      </c>
      <c r="AN3165">
        <v>0.99999997231535198</v>
      </c>
    </row>
    <row r="3166" spans="1:40" x14ac:dyDescent="0.25">
      <c r="A3166" t="str">
        <f>"20190303162318501"</f>
        <v>20190303162318501</v>
      </c>
      <c r="B3166" t="str">
        <f>"1551601398498258"</f>
        <v>1551601398498258</v>
      </c>
      <c r="C3166" t="s">
        <v>40</v>
      </c>
      <c r="D3166">
        <v>5.3481329999999998</v>
      </c>
      <c r="E3166">
        <v>0.53630599999999995</v>
      </c>
      <c r="F3166" t="s">
        <v>42</v>
      </c>
      <c r="G3166">
        <v>-407.71519999999998</v>
      </c>
      <c r="H3166">
        <v>0.91774080000000002</v>
      </c>
      <c r="I3166">
        <v>214.77440000000001</v>
      </c>
      <c r="J3166">
        <v>-408.1361</v>
      </c>
      <c r="K3166">
        <v>1.1212059999999999</v>
      </c>
      <c r="L3166">
        <v>214.8373</v>
      </c>
      <c r="M3166">
        <v>0.99992040000000004</v>
      </c>
      <c r="N3166">
        <v>-1.1041179999999999E-2</v>
      </c>
      <c r="O3166">
        <v>-6.1230340000000003E-3</v>
      </c>
      <c r="P3166">
        <v>0.98660519999999996</v>
      </c>
      <c r="Q3166">
        <v>0.16312550000000001</v>
      </c>
      <c r="R3166">
        <v>7.0051710000000004E-4</v>
      </c>
      <c r="S3166">
        <v>3.192688</v>
      </c>
      <c r="T3166">
        <v>-0.91722269999999995</v>
      </c>
      <c r="U3166">
        <v>-0.28805540000000002</v>
      </c>
      <c r="V3166">
        <v>-7.0098809999999999E-3</v>
      </c>
      <c r="W3166">
        <v>0.17399829999999999</v>
      </c>
      <c r="X3166">
        <v>0.98472099999999996</v>
      </c>
      <c r="Y3166">
        <v>8.0620339999999999E-2</v>
      </c>
      <c r="Z3166">
        <v>-1.0129900000000001E-2</v>
      </c>
      <c r="AA3166">
        <v>0.99669339999999995</v>
      </c>
      <c r="AB3166">
        <v>30</v>
      </c>
      <c r="AC3166">
        <v>0.42090000000001698</v>
      </c>
      <c r="AD3166">
        <v>-0.20346519999999901</v>
      </c>
      <c r="AE3166">
        <v>-6.2899999999984801E-2</v>
      </c>
      <c r="AF3166">
        <v>4.90987060103769E-2</v>
      </c>
      <c r="AG3166">
        <v>-0.20346519999999901</v>
      </c>
      <c r="AH3166">
        <v>0.342898902124951</v>
      </c>
      <c r="AI3166">
        <v>120.428999899457</v>
      </c>
      <c r="AJ3166">
        <v>81.851370369374195</v>
      </c>
      <c r="AK3166">
        <v>0.40173178567475798</v>
      </c>
      <c r="AL3166">
        <v>79.979629336058096</v>
      </c>
      <c r="AM3166">
        <v>90.407861528357699</v>
      </c>
      <c r="AN3166">
        <v>0.99999999733776201</v>
      </c>
    </row>
    <row r="3167" spans="1:40" x14ac:dyDescent="0.25">
      <c r="A3167" t="str">
        <f>"20190303162318524"</f>
        <v>20190303162318524</v>
      </c>
      <c r="B3167" t="str">
        <f>"1551601398517779"</f>
        <v>1551601398517779</v>
      </c>
      <c r="C3167" t="s">
        <v>40</v>
      </c>
      <c r="D3167">
        <v>5.367667</v>
      </c>
      <c r="E3167">
        <v>0.53595530000000002</v>
      </c>
      <c r="F3167" t="s">
        <v>42</v>
      </c>
      <c r="G3167">
        <v>-407.44779999999997</v>
      </c>
      <c r="H3167">
        <v>0.91670410000000002</v>
      </c>
      <c r="I3167">
        <v>214.77680000000001</v>
      </c>
      <c r="J3167">
        <v>-407.82889999999998</v>
      </c>
      <c r="K3167">
        <v>1.1212040000000001</v>
      </c>
      <c r="L3167">
        <v>214.83629999999999</v>
      </c>
      <c r="M3167">
        <v>0.99992499999999995</v>
      </c>
      <c r="N3167">
        <v>-1.104317E-2</v>
      </c>
      <c r="O3167">
        <v>-5.3097639999999998E-3</v>
      </c>
      <c r="P3167">
        <v>0.98665049999999999</v>
      </c>
      <c r="Q3167">
        <v>0.16285160000000001</v>
      </c>
      <c r="R3167">
        <v>4.7003380000000002E-4</v>
      </c>
      <c r="S3167">
        <v>3.198029</v>
      </c>
      <c r="T3167">
        <v>-0.95023199999999997</v>
      </c>
      <c r="U3167">
        <v>-0.28094479999999999</v>
      </c>
      <c r="V3167">
        <v>-5.9748049999999997E-3</v>
      </c>
      <c r="W3167">
        <v>0.1737283</v>
      </c>
      <c r="X3167">
        <v>0.98477550000000003</v>
      </c>
      <c r="Y3167">
        <v>7.8916440000000004E-2</v>
      </c>
      <c r="Z3167">
        <v>-1.0417589999999999E-2</v>
      </c>
      <c r="AA3167">
        <v>0.99682680000000001</v>
      </c>
      <c r="AB3167">
        <v>30</v>
      </c>
      <c r="AC3167">
        <v>0.38110000000000299</v>
      </c>
      <c r="AD3167">
        <v>-0.20449990000000001</v>
      </c>
      <c r="AE3167">
        <v>-5.9499999999985599E-2</v>
      </c>
      <c r="AF3167">
        <v>4.4864436079307402E-2</v>
      </c>
      <c r="AG3167">
        <v>-0.20449990000000001</v>
      </c>
      <c r="AH3167">
        <v>0.29772293209905598</v>
      </c>
      <c r="AI3167">
        <v>124.184794551004</v>
      </c>
      <c r="AJ3167">
        <v>81.430467387097096</v>
      </c>
      <c r="AK3167">
        <v>0.36396699166598001</v>
      </c>
      <c r="AL3167">
        <v>79.995338506418506</v>
      </c>
      <c r="AM3167">
        <v>90.347619238632802</v>
      </c>
      <c r="AN3167">
        <v>1.0000000029579601</v>
      </c>
    </row>
    <row r="3168" spans="1:40" x14ac:dyDescent="0.25">
      <c r="A3168" t="str">
        <f>"20190303162318546"</f>
        <v>20190303162318546</v>
      </c>
      <c r="B3168" t="str">
        <f>"1551601398538274"</f>
        <v>1551601398538274</v>
      </c>
      <c r="C3168" t="s">
        <v>40</v>
      </c>
      <c r="D3168">
        <v>5.4047429999999999</v>
      </c>
      <c r="E3168">
        <v>0.53536589999999995</v>
      </c>
      <c r="F3168" t="s">
        <v>42</v>
      </c>
      <c r="G3168">
        <v>-406.93790000000001</v>
      </c>
      <c r="H3168">
        <v>0.85403280000000004</v>
      </c>
      <c r="I3168">
        <v>214.75839999999999</v>
      </c>
      <c r="J3168">
        <v>-407.53339999999997</v>
      </c>
      <c r="K3168">
        <v>1.1212059999999999</v>
      </c>
      <c r="L3168">
        <v>214.8356</v>
      </c>
      <c r="M3168">
        <v>0.99992879999999995</v>
      </c>
      <c r="N3168">
        <v>-1.1045060000000001E-2</v>
      </c>
      <c r="O3168">
        <v>-4.5380029999999997E-3</v>
      </c>
      <c r="P3168">
        <v>0.98641730000000005</v>
      </c>
      <c r="Q3168">
        <v>0.16425799999999999</v>
      </c>
      <c r="R3168">
        <v>7.5930170000000001E-4</v>
      </c>
      <c r="S3168">
        <v>3.1990970000000001</v>
      </c>
      <c r="T3168">
        <v>-0.95933000000000002</v>
      </c>
      <c r="U3168">
        <v>-0.27882390000000001</v>
      </c>
      <c r="V3168">
        <v>-5.5005490000000004E-3</v>
      </c>
      <c r="W3168">
        <v>0.1751345</v>
      </c>
      <c r="X3168">
        <v>0.98452910000000005</v>
      </c>
      <c r="Y3168">
        <v>7.8910649999999999E-2</v>
      </c>
      <c r="Z3168">
        <v>-1.072266E-2</v>
      </c>
      <c r="AA3168">
        <v>0.99682400000000004</v>
      </c>
      <c r="AB3168">
        <v>30</v>
      </c>
      <c r="AC3168">
        <v>0.59549999999995795</v>
      </c>
      <c r="AD3168">
        <v>-0.267173199999999</v>
      </c>
      <c r="AE3168">
        <v>-7.7200000000004806E-2</v>
      </c>
      <c r="AF3168">
        <v>6.2186110248408102E-2</v>
      </c>
      <c r="AG3168">
        <v>-0.267173199999999</v>
      </c>
      <c r="AH3168">
        <v>0.49738115393933102</v>
      </c>
      <c r="AI3168">
        <v>118.058065808566</v>
      </c>
      <c r="AJ3168">
        <v>82.873456305631194</v>
      </c>
      <c r="AK3168">
        <v>0.56801112964455802</v>
      </c>
      <c r="AL3168">
        <v>79.913514210500495</v>
      </c>
      <c r="AM3168">
        <v>90.320107311818404</v>
      </c>
      <c r="AN3168">
        <v>0.99999994893817901</v>
      </c>
    </row>
    <row r="3169" spans="1:40" x14ac:dyDescent="0.25">
      <c r="A3169" t="str">
        <f>"20190303162318570"</f>
        <v>20190303162318570</v>
      </c>
      <c r="B3169" t="str">
        <f>"1551601398557793"</f>
        <v>1551601398557793</v>
      </c>
      <c r="C3169" t="s">
        <v>40</v>
      </c>
      <c r="D3169">
        <v>5.3781790000000003</v>
      </c>
      <c r="E3169">
        <v>0.53501849999999995</v>
      </c>
      <c r="F3169" t="s">
        <v>42</v>
      </c>
      <c r="G3169">
        <v>-406.66699999999997</v>
      </c>
      <c r="H3169">
        <v>0.86082969999999903</v>
      </c>
      <c r="I3169">
        <v>214.76169999999999</v>
      </c>
      <c r="J3169">
        <v>-407.22370000000001</v>
      </c>
      <c r="K3169">
        <v>1.1211990000000001</v>
      </c>
      <c r="L3169">
        <v>214.83500000000001</v>
      </c>
      <c r="M3169">
        <v>0.99993209999999999</v>
      </c>
      <c r="N3169">
        <v>-1.1046830000000001E-2</v>
      </c>
      <c r="O3169">
        <v>-3.7402690000000001E-3</v>
      </c>
      <c r="P3169">
        <v>0.98629560000000005</v>
      </c>
      <c r="Q3169">
        <v>0.16498080000000001</v>
      </c>
      <c r="R3169">
        <v>1.4927059999999999E-3</v>
      </c>
      <c r="S3169">
        <v>3.2017820000000001</v>
      </c>
      <c r="T3169">
        <v>-0.96241520000000003</v>
      </c>
      <c r="U3169">
        <v>-0.27175899999999997</v>
      </c>
      <c r="V3169">
        <v>-5.4435000000000004E-3</v>
      </c>
      <c r="W3169">
        <v>0.175858399999999</v>
      </c>
      <c r="X3169">
        <v>0.98440050000000001</v>
      </c>
      <c r="Y3169">
        <v>7.7466930000000003E-2</v>
      </c>
      <c r="Z3169">
        <v>-1.075242E-2</v>
      </c>
      <c r="AA3169">
        <v>0.99693690000000001</v>
      </c>
      <c r="AB3169">
        <v>30</v>
      </c>
      <c r="AC3169">
        <v>0.55670000000003395</v>
      </c>
      <c r="AD3169">
        <v>-0.26036930000000003</v>
      </c>
      <c r="AE3169">
        <v>-7.3300000000017407E-2</v>
      </c>
      <c r="AF3169">
        <v>5.8614129541832601E-2</v>
      </c>
      <c r="AG3169">
        <v>-0.26036930000000003</v>
      </c>
      <c r="AH3169">
        <v>0.45840541445969601</v>
      </c>
      <c r="AI3169">
        <v>119.397003507021</v>
      </c>
      <c r="AJ3169">
        <v>82.713399157083998</v>
      </c>
      <c r="AK3169">
        <v>0.53043690724760395</v>
      </c>
      <c r="AL3169">
        <v>79.871385238650603</v>
      </c>
      <c r="AM3169">
        <v>90.316828767177597</v>
      </c>
      <c r="AN3169">
        <v>1.00000007647152</v>
      </c>
    </row>
    <row r="3170" spans="1:40" x14ac:dyDescent="0.25">
      <c r="A3170" t="str">
        <f>"20190303162318591"</f>
        <v>20190303162318591</v>
      </c>
      <c r="B3170" t="str">
        <f>"1551601398588050"</f>
        <v>1551601398588050</v>
      </c>
      <c r="C3170" t="s">
        <v>40</v>
      </c>
      <c r="D3170">
        <v>5.435333</v>
      </c>
      <c r="E3170">
        <v>0.53497359999999905</v>
      </c>
      <c r="F3170" t="s">
        <v>42</v>
      </c>
      <c r="G3170">
        <v>-406.39389999999997</v>
      </c>
      <c r="H3170">
        <v>0.8727338</v>
      </c>
      <c r="I3170">
        <v>214.7662</v>
      </c>
      <c r="J3170">
        <v>-406.92140000000001</v>
      </c>
      <c r="K3170">
        <v>1.121183</v>
      </c>
      <c r="L3170">
        <v>214.8347</v>
      </c>
      <c r="M3170">
        <v>0.99993460000000001</v>
      </c>
      <c r="N3170">
        <v>-1.1048550000000001E-2</v>
      </c>
      <c r="O3170">
        <v>-2.9803519999999999E-3</v>
      </c>
      <c r="P3170">
        <v>0.98625059999999998</v>
      </c>
      <c r="Q3170">
        <v>0.16525119999999999</v>
      </c>
      <c r="R3170">
        <v>1.415274E-3</v>
      </c>
      <c r="S3170">
        <v>3.2024840000000001</v>
      </c>
      <c r="T3170">
        <v>-0.95893859999999997</v>
      </c>
      <c r="U3170">
        <v>-0.26412960000000002</v>
      </c>
      <c r="V3170">
        <v>-4.6124340000000003E-3</v>
      </c>
      <c r="W3170">
        <v>0.1761316</v>
      </c>
      <c r="X3170">
        <v>0.9843558</v>
      </c>
      <c r="Y3170">
        <v>7.5911019999999996E-2</v>
      </c>
      <c r="Z3170">
        <v>-1.0693340000000001E-2</v>
      </c>
      <c r="AA3170">
        <v>0.99705730000000004</v>
      </c>
      <c r="AB3170">
        <v>30</v>
      </c>
      <c r="AC3170">
        <v>0.52750000000003106</v>
      </c>
      <c r="AD3170">
        <v>-0.24844920000000001</v>
      </c>
      <c r="AE3170">
        <v>-6.85000000000002E-2</v>
      </c>
      <c r="AF3170">
        <v>5.4941605466686298E-2</v>
      </c>
      <c r="AG3170">
        <v>-0.24844920000000001</v>
      </c>
      <c r="AH3170">
        <v>0.43319712962266799</v>
      </c>
      <c r="AI3170">
        <v>119.63843942874</v>
      </c>
      <c r="AJ3170">
        <v>82.771871205540904</v>
      </c>
      <c r="AK3170">
        <v>0.50239958012046104</v>
      </c>
      <c r="AL3170">
        <v>79.855482819510598</v>
      </c>
      <c r="AM3170">
        <v>90.268471082680804</v>
      </c>
      <c r="AN3170">
        <v>0.99999997802980101</v>
      </c>
    </row>
    <row r="3171" spans="1:40" x14ac:dyDescent="0.25">
      <c r="A3171" t="str">
        <f>"20190303162318613"</f>
        <v>20190303162318613</v>
      </c>
      <c r="B3171" t="str">
        <f>"1551601398608546"</f>
        <v>1551601398608546</v>
      </c>
      <c r="C3171" t="s">
        <v>40</v>
      </c>
      <c r="D3171">
        <v>5.4251149999999999</v>
      </c>
      <c r="E3171">
        <v>0.53302439999999995</v>
      </c>
      <c r="F3171" t="s">
        <v>42</v>
      </c>
      <c r="G3171">
        <v>-406.12189999999998</v>
      </c>
      <c r="H3171">
        <v>0.88133359999999905</v>
      </c>
      <c r="I3171">
        <v>214.7696</v>
      </c>
      <c r="J3171">
        <v>-406.63940000000002</v>
      </c>
      <c r="K3171">
        <v>1.1211660000000001</v>
      </c>
      <c r="L3171">
        <v>214.83459999999999</v>
      </c>
      <c r="M3171">
        <v>0.99993650000000001</v>
      </c>
      <c r="N3171">
        <v>-1.105012E-2</v>
      </c>
      <c r="O3171">
        <v>-2.2955810000000001E-3</v>
      </c>
      <c r="P3171">
        <v>0.98645300000000002</v>
      </c>
      <c r="Q3171">
        <v>0.16403870000000001</v>
      </c>
      <c r="R3171">
        <v>1.3804659999999999E-3</v>
      </c>
      <c r="S3171">
        <v>3.203217</v>
      </c>
      <c r="T3171">
        <v>-0.96099480000000004</v>
      </c>
      <c r="U3171">
        <v>-0.25975039999999999</v>
      </c>
      <c r="V3171">
        <v>-3.8941980000000002E-3</v>
      </c>
      <c r="W3171">
        <v>0.17492369999999999</v>
      </c>
      <c r="X3171">
        <v>0.98457430000000001</v>
      </c>
      <c r="Y3171">
        <v>7.521216E-2</v>
      </c>
      <c r="Z3171">
        <v>-1.0799649999999999E-2</v>
      </c>
      <c r="AA3171">
        <v>0.99710909999999997</v>
      </c>
      <c r="AB3171">
        <v>30</v>
      </c>
      <c r="AC3171">
        <v>0.51750000000004004</v>
      </c>
      <c r="AD3171">
        <v>-0.239832399999999</v>
      </c>
      <c r="AE3171">
        <v>-6.4999999999997699E-2</v>
      </c>
      <c r="AF3171">
        <v>5.2674125791710699E-2</v>
      </c>
      <c r="AG3171">
        <v>-0.239832399999999</v>
      </c>
      <c r="AH3171">
        <v>0.42729794937292198</v>
      </c>
      <c r="AI3171">
        <v>119.120435760036</v>
      </c>
      <c r="AJ3171">
        <v>82.972454801176696</v>
      </c>
      <c r="AK3171">
        <v>0.49282621800791598</v>
      </c>
      <c r="AL3171">
        <v>79.925782139354595</v>
      </c>
      <c r="AM3171">
        <v>90.226615651576907</v>
      </c>
      <c r="AN3171">
        <v>1.00000000891012</v>
      </c>
    </row>
    <row r="3172" spans="1:40" x14ac:dyDescent="0.25">
      <c r="A3172" t="str">
        <f>"20190303162318635"</f>
        <v>20190303162318635</v>
      </c>
      <c r="B3172" t="str">
        <f>"1551601398628066"</f>
        <v>1551601398628066</v>
      </c>
      <c r="C3172" t="s">
        <v>40</v>
      </c>
      <c r="D3172">
        <v>5.4393580000000004</v>
      </c>
      <c r="E3172">
        <v>0.53295530000000002</v>
      </c>
      <c r="F3172" t="s">
        <v>42</v>
      </c>
      <c r="G3172">
        <v>-405.86470000000003</v>
      </c>
      <c r="H3172">
        <v>0.85225079999999998</v>
      </c>
      <c r="I3172">
        <v>214.77590000000001</v>
      </c>
      <c r="J3172">
        <v>-406.32819999999998</v>
      </c>
      <c r="K3172">
        <v>1.121135</v>
      </c>
      <c r="L3172">
        <v>214.8347</v>
      </c>
      <c r="M3172">
        <v>0.99993770000000004</v>
      </c>
      <c r="N3172">
        <v>-1.105185E-2</v>
      </c>
      <c r="O3172">
        <v>-1.57887E-3</v>
      </c>
      <c r="P3172">
        <v>0.98656489999999997</v>
      </c>
      <c r="Q3172">
        <v>0.1633695</v>
      </c>
      <c r="R3172">
        <v>1.7258479999999999E-4</v>
      </c>
      <c r="S3172">
        <v>3.2279049999999998</v>
      </c>
      <c r="T3172">
        <v>-1.1206259999999999</v>
      </c>
      <c r="U3172">
        <v>-0.2427521</v>
      </c>
      <c r="V3172">
        <v>-1.9676749999999999E-3</v>
      </c>
      <c r="W3172">
        <v>0.17426029999999901</v>
      </c>
      <c r="X3172">
        <v>0.98469759999999995</v>
      </c>
      <c r="Y3172">
        <v>6.9330409999999995E-2</v>
      </c>
      <c r="Z3172">
        <v>-1.155721E-2</v>
      </c>
      <c r="AA3172">
        <v>0.99752680000000005</v>
      </c>
      <c r="AB3172">
        <v>30</v>
      </c>
      <c r="AC3172">
        <v>0.46349999999995301</v>
      </c>
      <c r="AD3172">
        <v>-0.26888420000000002</v>
      </c>
      <c r="AE3172">
        <v>-5.8799999999990797E-2</v>
      </c>
      <c r="AF3172">
        <v>4.3620674908136099E-2</v>
      </c>
      <c r="AG3172">
        <v>-0.26888420000000002</v>
      </c>
      <c r="AH3172">
        <v>0.34825000193118399</v>
      </c>
      <c r="AI3172">
        <v>127.456251775168</v>
      </c>
      <c r="AJ3172">
        <v>82.860497876671204</v>
      </c>
      <c r="AK3172">
        <v>0.44213068219040302</v>
      </c>
      <c r="AL3172">
        <v>79.964384406026596</v>
      </c>
      <c r="AM3172">
        <v>90.114491314792403</v>
      </c>
      <c r="AN3172">
        <v>0.99999994367337597</v>
      </c>
    </row>
    <row r="3173" spans="1:40" x14ac:dyDescent="0.25">
      <c r="A3173" t="str">
        <f>"20190303162318657"</f>
        <v>20190303162318657</v>
      </c>
      <c r="B3173" t="str">
        <f>"1551601398647586"</f>
        <v>1551601398647586</v>
      </c>
      <c r="C3173" t="s">
        <v>40</v>
      </c>
      <c r="D3173">
        <v>5.4497600000000004</v>
      </c>
      <c r="E3173">
        <v>0.53292430000000002</v>
      </c>
      <c r="F3173" t="s">
        <v>42</v>
      </c>
      <c r="G3173">
        <v>-405.59140000000002</v>
      </c>
      <c r="H3173">
        <v>0.86369319999999905</v>
      </c>
      <c r="I3173">
        <v>214.77860000000001</v>
      </c>
      <c r="J3173">
        <v>-406.03680000000003</v>
      </c>
      <c r="K3173">
        <v>1.1210990000000001</v>
      </c>
      <c r="L3173">
        <v>214.8349</v>
      </c>
      <c r="M3173">
        <v>0.99993849999999995</v>
      </c>
      <c r="N3173">
        <v>-1.105337E-2</v>
      </c>
      <c r="O3173">
        <v>-9.5762889999999995E-4</v>
      </c>
      <c r="P3173">
        <v>0.98663250000000002</v>
      </c>
      <c r="Q3173">
        <v>0.16294919999999999</v>
      </c>
      <c r="R3173">
        <v>-1.9940169999999998E-3</v>
      </c>
      <c r="S3173">
        <v>3.2276609999999999</v>
      </c>
      <c r="T3173">
        <v>-1.127796</v>
      </c>
      <c r="U3173">
        <v>-0.24583440000000001</v>
      </c>
      <c r="V3173">
        <v>8.2697469999999998E-4</v>
      </c>
      <c r="W3173">
        <v>0.1738461</v>
      </c>
      <c r="X3173">
        <v>0.98477250000000005</v>
      </c>
      <c r="Y3173">
        <v>7.0732439999999994E-2</v>
      </c>
      <c r="Z3173">
        <v>-1.2074619999999999E-2</v>
      </c>
      <c r="AA3173">
        <v>0.99742220000000004</v>
      </c>
      <c r="AB3173">
        <v>30</v>
      </c>
      <c r="AC3173">
        <v>0.44540000000000601</v>
      </c>
      <c r="AD3173">
        <v>-0.25740580000000002</v>
      </c>
      <c r="AE3173">
        <v>-5.6299999999993099E-2</v>
      </c>
      <c r="AF3173">
        <v>4.2049939821695699E-2</v>
      </c>
      <c r="AG3173">
        <v>-0.25740580000000002</v>
      </c>
      <c r="AH3173">
        <v>0.33524530572996097</v>
      </c>
      <c r="AI3173">
        <v>127.301735206549</v>
      </c>
      <c r="AJ3173">
        <v>82.850706404420194</v>
      </c>
      <c r="AK3173">
        <v>0.42475329113100802</v>
      </c>
      <c r="AL3173">
        <v>79.988484879182593</v>
      </c>
      <c r="AM3173">
        <v>89.951885182683199</v>
      </c>
      <c r="AN3173">
        <v>1.0000000135642999</v>
      </c>
    </row>
    <row r="3174" spans="1:40" x14ac:dyDescent="0.25">
      <c r="A3174" t="str">
        <f>"20190303162318678"</f>
        <v>20190303162318678</v>
      </c>
      <c r="B3174" t="str">
        <f>"1551601398668081"</f>
        <v>1551601398668081</v>
      </c>
      <c r="C3174" t="s">
        <v>40</v>
      </c>
      <c r="D3174">
        <v>5.454396</v>
      </c>
      <c r="E3174">
        <v>0.53287410000000002</v>
      </c>
      <c r="F3174" t="s">
        <v>42</v>
      </c>
      <c r="G3174">
        <v>-405.31990000000002</v>
      </c>
      <c r="H3174">
        <v>0.86984859999999897</v>
      </c>
      <c r="I3174">
        <v>214.77889999999999</v>
      </c>
      <c r="J3174">
        <v>-405.7466</v>
      </c>
      <c r="K3174">
        <v>1.121051</v>
      </c>
      <c r="L3174">
        <v>214.83519999999999</v>
      </c>
      <c r="M3174">
        <v>0.99993880000000002</v>
      </c>
      <c r="N3174">
        <v>-1.105478E-2</v>
      </c>
      <c r="O3174">
        <v>-4.0389350000000001E-4</v>
      </c>
      <c r="P3174">
        <v>0.98674019999999996</v>
      </c>
      <c r="Q3174">
        <v>0.16225000000000001</v>
      </c>
      <c r="R3174">
        <v>-4.3261339999999997E-3</v>
      </c>
      <c r="S3174">
        <v>3.2269290000000002</v>
      </c>
      <c r="T3174">
        <v>-1.131087</v>
      </c>
      <c r="U3174">
        <v>-0.25051879999999999</v>
      </c>
      <c r="V3174">
        <v>3.7261709999999999E-3</v>
      </c>
      <c r="W3174">
        <v>0.173153</v>
      </c>
      <c r="X3174">
        <v>0.98488790000000004</v>
      </c>
      <c r="Y3174">
        <v>7.2572330000000004E-2</v>
      </c>
      <c r="Z3174">
        <v>-1.2614220000000001E-2</v>
      </c>
      <c r="AA3174">
        <v>0.99728340000000004</v>
      </c>
      <c r="AB3174">
        <v>30</v>
      </c>
      <c r="AC3174">
        <v>0.42669999999998198</v>
      </c>
      <c r="AD3174">
        <v>-0.25120239999999999</v>
      </c>
      <c r="AE3174">
        <v>-5.6299999999993099E-2</v>
      </c>
      <c r="AF3174">
        <v>4.1866033310481797E-2</v>
      </c>
      <c r="AG3174">
        <v>-0.25120239999999999</v>
      </c>
      <c r="AH3174">
        <v>0.31829568988336798</v>
      </c>
      <c r="AI3174">
        <v>128.042157019706</v>
      </c>
      <c r="AJ3174">
        <v>82.506792743719103</v>
      </c>
      <c r="AK3174">
        <v>0.40763654977104802</v>
      </c>
      <c r="AL3174">
        <v>80.0288080995565</v>
      </c>
      <c r="AM3174">
        <v>89.783231316555302</v>
      </c>
      <c r="AN3174">
        <v>1.0000000106628599</v>
      </c>
    </row>
    <row r="3175" spans="1:40" x14ac:dyDescent="0.25">
      <c r="A3175" t="str">
        <f>"20190303162318702"</f>
        <v>20190303162318702</v>
      </c>
      <c r="B3175" t="str">
        <f>"1551601398697363"</f>
        <v>1551601398697363</v>
      </c>
      <c r="C3175" t="s">
        <v>40</v>
      </c>
      <c r="D3175">
        <v>5.4484620000000001</v>
      </c>
      <c r="E3175">
        <v>0.53264219999999995</v>
      </c>
      <c r="F3175" t="s">
        <v>42</v>
      </c>
      <c r="G3175">
        <v>-405.04860000000002</v>
      </c>
      <c r="H3175">
        <v>0.87526079999999995</v>
      </c>
      <c r="I3175">
        <v>214.77930000000001</v>
      </c>
      <c r="J3175">
        <v>-405.43799999999999</v>
      </c>
      <c r="K3175">
        <v>1.1209830000000001</v>
      </c>
      <c r="L3175">
        <v>214.8357</v>
      </c>
      <c r="M3175">
        <v>0.99993900000000002</v>
      </c>
      <c r="N3175">
        <v>-1.105626E-2</v>
      </c>
      <c r="O3175" s="1">
        <v>9.3638470000000006E-5</v>
      </c>
      <c r="P3175">
        <v>0.98682029999999998</v>
      </c>
      <c r="Q3175">
        <v>0.1617121</v>
      </c>
      <c r="R3175">
        <v>-5.925418E-3</v>
      </c>
      <c r="S3175">
        <v>3.2259519999999999</v>
      </c>
      <c r="T3175">
        <v>-1.1359269999999999</v>
      </c>
      <c r="U3175">
        <v>-0.25776670000000002</v>
      </c>
      <c r="V3175">
        <v>5.8447809999999899E-3</v>
      </c>
      <c r="W3175">
        <v>0.17261850000000001</v>
      </c>
      <c r="X3175">
        <v>0.98497140000000005</v>
      </c>
      <c r="Y3175">
        <v>7.5096259999999998E-2</v>
      </c>
      <c r="Z3175">
        <v>-1.3275790000000001E-2</v>
      </c>
      <c r="AA3175">
        <v>0.99708790000000003</v>
      </c>
      <c r="AB3175">
        <v>30</v>
      </c>
      <c r="AC3175">
        <v>0.38940000000002301</v>
      </c>
      <c r="AD3175">
        <v>-0.2457222</v>
      </c>
      <c r="AE3175">
        <v>-5.6399999999996397E-2</v>
      </c>
      <c r="AF3175">
        <v>4.0601357246891803E-2</v>
      </c>
      <c r="AG3175">
        <v>-0.2457222</v>
      </c>
      <c r="AH3175">
        <v>0.28013721380473999</v>
      </c>
      <c r="AI3175">
        <v>130.96057720104201</v>
      </c>
      <c r="AJ3175">
        <v>81.753326413589093</v>
      </c>
      <c r="AK3175">
        <v>0.37483960348582801</v>
      </c>
      <c r="AL3175">
        <v>80.059900619002804</v>
      </c>
      <c r="AM3175">
        <v>89.6600131202173</v>
      </c>
      <c r="AN3175">
        <v>0.99999998341257301</v>
      </c>
    </row>
    <row r="3176" spans="1:40" x14ac:dyDescent="0.25">
      <c r="A3176" t="str">
        <f>"20190303162318724"</f>
        <v>20190303162318724</v>
      </c>
      <c r="B3176" t="str">
        <f>"1551601398717858"</f>
        <v>1551601398717858</v>
      </c>
      <c r="C3176" t="s">
        <v>40</v>
      </c>
      <c r="D3176">
        <v>5.4595370000000001</v>
      </c>
      <c r="E3176">
        <v>0.53246530000000003</v>
      </c>
      <c r="F3176" t="s">
        <v>42</v>
      </c>
      <c r="G3176">
        <v>-404.7747</v>
      </c>
      <c r="H3176">
        <v>0.88680729999999997</v>
      </c>
      <c r="I3176">
        <v>214.78120000000001</v>
      </c>
      <c r="J3176">
        <v>-405.13529999999997</v>
      </c>
      <c r="K3176">
        <v>1.1209039999999999</v>
      </c>
      <c r="L3176">
        <v>214.83609999999999</v>
      </c>
      <c r="M3176">
        <v>0.99993880000000002</v>
      </c>
      <c r="N3176">
        <v>-1.10577E-2</v>
      </c>
      <c r="O3176">
        <v>4.6072799999999998E-4</v>
      </c>
      <c r="P3176">
        <v>0.98676870000000005</v>
      </c>
      <c r="Q3176">
        <v>0.16197500000000001</v>
      </c>
      <c r="R3176">
        <v>-7.2073409999999999E-3</v>
      </c>
      <c r="S3176">
        <v>3.2250369999999999</v>
      </c>
      <c r="T3176">
        <v>-1.1384749999999999</v>
      </c>
      <c r="U3176">
        <v>-0.26452639999999999</v>
      </c>
      <c r="V3176">
        <v>7.52303E-3</v>
      </c>
      <c r="W3176">
        <v>0.17288249999999999</v>
      </c>
      <c r="X3176">
        <v>0.9849137</v>
      </c>
      <c r="Y3176">
        <v>7.7376769999999997E-2</v>
      </c>
      <c r="Z3176">
        <v>-1.383033E-2</v>
      </c>
      <c r="AA3176">
        <v>0.99690599999999996</v>
      </c>
      <c r="AB3176">
        <v>30</v>
      </c>
      <c r="AC3176">
        <v>0.360599999999976</v>
      </c>
      <c r="AD3176">
        <v>-0.23409669999999999</v>
      </c>
      <c r="AE3176">
        <v>-5.4899999999974997E-2</v>
      </c>
      <c r="AF3176">
        <v>3.9001557920418199E-2</v>
      </c>
      <c r="AG3176">
        <v>-0.23409669999999999</v>
      </c>
      <c r="AH3176">
        <v>0.25538330821034999</v>
      </c>
      <c r="AI3176">
        <v>132.181059865686</v>
      </c>
      <c r="AJ3176">
        <v>81.317007721015003</v>
      </c>
      <c r="AK3176">
        <v>0.34863020606879802</v>
      </c>
      <c r="AL3176">
        <v>80.044543571942199</v>
      </c>
      <c r="AM3176">
        <v>89.562368270688197</v>
      </c>
      <c r="AN3176">
        <v>0.99999997561716003</v>
      </c>
    </row>
    <row r="3177" spans="1:40" x14ac:dyDescent="0.25">
      <c r="A3177" t="str">
        <f>"20190303162318748"</f>
        <v>20190303162318748</v>
      </c>
      <c r="B3177" t="str">
        <f>"1551601398737378"</f>
        <v>1551601398737378</v>
      </c>
      <c r="C3177" t="s">
        <v>40</v>
      </c>
      <c r="D3177">
        <v>5.438434</v>
      </c>
      <c r="E3177">
        <v>0.5322616</v>
      </c>
      <c r="F3177" t="s">
        <v>42</v>
      </c>
      <c r="G3177">
        <v>-404.26420000000002</v>
      </c>
      <c r="H3177">
        <v>0.81362970000000001</v>
      </c>
      <c r="I3177">
        <v>214.76249999999999</v>
      </c>
      <c r="J3177">
        <v>-404.82440000000003</v>
      </c>
      <c r="K3177">
        <v>1.120814</v>
      </c>
      <c r="L3177">
        <v>214.8366</v>
      </c>
      <c r="M3177">
        <v>0.99993869999999896</v>
      </c>
      <c r="N3177">
        <v>-1.105927E-2</v>
      </c>
      <c r="O3177">
        <v>7.0219849999999997E-4</v>
      </c>
      <c r="P3177">
        <v>0.98645369999999999</v>
      </c>
      <c r="Q3177">
        <v>0.16381389999999901</v>
      </c>
      <c r="R3177">
        <v>-8.6204750000000007E-3</v>
      </c>
      <c r="S3177">
        <v>3.224945</v>
      </c>
      <c r="T3177">
        <v>-1.1375599999999999</v>
      </c>
      <c r="U3177">
        <v>-0.27189639999999998</v>
      </c>
      <c r="V3177">
        <v>9.2139490000000008E-3</v>
      </c>
      <c r="W3177">
        <v>0.1747185</v>
      </c>
      <c r="X3177">
        <v>0.98457530000000004</v>
      </c>
      <c r="Y3177">
        <v>7.9730770000000006E-2</v>
      </c>
      <c r="Z3177">
        <v>-1.43152E-2</v>
      </c>
      <c r="AA3177">
        <v>0.99671359999999998</v>
      </c>
      <c r="AB3177">
        <v>30</v>
      </c>
      <c r="AC3177">
        <v>0.56020000000000802</v>
      </c>
      <c r="AD3177">
        <v>-0.30718430000000002</v>
      </c>
      <c r="AE3177">
        <v>-7.4100000000015598E-2</v>
      </c>
      <c r="AF3177">
        <v>5.7500994916105101E-2</v>
      </c>
      <c r="AG3177">
        <v>-0.30718430000000002</v>
      </c>
      <c r="AH3177">
        <v>0.43237477517926098</v>
      </c>
      <c r="AI3177">
        <v>125.155426423202</v>
      </c>
      <c r="AJ3177">
        <v>82.424753990880305</v>
      </c>
      <c r="AK3177">
        <v>0.53349461552498201</v>
      </c>
      <c r="AL3177">
        <v>79.937722891244505</v>
      </c>
      <c r="AM3177">
        <v>89.463824676690194</v>
      </c>
      <c r="AN3177">
        <v>0.99999998623425701</v>
      </c>
    </row>
    <row r="3178" spans="1:40" x14ac:dyDescent="0.25">
      <c r="A3178" t="str">
        <f>"20190303162318770"</f>
        <v>20190303162318770</v>
      </c>
      <c r="B3178" t="str">
        <f>"1551601398757874"</f>
        <v>1551601398757874</v>
      </c>
      <c r="C3178" t="s">
        <v>40</v>
      </c>
      <c r="D3178">
        <v>5.4625949999999897</v>
      </c>
      <c r="E3178">
        <v>0.532109099999999</v>
      </c>
      <c r="F3178" t="s">
        <v>42</v>
      </c>
      <c r="G3178">
        <v>-403.98860000000002</v>
      </c>
      <c r="H3178">
        <v>0.82780100000000001</v>
      </c>
      <c r="I3178">
        <v>214.7646</v>
      </c>
      <c r="J3178">
        <v>-404.51510000000002</v>
      </c>
      <c r="K3178">
        <v>1.120733</v>
      </c>
      <c r="L3178">
        <v>214.83699999999999</v>
      </c>
      <c r="M3178">
        <v>0.99993849999999995</v>
      </c>
      <c r="N3178">
        <v>-1.106097E-2</v>
      </c>
      <c r="O3178">
        <v>8.3579909999999995E-4</v>
      </c>
      <c r="P3178">
        <v>0.98625439999999998</v>
      </c>
      <c r="Q3178">
        <v>0.16496649999999999</v>
      </c>
      <c r="R3178">
        <v>-9.4183530000000008E-3</v>
      </c>
      <c r="S3178">
        <v>3.2266539999999999</v>
      </c>
      <c r="T3178">
        <v>-1.131186</v>
      </c>
      <c r="U3178">
        <v>-0.27769470000000002</v>
      </c>
      <c r="V3178">
        <v>1.018091E-2</v>
      </c>
      <c r="W3178">
        <v>0.17586869999999999</v>
      </c>
      <c r="X3178">
        <v>0.98436100000000004</v>
      </c>
      <c r="Y3178">
        <v>8.1538739999999998E-2</v>
      </c>
      <c r="Z3178">
        <v>-1.4595479999999999E-2</v>
      </c>
      <c r="AA3178">
        <v>0.99656330000000004</v>
      </c>
      <c r="AB3178">
        <v>30</v>
      </c>
      <c r="AC3178">
        <v>0.52649999999999797</v>
      </c>
      <c r="AD3178">
        <v>-0.29293200000000003</v>
      </c>
      <c r="AE3178">
        <v>-7.2400000000015993E-2</v>
      </c>
      <c r="AF3178">
        <v>5.58670980503383E-2</v>
      </c>
      <c r="AG3178">
        <v>-0.29293200000000003</v>
      </c>
      <c r="AH3178">
        <v>0.40377012484459401</v>
      </c>
      <c r="AI3178">
        <v>125.702745994178</v>
      </c>
      <c r="AJ3178">
        <v>82.122365267069696</v>
      </c>
      <c r="AK3178">
        <v>0.50195677402101602</v>
      </c>
      <c r="AL3178">
        <v>79.870785113938794</v>
      </c>
      <c r="AM3178">
        <v>89.407430428001206</v>
      </c>
      <c r="AN3178">
        <v>1.00000001444455</v>
      </c>
    </row>
    <row r="3179" spans="1:40" x14ac:dyDescent="0.25">
      <c r="A3179" t="str">
        <f>"20190303162318793"</f>
        <v>20190303162318793</v>
      </c>
      <c r="B3179" t="str">
        <f>"1551601398788130"</f>
        <v>1551601398788130</v>
      </c>
      <c r="C3179" t="s">
        <v>40</v>
      </c>
      <c r="D3179">
        <v>5.4442740000000001</v>
      </c>
      <c r="E3179">
        <v>0.53186860000000002</v>
      </c>
      <c r="F3179" t="s">
        <v>42</v>
      </c>
      <c r="G3179">
        <v>-403.71339999999998</v>
      </c>
      <c r="H3179">
        <v>0.84096360000000003</v>
      </c>
      <c r="I3179">
        <v>214.76660000000001</v>
      </c>
      <c r="J3179">
        <v>-404.21510000000001</v>
      </c>
      <c r="K3179">
        <v>1.1206659999999999</v>
      </c>
      <c r="L3179">
        <v>214.8374</v>
      </c>
      <c r="M3179">
        <v>0.99993840000000001</v>
      </c>
      <c r="N3179">
        <v>-1.1062590000000001E-2</v>
      </c>
      <c r="O3179">
        <v>8.7750830000000004E-4</v>
      </c>
      <c r="P3179">
        <v>0.98599060000000005</v>
      </c>
      <c r="Q3179">
        <v>0.16657239999999901</v>
      </c>
      <c r="R3179">
        <v>-8.7231849999999996E-3</v>
      </c>
      <c r="S3179">
        <v>3.2274479999999999</v>
      </c>
      <c r="T3179">
        <v>-1.1261209999999999</v>
      </c>
      <c r="U3179">
        <v>-0.28199770000000002</v>
      </c>
      <c r="V3179">
        <v>9.5577579999999995E-3</v>
      </c>
      <c r="W3179">
        <v>0.1774715</v>
      </c>
      <c r="X3179">
        <v>0.9840795</v>
      </c>
      <c r="Y3179">
        <v>8.2842769999999996E-2</v>
      </c>
      <c r="Z3179">
        <v>-1.4773339999999999E-2</v>
      </c>
      <c r="AA3179">
        <v>0.99645309999999998</v>
      </c>
      <c r="AB3179">
        <v>30</v>
      </c>
      <c r="AC3179">
        <v>0.50170000000002701</v>
      </c>
      <c r="AD3179">
        <v>-0.27970239999999902</v>
      </c>
      <c r="AE3179">
        <v>-7.07999999999913E-2</v>
      </c>
      <c r="AF3179">
        <v>5.4600788332920397E-2</v>
      </c>
      <c r="AG3179">
        <v>-0.27970239999999902</v>
      </c>
      <c r="AH3179">
        <v>0.38447105710791102</v>
      </c>
      <c r="AI3179">
        <v>125.76415494798501</v>
      </c>
      <c r="AJ3179">
        <v>81.917170258274098</v>
      </c>
      <c r="AK3179">
        <v>0.47857358097372099</v>
      </c>
      <c r="AL3179">
        <v>79.777483384482395</v>
      </c>
      <c r="AM3179">
        <v>89.443538883865102</v>
      </c>
      <c r="AN3179">
        <v>0.99999997318524203</v>
      </c>
    </row>
    <row r="3180" spans="1:40" x14ac:dyDescent="0.25">
      <c r="A3180" t="str">
        <f>"20190303162318815"</f>
        <v>20190303162318815</v>
      </c>
      <c r="B3180" t="str">
        <f>"1551601398807650"</f>
        <v>1551601398807650</v>
      </c>
      <c r="C3180" t="s">
        <v>40</v>
      </c>
      <c r="D3180">
        <v>5.490837</v>
      </c>
      <c r="E3180">
        <v>0.53165909999999905</v>
      </c>
      <c r="F3180" t="s">
        <v>42</v>
      </c>
      <c r="G3180">
        <v>-403.43900000000002</v>
      </c>
      <c r="H3180">
        <v>0.85131239999999997</v>
      </c>
      <c r="I3180">
        <v>214.76910000000001</v>
      </c>
      <c r="J3180">
        <v>-403.91309999999999</v>
      </c>
      <c r="K3180">
        <v>1.1206149999999999</v>
      </c>
      <c r="L3180">
        <v>214.83760000000001</v>
      </c>
      <c r="M3180">
        <v>0.99993840000000001</v>
      </c>
      <c r="N3180">
        <v>-1.10642E-2</v>
      </c>
      <c r="O3180">
        <v>8.2199319999999999E-4</v>
      </c>
      <c r="P3180">
        <v>0.98543950000000002</v>
      </c>
      <c r="Q3180">
        <v>0.16992979999999899</v>
      </c>
      <c r="R3180">
        <v>-5.7269130000000001E-3</v>
      </c>
      <c r="S3180">
        <v>3.2294309999999999</v>
      </c>
      <c r="T3180">
        <v>-1.1207309999999999</v>
      </c>
      <c r="U3180">
        <v>-0.283645599999999</v>
      </c>
      <c r="V3180">
        <v>6.5357080000000003E-3</v>
      </c>
      <c r="W3180">
        <v>0.18082239999999999</v>
      </c>
      <c r="X3180">
        <v>0.98349399999999998</v>
      </c>
      <c r="Y3180">
        <v>8.3268990000000001E-2</v>
      </c>
      <c r="Z3180">
        <v>-1.4756109999999999E-2</v>
      </c>
      <c r="AA3180">
        <v>0.99641780000000002</v>
      </c>
      <c r="AB3180">
        <v>30</v>
      </c>
      <c r="AC3180">
        <v>0.47409999999996399</v>
      </c>
      <c r="AD3180">
        <v>-0.269302599999999</v>
      </c>
      <c r="AE3180">
        <v>-6.85000000000002E-2</v>
      </c>
      <c r="AF3180">
        <v>5.23454510660432E-2</v>
      </c>
      <c r="AG3180">
        <v>-0.269302599999999</v>
      </c>
      <c r="AH3180">
        <v>0.36019926952296799</v>
      </c>
      <c r="AI3180">
        <v>126.496888654429</v>
      </c>
      <c r="AJ3180">
        <v>81.731455032373503</v>
      </c>
      <c r="AK3180">
        <v>0.452777484399288</v>
      </c>
      <c r="AL3180">
        <v>79.582333559121395</v>
      </c>
      <c r="AM3180">
        <v>89.619252407907297</v>
      </c>
      <c r="AN3180">
        <v>0.99999995192840896</v>
      </c>
    </row>
    <row r="3181" spans="1:40" x14ac:dyDescent="0.25">
      <c r="A3181" t="str">
        <f>"20190303162318838"</f>
        <v>20190303162318838</v>
      </c>
      <c r="B3181" t="str">
        <f>"1551601398828148"</f>
        <v>1551601398828148</v>
      </c>
      <c r="C3181" t="s">
        <v>40</v>
      </c>
      <c r="D3181">
        <v>5.4682029999999999</v>
      </c>
      <c r="E3181">
        <v>0.53152540000000004</v>
      </c>
      <c r="F3181" t="s">
        <v>42</v>
      </c>
      <c r="G3181">
        <v>-403.16370000000001</v>
      </c>
      <c r="H3181">
        <v>0.86344639999999995</v>
      </c>
      <c r="I3181">
        <v>214.7723</v>
      </c>
      <c r="J3181">
        <v>-403.60489999999999</v>
      </c>
      <c r="K3181">
        <v>1.1205670000000001</v>
      </c>
      <c r="L3181">
        <v>214.83779999999999</v>
      </c>
      <c r="M3181">
        <v>0.99993860000000001</v>
      </c>
      <c r="N3181">
        <v>-1.106588E-2</v>
      </c>
      <c r="O3181">
        <v>6.6766380000000004E-4</v>
      </c>
      <c r="P3181">
        <v>0.98438870000000001</v>
      </c>
      <c r="Q3181">
        <v>0.17600170000000001</v>
      </c>
      <c r="R3181">
        <v>-1.6207109999999999E-3</v>
      </c>
      <c r="S3181">
        <v>3.2340390000000001</v>
      </c>
      <c r="T3181">
        <v>-1.1097699999999999</v>
      </c>
      <c r="U3181">
        <v>-0.27948000000000001</v>
      </c>
      <c r="V3181">
        <v>2.3088079999999999E-3</v>
      </c>
      <c r="W3181">
        <v>0.18688379999999999</v>
      </c>
      <c r="X3181">
        <v>0.98237929999999996</v>
      </c>
      <c r="Y3181">
        <v>8.1912520000000003E-2</v>
      </c>
      <c r="Z3181">
        <v>-1.4322059999999999E-2</v>
      </c>
      <c r="AA3181">
        <v>0.99653659999999999</v>
      </c>
      <c r="AB3181">
        <v>30</v>
      </c>
      <c r="AC3181">
        <v>0.44119999999998</v>
      </c>
      <c r="AD3181">
        <v>-0.25712059999999998</v>
      </c>
      <c r="AE3181">
        <v>-6.5499999999985903E-2</v>
      </c>
      <c r="AF3181">
        <v>4.9384077547400602E-2</v>
      </c>
      <c r="AG3181">
        <v>-0.25712059999999998</v>
      </c>
      <c r="AH3181">
        <v>0.33112288971950499</v>
      </c>
      <c r="AI3181">
        <v>127.524858727573</v>
      </c>
      <c r="AJ3181">
        <v>81.517361190017994</v>
      </c>
      <c r="AK3181">
        <v>0.42212813002187299</v>
      </c>
      <c r="AL3181">
        <v>79.229017960933504</v>
      </c>
      <c r="AM3181">
        <v>89.865342530581998</v>
      </c>
      <c r="AN3181">
        <v>0.99999998718265504</v>
      </c>
    </row>
    <row r="3182" spans="1:40" x14ac:dyDescent="0.25">
      <c r="A3182" t="str">
        <f>"20190303162318858"</f>
        <v>20190303162318858</v>
      </c>
      <c r="B3182" t="str">
        <f>"1551601398847666"</f>
        <v>1551601398847666</v>
      </c>
      <c r="C3182" t="s">
        <v>40</v>
      </c>
      <c r="D3182">
        <v>5.457954</v>
      </c>
      <c r="E3182">
        <v>0.53138609999999997</v>
      </c>
      <c r="F3182" t="s">
        <v>42</v>
      </c>
      <c r="G3182">
        <v>-402.887</v>
      </c>
      <c r="H3182">
        <v>0.87901030000000002</v>
      </c>
      <c r="I3182">
        <v>214.77789999999999</v>
      </c>
      <c r="J3182">
        <v>-403.3254</v>
      </c>
      <c r="K3182">
        <v>1.12053</v>
      </c>
      <c r="L3182">
        <v>214.83789999999999</v>
      </c>
      <c r="M3182">
        <v>0.99993869999999896</v>
      </c>
      <c r="N3182">
        <v>-1.1067520000000001E-2</v>
      </c>
      <c r="O3182">
        <v>4.5289240000000001E-4</v>
      </c>
      <c r="P3182">
        <v>0.98328070000000001</v>
      </c>
      <c r="Q3182">
        <v>0.18206310000000001</v>
      </c>
      <c r="R3182">
        <v>3.4649500000000001E-3</v>
      </c>
      <c r="S3182">
        <v>3.2421259999999998</v>
      </c>
      <c r="T3182">
        <v>-1.0907849999999999</v>
      </c>
      <c r="U3182">
        <v>-0.27084350000000001</v>
      </c>
      <c r="V3182">
        <v>-2.9563459999999999E-3</v>
      </c>
      <c r="W3182">
        <v>0.19293560000000001</v>
      </c>
      <c r="X3182">
        <v>0.98120700000000005</v>
      </c>
      <c r="Y3182">
        <v>7.9193260000000001E-2</v>
      </c>
      <c r="Z3182">
        <v>-1.3538359999999999E-2</v>
      </c>
      <c r="AA3182">
        <v>0.99676730000000002</v>
      </c>
      <c r="AB3182">
        <v>30</v>
      </c>
      <c r="AC3182">
        <v>0.43840000000005802</v>
      </c>
      <c r="AD3182">
        <v>-0.241519699999999</v>
      </c>
      <c r="AE3182">
        <v>-6.0000000000002197E-2</v>
      </c>
      <c r="AF3182">
        <v>4.6380670618872202E-2</v>
      </c>
      <c r="AG3182">
        <v>-0.241519699999999</v>
      </c>
      <c r="AH3182">
        <v>0.33774936688423601</v>
      </c>
      <c r="AI3182">
        <v>125.315171585822</v>
      </c>
      <c r="AJ3182">
        <v>82.1808911706907</v>
      </c>
      <c r="AK3182">
        <v>0.41780086994386301</v>
      </c>
      <c r="AL3182">
        <v>78.875848095037199</v>
      </c>
      <c r="AM3182">
        <v>90.172629869152701</v>
      </c>
      <c r="AN3182">
        <v>1.00000003128901</v>
      </c>
    </row>
    <row r="3183" spans="1:40" x14ac:dyDescent="0.25">
      <c r="A3183" t="str">
        <f>"20190303162318880"</f>
        <v>20190303162318880</v>
      </c>
      <c r="B3183" t="str">
        <f>"1551601398868163"</f>
        <v>1551601398868163</v>
      </c>
      <c r="C3183" t="s">
        <v>40</v>
      </c>
      <c r="D3183">
        <v>5.5339159999999996</v>
      </c>
      <c r="E3183">
        <v>0.53125089999999997</v>
      </c>
      <c r="F3183" t="s">
        <v>42</v>
      </c>
      <c r="G3183">
        <v>-402.61349999999999</v>
      </c>
      <c r="H3183">
        <v>0.885665699999999</v>
      </c>
      <c r="I3183">
        <v>214.7809</v>
      </c>
      <c r="J3183">
        <v>-403.03</v>
      </c>
      <c r="K3183">
        <v>1.120495</v>
      </c>
      <c r="L3183">
        <v>214.83779999999999</v>
      </c>
      <c r="M3183">
        <v>0.99993880000000002</v>
      </c>
      <c r="N3183">
        <v>-1.1069300000000001E-2</v>
      </c>
      <c r="O3183">
        <v>1.6779020000000001E-4</v>
      </c>
      <c r="P3183">
        <v>0.98246100000000003</v>
      </c>
      <c r="Q3183">
        <v>0.18626219999999999</v>
      </c>
      <c r="R3183">
        <v>8.7655040000000004E-3</v>
      </c>
      <c r="S3183">
        <v>3.2504879999999998</v>
      </c>
      <c r="T3183">
        <v>-1.072363</v>
      </c>
      <c r="U3183">
        <v>-0.25869750000000002</v>
      </c>
      <c r="V3183">
        <v>-8.5050590000000006E-3</v>
      </c>
      <c r="W3183">
        <v>0.19712979999999999</v>
      </c>
      <c r="X3183">
        <v>0.98034049999999995</v>
      </c>
      <c r="Y3183">
        <v>7.5382489999999996E-2</v>
      </c>
      <c r="Z3183">
        <v>-1.257688E-2</v>
      </c>
      <c r="AA3183">
        <v>0.99707539999999995</v>
      </c>
      <c r="AB3183">
        <v>30</v>
      </c>
      <c r="AC3183">
        <v>0.41649999999998399</v>
      </c>
      <c r="AD3183">
        <v>-0.23482929999999999</v>
      </c>
      <c r="AE3183">
        <v>-5.6899999999984602E-2</v>
      </c>
      <c r="AF3183">
        <v>4.3420050057191198E-2</v>
      </c>
      <c r="AG3183">
        <v>-0.23482929999999999</v>
      </c>
      <c r="AH3183">
        <v>0.31743148233997398</v>
      </c>
      <c r="AI3183">
        <v>126.23971547077301</v>
      </c>
      <c r="AJ3183">
        <v>82.211100960827494</v>
      </c>
      <c r="AK3183">
        <v>0.397231477687774</v>
      </c>
      <c r="AL3183">
        <v>78.630832430215705</v>
      </c>
      <c r="AM3183">
        <v>90.497063785388903</v>
      </c>
      <c r="AN3183">
        <v>0.99999999500844095</v>
      </c>
    </row>
    <row r="3184" spans="1:40" x14ac:dyDescent="0.25">
      <c r="A3184" t="str">
        <f>"20190303162318903"</f>
        <v>20190303162318903</v>
      </c>
      <c r="B3184" t="str">
        <f>"1551601398897443"</f>
        <v>1551601398897443</v>
      </c>
      <c r="C3184" t="s">
        <v>40</v>
      </c>
      <c r="D3184">
        <v>5.6861899999999999</v>
      </c>
      <c r="E3184">
        <v>0.4868635</v>
      </c>
      <c r="F3184" t="s">
        <v>42</v>
      </c>
      <c r="G3184">
        <v>-402.3381</v>
      </c>
      <c r="H3184">
        <v>0.89574659999999995</v>
      </c>
      <c r="I3184">
        <v>214.7859</v>
      </c>
      <c r="J3184">
        <v>-402.7174</v>
      </c>
      <c r="K3184">
        <v>1.1204499999999999</v>
      </c>
      <c r="L3184">
        <v>214.83760000000001</v>
      </c>
      <c r="M3184">
        <v>0.99993880000000002</v>
      </c>
      <c r="N3184">
        <v>-1.107111E-2</v>
      </c>
      <c r="O3184">
        <v>-1.820859E-4</v>
      </c>
      <c r="P3184">
        <v>0.98175860000000004</v>
      </c>
      <c r="Q3184">
        <v>0.18961030000000001</v>
      </c>
      <c r="R3184">
        <v>1.408622E-2</v>
      </c>
      <c r="S3184">
        <v>3.256195</v>
      </c>
      <c r="T3184">
        <v>-1.0576950000000001</v>
      </c>
      <c r="U3184">
        <v>-0.2433777</v>
      </c>
      <c r="V3184">
        <v>-1.4141569999999999E-2</v>
      </c>
      <c r="W3184">
        <v>0.2004763</v>
      </c>
      <c r="X3184">
        <v>0.97959649999999998</v>
      </c>
      <c r="Y3184">
        <v>7.0619600000000005E-2</v>
      </c>
      <c r="Z3184">
        <v>-1.151347E-2</v>
      </c>
      <c r="AA3184">
        <v>0.99743689999999996</v>
      </c>
      <c r="AB3184">
        <v>30</v>
      </c>
      <c r="AC3184">
        <v>0.37930000000000003</v>
      </c>
      <c r="AD3184">
        <v>-0.224703399999999</v>
      </c>
      <c r="AE3184">
        <v>-5.1700000000010897E-2</v>
      </c>
      <c r="AF3184">
        <v>3.8400002902824602E-2</v>
      </c>
      <c r="AG3184">
        <v>-0.224703399999999</v>
      </c>
      <c r="AH3184">
        <v>0.28210769102816802</v>
      </c>
      <c r="AI3184">
        <v>128.28185663732299</v>
      </c>
      <c r="AJ3184">
        <v>82.248637832485002</v>
      </c>
      <c r="AK3184">
        <v>0.36269950031912301</v>
      </c>
      <c r="AL3184">
        <v>78.435187062483607</v>
      </c>
      <c r="AM3184">
        <v>90.827071143884595</v>
      </c>
      <c r="AN3184">
        <v>1.0000000168380001</v>
      </c>
    </row>
    <row r="3185" spans="1:40" x14ac:dyDescent="0.25">
      <c r="A3185" t="str">
        <f>"20190303162318925"</f>
        <v>20190303162318925</v>
      </c>
      <c r="B3185" t="str">
        <f>"1551601398917939"</f>
        <v>1551601398917939</v>
      </c>
      <c r="C3185" t="s">
        <v>40</v>
      </c>
      <c r="D3185">
        <v>5.7199099999999996</v>
      </c>
      <c r="E3185">
        <v>0.48054530000000001</v>
      </c>
      <c r="F3185" t="s">
        <v>47</v>
      </c>
      <c r="G3185">
        <v>-377.8578</v>
      </c>
      <c r="H3185" s="1">
        <v>2.6447720000000001E-6</v>
      </c>
      <c r="I3185">
        <v>215.9572</v>
      </c>
      <c r="J3185">
        <v>-402.41410000000002</v>
      </c>
      <c r="K3185">
        <v>1.12042</v>
      </c>
      <c r="L3185">
        <v>214.8372</v>
      </c>
      <c r="M3185">
        <v>0.99993860000000001</v>
      </c>
      <c r="N3185">
        <v>-1.1072800000000001E-2</v>
      </c>
      <c r="O3185">
        <v>-5.5700249999999997E-4</v>
      </c>
      <c r="P3185">
        <v>0.98121990000000003</v>
      </c>
      <c r="Q3185">
        <v>0.19204470000000001</v>
      </c>
      <c r="R3185">
        <v>1.8066949999999998E-2</v>
      </c>
      <c r="S3185">
        <v>3.0805660000000001</v>
      </c>
      <c r="T3185">
        <v>-0.13884449999999901</v>
      </c>
      <c r="U3185">
        <v>0.13874819999999999</v>
      </c>
      <c r="V3185">
        <v>-1.847186E-2</v>
      </c>
      <c r="W3185">
        <v>0.20291049999999999</v>
      </c>
      <c r="X3185">
        <v>0.97902299999999998</v>
      </c>
      <c r="Y3185">
        <v>-4.5492919999999999E-2</v>
      </c>
      <c r="Z3185">
        <v>1.2952479999999999E-3</v>
      </c>
      <c r="AA3185">
        <v>0.99896379999999996</v>
      </c>
      <c r="AB3185">
        <v>30</v>
      </c>
      <c r="AC3185">
        <v>24.5563</v>
      </c>
      <c r="AD3185">
        <v>-1.1204173552279999</v>
      </c>
      <c r="AE3185">
        <v>1.1200000000000001</v>
      </c>
      <c r="AF3185">
        <v>-1.1313283025908401</v>
      </c>
      <c r="AG3185">
        <v>-1.1204173552279999</v>
      </c>
      <c r="AH3185">
        <v>24.5047648008983</v>
      </c>
      <c r="AI3185">
        <v>92.6150973094379</v>
      </c>
      <c r="AJ3185">
        <v>92.643336609537599</v>
      </c>
      <c r="AK3185">
        <v>24.556439821877401</v>
      </c>
      <c r="AL3185">
        <v>78.292790515872397</v>
      </c>
      <c r="AM3185">
        <v>91.080908269538497</v>
      </c>
      <c r="AN3185">
        <v>0.99999995757555304</v>
      </c>
    </row>
    <row r="3186" spans="1:40" x14ac:dyDescent="0.25">
      <c r="A3186" t="str">
        <f>"20190303162318948"</f>
        <v>20190303162318948</v>
      </c>
      <c r="B3186" t="str">
        <f>"1551601398937458"</f>
        <v>1551601398937458</v>
      </c>
      <c r="C3186" t="s">
        <v>40</v>
      </c>
      <c r="D3186">
        <v>5.6822089999999896</v>
      </c>
      <c r="E3186">
        <v>0.48328959999999999</v>
      </c>
      <c r="F3186" t="s">
        <v>47</v>
      </c>
      <c r="G3186">
        <v>-357.00990000000002</v>
      </c>
      <c r="H3186" s="1">
        <v>2.0528999999999999E-6</v>
      </c>
      <c r="I3186">
        <v>217.83420000000001</v>
      </c>
      <c r="J3186">
        <v>-402.11110000000002</v>
      </c>
      <c r="K3186">
        <v>1.1203989999999999</v>
      </c>
      <c r="L3186">
        <v>214.8366</v>
      </c>
      <c r="M3186">
        <v>0.99993840000000001</v>
      </c>
      <c r="N3186">
        <v>-1.1074469999999999E-2</v>
      </c>
      <c r="O3186">
        <v>-9.4934079999999996E-4</v>
      </c>
      <c r="P3186">
        <v>0.98117509999999997</v>
      </c>
      <c r="Q3186">
        <v>0.1919602</v>
      </c>
      <c r="R3186">
        <v>2.1139410000000001E-2</v>
      </c>
      <c r="S3186">
        <v>3.0684809999999998</v>
      </c>
      <c r="T3186">
        <v>-7.5719590000000003E-2</v>
      </c>
      <c r="U3186">
        <v>0.20254520000000001</v>
      </c>
      <c r="V3186">
        <v>-2.1920160000000001E-2</v>
      </c>
      <c r="W3186">
        <v>0.20283019999999999</v>
      </c>
      <c r="X3186">
        <v>0.97896859999999997</v>
      </c>
      <c r="Y3186">
        <v>-6.6782789999999995E-2</v>
      </c>
      <c r="Z3186">
        <v>1.2061470000000001E-3</v>
      </c>
      <c r="AA3186">
        <v>0.99776679999999995</v>
      </c>
      <c r="AB3186">
        <v>30</v>
      </c>
      <c r="AC3186">
        <v>45.101199999999999</v>
      </c>
      <c r="AD3186">
        <v>-1.1203969470999999</v>
      </c>
      <c r="AE3186">
        <v>2.9975999999999998</v>
      </c>
      <c r="AF3186">
        <v>-3.0385507816960402</v>
      </c>
      <c r="AG3186">
        <v>-1.1203969470999999</v>
      </c>
      <c r="AH3186">
        <v>45.070642213927201</v>
      </c>
      <c r="AI3186">
        <v>91.420780699297097</v>
      </c>
      <c r="AJ3186">
        <v>93.856902883130601</v>
      </c>
      <c r="AK3186">
        <v>45.186843989681897</v>
      </c>
      <c r="AL3186">
        <v>78.297490186843405</v>
      </c>
      <c r="AM3186">
        <v>91.282699798328096</v>
      </c>
      <c r="AN3186">
        <v>1.00000005161621</v>
      </c>
    </row>
    <row r="3187" spans="1:40" x14ac:dyDescent="0.25">
      <c r="A3187" t="str">
        <f>"20190303162318970"</f>
        <v>20190303162318970</v>
      </c>
      <c r="B3187" t="str">
        <f>"1551601398957954"</f>
        <v>1551601398957954</v>
      </c>
      <c r="C3187" t="s">
        <v>40</v>
      </c>
      <c r="D3187">
        <v>5.6234339999999996</v>
      </c>
      <c r="E3187">
        <v>0.48333690000000001</v>
      </c>
      <c r="F3187" t="s">
        <v>47</v>
      </c>
      <c r="G3187">
        <v>-351.67</v>
      </c>
      <c r="H3187" s="1">
        <v>-7.9465489999999997E-7</v>
      </c>
      <c r="I3187">
        <v>217.9684</v>
      </c>
      <c r="J3187">
        <v>-401.79820000000001</v>
      </c>
      <c r="K3187">
        <v>1.120384</v>
      </c>
      <c r="L3187">
        <v>214.83590000000001</v>
      </c>
      <c r="M3187">
        <v>0.99993770000000004</v>
      </c>
      <c r="N3187">
        <v>-1.107617E-2</v>
      </c>
      <c r="O3187">
        <v>-1.3510179999999901E-3</v>
      </c>
      <c r="P3187">
        <v>0.98111919999999997</v>
      </c>
      <c r="Q3187">
        <v>0.19199740000000001</v>
      </c>
      <c r="R3187">
        <v>2.3278770000000001E-2</v>
      </c>
      <c r="S3187">
        <v>3.0668329999999999</v>
      </c>
      <c r="T3187">
        <v>-6.8120600000000003E-2</v>
      </c>
      <c r="U3187">
        <v>0.19041440000000001</v>
      </c>
      <c r="V3187">
        <v>-2.445137E-2</v>
      </c>
      <c r="W3187">
        <v>0.20287079999999999</v>
      </c>
      <c r="X3187">
        <v>0.9789002</v>
      </c>
      <c r="Y3187">
        <v>-6.3293989999999994E-2</v>
      </c>
      <c r="Z3187">
        <v>1.068149E-3</v>
      </c>
      <c r="AA3187">
        <v>0.99799439999999995</v>
      </c>
      <c r="AB3187">
        <v>30</v>
      </c>
      <c r="AC3187">
        <v>50.1281999999999</v>
      </c>
      <c r="AD3187">
        <v>-1.1203847946548999</v>
      </c>
      <c r="AE3187">
        <v>3.1324999999999901</v>
      </c>
      <c r="AF3187">
        <v>-3.1986337690579298</v>
      </c>
      <c r="AG3187">
        <v>-1.1203847946548999</v>
      </c>
      <c r="AH3187">
        <v>50.098992823469302</v>
      </c>
      <c r="AI3187">
        <v>91.278513696213594</v>
      </c>
      <c r="AJ3187">
        <v>93.653163279261307</v>
      </c>
      <c r="AK3187">
        <v>50.213500196686901</v>
      </c>
      <c r="AL3187">
        <v>78.2951141694424</v>
      </c>
      <c r="AM3187">
        <v>91.430859908409502</v>
      </c>
      <c r="AN3187">
        <v>1.0000000162737701</v>
      </c>
    </row>
    <row r="3188" spans="1:40" x14ac:dyDescent="0.25">
      <c r="A3188" t="str">
        <f>"20190303162318996"</f>
        <v>20190303162318996</v>
      </c>
      <c r="B3188" t="str">
        <f>"1551601398988210"</f>
        <v>1551601398988210</v>
      </c>
      <c r="C3188" t="s">
        <v>40</v>
      </c>
      <c r="D3188">
        <v>5.6038059999999996</v>
      </c>
      <c r="E3188">
        <v>0.4847245</v>
      </c>
      <c r="F3188" t="s">
        <v>47</v>
      </c>
      <c r="G3188">
        <v>-361.76760000000002</v>
      </c>
      <c r="H3188" s="1">
        <v>-5.9613699999999996E-7</v>
      </c>
      <c r="I3188">
        <v>217.3811</v>
      </c>
      <c r="J3188">
        <v>-401.46859999999998</v>
      </c>
      <c r="K3188">
        <v>1.120395</v>
      </c>
      <c r="L3188">
        <v>214.83510000000001</v>
      </c>
      <c r="M3188">
        <v>0.99993719999999997</v>
      </c>
      <c r="N3188">
        <v>-1.1077969999999999E-2</v>
      </c>
      <c r="O3188">
        <v>-1.7477300000000001E-3</v>
      </c>
      <c r="P3188">
        <v>0.98110260000000005</v>
      </c>
      <c r="Q3188">
        <v>0.19187660000000001</v>
      </c>
      <c r="R3188">
        <v>2.4930219999999999E-2</v>
      </c>
      <c r="S3188">
        <v>3.0699160000000001</v>
      </c>
      <c r="T3188">
        <v>-8.5921529999999996E-2</v>
      </c>
      <c r="U3188">
        <v>0.19519039999999999</v>
      </c>
      <c r="V3188">
        <v>-2.649692E-2</v>
      </c>
      <c r="W3188">
        <v>0.20275270000000001</v>
      </c>
      <c r="X3188">
        <v>0.97887139999999995</v>
      </c>
      <c r="Y3188">
        <v>-6.5162029999999996E-2</v>
      </c>
      <c r="Z3188">
        <v>1.30171E-3</v>
      </c>
      <c r="AA3188">
        <v>0.99787380000000003</v>
      </c>
      <c r="AB3188">
        <v>30</v>
      </c>
      <c r="AC3188">
        <v>39.700999999999901</v>
      </c>
      <c r="AD3188">
        <v>-1.120395596137</v>
      </c>
      <c r="AE3188">
        <v>2.54599999999999</v>
      </c>
      <c r="AF3188">
        <v>-2.6133142310689101</v>
      </c>
      <c r="AG3188">
        <v>-1.120395596137</v>
      </c>
      <c r="AH3188">
        <v>39.665028890651001</v>
      </c>
      <c r="AI3188">
        <v>91.614472822839005</v>
      </c>
      <c r="AJ3188">
        <v>93.769461202102207</v>
      </c>
      <c r="AK3188">
        <v>39.766810463731296</v>
      </c>
      <c r="AL3188">
        <v>78.302023992029206</v>
      </c>
      <c r="AM3188">
        <v>91.550552045923098</v>
      </c>
      <c r="AN3188">
        <v>0.99999998093236697</v>
      </c>
    </row>
    <row r="3189" spans="1:40" x14ac:dyDescent="0.25">
      <c r="A3189" t="str">
        <f>"20190303162319016"</f>
        <v>20190303162319016</v>
      </c>
      <c r="B3189" t="str">
        <f>"1551601399007731"</f>
        <v>1551601399007731</v>
      </c>
      <c r="C3189" t="s">
        <v>40</v>
      </c>
      <c r="D3189">
        <v>5.6628629999999998</v>
      </c>
      <c r="E3189">
        <v>0.48560330000000002</v>
      </c>
      <c r="F3189" t="s">
        <v>47</v>
      </c>
      <c r="G3189">
        <v>-369.4468</v>
      </c>
      <c r="H3189" s="1">
        <v>3.4903089999999999E-6</v>
      </c>
      <c r="I3189">
        <v>216.7901</v>
      </c>
      <c r="J3189">
        <v>-401.17899999999997</v>
      </c>
      <c r="K3189">
        <v>1.1204099999999999</v>
      </c>
      <c r="L3189">
        <v>214.83420000000001</v>
      </c>
      <c r="M3189">
        <v>0.99993650000000001</v>
      </c>
      <c r="N3189">
        <v>-1.1079479999999999E-2</v>
      </c>
      <c r="O3189">
        <v>-2.0611129999999998E-3</v>
      </c>
      <c r="P3189">
        <v>0.98109480000000004</v>
      </c>
      <c r="Q3189">
        <v>0.19192870000000001</v>
      </c>
      <c r="R3189">
        <v>2.4823640000000001E-2</v>
      </c>
      <c r="S3189">
        <v>3.0740970000000001</v>
      </c>
      <c r="T3189">
        <v>-0.10755770000000001</v>
      </c>
      <c r="U3189">
        <v>0.18768309999999999</v>
      </c>
      <c r="V3189">
        <v>-2.670668E-2</v>
      </c>
      <c r="W3189">
        <v>0.20280500000000001</v>
      </c>
      <c r="X3189">
        <v>0.97885489999999997</v>
      </c>
      <c r="Y3189">
        <v>-6.2945760000000003E-2</v>
      </c>
      <c r="Z3189">
        <v>1.49822E-3</v>
      </c>
      <c r="AA3189">
        <v>0.99801580000000001</v>
      </c>
      <c r="AB3189">
        <v>30</v>
      </c>
      <c r="AC3189">
        <v>31.732199999999999</v>
      </c>
      <c r="AD3189">
        <v>-1.1204065096910001</v>
      </c>
      <c r="AE3189">
        <v>1.95589999999998</v>
      </c>
      <c r="AF3189">
        <v>-2.0187962657884002</v>
      </c>
      <c r="AG3189">
        <v>-1.1204065096910001</v>
      </c>
      <c r="AH3189">
        <v>31.688745181200598</v>
      </c>
      <c r="AI3189">
        <v>92.020847520685194</v>
      </c>
      <c r="AJ3189">
        <v>93.645218560934893</v>
      </c>
      <c r="AK3189">
        <v>31.772746501817899</v>
      </c>
      <c r="AL3189">
        <v>78.298964251310196</v>
      </c>
      <c r="AM3189">
        <v>91.562847090429003</v>
      </c>
      <c r="AN3189">
        <v>1.0000000150178101</v>
      </c>
    </row>
    <row r="3190" spans="1:40" x14ac:dyDescent="0.25">
      <c r="A3190" t="str">
        <f>"20190303162319037"</f>
        <v>20190303162319037</v>
      </c>
      <c r="B3190" t="str">
        <f>"1551601399028227"</f>
        <v>1551601399028227</v>
      </c>
      <c r="C3190" t="s">
        <v>40</v>
      </c>
      <c r="D3190">
        <v>5.6634089999999997</v>
      </c>
      <c r="E3190">
        <v>0.48672399999999999</v>
      </c>
      <c r="F3190" t="s">
        <v>47</v>
      </c>
      <c r="G3190">
        <v>-371.68119999999999</v>
      </c>
      <c r="H3190" s="1">
        <v>-6.4211730000000003E-7</v>
      </c>
      <c r="I3190">
        <v>216.5598</v>
      </c>
      <c r="J3190">
        <v>-400.89109999999999</v>
      </c>
      <c r="K3190">
        <v>1.1204339999999999</v>
      </c>
      <c r="L3190">
        <v>214.83340000000001</v>
      </c>
      <c r="M3190">
        <v>0.99993589999999999</v>
      </c>
      <c r="N3190">
        <v>-1.1080929999999999E-2</v>
      </c>
      <c r="O3190">
        <v>-2.3343539999999999E-3</v>
      </c>
      <c r="P3190">
        <v>0.9810354</v>
      </c>
      <c r="Q3190">
        <v>0.1923522</v>
      </c>
      <c r="R3190">
        <v>2.3881940000000001E-2</v>
      </c>
      <c r="S3190">
        <v>3.0761409999999998</v>
      </c>
      <c r="T3190">
        <v>-0.116841</v>
      </c>
      <c r="U3190">
        <v>0.17994689999999999</v>
      </c>
      <c r="V3190">
        <v>-2.6044350000000001E-2</v>
      </c>
      <c r="W3190">
        <v>0.20322699999999999</v>
      </c>
      <c r="X3190">
        <v>0.97878520000000002</v>
      </c>
      <c r="Y3190">
        <v>-6.0670920000000003E-2</v>
      </c>
      <c r="Z3190">
        <v>1.550152E-3</v>
      </c>
      <c r="AA3190">
        <v>0.99815659999999895</v>
      </c>
      <c r="AB3190">
        <v>30</v>
      </c>
      <c r="AC3190">
        <v>29.209900000000001</v>
      </c>
      <c r="AD3190">
        <v>-1.1204346421172999</v>
      </c>
      <c r="AE3190">
        <v>1.72639999999998</v>
      </c>
      <c r="AF3190">
        <v>-1.79195832659043</v>
      </c>
      <c r="AG3190">
        <v>-1.1204346421172999</v>
      </c>
      <c r="AH3190">
        <v>29.163030774080301</v>
      </c>
      <c r="AI3190">
        <v>92.196066234140503</v>
      </c>
      <c r="AJ3190">
        <v>93.516188865011799</v>
      </c>
      <c r="AK3190">
        <v>29.239508415181099</v>
      </c>
      <c r="AL3190">
        <v>78.274270968907402</v>
      </c>
      <c r="AM3190">
        <v>91.524215223826801</v>
      </c>
      <c r="AN3190">
        <v>0.99999999471748102</v>
      </c>
    </row>
    <row r="3191" spans="1:40" x14ac:dyDescent="0.25">
      <c r="A3191" t="str">
        <f>"20190303162319059"</f>
        <v>20190303162319059</v>
      </c>
      <c r="B3191" t="str">
        <f>"1551601399047747"</f>
        <v>1551601399047747</v>
      </c>
      <c r="C3191" t="s">
        <v>40</v>
      </c>
      <c r="D3191">
        <v>5.6628280000000002</v>
      </c>
      <c r="E3191">
        <v>0.4876026</v>
      </c>
      <c r="F3191" t="s">
        <v>47</v>
      </c>
      <c r="G3191">
        <v>-373.24259999999998</v>
      </c>
      <c r="H3191" s="1">
        <v>1.8878589999999999E-7</v>
      </c>
      <c r="I3191">
        <v>216.34200000000001</v>
      </c>
      <c r="J3191">
        <v>-400.59559999999999</v>
      </c>
      <c r="K3191">
        <v>1.1204590000000001</v>
      </c>
      <c r="L3191">
        <v>214.83240000000001</v>
      </c>
      <c r="M3191">
        <v>0.99993540000000003</v>
      </c>
      <c r="N3191">
        <v>-1.108259E-2</v>
      </c>
      <c r="O3191">
        <v>-2.5759649999999999E-3</v>
      </c>
      <c r="P3191">
        <v>0.98112540000000004</v>
      </c>
      <c r="Q3191">
        <v>0.19193209999999999</v>
      </c>
      <c r="R3191">
        <v>2.3564539999999998E-2</v>
      </c>
      <c r="S3191">
        <v>3.0783390000000002</v>
      </c>
      <c r="T3191">
        <v>-0.1247476</v>
      </c>
      <c r="U3191">
        <v>0.167968799999999</v>
      </c>
      <c r="V3191">
        <v>-2.597758E-2</v>
      </c>
      <c r="W3191">
        <v>0.20280780000000001</v>
      </c>
      <c r="X3191">
        <v>0.97887389999999996</v>
      </c>
      <c r="Y3191">
        <v>-5.6995249999999997E-2</v>
      </c>
      <c r="Z3191">
        <v>1.545505E-3</v>
      </c>
      <c r="AA3191">
        <v>0.99837330000000002</v>
      </c>
      <c r="AB3191">
        <v>30</v>
      </c>
      <c r="AC3191">
        <v>27.353000000000002</v>
      </c>
      <c r="AD3191">
        <v>-1.1204588112141001</v>
      </c>
      <c r="AE3191">
        <v>1.5096000000000001</v>
      </c>
      <c r="AF3191">
        <v>-1.57742086653117</v>
      </c>
      <c r="AG3191">
        <v>-1.1204588112141001</v>
      </c>
      <c r="AH3191">
        <v>27.303345493502398</v>
      </c>
      <c r="AI3191">
        <v>92.346044605808302</v>
      </c>
      <c r="AJ3191">
        <v>93.306525278232698</v>
      </c>
      <c r="AK3191">
        <v>27.3718168866328</v>
      </c>
      <c r="AL3191">
        <v>78.298799946614196</v>
      </c>
      <c r="AM3191">
        <v>91.5201717265154</v>
      </c>
      <c r="AN3191">
        <v>0.99999997525235296</v>
      </c>
    </row>
    <row r="3192" spans="1:40" x14ac:dyDescent="0.25">
      <c r="A3192" t="str">
        <f>"20190303162319081"</f>
        <v>20190303162319081</v>
      </c>
      <c r="B3192" t="str">
        <f>"1551601399067984"</f>
        <v>1551601399067984</v>
      </c>
      <c r="C3192" t="s">
        <v>40</v>
      </c>
      <c r="D3192">
        <v>5.7107559999999999</v>
      </c>
      <c r="E3192">
        <v>0.48829869999999997</v>
      </c>
      <c r="F3192" t="s">
        <v>47</v>
      </c>
      <c r="G3192">
        <v>-374.55779999999999</v>
      </c>
      <c r="H3192" s="1">
        <v>8.8864949999999899E-7</v>
      </c>
      <c r="I3192">
        <v>216.17660000000001</v>
      </c>
      <c r="J3192">
        <v>-400.29419999999999</v>
      </c>
      <c r="K3192">
        <v>1.1204879999999999</v>
      </c>
      <c r="L3192">
        <v>214.8314</v>
      </c>
      <c r="M3192">
        <v>0.99993469999999995</v>
      </c>
      <c r="N3192">
        <v>-1.108452E-2</v>
      </c>
      <c r="O3192">
        <v>-2.7881569999999999E-3</v>
      </c>
      <c r="P3192">
        <v>0.98105140000000002</v>
      </c>
      <c r="Q3192">
        <v>0.19229189999999999</v>
      </c>
      <c r="R3192">
        <v>2.3704909999999999E-2</v>
      </c>
      <c r="S3192">
        <v>3.079834</v>
      </c>
      <c r="T3192">
        <v>-0.13253119999999999</v>
      </c>
      <c r="U3192">
        <v>0.15899659999999999</v>
      </c>
      <c r="V3192">
        <v>-2.6338719999999999E-2</v>
      </c>
      <c r="W3192">
        <v>0.2031673</v>
      </c>
      <c r="X3192">
        <v>0.97878969999999998</v>
      </c>
      <c r="Y3192">
        <v>-5.4276360000000003E-2</v>
      </c>
      <c r="Z3192">
        <v>1.5566620000000001E-3</v>
      </c>
      <c r="AA3192">
        <v>0.99852470000000004</v>
      </c>
      <c r="AB3192">
        <v>30</v>
      </c>
      <c r="AC3192">
        <v>25.7364</v>
      </c>
      <c r="AD3192">
        <v>-1.1204871113504999</v>
      </c>
      <c r="AE3192">
        <v>1.3452</v>
      </c>
      <c r="AF3192">
        <v>-1.4142828670751399</v>
      </c>
      <c r="AG3192">
        <v>-1.1204871113504999</v>
      </c>
      <c r="AH3192">
        <v>25.683998348065799</v>
      </c>
      <c r="AI3192">
        <v>92.494221291843104</v>
      </c>
      <c r="AJ3192">
        <v>93.151794619478906</v>
      </c>
      <c r="AK3192">
        <v>25.747300024240399</v>
      </c>
      <c r="AL3192">
        <v>78.277764213554903</v>
      </c>
      <c r="AM3192">
        <v>91.541427536533803</v>
      </c>
      <c r="AN3192">
        <v>0.99999997839330801</v>
      </c>
    </row>
    <row r="3193" spans="1:40" x14ac:dyDescent="0.25">
      <c r="A3193" t="str">
        <f>"20190303162319105"</f>
        <v>20190303162319105</v>
      </c>
      <c r="B3193" t="str">
        <f>"1551601399099215"</f>
        <v>1551601399099215</v>
      </c>
      <c r="C3193" t="s">
        <v>40</v>
      </c>
      <c r="D3193">
        <v>5.6548540000000003</v>
      </c>
      <c r="E3193">
        <v>0.48901860000000003</v>
      </c>
      <c r="F3193" t="s">
        <v>47</v>
      </c>
      <c r="G3193">
        <v>-375.11529999999999</v>
      </c>
      <c r="H3193" s="1">
        <v>1.1853309999999999E-6</v>
      </c>
      <c r="I3193">
        <v>216.0795</v>
      </c>
      <c r="J3193">
        <v>-399.98180000000002</v>
      </c>
      <c r="K3193">
        <v>1.1205149999999999</v>
      </c>
      <c r="L3193">
        <v>214.83029999999999</v>
      </c>
      <c r="M3193">
        <v>0.9999342</v>
      </c>
      <c r="N3193">
        <v>-1.108658E-2</v>
      </c>
      <c r="O3193">
        <v>-2.979925E-3</v>
      </c>
      <c r="P3193">
        <v>0.98080060000000002</v>
      </c>
      <c r="Q3193">
        <v>0.19364519999999999</v>
      </c>
      <c r="R3193">
        <v>2.3063119999999999E-2</v>
      </c>
      <c r="S3193">
        <v>3.0811160000000002</v>
      </c>
      <c r="T3193">
        <v>-0.13711300000000001</v>
      </c>
      <c r="U3193">
        <v>0.15272520000000001</v>
      </c>
      <c r="V3193">
        <v>-2.5893490000000002E-2</v>
      </c>
      <c r="W3193">
        <v>0.2045178</v>
      </c>
      <c r="X3193">
        <v>0.97852030000000001</v>
      </c>
      <c r="Y3193">
        <v>-5.2417270000000002E-2</v>
      </c>
      <c r="Z3193">
        <v>1.5554119999999999E-3</v>
      </c>
      <c r="AA3193">
        <v>0.99862410000000001</v>
      </c>
      <c r="AB3193">
        <v>30</v>
      </c>
      <c r="AC3193">
        <v>24.866499999999998</v>
      </c>
      <c r="AD3193">
        <v>-1.1205138146689999</v>
      </c>
      <c r="AE3193">
        <v>1.2492000000000001</v>
      </c>
      <c r="AF3193">
        <v>-1.32062451415496</v>
      </c>
      <c r="AG3193">
        <v>-1.1205138146689999</v>
      </c>
      <c r="AH3193">
        <v>24.8124118091919</v>
      </c>
      <c r="AI3193">
        <v>92.5820369863076</v>
      </c>
      <c r="AJ3193">
        <v>93.046655959356698</v>
      </c>
      <c r="AK3193">
        <v>24.872783923501199</v>
      </c>
      <c r="AL3193">
        <v>78.198726903393705</v>
      </c>
      <c r="AM3193">
        <v>91.515800494326101</v>
      </c>
      <c r="AN3193">
        <v>0.99999999042665499</v>
      </c>
    </row>
    <row r="3194" spans="1:40" x14ac:dyDescent="0.25">
      <c r="A3194" t="str">
        <f>"20190303162319138"</f>
        <v>20190303162319138</v>
      </c>
      <c r="B3194" t="str">
        <f>"1551601399127519"</f>
        <v>1551601399127519</v>
      </c>
      <c r="C3194" t="s">
        <v>40</v>
      </c>
      <c r="D3194">
        <v>5.6531209999999996</v>
      </c>
      <c r="E3194">
        <v>0.48979650000000002</v>
      </c>
      <c r="F3194" t="s">
        <v>47</v>
      </c>
      <c r="G3194">
        <v>-375.1345</v>
      </c>
      <c r="H3194" s="1">
        <v>1.1955320000000001E-6</v>
      </c>
      <c r="I3194">
        <v>216.0008</v>
      </c>
      <c r="J3194">
        <v>-399.52690000000001</v>
      </c>
      <c r="K3194">
        <v>1.1205419999999999</v>
      </c>
      <c r="L3194">
        <v>214.82859999999999</v>
      </c>
      <c r="M3194">
        <v>0.99993350000000003</v>
      </c>
      <c r="N3194">
        <v>-1.108954E-2</v>
      </c>
      <c r="O3194">
        <v>-3.229324E-3</v>
      </c>
      <c r="P3194">
        <v>0.98065020000000003</v>
      </c>
      <c r="Q3194">
        <v>0.19465840000000001</v>
      </c>
      <c r="R3194">
        <v>2.0826730000000002E-2</v>
      </c>
      <c r="S3194">
        <v>3.0827640000000001</v>
      </c>
      <c r="T3194">
        <v>-0.13902020000000001</v>
      </c>
      <c r="U3194">
        <v>0.14521789999999901</v>
      </c>
      <c r="V3194">
        <v>-2.3909429999999999E-2</v>
      </c>
      <c r="W3194">
        <v>0.20553009999999999</v>
      </c>
      <c r="X3194">
        <v>0.97835870000000003</v>
      </c>
      <c r="Y3194">
        <v>-5.021457E-2</v>
      </c>
      <c r="Z3194">
        <v>1.519502E-3</v>
      </c>
      <c r="AA3194">
        <v>0.99873730000000005</v>
      </c>
      <c r="AB3194">
        <v>30</v>
      </c>
      <c r="AC3194">
        <v>24.392399999999999</v>
      </c>
      <c r="AD3194">
        <v>-1.1205408044680001</v>
      </c>
      <c r="AE3194">
        <v>1.1721999999999999</v>
      </c>
      <c r="AF3194">
        <v>-1.2483413599556099</v>
      </c>
      <c r="AG3194">
        <v>-1.1205408044680001</v>
      </c>
      <c r="AH3194">
        <v>24.337246346482299</v>
      </c>
      <c r="AI3194">
        <v>92.632706845246105</v>
      </c>
      <c r="AJ3194">
        <v>92.936324905025899</v>
      </c>
      <c r="AK3194">
        <v>24.3949898047697</v>
      </c>
      <c r="AL3194">
        <v>78.139467820858499</v>
      </c>
      <c r="AM3194">
        <v>91.399933183874595</v>
      </c>
      <c r="AN3194">
        <v>1.00000001435731</v>
      </c>
    </row>
    <row r="3195" spans="1:40" x14ac:dyDescent="0.25">
      <c r="A3195" t="str">
        <f>"20190303162319159"</f>
        <v>20190303162319159</v>
      </c>
      <c r="B3195" t="str">
        <f>"1551601399148015"</f>
        <v>1551601399148015</v>
      </c>
      <c r="C3195" t="s">
        <v>40</v>
      </c>
      <c r="D3195">
        <v>5.6483549999999996</v>
      </c>
      <c r="E3195">
        <v>0.49013980000000001</v>
      </c>
      <c r="F3195" t="s">
        <v>47</v>
      </c>
      <c r="G3195">
        <v>-375.04430000000002</v>
      </c>
      <c r="H3195" s="1">
        <v>1.1475579999999999E-6</v>
      </c>
      <c r="I3195">
        <v>215.88820000000001</v>
      </c>
      <c r="J3195">
        <v>-399.2346</v>
      </c>
      <c r="K3195">
        <v>1.1205480000000001</v>
      </c>
      <c r="L3195">
        <v>214.82749999999999</v>
      </c>
      <c r="M3195">
        <v>0.99993290000000001</v>
      </c>
      <c r="N3195">
        <v>-1.1091439999999999E-2</v>
      </c>
      <c r="O3195">
        <v>-3.3819599999999998E-3</v>
      </c>
      <c r="P3195">
        <v>0.98065210000000003</v>
      </c>
      <c r="Q3195">
        <v>0.19480159999999999</v>
      </c>
      <c r="R3195">
        <v>1.934222E-2</v>
      </c>
      <c r="S3195">
        <v>3.084381</v>
      </c>
      <c r="T3195">
        <v>-0.14116870000000001</v>
      </c>
      <c r="U3195">
        <v>0.13348389999999999</v>
      </c>
      <c r="V3195">
        <v>-2.2577259999999998E-2</v>
      </c>
      <c r="W3195">
        <v>0.20567479999999999</v>
      </c>
      <c r="X3195">
        <v>0.97835989999999995</v>
      </c>
      <c r="Y3195">
        <v>-4.6553160000000003E-2</v>
      </c>
      <c r="Z3195">
        <v>1.4399149999999999E-3</v>
      </c>
      <c r="AA3195">
        <v>0.99891479999999999</v>
      </c>
      <c r="AB3195">
        <v>30</v>
      </c>
      <c r="AC3195">
        <v>24.190299999999901</v>
      </c>
      <c r="AD3195">
        <v>-1.1205468524419999</v>
      </c>
      <c r="AE3195">
        <v>1.06070000000002</v>
      </c>
      <c r="AF3195">
        <v>-1.1400679846178801</v>
      </c>
      <c r="AG3195">
        <v>-1.1205468524419999</v>
      </c>
      <c r="AH3195">
        <v>24.1348863128134</v>
      </c>
      <c r="AI3195">
        <v>92.655292251723793</v>
      </c>
      <c r="AJ3195">
        <v>92.704490208591807</v>
      </c>
      <c r="AK3195">
        <v>24.1877679332033</v>
      </c>
      <c r="AL3195">
        <v>78.130995654825497</v>
      </c>
      <c r="AM3195">
        <v>91.321959495722098</v>
      </c>
      <c r="AN3195">
        <v>0.99999997497607795</v>
      </c>
    </row>
    <row r="3196" spans="1:40" x14ac:dyDescent="0.25">
      <c r="A3196" t="str">
        <f>"20190303162319185"</f>
        <v>20190303162319185</v>
      </c>
      <c r="B3196" t="str">
        <f>"1551601399178271"</f>
        <v>1551601399178271</v>
      </c>
      <c r="C3196" t="s">
        <v>40</v>
      </c>
      <c r="D3196">
        <v>5.598427</v>
      </c>
      <c r="E3196">
        <v>0.49051109999999998</v>
      </c>
      <c r="F3196" t="s">
        <v>47</v>
      </c>
      <c r="G3196">
        <v>-375.24040000000002</v>
      </c>
      <c r="H3196" s="1">
        <v>1.2518719999999999E-6</v>
      </c>
      <c r="I3196">
        <v>215.81360000000001</v>
      </c>
      <c r="J3196">
        <v>-398.89170000000001</v>
      </c>
      <c r="K3196">
        <v>1.120549</v>
      </c>
      <c r="L3196">
        <v>214.8262</v>
      </c>
      <c r="M3196">
        <v>0.99993220000000005</v>
      </c>
      <c r="N3196">
        <v>-1.109368E-2</v>
      </c>
      <c r="O3196">
        <v>-3.5603750000000002E-3</v>
      </c>
      <c r="P3196">
        <v>0.98081940000000001</v>
      </c>
      <c r="Q3196">
        <v>0.1941136</v>
      </c>
      <c r="R3196">
        <v>1.7703389999999999E-2</v>
      </c>
      <c r="S3196">
        <v>3.0853579999999998</v>
      </c>
      <c r="T3196">
        <v>-0.14408789999999999</v>
      </c>
      <c r="U3196">
        <v>0.12680050000000001</v>
      </c>
      <c r="V3196">
        <v>-2.1115930000000002E-2</v>
      </c>
      <c r="W3196">
        <v>0.20499010000000001</v>
      </c>
      <c r="X3196">
        <v>0.97853619999999997</v>
      </c>
      <c r="Y3196">
        <v>-4.4557909999999999E-2</v>
      </c>
      <c r="Z3196">
        <v>1.413517E-3</v>
      </c>
      <c r="AA3196">
        <v>0.99900580000000005</v>
      </c>
      <c r="AB3196">
        <v>31</v>
      </c>
      <c r="AC3196">
        <v>23.6512999999999</v>
      </c>
      <c r="AD3196">
        <v>-1.120547748128</v>
      </c>
      <c r="AE3196">
        <v>0.98740000000000705</v>
      </c>
      <c r="AF3196">
        <v>-1.06921057480647</v>
      </c>
      <c r="AG3196">
        <v>-1.120547748128</v>
      </c>
      <c r="AH3196">
        <v>23.5947642539108</v>
      </c>
      <c r="AI3196">
        <v>92.716228998428804</v>
      </c>
      <c r="AJ3196">
        <v>92.5946167930651</v>
      </c>
      <c r="AK3196">
        <v>23.645543738868401</v>
      </c>
      <c r="AL3196">
        <v>78.171079996987601</v>
      </c>
      <c r="AM3196">
        <v>91.236199467584598</v>
      </c>
      <c r="AN3196">
        <v>0.999999959154106</v>
      </c>
    </row>
    <row r="3197" spans="1:40" x14ac:dyDescent="0.25">
      <c r="A3197" t="str">
        <f>"20190303162319210"</f>
        <v>20190303162319210</v>
      </c>
      <c r="B3197" t="str">
        <f>"1551601399197792"</f>
        <v>1551601399197792</v>
      </c>
      <c r="C3197" t="s">
        <v>40</v>
      </c>
      <c r="D3197">
        <v>5.5433050000000001</v>
      </c>
      <c r="E3197">
        <v>0.49048890000000001</v>
      </c>
      <c r="F3197" t="s">
        <v>47</v>
      </c>
      <c r="G3197">
        <v>-375.7165</v>
      </c>
      <c r="H3197" s="1">
        <v>1.5052629999999901E-6</v>
      </c>
      <c r="I3197">
        <v>215.71870000000001</v>
      </c>
      <c r="J3197">
        <v>-398.53879999999998</v>
      </c>
      <c r="K3197">
        <v>1.1205480000000001</v>
      </c>
      <c r="L3197">
        <v>214.82470000000001</v>
      </c>
      <c r="M3197">
        <v>0.99993149999999997</v>
      </c>
      <c r="N3197">
        <v>-1.109592E-2</v>
      </c>
      <c r="O3197">
        <v>-3.7475130000000001E-3</v>
      </c>
      <c r="P3197">
        <v>0.98096640000000002</v>
      </c>
      <c r="Q3197">
        <v>0.19351380000000001</v>
      </c>
      <c r="R3197">
        <v>1.6052469999999999E-2</v>
      </c>
      <c r="S3197">
        <v>3.0860599999999998</v>
      </c>
      <c r="T3197">
        <v>-0.14921499999999999</v>
      </c>
      <c r="U3197">
        <v>0.1188507</v>
      </c>
      <c r="V3197">
        <v>-1.9650480000000001E-2</v>
      </c>
      <c r="W3197">
        <v>0.20439370000000001</v>
      </c>
      <c r="X3197">
        <v>0.97869150000000005</v>
      </c>
      <c r="Y3197">
        <v>-4.21652E-2</v>
      </c>
      <c r="Z3197">
        <v>1.39207E-3</v>
      </c>
      <c r="AA3197">
        <v>0.99910969999999999</v>
      </c>
      <c r="AB3197">
        <v>31</v>
      </c>
      <c r="AC3197">
        <v>22.822299999999899</v>
      </c>
      <c r="AD3197">
        <v>-1.1205464947370001</v>
      </c>
      <c r="AE3197">
        <v>0.89400000000000501</v>
      </c>
      <c r="AF3197">
        <v>-0.97717379419144301</v>
      </c>
      <c r="AG3197">
        <v>-1.1205464947370001</v>
      </c>
      <c r="AH3197">
        <v>22.763996433038098</v>
      </c>
      <c r="AI3197">
        <v>92.8154931960391</v>
      </c>
      <c r="AJ3197">
        <v>92.457985941680406</v>
      </c>
      <c r="AK3197">
        <v>22.8124971599843</v>
      </c>
      <c r="AL3197">
        <v>78.205990736405496</v>
      </c>
      <c r="AM3197">
        <v>91.150248376908095</v>
      </c>
      <c r="AN3197">
        <v>0.99999998906808496</v>
      </c>
    </row>
    <row r="3198" spans="1:40" x14ac:dyDescent="0.25">
      <c r="A3198" t="str">
        <f>"20190303162319227"</f>
        <v>20190303162319227</v>
      </c>
      <c r="B3198" t="str">
        <f>"1551601399217311"</f>
        <v>1551601399217311</v>
      </c>
      <c r="C3198" t="s">
        <v>40</v>
      </c>
      <c r="D3198">
        <v>5.5406909999999998</v>
      </c>
      <c r="E3198">
        <v>0.49036020000000002</v>
      </c>
      <c r="F3198" t="s">
        <v>47</v>
      </c>
      <c r="G3198">
        <v>-375.34019999999998</v>
      </c>
      <c r="H3198" s="1">
        <v>1.305029E-6</v>
      </c>
      <c r="I3198">
        <v>215.68450000000001</v>
      </c>
      <c r="J3198">
        <v>-398.30579999999998</v>
      </c>
      <c r="K3198">
        <v>1.1205430000000001</v>
      </c>
      <c r="L3198">
        <v>214.8237</v>
      </c>
      <c r="M3198">
        <v>0.99993100000000001</v>
      </c>
      <c r="N3198">
        <v>-1.109724E-2</v>
      </c>
      <c r="O3198">
        <v>-3.873151E-3</v>
      </c>
      <c r="P3198">
        <v>0.98127699999999995</v>
      </c>
      <c r="Q3198">
        <v>0.1920366</v>
      </c>
      <c r="R3198">
        <v>1.475944E-2</v>
      </c>
      <c r="S3198">
        <v>3.0858150000000002</v>
      </c>
      <c r="T3198">
        <v>-0.1490523</v>
      </c>
      <c r="U3198">
        <v>0.11437990000000001</v>
      </c>
      <c r="V3198">
        <v>-1.8483030000000001E-2</v>
      </c>
      <c r="W3198">
        <v>0.20292080000000001</v>
      </c>
      <c r="X3198">
        <v>0.97902069999999997</v>
      </c>
      <c r="Y3198">
        <v>-4.0850169999999998E-2</v>
      </c>
      <c r="Z3198">
        <v>1.3565420000000001E-3</v>
      </c>
      <c r="AA3198">
        <v>0.99916430000000001</v>
      </c>
      <c r="AB3198">
        <v>31</v>
      </c>
      <c r="AC3198">
        <v>22.965599999999899</v>
      </c>
      <c r="AD3198">
        <v>-1.1205416949709901</v>
      </c>
      <c r="AE3198">
        <v>0.860800000000011</v>
      </c>
      <c r="AF3198">
        <v>-0.94749573326563397</v>
      </c>
      <c r="AG3198">
        <v>-1.1205416949709901</v>
      </c>
      <c r="AH3198">
        <v>22.907634343247999</v>
      </c>
      <c r="AI3198">
        <v>92.798039248047303</v>
      </c>
      <c r="AJ3198">
        <v>92.368493383630195</v>
      </c>
      <c r="AK3198">
        <v>22.954587189899101</v>
      </c>
      <c r="AL3198">
        <v>78.292188361636605</v>
      </c>
      <c r="AM3198">
        <v>91.081564283725399</v>
      </c>
      <c r="AN3198">
        <v>1.0000000022495501</v>
      </c>
    </row>
    <row r="3199" spans="1:40" x14ac:dyDescent="0.25">
      <c r="A3199" t="str">
        <f>"20190303162319250"</f>
        <v>20190303162319250</v>
      </c>
      <c r="B3199" t="str">
        <f>"1551601399237808"</f>
        <v>1551601399237808</v>
      </c>
      <c r="C3199" t="s">
        <v>40</v>
      </c>
      <c r="D3199">
        <v>5.4879429999999996</v>
      </c>
      <c r="E3199">
        <v>0.49029650000000002</v>
      </c>
      <c r="F3199" t="s">
        <v>47</v>
      </c>
      <c r="G3199">
        <v>-375.5874</v>
      </c>
      <c r="H3199" s="1">
        <v>1.436532E-6</v>
      </c>
      <c r="I3199">
        <v>215.6447</v>
      </c>
      <c r="J3199">
        <v>-397.9939</v>
      </c>
      <c r="K3199">
        <v>1.120528</v>
      </c>
      <c r="L3199">
        <v>214.82230000000001</v>
      </c>
      <c r="M3199">
        <v>0.99993019999999999</v>
      </c>
      <c r="N3199">
        <v>-1.1099019999999999E-2</v>
      </c>
      <c r="O3199">
        <v>-4.0434970000000001E-3</v>
      </c>
      <c r="P3199">
        <v>0.98153440000000003</v>
      </c>
      <c r="Q3199">
        <v>0.1907779</v>
      </c>
      <c r="R3199">
        <v>1.392585E-2</v>
      </c>
      <c r="S3199">
        <v>3.0853579999999998</v>
      </c>
      <c r="T3199">
        <v>-0.15217900000000001</v>
      </c>
      <c r="U3199">
        <v>0.111496</v>
      </c>
      <c r="V3199">
        <v>-1.7818299999999999E-2</v>
      </c>
      <c r="W3199">
        <v>0.2016664</v>
      </c>
      <c r="X3199">
        <v>0.97929219999999895</v>
      </c>
      <c r="Y3199">
        <v>-4.009178E-2</v>
      </c>
      <c r="Z3199">
        <v>1.3649459999999999E-3</v>
      </c>
      <c r="AA3199">
        <v>0.9991951</v>
      </c>
      <c r="AB3199">
        <v>31</v>
      </c>
      <c r="AC3199">
        <v>22.406499999999902</v>
      </c>
      <c r="AD3199">
        <v>-1.1205265634679999</v>
      </c>
      <c r="AE3199">
        <v>0.82239999999998703</v>
      </c>
      <c r="AF3199">
        <v>-0.91072490776268</v>
      </c>
      <c r="AG3199">
        <v>-1.1205265634679999</v>
      </c>
      <c r="AH3199">
        <v>22.3471783661169</v>
      </c>
      <c r="AI3199">
        <v>92.868129628924095</v>
      </c>
      <c r="AJ3199">
        <v>92.333710028198098</v>
      </c>
      <c r="AK3199">
        <v>22.3937799525694</v>
      </c>
      <c r="AL3199">
        <v>78.365577738863806</v>
      </c>
      <c r="AM3199">
        <v>91.0423862754715</v>
      </c>
      <c r="AN3199">
        <v>1.0000000208423401</v>
      </c>
    </row>
    <row r="3200" spans="1:40" x14ac:dyDescent="0.25">
      <c r="A3200" t="str">
        <f>"20190303162319272"</f>
        <v>20190303162319272</v>
      </c>
      <c r="B3200" t="str">
        <f>"1551601399257835"</f>
        <v>1551601399257835</v>
      </c>
      <c r="C3200" t="s">
        <v>40</v>
      </c>
      <c r="D3200">
        <v>5.4826309999999996</v>
      </c>
      <c r="E3200">
        <v>0.49026219999999998</v>
      </c>
      <c r="F3200" t="s">
        <v>47</v>
      </c>
      <c r="G3200">
        <v>-375.68</v>
      </c>
      <c r="H3200" s="1">
        <v>1.485831E-6</v>
      </c>
      <c r="I3200">
        <v>215.61330000000001</v>
      </c>
      <c r="J3200">
        <v>-397.69529999999997</v>
      </c>
      <c r="K3200">
        <v>1.1205309999999999</v>
      </c>
      <c r="L3200">
        <v>214.82089999999999</v>
      </c>
      <c r="M3200">
        <v>0.99992970000000003</v>
      </c>
      <c r="N3200">
        <v>-1.1100789999999999E-2</v>
      </c>
      <c r="O3200">
        <v>-4.2077690000000001E-3</v>
      </c>
      <c r="P3200">
        <v>0.98173690000000002</v>
      </c>
      <c r="Q3200">
        <v>0.18978220000000001</v>
      </c>
      <c r="R3200">
        <v>1.3254139999999999E-2</v>
      </c>
      <c r="S3200">
        <v>3.0849609999999998</v>
      </c>
      <c r="T3200">
        <v>-0.154916</v>
      </c>
      <c r="U3200">
        <v>0.1093597</v>
      </c>
      <c r="V3200">
        <v>-1.7309169999999999E-2</v>
      </c>
      <c r="W3200">
        <v>0.2006744</v>
      </c>
      <c r="X3200">
        <v>0.97950510000000002</v>
      </c>
      <c r="Y3200">
        <v>-3.956809E-2</v>
      </c>
      <c r="Z3200">
        <v>1.3768439999999999E-3</v>
      </c>
      <c r="AA3200">
        <v>0.99921590000000005</v>
      </c>
      <c r="AB3200">
        <v>31</v>
      </c>
      <c r="AC3200">
        <v>22.0152999999999</v>
      </c>
      <c r="AD3200">
        <v>-1.1205295141689999</v>
      </c>
      <c r="AE3200">
        <v>0.79240000000001398</v>
      </c>
      <c r="AF3200">
        <v>-0.88275009566956497</v>
      </c>
      <c r="AG3200">
        <v>-1.1205295141689999</v>
      </c>
      <c r="AH3200">
        <v>21.954968077828202</v>
      </c>
      <c r="AI3200">
        <v>92.919350923254399</v>
      </c>
      <c r="AJ3200">
        <v>92.302468666425995</v>
      </c>
      <c r="AK3200">
        <v>22.001260359851798</v>
      </c>
      <c r="AL3200">
        <v>78.423601499351605</v>
      </c>
      <c r="AM3200">
        <v>91.012387964749394</v>
      </c>
      <c r="AN3200">
        <v>1.0000000315537201</v>
      </c>
    </row>
    <row r="3201" spans="1:40" x14ac:dyDescent="0.25">
      <c r="A3201" t="str">
        <f>"20190303162319293"</f>
        <v>20190303162319293</v>
      </c>
      <c r="B3201" t="str">
        <f>"1551601399277354"</f>
        <v>1551601399277354</v>
      </c>
      <c r="C3201" t="s">
        <v>40</v>
      </c>
      <c r="D3201">
        <v>5.48062</v>
      </c>
      <c r="E3201">
        <v>0.49021969999999998</v>
      </c>
      <c r="F3201" t="s">
        <v>47</v>
      </c>
      <c r="G3201">
        <v>-375.62520000000001</v>
      </c>
      <c r="H3201" s="1">
        <v>1.4566409999999901E-6</v>
      </c>
      <c r="I3201">
        <v>215.58850000000001</v>
      </c>
      <c r="J3201">
        <v>-397.38830000000002</v>
      </c>
      <c r="K3201">
        <v>1.12053</v>
      </c>
      <c r="L3201">
        <v>214.8194</v>
      </c>
      <c r="M3201">
        <v>0.99992890000000001</v>
      </c>
      <c r="N3201">
        <v>-1.1102620000000001E-2</v>
      </c>
      <c r="O3201">
        <v>-4.3762130000000003E-3</v>
      </c>
      <c r="P3201">
        <v>0.98187760000000002</v>
      </c>
      <c r="Q3201">
        <v>0.18906690000000001</v>
      </c>
      <c r="R3201">
        <v>1.3049409999999999E-2</v>
      </c>
      <c r="S3201">
        <v>3.084625</v>
      </c>
      <c r="T3201">
        <v>-0.15661040000000001</v>
      </c>
      <c r="U3201">
        <v>0.1072845</v>
      </c>
      <c r="V3201">
        <v>-1.727064E-2</v>
      </c>
      <c r="W3201">
        <v>0.19996240000000001</v>
      </c>
      <c r="X3201">
        <v>0.9796513</v>
      </c>
      <c r="Y3201">
        <v>-3.9068180000000001E-2</v>
      </c>
      <c r="Z3201">
        <v>1.3813860000000001E-3</v>
      </c>
      <c r="AA3201">
        <v>0.9992356</v>
      </c>
      <c r="AB3201">
        <v>31</v>
      </c>
      <c r="AC3201">
        <v>21.763100000000001</v>
      </c>
      <c r="AD3201">
        <v>-1.120528543359</v>
      </c>
      <c r="AE3201">
        <v>0.769100000000008</v>
      </c>
      <c r="AF3201">
        <v>-0.86205602384560298</v>
      </c>
      <c r="AG3201">
        <v>-1.120528543359</v>
      </c>
      <c r="AH3201">
        <v>21.7020659244636</v>
      </c>
      <c r="AI3201">
        <v>92.953365810133405</v>
      </c>
      <c r="AJ3201">
        <v>92.274724379201899</v>
      </c>
      <c r="AK3201">
        <v>21.748066355299201</v>
      </c>
      <c r="AL3201">
        <v>78.4652391540412</v>
      </c>
      <c r="AM3201">
        <v>91.009984150988004</v>
      </c>
      <c r="AN3201">
        <v>0.99999995300572797</v>
      </c>
    </row>
    <row r="3202" spans="1:40" x14ac:dyDescent="0.25">
      <c r="A3202" t="str">
        <f>"20190303162319316"</f>
        <v>20190303162319316</v>
      </c>
      <c r="B3202" t="str">
        <f>"1551601399307610"</f>
        <v>1551601399307610</v>
      </c>
      <c r="C3202" t="s">
        <v>40</v>
      </c>
      <c r="D3202">
        <v>5.4786039999999998</v>
      </c>
      <c r="E3202">
        <v>0.4900255</v>
      </c>
      <c r="F3202" t="s">
        <v>47</v>
      </c>
      <c r="G3202">
        <v>-375.48309999999998</v>
      </c>
      <c r="H3202" s="1">
        <v>1.3810260000000001E-6</v>
      </c>
      <c r="I3202">
        <v>215.57730000000001</v>
      </c>
      <c r="J3202">
        <v>-397.08479999999997</v>
      </c>
      <c r="K3202">
        <v>1.1205309999999999</v>
      </c>
      <c r="L3202">
        <v>214.81790000000001</v>
      </c>
      <c r="M3202">
        <v>0.99992800000000004</v>
      </c>
      <c r="N3202">
        <v>-1.11044E-2</v>
      </c>
      <c r="O3202">
        <v>-4.5391540000000001E-3</v>
      </c>
      <c r="P3202">
        <v>0.98209460000000004</v>
      </c>
      <c r="Q3202">
        <v>0.18794839999999999</v>
      </c>
      <c r="R3202">
        <v>1.287464E-2</v>
      </c>
      <c r="S3202">
        <v>3.0843509999999998</v>
      </c>
      <c r="T3202">
        <v>-0.1577752</v>
      </c>
      <c r="U3202">
        <v>0.10672</v>
      </c>
      <c r="V3202">
        <v>-1.7258280000000001E-2</v>
      </c>
      <c r="W3202">
        <v>0.198848</v>
      </c>
      <c r="X3202">
        <v>0.97987840000000004</v>
      </c>
      <c r="Y3202">
        <v>-3.9050410000000001E-2</v>
      </c>
      <c r="Z3202">
        <v>1.396502E-3</v>
      </c>
      <c r="AA3202">
        <v>0.99923629999999997</v>
      </c>
      <c r="AB3202">
        <v>31</v>
      </c>
      <c r="AC3202">
        <v>21.601699999999902</v>
      </c>
      <c r="AD3202">
        <v>-1.1205296189739999</v>
      </c>
      <c r="AE3202">
        <v>0.75939999999999896</v>
      </c>
      <c r="AF3202">
        <v>-0.85515351789284599</v>
      </c>
      <c r="AG3202">
        <v>-1.1205296189739999</v>
      </c>
      <c r="AH3202">
        <v>21.540142923058902</v>
      </c>
      <c r="AI3202">
        <v>92.975532724594302</v>
      </c>
      <c r="AJ3202">
        <v>92.273474704702906</v>
      </c>
      <c r="AK3202">
        <v>21.586213917960801</v>
      </c>
      <c r="AL3202">
        <v>78.530399018942504</v>
      </c>
      <c r="AM3202">
        <v>91.0090276282492</v>
      </c>
      <c r="AN3202">
        <v>1.0000000270595499</v>
      </c>
    </row>
    <row r="3203" spans="1:40" x14ac:dyDescent="0.25">
      <c r="A3203" t="str">
        <f>"20190303162319339"</f>
        <v>20190303162319339</v>
      </c>
      <c r="B3203" t="str">
        <f>"1551601399328105"</f>
        <v>1551601399328105</v>
      </c>
      <c r="C3203" t="s">
        <v>40</v>
      </c>
      <c r="D3203">
        <v>5.4791600000000003</v>
      </c>
      <c r="E3203">
        <v>0.48983989999999999</v>
      </c>
      <c r="F3203" t="s">
        <v>47</v>
      </c>
      <c r="G3203">
        <v>-375.3997</v>
      </c>
      <c r="H3203" s="1">
        <v>1.336645E-6</v>
      </c>
      <c r="I3203">
        <v>215.57490000000001</v>
      </c>
      <c r="J3203">
        <v>-396.7636</v>
      </c>
      <c r="K3203">
        <v>1.120533</v>
      </c>
      <c r="L3203">
        <v>214.81620000000001</v>
      </c>
      <c r="M3203">
        <v>0.99992729999999996</v>
      </c>
      <c r="N3203">
        <v>-1.110623E-2</v>
      </c>
      <c r="O3203">
        <v>-4.7034870000000001E-3</v>
      </c>
      <c r="P3203">
        <v>0.98220410000000002</v>
      </c>
      <c r="Q3203">
        <v>0.187361</v>
      </c>
      <c r="R3203">
        <v>1.3078909999999999E-2</v>
      </c>
      <c r="S3203">
        <v>3.0838009999999998</v>
      </c>
      <c r="T3203">
        <v>-0.1593484</v>
      </c>
      <c r="U3203">
        <v>0.1076508</v>
      </c>
      <c r="V3203">
        <v>-1.762673E-2</v>
      </c>
      <c r="W3203">
        <v>0.1982633</v>
      </c>
      <c r="X3203">
        <v>0.97999029999999998</v>
      </c>
      <c r="Y3203">
        <v>-3.9519869999999999E-2</v>
      </c>
      <c r="Z3203">
        <v>1.4303829999999999E-3</v>
      </c>
      <c r="AA3203">
        <v>0.99921769999999999</v>
      </c>
      <c r="AB3203">
        <v>31</v>
      </c>
      <c r="AC3203">
        <v>21.363900000000001</v>
      </c>
      <c r="AD3203">
        <v>-1.120531663355</v>
      </c>
      <c r="AE3203">
        <v>0.75870000000000404</v>
      </c>
      <c r="AF3203">
        <v>-0.85682847891956104</v>
      </c>
      <c r="AG3203">
        <v>-1.120531663355</v>
      </c>
      <c r="AH3203">
        <v>21.301568555348201</v>
      </c>
      <c r="AI3203">
        <v>93.008740127863902</v>
      </c>
      <c r="AJ3203">
        <v>92.303408065743099</v>
      </c>
      <c r="AK3203">
        <v>21.3482216863388</v>
      </c>
      <c r="AL3203">
        <v>78.564580261878106</v>
      </c>
      <c r="AM3203">
        <v>91.030447286486407</v>
      </c>
      <c r="AN3203">
        <v>1.00000001291573</v>
      </c>
    </row>
    <row r="3204" spans="1:40" x14ac:dyDescent="0.25">
      <c r="A3204" t="str">
        <f>"20190303162319360"</f>
        <v>20190303162319360</v>
      </c>
      <c r="B3204" t="str">
        <f>"1551601399347626"</f>
        <v>1551601399347626</v>
      </c>
      <c r="C3204" t="s">
        <v>40</v>
      </c>
      <c r="D3204">
        <v>5.4755729999999998</v>
      </c>
      <c r="E3204">
        <v>0.48963770000000001</v>
      </c>
      <c r="F3204" t="s">
        <v>47</v>
      </c>
      <c r="G3204">
        <v>-375.09879999999998</v>
      </c>
      <c r="H3204" s="1">
        <v>1.176528E-6</v>
      </c>
      <c r="I3204">
        <v>215.58699999999999</v>
      </c>
      <c r="J3204">
        <v>-396.48059999999998</v>
      </c>
      <c r="K3204">
        <v>1.1205400000000001</v>
      </c>
      <c r="L3204">
        <v>214.81479999999999</v>
      </c>
      <c r="M3204">
        <v>0.99992669999999995</v>
      </c>
      <c r="N3204">
        <v>-1.1107819999999999E-2</v>
      </c>
      <c r="O3204">
        <v>-4.8360679999999998E-3</v>
      </c>
      <c r="P3204">
        <v>0.98225530000000005</v>
      </c>
      <c r="Q3204">
        <v>0.18709690000000001</v>
      </c>
      <c r="R3204">
        <v>1.301297E-2</v>
      </c>
      <c r="S3204">
        <v>3.0833439999999999</v>
      </c>
      <c r="T3204">
        <v>-0.159474</v>
      </c>
      <c r="U3204">
        <v>0.1096954</v>
      </c>
      <c r="V3204">
        <v>-1.769451E-2</v>
      </c>
      <c r="W3204">
        <v>0.1980016</v>
      </c>
      <c r="X3204">
        <v>0.98004199999999997</v>
      </c>
      <c r="Y3204">
        <v>-4.0317789999999999E-2</v>
      </c>
      <c r="Z3204">
        <v>1.4620080000000001E-3</v>
      </c>
      <c r="AA3204">
        <v>0.99918589999999996</v>
      </c>
      <c r="AB3204">
        <v>31</v>
      </c>
      <c r="AC3204">
        <v>21.381799999999998</v>
      </c>
      <c r="AD3204">
        <v>-1.120538823472</v>
      </c>
      <c r="AE3204">
        <v>0.77220000000002598</v>
      </c>
      <c r="AF3204">
        <v>-0.87320612054798397</v>
      </c>
      <c r="AG3204">
        <v>-1.120538823472</v>
      </c>
      <c r="AH3204">
        <v>21.319339922837099</v>
      </c>
      <c r="AI3204">
        <v>93.0061665427245</v>
      </c>
      <c r="AJ3204">
        <v>92.345432666509097</v>
      </c>
      <c r="AK3204">
        <v>21.366617676397599</v>
      </c>
      <c r="AL3204">
        <v>78.579877983693507</v>
      </c>
      <c r="AM3204">
        <v>91.034354246201104</v>
      </c>
      <c r="AN3204">
        <v>1.0000000255253401</v>
      </c>
    </row>
    <row r="3205" spans="1:40" x14ac:dyDescent="0.25">
      <c r="A3205" t="str">
        <f>"20190303162319384"</f>
        <v>20190303162319384</v>
      </c>
      <c r="B3205" t="str">
        <f>"1551601399377883"</f>
        <v>1551601399377883</v>
      </c>
      <c r="C3205" t="s">
        <v>40</v>
      </c>
      <c r="D3205">
        <v>5.4816190000000002</v>
      </c>
      <c r="E3205">
        <v>0.48942790000000003</v>
      </c>
      <c r="F3205" t="s">
        <v>47</v>
      </c>
      <c r="G3205">
        <v>-374.67509999999999</v>
      </c>
      <c r="H3205" s="1">
        <v>9.5105880000000004E-7</v>
      </c>
      <c r="I3205">
        <v>215.60300000000001</v>
      </c>
      <c r="J3205">
        <v>-396.15030000000002</v>
      </c>
      <c r="K3205">
        <v>1.120557</v>
      </c>
      <c r="L3205">
        <v>214.81299999999999</v>
      </c>
      <c r="M3205">
        <v>0.99992599999999998</v>
      </c>
      <c r="N3205">
        <v>-1.111586E-2</v>
      </c>
      <c r="O3205">
        <v>-4.9670249999999999E-3</v>
      </c>
      <c r="P3205">
        <v>0.98227730000000002</v>
      </c>
      <c r="Q3205">
        <v>0.18699579999999999</v>
      </c>
      <c r="R3205">
        <v>1.2812280000000001E-2</v>
      </c>
      <c r="S3205">
        <v>3.0828859999999998</v>
      </c>
      <c r="T3205">
        <v>-0.15842310000000001</v>
      </c>
      <c r="U3205">
        <v>0.1114349</v>
      </c>
      <c r="V3205">
        <v>-1.7630349999999999E-2</v>
      </c>
      <c r="W3205">
        <v>0.1979081</v>
      </c>
      <c r="X3205">
        <v>0.98006199999999999</v>
      </c>
      <c r="Y3205">
        <v>-4.1016570000000002E-2</v>
      </c>
      <c r="Z3205">
        <v>1.48090299999999E-3</v>
      </c>
      <c r="AA3205">
        <v>0.99915739999999997</v>
      </c>
      <c r="AB3205">
        <v>31</v>
      </c>
      <c r="AC3205">
        <v>21.475200000000001</v>
      </c>
      <c r="AD3205">
        <v>-1.1205560489411901</v>
      </c>
      <c r="AE3205">
        <v>0.78999999999999204</v>
      </c>
      <c r="AF3205">
        <v>-0.89423328765171495</v>
      </c>
      <c r="AG3205">
        <v>-1.1205560489411901</v>
      </c>
      <c r="AH3205">
        <v>21.412789994726101</v>
      </c>
      <c r="AI3205">
        <v>92.9930177272674</v>
      </c>
      <c r="AJ3205">
        <v>92.391376310873397</v>
      </c>
      <c r="AK3205">
        <v>21.4607286546801</v>
      </c>
      <c r="AL3205">
        <v>78.585342817316899</v>
      </c>
      <c r="AM3205">
        <v>91.030583478376997</v>
      </c>
      <c r="AN3205">
        <v>0.99999998456536598</v>
      </c>
    </row>
    <row r="3206" spans="1:40" x14ac:dyDescent="0.25">
      <c r="A3206" t="str">
        <f>"20190303162319407"</f>
        <v>20190303162319407</v>
      </c>
      <c r="B3206" t="str">
        <f>"1551601399397402"</f>
        <v>1551601399397402</v>
      </c>
      <c r="C3206" t="s">
        <v>40</v>
      </c>
      <c r="D3206">
        <v>5.4829879999999998</v>
      </c>
      <c r="E3206">
        <v>0.48929129999999899</v>
      </c>
      <c r="F3206" t="s">
        <v>47</v>
      </c>
      <c r="G3206">
        <v>-373.99779999999998</v>
      </c>
      <c r="H3206" s="1">
        <v>5.9063139999999999E-7</v>
      </c>
      <c r="I3206">
        <v>215.62540000000001</v>
      </c>
      <c r="J3206">
        <v>-395.8424</v>
      </c>
      <c r="K3206">
        <v>1.1205719999999999</v>
      </c>
      <c r="L3206">
        <v>214.81139999999999</v>
      </c>
      <c r="M3206">
        <v>0.99992510000000001</v>
      </c>
      <c r="N3206">
        <v>-1.1138540000000001E-2</v>
      </c>
      <c r="O3206">
        <v>-5.0579400000000004E-3</v>
      </c>
      <c r="P3206">
        <v>0.98229129999999998</v>
      </c>
      <c r="Q3206">
        <v>0.18696979999999999</v>
      </c>
      <c r="R3206">
        <v>1.208678E-2</v>
      </c>
      <c r="S3206">
        <v>3.0823670000000001</v>
      </c>
      <c r="T3206">
        <v>-0.15591729999999901</v>
      </c>
      <c r="U3206">
        <v>0.1130371</v>
      </c>
      <c r="V3206">
        <v>-1.700461E-2</v>
      </c>
      <c r="W3206">
        <v>0.19790340000000001</v>
      </c>
      <c r="X3206">
        <v>0.980074</v>
      </c>
      <c r="Y3206">
        <v>-4.1633110000000001E-2</v>
      </c>
      <c r="Z3206">
        <v>1.4833960000000001E-3</v>
      </c>
      <c r="AA3206">
        <v>0.99913189999999996</v>
      </c>
      <c r="AB3206">
        <v>31</v>
      </c>
      <c r="AC3206">
        <v>21.8446</v>
      </c>
      <c r="AD3206">
        <v>-1.1205714093685999</v>
      </c>
      <c r="AE3206">
        <v>0.81400000000002104</v>
      </c>
      <c r="AF3206">
        <v>-0.92206215286202198</v>
      </c>
      <c r="AG3206">
        <v>-1.1205714093685999</v>
      </c>
      <c r="AH3206">
        <v>21.782962386866298</v>
      </c>
      <c r="AI3206">
        <v>92.942215780629496</v>
      </c>
      <c r="AJ3206">
        <v>92.423855360418898</v>
      </c>
      <c r="AK3206">
        <v>21.831246625991501</v>
      </c>
      <c r="AL3206">
        <v>78.585617476674997</v>
      </c>
      <c r="AM3206">
        <v>90.994001103856405</v>
      </c>
      <c r="AN3206">
        <v>0.99999997898440496</v>
      </c>
    </row>
    <row r="3207" spans="1:40" x14ac:dyDescent="0.25">
      <c r="A3207" t="str">
        <f>"20190303162319428"</f>
        <v>20190303162319428</v>
      </c>
      <c r="B3207" t="str">
        <f>"1551601399417897"</f>
        <v>1551601399417897</v>
      </c>
      <c r="C3207" t="s">
        <v>40</v>
      </c>
      <c r="D3207">
        <v>5.482583</v>
      </c>
      <c r="E3207">
        <v>0.48922060000000001</v>
      </c>
      <c r="F3207" t="s">
        <v>47</v>
      </c>
      <c r="G3207">
        <v>-373.4726</v>
      </c>
      <c r="H3207" s="1">
        <v>3.1116970000000002E-7</v>
      </c>
      <c r="I3207">
        <v>215.62889999999999</v>
      </c>
      <c r="J3207">
        <v>-395.5523</v>
      </c>
      <c r="K3207">
        <v>1.1205969999999901</v>
      </c>
      <c r="L3207">
        <v>214.8098</v>
      </c>
      <c r="M3207">
        <v>0.99992449999999999</v>
      </c>
      <c r="N3207">
        <v>-1.116869E-2</v>
      </c>
      <c r="O3207">
        <v>-5.1204079999999999E-3</v>
      </c>
      <c r="P3207">
        <v>0.98239399999999999</v>
      </c>
      <c r="Q3207">
        <v>0.18648970000000001</v>
      </c>
      <c r="R3207">
        <v>1.11244E-2</v>
      </c>
      <c r="S3207">
        <v>3.0820919999999998</v>
      </c>
      <c r="T3207">
        <v>-0.15439149999999999</v>
      </c>
      <c r="U3207">
        <v>0.1126404</v>
      </c>
      <c r="V3207">
        <v>-1.6113949999999998E-2</v>
      </c>
      <c r="W3207">
        <v>0.19745280000000001</v>
      </c>
      <c r="X3207">
        <v>0.98018000000000005</v>
      </c>
      <c r="Y3207">
        <v>-4.1571610000000002E-2</v>
      </c>
      <c r="Z3207">
        <v>1.4717529999999999E-3</v>
      </c>
      <c r="AA3207">
        <v>0.99913439999999998</v>
      </c>
      <c r="AB3207">
        <v>31</v>
      </c>
      <c r="AC3207">
        <v>22.079699999999999</v>
      </c>
      <c r="AD3207">
        <v>-1.1205966888302901</v>
      </c>
      <c r="AE3207">
        <v>0.81909999999999095</v>
      </c>
      <c r="AF3207">
        <v>-0.92976179718041096</v>
      </c>
      <c r="AG3207">
        <v>-1.1205966888302901</v>
      </c>
      <c r="AH3207">
        <v>22.0185785904673</v>
      </c>
      <c r="AI3207">
        <v>92.9108643983039</v>
      </c>
      <c r="AJ3207">
        <v>92.417948941333293</v>
      </c>
      <c r="AK3207">
        <v>22.066671635819901</v>
      </c>
      <c r="AL3207">
        <v>78.611955487459994</v>
      </c>
      <c r="AM3207">
        <v>90.941845542868506</v>
      </c>
      <c r="AN3207">
        <v>1.0000000500062201</v>
      </c>
    </row>
    <row r="3208" spans="1:40" x14ac:dyDescent="0.25">
      <c r="A3208" t="str">
        <f>"20190303162319450"</f>
        <v>20190303162319450</v>
      </c>
      <c r="B3208" t="str">
        <f>"1551601399437417"</f>
        <v>1551601399437417</v>
      </c>
      <c r="C3208" t="s">
        <v>40</v>
      </c>
      <c r="D3208">
        <v>5.5376960000000004</v>
      </c>
      <c r="E3208">
        <v>0.48911789999999999</v>
      </c>
      <c r="F3208" t="s">
        <v>47</v>
      </c>
      <c r="G3208">
        <v>-373.19139999999999</v>
      </c>
      <c r="H3208" s="1">
        <v>1.6153169999999999E-7</v>
      </c>
      <c r="I3208">
        <v>215.6129</v>
      </c>
      <c r="J3208">
        <v>-395.25880000000001</v>
      </c>
      <c r="K3208">
        <v>1.1206240000000001</v>
      </c>
      <c r="L3208">
        <v>214.8082</v>
      </c>
      <c r="M3208">
        <v>0.99992389999999998</v>
      </c>
      <c r="N3208">
        <v>-1.121081E-2</v>
      </c>
      <c r="O3208">
        <v>-5.1581550000000002E-3</v>
      </c>
      <c r="P3208">
        <v>0.98252660000000003</v>
      </c>
      <c r="Q3208">
        <v>0.18584899999999999</v>
      </c>
      <c r="R3208">
        <v>1.00848E-2</v>
      </c>
      <c r="S3208">
        <v>3.0818479999999999</v>
      </c>
      <c r="T3208">
        <v>-0.15444430000000001</v>
      </c>
      <c r="U3208">
        <v>0.1106873</v>
      </c>
      <c r="V3208">
        <v>-1.512167E-2</v>
      </c>
      <c r="W3208">
        <v>0.196854</v>
      </c>
      <c r="X3208">
        <v>0.98031619999999997</v>
      </c>
      <c r="Y3208">
        <v>-4.0980629999999997E-2</v>
      </c>
      <c r="Z3208">
        <v>1.45632799999999E-3</v>
      </c>
      <c r="AA3208">
        <v>0.99915889999999996</v>
      </c>
      <c r="AB3208">
        <v>31</v>
      </c>
      <c r="AC3208">
        <v>22.067399999999999</v>
      </c>
      <c r="AD3208">
        <v>-1.1206238384683</v>
      </c>
      <c r="AE3208">
        <v>0.80469999999999597</v>
      </c>
      <c r="AF3208">
        <v>-0.91616404655124595</v>
      </c>
      <c r="AG3208">
        <v>-1.1206238384683</v>
      </c>
      <c r="AH3208">
        <v>22.006280965930099</v>
      </c>
      <c r="AI3208">
        <v>92.912631025309693</v>
      </c>
      <c r="AJ3208">
        <v>92.383957466693801</v>
      </c>
      <c r="AK3208">
        <v>22.053833142993401</v>
      </c>
      <c r="AL3208">
        <v>78.646950575929793</v>
      </c>
      <c r="AM3208">
        <v>90.883734413804603</v>
      </c>
      <c r="AN3208">
        <v>1.00000000710101</v>
      </c>
    </row>
    <row r="3209" spans="1:40" x14ac:dyDescent="0.25">
      <c r="A3209" t="str">
        <f>"20190303162319472"</f>
        <v>20190303162319472</v>
      </c>
      <c r="B3209" t="str">
        <f>"1551601399457914"</f>
        <v>1551601399457914</v>
      </c>
      <c r="C3209" t="s">
        <v>40</v>
      </c>
      <c r="D3209">
        <v>5.5407950000000001</v>
      </c>
      <c r="E3209">
        <v>0.48903829999999998</v>
      </c>
      <c r="F3209" t="s">
        <v>47</v>
      </c>
      <c r="G3209">
        <v>-372.9742</v>
      </c>
      <c r="H3209" s="1">
        <v>4.5923440000000002E-8</v>
      </c>
      <c r="I3209">
        <v>215.59710000000001</v>
      </c>
      <c r="J3209">
        <v>-394.94650000000001</v>
      </c>
      <c r="K3209">
        <v>1.1206560000000001</v>
      </c>
      <c r="L3209">
        <v>214.8066</v>
      </c>
      <c r="M3209">
        <v>0.99992320000000001</v>
      </c>
      <c r="N3209">
        <v>-1.126749E-2</v>
      </c>
      <c r="O3209">
        <v>-5.175509E-3</v>
      </c>
      <c r="P3209">
        <v>0.9826857</v>
      </c>
      <c r="Q3209">
        <v>0.18506739999999999</v>
      </c>
      <c r="R3209">
        <v>8.901104E-3</v>
      </c>
      <c r="S3209">
        <v>3.0815730000000001</v>
      </c>
      <c r="T3209">
        <v>-0.15496270000000001</v>
      </c>
      <c r="U3209">
        <v>0.1090851</v>
      </c>
      <c r="V3209">
        <v>-1.396492E-2</v>
      </c>
      <c r="W3209">
        <v>0.19612879999999999</v>
      </c>
      <c r="X3209">
        <v>0.98047870000000004</v>
      </c>
      <c r="Y3209">
        <v>-4.0482619999999997E-2</v>
      </c>
      <c r="Z3209">
        <v>1.4469859999999999E-3</v>
      </c>
      <c r="AA3209">
        <v>0.99917920000000005</v>
      </c>
      <c r="AB3209">
        <v>31</v>
      </c>
      <c r="AC3209">
        <v>21.972300000000001</v>
      </c>
      <c r="AD3209">
        <v>-1.1206559540765599</v>
      </c>
      <c r="AE3209">
        <v>0.79050000000000797</v>
      </c>
      <c r="AF3209">
        <v>-0.90187143637674305</v>
      </c>
      <c r="AG3209">
        <v>-1.1206559540765599</v>
      </c>
      <c r="AH3209">
        <v>21.910990397633999</v>
      </c>
      <c r="AI3209">
        <v>92.925416620785896</v>
      </c>
      <c r="AJ3209">
        <v>92.357003216815002</v>
      </c>
      <c r="AK3209">
        <v>21.958158895052399</v>
      </c>
      <c r="AL3209">
        <v>78.689327547619897</v>
      </c>
      <c r="AM3209">
        <v>90.816006383869393</v>
      </c>
      <c r="AN3209">
        <v>1.0000000031668601</v>
      </c>
    </row>
    <row r="3210" spans="1:40" x14ac:dyDescent="0.25">
      <c r="A3210" t="str">
        <f>"20190303162319495"</f>
        <v>20190303162319495</v>
      </c>
      <c r="B3210" t="str">
        <f>"1551601399488169"</f>
        <v>1551601399488169</v>
      </c>
      <c r="C3210" t="s">
        <v>40</v>
      </c>
      <c r="D3210">
        <v>5.3604649999999996</v>
      </c>
      <c r="E3210">
        <v>0.51322479999999904</v>
      </c>
      <c r="F3210" t="s">
        <v>47</v>
      </c>
      <c r="G3210">
        <v>-372.75279999999998</v>
      </c>
      <c r="H3210" s="1">
        <v>-7.1874039999999906E-8</v>
      </c>
      <c r="I3210">
        <v>215.57820000000001</v>
      </c>
      <c r="J3210">
        <v>-394.62560000000002</v>
      </c>
      <c r="K3210">
        <v>1.1206830000000001</v>
      </c>
      <c r="L3210">
        <v>214.8049</v>
      </c>
      <c r="M3210">
        <v>0.99992250000000005</v>
      </c>
      <c r="N3210">
        <v>-1.1335609999999999E-2</v>
      </c>
      <c r="O3210">
        <v>-5.1689869999999999E-3</v>
      </c>
      <c r="P3210">
        <v>0.98275199999999996</v>
      </c>
      <c r="Q3210">
        <v>0.18476919999999999</v>
      </c>
      <c r="R3210">
        <v>7.6883419999999999E-3</v>
      </c>
      <c r="S3210">
        <v>3.0811769999999998</v>
      </c>
      <c r="T3210">
        <v>-0.15558179999999999</v>
      </c>
      <c r="U3210">
        <v>0.10713200000000001</v>
      </c>
      <c r="V3210">
        <v>-1.2754140000000001E-2</v>
      </c>
      <c r="W3210">
        <v>0.19589780000000001</v>
      </c>
      <c r="X3210">
        <v>0.98054129999999995</v>
      </c>
      <c r="Y3210">
        <v>-3.9848479999999999E-2</v>
      </c>
      <c r="Z3210">
        <v>1.4334389999999999E-3</v>
      </c>
      <c r="AA3210">
        <v>0.99920469999999895</v>
      </c>
      <c r="AB3210">
        <v>31</v>
      </c>
      <c r="AC3210">
        <v>21.872800000000002</v>
      </c>
      <c r="AD3210">
        <v>-1.1206830718740399</v>
      </c>
      <c r="AE3210">
        <v>0.77330000000000598</v>
      </c>
      <c r="AF3210">
        <v>-0.88403928572174695</v>
      </c>
      <c r="AG3210">
        <v>-1.1206830718740399</v>
      </c>
      <c r="AH3210">
        <v>21.811323446484</v>
      </c>
      <c r="AI3210">
        <v>92.938907240303394</v>
      </c>
      <c r="AJ3210">
        <v>92.320996747518507</v>
      </c>
      <c r="AK3210">
        <v>21.857979927098199</v>
      </c>
      <c r="AL3210">
        <v>78.702823846910505</v>
      </c>
      <c r="AM3210">
        <v>90.745218162207607</v>
      </c>
      <c r="AN3210">
        <v>0.99999992856883202</v>
      </c>
    </row>
    <row r="3211" spans="1:40" x14ac:dyDescent="0.25">
      <c r="A3211" t="str">
        <f>"20190303162319518"</f>
        <v>20190303162319518</v>
      </c>
      <c r="B3211" t="str">
        <f>"1551601399507689"</f>
        <v>1551601399507689</v>
      </c>
      <c r="C3211" t="s">
        <v>40</v>
      </c>
      <c r="D3211">
        <v>5.331264</v>
      </c>
      <c r="E3211">
        <v>0.51875099999999996</v>
      </c>
      <c r="F3211" t="s">
        <v>47</v>
      </c>
      <c r="G3211">
        <v>-367.29410000000001</v>
      </c>
      <c r="H3211" s="1">
        <v>2.3447569999999999E-6</v>
      </c>
      <c r="I3211">
        <v>214.01410000000001</v>
      </c>
      <c r="J3211">
        <v>-394.31959999999998</v>
      </c>
      <c r="K3211">
        <v>1.1207049999999901</v>
      </c>
      <c r="L3211">
        <v>214.80340000000001</v>
      </c>
      <c r="M3211">
        <v>0.99992170000000002</v>
      </c>
      <c r="N3211">
        <v>-1.1404829999999999E-2</v>
      </c>
      <c r="O3211">
        <v>-5.1377829999999999E-3</v>
      </c>
      <c r="P3211">
        <v>0.98289159999999998</v>
      </c>
      <c r="Q3211">
        <v>0.18406169999999999</v>
      </c>
      <c r="R3211">
        <v>6.7317499999999999E-3</v>
      </c>
      <c r="S3211">
        <v>3.0770870000000001</v>
      </c>
      <c r="T3211">
        <v>-0.12617059999999999</v>
      </c>
      <c r="U3211">
        <v>-8.9035030000000001E-2</v>
      </c>
      <c r="V3211">
        <v>-1.177566E-2</v>
      </c>
      <c r="W3211">
        <v>0.19525909999999999</v>
      </c>
      <c r="X3211">
        <v>0.98068100000000002</v>
      </c>
      <c r="Y3211">
        <v>2.376313E-2</v>
      </c>
      <c r="Z3211">
        <v>-4.7052919999999998E-4</v>
      </c>
      <c r="AA3211">
        <v>0.99971750000000004</v>
      </c>
      <c r="AB3211">
        <v>31</v>
      </c>
      <c r="AC3211">
        <v>27.025499999999901</v>
      </c>
      <c r="AD3211">
        <v>-1.1207026552429999</v>
      </c>
      <c r="AE3211">
        <v>-0.789299999999997</v>
      </c>
      <c r="AF3211">
        <v>0.64931376322623002</v>
      </c>
      <c r="AG3211">
        <v>-1.1207026552429999</v>
      </c>
      <c r="AH3211">
        <v>26.982838000877699</v>
      </c>
      <c r="AI3211">
        <v>92.377663010333094</v>
      </c>
      <c r="AJ3211">
        <v>88.621503059747695</v>
      </c>
      <c r="AK3211">
        <v>27.013906222281001</v>
      </c>
      <c r="AL3211">
        <v>78.740140147909401</v>
      </c>
      <c r="AM3211">
        <v>90.687953774132396</v>
      </c>
      <c r="AN3211">
        <v>1.00000000303112</v>
      </c>
    </row>
    <row r="3212" spans="1:40" x14ac:dyDescent="0.25">
      <c r="A3212" t="str">
        <f>"20190303162319538"</f>
        <v>20190303162319538</v>
      </c>
      <c r="B3212" t="str">
        <f>"1551601399528185"</f>
        <v>1551601399528185</v>
      </c>
      <c r="C3212" t="s">
        <v>40</v>
      </c>
      <c r="D3212">
        <v>5.3064390000000001</v>
      </c>
      <c r="E3212">
        <v>0.5201114</v>
      </c>
      <c r="F3212" t="s">
        <v>47</v>
      </c>
      <c r="G3212">
        <v>-367.82139999999998</v>
      </c>
      <c r="H3212" s="1">
        <v>2.6253920000000001E-6</v>
      </c>
      <c r="I3212">
        <v>213.6302</v>
      </c>
      <c r="J3212">
        <v>-394.02550000000002</v>
      </c>
      <c r="K3212">
        <v>1.120725</v>
      </c>
      <c r="L3212">
        <v>214.80189999999999</v>
      </c>
      <c r="M3212">
        <v>0.99992130000000001</v>
      </c>
      <c r="N3212">
        <v>-1.1469760000000001E-2</v>
      </c>
      <c r="O3212">
        <v>-5.0881820000000001E-3</v>
      </c>
      <c r="P3212">
        <v>0.98314769999999896</v>
      </c>
      <c r="Q3212">
        <v>0.18269489999999999</v>
      </c>
      <c r="R3212">
        <v>6.5697079999999996E-3</v>
      </c>
      <c r="S3212">
        <v>3.0774840000000001</v>
      </c>
      <c r="T3212">
        <v>-0.13015789999999999</v>
      </c>
      <c r="U3212">
        <v>-0.1362457</v>
      </c>
      <c r="V3212">
        <v>-1.157529E-2</v>
      </c>
      <c r="W3212">
        <v>0.19395879999999999</v>
      </c>
      <c r="X3212">
        <v>0.98094139999999996</v>
      </c>
      <c r="Y3212">
        <v>3.9102390000000001E-2</v>
      </c>
      <c r="Z3212">
        <v>-8.9393619999999997E-4</v>
      </c>
      <c r="AA3212">
        <v>0.99923479999999998</v>
      </c>
      <c r="AB3212">
        <v>31</v>
      </c>
      <c r="AC3212">
        <v>26.2041</v>
      </c>
      <c r="AD3212">
        <v>-1.1207223746079999</v>
      </c>
      <c r="AE3212">
        <v>-1.17169999999998</v>
      </c>
      <c r="AF3212">
        <v>1.0364527522053699</v>
      </c>
      <c r="AG3212">
        <v>-1.1207223746079999</v>
      </c>
      <c r="AH3212">
        <v>26.161963384331699</v>
      </c>
      <c r="AI3212">
        <v>92.451008230601701</v>
      </c>
      <c r="AJ3212">
        <v>87.731312095809102</v>
      </c>
      <c r="AK3212">
        <v>26.2064606742615</v>
      </c>
      <c r="AL3212">
        <v>78.816094181376201</v>
      </c>
      <c r="AM3212">
        <v>90.676069419860497</v>
      </c>
      <c r="AN3212">
        <v>1.0000000168349901</v>
      </c>
    </row>
    <row r="3213" spans="1:40" x14ac:dyDescent="0.25">
      <c r="A3213" t="str">
        <f>"20190303162319562"</f>
        <v>20190303162319562</v>
      </c>
      <c r="B3213" t="str">
        <f>"1551601399547706"</f>
        <v>1551601399547706</v>
      </c>
      <c r="C3213" t="s">
        <v>40</v>
      </c>
      <c r="D3213">
        <v>5.3390979999999999</v>
      </c>
      <c r="E3213">
        <v>0.52123790000000003</v>
      </c>
      <c r="F3213" t="s">
        <v>47</v>
      </c>
      <c r="G3213">
        <v>-368.18900000000002</v>
      </c>
      <c r="H3213" s="1">
        <v>2.8209739999999999E-6</v>
      </c>
      <c r="I3213">
        <v>213.5557</v>
      </c>
      <c r="J3213">
        <v>-393.71429999999998</v>
      </c>
      <c r="K3213">
        <v>1.1207499999999999</v>
      </c>
      <c r="L3213">
        <v>214.8004</v>
      </c>
      <c r="M3213">
        <v>0.99992080000000005</v>
      </c>
      <c r="N3213">
        <v>-1.153851E-2</v>
      </c>
      <c r="O3213">
        <v>-5.0200009999999996E-3</v>
      </c>
      <c r="P3213">
        <v>0.98331089999999999</v>
      </c>
      <c r="Q3213">
        <v>0.181781</v>
      </c>
      <c r="R3213">
        <v>7.4412059999999997E-3</v>
      </c>
      <c r="S3213">
        <v>3.0772400000000002</v>
      </c>
      <c r="T3213">
        <v>-0.13348279999999901</v>
      </c>
      <c r="U3213">
        <v>-0.1484222</v>
      </c>
      <c r="V3213">
        <v>-1.2389870000000001E-2</v>
      </c>
      <c r="W3213">
        <v>0.1931139</v>
      </c>
      <c r="X3213">
        <v>0.98109809999999997</v>
      </c>
      <c r="Y3213">
        <v>4.3112449999999997E-2</v>
      </c>
      <c r="Z3213">
        <v>-1.023454E-3</v>
      </c>
      <c r="AA3213">
        <v>0.99906969999999995</v>
      </c>
      <c r="AB3213">
        <v>31</v>
      </c>
      <c r="AC3213">
        <v>25.525299999999898</v>
      </c>
      <c r="AD3213">
        <v>-1.120747179026</v>
      </c>
      <c r="AE3213">
        <v>-1.2446999999999899</v>
      </c>
      <c r="AF3213">
        <v>1.1143954558718601</v>
      </c>
      <c r="AG3213">
        <v>-1.120747179026</v>
      </c>
      <c r="AH3213">
        <v>25.482217746302901</v>
      </c>
      <c r="AI3213">
        <v>92.515932022084996</v>
      </c>
      <c r="AJ3213">
        <v>87.495920532675399</v>
      </c>
      <c r="AK3213">
        <v>25.5311843192077</v>
      </c>
      <c r="AL3213">
        <v>78.865435928196604</v>
      </c>
      <c r="AM3213">
        <v>90.723525532778893</v>
      </c>
      <c r="AN3213">
        <v>0.99999998453771799</v>
      </c>
    </row>
    <row r="3214" spans="1:40" x14ac:dyDescent="0.25">
      <c r="A3214" t="str">
        <f>"20190303162319586"</f>
        <v>20190303162319586</v>
      </c>
      <c r="B3214" t="str">
        <f>"1551601399577961"</f>
        <v>1551601399577961</v>
      </c>
      <c r="C3214" t="s">
        <v>40</v>
      </c>
      <c r="D3214">
        <v>5.3158580000000004</v>
      </c>
      <c r="E3214">
        <v>0.52214490000000002</v>
      </c>
      <c r="F3214" t="s">
        <v>47</v>
      </c>
      <c r="G3214">
        <v>-368.42759999999998</v>
      </c>
      <c r="H3214" s="1">
        <v>2.947986E-6</v>
      </c>
      <c r="I3214">
        <v>213.5215</v>
      </c>
      <c r="J3214">
        <v>-393.38720000000001</v>
      </c>
      <c r="K3214">
        <v>1.120773</v>
      </c>
      <c r="L3214">
        <v>214.7988</v>
      </c>
      <c r="M3214">
        <v>0.99992049999999999</v>
      </c>
      <c r="N3214">
        <v>-1.161017E-2</v>
      </c>
      <c r="O3214">
        <v>-4.9350840000000002E-3</v>
      </c>
      <c r="P3214">
        <v>0.98337419999999998</v>
      </c>
      <c r="Q3214">
        <v>0.18135399999999999</v>
      </c>
      <c r="R3214">
        <v>9.2847220000000005E-3</v>
      </c>
      <c r="S3214">
        <v>3.0772400000000002</v>
      </c>
      <c r="T3214">
        <v>-0.13638829999999999</v>
      </c>
      <c r="U3214">
        <v>-0.1556244</v>
      </c>
      <c r="V3214">
        <v>-1.4156899999999899E-2</v>
      </c>
      <c r="W3214">
        <v>0.19275690000000001</v>
      </c>
      <c r="X3214">
        <v>0.98114440000000003</v>
      </c>
      <c r="Y3214">
        <v>4.5524790000000002E-2</v>
      </c>
      <c r="Z3214">
        <v>-1.111112E-3</v>
      </c>
      <c r="AA3214">
        <v>0.99896260000000003</v>
      </c>
      <c r="AB3214">
        <v>31</v>
      </c>
      <c r="AC3214">
        <v>24.959599999999998</v>
      </c>
      <c r="AD3214">
        <v>-1.120770052014</v>
      </c>
      <c r="AE3214">
        <v>-1.2772999999999901</v>
      </c>
      <c r="AF3214">
        <v>1.1517821413132201</v>
      </c>
      <c r="AG3214">
        <v>-1.120770052014</v>
      </c>
      <c r="AH3214">
        <v>24.9154938228708</v>
      </c>
      <c r="AI3214">
        <v>92.572847588067802</v>
      </c>
      <c r="AJ3214">
        <v>87.353240995734495</v>
      </c>
      <c r="AK3214">
        <v>24.967269775609299</v>
      </c>
      <c r="AL3214">
        <v>78.886282220315493</v>
      </c>
      <c r="AM3214">
        <v>90.826661536144499</v>
      </c>
      <c r="AN3214">
        <v>0.99999998698328996</v>
      </c>
    </row>
    <row r="3215" spans="1:40" x14ac:dyDescent="0.25">
      <c r="A3215" t="str">
        <f>"20190303162319608"</f>
        <v>20190303162319608</v>
      </c>
      <c r="B3215" t="str">
        <f>"1551601399598460"</f>
        <v>1551601399598460</v>
      </c>
      <c r="C3215" t="s">
        <v>40</v>
      </c>
      <c r="D3215">
        <v>5.3579919999999897</v>
      </c>
      <c r="E3215">
        <v>0.52226879999999998</v>
      </c>
      <c r="F3215" t="s">
        <v>47</v>
      </c>
      <c r="G3215">
        <v>-370.43520000000001</v>
      </c>
      <c r="H3215" s="1">
        <v>-1.305199E-6</v>
      </c>
      <c r="I3215">
        <v>213.6181</v>
      </c>
      <c r="J3215">
        <v>-393.0908</v>
      </c>
      <c r="K3215">
        <v>1.1207860000000001</v>
      </c>
      <c r="L3215">
        <v>214.79740000000001</v>
      </c>
      <c r="M3215">
        <v>0.99992009999999998</v>
      </c>
      <c r="N3215">
        <v>-1.1675680000000001E-2</v>
      </c>
      <c r="O3215">
        <v>-4.8484280000000001E-3</v>
      </c>
      <c r="P3215">
        <v>0.98333409999999999</v>
      </c>
      <c r="Q3215">
        <v>0.18151010000000001</v>
      </c>
      <c r="R3215">
        <v>1.0418820000000001E-2</v>
      </c>
      <c r="S3215">
        <v>3.0799560000000001</v>
      </c>
      <c r="T3215">
        <v>-0.150397799999999</v>
      </c>
      <c r="U3215">
        <v>-0.15843199999999999</v>
      </c>
      <c r="V3215">
        <v>-1.521028E-2</v>
      </c>
      <c r="W3215">
        <v>0.19297639999999999</v>
      </c>
      <c r="X3215">
        <v>0.98108550000000005</v>
      </c>
      <c r="Y3215">
        <v>4.6463690000000002E-2</v>
      </c>
      <c r="Z3215">
        <v>-1.2247510000000001E-3</v>
      </c>
      <c r="AA3215">
        <v>0.99891920000000001</v>
      </c>
      <c r="AB3215">
        <v>31</v>
      </c>
      <c r="AC3215">
        <v>22.6556</v>
      </c>
      <c r="AD3215">
        <v>-1.1207873051990001</v>
      </c>
      <c r="AE3215">
        <v>-1.17930000000001</v>
      </c>
      <c r="AF3215">
        <v>1.06683075758832</v>
      </c>
      <c r="AG3215">
        <v>-1.1207873051990001</v>
      </c>
      <c r="AH3215">
        <v>22.605876927401301</v>
      </c>
      <c r="AI3215">
        <v>92.835219675119404</v>
      </c>
      <c r="AJ3215">
        <v>87.298066223509593</v>
      </c>
      <c r="AK3215">
        <v>22.658772334476598</v>
      </c>
      <c r="AL3215">
        <v>78.873465313130893</v>
      </c>
      <c r="AM3215">
        <v>90.888215182217806</v>
      </c>
      <c r="AN3215">
        <v>1.0000000009424399</v>
      </c>
    </row>
    <row r="3216" spans="1:40" x14ac:dyDescent="0.25">
      <c r="A3216" t="str">
        <f>"20190303162319629"</f>
        <v>20190303162319629</v>
      </c>
      <c r="B3216" t="str">
        <f>"1551601399617979"</f>
        <v>1551601399617979</v>
      </c>
      <c r="C3216" t="s">
        <v>40</v>
      </c>
      <c r="D3216">
        <v>5.3455510000000004</v>
      </c>
      <c r="E3216">
        <v>0.52228390000000002</v>
      </c>
      <c r="F3216" t="s">
        <v>47</v>
      </c>
      <c r="G3216">
        <v>-369.65620000000001</v>
      </c>
      <c r="H3216" s="1">
        <v>3.6017749999999999E-6</v>
      </c>
      <c r="I3216">
        <v>213.61660000000001</v>
      </c>
      <c r="J3216">
        <v>-392.77929999999998</v>
      </c>
      <c r="K3216">
        <v>1.120792</v>
      </c>
      <c r="L3216">
        <v>214.79599999999999</v>
      </c>
      <c r="M3216">
        <v>0.99991989999999997</v>
      </c>
      <c r="N3216">
        <v>-1.1741980000000001E-2</v>
      </c>
      <c r="O3216">
        <v>-4.753129E-3</v>
      </c>
      <c r="P3216">
        <v>0.98335550000000005</v>
      </c>
      <c r="Q3216">
        <v>0.1813409</v>
      </c>
      <c r="R3216">
        <v>1.12979E-2</v>
      </c>
      <c r="S3216">
        <v>3.0796809999999999</v>
      </c>
      <c r="T3216">
        <v>-0.14728920000000001</v>
      </c>
      <c r="U3216">
        <v>-0.15518189999999901</v>
      </c>
      <c r="V3216">
        <v>-1.599795E-2</v>
      </c>
      <c r="W3216">
        <v>0.1928716</v>
      </c>
      <c r="X3216">
        <v>0.98109360000000001</v>
      </c>
      <c r="Y3216">
        <v>4.55155E-2</v>
      </c>
      <c r="Z3216">
        <v>-1.1834059999999999E-3</v>
      </c>
      <c r="AA3216">
        <v>0.99896289999999999</v>
      </c>
      <c r="AB3216">
        <v>31</v>
      </c>
      <c r="AC3216">
        <v>23.123099999999901</v>
      </c>
      <c r="AD3216">
        <v>-1.120788398225</v>
      </c>
      <c r="AE3216">
        <v>-1.17939999999998</v>
      </c>
      <c r="AF3216">
        <v>1.0669718072218</v>
      </c>
      <c r="AG3216">
        <v>-1.120788398225</v>
      </c>
      <c r="AH3216">
        <v>23.074374944046699</v>
      </c>
      <c r="AI3216">
        <v>92.777870761883705</v>
      </c>
      <c r="AJ3216">
        <v>87.352497474179202</v>
      </c>
      <c r="AK3216">
        <v>23.126205363817299</v>
      </c>
      <c r="AL3216">
        <v>78.879585091898505</v>
      </c>
      <c r="AM3216">
        <v>90.934196072779798</v>
      </c>
      <c r="AN3216">
        <v>1.0000000202258601</v>
      </c>
    </row>
    <row r="3217" spans="1:40" x14ac:dyDescent="0.25">
      <c r="A3217" t="str">
        <f>"20190303162319651"</f>
        <v>20190303162319651</v>
      </c>
      <c r="B3217" t="str">
        <f>"1551601399648234"</f>
        <v>1551601399648234</v>
      </c>
      <c r="C3217" t="s">
        <v>40</v>
      </c>
      <c r="D3217">
        <v>5.3334530000000004</v>
      </c>
      <c r="E3217">
        <v>0.52298049999999996</v>
      </c>
      <c r="F3217" t="s">
        <v>47</v>
      </c>
      <c r="G3217">
        <v>-369.18979999999999</v>
      </c>
      <c r="H3217" s="1">
        <v>3.3535620000000002E-6</v>
      </c>
      <c r="I3217">
        <v>213.63050000000001</v>
      </c>
      <c r="J3217">
        <v>-392.48410000000001</v>
      </c>
      <c r="K3217">
        <v>1.1208</v>
      </c>
      <c r="L3217">
        <v>214.79470000000001</v>
      </c>
      <c r="M3217">
        <v>0.99991949999999996</v>
      </c>
      <c r="N3217">
        <v>-1.180176E-2</v>
      </c>
      <c r="O3217">
        <v>-4.660567E-3</v>
      </c>
      <c r="P3217">
        <v>0.98355000000000004</v>
      </c>
      <c r="Q3217">
        <v>0.18020849999999999</v>
      </c>
      <c r="R3217">
        <v>1.2427260000000001E-2</v>
      </c>
      <c r="S3217">
        <v>3.0794980000000001</v>
      </c>
      <c r="T3217">
        <v>-0.14631369999999999</v>
      </c>
      <c r="U3217">
        <v>-0.15214539999999999</v>
      </c>
      <c r="V3217">
        <v>-1.7039209999999999E-2</v>
      </c>
      <c r="W3217">
        <v>0.19180050000000001</v>
      </c>
      <c r="X3217">
        <v>0.98128599999999999</v>
      </c>
      <c r="Y3217">
        <v>4.4630179999999998E-2</v>
      </c>
      <c r="Z3217">
        <v>-1.1564909999999999E-3</v>
      </c>
      <c r="AA3217">
        <v>0.99900290000000003</v>
      </c>
      <c r="AB3217">
        <v>31</v>
      </c>
      <c r="AC3217">
        <v>23.2943</v>
      </c>
      <c r="AD3217">
        <v>-1.1207966464379999</v>
      </c>
      <c r="AE3217">
        <v>-1.1641999999999899</v>
      </c>
      <c r="AF3217">
        <v>1.05318308503456</v>
      </c>
      <c r="AG3217">
        <v>-1.1207966464379999</v>
      </c>
      <c r="AH3217">
        <v>23.245792847123798</v>
      </c>
      <c r="AI3217">
        <v>92.757555807873104</v>
      </c>
      <c r="AJ3217">
        <v>87.405908718251993</v>
      </c>
      <c r="AK3217">
        <v>23.296614879090502</v>
      </c>
      <c r="AL3217">
        <v>78.942121889801598</v>
      </c>
      <c r="AM3217">
        <v>90.994793278166</v>
      </c>
      <c r="AN3217">
        <v>0.99999999013683605</v>
      </c>
    </row>
    <row r="3218" spans="1:40" x14ac:dyDescent="0.25">
      <c r="A3218" t="str">
        <f>"20190303162319851"</f>
        <v>20190303162319851</v>
      </c>
      <c r="B3218" t="str">
        <f>"1551601399848314"</f>
        <v>1551601399848314</v>
      </c>
      <c r="C3218" t="s">
        <v>40</v>
      </c>
      <c r="D3218">
        <v>5.2115640000000001</v>
      </c>
      <c r="E3218">
        <v>0.524524199999999</v>
      </c>
      <c r="F3218" t="s">
        <v>47</v>
      </c>
      <c r="G3218">
        <v>-368.73009999999999</v>
      </c>
      <c r="H3218" s="1">
        <v>3.1089169999999998E-6</v>
      </c>
      <c r="I3218">
        <v>213.60730000000001</v>
      </c>
      <c r="J3218">
        <v>-389.74079999999998</v>
      </c>
      <c r="K3218">
        <v>1.120808</v>
      </c>
      <c r="L3218">
        <v>214.78370000000001</v>
      </c>
      <c r="M3218">
        <v>0.99991450000000004</v>
      </c>
      <c r="N3218">
        <v>-1.2465800000000001E-2</v>
      </c>
      <c r="O3218">
        <v>-3.9401250000000001E-3</v>
      </c>
      <c r="P3218">
        <v>0.98576019999999998</v>
      </c>
      <c r="Q3218">
        <v>0.16804639999999901</v>
      </c>
      <c r="R3218">
        <v>6.1216899999999999E-3</v>
      </c>
      <c r="S3218">
        <v>3.0787659999999999</v>
      </c>
      <c r="T3218">
        <v>-0.1452668</v>
      </c>
      <c r="U3218">
        <v>-0.15390009999999901</v>
      </c>
      <c r="V3218">
        <v>-1.0028260000000001E-2</v>
      </c>
      <c r="W3218">
        <v>0.18032010000000001</v>
      </c>
      <c r="X3218">
        <v>0.98355689999999996</v>
      </c>
      <c r="Y3218">
        <v>4.5927259999999998E-2</v>
      </c>
      <c r="Z3218">
        <v>-1.232262E-3</v>
      </c>
      <c r="AA3218">
        <v>0.99894400000000005</v>
      </c>
      <c r="AB3218">
        <v>31</v>
      </c>
      <c r="AC3218">
        <v>21.0106999999999</v>
      </c>
      <c r="AD3218">
        <v>-1.120804891083</v>
      </c>
      <c r="AE3218">
        <v>-1.1763999999999999</v>
      </c>
      <c r="AF3218">
        <v>1.09050616351695</v>
      </c>
      <c r="AG3218">
        <v>-1.120804891083</v>
      </c>
      <c r="AH3218">
        <v>20.955726444789502</v>
      </c>
      <c r="AI3218">
        <v>93.057385508143</v>
      </c>
      <c r="AJ3218">
        <v>87.021096253910102</v>
      </c>
      <c r="AK3218">
        <v>21.013992436597899</v>
      </c>
      <c r="AL3218">
        <v>79.611595145519502</v>
      </c>
      <c r="AM3218">
        <v>90.584162507262903</v>
      </c>
      <c r="AN3218">
        <v>1.0000000400001201</v>
      </c>
    </row>
    <row r="3219" spans="1:40" x14ac:dyDescent="0.25">
      <c r="A3219" t="str">
        <f>"20190303162319874"</f>
        <v>20190303162319874</v>
      </c>
      <c r="B3219" t="str">
        <f>"1551601399867834"</f>
        <v>1551601399867834</v>
      </c>
      <c r="C3219" t="s">
        <v>40</v>
      </c>
      <c r="D3219">
        <v>5.6727410000000003</v>
      </c>
      <c r="E3219">
        <v>0.524524199999999</v>
      </c>
      <c r="F3219" t="s">
        <v>47</v>
      </c>
      <c r="G3219">
        <v>-372.61470000000003</v>
      </c>
      <c r="H3219" s="1">
        <v>-1.45387E-7</v>
      </c>
      <c r="I3219">
        <v>213.74270000000001</v>
      </c>
      <c r="J3219">
        <v>-389.42110000000002</v>
      </c>
      <c r="K3219">
        <v>1.120824</v>
      </c>
      <c r="L3219">
        <v>214.7825</v>
      </c>
      <c r="M3219">
        <v>0.99991410000000003</v>
      </c>
      <c r="N3219">
        <v>-1.2523599999999999E-2</v>
      </c>
      <c r="O3219">
        <v>-3.8611980000000001E-3</v>
      </c>
      <c r="P3219">
        <v>0.98536369999999895</v>
      </c>
      <c r="Q3219">
        <v>0.17031109999999999</v>
      </c>
      <c r="R3219">
        <v>7.2676109999999898E-3</v>
      </c>
      <c r="S3219">
        <v>3.078827</v>
      </c>
      <c r="T3219">
        <v>-0.20149239999999999</v>
      </c>
      <c r="U3219">
        <v>-0.18714900000000001</v>
      </c>
      <c r="V3219">
        <v>-1.109602E-2</v>
      </c>
      <c r="W3219">
        <v>0.1826361</v>
      </c>
      <c r="X3219">
        <v>0.98311789999999999</v>
      </c>
      <c r="Y3219">
        <v>5.6680340000000003E-2</v>
      </c>
      <c r="Z3219">
        <v>-2.002827E-3</v>
      </c>
      <c r="AA3219">
        <v>0.99839040000000001</v>
      </c>
      <c r="AB3219">
        <v>31</v>
      </c>
      <c r="AC3219">
        <v>16.806399999999901</v>
      </c>
      <c r="AD3219">
        <v>-1.120824145387</v>
      </c>
      <c r="AE3219">
        <v>-1.0397999999999801</v>
      </c>
      <c r="AF3219">
        <v>0.97059396741109505</v>
      </c>
      <c r="AG3219">
        <v>-1.120824145387</v>
      </c>
      <c r="AH3219">
        <v>16.736138104341499</v>
      </c>
      <c r="AI3219">
        <v>93.824986515451499</v>
      </c>
      <c r="AJ3219">
        <v>86.680911819170802</v>
      </c>
      <c r="AK3219">
        <v>16.801684976872099</v>
      </c>
      <c r="AL3219">
        <v>79.476656342583794</v>
      </c>
      <c r="AM3219">
        <v>90.646644844861001</v>
      </c>
      <c r="AN3219">
        <v>0.99999993599172798</v>
      </c>
    </row>
    <row r="3220" spans="1:40" x14ac:dyDescent="0.25">
      <c r="A3220" t="str">
        <f>"20190303162319897"</f>
        <v>20190303162319897</v>
      </c>
      <c r="B3220" t="str">
        <f>"1551601399888329"</f>
        <v>1551601399888329</v>
      </c>
      <c r="C3220" t="s">
        <v>40</v>
      </c>
      <c r="D3220">
        <v>5.3467070000000003</v>
      </c>
      <c r="E3220">
        <v>0.53149179999999996</v>
      </c>
      <c r="F3220" t="s">
        <v>47</v>
      </c>
      <c r="G3220">
        <v>-371.66079999999999</v>
      </c>
      <c r="H3220" s="1">
        <v>-6.5297440000000003E-7</v>
      </c>
      <c r="I3220">
        <v>213.72190000000001</v>
      </c>
      <c r="J3220">
        <v>-389.1207</v>
      </c>
      <c r="K3220">
        <v>1.120838</v>
      </c>
      <c r="L3220">
        <v>214.78149999999999</v>
      </c>
      <c r="M3220">
        <v>0.99991390000000002</v>
      </c>
      <c r="N3220">
        <v>-1.2571489999999999E-2</v>
      </c>
      <c r="O3220">
        <v>-3.784375E-3</v>
      </c>
      <c r="P3220">
        <v>0.9851162</v>
      </c>
      <c r="Q3220">
        <v>0.17170339999999901</v>
      </c>
      <c r="R3220">
        <v>8.0077569999999904E-3</v>
      </c>
      <c r="S3220">
        <v>3.079529</v>
      </c>
      <c r="T3220">
        <v>-0.1943452</v>
      </c>
      <c r="U3220">
        <v>-0.1839142</v>
      </c>
      <c r="V3220">
        <v>-1.175943E-2</v>
      </c>
      <c r="W3220">
        <v>0.1840724</v>
      </c>
      <c r="X3220">
        <v>0.98284229999999995</v>
      </c>
      <c r="Y3220">
        <v>5.5709219999999997E-2</v>
      </c>
      <c r="Z3220">
        <v>-1.9146079999999999E-3</v>
      </c>
      <c r="AA3220">
        <v>0.99844520000000003</v>
      </c>
      <c r="AB3220">
        <v>31</v>
      </c>
      <c r="AC3220">
        <v>17.459900000000001</v>
      </c>
      <c r="AD3220">
        <v>-1.1208386529743899</v>
      </c>
      <c r="AE3220">
        <v>-1.0595999999999799</v>
      </c>
      <c r="AF3220">
        <v>0.98944982479898902</v>
      </c>
      <c r="AG3220">
        <v>-1.1208386529743899</v>
      </c>
      <c r="AH3220">
        <v>17.392374212622599</v>
      </c>
      <c r="AI3220">
        <v>93.681349093301293</v>
      </c>
      <c r="AJ3220">
        <v>86.743960476410507</v>
      </c>
      <c r="AK3220">
        <v>17.4565165767313</v>
      </c>
      <c r="AL3220">
        <v>79.392943458092304</v>
      </c>
      <c r="AM3220">
        <v>90.685495079309106</v>
      </c>
      <c r="AN3220">
        <v>0.999999959652486</v>
      </c>
    </row>
    <row r="3221" spans="1:40" x14ac:dyDescent="0.25">
      <c r="A3221" t="str">
        <f>"20190303162319919"</f>
        <v>20190303162319919</v>
      </c>
      <c r="B3221" t="str">
        <f>"1551601399907849"</f>
        <v>1551601399907849</v>
      </c>
      <c r="C3221" t="s">
        <v>40</v>
      </c>
      <c r="D3221">
        <v>5.3697480000000004</v>
      </c>
      <c r="E3221">
        <v>0.53319719999999904</v>
      </c>
      <c r="F3221" t="s">
        <v>42</v>
      </c>
      <c r="G3221">
        <v>-388.40199999999999</v>
      </c>
      <c r="H3221">
        <v>0.8459023</v>
      </c>
      <c r="I3221">
        <v>214.7259</v>
      </c>
      <c r="J3221">
        <v>-388.81760000000003</v>
      </c>
      <c r="K3221">
        <v>1.120843</v>
      </c>
      <c r="L3221">
        <v>214.78039999999999</v>
      </c>
      <c r="M3221">
        <v>0.99991359999999996</v>
      </c>
      <c r="N3221">
        <v>-1.2614E-2</v>
      </c>
      <c r="O3221">
        <v>-3.7050149999999999E-3</v>
      </c>
      <c r="P3221">
        <v>0.98473540000000004</v>
      </c>
      <c r="Q3221">
        <v>0.1738246</v>
      </c>
      <c r="R3221">
        <v>9.0176409999999999E-3</v>
      </c>
      <c r="S3221">
        <v>3.2651059999999998</v>
      </c>
      <c r="T3221">
        <v>-1.2490479999999999</v>
      </c>
      <c r="U3221">
        <v>-0.2511292</v>
      </c>
      <c r="V3221">
        <v>-1.268961E-2</v>
      </c>
      <c r="W3221">
        <v>0.1862298</v>
      </c>
      <c r="X3221">
        <v>0.98242430000000003</v>
      </c>
      <c r="Y3221">
        <v>6.8267889999999998E-2</v>
      </c>
      <c r="Z3221">
        <v>-1.171971E-2</v>
      </c>
      <c r="AA3221">
        <v>0.99759819999999999</v>
      </c>
      <c r="AB3221">
        <v>31</v>
      </c>
      <c r="AC3221">
        <v>0.41560000000003999</v>
      </c>
      <c r="AD3221">
        <v>-0.27494069999999898</v>
      </c>
      <c r="AE3221">
        <v>-5.4499999999990202E-2</v>
      </c>
      <c r="AF3221">
        <v>3.70282498233147E-2</v>
      </c>
      <c r="AG3221">
        <v>-0.27494069999999898</v>
      </c>
      <c r="AH3221">
        <v>0.29071752090645098</v>
      </c>
      <c r="AI3221">
        <v>133.172276446947</v>
      </c>
      <c r="AJ3221">
        <v>82.741406467435894</v>
      </c>
      <c r="AK3221">
        <v>0.40184593660190199</v>
      </c>
      <c r="AL3221">
        <v>79.267159517767197</v>
      </c>
      <c r="AM3221">
        <v>90.740027161983605</v>
      </c>
      <c r="AN3221">
        <v>1.00000003492024</v>
      </c>
    </row>
    <row r="3222" spans="1:40" x14ac:dyDescent="0.25">
      <c r="A3222" t="str">
        <f>"20190303162319941"</f>
        <v>20190303162319941</v>
      </c>
      <c r="B3222" t="str">
        <f>"1551601399938106"</f>
        <v>1551601399938106</v>
      </c>
      <c r="C3222" t="s">
        <v>40</v>
      </c>
      <c r="D3222">
        <v>5.3572930000000003</v>
      </c>
      <c r="E3222">
        <v>0.53388359999999901</v>
      </c>
      <c r="F3222" t="s">
        <v>42</v>
      </c>
      <c r="G3222">
        <v>-388.12029999999999</v>
      </c>
      <c r="H3222">
        <v>0.86722339999999998</v>
      </c>
      <c r="I3222">
        <v>214.72470000000001</v>
      </c>
      <c r="J3222">
        <v>-388.51819999999998</v>
      </c>
      <c r="K3222">
        <v>1.120859</v>
      </c>
      <c r="L3222">
        <v>214.77940000000001</v>
      </c>
      <c r="M3222">
        <v>0.99991350000000001</v>
      </c>
      <c r="N3222">
        <v>-1.26508E-2</v>
      </c>
      <c r="O3222">
        <v>-3.6277570000000001E-3</v>
      </c>
      <c r="P3222">
        <v>0.98433510000000002</v>
      </c>
      <c r="Q3222">
        <v>0.17601</v>
      </c>
      <c r="R3222">
        <v>1.025437E-2</v>
      </c>
      <c r="S3222">
        <v>3.258057</v>
      </c>
      <c r="T3222">
        <v>-1.1849909999999999</v>
      </c>
      <c r="U3222">
        <v>-0.25968930000000001</v>
      </c>
      <c r="V3222">
        <v>-1.384963E-2</v>
      </c>
      <c r="W3222">
        <v>0.18844620000000001</v>
      </c>
      <c r="X3222">
        <v>0.98198589999999997</v>
      </c>
      <c r="Y3222">
        <v>7.134008E-2</v>
      </c>
      <c r="Z3222">
        <v>-1.1786929999999999E-2</v>
      </c>
      <c r="AA3222">
        <v>0.9973824</v>
      </c>
      <c r="AB3222">
        <v>31</v>
      </c>
      <c r="AC3222">
        <v>0.39789999999999198</v>
      </c>
      <c r="AD3222">
        <v>-0.25363560000000002</v>
      </c>
      <c r="AE3222">
        <v>-5.46999999999968E-2</v>
      </c>
      <c r="AF3222">
        <v>3.8073000258751197E-2</v>
      </c>
      <c r="AG3222">
        <v>-0.25363560000000002</v>
      </c>
      <c r="AH3222">
        <v>0.284600635201606</v>
      </c>
      <c r="AI3222">
        <v>131.45510035080301</v>
      </c>
      <c r="AJ3222">
        <v>82.380385619845697</v>
      </c>
      <c r="AK3222">
        <v>0.38311629108303402</v>
      </c>
      <c r="AL3222">
        <v>79.137880417261499</v>
      </c>
      <c r="AM3222">
        <v>90.808028647461896</v>
      </c>
      <c r="AN3222">
        <v>1.00000004517219</v>
      </c>
    </row>
    <row r="3223" spans="1:40" x14ac:dyDescent="0.25">
      <c r="A3223" t="str">
        <f>"20190303162319963"</f>
        <v>20190303162319963</v>
      </c>
      <c r="B3223" t="str">
        <f>"1551601399957626"</f>
        <v>1551601399957626</v>
      </c>
      <c r="C3223" t="s">
        <v>40</v>
      </c>
      <c r="D3223">
        <v>5.3350080000000002</v>
      </c>
      <c r="E3223">
        <v>0.53430519999999904</v>
      </c>
      <c r="F3223" t="s">
        <v>42</v>
      </c>
      <c r="G3223">
        <v>-387.84190000000001</v>
      </c>
      <c r="H3223">
        <v>0.8804573</v>
      </c>
      <c r="I3223">
        <v>214.7252</v>
      </c>
      <c r="J3223">
        <v>-388.20890000000003</v>
      </c>
      <c r="K3223">
        <v>1.12087</v>
      </c>
      <c r="L3223">
        <v>214.7784</v>
      </c>
      <c r="M3223">
        <v>0.9999133</v>
      </c>
      <c r="N3223">
        <v>-1.268381E-2</v>
      </c>
      <c r="O3223">
        <v>-3.5497549999999999E-3</v>
      </c>
      <c r="P3223">
        <v>0.98404879999999995</v>
      </c>
      <c r="Q3223">
        <v>0.17755479999999901</v>
      </c>
      <c r="R3223">
        <v>1.10782E-2</v>
      </c>
      <c r="S3223">
        <v>3.2574770000000002</v>
      </c>
      <c r="T3223">
        <v>-1.157826</v>
      </c>
      <c r="U3223">
        <v>-0.2592621</v>
      </c>
      <c r="V3223">
        <v>-1.459619E-2</v>
      </c>
      <c r="W3223">
        <v>0.19001950000000001</v>
      </c>
      <c r="X3223">
        <v>0.98167179999999998</v>
      </c>
      <c r="Y3223">
        <v>7.1480920000000003E-2</v>
      </c>
      <c r="Z3223">
        <v>-1.159721E-2</v>
      </c>
      <c r="AA3223">
        <v>0.99737450000000005</v>
      </c>
      <c r="AB3223">
        <v>31</v>
      </c>
      <c r="AC3223">
        <v>0.36700000000001798</v>
      </c>
      <c r="AD3223">
        <v>-0.24041270000000001</v>
      </c>
      <c r="AE3223">
        <v>-5.3200000000003897E-2</v>
      </c>
      <c r="AF3223">
        <v>3.6539522848285703E-2</v>
      </c>
      <c r="AG3223">
        <v>-0.24041270000000001</v>
      </c>
      <c r="AH3223">
        <v>0.25852887527017598</v>
      </c>
      <c r="AI3223">
        <v>132.63808671083001</v>
      </c>
      <c r="AJ3223">
        <v>81.955309111921295</v>
      </c>
      <c r="AK3223">
        <v>0.35492334721701901</v>
      </c>
      <c r="AL3223">
        <v>79.046077702081405</v>
      </c>
      <c r="AM3223">
        <v>90.851851365028097</v>
      </c>
      <c r="AN3223">
        <v>0.99999999102900206</v>
      </c>
    </row>
    <row r="3224" spans="1:40" x14ac:dyDescent="0.25">
      <c r="A3224" t="str">
        <f>"20190303162319986"</f>
        <v>20190303162319986</v>
      </c>
      <c r="B3224" t="str">
        <f>"1551601399978122"</f>
        <v>1551601399978122</v>
      </c>
      <c r="C3224" t="s">
        <v>40</v>
      </c>
      <c r="D3224">
        <v>5.3239799999999997</v>
      </c>
      <c r="E3224">
        <v>0.53454590000000002</v>
      </c>
      <c r="F3224" t="s">
        <v>42</v>
      </c>
      <c r="G3224">
        <v>-387.3236</v>
      </c>
      <c r="H3224">
        <v>0.81088110000000002</v>
      </c>
      <c r="I3224">
        <v>214.7073</v>
      </c>
      <c r="J3224">
        <v>-387.8981</v>
      </c>
      <c r="K3224">
        <v>1.1208720000000001</v>
      </c>
      <c r="L3224">
        <v>214.7774</v>
      </c>
      <c r="M3224">
        <v>0.9999133</v>
      </c>
      <c r="N3224">
        <v>-1.270636E-2</v>
      </c>
      <c r="O3224">
        <v>-3.4707399999999999E-3</v>
      </c>
      <c r="P3224">
        <v>0.98398940000000001</v>
      </c>
      <c r="Q3224">
        <v>0.17782909999999999</v>
      </c>
      <c r="R3224">
        <v>1.192145E-2</v>
      </c>
      <c r="S3224">
        <v>3.257355</v>
      </c>
      <c r="T3224">
        <v>-1.1404860000000001</v>
      </c>
      <c r="U3224">
        <v>-0.26045230000000003</v>
      </c>
      <c r="V3224">
        <v>-1.5361090000000001E-2</v>
      </c>
      <c r="W3224">
        <v>0.19031490000000001</v>
      </c>
      <c r="X3224">
        <v>0.98160289999999994</v>
      </c>
      <c r="Y3224">
        <v>7.2009879999999998E-2</v>
      </c>
      <c r="Z3224">
        <v>-1.156045E-2</v>
      </c>
      <c r="AA3224">
        <v>0.99733689999999997</v>
      </c>
      <c r="AB3224">
        <v>31</v>
      </c>
      <c r="AC3224">
        <v>0.57450000000000001</v>
      </c>
      <c r="AD3224">
        <v>-0.30999089999999901</v>
      </c>
      <c r="AE3224">
        <v>-7.0099999999996498E-2</v>
      </c>
      <c r="AF3224">
        <v>5.2922966044777101E-2</v>
      </c>
      <c r="AG3224">
        <v>-0.30999089999999901</v>
      </c>
      <c r="AH3224">
        <v>0.44661515407590402</v>
      </c>
      <c r="AI3224">
        <v>124.577219123719</v>
      </c>
      <c r="AJ3224">
        <v>83.242082831039198</v>
      </c>
      <c r="AK3224">
        <v>0.54622366688750301</v>
      </c>
      <c r="AL3224">
        <v>79.028837907297003</v>
      </c>
      <c r="AM3224">
        <v>90.896547668509299</v>
      </c>
      <c r="AN3224">
        <v>0.99999998876820395</v>
      </c>
    </row>
    <row r="3225" spans="1:40" x14ac:dyDescent="0.25">
      <c r="A3225" t="str">
        <f>"20190303162320010"</f>
        <v>20190303162320010</v>
      </c>
      <c r="B3225" t="str">
        <f>"1551601399997642"</f>
        <v>1551601399997642</v>
      </c>
      <c r="C3225" t="s">
        <v>40</v>
      </c>
      <c r="D3225">
        <v>5.3461270000000001</v>
      </c>
      <c r="E3225">
        <v>0.53482410000000002</v>
      </c>
      <c r="F3225" t="s">
        <v>42</v>
      </c>
      <c r="G3225">
        <v>-387.04509999999999</v>
      </c>
      <c r="H3225">
        <v>0.8252931</v>
      </c>
      <c r="I3225">
        <v>214.70920000000001</v>
      </c>
      <c r="J3225">
        <v>-387.57900000000001</v>
      </c>
      <c r="K3225">
        <v>1.120876</v>
      </c>
      <c r="L3225">
        <v>214.7764</v>
      </c>
      <c r="M3225">
        <v>0.9999133</v>
      </c>
      <c r="N3225">
        <v>-1.2721680000000001E-2</v>
      </c>
      <c r="O3225">
        <v>-3.3921390000000002E-3</v>
      </c>
      <c r="P3225">
        <v>0.98393730000000001</v>
      </c>
      <c r="Q3225">
        <v>0.1781412</v>
      </c>
      <c r="R3225">
        <v>1.1540979999999999E-2</v>
      </c>
      <c r="S3225">
        <v>3.2559200000000001</v>
      </c>
      <c r="T3225">
        <v>-1.1281730000000001</v>
      </c>
      <c r="U3225">
        <v>-0.25978089999999998</v>
      </c>
      <c r="V3225">
        <v>-1.490377E-2</v>
      </c>
      <c r="W3225">
        <v>0.19064159999999999</v>
      </c>
      <c r="X3225">
        <v>0.98154660000000005</v>
      </c>
      <c r="Y3225">
        <v>7.1998229999999996E-2</v>
      </c>
      <c r="Z3225">
        <v>-1.1476190000000001E-2</v>
      </c>
      <c r="AA3225">
        <v>0.99733870000000002</v>
      </c>
      <c r="AB3225">
        <v>31</v>
      </c>
      <c r="AC3225">
        <v>0.53390000000001603</v>
      </c>
      <c r="AD3225">
        <v>-0.29558289999999998</v>
      </c>
      <c r="AE3225">
        <v>-6.7199999999985494E-2</v>
      </c>
      <c r="AF3225">
        <v>5.0232086455341801E-2</v>
      </c>
      <c r="AG3225">
        <v>-0.29558289999999998</v>
      </c>
      <c r="AH3225">
        <v>0.41032058498909602</v>
      </c>
      <c r="AI3225">
        <v>125.565998310376</v>
      </c>
      <c r="AJ3225">
        <v>83.020490370664604</v>
      </c>
      <c r="AK3225">
        <v>0.50818844511446803</v>
      </c>
      <c r="AL3225">
        <v>79.009770788783001</v>
      </c>
      <c r="AM3225">
        <v>90.8699103069752</v>
      </c>
      <c r="AN3225">
        <v>1.00000003499116</v>
      </c>
    </row>
    <row r="3226" spans="1:40" x14ac:dyDescent="0.25">
      <c r="A3226" t="str">
        <f>"20190303162320032"</f>
        <v>20190303162320032</v>
      </c>
      <c r="B3226" t="str">
        <f>"1551601400018138"</f>
        <v>1551601400018138</v>
      </c>
      <c r="C3226" t="s">
        <v>40</v>
      </c>
      <c r="D3226">
        <v>5.3784619999999999</v>
      </c>
      <c r="E3226">
        <v>0.53487799999999996</v>
      </c>
      <c r="F3226" t="s">
        <v>42</v>
      </c>
      <c r="G3226">
        <v>-386.76589999999999</v>
      </c>
      <c r="H3226">
        <v>0.84156749999999902</v>
      </c>
      <c r="I3226">
        <v>214.71019999999999</v>
      </c>
      <c r="J3226">
        <v>-387.2808</v>
      </c>
      <c r="K3226">
        <v>1.1208750000000001</v>
      </c>
      <c r="L3226">
        <v>214.77549999999999</v>
      </c>
      <c r="M3226">
        <v>0.99991350000000001</v>
      </c>
      <c r="N3226">
        <v>-1.2730440000000001E-2</v>
      </c>
      <c r="O3226">
        <v>-3.3212469999999998E-3</v>
      </c>
      <c r="P3226">
        <v>0.9838713</v>
      </c>
      <c r="Q3226">
        <v>0.178538</v>
      </c>
      <c r="R3226">
        <v>1.103143E-2</v>
      </c>
      <c r="S3226">
        <v>3.2544559999999998</v>
      </c>
      <c r="T3226">
        <v>-1.117893</v>
      </c>
      <c r="U3226">
        <v>-0.26289370000000001</v>
      </c>
      <c r="V3226">
        <v>-1.4325060000000001E-2</v>
      </c>
      <c r="W3226">
        <v>0.19104650000000001</v>
      </c>
      <c r="X3226">
        <v>0.98147640000000003</v>
      </c>
      <c r="Y3226">
        <v>7.3054599999999997E-2</v>
      </c>
      <c r="Z3226">
        <v>-1.159192E-2</v>
      </c>
      <c r="AA3226">
        <v>0.99726060000000005</v>
      </c>
      <c r="AB3226">
        <v>31</v>
      </c>
      <c r="AC3226">
        <v>0.51490000000001102</v>
      </c>
      <c r="AD3226">
        <v>-0.27930749999999999</v>
      </c>
      <c r="AE3226">
        <v>-6.5300000000007602E-2</v>
      </c>
      <c r="AF3226">
        <v>4.93096093201821E-2</v>
      </c>
      <c r="AG3226">
        <v>-0.27930749999999999</v>
      </c>
      <c r="AH3226">
        <v>0.39943884207643598</v>
      </c>
      <c r="AI3226">
        <v>124.759946083928</v>
      </c>
      <c r="AJ3226">
        <v>82.962600081215797</v>
      </c>
      <c r="AK3226">
        <v>0.48989336154608498</v>
      </c>
      <c r="AL3226">
        <v>78.986136385893701</v>
      </c>
      <c r="AM3226">
        <v>90.836196576078393</v>
      </c>
      <c r="AN3226">
        <v>0.99999994813160498</v>
      </c>
    </row>
    <row r="3227" spans="1:40" x14ac:dyDescent="0.25">
      <c r="A3227" t="str">
        <f>"20190303162320054"</f>
        <v>20190303162320054</v>
      </c>
      <c r="B3227" t="str">
        <f>"1551601400048394"</f>
        <v>1551601400048394</v>
      </c>
      <c r="C3227" t="s">
        <v>40</v>
      </c>
      <c r="D3227">
        <v>5.3675550000000003</v>
      </c>
      <c r="E3227">
        <v>0.53443960000000001</v>
      </c>
      <c r="F3227" t="s">
        <v>42</v>
      </c>
      <c r="G3227">
        <v>-386.4898</v>
      </c>
      <c r="H3227">
        <v>0.85034989999999999</v>
      </c>
      <c r="I3227">
        <v>214.71119999999999</v>
      </c>
      <c r="J3227">
        <v>-386.97730000000001</v>
      </c>
      <c r="K3227">
        <v>1.1208800000000001</v>
      </c>
      <c r="L3227">
        <v>214.77449999999999</v>
      </c>
      <c r="M3227">
        <v>0.99991379999999996</v>
      </c>
      <c r="N3227">
        <v>-1.272935E-2</v>
      </c>
      <c r="O3227">
        <v>-3.2451989999999998E-3</v>
      </c>
      <c r="P3227">
        <v>0.98390690000000003</v>
      </c>
      <c r="Q3227">
        <v>0.1783718</v>
      </c>
      <c r="R3227">
        <v>1.0537970000000001E-2</v>
      </c>
      <c r="S3227">
        <v>3.2540589999999998</v>
      </c>
      <c r="T3227">
        <v>-1.1129169999999999</v>
      </c>
      <c r="U3227">
        <v>-0.26431270000000001</v>
      </c>
      <c r="V3227">
        <v>-1.375642E-2</v>
      </c>
      <c r="W3227">
        <v>0.19087979999999999</v>
      </c>
      <c r="X3227">
        <v>0.98151699999999997</v>
      </c>
      <c r="Y3227">
        <v>7.3572250000000006E-2</v>
      </c>
      <c r="Z3227">
        <v>-1.1659869999999999E-2</v>
      </c>
      <c r="AA3227">
        <v>0.99722169999999999</v>
      </c>
      <c r="AB3227">
        <v>31</v>
      </c>
      <c r="AC3227">
        <v>0.48750000000001098</v>
      </c>
      <c r="AD3227">
        <v>-0.270530099999999</v>
      </c>
      <c r="AE3227">
        <v>-6.3299999999998094E-2</v>
      </c>
      <c r="AF3227">
        <v>4.7371323553833097E-2</v>
      </c>
      <c r="AG3227">
        <v>-0.270530099999999</v>
      </c>
      <c r="AH3227">
        <v>0.37433675934312</v>
      </c>
      <c r="AI3227">
        <v>125.63952770351101</v>
      </c>
      <c r="AJ3227">
        <v>82.787707866526006</v>
      </c>
      <c r="AK3227">
        <v>0.46428287357683201</v>
      </c>
      <c r="AL3227">
        <v>78.995867003343093</v>
      </c>
      <c r="AM3227">
        <v>90.8029745839344</v>
      </c>
      <c r="AN3227">
        <v>0.99999997921412698</v>
      </c>
    </row>
    <row r="3228" spans="1:40" x14ac:dyDescent="0.25">
      <c r="A3228" t="str">
        <f>"20190303162320076"</f>
        <v>20190303162320076</v>
      </c>
      <c r="B3228" t="str">
        <f>"1551601400067914"</f>
        <v>1551601400067914</v>
      </c>
      <c r="C3228" t="s">
        <v>40</v>
      </c>
      <c r="D3228">
        <v>5.4092739999999999</v>
      </c>
      <c r="E3228">
        <v>0.53419619999999901</v>
      </c>
      <c r="F3228" t="s">
        <v>42</v>
      </c>
      <c r="G3228">
        <v>-386.21379999999999</v>
      </c>
      <c r="H3228">
        <v>0.85890750000000005</v>
      </c>
      <c r="I3228">
        <v>214.71289999999999</v>
      </c>
      <c r="J3228">
        <v>-386.67259999999999</v>
      </c>
      <c r="K3228">
        <v>1.1208750000000001</v>
      </c>
      <c r="L3228">
        <v>214.77369999999999</v>
      </c>
      <c r="M3228">
        <v>0.99991419999999998</v>
      </c>
      <c r="N3228">
        <v>-1.271895E-2</v>
      </c>
      <c r="O3228">
        <v>-3.1631570000000002E-3</v>
      </c>
      <c r="P3228">
        <v>0.98390310000000003</v>
      </c>
      <c r="Q3228">
        <v>0.17841279999999901</v>
      </c>
      <c r="R3228">
        <v>1.0197390000000001E-2</v>
      </c>
      <c r="S3228">
        <v>3.2543639999999998</v>
      </c>
      <c r="T3228">
        <v>-1.116722</v>
      </c>
      <c r="U3228">
        <v>-0.26142880000000002</v>
      </c>
      <c r="V3228">
        <v>-1.3334179999999999E-2</v>
      </c>
      <c r="W3228">
        <v>0.1909103</v>
      </c>
      <c r="X3228">
        <v>0.98151690000000003</v>
      </c>
      <c r="Y3228">
        <v>7.2784180000000004E-2</v>
      </c>
      <c r="Z3228">
        <v>-1.1584809999999999E-2</v>
      </c>
      <c r="AA3228">
        <v>0.99728039999999996</v>
      </c>
      <c r="AB3228">
        <v>30</v>
      </c>
      <c r="AC3228">
        <v>0.45879999999999599</v>
      </c>
      <c r="AD3228">
        <v>-0.26196750000000002</v>
      </c>
      <c r="AE3228">
        <v>-6.0800000000000402E-2</v>
      </c>
      <c r="AF3228">
        <v>4.4947358765000299E-2</v>
      </c>
      <c r="AG3228">
        <v>-0.26196750000000002</v>
      </c>
      <c r="AH3228">
        <v>0.34761538769490302</v>
      </c>
      <c r="AI3228">
        <v>126.774113175778</v>
      </c>
      <c r="AJ3228">
        <v>82.632420177026802</v>
      </c>
      <c r="AK3228">
        <v>0.43758849833888203</v>
      </c>
      <c r="AL3228">
        <v>78.994086797126798</v>
      </c>
      <c r="AM3228">
        <v>90.778331215412905</v>
      </c>
      <c r="AN3228">
        <v>0.99999998399398604</v>
      </c>
    </row>
    <row r="3229" spans="1:40" x14ac:dyDescent="0.25">
      <c r="A3229" t="str">
        <f>"20190303162320098"</f>
        <v>20190303162320098</v>
      </c>
      <c r="B3229" t="str">
        <f>"1551601400087434"</f>
        <v>1551601400087434</v>
      </c>
      <c r="C3229" t="s">
        <v>40</v>
      </c>
      <c r="D3229">
        <v>5.4201739999999896</v>
      </c>
      <c r="E3229">
        <v>0.53397249999999996</v>
      </c>
      <c r="F3229" t="s">
        <v>42</v>
      </c>
      <c r="G3229">
        <v>-385.93779999999998</v>
      </c>
      <c r="H3229">
        <v>0.86777420000000005</v>
      </c>
      <c r="I3229">
        <v>214.7148</v>
      </c>
      <c r="J3229">
        <v>-386.37639999999999</v>
      </c>
      <c r="K3229">
        <v>1.12087</v>
      </c>
      <c r="L3229">
        <v>214.77279999999999</v>
      </c>
      <c r="M3229">
        <v>0.99991459999999999</v>
      </c>
      <c r="N3229">
        <v>-1.2705370000000001E-2</v>
      </c>
      <c r="O3229">
        <v>-3.0796640000000002E-3</v>
      </c>
      <c r="P3229">
        <v>0.98394170000000003</v>
      </c>
      <c r="Q3229">
        <v>0.178229</v>
      </c>
      <c r="R3229">
        <v>9.6669500000000005E-3</v>
      </c>
      <c r="S3229">
        <v>3.255096</v>
      </c>
      <c r="T3229">
        <v>-1.12124</v>
      </c>
      <c r="U3229">
        <v>-0.26011659999999998</v>
      </c>
      <c r="V3229">
        <v>-1.272062E-2</v>
      </c>
      <c r="W3229">
        <v>0.19071370000000001</v>
      </c>
      <c r="X3229">
        <v>0.98156330000000003</v>
      </c>
      <c r="Y3229">
        <v>7.2436150000000005E-2</v>
      </c>
      <c r="Z3229">
        <v>-1.1590929999999999E-2</v>
      </c>
      <c r="AA3229">
        <v>0.99730569999999996</v>
      </c>
      <c r="AB3229">
        <v>30</v>
      </c>
      <c r="AC3229">
        <v>0.43860000000000798</v>
      </c>
      <c r="AD3229">
        <v>-0.25309579999999998</v>
      </c>
      <c r="AE3229">
        <v>-5.7999999999992703E-2</v>
      </c>
      <c r="AF3229">
        <v>4.2680807830818401E-2</v>
      </c>
      <c r="AG3229">
        <v>-0.25309579999999998</v>
      </c>
      <c r="AH3229">
        <v>0.33058622441524699</v>
      </c>
      <c r="AI3229">
        <v>127.209218846318</v>
      </c>
      <c r="AJ3229">
        <v>82.643440436671298</v>
      </c>
      <c r="AK3229">
        <v>0.41852883665030699</v>
      </c>
      <c r="AL3229">
        <v>79.005562394681206</v>
      </c>
      <c r="AM3229">
        <v>90.742486032369101</v>
      </c>
      <c r="AN3229">
        <v>1.0000000207238799</v>
      </c>
    </row>
    <row r="3230" spans="1:40" x14ac:dyDescent="0.25">
      <c r="A3230" t="str">
        <f>"20190303162320119"</f>
        <v>20190303162320119</v>
      </c>
      <c r="B3230" t="str">
        <f>"1551601400107929"</f>
        <v>1551601400107929</v>
      </c>
      <c r="C3230" t="s">
        <v>40</v>
      </c>
      <c r="D3230">
        <v>5.4267180000000002</v>
      </c>
      <c r="E3230">
        <v>0.53379580000000004</v>
      </c>
      <c r="F3230" t="s">
        <v>42</v>
      </c>
      <c r="G3230">
        <v>-385.6628</v>
      </c>
      <c r="H3230">
        <v>0.87424639999999998</v>
      </c>
      <c r="I3230">
        <v>214.71559999999999</v>
      </c>
      <c r="J3230">
        <v>-386.07979999999998</v>
      </c>
      <c r="K3230">
        <v>1.120865</v>
      </c>
      <c r="L3230">
        <v>214.77199999999999</v>
      </c>
      <c r="M3230">
        <v>0.9999152</v>
      </c>
      <c r="N3230">
        <v>-1.2691259999999999E-2</v>
      </c>
      <c r="O3230">
        <v>-2.9980440000000001E-3</v>
      </c>
      <c r="P3230">
        <v>0.9840006</v>
      </c>
      <c r="Q3230">
        <v>0.177952799999999</v>
      </c>
      <c r="R3230">
        <v>8.7132659999999904E-3</v>
      </c>
      <c r="S3230">
        <v>3.255341</v>
      </c>
      <c r="T3230">
        <v>-1.125102</v>
      </c>
      <c r="U3230">
        <v>-0.2592621</v>
      </c>
      <c r="V3230">
        <v>-1.1686429999999999E-2</v>
      </c>
      <c r="W3230">
        <v>0.19042490000000001</v>
      </c>
      <c r="X3230">
        <v>0.98163219999999995</v>
      </c>
      <c r="Y3230">
        <v>7.2232669999999999E-2</v>
      </c>
      <c r="Z3230">
        <v>-1.161674E-2</v>
      </c>
      <c r="AA3230">
        <v>0.99732019999999999</v>
      </c>
      <c r="AB3230">
        <v>30</v>
      </c>
      <c r="AC3230">
        <v>0.416999999999973</v>
      </c>
      <c r="AD3230">
        <v>-0.24661859999999999</v>
      </c>
      <c r="AE3230">
        <v>-5.6400000000024798E-2</v>
      </c>
      <c r="AF3230">
        <v>4.1049579641260998E-2</v>
      </c>
      <c r="AG3230">
        <v>-0.24661859999999999</v>
      </c>
      <c r="AH3230">
        <v>0.31051145101404998</v>
      </c>
      <c r="AI3230">
        <v>128.216288636011</v>
      </c>
      <c r="AJ3230">
        <v>82.469173255346206</v>
      </c>
      <c r="AK3230">
        <v>0.39865168137803603</v>
      </c>
      <c r="AL3230">
        <v>79.022418042651907</v>
      </c>
      <c r="AM3230">
        <v>90.682079790791306</v>
      </c>
      <c r="AN3230">
        <v>0.999999995631497</v>
      </c>
    </row>
    <row r="3231" spans="1:40" x14ac:dyDescent="0.25">
      <c r="A3231" t="str">
        <f>"20190303162320142"</f>
        <v>20190303162320142</v>
      </c>
      <c r="B3231" t="str">
        <f>"1551601400139162"</f>
        <v>1551601400139162</v>
      </c>
      <c r="C3231" t="s">
        <v>40</v>
      </c>
      <c r="D3231">
        <v>5.4355010000000004</v>
      </c>
      <c r="E3231">
        <v>0.53356859999999995</v>
      </c>
      <c r="F3231" t="s">
        <v>42</v>
      </c>
      <c r="G3231">
        <v>-385.38780000000003</v>
      </c>
      <c r="H3231">
        <v>0.88084470000000004</v>
      </c>
      <c r="I3231">
        <v>214.7166</v>
      </c>
      <c r="J3231">
        <v>-385.77080000000001</v>
      </c>
      <c r="K3231">
        <v>1.120857</v>
      </c>
      <c r="L3231">
        <v>214.77109999999999</v>
      </c>
      <c r="M3231">
        <v>0.99991540000000001</v>
      </c>
      <c r="N3231">
        <v>-1.267656E-2</v>
      </c>
      <c r="O3231">
        <v>-2.9174589999999999E-3</v>
      </c>
      <c r="P3231">
        <v>0.98398269999999999</v>
      </c>
      <c r="Q3231">
        <v>0.17808779999999999</v>
      </c>
      <c r="R3231">
        <v>7.9454309999999993E-3</v>
      </c>
      <c r="S3231">
        <v>3.2552490000000001</v>
      </c>
      <c r="T3231">
        <v>-1.129159</v>
      </c>
      <c r="U3231">
        <v>-0.25970460000000001</v>
      </c>
      <c r="V3231">
        <v>-1.084035E-2</v>
      </c>
      <c r="W3231">
        <v>0.19054560000000001</v>
      </c>
      <c r="X3231">
        <v>0.98161849999999995</v>
      </c>
      <c r="Y3231">
        <v>7.2406440000000002E-2</v>
      </c>
      <c r="Z3231">
        <v>-1.171083E-2</v>
      </c>
      <c r="AA3231">
        <v>0.99730649999999998</v>
      </c>
      <c r="AB3231">
        <v>30</v>
      </c>
      <c r="AC3231">
        <v>0.38299999999998102</v>
      </c>
      <c r="AD3231">
        <v>-0.24001230000000001</v>
      </c>
      <c r="AE3231">
        <v>-5.4499999999990202E-2</v>
      </c>
      <c r="AF3231">
        <v>3.8545570929660801E-2</v>
      </c>
      <c r="AG3231">
        <v>-0.24001230000000001</v>
      </c>
      <c r="AH3231">
        <v>0.27666515852753298</v>
      </c>
      <c r="AI3231">
        <v>130.669835360777</v>
      </c>
      <c r="AJ3231">
        <v>82.068487300088506</v>
      </c>
      <c r="AK3231">
        <v>0.36828694673127899</v>
      </c>
      <c r="AL3231">
        <v>79.015373607007305</v>
      </c>
      <c r="AM3231">
        <v>90.632711237814604</v>
      </c>
      <c r="AN3231">
        <v>1.00000000920486</v>
      </c>
    </row>
    <row r="3232" spans="1:40" x14ac:dyDescent="0.25">
      <c r="A3232" t="str">
        <f>"20190303162320165"</f>
        <v>20190303162320165</v>
      </c>
      <c r="B3232" t="str">
        <f>"1551601400157706"</f>
        <v>1551601400157706</v>
      </c>
      <c r="C3232" t="s">
        <v>40</v>
      </c>
      <c r="D3232">
        <v>5.4672070000000001</v>
      </c>
      <c r="E3232">
        <v>0.5334468</v>
      </c>
      <c r="F3232" t="s">
        <v>42</v>
      </c>
      <c r="G3232">
        <v>-385.11099999999999</v>
      </c>
      <c r="H3232">
        <v>0.89127839999999903</v>
      </c>
      <c r="I3232">
        <v>214.71799999999999</v>
      </c>
      <c r="J3232">
        <v>-385.46719999999999</v>
      </c>
      <c r="K3232">
        <v>1.120859</v>
      </c>
      <c r="L3232">
        <v>214.7704</v>
      </c>
      <c r="M3232">
        <v>0.99991589999999997</v>
      </c>
      <c r="N3232">
        <v>-1.265675E-2</v>
      </c>
      <c r="O3232">
        <v>-2.8375459999999998E-3</v>
      </c>
      <c r="P3232">
        <v>0.98395750000000004</v>
      </c>
      <c r="Q3232">
        <v>0.1782675</v>
      </c>
      <c r="R3232">
        <v>6.9652200000000003E-3</v>
      </c>
      <c r="S3232">
        <v>3.255951</v>
      </c>
      <c r="T3232">
        <v>-1.1329480000000001</v>
      </c>
      <c r="U3232">
        <v>-0.25968930000000001</v>
      </c>
      <c r="V3232">
        <v>-9.7826619999999993E-3</v>
      </c>
      <c r="W3232">
        <v>0.19070570000000001</v>
      </c>
      <c r="X3232">
        <v>0.98159850000000004</v>
      </c>
      <c r="Y3232">
        <v>7.2433460000000005E-2</v>
      </c>
      <c r="Z3232">
        <v>-1.1774059999999999E-2</v>
      </c>
      <c r="AA3232">
        <v>0.99730370000000002</v>
      </c>
      <c r="AB3232">
        <v>30</v>
      </c>
      <c r="AC3232">
        <v>0.35620000000000102</v>
      </c>
      <c r="AD3232">
        <v>-0.2295806</v>
      </c>
      <c r="AE3232">
        <v>-5.2400000000005699E-2</v>
      </c>
      <c r="AF3232">
        <v>3.6533766382820798E-2</v>
      </c>
      <c r="AG3232">
        <v>-0.2295806</v>
      </c>
      <c r="AH3232">
        <v>0.25333659485585203</v>
      </c>
      <c r="AI3232">
        <v>131.89047905021999</v>
      </c>
      <c r="AJ3232">
        <v>81.793928052429195</v>
      </c>
      <c r="AK3232">
        <v>0.34383338737771402</v>
      </c>
      <c r="AL3232">
        <v>79.006028987122505</v>
      </c>
      <c r="AM3232">
        <v>90.570993832241598</v>
      </c>
      <c r="AN3232">
        <v>0.99999998984527305</v>
      </c>
    </row>
    <row r="3233" spans="1:40" x14ac:dyDescent="0.25">
      <c r="A3233" t="str">
        <f>"20190303162320188"</f>
        <v>20190303162320188</v>
      </c>
      <c r="B3233" t="str">
        <f>"1551601400178202"</f>
        <v>1551601400178202</v>
      </c>
      <c r="C3233" t="s">
        <v>40</v>
      </c>
      <c r="D3233">
        <v>5.4479240000000004</v>
      </c>
      <c r="E3233">
        <v>0.53332040000000003</v>
      </c>
      <c r="F3233" t="s">
        <v>42</v>
      </c>
      <c r="G3233">
        <v>-384.59629999999999</v>
      </c>
      <c r="H3233">
        <v>0.81755649999999902</v>
      </c>
      <c r="I3233">
        <v>214.7003</v>
      </c>
      <c r="J3233">
        <v>-385.14760000000001</v>
      </c>
      <c r="K3233">
        <v>1.1208670000000001</v>
      </c>
      <c r="L3233">
        <v>214.76949999999999</v>
      </c>
      <c r="M3233">
        <v>0.99991660000000004</v>
      </c>
      <c r="N3233">
        <v>-1.263308E-2</v>
      </c>
      <c r="O3233">
        <v>-2.7476139999999998E-3</v>
      </c>
      <c r="P3233">
        <v>0.98392919999999995</v>
      </c>
      <c r="Q3233">
        <v>0.1784461</v>
      </c>
      <c r="R3233">
        <v>6.3886109999999998E-3</v>
      </c>
      <c r="S3233">
        <v>3.256256</v>
      </c>
      <c r="T3233">
        <v>-1.134099</v>
      </c>
      <c r="U3233">
        <v>-0.26086429999999999</v>
      </c>
      <c r="V3233">
        <v>-9.1181999999999999E-3</v>
      </c>
      <c r="W3233">
        <v>0.19086020000000001</v>
      </c>
      <c r="X3233">
        <v>0.98157490000000003</v>
      </c>
      <c r="Y3233">
        <v>7.2836869999999998E-2</v>
      </c>
      <c r="Z3233">
        <v>-1.188285E-2</v>
      </c>
      <c r="AA3233">
        <v>0.99727310000000002</v>
      </c>
      <c r="AB3233">
        <v>30</v>
      </c>
      <c r="AC3233">
        <v>0.55130000000002599</v>
      </c>
      <c r="AD3233">
        <v>-0.30331049999999998</v>
      </c>
      <c r="AE3233">
        <v>-6.9199999999995002E-2</v>
      </c>
      <c r="AF3233">
        <v>5.2145681680065101E-2</v>
      </c>
      <c r="AG3233">
        <v>-0.30331049999999998</v>
      </c>
      <c r="AH3233">
        <v>0.42487672880246102</v>
      </c>
      <c r="AI3233">
        <v>125.31994608952201</v>
      </c>
      <c r="AJ3233">
        <v>83.003005203298301</v>
      </c>
      <c r="AK3233">
        <v>0.524630027930168</v>
      </c>
      <c r="AL3233">
        <v>78.997011497798795</v>
      </c>
      <c r="AM3233">
        <v>90.532225661234705</v>
      </c>
      <c r="AN3233">
        <v>1.0000000209126401</v>
      </c>
    </row>
    <row r="3234" spans="1:40" x14ac:dyDescent="0.25">
      <c r="A3234" t="str">
        <f>"20190303162320211"</f>
        <v>20190303162320211</v>
      </c>
      <c r="B3234" t="str">
        <f>"1551601400197722"</f>
        <v>1551601400197722</v>
      </c>
      <c r="C3234" t="s">
        <v>40</v>
      </c>
      <c r="D3234">
        <v>5.4680309999999999</v>
      </c>
      <c r="E3234">
        <v>0.53322000000000003</v>
      </c>
      <c r="F3234" t="s">
        <v>42</v>
      </c>
      <c r="G3234">
        <v>-384.31849999999997</v>
      </c>
      <c r="H3234">
        <v>0.83175739999999998</v>
      </c>
      <c r="I3234">
        <v>214.703</v>
      </c>
      <c r="J3234">
        <v>-384.8449</v>
      </c>
      <c r="K3234">
        <v>1.120871</v>
      </c>
      <c r="L3234">
        <v>214.7688</v>
      </c>
      <c r="M3234">
        <v>0.99991699999999994</v>
      </c>
      <c r="N3234">
        <v>-1.2609510000000001E-2</v>
      </c>
      <c r="O3234">
        <v>-2.6579329999999999E-3</v>
      </c>
      <c r="P3234">
        <v>0.9837224</v>
      </c>
      <c r="Q3234">
        <v>0.17960580000000001</v>
      </c>
      <c r="R3234">
        <v>5.6510220000000003E-3</v>
      </c>
      <c r="S3234">
        <v>3.2566220000000001</v>
      </c>
      <c r="T3234">
        <v>-1.1354949999999999</v>
      </c>
      <c r="U3234">
        <v>-0.26065060000000001</v>
      </c>
      <c r="V3234">
        <v>-8.2925559999999995E-3</v>
      </c>
      <c r="W3234">
        <v>0.19199469999999999</v>
      </c>
      <c r="X3234">
        <v>0.98136089999999998</v>
      </c>
      <c r="Y3234">
        <v>7.2838520000000004E-2</v>
      </c>
      <c r="Z3234">
        <v>-1.192349E-2</v>
      </c>
      <c r="AA3234">
        <v>0.99727250000000001</v>
      </c>
      <c r="AB3234">
        <v>30</v>
      </c>
      <c r="AC3234">
        <v>0.52640000000002296</v>
      </c>
      <c r="AD3234">
        <v>-0.28911359999999903</v>
      </c>
      <c r="AE3234">
        <v>-6.5799999999995806E-2</v>
      </c>
      <c r="AF3234">
        <v>4.9653042240410103E-2</v>
      </c>
      <c r="AG3234">
        <v>-0.28911359999999903</v>
      </c>
      <c r="AH3234">
        <v>0.40598978918193801</v>
      </c>
      <c r="AI3234">
        <v>125.254717058049</v>
      </c>
      <c r="AJ3234">
        <v>83.027284276502201</v>
      </c>
      <c r="AK3234">
        <v>0.50087903452698301</v>
      </c>
      <c r="AL3234">
        <v>78.930784155949894</v>
      </c>
      <c r="AM3234">
        <v>90.4841411065523</v>
      </c>
      <c r="AN3234">
        <v>0.99999997368095594</v>
      </c>
    </row>
    <row r="3235" spans="1:40" x14ac:dyDescent="0.25">
      <c r="A3235" t="str">
        <f>"20190303162320233"</f>
        <v>20190303162320233</v>
      </c>
      <c r="B3235" t="str">
        <f>"1551601400227978"</f>
        <v>1551601400227978</v>
      </c>
      <c r="C3235" t="s">
        <v>40</v>
      </c>
      <c r="D3235">
        <v>5.6563119999999998</v>
      </c>
      <c r="E3235">
        <v>0.5331245</v>
      </c>
      <c r="F3235" t="s">
        <v>42</v>
      </c>
      <c r="G3235">
        <v>-384.04239999999999</v>
      </c>
      <c r="H3235">
        <v>0.841885199999999</v>
      </c>
      <c r="I3235">
        <v>214.70410000000001</v>
      </c>
      <c r="J3235">
        <v>-384.53559999999999</v>
      </c>
      <c r="K3235">
        <v>1.120878</v>
      </c>
      <c r="L3235">
        <v>214.7681</v>
      </c>
      <c r="M3235">
        <v>0.99991759999999996</v>
      </c>
      <c r="N3235">
        <v>-1.258194E-2</v>
      </c>
      <c r="O3235">
        <v>-2.5634500000000001E-3</v>
      </c>
      <c r="P3235">
        <v>0.98345990000000005</v>
      </c>
      <c r="Q3235">
        <v>0.1810176</v>
      </c>
      <c r="R3235">
        <v>6.2800859999999998E-3</v>
      </c>
      <c r="S3235">
        <v>3.2579349999999998</v>
      </c>
      <c r="T3235">
        <v>-1.1324350000000001</v>
      </c>
      <c r="U3235">
        <v>-0.2616425</v>
      </c>
      <c r="V3235">
        <v>-8.8282569999999904E-3</v>
      </c>
      <c r="W3235">
        <v>0.1933754</v>
      </c>
      <c r="X3235">
        <v>0.98108510000000004</v>
      </c>
      <c r="Y3235">
        <v>7.3201189999999999E-2</v>
      </c>
      <c r="Z3235">
        <v>-1.1983000000000001E-2</v>
      </c>
      <c r="AA3235">
        <v>0.99724520000000005</v>
      </c>
      <c r="AB3235">
        <v>30</v>
      </c>
      <c r="AC3235">
        <v>0.49320000000000103</v>
      </c>
      <c r="AD3235">
        <v>-0.27899279999999999</v>
      </c>
      <c r="AE3235">
        <v>-6.3999999999992896E-2</v>
      </c>
      <c r="AF3235">
        <v>4.7718649688537298E-2</v>
      </c>
      <c r="AG3235">
        <v>-0.27899279999999999</v>
      </c>
      <c r="AH3235">
        <v>0.375268054791145</v>
      </c>
      <c r="AI3235">
        <v>126.409173158676</v>
      </c>
      <c r="AJ3235">
        <v>82.753226852704103</v>
      </c>
      <c r="AK3235">
        <v>0.470042726703294</v>
      </c>
      <c r="AL3235">
        <v>78.850165169452495</v>
      </c>
      <c r="AM3235">
        <v>90.515559980165804</v>
      </c>
      <c r="AN3235">
        <v>0.99999997844441302</v>
      </c>
    </row>
    <row r="3236" spans="1:40" x14ac:dyDescent="0.25">
      <c r="A3236" t="str">
        <f>"20190303162320257"</f>
        <v>20190303162320257</v>
      </c>
      <c r="B3236" t="str">
        <f>"1551601400248474"</f>
        <v>1551601400248474</v>
      </c>
      <c r="C3236" t="s">
        <v>40</v>
      </c>
      <c r="D3236">
        <v>5.4571319999999996</v>
      </c>
      <c r="E3236">
        <v>0.51955529999999905</v>
      </c>
      <c r="F3236" t="s">
        <v>42</v>
      </c>
      <c r="G3236">
        <v>-383.7654</v>
      </c>
      <c r="H3236">
        <v>0.8541955</v>
      </c>
      <c r="I3236">
        <v>214.70699999999999</v>
      </c>
      <c r="J3236">
        <v>-384.22019999999998</v>
      </c>
      <c r="K3236">
        <v>1.120881</v>
      </c>
      <c r="L3236">
        <v>214.76740000000001</v>
      </c>
      <c r="M3236">
        <v>0.99991830000000004</v>
      </c>
      <c r="N3236">
        <v>-1.255302E-2</v>
      </c>
      <c r="O3236">
        <v>-2.4689719999999998E-3</v>
      </c>
      <c r="P3236">
        <v>0.98311420000000005</v>
      </c>
      <c r="Q3236">
        <v>0.1828555</v>
      </c>
      <c r="R3236">
        <v>7.1190719999999997E-3</v>
      </c>
      <c r="S3236">
        <v>3.2598569999999998</v>
      </c>
      <c r="T3236">
        <v>-1.1286350000000001</v>
      </c>
      <c r="U3236">
        <v>-0.25820920000000003</v>
      </c>
      <c r="V3236">
        <v>-9.5742069999999995E-3</v>
      </c>
      <c r="W3236">
        <v>0.19518099999999999</v>
      </c>
      <c r="X3236">
        <v>0.9807205</v>
      </c>
      <c r="Y3236">
        <v>7.2286870000000003E-2</v>
      </c>
      <c r="Z3236">
        <v>-1.18105E-2</v>
      </c>
      <c r="AA3236">
        <v>0.99731400000000003</v>
      </c>
      <c r="AB3236">
        <v>30</v>
      </c>
      <c r="AC3236">
        <v>0.454799999999977</v>
      </c>
      <c r="AD3236">
        <v>-0.26668550000000002</v>
      </c>
      <c r="AE3236">
        <v>-6.0400000000015497E-2</v>
      </c>
      <c r="AF3236">
        <v>4.4306482758282299E-2</v>
      </c>
      <c r="AG3236">
        <v>-0.26668550000000002</v>
      </c>
      <c r="AH3236">
        <v>0.34005076866689099</v>
      </c>
      <c r="AI3236">
        <v>127.87144572663399</v>
      </c>
      <c r="AJ3236">
        <v>82.576538742162001</v>
      </c>
      <c r="AK3236">
        <v>0.434417708657927</v>
      </c>
      <c r="AL3236">
        <v>78.744702628034304</v>
      </c>
      <c r="AM3236">
        <v>90.559327787493302</v>
      </c>
      <c r="AN3236">
        <v>0.99999999366046399</v>
      </c>
    </row>
    <row r="3237" spans="1:40" x14ac:dyDescent="0.25">
      <c r="A3237" t="str">
        <f>"20190303162320277"</f>
        <v>20190303162320277</v>
      </c>
      <c r="B3237" t="str">
        <f>"1551601400267994"</f>
        <v>1551601400267994</v>
      </c>
      <c r="C3237" t="s">
        <v>40</v>
      </c>
      <c r="D3237">
        <v>5.0745019999999998</v>
      </c>
      <c r="E3237">
        <v>0.47750700000000001</v>
      </c>
      <c r="F3237" t="s">
        <v>42</v>
      </c>
      <c r="G3237">
        <v>-383.4742</v>
      </c>
      <c r="H3237">
        <v>0.89811299999999905</v>
      </c>
      <c r="I3237">
        <v>214.73349999999999</v>
      </c>
      <c r="J3237">
        <v>-383.9314</v>
      </c>
      <c r="K3237">
        <v>1.1208910000000001</v>
      </c>
      <c r="L3237">
        <v>214.76679999999999</v>
      </c>
      <c r="M3237">
        <v>0.9999188</v>
      </c>
      <c r="N3237">
        <v>-1.252457E-2</v>
      </c>
      <c r="O3237">
        <v>-2.385608E-3</v>
      </c>
      <c r="P3237">
        <v>0.98272820000000005</v>
      </c>
      <c r="Q3237">
        <v>0.18485840000000001</v>
      </c>
      <c r="R3237">
        <v>8.5165959999999995E-3</v>
      </c>
      <c r="S3237">
        <v>3.2321170000000001</v>
      </c>
      <c r="T3237">
        <v>-0.9652849</v>
      </c>
      <c r="U3237">
        <v>-0.14514160000000001</v>
      </c>
      <c r="V3237">
        <v>-1.088858E-2</v>
      </c>
      <c r="W3237">
        <v>0.1971504</v>
      </c>
      <c r="X3237">
        <v>0.98031279999999998</v>
      </c>
      <c r="Y3237">
        <v>4.0721170000000001E-2</v>
      </c>
      <c r="Z3237">
        <v>-5.5412580000000003E-3</v>
      </c>
      <c r="AA3237">
        <v>0.99915520000000002</v>
      </c>
      <c r="AB3237">
        <v>30</v>
      </c>
      <c r="AC3237">
        <v>0.4572</v>
      </c>
      <c r="AD3237">
        <v>-0.222778</v>
      </c>
      <c r="AE3237">
        <v>-3.3299999999996999E-2</v>
      </c>
      <c r="AF3237">
        <v>2.6055464263846199E-2</v>
      </c>
      <c r="AG3237">
        <v>-0.222778</v>
      </c>
      <c r="AH3237">
        <v>0.36991369110063899</v>
      </c>
      <c r="AI3237">
        <v>120.99554355646301</v>
      </c>
      <c r="AJ3237">
        <v>85.9709342161797</v>
      </c>
      <c r="AK3237">
        <v>0.432602662226787</v>
      </c>
      <c r="AL3237">
        <v>78.629628725056506</v>
      </c>
      <c r="AM3237">
        <v>90.6363724160055</v>
      </c>
      <c r="AN3237">
        <v>1.0000000136192</v>
      </c>
    </row>
    <row r="3238" spans="1:40" x14ac:dyDescent="0.25">
      <c r="A3238" t="str">
        <f>"20190303162320300"</f>
        <v>20190303162320300</v>
      </c>
      <c r="B3238" t="str">
        <f>"1551601400287514"</f>
        <v>1551601400287514</v>
      </c>
      <c r="C3238" t="s">
        <v>40</v>
      </c>
      <c r="D3238">
        <v>5.7011149999999997</v>
      </c>
      <c r="E3238">
        <v>0.47757290000000002</v>
      </c>
      <c r="F3238" t="s">
        <v>47</v>
      </c>
      <c r="G3238">
        <v>-365.58229999999998</v>
      </c>
      <c r="H3238" s="1">
        <v>1.4338290000000001E-6</v>
      </c>
      <c r="I3238">
        <v>215.9581</v>
      </c>
      <c r="J3238">
        <v>-383.62799999999999</v>
      </c>
      <c r="K3238">
        <v>1.120892</v>
      </c>
      <c r="L3238">
        <v>214.7662</v>
      </c>
      <c r="M3238">
        <v>0.99991949999999996</v>
      </c>
      <c r="N3238">
        <v>-1.249217E-2</v>
      </c>
      <c r="O3238">
        <v>-2.3009250000000001E-3</v>
      </c>
      <c r="P3238">
        <v>0.98236299999999999</v>
      </c>
      <c r="Q3238">
        <v>0.18675839999999999</v>
      </c>
      <c r="R3238">
        <v>9.1940319999999996E-3</v>
      </c>
      <c r="S3238">
        <v>3.0864560000000001</v>
      </c>
      <c r="T3238">
        <v>-0.18854170000000001</v>
      </c>
      <c r="U3238">
        <v>0.20039370000000001</v>
      </c>
      <c r="V3238">
        <v>-1.1481099999999999E-2</v>
      </c>
      <c r="W3238">
        <v>0.19901430000000001</v>
      </c>
      <c r="X3238">
        <v>0.9799293</v>
      </c>
      <c r="Y3238">
        <v>-6.6933969999999995E-2</v>
      </c>
      <c r="Z3238">
        <v>2.5709309999999998E-3</v>
      </c>
      <c r="AA3238">
        <v>0.99775409999999998</v>
      </c>
      <c r="AB3238">
        <v>30</v>
      </c>
      <c r="AC3238">
        <v>18.0457</v>
      </c>
      <c r="AD3238">
        <v>-1.120890566171</v>
      </c>
      <c r="AE3238">
        <v>1.1919</v>
      </c>
      <c r="AF3238">
        <v>-1.2287019551690901</v>
      </c>
      <c r="AG3238">
        <v>-1.120890566171</v>
      </c>
      <c r="AH3238">
        <v>17.973864898743201</v>
      </c>
      <c r="AI3238">
        <v>93.560184732358906</v>
      </c>
      <c r="AJ3238">
        <v>93.910682576154301</v>
      </c>
      <c r="AK3238">
        <v>18.050648840256098</v>
      </c>
      <c r="AL3238">
        <v>78.520675747428697</v>
      </c>
      <c r="AM3238">
        <v>90.671261158260094</v>
      </c>
      <c r="AN3238">
        <v>0.99999997013009401</v>
      </c>
    </row>
    <row r="3239" spans="1:40" x14ac:dyDescent="0.25">
      <c r="A3239" t="str">
        <f>"20190303162320321"</f>
        <v>20190303162320321</v>
      </c>
      <c r="B3239" t="str">
        <f>"1551601400308011"</f>
        <v>1551601400308011</v>
      </c>
      <c r="C3239" t="s">
        <v>40</v>
      </c>
      <c r="D3239">
        <v>5.6943419999999998</v>
      </c>
      <c r="E3239">
        <v>0.47902719999999999</v>
      </c>
      <c r="F3239" t="s">
        <v>47</v>
      </c>
      <c r="G3239">
        <v>-353.62270000000001</v>
      </c>
      <c r="H3239" s="1">
        <v>2.9798150000000001E-7</v>
      </c>
      <c r="I3239">
        <v>216.74440000000001</v>
      </c>
      <c r="J3239">
        <v>-383.334</v>
      </c>
      <c r="K3239">
        <v>1.1208910000000001</v>
      </c>
      <c r="L3239">
        <v>214.76560000000001</v>
      </c>
      <c r="M3239">
        <v>0.99992009999999998</v>
      </c>
      <c r="N3239">
        <v>-1.246134E-2</v>
      </c>
      <c r="O3239">
        <v>-2.2192259999999999E-3</v>
      </c>
      <c r="P3239">
        <v>0.98231109999999999</v>
      </c>
      <c r="Q3239">
        <v>0.18706159999999999</v>
      </c>
      <c r="R3239">
        <v>8.5657719999999993E-3</v>
      </c>
      <c r="S3239">
        <v>3.0737610000000002</v>
      </c>
      <c r="T3239">
        <v>-0.1148248</v>
      </c>
      <c r="U3239">
        <v>0.202652</v>
      </c>
      <c r="V3239">
        <v>-1.0771640000000001E-2</v>
      </c>
      <c r="W3239">
        <v>0.19928679999999999</v>
      </c>
      <c r="X3239">
        <v>0.97988200000000003</v>
      </c>
      <c r="Y3239">
        <v>-6.7937590000000006E-2</v>
      </c>
      <c r="Z3239">
        <v>1.7462720000000001E-3</v>
      </c>
      <c r="AA3239">
        <v>0.99768809999999997</v>
      </c>
      <c r="AB3239">
        <v>30</v>
      </c>
      <c r="AC3239">
        <v>29.711299999999898</v>
      </c>
      <c r="AD3239">
        <v>-1.1208907020184999</v>
      </c>
      <c r="AE3239">
        <v>1.9787999999999999</v>
      </c>
      <c r="AF3239">
        <v>-2.0418430889372399</v>
      </c>
      <c r="AG3239">
        <v>-1.1208907020184999</v>
      </c>
      <c r="AH3239">
        <v>29.6648009054061</v>
      </c>
      <c r="AI3239">
        <v>92.158800662315201</v>
      </c>
      <c r="AJ3239">
        <v>93.937486879010194</v>
      </c>
      <c r="AK3239">
        <v>29.756107472636501</v>
      </c>
      <c r="AL3239">
        <v>78.504743801256296</v>
      </c>
      <c r="AM3239">
        <v>90.629815276064306</v>
      </c>
      <c r="AN3239">
        <v>0.99999999540326401</v>
      </c>
    </row>
    <row r="3240" spans="1:40" x14ac:dyDescent="0.25">
      <c r="A3240" t="str">
        <f>"20190303162320344"</f>
        <v>20190303162320344</v>
      </c>
      <c r="B3240" t="str">
        <f>"1551601400338266"</f>
        <v>1551601400338266</v>
      </c>
      <c r="C3240" t="s">
        <v>40</v>
      </c>
      <c r="D3240">
        <v>5.6923620000000001</v>
      </c>
      <c r="E3240">
        <v>0.48048950000000001</v>
      </c>
      <c r="F3240" t="s">
        <v>47</v>
      </c>
      <c r="G3240">
        <v>-356.23829999999998</v>
      </c>
      <c r="H3240" s="1">
        <v>1.7036359999999901E-6</v>
      </c>
      <c r="I3240">
        <v>216.4299</v>
      </c>
      <c r="J3240">
        <v>-383.03769999999997</v>
      </c>
      <c r="K3240">
        <v>1.120889</v>
      </c>
      <c r="L3240">
        <v>214.76499999999999</v>
      </c>
      <c r="M3240">
        <v>0.99992060000000005</v>
      </c>
      <c r="N3240">
        <v>-1.243269E-2</v>
      </c>
      <c r="O3240">
        <v>-2.1375180000000001E-3</v>
      </c>
      <c r="P3240">
        <v>0.98233470000000001</v>
      </c>
      <c r="Q3240">
        <v>0.18694549999999999</v>
      </c>
      <c r="R3240">
        <v>8.3683379999999995E-3</v>
      </c>
      <c r="S3240">
        <v>3.0765690000000001</v>
      </c>
      <c r="T3240">
        <v>-0.12727089999999999</v>
      </c>
      <c r="U3240">
        <v>0.18898010000000001</v>
      </c>
      <c r="V3240">
        <v>-1.049395E-2</v>
      </c>
      <c r="W3240">
        <v>0.1991424</v>
      </c>
      <c r="X3240">
        <v>0.97991439999999996</v>
      </c>
      <c r="Y3240">
        <v>-6.3372399999999995E-2</v>
      </c>
      <c r="Z3240">
        <v>1.7653079999999999E-3</v>
      </c>
      <c r="AA3240">
        <v>0.9979884</v>
      </c>
      <c r="AB3240">
        <v>30</v>
      </c>
      <c r="AC3240">
        <v>26.799399999999899</v>
      </c>
      <c r="AD3240">
        <v>-1.120887296364</v>
      </c>
      <c r="AE3240">
        <v>1.66490000000001</v>
      </c>
      <c r="AF3240">
        <v>-1.71918893346456</v>
      </c>
      <c r="AG3240">
        <v>-1.120887296364</v>
      </c>
      <c r="AH3240">
        <v>26.749166306355399</v>
      </c>
      <c r="AI3240">
        <v>92.394562860481898</v>
      </c>
      <c r="AJ3240">
        <v>93.677384759387905</v>
      </c>
      <c r="AK3240">
        <v>26.827782185733401</v>
      </c>
      <c r="AL3240">
        <v>78.5131868824337</v>
      </c>
      <c r="AM3240">
        <v>90.613559778417098</v>
      </c>
      <c r="AN3240">
        <v>1.00000002489586</v>
      </c>
    </row>
    <row r="3241" spans="1:40" x14ac:dyDescent="0.25">
      <c r="A3241" t="str">
        <f>"20190303162320366"</f>
        <v>20190303162320366</v>
      </c>
      <c r="B3241" t="str">
        <f>"1551601400357786"</f>
        <v>1551601400357786</v>
      </c>
      <c r="C3241" t="s">
        <v>40</v>
      </c>
      <c r="D3241">
        <v>5.6781959999999998</v>
      </c>
      <c r="E3241">
        <v>0.48137429999999898</v>
      </c>
      <c r="F3241" t="s">
        <v>47</v>
      </c>
      <c r="G3241">
        <v>-358.67689999999999</v>
      </c>
      <c r="H3241" s="1">
        <v>3.0133189999999999E-6</v>
      </c>
      <c r="I3241">
        <v>216.15649999999999</v>
      </c>
      <c r="J3241">
        <v>-382.72500000000002</v>
      </c>
      <c r="K3241">
        <v>1.1208899999999999</v>
      </c>
      <c r="L3241">
        <v>214.76439999999999</v>
      </c>
      <c r="M3241">
        <v>0.99992099999999995</v>
      </c>
      <c r="N3241">
        <v>-1.2405269999999999E-2</v>
      </c>
      <c r="O3241">
        <v>-2.0523450000000001E-3</v>
      </c>
      <c r="P3241">
        <v>0.98220149999999995</v>
      </c>
      <c r="Q3241">
        <v>0.18764210000000001</v>
      </c>
      <c r="R3241">
        <v>8.4270960000000002E-3</v>
      </c>
      <c r="S3241">
        <v>3.079437</v>
      </c>
      <c r="T3241">
        <v>-0.14169109999999999</v>
      </c>
      <c r="U3241">
        <v>0.17590329999999901</v>
      </c>
      <c r="V3241">
        <v>-1.0469600000000001E-2</v>
      </c>
      <c r="W3241">
        <v>0.1998105</v>
      </c>
      <c r="X3241">
        <v>0.97977860000000006</v>
      </c>
      <c r="Y3241">
        <v>-5.8997769999999998E-2</v>
      </c>
      <c r="Z3241">
        <v>1.790858E-3</v>
      </c>
      <c r="AA3241">
        <v>0.99825649999999999</v>
      </c>
      <c r="AB3241">
        <v>30</v>
      </c>
      <c r="AC3241">
        <v>24.048100000000002</v>
      </c>
      <c r="AD3241">
        <v>-1.1208869866809901</v>
      </c>
      <c r="AE3241">
        <v>1.3920999999999899</v>
      </c>
      <c r="AF3241">
        <v>-1.43834148363128</v>
      </c>
      <c r="AG3241">
        <v>-1.1208869866809901</v>
      </c>
      <c r="AH3241">
        <v>23.9932405528446</v>
      </c>
      <c r="AI3241">
        <v>92.669943460868495</v>
      </c>
      <c r="AJ3241">
        <v>93.430649046471004</v>
      </c>
      <c r="AK3241">
        <v>24.062435580944701</v>
      </c>
      <c r="AL3241">
        <v>78.474121917377502</v>
      </c>
      <c r="AM3241">
        <v>90.6122210295119</v>
      </c>
      <c r="AN3241">
        <v>0.99999997672618401</v>
      </c>
    </row>
    <row r="3242" spans="1:40" x14ac:dyDescent="0.25">
      <c r="A3242" t="str">
        <f>"20190303162320389"</f>
        <v>20190303162320389</v>
      </c>
      <c r="B3242" t="str">
        <f>"1551601400378282"</f>
        <v>1551601400378282</v>
      </c>
      <c r="C3242" t="s">
        <v>40</v>
      </c>
      <c r="D3242">
        <v>5.6854579999999997</v>
      </c>
      <c r="E3242">
        <v>0.48214390000000001</v>
      </c>
      <c r="F3242" t="s">
        <v>47</v>
      </c>
      <c r="G3242">
        <v>-358.8141</v>
      </c>
      <c r="H3242" s="1">
        <v>3.0902200000000002E-6</v>
      </c>
      <c r="I3242">
        <v>216.06729999999999</v>
      </c>
      <c r="J3242">
        <v>-382.42660000000001</v>
      </c>
      <c r="K3242">
        <v>1.1208990000000001</v>
      </c>
      <c r="L3242">
        <v>214.76390000000001</v>
      </c>
      <c r="M3242">
        <v>0.99992139999999996</v>
      </c>
      <c r="N3242">
        <v>-1.2381410000000001E-2</v>
      </c>
      <c r="O3242">
        <v>-1.9714810000000002E-3</v>
      </c>
      <c r="P3242">
        <v>0.98200030000000005</v>
      </c>
      <c r="Q3242">
        <v>0.1886668</v>
      </c>
      <c r="R3242">
        <v>8.9544529999999994E-3</v>
      </c>
      <c r="S3242">
        <v>3.0804749999999999</v>
      </c>
      <c r="T3242">
        <v>-0.14440539999999999</v>
      </c>
      <c r="U3242">
        <v>0.16784669999999999</v>
      </c>
      <c r="V3242">
        <v>-1.0917700000000001E-2</v>
      </c>
      <c r="W3242">
        <v>0.2008094</v>
      </c>
      <c r="X3242">
        <v>0.97956949999999998</v>
      </c>
      <c r="Y3242">
        <v>-5.6296029999999997E-2</v>
      </c>
      <c r="Z3242">
        <v>1.7347560000000001E-3</v>
      </c>
      <c r="AA3242">
        <v>0.99841259999999998</v>
      </c>
      <c r="AB3242">
        <v>30</v>
      </c>
      <c r="AC3242">
        <v>23.612500000000001</v>
      </c>
      <c r="AD3242">
        <v>-1.12089590977999</v>
      </c>
      <c r="AE3242">
        <v>1.3033999999999799</v>
      </c>
      <c r="AF3242">
        <v>-1.3469266279704299</v>
      </c>
      <c r="AG3242">
        <v>-1.12089590977999</v>
      </c>
      <c r="AH3242">
        <v>23.5569612603508</v>
      </c>
      <c r="AI3242">
        <v>92.719778423475603</v>
      </c>
      <c r="AJ3242">
        <v>93.2724626527814</v>
      </c>
      <c r="AK3242">
        <v>23.622045694718398</v>
      </c>
      <c r="AL3242">
        <v>78.415705573839404</v>
      </c>
      <c r="AM3242">
        <v>90.638558297757001</v>
      </c>
      <c r="AN3242">
        <v>1.0000000083159499</v>
      </c>
    </row>
    <row r="3243" spans="1:40" x14ac:dyDescent="0.25">
      <c r="A3243" t="str">
        <f>"20190303162320409"</f>
        <v>20190303162320409</v>
      </c>
      <c r="B3243" t="str">
        <f>"1551601400397802"</f>
        <v>1551601400397802</v>
      </c>
      <c r="C3243" t="s">
        <v>40</v>
      </c>
      <c r="D3243">
        <v>5.6801830000000004</v>
      </c>
      <c r="E3243">
        <v>0.48211850000000001</v>
      </c>
      <c r="F3243" t="s">
        <v>47</v>
      </c>
      <c r="G3243">
        <v>-358.79520000000002</v>
      </c>
      <c r="H3243" s="1">
        <v>3.0824470000000002E-6</v>
      </c>
      <c r="I3243">
        <v>216.01490000000001</v>
      </c>
      <c r="J3243">
        <v>-382.13920000000002</v>
      </c>
      <c r="K3243">
        <v>1.1208979999999999</v>
      </c>
      <c r="L3243">
        <v>214.76349999999999</v>
      </c>
      <c r="M3243">
        <v>0.99992170000000002</v>
      </c>
      <c r="N3243">
        <v>-1.236057E-2</v>
      </c>
      <c r="O3243">
        <v>-1.8932650000000001E-3</v>
      </c>
      <c r="P3243">
        <v>0.98183699999999996</v>
      </c>
      <c r="Q3243">
        <v>0.189495</v>
      </c>
      <c r="R3243">
        <v>9.3594109999999998E-3</v>
      </c>
      <c r="S3243">
        <v>3.0815730000000001</v>
      </c>
      <c r="T3243">
        <v>-0.1461664</v>
      </c>
      <c r="U3243">
        <v>0.16313169999999999</v>
      </c>
      <c r="V3243">
        <v>-1.124556E-2</v>
      </c>
      <c r="W3243">
        <v>0.20161509999999999</v>
      </c>
      <c r="X3243">
        <v>0.9794003</v>
      </c>
      <c r="Y3243">
        <v>-5.4675950000000001E-2</v>
      </c>
      <c r="Z3243">
        <v>1.6997869999999999E-3</v>
      </c>
      <c r="AA3243">
        <v>0.99850269999999997</v>
      </c>
      <c r="AB3243">
        <v>30</v>
      </c>
      <c r="AC3243">
        <v>23.343999999999902</v>
      </c>
      <c r="AD3243">
        <v>-1.1208949175530001</v>
      </c>
      <c r="AE3243">
        <v>1.2514000000000101</v>
      </c>
      <c r="AF3243">
        <v>-1.29262581071024</v>
      </c>
      <c r="AG3243">
        <v>-1.1208949175530001</v>
      </c>
      <c r="AH3243">
        <v>23.288050250389801</v>
      </c>
      <c r="AI3243">
        <v>92.751391631298702</v>
      </c>
      <c r="AJ3243">
        <v>93.176997791455804</v>
      </c>
      <c r="AK3243">
        <v>23.350815218475599</v>
      </c>
      <c r="AL3243">
        <v>78.3685787533813</v>
      </c>
      <c r="AM3243">
        <v>90.657846248367207</v>
      </c>
      <c r="AN3243">
        <v>1.0000000294039</v>
      </c>
    </row>
    <row r="3244" spans="1:40" x14ac:dyDescent="0.25">
      <c r="A3244" t="str">
        <f>"20190303162320434"</f>
        <v>20190303162320434</v>
      </c>
      <c r="B3244" t="str">
        <f>"1551601400418299"</f>
        <v>1551601400418299</v>
      </c>
      <c r="C3244" t="s">
        <v>40</v>
      </c>
      <c r="D3244">
        <v>5.6778810000000002</v>
      </c>
      <c r="E3244">
        <v>0.4822224</v>
      </c>
      <c r="F3244" t="s">
        <v>47</v>
      </c>
      <c r="G3244">
        <v>-358.90859999999998</v>
      </c>
      <c r="H3244" s="1">
        <v>3.143059E-6</v>
      </c>
      <c r="I3244">
        <v>216.0086</v>
      </c>
      <c r="J3244">
        <v>-381.79689999999999</v>
      </c>
      <c r="K3244">
        <v>1.1208929999999999</v>
      </c>
      <c r="L3244">
        <v>214.7629</v>
      </c>
      <c r="M3244">
        <v>0.99992230000000004</v>
      </c>
      <c r="N3244">
        <v>-1.233887E-2</v>
      </c>
      <c r="O3244">
        <v>-1.798839E-3</v>
      </c>
      <c r="P3244">
        <v>0.9820103</v>
      </c>
      <c r="Q3244">
        <v>0.18858469999999999</v>
      </c>
      <c r="R3244">
        <v>9.5633630000000001E-3</v>
      </c>
      <c r="S3244">
        <v>3.0826419999999999</v>
      </c>
      <c r="T3244">
        <v>-0.14873979999999901</v>
      </c>
      <c r="U3244">
        <v>0.16522220000000001</v>
      </c>
      <c r="V3244">
        <v>-1.135706E-2</v>
      </c>
      <c r="W3244">
        <v>0.20068549999999999</v>
      </c>
      <c r="X3244">
        <v>0.97958990000000001</v>
      </c>
      <c r="Y3244">
        <v>-5.5235399999999997E-2</v>
      </c>
      <c r="Z3244">
        <v>1.7366370000000001E-3</v>
      </c>
      <c r="AA3244">
        <v>0.99847189999999997</v>
      </c>
      <c r="AB3244">
        <v>30</v>
      </c>
      <c r="AC3244">
        <v>22.888300000000001</v>
      </c>
      <c r="AD3244">
        <v>-1.120889856941</v>
      </c>
      <c r="AE3244">
        <v>1.24569999999999</v>
      </c>
      <c r="AF3244">
        <v>-1.2838036637910499</v>
      </c>
      <c r="AG3244">
        <v>-1.120889856941</v>
      </c>
      <c r="AH3244">
        <v>22.8314276727356</v>
      </c>
      <c r="AI3244">
        <v>92.806206061418806</v>
      </c>
      <c r="AJ3244">
        <v>93.218333796623497</v>
      </c>
      <c r="AK3244">
        <v>22.894947815924699</v>
      </c>
      <c r="AL3244">
        <v>78.422952085460807</v>
      </c>
      <c r="AM3244">
        <v>90.6642396508948</v>
      </c>
      <c r="AN3244">
        <v>1.0000000124520501</v>
      </c>
    </row>
    <row r="3245" spans="1:40" x14ac:dyDescent="0.25">
      <c r="A3245" t="str">
        <f>"20190303162320457"</f>
        <v>20190303162320457</v>
      </c>
      <c r="B3245" t="str">
        <f>"1551601400447579"</f>
        <v>1551601400447579</v>
      </c>
      <c r="C3245" t="s">
        <v>40</v>
      </c>
      <c r="D3245">
        <v>5.737025</v>
      </c>
      <c r="E3245">
        <v>0.4823231</v>
      </c>
      <c r="F3245" t="s">
        <v>47</v>
      </c>
      <c r="G3245">
        <v>-359.82499999999999</v>
      </c>
      <c r="H3245" s="1">
        <v>3.6338210000000002E-6</v>
      </c>
      <c r="I3245">
        <v>215.9374</v>
      </c>
      <c r="J3245">
        <v>-381.48410000000001</v>
      </c>
      <c r="K3245">
        <v>1.120887</v>
      </c>
      <c r="L3245">
        <v>214.76249999999999</v>
      </c>
      <c r="M3245">
        <v>0.99992259999999999</v>
      </c>
      <c r="N3245">
        <v>-1.232158E-2</v>
      </c>
      <c r="O3245">
        <v>-1.7118329999999901E-3</v>
      </c>
      <c r="P3245">
        <v>0.98225269999999998</v>
      </c>
      <c r="Q3245">
        <v>0.18728520000000001</v>
      </c>
      <c r="R3245">
        <v>1.021185E-2</v>
      </c>
      <c r="S3245">
        <v>3.0835569999999999</v>
      </c>
      <c r="T3245">
        <v>-0.15730620000000001</v>
      </c>
      <c r="U3245">
        <v>0.16482539999999901</v>
      </c>
      <c r="V3245">
        <v>-1.192084E-2</v>
      </c>
      <c r="W3245">
        <v>0.1993723</v>
      </c>
      <c r="X3245">
        <v>0.97985129999999998</v>
      </c>
      <c r="Y3245">
        <v>-5.4996389999999999E-2</v>
      </c>
      <c r="Z3245">
        <v>1.806389E-3</v>
      </c>
      <c r="AA3245">
        <v>0.99848490000000001</v>
      </c>
      <c r="AB3245">
        <v>30</v>
      </c>
      <c r="AC3245">
        <v>21.659099999999999</v>
      </c>
      <c r="AD3245">
        <v>-1.1208833661790001</v>
      </c>
      <c r="AE3245">
        <v>1.1749000000000001</v>
      </c>
      <c r="AF3245">
        <v>-1.20875010143052</v>
      </c>
      <c r="AG3245">
        <v>-1.1208833661790001</v>
      </c>
      <c r="AH3245">
        <v>21.599379529909399</v>
      </c>
      <c r="AI3245">
        <v>92.966023602059295</v>
      </c>
      <c r="AJ3245">
        <v>93.203060365713498</v>
      </c>
      <c r="AK3245">
        <v>21.662194081056398</v>
      </c>
      <c r="AL3245">
        <v>78.499744691011998</v>
      </c>
      <c r="AM3245">
        <v>90.697024258107604</v>
      </c>
      <c r="AN3245">
        <v>0.99999999527264205</v>
      </c>
    </row>
    <row r="3246" spans="1:40" x14ac:dyDescent="0.25">
      <c r="A3246" t="str">
        <f>"20190303162320478"</f>
        <v>20190303162320478</v>
      </c>
      <c r="B3246" t="str">
        <f>"1551601400467476"</f>
        <v>1551601400467476</v>
      </c>
      <c r="C3246" t="s">
        <v>40</v>
      </c>
      <c r="D3246">
        <v>5.672733</v>
      </c>
      <c r="E3246">
        <v>0.48238819999999999</v>
      </c>
      <c r="F3246" t="s">
        <v>47</v>
      </c>
      <c r="G3246">
        <v>-360.81060000000002</v>
      </c>
      <c r="H3246" s="1">
        <v>-1.105444E-6</v>
      </c>
      <c r="I3246">
        <v>215.87180000000001</v>
      </c>
      <c r="J3246">
        <v>-381.20549999999997</v>
      </c>
      <c r="K3246">
        <v>1.1208819999999999</v>
      </c>
      <c r="L3246">
        <v>214.7621</v>
      </c>
      <c r="M3246">
        <v>0.99992300000000001</v>
      </c>
      <c r="N3246">
        <v>-1.2307999999999999E-2</v>
      </c>
      <c r="O3246">
        <v>-1.6341490000000001E-3</v>
      </c>
      <c r="P3246">
        <v>0.9822516</v>
      </c>
      <c r="Q3246">
        <v>0.18723709999999999</v>
      </c>
      <c r="R3246">
        <v>1.114358E-2</v>
      </c>
      <c r="S3246">
        <v>3.084381</v>
      </c>
      <c r="T3246">
        <v>-0.16723080000000001</v>
      </c>
      <c r="U3246">
        <v>0.1655121</v>
      </c>
      <c r="V3246">
        <v>-1.2776030000000001E-2</v>
      </c>
      <c r="W3246">
        <v>0.1993106</v>
      </c>
      <c r="X3246">
        <v>0.97985310000000003</v>
      </c>
      <c r="Y3246">
        <v>-5.5115570000000003E-2</v>
      </c>
      <c r="Z3246">
        <v>1.9001059999999999E-3</v>
      </c>
      <c r="AA3246">
        <v>0.99847819999999998</v>
      </c>
      <c r="AB3246">
        <v>30</v>
      </c>
      <c r="AC3246">
        <v>20.3948999999999</v>
      </c>
      <c r="AD3246">
        <v>-1.1208831054439901</v>
      </c>
      <c r="AE3246">
        <v>1.1096999999999999</v>
      </c>
      <c r="AF3246">
        <v>-1.13959736283611</v>
      </c>
      <c r="AG3246">
        <v>-1.1208831054439901</v>
      </c>
      <c r="AH3246">
        <v>20.331828390662999</v>
      </c>
      <c r="AI3246">
        <v>93.150557252121402</v>
      </c>
      <c r="AJ3246">
        <v>93.208067209529901</v>
      </c>
      <c r="AK3246">
        <v>20.3945656191257</v>
      </c>
      <c r="AL3246">
        <v>78.503352530840303</v>
      </c>
      <c r="AM3246">
        <v>90.747021282522198</v>
      </c>
      <c r="AN3246">
        <v>1.0000000198972601</v>
      </c>
    </row>
    <row r="3247" spans="1:40" x14ac:dyDescent="0.25">
      <c r="A3247" t="str">
        <f>"20190303162320499"</f>
        <v>20190303162320499</v>
      </c>
      <c r="B3247" t="str">
        <f>"1551601400487972"</f>
        <v>1551601400487972</v>
      </c>
      <c r="C3247" t="s">
        <v>40</v>
      </c>
      <c r="D3247">
        <v>5.790978</v>
      </c>
      <c r="E3247">
        <v>0.48269909999999999</v>
      </c>
      <c r="F3247" t="s">
        <v>47</v>
      </c>
      <c r="G3247">
        <v>-360.94099999999997</v>
      </c>
      <c r="H3247" s="1">
        <v>-1.0360319999999999E-6</v>
      </c>
      <c r="I3247">
        <v>215.86259999999999</v>
      </c>
      <c r="J3247">
        <v>-380.91469999999998</v>
      </c>
      <c r="K3247">
        <v>1.120881</v>
      </c>
      <c r="L3247">
        <v>214.76169999999999</v>
      </c>
      <c r="M3247">
        <v>0.99992320000000001</v>
      </c>
      <c r="N3247">
        <v>-1.229572E-2</v>
      </c>
      <c r="O3247">
        <v>-1.552894E-3</v>
      </c>
      <c r="P3247">
        <v>0.98209539999999995</v>
      </c>
      <c r="Q3247">
        <v>0.1880291</v>
      </c>
      <c r="R3247">
        <v>1.1569980000000001E-2</v>
      </c>
      <c r="S3247">
        <v>3.0848390000000001</v>
      </c>
      <c r="T3247">
        <v>-0.1706308</v>
      </c>
      <c r="U3247">
        <v>0.16752619999999999</v>
      </c>
      <c r="V3247">
        <v>-1.3122460000000001E-2</v>
      </c>
      <c r="W3247">
        <v>0.20008809999999999</v>
      </c>
      <c r="X3247">
        <v>0.97968999999999995</v>
      </c>
      <c r="Y3247">
        <v>-5.5671859999999997E-2</v>
      </c>
      <c r="Z3247">
        <v>1.94692E-3</v>
      </c>
      <c r="AA3247">
        <v>0.99844719999999998</v>
      </c>
      <c r="AB3247">
        <v>30</v>
      </c>
      <c r="AC3247">
        <v>19.973700000000001</v>
      </c>
      <c r="AD3247">
        <v>-1.120882036032</v>
      </c>
      <c r="AE3247">
        <v>1.10089999999999</v>
      </c>
      <c r="AF3247">
        <v>-1.1283753185304199</v>
      </c>
      <c r="AG3247">
        <v>-1.120882036032</v>
      </c>
      <c r="AH3247">
        <v>19.909456875541501</v>
      </c>
      <c r="AI3247">
        <v>93.217140293554294</v>
      </c>
      <c r="AJ3247">
        <v>93.243787869340693</v>
      </c>
      <c r="AK3247">
        <v>19.972883629491601</v>
      </c>
      <c r="AL3247">
        <v>78.457888738745794</v>
      </c>
      <c r="AM3247">
        <v>90.767402561183204</v>
      </c>
      <c r="AN3247">
        <v>0.99999997140902996</v>
      </c>
    </row>
    <row r="3248" spans="1:40" x14ac:dyDescent="0.25">
      <c r="A3248" t="str">
        <f>"20190303162320523"</f>
        <v>20190303162320523</v>
      </c>
      <c r="B3248" t="str">
        <f>"1551601400507493"</f>
        <v>1551601400507493</v>
      </c>
      <c r="C3248" t="s">
        <v>40</v>
      </c>
      <c r="D3248">
        <v>5.6727679999999996</v>
      </c>
      <c r="E3248">
        <v>0.48278680000000002</v>
      </c>
      <c r="F3248" t="s">
        <v>47</v>
      </c>
      <c r="G3248">
        <v>-360.71960000000001</v>
      </c>
      <c r="H3248" s="1">
        <v>-1.153866E-6</v>
      </c>
      <c r="I3248">
        <v>215.85480000000001</v>
      </c>
      <c r="J3248">
        <v>-380.60079999999999</v>
      </c>
      <c r="K3248">
        <v>1.1208819999999999</v>
      </c>
      <c r="L3248">
        <v>214.76130000000001</v>
      </c>
      <c r="M3248">
        <v>0.99992340000000002</v>
      </c>
      <c r="N3248">
        <v>-1.228401E-2</v>
      </c>
      <c r="O3248">
        <v>-1.4658010000000001E-3</v>
      </c>
      <c r="P3248">
        <v>0.98224929999999999</v>
      </c>
      <c r="Q3248">
        <v>0.18718989999999999</v>
      </c>
      <c r="R3248">
        <v>1.210437E-2</v>
      </c>
      <c r="S3248">
        <v>3.0855100000000002</v>
      </c>
      <c r="T3248">
        <v>-0.1712542</v>
      </c>
      <c r="U3248">
        <v>0.167007399999999</v>
      </c>
      <c r="V3248">
        <v>-1.357146E-2</v>
      </c>
      <c r="W3248">
        <v>0.19923959999999999</v>
      </c>
      <c r="X3248">
        <v>0.97985679999999997</v>
      </c>
      <c r="Y3248">
        <v>-5.5405679999999999E-2</v>
      </c>
      <c r="Z3248">
        <v>1.939414E-3</v>
      </c>
      <c r="AA3248">
        <v>0.99846199999999996</v>
      </c>
      <c r="AB3248">
        <v>30</v>
      </c>
      <c r="AC3248">
        <v>19.8811999999999</v>
      </c>
      <c r="AD3248">
        <v>-1.120883153866</v>
      </c>
      <c r="AE3248">
        <v>1.0934999999999999</v>
      </c>
      <c r="AF3248">
        <v>-1.1190964807359101</v>
      </c>
      <c r="AG3248">
        <v>-1.120883153866</v>
      </c>
      <c r="AH3248">
        <v>19.816776095820899</v>
      </c>
      <c r="AI3248">
        <v>93.232194831630096</v>
      </c>
      <c r="AJ3248">
        <v>93.232184373325495</v>
      </c>
      <c r="AK3248">
        <v>19.879974114915601</v>
      </c>
      <c r="AL3248">
        <v>78.5075032746917</v>
      </c>
      <c r="AM3248">
        <v>90.793521729623606</v>
      </c>
      <c r="AN3248">
        <v>0.99999997562046505</v>
      </c>
    </row>
    <row r="3249" spans="1:40" x14ac:dyDescent="0.25">
      <c r="A3249" t="str">
        <f>"20190303162320545"</f>
        <v>20190303162320545</v>
      </c>
      <c r="B3249" t="str">
        <f>"1551601400537749"</f>
        <v>1551601400537749</v>
      </c>
      <c r="C3249" t="s">
        <v>40</v>
      </c>
      <c r="D3249">
        <v>5.6298490000000001</v>
      </c>
      <c r="E3249">
        <v>0.48261660000000001</v>
      </c>
      <c r="F3249" t="s">
        <v>47</v>
      </c>
      <c r="G3249">
        <v>-360.96039999999999</v>
      </c>
      <c r="H3249" s="1">
        <v>-1.025716E-6</v>
      </c>
      <c r="I3249">
        <v>215.8305</v>
      </c>
      <c r="J3249">
        <v>-380.29160000000002</v>
      </c>
      <c r="K3249">
        <v>1.120878</v>
      </c>
      <c r="L3249">
        <v>214.761</v>
      </c>
      <c r="M3249">
        <v>0.99992389999999998</v>
      </c>
      <c r="N3249">
        <v>-1.227381E-2</v>
      </c>
      <c r="O3249">
        <v>-1.3801519999999999E-3</v>
      </c>
      <c r="P3249">
        <v>0.9823037</v>
      </c>
      <c r="Q3249">
        <v>0.18685979999999999</v>
      </c>
      <c r="R3249">
        <v>1.278046E-2</v>
      </c>
      <c r="S3249">
        <v>3.0857239999999999</v>
      </c>
      <c r="T3249">
        <v>-0.176102799999999</v>
      </c>
      <c r="U3249">
        <v>0.16798399999999999</v>
      </c>
      <c r="V3249">
        <v>-1.416303E-2</v>
      </c>
      <c r="W3249">
        <v>0.1989003</v>
      </c>
      <c r="X3249">
        <v>0.97991740000000005</v>
      </c>
      <c r="Y3249">
        <v>-5.5625649999999999E-2</v>
      </c>
      <c r="Z3249">
        <v>1.9885200000000001E-3</v>
      </c>
      <c r="AA3249">
        <v>0.9984497</v>
      </c>
      <c r="AB3249">
        <v>30</v>
      </c>
      <c r="AC3249">
        <v>19.331199999999999</v>
      </c>
      <c r="AD3249">
        <v>-1.120879025716</v>
      </c>
      <c r="AE3249">
        <v>1.0694999999999999</v>
      </c>
      <c r="AF3249">
        <v>-1.09251912166954</v>
      </c>
      <c r="AG3249">
        <v>-1.120879025716</v>
      </c>
      <c r="AH3249">
        <v>19.265133350076599</v>
      </c>
      <c r="AI3249">
        <v>93.3244849541787</v>
      </c>
      <c r="AJ3249">
        <v>93.245747608661603</v>
      </c>
      <c r="AK3249">
        <v>19.328614301540998</v>
      </c>
      <c r="AL3249">
        <v>78.527341242361899</v>
      </c>
      <c r="AM3249">
        <v>90.8280548397925</v>
      </c>
      <c r="AN3249">
        <v>1.00000001579081</v>
      </c>
    </row>
    <row r="3250" spans="1:40" x14ac:dyDescent="0.25">
      <c r="A3250" t="str">
        <f>"20190303162320567"</f>
        <v>20190303162320567</v>
      </c>
      <c r="B3250" t="str">
        <f>"1551601400558245"</f>
        <v>1551601400558245</v>
      </c>
      <c r="C3250" t="s">
        <v>40</v>
      </c>
      <c r="D3250">
        <v>5.6251350000000002</v>
      </c>
      <c r="E3250">
        <v>0.48229490000000003</v>
      </c>
      <c r="F3250" t="s">
        <v>47</v>
      </c>
      <c r="G3250">
        <v>-360.46350000000001</v>
      </c>
      <c r="H3250" s="1">
        <v>-1.290155E-6</v>
      </c>
      <c r="I3250">
        <v>215.86179999999999</v>
      </c>
      <c r="J3250">
        <v>-379.99160000000001</v>
      </c>
      <c r="K3250">
        <v>1.120878</v>
      </c>
      <c r="L3250">
        <v>214.76070000000001</v>
      </c>
      <c r="M3250">
        <v>0.99992400000000004</v>
      </c>
      <c r="N3250">
        <v>-1.2265140000000001E-2</v>
      </c>
      <c r="O3250">
        <v>-1.296894E-3</v>
      </c>
      <c r="P3250">
        <v>0.98229549999999999</v>
      </c>
      <c r="Q3250">
        <v>0.18688769999999999</v>
      </c>
      <c r="R3250">
        <v>1.298996E-2</v>
      </c>
      <c r="S3250">
        <v>3.084991</v>
      </c>
      <c r="T3250">
        <v>-0.17439389999999999</v>
      </c>
      <c r="U3250">
        <v>0.17127989999999901</v>
      </c>
      <c r="V3250">
        <v>-1.4291E-2</v>
      </c>
      <c r="W3250">
        <v>0.1989194</v>
      </c>
      <c r="X3250">
        <v>0.97991159999999999</v>
      </c>
      <c r="Y3250">
        <v>-5.661894E-2</v>
      </c>
      <c r="Z3250">
        <v>2.0029750000000002E-3</v>
      </c>
      <c r="AA3250">
        <v>0.9983938</v>
      </c>
      <c r="AB3250">
        <v>30</v>
      </c>
      <c r="AC3250">
        <v>19.528099999999899</v>
      </c>
      <c r="AD3250">
        <v>-1.120879290155</v>
      </c>
      <c r="AE3250">
        <v>1.10109999999997</v>
      </c>
      <c r="AF3250">
        <v>-1.12273964044977</v>
      </c>
      <c r="AG3250">
        <v>-1.120879290155</v>
      </c>
      <c r="AH3250">
        <v>19.462737474207799</v>
      </c>
      <c r="AI3250">
        <v>93.290624088341801</v>
      </c>
      <c r="AJ3250">
        <v>93.301541166910596</v>
      </c>
      <c r="AK3250">
        <v>19.527290254238299</v>
      </c>
      <c r="AL3250">
        <v>78.526223838854094</v>
      </c>
      <c r="AM3250">
        <v>90.8355406147477</v>
      </c>
      <c r="AN3250">
        <v>0.99999995209595804</v>
      </c>
    </row>
    <row r="3251" spans="1:40" x14ac:dyDescent="0.25">
      <c r="A3251" t="str">
        <f>"20190303162320599"</f>
        <v>20190303162320599</v>
      </c>
      <c r="B3251" t="str">
        <f>"1551601400587524"</f>
        <v>1551601400587524</v>
      </c>
      <c r="C3251" t="s">
        <v>40</v>
      </c>
      <c r="D3251">
        <v>5.5050860000000004</v>
      </c>
      <c r="E3251">
        <v>0.48200979999999999</v>
      </c>
      <c r="F3251" t="s">
        <v>47</v>
      </c>
      <c r="G3251">
        <v>-359.66590000000002</v>
      </c>
      <c r="H3251" s="1">
        <v>3.5503480000000002E-6</v>
      </c>
      <c r="I3251">
        <v>215.9109</v>
      </c>
      <c r="J3251">
        <v>-379.55520000000001</v>
      </c>
      <c r="K3251">
        <v>1.120879</v>
      </c>
      <c r="L3251">
        <v>214.7602</v>
      </c>
      <c r="M3251">
        <v>0.99992429999999999</v>
      </c>
      <c r="N3251">
        <v>-1.225445E-2</v>
      </c>
      <c r="O3251">
        <v>-1.175955E-3</v>
      </c>
      <c r="P3251">
        <v>0.98213329999999999</v>
      </c>
      <c r="Q3251">
        <v>0.187779</v>
      </c>
      <c r="R3251">
        <v>1.239488E-2</v>
      </c>
      <c r="S3251">
        <v>3.0841370000000001</v>
      </c>
      <c r="T3251">
        <v>-0.17007720000000001</v>
      </c>
      <c r="U3251">
        <v>0.17452999999999999</v>
      </c>
      <c r="V3251">
        <v>-1.357735E-2</v>
      </c>
      <c r="W3251">
        <v>0.19979839999999999</v>
      </c>
      <c r="X3251">
        <v>0.97974289999999997</v>
      </c>
      <c r="Y3251">
        <v>-5.7565600000000001E-2</v>
      </c>
      <c r="Z3251">
        <v>1.9884780000000001E-3</v>
      </c>
      <c r="AA3251">
        <v>0.9983398</v>
      </c>
      <c r="AB3251">
        <v>30</v>
      </c>
      <c r="AC3251">
        <v>19.889299999999899</v>
      </c>
      <c r="AD3251">
        <v>-1.1208754496519999</v>
      </c>
      <c r="AE3251">
        <v>1.1507000000000001</v>
      </c>
      <c r="AF3251">
        <v>-1.17038517856459</v>
      </c>
      <c r="AG3251">
        <v>-1.1208754496519999</v>
      </c>
      <c r="AH3251">
        <v>19.825178949034999</v>
      </c>
      <c r="AI3251">
        <v>93.230329998367694</v>
      </c>
      <c r="AJ3251">
        <v>93.378551634459896</v>
      </c>
      <c r="AK3251">
        <v>19.891301707055199</v>
      </c>
      <c r="AL3251">
        <v>78.474829123004795</v>
      </c>
      <c r="AM3251">
        <v>90.793958352269797</v>
      </c>
      <c r="AN3251">
        <v>0.99999994758799404</v>
      </c>
    </row>
    <row r="3252" spans="1:40" x14ac:dyDescent="0.25">
      <c r="A3252" t="str">
        <f>"20190303162320623"</f>
        <v>20190303162320623</v>
      </c>
      <c r="B3252" t="str">
        <f>"1551601400617780"</f>
        <v>1551601400617780</v>
      </c>
      <c r="C3252" t="s">
        <v>40</v>
      </c>
      <c r="D3252">
        <v>5.4995320000000003</v>
      </c>
      <c r="E3252">
        <v>0.48177300000000001</v>
      </c>
      <c r="F3252" t="s">
        <v>47</v>
      </c>
      <c r="G3252">
        <v>-358.03710000000001</v>
      </c>
      <c r="H3252" s="1">
        <v>2.6805660000000001E-6</v>
      </c>
      <c r="I3252">
        <v>215.9794</v>
      </c>
      <c r="J3252">
        <v>-379.23200000000003</v>
      </c>
      <c r="K3252">
        <v>1.120887</v>
      </c>
      <c r="L3252">
        <v>214.76</v>
      </c>
      <c r="M3252">
        <v>0.99992440000000005</v>
      </c>
      <c r="N3252">
        <v>-1.225271E-2</v>
      </c>
      <c r="O3252">
        <v>-1.081748E-3</v>
      </c>
      <c r="P3252">
        <v>0.98198099999999999</v>
      </c>
      <c r="Q3252">
        <v>0.18862100000000001</v>
      </c>
      <c r="R3252">
        <v>1.164572E-2</v>
      </c>
      <c r="S3252">
        <v>3.0830380000000002</v>
      </c>
      <c r="T3252">
        <v>-0.16059519999999999</v>
      </c>
      <c r="U3252">
        <v>0.17468259999999999</v>
      </c>
      <c r="V3252">
        <v>-1.2736539999999999E-2</v>
      </c>
      <c r="W3252">
        <v>0.2006365</v>
      </c>
      <c r="X3252">
        <v>0.97958299999999998</v>
      </c>
      <c r="Y3252">
        <v>-5.7551579999999998E-2</v>
      </c>
      <c r="Z3252">
        <v>1.892915E-3</v>
      </c>
      <c r="AA3252">
        <v>0.99834069999999997</v>
      </c>
      <c r="AB3252">
        <v>30</v>
      </c>
      <c r="AC3252">
        <v>21.194899999999901</v>
      </c>
      <c r="AD3252">
        <v>-1.1208843194339999</v>
      </c>
      <c r="AE3252">
        <v>1.2194</v>
      </c>
      <c r="AF3252">
        <v>-1.23887511263463</v>
      </c>
      <c r="AG3252">
        <v>-1.1208843194339999</v>
      </c>
      <c r="AH3252">
        <v>21.134654369071299</v>
      </c>
      <c r="AI3252">
        <v>93.030666275683004</v>
      </c>
      <c r="AJ3252">
        <v>93.354735813482506</v>
      </c>
      <c r="AK3252">
        <v>21.200585098113802</v>
      </c>
      <c r="AL3252">
        <v>78.425818180781306</v>
      </c>
      <c r="AM3252">
        <v>90.744917857760797</v>
      </c>
      <c r="AN3252">
        <v>1.0000000392362101</v>
      </c>
    </row>
    <row r="3253" spans="1:40" x14ac:dyDescent="0.25">
      <c r="A3253" t="str">
        <f>"20190303162320647"</f>
        <v>20190303162320647</v>
      </c>
      <c r="B3253" t="str">
        <f>"1551601400638277"</f>
        <v>1551601400638277</v>
      </c>
      <c r="C3253" t="s">
        <v>40</v>
      </c>
      <c r="D3253">
        <v>5.4401489999999999</v>
      </c>
      <c r="E3253">
        <v>0.4816802</v>
      </c>
      <c r="F3253" t="s">
        <v>47</v>
      </c>
      <c r="G3253">
        <v>-356.64519999999999</v>
      </c>
      <c r="H3253" s="1">
        <v>1.9373780000000001E-6</v>
      </c>
      <c r="I3253">
        <v>216.03639999999999</v>
      </c>
      <c r="J3253">
        <v>-378.92180000000002</v>
      </c>
      <c r="K3253">
        <v>1.120889</v>
      </c>
      <c r="L3253">
        <v>214.75970000000001</v>
      </c>
      <c r="M3253">
        <v>0.99992440000000005</v>
      </c>
      <c r="N3253">
        <v>-1.225656E-2</v>
      </c>
      <c r="O3253">
        <v>-9.8766790000000011E-4</v>
      </c>
      <c r="P3253">
        <v>0.98193039999999998</v>
      </c>
      <c r="Q3253">
        <v>0.1889236</v>
      </c>
      <c r="R3253">
        <v>1.098507E-2</v>
      </c>
      <c r="S3253">
        <v>3.0823670000000001</v>
      </c>
      <c r="T3253">
        <v>-0.1529645</v>
      </c>
      <c r="U3253">
        <v>0.1741943</v>
      </c>
      <c r="V3253">
        <v>-1.1984669999999999E-2</v>
      </c>
      <c r="W3253">
        <v>0.2009425</v>
      </c>
      <c r="X3253">
        <v>0.97952969999999895</v>
      </c>
      <c r="Y3253">
        <v>-5.7320839999999998E-2</v>
      </c>
      <c r="Z3253">
        <v>1.8089810000000001E-3</v>
      </c>
      <c r="AA3253">
        <v>0.99835419999999997</v>
      </c>
      <c r="AB3253">
        <v>30</v>
      </c>
      <c r="AC3253">
        <v>22.276599999999998</v>
      </c>
      <c r="AD3253">
        <v>-1.120887062622</v>
      </c>
      <c r="AE3253">
        <v>1.27669999999997</v>
      </c>
      <c r="AF3253">
        <v>-1.2954338968850001</v>
      </c>
      <c r="AG3253">
        <v>-1.120887062622</v>
      </c>
      <c r="AH3253">
        <v>22.219257984964401</v>
      </c>
      <c r="AI3253">
        <v>92.883044297395898</v>
      </c>
      <c r="AJ3253">
        <v>93.336698625244097</v>
      </c>
      <c r="AK3253">
        <v>22.2851960321366</v>
      </c>
      <c r="AL3253">
        <v>78.407920457497099</v>
      </c>
      <c r="AM3253">
        <v>90.700986145120595</v>
      </c>
      <c r="AN3253">
        <v>0.99999997690167397</v>
      </c>
    </row>
    <row r="3254" spans="1:40" x14ac:dyDescent="0.25">
      <c r="A3254" t="str">
        <f>"20190303162320667"</f>
        <v>20190303162320667</v>
      </c>
      <c r="B3254" t="str">
        <f>"1551601400657797"</f>
        <v>1551601400657797</v>
      </c>
      <c r="C3254" t="s">
        <v>40</v>
      </c>
      <c r="D3254">
        <v>5.38279</v>
      </c>
      <c r="E3254">
        <v>0.48159819999999998</v>
      </c>
      <c r="F3254" t="s">
        <v>47</v>
      </c>
      <c r="G3254">
        <v>-355.7199</v>
      </c>
      <c r="H3254" s="1">
        <v>1.4437949999999999E-6</v>
      </c>
      <c r="I3254">
        <v>216.06319999999999</v>
      </c>
      <c r="J3254">
        <v>-378.62670000000003</v>
      </c>
      <c r="K3254">
        <v>1.120897</v>
      </c>
      <c r="L3254">
        <v>214.7595</v>
      </c>
      <c r="M3254">
        <v>0.99992449999999999</v>
      </c>
      <c r="N3254">
        <v>-1.2261380000000001E-2</v>
      </c>
      <c r="O3254">
        <v>-8.9861360000000003E-4</v>
      </c>
      <c r="P3254">
        <v>0.98190259999999996</v>
      </c>
      <c r="Q3254">
        <v>0.1890799</v>
      </c>
      <c r="R3254">
        <v>1.077992E-2</v>
      </c>
      <c r="S3254">
        <v>3.081909</v>
      </c>
      <c r="T3254">
        <v>-0.148887299999999</v>
      </c>
      <c r="U3254">
        <v>0.1731415</v>
      </c>
      <c r="V3254">
        <v>-1.169329E-2</v>
      </c>
      <c r="W3254">
        <v>0.20110320000000001</v>
      </c>
      <c r="X3254">
        <v>0.97950029999999999</v>
      </c>
      <c r="Y3254">
        <v>-5.690514E-2</v>
      </c>
      <c r="Z3254">
        <v>1.754423E-3</v>
      </c>
      <c r="AA3254">
        <v>0.99837799999999999</v>
      </c>
      <c r="AB3254">
        <v>30</v>
      </c>
      <c r="AC3254">
        <v>22.9068</v>
      </c>
      <c r="AD3254">
        <v>-1.120895556205</v>
      </c>
      <c r="AE3254">
        <v>1.3036999999999901</v>
      </c>
      <c r="AF3254">
        <v>-1.3211322412848501</v>
      </c>
      <c r="AG3254">
        <v>-1.120895556205</v>
      </c>
      <c r="AH3254">
        <v>22.851080571255501</v>
      </c>
      <c r="AI3254">
        <v>92.803558486336101</v>
      </c>
      <c r="AJ3254">
        <v>93.308864604277304</v>
      </c>
      <c r="AK3254">
        <v>22.916668181061901</v>
      </c>
      <c r="AL3254">
        <v>78.398521823636003</v>
      </c>
      <c r="AM3254">
        <v>90.683965426915805</v>
      </c>
      <c r="AN3254">
        <v>1.00000003389067</v>
      </c>
    </row>
    <row r="3255" spans="1:40" x14ac:dyDescent="0.25">
      <c r="A3255" t="str">
        <f>"20190303162320689"</f>
        <v>20190303162320689</v>
      </c>
      <c r="B3255" t="str">
        <f>"1551601400678292"</f>
        <v>1551601400678292</v>
      </c>
      <c r="C3255" t="s">
        <v>40</v>
      </c>
      <c r="D3255">
        <v>5.3838460000000001</v>
      </c>
      <c r="E3255">
        <v>0.48150660000000001</v>
      </c>
      <c r="F3255" t="s">
        <v>47</v>
      </c>
      <c r="G3255">
        <v>-354.7944</v>
      </c>
      <c r="H3255" s="1">
        <v>9.4960200000000004E-7</v>
      </c>
      <c r="I3255">
        <v>216.102</v>
      </c>
      <c r="J3255">
        <v>-378.34160000000003</v>
      </c>
      <c r="K3255">
        <v>1.1209039999999999</v>
      </c>
      <c r="L3255">
        <v>214.7594</v>
      </c>
      <c r="M3255">
        <v>0.99992449999999999</v>
      </c>
      <c r="N3255">
        <v>-1.2266229999999999E-2</v>
      </c>
      <c r="O3255">
        <v>-8.1221199999999998E-4</v>
      </c>
      <c r="P3255">
        <v>0.98180919999999905</v>
      </c>
      <c r="Q3255">
        <v>0.1895501</v>
      </c>
      <c r="R3255">
        <v>1.102011E-2</v>
      </c>
      <c r="S3255">
        <v>3.0813290000000002</v>
      </c>
      <c r="T3255">
        <v>-0.14492289999999999</v>
      </c>
      <c r="U3255">
        <v>0.17356869999999999</v>
      </c>
      <c r="V3255">
        <v>-1.184904E-2</v>
      </c>
      <c r="W3255">
        <v>0.2015768</v>
      </c>
      <c r="X3255">
        <v>0.97940110000000002</v>
      </c>
      <c r="Y3255">
        <v>-5.6971290000000001E-2</v>
      </c>
      <c r="Z3255">
        <v>1.716097E-3</v>
      </c>
      <c r="AA3255">
        <v>0.99837430000000005</v>
      </c>
      <c r="AB3255">
        <v>30</v>
      </c>
      <c r="AC3255">
        <v>23.5472</v>
      </c>
      <c r="AD3255">
        <v>-1.120903050398</v>
      </c>
      <c r="AE3255">
        <v>1.3426</v>
      </c>
      <c r="AF3255">
        <v>-1.35865758817945</v>
      </c>
      <c r="AG3255">
        <v>-1.120903050398</v>
      </c>
      <c r="AH3255">
        <v>23.493039240160702</v>
      </c>
      <c r="AI3255">
        <v>92.727082624199696</v>
      </c>
      <c r="AJ3255">
        <v>93.309862631440097</v>
      </c>
      <c r="AK3255">
        <v>23.558974231278398</v>
      </c>
      <c r="AL3255">
        <v>78.370819545459497</v>
      </c>
      <c r="AM3255">
        <v>90.693144885366706</v>
      </c>
      <c r="AN3255">
        <v>1.0000000603641801</v>
      </c>
    </row>
    <row r="3256" spans="1:40" x14ac:dyDescent="0.25">
      <c r="A3256" t="str">
        <f>"20190303162320711"</f>
        <v>20190303162320711</v>
      </c>
      <c r="B3256" t="str">
        <f>"1551601400697813"</f>
        <v>1551601400697813</v>
      </c>
      <c r="C3256" t="s">
        <v>40</v>
      </c>
      <c r="D3256">
        <v>5.3267559999999996</v>
      </c>
      <c r="E3256">
        <v>0.4814098</v>
      </c>
      <c r="F3256" t="s">
        <v>47</v>
      </c>
      <c r="G3256">
        <v>-353.80810000000002</v>
      </c>
      <c r="H3256" s="1">
        <v>4.2235560000000001E-7</v>
      </c>
      <c r="I3256">
        <v>216.1574</v>
      </c>
      <c r="J3256">
        <v>-378.03820000000002</v>
      </c>
      <c r="K3256">
        <v>1.1209070000000001</v>
      </c>
      <c r="L3256">
        <v>214.75919999999999</v>
      </c>
      <c r="M3256">
        <v>0.99992460000000005</v>
      </c>
      <c r="N3256">
        <v>-1.227134E-2</v>
      </c>
      <c r="O3256">
        <v>-7.2035299999999997E-4</v>
      </c>
      <c r="P3256">
        <v>0.9817555</v>
      </c>
      <c r="Q3256">
        <v>0.1897934</v>
      </c>
      <c r="R3256">
        <v>1.162206E-2</v>
      </c>
      <c r="S3256">
        <v>3.0807500000000001</v>
      </c>
      <c r="T3256">
        <v>-0.140755399999999</v>
      </c>
      <c r="U3256">
        <v>0.1755524</v>
      </c>
      <c r="V3256">
        <v>-1.236024E-2</v>
      </c>
      <c r="W3256">
        <v>0.2018248</v>
      </c>
      <c r="X3256">
        <v>0.97934370000000004</v>
      </c>
      <c r="Y3256">
        <v>-5.753424E-2</v>
      </c>
      <c r="Z3256">
        <v>1.690167E-3</v>
      </c>
      <c r="AA3256">
        <v>0.99834210000000001</v>
      </c>
      <c r="AB3256">
        <v>30</v>
      </c>
      <c r="AC3256">
        <v>24.2301</v>
      </c>
      <c r="AD3256">
        <v>-1.1209065776443901</v>
      </c>
      <c r="AE3256">
        <v>1.3982000000000001</v>
      </c>
      <c r="AF3256">
        <v>-1.4126420513868001</v>
      </c>
      <c r="AG3256">
        <v>-1.1209065776443901</v>
      </c>
      <c r="AH3256">
        <v>24.177516530036002</v>
      </c>
      <c r="AI3256">
        <v>92.649906262135303</v>
      </c>
      <c r="AJ3256">
        <v>93.343871669860505</v>
      </c>
      <c r="AK3256">
        <v>24.2446755944747</v>
      </c>
      <c r="AL3256">
        <v>78.356311948340803</v>
      </c>
      <c r="AM3256">
        <v>90.723088316477899</v>
      </c>
      <c r="AN3256">
        <v>1.0000000540787899</v>
      </c>
    </row>
    <row r="3257" spans="1:40" x14ac:dyDescent="0.25">
      <c r="A3257" t="str">
        <f>"20190303162320733"</f>
        <v>20190303162320733</v>
      </c>
      <c r="B3257" t="str">
        <f>"1551601400728069"</f>
        <v>1551601400728069</v>
      </c>
      <c r="C3257" t="s">
        <v>40</v>
      </c>
      <c r="D3257">
        <v>5.3842100000000004</v>
      </c>
      <c r="E3257">
        <v>0.4812901</v>
      </c>
      <c r="F3257" t="s">
        <v>47</v>
      </c>
      <c r="G3257">
        <v>-352.89269999999999</v>
      </c>
      <c r="H3257" s="1">
        <v>-6.6996979999999995E-8</v>
      </c>
      <c r="I3257">
        <v>216.2081</v>
      </c>
      <c r="J3257">
        <v>-377.73219999999998</v>
      </c>
      <c r="K3257">
        <v>1.120908</v>
      </c>
      <c r="L3257">
        <v>214.75909999999999</v>
      </c>
      <c r="M3257">
        <v>0.99992449999999999</v>
      </c>
      <c r="N3257">
        <v>-1.2276499999999999E-2</v>
      </c>
      <c r="O3257">
        <v>-6.2730909999999997E-4</v>
      </c>
      <c r="P3257">
        <v>0.9817072</v>
      </c>
      <c r="Q3257">
        <v>0.19001209999999999</v>
      </c>
      <c r="R3257">
        <v>1.210809E-2</v>
      </c>
      <c r="S3257">
        <v>3.0802</v>
      </c>
      <c r="T3257">
        <v>-0.1373057</v>
      </c>
      <c r="U3257">
        <v>0.17747499999999999</v>
      </c>
      <c r="V3257">
        <v>-1.2753779999999999E-2</v>
      </c>
      <c r="W3257">
        <v>0.20204800000000001</v>
      </c>
      <c r="X3257">
        <v>0.97929259999999996</v>
      </c>
      <c r="Y3257">
        <v>-5.8075210000000002E-2</v>
      </c>
      <c r="Z3257">
        <v>1.6699410000000001E-3</v>
      </c>
      <c r="AA3257">
        <v>0.99831080000000005</v>
      </c>
      <c r="AB3257">
        <v>30</v>
      </c>
      <c r="AC3257">
        <v>24.839499999999902</v>
      </c>
      <c r="AD3257">
        <v>-1.12090806699698</v>
      </c>
      <c r="AE3257">
        <v>1.4490000000000101</v>
      </c>
      <c r="AF3257">
        <v>-1.4616166508636901</v>
      </c>
      <c r="AG3257">
        <v>-1.12090806699698</v>
      </c>
      <c r="AH3257">
        <v>24.788279432125002</v>
      </c>
      <c r="AI3257">
        <v>92.5846268907721</v>
      </c>
      <c r="AJ3257">
        <v>93.374482465604601</v>
      </c>
      <c r="AK3257">
        <v>24.856619949901798</v>
      </c>
      <c r="AL3257">
        <v>78.343254184491101</v>
      </c>
      <c r="AM3257">
        <v>90.746147226505499</v>
      </c>
      <c r="AN3257">
        <v>1.0000000248115199</v>
      </c>
    </row>
    <row r="3258" spans="1:40" x14ac:dyDescent="0.25">
      <c r="A3258" t="str">
        <f>"20190303162320757"</f>
        <v>20190303162320757</v>
      </c>
      <c r="B3258" t="str">
        <f>"1551601400747589"</f>
        <v>1551601400747589</v>
      </c>
      <c r="C3258" t="s">
        <v>40</v>
      </c>
      <c r="D3258">
        <v>5.3884439999999998</v>
      </c>
      <c r="E3258">
        <v>0.48117880000000002</v>
      </c>
      <c r="F3258" t="s">
        <v>47</v>
      </c>
      <c r="G3258">
        <v>-351.77659999999997</v>
      </c>
      <c r="H3258" s="1">
        <v>-6.6375030000000003E-7</v>
      </c>
      <c r="I3258">
        <v>216.2722</v>
      </c>
      <c r="J3258">
        <v>-377.416</v>
      </c>
      <c r="K3258">
        <v>1.120911</v>
      </c>
      <c r="L3258">
        <v>214.75899999999999</v>
      </c>
      <c r="M3258">
        <v>0.99992440000000005</v>
      </c>
      <c r="N3258">
        <v>-1.228157E-2</v>
      </c>
      <c r="O3258">
        <v>-5.3210810000000003E-4</v>
      </c>
      <c r="P3258">
        <v>0.98162950000000004</v>
      </c>
      <c r="Q3258">
        <v>0.19039629999999999</v>
      </c>
      <c r="R3258">
        <v>1.2365859999999999E-2</v>
      </c>
      <c r="S3258">
        <v>3.0794679999999999</v>
      </c>
      <c r="T3258">
        <v>-0.13298889999999999</v>
      </c>
      <c r="U3258">
        <v>0.1795197</v>
      </c>
      <c r="V3258">
        <v>-1.291803E-2</v>
      </c>
      <c r="W3258">
        <v>0.20243610000000001</v>
      </c>
      <c r="X3258">
        <v>0.97921029999999998</v>
      </c>
      <c r="Y3258">
        <v>-5.8657819999999999E-2</v>
      </c>
      <c r="Z3258">
        <v>1.6420880000000001E-3</v>
      </c>
      <c r="AA3258">
        <v>0.99827679999999996</v>
      </c>
      <c r="AB3258">
        <v>30</v>
      </c>
      <c r="AC3258">
        <v>25.639399999999998</v>
      </c>
      <c r="AD3258">
        <v>-1.1209116637503</v>
      </c>
      <c r="AE3258">
        <v>1.5131999999999799</v>
      </c>
      <c r="AF3258">
        <v>-1.5239411612937801</v>
      </c>
      <c r="AG3258">
        <v>-1.1209116637503</v>
      </c>
      <c r="AH3258">
        <v>25.589851213203701</v>
      </c>
      <c r="AI3258">
        <v>92.503692326265295</v>
      </c>
      <c r="AJ3258">
        <v>93.408085243012096</v>
      </c>
      <c r="AK3258">
        <v>25.6596828650496</v>
      </c>
      <c r="AL3258">
        <v>78.320548564199001</v>
      </c>
      <c r="AM3258">
        <v>90.755818913928707</v>
      </c>
      <c r="AN3258">
        <v>1.0000000308541801</v>
      </c>
    </row>
    <row r="3259" spans="1:40" x14ac:dyDescent="0.25">
      <c r="A3259" t="str">
        <f>"20190303162320779"</f>
        <v>20190303162320779</v>
      </c>
      <c r="B3259" t="str">
        <f>"1551601400768101"</f>
        <v>1551601400768101</v>
      </c>
      <c r="C3259" t="s">
        <v>40</v>
      </c>
      <c r="D3259">
        <v>5.3897180000000002</v>
      </c>
      <c r="E3259">
        <v>0.48104089999999999</v>
      </c>
      <c r="F3259" t="s">
        <v>47</v>
      </c>
      <c r="G3259">
        <v>-350.69279999999998</v>
      </c>
      <c r="H3259" s="1">
        <v>-1.2433959999999999E-6</v>
      </c>
      <c r="I3259">
        <v>216.339</v>
      </c>
      <c r="J3259">
        <v>-377.1191</v>
      </c>
      <c r="K3259">
        <v>1.1209150000000001</v>
      </c>
      <c r="L3259">
        <v>214.75899999999999</v>
      </c>
      <c r="M3259">
        <v>0.99992449999999999</v>
      </c>
      <c r="N3259">
        <v>-1.228593E-2</v>
      </c>
      <c r="O3259">
        <v>-4.4427890000000003E-4</v>
      </c>
      <c r="P3259">
        <v>0.98158619999999996</v>
      </c>
      <c r="Q3259">
        <v>0.190668</v>
      </c>
      <c r="R3259">
        <v>1.1596479999999999E-2</v>
      </c>
      <c r="S3259">
        <v>3.0789179999999998</v>
      </c>
      <c r="T3259">
        <v>-0.12914629999999999</v>
      </c>
      <c r="U3259">
        <v>0.18203739999999999</v>
      </c>
      <c r="V3259">
        <v>-1.206285E-2</v>
      </c>
      <c r="W3259">
        <v>0.20271159999999999</v>
      </c>
      <c r="X3259">
        <v>0.97916420000000004</v>
      </c>
      <c r="Y3259">
        <v>-5.9396730000000002E-2</v>
      </c>
      <c r="Z3259">
        <v>1.6226459999999999E-3</v>
      </c>
      <c r="AA3259">
        <v>0.99823309999999998</v>
      </c>
      <c r="AB3259">
        <v>30</v>
      </c>
      <c r="AC3259">
        <v>26.426300000000001</v>
      </c>
      <c r="AD3259">
        <v>-1.1209162433959901</v>
      </c>
      <c r="AE3259">
        <v>1.5800000000000101</v>
      </c>
      <c r="AF3259">
        <v>-1.5888928618928699</v>
      </c>
      <c r="AG3259">
        <v>-1.1209162433959901</v>
      </c>
      <c r="AH3259">
        <v>26.378305218140898</v>
      </c>
      <c r="AI3259">
        <v>92.428858487911697</v>
      </c>
      <c r="AJ3259">
        <v>93.447036962835895</v>
      </c>
      <c r="AK3259">
        <v>26.449877503169699</v>
      </c>
      <c r="AL3259">
        <v>78.304429223805599</v>
      </c>
      <c r="AM3259">
        <v>90.705821793273998</v>
      </c>
      <c r="AN3259">
        <v>1.0000000178431601</v>
      </c>
    </row>
    <row r="3260" spans="1:40" x14ac:dyDescent="0.25">
      <c r="A3260" t="str">
        <f>"20190303162320801"</f>
        <v>20190303162320801</v>
      </c>
      <c r="B3260" t="str">
        <f>"1551601400787605"</f>
        <v>1551601400787605</v>
      </c>
      <c r="C3260" t="s">
        <v>40</v>
      </c>
      <c r="D3260">
        <v>5.3290879999999996</v>
      </c>
      <c r="E3260">
        <v>0.48093780000000003</v>
      </c>
      <c r="F3260" t="s">
        <v>47</v>
      </c>
      <c r="G3260">
        <v>-349.78160000000003</v>
      </c>
      <c r="H3260" s="1">
        <v>3.668473E-6</v>
      </c>
      <c r="I3260">
        <v>216.36490000000001</v>
      </c>
      <c r="J3260">
        <v>-376.81279999999998</v>
      </c>
      <c r="K3260">
        <v>1.120914</v>
      </c>
      <c r="L3260">
        <v>214.75899999999999</v>
      </c>
      <c r="M3260">
        <v>0.99992440000000005</v>
      </c>
      <c r="N3260">
        <v>-1.2289990000000001E-2</v>
      </c>
      <c r="O3260">
        <v>-3.5382300000000002E-4</v>
      </c>
      <c r="P3260">
        <v>0.98157510000000003</v>
      </c>
      <c r="Q3260">
        <v>0.19077</v>
      </c>
      <c r="R3260">
        <v>1.083921E-2</v>
      </c>
      <c r="S3260">
        <v>3.0786440000000002</v>
      </c>
      <c r="T3260">
        <v>-0.1262325</v>
      </c>
      <c r="U3260">
        <v>0.18084720000000001</v>
      </c>
      <c r="V3260">
        <v>-1.121657E-2</v>
      </c>
      <c r="W3260">
        <v>0.2028171</v>
      </c>
      <c r="X3260">
        <v>0.97915240000000003</v>
      </c>
      <c r="Y3260">
        <v>-5.8930290000000003E-2</v>
      </c>
      <c r="Z3260">
        <v>1.579397E-3</v>
      </c>
      <c r="AA3260">
        <v>0.99826090000000001</v>
      </c>
      <c r="AB3260">
        <v>30</v>
      </c>
      <c r="AC3260">
        <v>27.031199999999899</v>
      </c>
      <c r="AD3260">
        <v>-1.1209103315269999</v>
      </c>
      <c r="AE3260">
        <v>1.6058999999999899</v>
      </c>
      <c r="AF3260">
        <v>-1.6127015381213099</v>
      </c>
      <c r="AG3260">
        <v>-1.1209103315269999</v>
      </c>
      <c r="AH3260">
        <v>26.984392637505</v>
      </c>
      <c r="AI3260">
        <v>92.374422079181699</v>
      </c>
      <c r="AJ3260">
        <v>93.4201701943188</v>
      </c>
      <c r="AK3260">
        <v>27.055770035935399</v>
      </c>
      <c r="AL3260">
        <v>78.298256139457905</v>
      </c>
      <c r="AM3260">
        <v>90.656316639290594</v>
      </c>
      <c r="AN3260">
        <v>1.0000000049603599</v>
      </c>
    </row>
    <row r="3261" spans="1:40" x14ac:dyDescent="0.25">
      <c r="A3261" t="str">
        <f>"20190303162320825"</f>
        <v>20190303162320825</v>
      </c>
      <c r="B3261" t="str">
        <f>"1551601400817860"</f>
        <v>1551601400817860</v>
      </c>
      <c r="C3261" t="s">
        <v>40</v>
      </c>
      <c r="D3261">
        <v>5.3270900000000001</v>
      </c>
      <c r="E3261">
        <v>0.48082219999999998</v>
      </c>
      <c r="F3261" t="s">
        <v>47</v>
      </c>
      <c r="G3261">
        <v>-349.0018</v>
      </c>
      <c r="H3261" s="1">
        <v>3.2535389999999999E-6</v>
      </c>
      <c r="I3261">
        <v>216.37729999999999</v>
      </c>
      <c r="J3261">
        <v>-376.49669999999998</v>
      </c>
      <c r="K3261">
        <v>1.120914</v>
      </c>
      <c r="L3261">
        <v>214.75899999999999</v>
      </c>
      <c r="M3261">
        <v>0.99992440000000005</v>
      </c>
      <c r="N3261">
        <v>-1.229367E-2</v>
      </c>
      <c r="O3261">
        <v>-2.6074319999999998E-4</v>
      </c>
      <c r="P3261">
        <v>0.98162579999999999</v>
      </c>
      <c r="Q3261">
        <v>0.19054599999999999</v>
      </c>
      <c r="R3261">
        <v>1.015805E-2</v>
      </c>
      <c r="S3261">
        <v>3.0784609999999999</v>
      </c>
      <c r="T3261">
        <v>-0.1240762</v>
      </c>
      <c r="U3261">
        <v>0.1791382</v>
      </c>
      <c r="V3261">
        <v>-1.0443869999999999E-2</v>
      </c>
      <c r="W3261">
        <v>0.20259759999999999</v>
      </c>
      <c r="X3261">
        <v>0.97920640000000003</v>
      </c>
      <c r="Y3261">
        <v>-5.8291170000000003E-2</v>
      </c>
      <c r="Z3261">
        <v>1.5393399999999999E-3</v>
      </c>
      <c r="AA3261">
        <v>0.99829849999999998</v>
      </c>
      <c r="AB3261">
        <v>30</v>
      </c>
      <c r="AC3261">
        <v>27.494899999999902</v>
      </c>
      <c r="AD3261">
        <v>-1.120910746461</v>
      </c>
      <c r="AE3261">
        <v>1.6182999999999701</v>
      </c>
      <c r="AF3261">
        <v>-1.6227818009413799</v>
      </c>
      <c r="AG3261">
        <v>-1.120910746461</v>
      </c>
      <c r="AH3261">
        <v>27.449013600652499</v>
      </c>
      <c r="AI3261">
        <v>92.334365672660098</v>
      </c>
      <c r="AJ3261">
        <v>93.383380230787793</v>
      </c>
      <c r="AK3261">
        <v>27.5197785115325</v>
      </c>
      <c r="AL3261">
        <v>78.311099346068403</v>
      </c>
      <c r="AM3261">
        <v>90.611073400038293</v>
      </c>
      <c r="AN3261">
        <v>1.0000000178736399</v>
      </c>
    </row>
    <row r="3262" spans="1:40" x14ac:dyDescent="0.25">
      <c r="A3262" t="str">
        <f>"20190303162320847"</f>
        <v>20190303162320847</v>
      </c>
      <c r="B3262" t="str">
        <f>"1551601400838358"</f>
        <v>1551601400838358</v>
      </c>
      <c r="C3262" t="s">
        <v>40</v>
      </c>
      <c r="D3262">
        <v>5.3246969999999996</v>
      </c>
      <c r="E3262">
        <v>0.48073250000000001</v>
      </c>
      <c r="F3262" t="s">
        <v>47</v>
      </c>
      <c r="G3262">
        <v>-348.31599999999997</v>
      </c>
      <c r="H3262" s="1">
        <v>2.8885890000000001E-6</v>
      </c>
      <c r="I3262">
        <v>216.3905</v>
      </c>
      <c r="J3262">
        <v>-376.19409999999999</v>
      </c>
      <c r="K3262">
        <v>1.120906</v>
      </c>
      <c r="L3262">
        <v>214.75899999999999</v>
      </c>
      <c r="M3262">
        <v>0.99992440000000005</v>
      </c>
      <c r="N3262">
        <v>-1.229681E-2</v>
      </c>
      <c r="O3262">
        <v>-1.71239E-4</v>
      </c>
      <c r="P3262">
        <v>0.98164649999999998</v>
      </c>
      <c r="Q3262">
        <v>0.1904603</v>
      </c>
      <c r="R3262">
        <v>9.7560189999999995E-3</v>
      </c>
      <c r="S3262">
        <v>3.078033</v>
      </c>
      <c r="T3262">
        <v>-0.1224316</v>
      </c>
      <c r="U3262">
        <v>0.17820739999999999</v>
      </c>
      <c r="V3262">
        <v>-9.9547070000000001E-3</v>
      </c>
      <c r="W3262">
        <v>0.2025159</v>
      </c>
      <c r="X3262">
        <v>0.9792284</v>
      </c>
      <c r="Y3262">
        <v>-5.7910820000000002E-2</v>
      </c>
      <c r="Z3262">
        <v>1.5115650000000001E-3</v>
      </c>
      <c r="AA3262">
        <v>0.9983206</v>
      </c>
      <c r="AB3262">
        <v>30</v>
      </c>
      <c r="AC3262">
        <v>27.8781</v>
      </c>
      <c r="AD3262">
        <v>-1.120903111411</v>
      </c>
      <c r="AE3262">
        <v>1.63149999999998</v>
      </c>
      <c r="AF3262">
        <v>-1.6336421792284399</v>
      </c>
      <c r="AG3262">
        <v>-1.120903111411</v>
      </c>
      <c r="AH3262">
        <v>27.832978231015701</v>
      </c>
      <c r="AI3262">
        <v>92.302239023889399</v>
      </c>
      <c r="AJ3262">
        <v>93.359092107553906</v>
      </c>
      <c r="AK3262">
        <v>27.903402798997799</v>
      </c>
      <c r="AL3262">
        <v>78.315879557930401</v>
      </c>
      <c r="AM3262">
        <v>90.582441288044905</v>
      </c>
      <c r="AN3262">
        <v>1.00000002265541</v>
      </c>
    </row>
    <row r="3263" spans="1:40" x14ac:dyDescent="0.25">
      <c r="A3263" t="str">
        <f>"20190303162320869"</f>
        <v>20190303162320869</v>
      </c>
      <c r="B3263" t="str">
        <f>"1551601400857877"</f>
        <v>1551601400857877</v>
      </c>
      <c r="C3263" t="s">
        <v>40</v>
      </c>
      <c r="D3263">
        <v>5.416582</v>
      </c>
      <c r="E3263">
        <v>0.4807013</v>
      </c>
      <c r="F3263" t="s">
        <v>47</v>
      </c>
      <c r="G3263">
        <v>-347.74759999999998</v>
      </c>
      <c r="H3263" s="1">
        <v>2.5861070000000001E-6</v>
      </c>
      <c r="I3263">
        <v>216.40520000000001</v>
      </c>
      <c r="J3263">
        <v>-375.90109999999999</v>
      </c>
      <c r="K3263">
        <v>1.120903</v>
      </c>
      <c r="L3263">
        <v>214.75899999999999</v>
      </c>
      <c r="M3263">
        <v>0.99992449999999999</v>
      </c>
      <c r="N3263">
        <v>-1.229947E-2</v>
      </c>
      <c r="O3263" s="1">
        <v>-8.3881619999999995E-5</v>
      </c>
      <c r="P3263">
        <v>0.98174159999999999</v>
      </c>
      <c r="Q3263">
        <v>0.1899923</v>
      </c>
      <c r="R3263">
        <v>9.2976910000000003E-3</v>
      </c>
      <c r="S3263">
        <v>3.0778500000000002</v>
      </c>
      <c r="T3263">
        <v>-0.1212795</v>
      </c>
      <c r="U3263">
        <v>0.17811579999999999</v>
      </c>
      <c r="V3263">
        <v>-9.4097820000000002E-3</v>
      </c>
      <c r="W3263">
        <v>0.2020517</v>
      </c>
      <c r="X3263">
        <v>0.97932960000000002</v>
      </c>
      <c r="Y3263">
        <v>-5.7798559999999999E-2</v>
      </c>
      <c r="Z3263">
        <v>1.495562E-3</v>
      </c>
      <c r="AA3263">
        <v>0.99832710000000002</v>
      </c>
      <c r="AB3263">
        <v>30</v>
      </c>
      <c r="AC3263">
        <v>28.153500000000001</v>
      </c>
      <c r="AD3263">
        <v>-1.1209004138930001</v>
      </c>
      <c r="AE3263">
        <v>1.6461999999999899</v>
      </c>
      <c r="AF3263">
        <v>-1.6459615344456999</v>
      </c>
      <c r="AG3263">
        <v>-1.1209004138930001</v>
      </c>
      <c r="AH3263">
        <v>28.108956824870301</v>
      </c>
      <c r="AI3263">
        <v>92.279672089623006</v>
      </c>
      <c r="AJ3263">
        <v>93.351212313823396</v>
      </c>
      <c r="AK3263">
        <v>28.179408455344898</v>
      </c>
      <c r="AL3263">
        <v>78.343036834927304</v>
      </c>
      <c r="AM3263">
        <v>90.550503328282005</v>
      </c>
      <c r="AN3263">
        <v>0.99999994945316695</v>
      </c>
    </row>
    <row r="3264" spans="1:40" x14ac:dyDescent="0.25">
      <c r="A3264" t="str">
        <f>"20190303162320913"</f>
        <v>20190303162320913</v>
      </c>
      <c r="B3264" t="str">
        <f>"1551601400907653"</f>
        <v>1551601400907653</v>
      </c>
      <c r="C3264" t="s">
        <v>40</v>
      </c>
      <c r="D3264">
        <v>5.2052389999999997</v>
      </c>
      <c r="E3264">
        <v>0.51129380000000002</v>
      </c>
      <c r="F3264" t="s">
        <v>47</v>
      </c>
      <c r="G3264">
        <v>-347.63709999999998</v>
      </c>
      <c r="H3264" s="1">
        <v>2.5272929999999999E-6</v>
      </c>
      <c r="I3264">
        <v>216.37960000000001</v>
      </c>
      <c r="J3264">
        <v>-375.30579999999998</v>
      </c>
      <c r="K3264">
        <v>1.120886</v>
      </c>
      <c r="L3264">
        <v>214.75919999999999</v>
      </c>
      <c r="M3264">
        <v>0.99992440000000005</v>
      </c>
      <c r="N3264">
        <v>-1.230381E-2</v>
      </c>
      <c r="O3264" s="1">
        <v>9.3049490000000003E-5</v>
      </c>
      <c r="P3264">
        <v>0.98193940000000002</v>
      </c>
      <c r="Q3264">
        <v>0.18901999999999999</v>
      </c>
      <c r="R3264">
        <v>8.1566239999999995E-3</v>
      </c>
      <c r="S3264">
        <v>3.077728</v>
      </c>
      <c r="T3264">
        <v>-0.122057399999999</v>
      </c>
      <c r="U3264">
        <v>0.17646789999999901</v>
      </c>
      <c r="V3264">
        <v>-8.0949950000000007E-3</v>
      </c>
      <c r="W3264">
        <v>0.2010864</v>
      </c>
      <c r="X3264">
        <v>0.97954010000000002</v>
      </c>
      <c r="Y3264">
        <v>-5.7091530000000001E-2</v>
      </c>
      <c r="Z3264">
        <v>1.479866E-3</v>
      </c>
      <c r="AA3264">
        <v>0.99836780000000003</v>
      </c>
      <c r="AB3264">
        <v>30</v>
      </c>
      <c r="AC3264">
        <v>27.668700000000001</v>
      </c>
      <c r="AD3264">
        <v>-1.1208834727069901</v>
      </c>
      <c r="AE3264">
        <v>1.6204000000000101</v>
      </c>
      <c r="AF3264">
        <v>-1.61518357139052</v>
      </c>
      <c r="AG3264">
        <v>-1.1208834727069901</v>
      </c>
      <c r="AH3264">
        <v>27.623671541945001</v>
      </c>
      <c r="AI3264">
        <v>92.319653917790703</v>
      </c>
      <c r="AJ3264">
        <v>93.346331187427793</v>
      </c>
      <c r="AK3264">
        <v>27.6935448649309</v>
      </c>
      <c r="AL3264">
        <v>78.399504518883504</v>
      </c>
      <c r="AM3264">
        <v>90.473485966019595</v>
      </c>
      <c r="AN3264">
        <v>1.0000000383584999</v>
      </c>
    </row>
    <row r="3265" spans="1:40" x14ac:dyDescent="0.25">
      <c r="A3265" t="str">
        <f>"20190303162320935"</f>
        <v>20190303162320935</v>
      </c>
      <c r="B3265" t="str">
        <f>"1551601400928149"</f>
        <v>1551601400928149</v>
      </c>
      <c r="C3265" t="s">
        <v>40</v>
      </c>
      <c r="D3265">
        <v>5.1823240000000004</v>
      </c>
      <c r="E3265">
        <v>0.51428309999999999</v>
      </c>
      <c r="F3265" t="s">
        <v>47</v>
      </c>
      <c r="G3265">
        <v>-337.72199999999998</v>
      </c>
      <c r="H3265" s="1">
        <v>2.6041199999999999E-6</v>
      </c>
      <c r="I3265">
        <v>213.89230000000001</v>
      </c>
      <c r="J3265">
        <v>-374.98750000000001</v>
      </c>
      <c r="K3265">
        <v>1.120886</v>
      </c>
      <c r="L3265">
        <v>214.7593</v>
      </c>
      <c r="M3265">
        <v>0.99992440000000005</v>
      </c>
      <c r="N3265">
        <v>-1.2305669999999999E-2</v>
      </c>
      <c r="O3265">
        <v>1.8762649999999999E-4</v>
      </c>
      <c r="P3265">
        <v>0.98192369999999995</v>
      </c>
      <c r="Q3265">
        <v>0.18911040000000001</v>
      </c>
      <c r="R3265">
        <v>7.9602579999999996E-3</v>
      </c>
      <c r="S3265">
        <v>3.0733640000000002</v>
      </c>
      <c r="T3265">
        <v>-9.1658589999999998E-2</v>
      </c>
      <c r="U3265">
        <v>-7.0892330000000003E-2</v>
      </c>
      <c r="V3265">
        <v>-7.8057200000000004E-3</v>
      </c>
      <c r="W3265">
        <v>0.2011783</v>
      </c>
      <c r="X3265">
        <v>0.97952349999999999</v>
      </c>
      <c r="Y3265">
        <v>2.3233529999999999E-2</v>
      </c>
      <c r="Z3265">
        <v>-4.9263669999999999E-4</v>
      </c>
      <c r="AA3265">
        <v>0.99972989999999995</v>
      </c>
      <c r="AB3265">
        <v>30</v>
      </c>
      <c r="AC3265">
        <v>37.265500000000003</v>
      </c>
      <c r="AD3265">
        <v>-1.12088339588</v>
      </c>
      <c r="AE3265">
        <v>-0.86699999999999</v>
      </c>
      <c r="AF3265">
        <v>0.87320294493525097</v>
      </c>
      <c r="AG3265">
        <v>-1.12088339588</v>
      </c>
      <c r="AH3265">
        <v>37.231671204797202</v>
      </c>
      <c r="AI3265">
        <v>91.723931652654201</v>
      </c>
      <c r="AJ3265">
        <v>88.6564752107804</v>
      </c>
      <c r="AK3265">
        <v>37.2587735127222</v>
      </c>
      <c r="AL3265">
        <v>78.394128292713901</v>
      </c>
      <c r="AM3265">
        <v>90.456574390977906</v>
      </c>
      <c r="AN3265">
        <v>0.99999996235392796</v>
      </c>
    </row>
    <row r="3266" spans="1:40" x14ac:dyDescent="0.25">
      <c r="A3266" t="str">
        <f>"20190303162320957"</f>
        <v>20190303162320957</v>
      </c>
      <c r="B3266" t="str">
        <f>"1551601400947669"</f>
        <v>1551601400947669</v>
      </c>
      <c r="C3266" t="s">
        <v>40</v>
      </c>
      <c r="D3266">
        <v>5.2416340000000003</v>
      </c>
      <c r="E3266">
        <v>0.51525279999999996</v>
      </c>
      <c r="F3266" t="s">
        <v>47</v>
      </c>
      <c r="G3266">
        <v>-343.92860000000002</v>
      </c>
      <c r="H3266" s="1">
        <v>5.5382680000000002E-7</v>
      </c>
      <c r="I3266">
        <v>213.7961</v>
      </c>
      <c r="J3266">
        <v>-374.69560000000001</v>
      </c>
      <c r="K3266">
        <v>1.120889</v>
      </c>
      <c r="L3266">
        <v>214.7595</v>
      </c>
      <c r="M3266">
        <v>0.99992420000000004</v>
      </c>
      <c r="N3266">
        <v>-1.230711E-2</v>
      </c>
      <c r="O3266">
        <v>2.7410089999999998E-4</v>
      </c>
      <c r="P3266">
        <v>0.98189070000000001</v>
      </c>
      <c r="Q3266">
        <v>0.18926480000000001</v>
      </c>
      <c r="R3266">
        <v>8.3469519999999995E-3</v>
      </c>
      <c r="S3266">
        <v>3.077423</v>
      </c>
      <c r="T3266">
        <v>-0.11106149999999999</v>
      </c>
      <c r="U3266">
        <v>-9.5443730000000004E-2</v>
      </c>
      <c r="V3266">
        <v>-8.1076540000000006E-3</v>
      </c>
      <c r="W3266">
        <v>0.20133390000000001</v>
      </c>
      <c r="X3266">
        <v>0.9794891</v>
      </c>
      <c r="Y3266">
        <v>3.1245909999999998E-2</v>
      </c>
      <c r="Z3266">
        <v>-7.6242509999999999E-4</v>
      </c>
      <c r="AA3266">
        <v>0.99951140000000005</v>
      </c>
      <c r="AB3266">
        <v>30</v>
      </c>
      <c r="AC3266">
        <v>30.766999999999999</v>
      </c>
      <c r="AD3266">
        <v>-1.1208884461732</v>
      </c>
      <c r="AE3266">
        <v>-0.96340000000000703</v>
      </c>
      <c r="AF3266">
        <v>0.97054696331864998</v>
      </c>
      <c r="AG3266">
        <v>-1.1208884461732</v>
      </c>
      <c r="AH3266">
        <v>30.725993462665201</v>
      </c>
      <c r="AI3266">
        <v>92.088190859940397</v>
      </c>
      <c r="AJ3266">
        <v>88.190790426538896</v>
      </c>
      <c r="AK3266">
        <v>30.761746156297999</v>
      </c>
      <c r="AL3266">
        <v>78.385027109971602</v>
      </c>
      <c r="AM3266">
        <v>90.474251063194799</v>
      </c>
      <c r="AN3266">
        <v>0.99999998518070099</v>
      </c>
    </row>
    <row r="3267" spans="1:40" x14ac:dyDescent="0.25">
      <c r="A3267" t="str">
        <f>"20190303162320979"</f>
        <v>20190303162320979</v>
      </c>
      <c r="B3267" t="str">
        <f>"1551601400968165"</f>
        <v>1551601400968165</v>
      </c>
      <c r="C3267" t="s">
        <v>40</v>
      </c>
      <c r="D3267">
        <v>5.2583669999999998</v>
      </c>
      <c r="E3267">
        <v>0.51593049999999996</v>
      </c>
      <c r="F3267" t="s">
        <v>47</v>
      </c>
      <c r="G3267">
        <v>-346.82299999999998</v>
      </c>
      <c r="H3267" s="1">
        <v>2.0940589999999999E-6</v>
      </c>
      <c r="I3267">
        <v>213.83580000000001</v>
      </c>
      <c r="J3267">
        <v>-374.39690000000002</v>
      </c>
      <c r="K3267">
        <v>1.1208940000000001</v>
      </c>
      <c r="L3267">
        <v>214.75970000000001</v>
      </c>
      <c r="M3267">
        <v>0.99992420000000004</v>
      </c>
      <c r="N3267">
        <v>-1.2308349999999999E-2</v>
      </c>
      <c r="O3267">
        <v>3.6254320000000002E-4</v>
      </c>
      <c r="P3267">
        <v>0.98183690000000001</v>
      </c>
      <c r="Q3267">
        <v>0.18954950000000001</v>
      </c>
      <c r="R3267">
        <v>8.2349209999999992E-3</v>
      </c>
      <c r="S3267">
        <v>3.0800480000000001</v>
      </c>
      <c r="T3267">
        <v>-0.1238631</v>
      </c>
      <c r="U3267">
        <v>-0.102066</v>
      </c>
      <c r="V3267">
        <v>-7.9086820000000002E-3</v>
      </c>
      <c r="W3267">
        <v>0.20161879999999999</v>
      </c>
      <c r="X3267">
        <v>0.97943219999999998</v>
      </c>
      <c r="Y3267">
        <v>3.3446570000000002E-2</v>
      </c>
      <c r="Z3267">
        <v>-8.8818419999999896E-4</v>
      </c>
      <c r="AA3267">
        <v>0.99944010000000005</v>
      </c>
      <c r="AB3267">
        <v>30</v>
      </c>
      <c r="AC3267">
        <v>27.573899999999899</v>
      </c>
      <c r="AD3267">
        <v>-1.1208919059410001</v>
      </c>
      <c r="AE3267">
        <v>-0.92390000000000305</v>
      </c>
      <c r="AF3267">
        <v>0.93235846862142602</v>
      </c>
      <c r="AG3267">
        <v>-1.1208919059410001</v>
      </c>
      <c r="AH3267">
        <v>27.5281250828121</v>
      </c>
      <c r="AI3267">
        <v>92.330350312443201</v>
      </c>
      <c r="AJ3267">
        <v>88.060173277499601</v>
      </c>
      <c r="AK3267">
        <v>27.566707484822398</v>
      </c>
      <c r="AL3267">
        <v>78.368362687906398</v>
      </c>
      <c r="AM3267">
        <v>90.462639733625807</v>
      </c>
      <c r="AN3267">
        <v>1.0000000610806199</v>
      </c>
    </row>
    <row r="3268" spans="1:40" x14ac:dyDescent="0.25">
      <c r="A3268" t="str">
        <f>"20190303162321003"</f>
        <v>20190303162321003</v>
      </c>
      <c r="B3268" t="str">
        <f>"1551601400998421"</f>
        <v>1551601400998421</v>
      </c>
      <c r="C3268" t="s">
        <v>40</v>
      </c>
      <c r="D3268">
        <v>5.2839530000000003</v>
      </c>
      <c r="E3268">
        <v>0.51555499999999999</v>
      </c>
      <c r="F3268" t="s">
        <v>47</v>
      </c>
      <c r="G3268">
        <v>-347.16950000000003</v>
      </c>
      <c r="H3268" s="1">
        <v>2.2784730000000002E-6</v>
      </c>
      <c r="I3268">
        <v>213.80869999999999</v>
      </c>
      <c r="J3268">
        <v>-374.08179999999999</v>
      </c>
      <c r="K3268">
        <v>1.1208979999999999</v>
      </c>
      <c r="L3268">
        <v>214.75989999999999</v>
      </c>
      <c r="M3268">
        <v>0.99992409999999998</v>
      </c>
      <c r="N3268">
        <v>-1.230942E-2</v>
      </c>
      <c r="O3268">
        <v>4.5557570000000002E-4</v>
      </c>
      <c r="P3268">
        <v>0.98182639999999999</v>
      </c>
      <c r="Q3268">
        <v>0.1896062</v>
      </c>
      <c r="R3268">
        <v>8.1603860000000004E-3</v>
      </c>
      <c r="S3268">
        <v>3.080902</v>
      </c>
      <c r="T3268">
        <v>-0.12683419999999901</v>
      </c>
      <c r="U3268">
        <v>-0.10760500000000001</v>
      </c>
      <c r="V3268">
        <v>-7.7427909999999997E-3</v>
      </c>
      <c r="W3268">
        <v>0.20167679999999999</v>
      </c>
      <c r="X3268">
        <v>0.9794216</v>
      </c>
      <c r="Y3268">
        <v>3.5321480000000002E-2</v>
      </c>
      <c r="Z3268">
        <v>-9.5725010000000002E-4</v>
      </c>
      <c r="AA3268">
        <v>0.99937549999999997</v>
      </c>
      <c r="AB3268">
        <v>30</v>
      </c>
      <c r="AC3268">
        <v>26.912299999999899</v>
      </c>
      <c r="AD3268">
        <v>-1.1208957215269999</v>
      </c>
      <c r="AE3268">
        <v>-0.95120000000000005</v>
      </c>
      <c r="AF3268">
        <v>0.96179505938350096</v>
      </c>
      <c r="AG3268">
        <v>-1.1208957215269999</v>
      </c>
      <c r="AH3268">
        <v>26.865318235244398</v>
      </c>
      <c r="AI3268">
        <v>92.387625591717494</v>
      </c>
      <c r="AJ3268">
        <v>87.949651216091297</v>
      </c>
      <c r="AK3268">
        <v>26.905887475341601</v>
      </c>
      <c r="AL3268">
        <v>78.364970019313503</v>
      </c>
      <c r="AM3268">
        <v>90.452940801529707</v>
      </c>
      <c r="AN3268">
        <v>1.0000000765086301</v>
      </c>
    </row>
    <row r="3269" spans="1:40" x14ac:dyDescent="0.25">
      <c r="A3269" t="str">
        <f>"20190303162321025"</f>
        <v>20190303162321025</v>
      </c>
      <c r="B3269" t="str">
        <f>"1551601401017941"</f>
        <v>1551601401017941</v>
      </c>
      <c r="C3269" t="s">
        <v>40</v>
      </c>
      <c r="D3269">
        <v>5.4154200000000001</v>
      </c>
      <c r="E3269">
        <v>0.51518710000000001</v>
      </c>
      <c r="F3269" t="s">
        <v>47</v>
      </c>
      <c r="G3269">
        <v>-345.44009999999997</v>
      </c>
      <c r="H3269" s="1">
        <v>1.35815499999999E-6</v>
      </c>
      <c r="I3269">
        <v>213.79159999999999</v>
      </c>
      <c r="J3269">
        <v>-373.77499999999998</v>
      </c>
      <c r="K3269">
        <v>1.120892</v>
      </c>
      <c r="L3269">
        <v>214.76009999999999</v>
      </c>
      <c r="M3269">
        <v>0.99992409999999998</v>
      </c>
      <c r="N3269">
        <v>-1.231027E-2</v>
      </c>
      <c r="O3269">
        <v>5.4628670000000002E-4</v>
      </c>
      <c r="P3269">
        <v>0.98175319999999999</v>
      </c>
      <c r="Q3269">
        <v>0.18996669999999999</v>
      </c>
      <c r="R3269">
        <v>8.5656069999999994E-3</v>
      </c>
      <c r="S3269">
        <v>3.0797119999999998</v>
      </c>
      <c r="T3269">
        <v>-0.1205248</v>
      </c>
      <c r="U3269">
        <v>-0.1041107</v>
      </c>
      <c r="V3269">
        <v>-8.0588220000000002E-3</v>
      </c>
      <c r="W3269">
        <v>0.20203679999999999</v>
      </c>
      <c r="X3269">
        <v>0.97934480000000002</v>
      </c>
      <c r="Y3269">
        <v>3.4297370000000001E-2</v>
      </c>
      <c r="Z3269">
        <v>-8.965895E-4</v>
      </c>
      <c r="AA3269">
        <v>0.9994113</v>
      </c>
      <c r="AB3269">
        <v>30</v>
      </c>
      <c r="AC3269">
        <v>28.334900000000001</v>
      </c>
      <c r="AD3269">
        <v>-1.120890641845</v>
      </c>
      <c r="AE3269">
        <v>-0.96850000000000602</v>
      </c>
      <c r="AF3269">
        <v>0.98244438625765995</v>
      </c>
      <c r="AG3269">
        <v>-1.120890641845</v>
      </c>
      <c r="AH3269">
        <v>28.2901474164224</v>
      </c>
      <c r="AI3269">
        <v>92.267577370937403</v>
      </c>
      <c r="AJ3269">
        <v>88.011063568652702</v>
      </c>
      <c r="AK3269">
        <v>28.329384632320799</v>
      </c>
      <c r="AL3269">
        <v>78.343909414975798</v>
      </c>
      <c r="AM3269">
        <v>90.471464255510796</v>
      </c>
      <c r="AN3269">
        <v>1.0000000252266501</v>
      </c>
    </row>
    <row r="3270" spans="1:40" x14ac:dyDescent="0.25">
      <c r="A3270" t="str">
        <f>"20190303162321049"</f>
        <v>20190303162321049</v>
      </c>
      <c r="B3270" t="str">
        <f>"1551601401037461"</f>
        <v>1551601401037461</v>
      </c>
      <c r="C3270" t="s">
        <v>40</v>
      </c>
      <c r="D3270">
        <v>5.323029</v>
      </c>
      <c r="E3270">
        <v>0.51540759999999997</v>
      </c>
      <c r="F3270" t="s">
        <v>47</v>
      </c>
      <c r="G3270">
        <v>-344.30990000000003</v>
      </c>
      <c r="H3270" s="1">
        <v>7.5670929999999995E-7</v>
      </c>
      <c r="I3270">
        <v>213.8066</v>
      </c>
      <c r="J3270">
        <v>-373.4649</v>
      </c>
      <c r="K3270">
        <v>1.120892</v>
      </c>
      <c r="L3270">
        <v>214.7604</v>
      </c>
      <c r="M3270">
        <v>0.99992400000000004</v>
      </c>
      <c r="N3270">
        <v>-1.2310979999999999E-2</v>
      </c>
      <c r="O3270">
        <v>6.3812669999999995E-4</v>
      </c>
      <c r="P3270">
        <v>0.98184229999999995</v>
      </c>
      <c r="Q3270">
        <v>0.1894719</v>
      </c>
      <c r="R3270">
        <v>9.2801480000000002E-3</v>
      </c>
      <c r="S3270">
        <v>3.0793149999999998</v>
      </c>
      <c r="T3270">
        <v>-0.117141</v>
      </c>
      <c r="U3270">
        <v>-9.9655149999999998E-2</v>
      </c>
      <c r="V3270">
        <v>-8.6831489999999994E-3</v>
      </c>
      <c r="W3270">
        <v>0.2015441</v>
      </c>
      <c r="X3270">
        <v>0.97944100000000001</v>
      </c>
      <c r="Y3270">
        <v>3.2951920000000003E-2</v>
      </c>
      <c r="Z3270">
        <v>-8.4577679999999996E-4</v>
      </c>
      <c r="AA3270">
        <v>0.99945660000000003</v>
      </c>
      <c r="AB3270">
        <v>30</v>
      </c>
      <c r="AC3270">
        <v>29.154999999999902</v>
      </c>
      <c r="AD3270">
        <v>-1.1208912432906999</v>
      </c>
      <c r="AE3270">
        <v>-0.95380000000000098</v>
      </c>
      <c r="AF3270">
        <v>0.97097215018776595</v>
      </c>
      <c r="AG3270">
        <v>-1.1208912432906999</v>
      </c>
      <c r="AH3270">
        <v>29.111402104275601</v>
      </c>
      <c r="AI3270">
        <v>92.203775293388702</v>
      </c>
      <c r="AJ3270">
        <v>88.089683555270298</v>
      </c>
      <c r="AK3270">
        <v>29.149149499986201</v>
      </c>
      <c r="AL3270">
        <v>78.372732217398706</v>
      </c>
      <c r="AM3270">
        <v>90.507937443125201</v>
      </c>
      <c r="AN3270">
        <v>1.0000000469011801</v>
      </c>
    </row>
    <row r="3271" spans="1:40" x14ac:dyDescent="0.25">
      <c r="A3271" t="str">
        <f>"20190303162321071"</f>
        <v>20190303162321071</v>
      </c>
      <c r="B3271" t="str">
        <f>"1551601401057957"</f>
        <v>1551601401057957</v>
      </c>
      <c r="C3271" t="s">
        <v>40</v>
      </c>
      <c r="D3271">
        <v>6.5731440000000001</v>
      </c>
      <c r="E3271">
        <v>0.51575530000000003</v>
      </c>
      <c r="F3271" t="s">
        <v>47</v>
      </c>
      <c r="G3271">
        <v>-344.23149999999998</v>
      </c>
      <c r="H3271" s="1">
        <v>7.1499419999999996E-7</v>
      </c>
      <c r="I3271">
        <v>213.81399999999999</v>
      </c>
      <c r="J3271">
        <v>-373.16300000000001</v>
      </c>
      <c r="K3271">
        <v>1.120892</v>
      </c>
      <c r="L3271">
        <v>214.76070000000001</v>
      </c>
      <c r="M3271">
        <v>0.99992400000000004</v>
      </c>
      <c r="N3271">
        <v>-1.2311549999999999E-2</v>
      </c>
      <c r="O3271">
        <v>7.2776320000000005E-4</v>
      </c>
      <c r="P3271">
        <v>0.98188869999999895</v>
      </c>
      <c r="Q3271">
        <v>0.18921389999999999</v>
      </c>
      <c r="R3271">
        <v>9.6381460000000002E-3</v>
      </c>
      <c r="S3271">
        <v>3.0791930000000001</v>
      </c>
      <c r="T3271">
        <v>-0.1180649</v>
      </c>
      <c r="U3271">
        <v>-9.9685670000000004E-2</v>
      </c>
      <c r="V3271">
        <v>-8.9531119999999992E-3</v>
      </c>
      <c r="W3271">
        <v>0.20128670000000001</v>
      </c>
      <c r="X3271">
        <v>0.97949149999999996</v>
      </c>
      <c r="Y3271">
        <v>3.3052119999999997E-2</v>
      </c>
      <c r="Z3271">
        <v>-8.5580949999999997E-4</v>
      </c>
      <c r="AA3271">
        <v>0.99945320000000004</v>
      </c>
      <c r="AB3271">
        <v>30</v>
      </c>
      <c r="AC3271">
        <v>28.9315</v>
      </c>
      <c r="AD3271">
        <v>-1.1208912850057999</v>
      </c>
      <c r="AE3271">
        <v>-0.94669999999999199</v>
      </c>
      <c r="AF3271">
        <v>0.96630773383234803</v>
      </c>
      <c r="AG3271">
        <v>-1.1208912850057999</v>
      </c>
      <c r="AH3271">
        <v>28.8874891301265</v>
      </c>
      <c r="AI3271">
        <v>92.220833075917596</v>
      </c>
      <c r="AJ3271">
        <v>88.084128458582995</v>
      </c>
      <c r="AK3271">
        <v>28.9253725326476</v>
      </c>
      <c r="AL3271">
        <v>78.387788711263198</v>
      </c>
      <c r="AM3271">
        <v>90.523701579286495</v>
      </c>
      <c r="AN3271">
        <v>1.0000000461918099</v>
      </c>
    </row>
    <row r="3272" spans="1:40" x14ac:dyDescent="0.25">
      <c r="A3272" t="str">
        <f>"20190303162321092"</f>
        <v>20190303162321092</v>
      </c>
      <c r="B3272" t="str">
        <f>"1551601401088213"</f>
        <v>1551601401088213</v>
      </c>
      <c r="C3272" t="s">
        <v>40</v>
      </c>
      <c r="D3272">
        <v>5.3537530000000002</v>
      </c>
      <c r="E3272">
        <v>0.51607970000000003</v>
      </c>
      <c r="F3272" t="s">
        <v>47</v>
      </c>
      <c r="G3272">
        <v>-343.89100000000002</v>
      </c>
      <c r="H3272" s="1">
        <v>5.3382439999999997E-7</v>
      </c>
      <c r="I3272">
        <v>213.79849999999999</v>
      </c>
      <c r="J3272">
        <v>-372.87549999999999</v>
      </c>
      <c r="K3272">
        <v>1.1208880000000001</v>
      </c>
      <c r="L3272">
        <v>214.761</v>
      </c>
      <c r="M3272">
        <v>0.99992389999999998</v>
      </c>
      <c r="N3272">
        <v>-1.231193E-2</v>
      </c>
      <c r="O3272">
        <v>8.1299009999999904E-4</v>
      </c>
      <c r="P3272">
        <v>0.98186739999999995</v>
      </c>
      <c r="Q3272">
        <v>0.18931990000000001</v>
      </c>
      <c r="R3272">
        <v>9.7187839999999994E-3</v>
      </c>
      <c r="S3272">
        <v>3.0790709999999999</v>
      </c>
      <c r="T3272">
        <v>-0.1179048</v>
      </c>
      <c r="U3272">
        <v>-0.1012115</v>
      </c>
      <c r="V3272">
        <v>-8.9501100000000007E-3</v>
      </c>
      <c r="W3272">
        <v>0.20139319999999999</v>
      </c>
      <c r="X3272">
        <v>0.97946960000000005</v>
      </c>
      <c r="Y3272">
        <v>3.3632839999999997E-2</v>
      </c>
      <c r="Z3272">
        <v>-8.7184369999999999E-4</v>
      </c>
      <c r="AA3272">
        <v>0.99943389999999999</v>
      </c>
      <c r="AB3272">
        <v>30</v>
      </c>
      <c r="AC3272">
        <v>28.984500000000001</v>
      </c>
      <c r="AD3272">
        <v>-1.1208874661756001</v>
      </c>
      <c r="AE3272">
        <v>-0.96250000000000502</v>
      </c>
      <c r="AF3272">
        <v>0.98459471927498599</v>
      </c>
      <c r="AG3272">
        <v>-1.1208874661756001</v>
      </c>
      <c r="AH3272">
        <v>28.9404744566706</v>
      </c>
      <c r="AI3272">
        <v>92.216721021294504</v>
      </c>
      <c r="AJ3272">
        <v>88.051470374606893</v>
      </c>
      <c r="AK3272">
        <v>28.9789040036068</v>
      </c>
      <c r="AL3272">
        <v>78.381558728402197</v>
      </c>
      <c r="AM3272">
        <v>90.523537695548896</v>
      </c>
      <c r="AN3272">
        <v>1.0000000113997001</v>
      </c>
    </row>
    <row r="3273" spans="1:40" x14ac:dyDescent="0.25">
      <c r="A3273" t="str">
        <f>"20190303162321113"</f>
        <v>20190303162321113</v>
      </c>
      <c r="B3273" t="str">
        <f>"1551601401107733"</f>
        <v>1551601401107733</v>
      </c>
      <c r="C3273" t="s">
        <v>40</v>
      </c>
      <c r="D3273">
        <v>5.3475919999999997</v>
      </c>
      <c r="E3273">
        <v>0.51618069999999905</v>
      </c>
      <c r="F3273" t="s">
        <v>47</v>
      </c>
      <c r="G3273">
        <v>-343.4563</v>
      </c>
      <c r="H3273" s="1">
        <v>3.0245779999999998E-7</v>
      </c>
      <c r="I3273">
        <v>213.7749</v>
      </c>
      <c r="J3273">
        <v>-372.57929999999999</v>
      </c>
      <c r="K3273">
        <v>1.1208880000000001</v>
      </c>
      <c r="L3273">
        <v>214.76140000000001</v>
      </c>
      <c r="M3273">
        <v>0.99992380000000003</v>
      </c>
      <c r="N3273">
        <v>-1.2312210000000001E-2</v>
      </c>
      <c r="O3273">
        <v>9.0048549999999998E-4</v>
      </c>
      <c r="P3273">
        <v>0.98178370000000004</v>
      </c>
      <c r="Q3273">
        <v>0.1897382</v>
      </c>
      <c r="R3273">
        <v>1.0015019999999999E-2</v>
      </c>
      <c r="S3273">
        <v>3.0789789999999999</v>
      </c>
      <c r="T3273">
        <v>-0.1173104</v>
      </c>
      <c r="U3273">
        <v>-0.10321039999999999</v>
      </c>
      <c r="V3273">
        <v>-9.1604110000000002E-3</v>
      </c>
      <c r="W3273">
        <v>0.20181080000000001</v>
      </c>
      <c r="X3273">
        <v>0.97938170000000002</v>
      </c>
      <c r="Y3273">
        <v>3.4368940000000001E-2</v>
      </c>
      <c r="Z3273">
        <v>-8.8926770000000003E-4</v>
      </c>
      <c r="AA3273">
        <v>0.99940879999999999</v>
      </c>
      <c r="AB3273">
        <v>30</v>
      </c>
      <c r="AC3273">
        <v>29.122999999999902</v>
      </c>
      <c r="AD3273">
        <v>-1.1208876975422</v>
      </c>
      <c r="AE3273">
        <v>-0.98650000000000604</v>
      </c>
      <c r="AF3273">
        <v>1.0112301776939301</v>
      </c>
      <c r="AG3273">
        <v>-1.1208876975422</v>
      </c>
      <c r="AH3273">
        <v>29.079073443263098</v>
      </c>
      <c r="AI3273">
        <v>92.206109348977293</v>
      </c>
      <c r="AJ3273">
        <v>88.008331222056697</v>
      </c>
      <c r="AK3273">
        <v>29.118232913785601</v>
      </c>
      <c r="AL3273">
        <v>78.357130459082001</v>
      </c>
      <c r="AM3273">
        <v>90.535886656237295</v>
      </c>
      <c r="AN3273">
        <v>1.0000000132105999</v>
      </c>
    </row>
    <row r="3274" spans="1:40" x14ac:dyDescent="0.25">
      <c r="A3274" t="str">
        <f>"20190303162321137"</f>
        <v>20190303162321137</v>
      </c>
      <c r="B3274" t="str">
        <f>"1551601401128229"</f>
        <v>1551601401128229</v>
      </c>
      <c r="C3274" t="s">
        <v>40</v>
      </c>
      <c r="D3274">
        <v>5.5004089999999897</v>
      </c>
      <c r="E3274">
        <v>0.51602009999999998</v>
      </c>
      <c r="F3274" t="s">
        <v>47</v>
      </c>
      <c r="G3274">
        <v>-342.62799999999999</v>
      </c>
      <c r="H3274" s="1">
        <v>-1.3829530000000001E-7</v>
      </c>
      <c r="I3274">
        <v>213.76730000000001</v>
      </c>
      <c r="J3274">
        <v>-372.26639999999998</v>
      </c>
      <c r="K3274">
        <v>1.1208880000000001</v>
      </c>
      <c r="L3274">
        <v>214.76179999999999</v>
      </c>
      <c r="M3274">
        <v>0.99992380000000003</v>
      </c>
      <c r="N3274">
        <v>-1.2312409999999999E-2</v>
      </c>
      <c r="O3274">
        <v>9.9280830000000007E-4</v>
      </c>
      <c r="P3274">
        <v>0.98193779999999997</v>
      </c>
      <c r="Q3274">
        <v>0.18892970000000001</v>
      </c>
      <c r="R3274">
        <v>1.02007E-2</v>
      </c>
      <c r="S3274">
        <v>3.0789789999999999</v>
      </c>
      <c r="T3274">
        <v>-0.1152267</v>
      </c>
      <c r="U3274">
        <v>-0.1021881</v>
      </c>
      <c r="V3274">
        <v>-9.2553789999999993E-3</v>
      </c>
      <c r="W3274">
        <v>0.20100460000000001</v>
      </c>
      <c r="X3274">
        <v>0.97954649999999999</v>
      </c>
      <c r="Y3274">
        <v>3.4130969999999997E-2</v>
      </c>
      <c r="Z3274">
        <v>-8.734484E-4</v>
      </c>
      <c r="AA3274">
        <v>0.999417</v>
      </c>
      <c r="AB3274">
        <v>30</v>
      </c>
      <c r="AC3274">
        <v>29.638399999999901</v>
      </c>
      <c r="AD3274">
        <v>-1.1208881382953</v>
      </c>
      <c r="AE3274">
        <v>-0.99449999999998795</v>
      </c>
      <c r="AF3274">
        <v>1.02246623913732</v>
      </c>
      <c r="AG3274">
        <v>-1.1208881382953</v>
      </c>
      <c r="AH3274">
        <v>29.595116856592099</v>
      </c>
      <c r="AI3274">
        <v>92.167696785391499</v>
      </c>
      <c r="AJ3274">
        <v>88.021305035274594</v>
      </c>
      <c r="AK3274">
        <v>29.633979975428399</v>
      </c>
      <c r="AL3274">
        <v>78.404287711510506</v>
      </c>
      <c r="AM3274">
        <v>90.541350894890897</v>
      </c>
      <c r="AN3274">
        <v>0.99999992846191899</v>
      </c>
    </row>
    <row r="3275" spans="1:40" x14ac:dyDescent="0.25">
      <c r="A3275" t="str">
        <f>"20190303162321158"</f>
        <v>20190303162321158</v>
      </c>
      <c r="B3275" t="str">
        <f>"1551601401147748"</f>
        <v>1551601401147748</v>
      </c>
      <c r="C3275" t="s">
        <v>40</v>
      </c>
      <c r="D3275">
        <v>5.6200869999999998</v>
      </c>
      <c r="E3275">
        <v>0.48936760000000001</v>
      </c>
      <c r="F3275" t="s">
        <v>47</v>
      </c>
      <c r="G3275">
        <v>-343.21719999999999</v>
      </c>
      <c r="H3275" s="1">
        <v>1.7523979999999999E-7</v>
      </c>
      <c r="I3275">
        <v>213.81209999999999</v>
      </c>
      <c r="J3275">
        <v>-371.97199999999998</v>
      </c>
      <c r="K3275">
        <v>1.120889</v>
      </c>
      <c r="L3275">
        <v>214.76220000000001</v>
      </c>
      <c r="M3275">
        <v>0.99992360000000002</v>
      </c>
      <c r="N3275">
        <v>-1.231253E-2</v>
      </c>
      <c r="O3275">
        <v>1.0795900000000001E-3</v>
      </c>
      <c r="P3275">
        <v>0.98210489999999995</v>
      </c>
      <c r="Q3275">
        <v>0.18802050000000001</v>
      </c>
      <c r="R3275">
        <v>1.088342E-2</v>
      </c>
      <c r="S3275">
        <v>3.079132</v>
      </c>
      <c r="T3275">
        <v>-0.118811</v>
      </c>
      <c r="U3275">
        <v>-0.10066219999999999</v>
      </c>
      <c r="V3275">
        <v>-9.8527760000000006E-3</v>
      </c>
      <c r="W3275">
        <v>0.20009689999999999</v>
      </c>
      <c r="X3275">
        <v>0.9797266</v>
      </c>
      <c r="Y3275">
        <v>3.371992E-2</v>
      </c>
      <c r="Z3275">
        <v>-8.8623929999999895E-4</v>
      </c>
      <c r="AA3275">
        <v>0.99943099999999996</v>
      </c>
      <c r="AB3275">
        <v>30</v>
      </c>
      <c r="AC3275">
        <v>28.7547999999999</v>
      </c>
      <c r="AD3275">
        <v>-1.1208888247602</v>
      </c>
      <c r="AE3275">
        <v>-0.95010000000002004</v>
      </c>
      <c r="AF3275">
        <v>0.97965821472029302</v>
      </c>
      <c r="AG3275">
        <v>-1.1208888247602</v>
      </c>
      <c r="AH3275">
        <v>28.7101795331434</v>
      </c>
      <c r="AI3275">
        <v>92.234479241076102</v>
      </c>
      <c r="AJ3275">
        <v>88.045692768190605</v>
      </c>
      <c r="AK3275">
        <v>28.748748334500899</v>
      </c>
      <c r="AL3275">
        <v>78.457374798906898</v>
      </c>
      <c r="AM3275">
        <v>90.576184673549193</v>
      </c>
      <c r="AN3275">
        <v>1.00000002866603</v>
      </c>
    </row>
    <row r="3276" spans="1:40" x14ac:dyDescent="0.25">
      <c r="A3276" t="str">
        <f>"20190303162321180"</f>
        <v>20190303162321180</v>
      </c>
      <c r="B3276" t="str">
        <f>"1551601401168245"</f>
        <v>1551601401168245</v>
      </c>
      <c r="C3276" t="s">
        <v>40</v>
      </c>
      <c r="D3276">
        <v>5.6147850000000004</v>
      </c>
      <c r="E3276">
        <v>0.48710419999999999</v>
      </c>
      <c r="F3276" t="s">
        <v>47</v>
      </c>
      <c r="G3276">
        <v>-358.21769999999998</v>
      </c>
      <c r="H3276" s="1">
        <v>2.808058E-6</v>
      </c>
      <c r="I3276">
        <v>215.26179999999999</v>
      </c>
      <c r="J3276">
        <v>-371.67540000000002</v>
      </c>
      <c r="K3276">
        <v>1.120889</v>
      </c>
      <c r="L3276">
        <v>214.76259999999999</v>
      </c>
      <c r="M3276">
        <v>0.99992360000000002</v>
      </c>
      <c r="N3276">
        <v>-1.231258E-2</v>
      </c>
      <c r="O3276">
        <v>1.167026E-3</v>
      </c>
      <c r="P3276">
        <v>0.98218870000000003</v>
      </c>
      <c r="Q3276">
        <v>0.18752920000000001</v>
      </c>
      <c r="R3276">
        <v>1.17792E-2</v>
      </c>
      <c r="S3276">
        <v>3.101807</v>
      </c>
      <c r="T3276">
        <v>-0.25277660000000002</v>
      </c>
      <c r="U3276">
        <v>0.1126862</v>
      </c>
      <c r="V3276">
        <v>-1.066253E-2</v>
      </c>
      <c r="W3276">
        <v>0.1996068</v>
      </c>
      <c r="X3276">
        <v>0.97981799999999997</v>
      </c>
      <c r="Y3276">
        <v>-3.500818E-2</v>
      </c>
      <c r="Z3276">
        <v>1.559078E-3</v>
      </c>
      <c r="AA3276">
        <v>0.99938579999999999</v>
      </c>
      <c r="AB3276">
        <v>30</v>
      </c>
      <c r="AC3276">
        <v>13.457700000000001</v>
      </c>
      <c r="AD3276">
        <v>-1.1208861919419999</v>
      </c>
      <c r="AE3276">
        <v>0.49920000000000098</v>
      </c>
      <c r="AF3276">
        <v>-0.48016657235030802</v>
      </c>
      <c r="AG3276">
        <v>-1.1208861919419999</v>
      </c>
      <c r="AH3276">
        <v>13.3656810700845</v>
      </c>
      <c r="AI3276">
        <v>94.790702962414102</v>
      </c>
      <c r="AJ3276">
        <v>92.057485237311695</v>
      </c>
      <c r="AK3276">
        <v>13.4211913129836</v>
      </c>
      <c r="AL3276">
        <v>78.486032568596002</v>
      </c>
      <c r="AM3276">
        <v>90.623476864497505</v>
      </c>
      <c r="AN3276">
        <v>0.99999993863811798</v>
      </c>
    </row>
    <row r="3277" spans="1:40" x14ac:dyDescent="0.25">
      <c r="A3277" t="str">
        <f>"20190303162321205"</f>
        <v>20190303162321205</v>
      </c>
      <c r="B3277" t="str">
        <f>"1551601401197528"</f>
        <v>1551601401197528</v>
      </c>
      <c r="C3277" t="s">
        <v>40</v>
      </c>
      <c r="D3277">
        <v>5.6039649999999996</v>
      </c>
      <c r="E3277">
        <v>0.48658190000000001</v>
      </c>
      <c r="F3277" t="s">
        <v>47</v>
      </c>
      <c r="G3277">
        <v>-358.61360000000002</v>
      </c>
      <c r="H3277" s="1">
        <v>3.0162060000000002E-6</v>
      </c>
      <c r="I3277">
        <v>215.31989999999999</v>
      </c>
      <c r="J3277">
        <v>-371.34519999999998</v>
      </c>
      <c r="K3277">
        <v>1.1208899999999999</v>
      </c>
      <c r="L3277">
        <v>214.76310000000001</v>
      </c>
      <c r="M3277">
        <v>0.99992340000000002</v>
      </c>
      <c r="N3277">
        <v>-1.231258E-2</v>
      </c>
      <c r="O3277">
        <v>1.2650680000000001E-3</v>
      </c>
      <c r="P3277">
        <v>0.98211349999999997</v>
      </c>
      <c r="Q3277">
        <v>0.18788070000000001</v>
      </c>
      <c r="R3277">
        <v>1.241101E-2</v>
      </c>
      <c r="S3277">
        <v>3.1036990000000002</v>
      </c>
      <c r="T3277">
        <v>-0.26634059999999998</v>
      </c>
      <c r="U3277">
        <v>0.1324158</v>
      </c>
      <c r="V3277">
        <v>-1.119761E-2</v>
      </c>
      <c r="W3277">
        <v>0.1999572</v>
      </c>
      <c r="X3277">
        <v>0.97974059999999996</v>
      </c>
      <c r="Y3277">
        <v>-4.1191539999999999E-2</v>
      </c>
      <c r="Z3277">
        <v>1.924842E-3</v>
      </c>
      <c r="AA3277">
        <v>0.99914939999999997</v>
      </c>
      <c r="AB3277">
        <v>30</v>
      </c>
      <c r="AC3277">
        <v>12.731599999999901</v>
      </c>
      <c r="AD3277">
        <v>-1.1208869837940001</v>
      </c>
      <c r="AE3277">
        <v>0.55679999999998098</v>
      </c>
      <c r="AF3277">
        <v>-0.53654120231704705</v>
      </c>
      <c r="AG3277">
        <v>-1.1208869837940001</v>
      </c>
      <c r="AH3277">
        <v>12.6345508108929</v>
      </c>
      <c r="AI3277">
        <v>95.065238914582906</v>
      </c>
      <c r="AJ3277">
        <v>92.431672271043496</v>
      </c>
      <c r="AK3277">
        <v>12.695516463903999</v>
      </c>
      <c r="AL3277">
        <v>78.465543265876093</v>
      </c>
      <c r="AM3277">
        <v>90.654813999138497</v>
      </c>
      <c r="AN3277">
        <v>0.99999995579495504</v>
      </c>
    </row>
    <row r="3278" spans="1:40" x14ac:dyDescent="0.25">
      <c r="A3278" t="str">
        <f>"20190303162321224"</f>
        <v>20190303162321224</v>
      </c>
      <c r="B3278" t="str">
        <f>"1551601401218021"</f>
        <v>1551601401218021</v>
      </c>
      <c r="C3278" t="s">
        <v>40</v>
      </c>
      <c r="D3278">
        <v>5.4870660000000004</v>
      </c>
      <c r="E3278">
        <v>0.48642600000000003</v>
      </c>
      <c r="F3278" t="s">
        <v>47</v>
      </c>
      <c r="G3278">
        <v>-357.98169999999999</v>
      </c>
      <c r="H3278" s="1">
        <v>2.6781479999999999E-6</v>
      </c>
      <c r="I3278">
        <v>215.36009999999999</v>
      </c>
      <c r="J3278">
        <v>-371.07549999999998</v>
      </c>
      <c r="K3278">
        <v>1.1208929999999999</v>
      </c>
      <c r="L3278">
        <v>214.76349999999999</v>
      </c>
      <c r="M3278">
        <v>0.99992340000000002</v>
      </c>
      <c r="N3278">
        <v>-1.231257E-2</v>
      </c>
      <c r="O3278">
        <v>1.344579E-3</v>
      </c>
      <c r="P3278">
        <v>0.9821761</v>
      </c>
      <c r="Q3278">
        <v>0.1875182</v>
      </c>
      <c r="R3278">
        <v>1.292949E-2</v>
      </c>
      <c r="S3278">
        <v>3.1025999999999998</v>
      </c>
      <c r="T3278">
        <v>-0.26023590000000002</v>
      </c>
      <c r="U3278">
        <v>0.13861080000000001</v>
      </c>
      <c r="V3278">
        <v>-1.16381E-2</v>
      </c>
      <c r="W3278">
        <v>0.19959560000000001</v>
      </c>
      <c r="X3278">
        <v>0.97980919999999905</v>
      </c>
      <c r="Y3278">
        <v>-4.3117830000000003E-2</v>
      </c>
      <c r="Z3278">
        <v>1.9743460000000001E-3</v>
      </c>
      <c r="AA3278">
        <v>0.99906799999999996</v>
      </c>
      <c r="AB3278">
        <v>30</v>
      </c>
      <c r="AC3278">
        <v>13.0937999999999</v>
      </c>
      <c r="AD3278">
        <v>-1.1208903218520001</v>
      </c>
      <c r="AE3278">
        <v>0.59659999999999502</v>
      </c>
      <c r="AF3278">
        <v>-0.57478906065641899</v>
      </c>
      <c r="AG3278">
        <v>-1.1208903218520001</v>
      </c>
      <c r="AH3278">
        <v>12.999525181338999</v>
      </c>
      <c r="AI3278">
        <v>94.923380202650193</v>
      </c>
      <c r="AJ3278">
        <v>92.531750189647397</v>
      </c>
      <c r="AK3278">
        <v>13.0604147146305</v>
      </c>
      <c r="AL3278">
        <v>78.486687693243098</v>
      </c>
      <c r="AM3278">
        <v>90.680522957972002</v>
      </c>
      <c r="AN3278">
        <v>0.999999958657803</v>
      </c>
    </row>
    <row r="3279" spans="1:40" x14ac:dyDescent="0.25">
      <c r="A3279" t="str">
        <f>"20190303162321249"</f>
        <v>20190303162321249</v>
      </c>
      <c r="B3279" t="str">
        <f>"1551601401237542"</f>
        <v>1551601401237542</v>
      </c>
      <c r="C3279" t="s">
        <v>40</v>
      </c>
      <c r="D3279">
        <v>5.3095569999999999</v>
      </c>
      <c r="E3279">
        <v>0.48687809999999998</v>
      </c>
      <c r="F3279" t="s">
        <v>47</v>
      </c>
      <c r="G3279">
        <v>-357.66430000000003</v>
      </c>
      <c r="H3279" s="1">
        <v>2.508437E-6</v>
      </c>
      <c r="I3279">
        <v>215.37899999999999</v>
      </c>
      <c r="J3279">
        <v>-370.74790000000002</v>
      </c>
      <c r="K3279">
        <v>1.120886</v>
      </c>
      <c r="L3279">
        <v>214.76410000000001</v>
      </c>
      <c r="M3279">
        <v>0.99992329999999996</v>
      </c>
      <c r="N3279">
        <v>-1.2312729999999999E-2</v>
      </c>
      <c r="O3279">
        <v>1.4419719999999999E-3</v>
      </c>
      <c r="P3279">
        <v>0.98234719999999998</v>
      </c>
      <c r="Q3279">
        <v>0.18658440000000001</v>
      </c>
      <c r="R3279">
        <v>1.3436790000000001E-2</v>
      </c>
      <c r="S3279">
        <v>3.1020810000000001</v>
      </c>
      <c r="T3279">
        <v>-0.25926850000000001</v>
      </c>
      <c r="U3279">
        <v>0.1423645</v>
      </c>
      <c r="V3279">
        <v>-1.2049229999999999E-2</v>
      </c>
      <c r="W3279">
        <v>0.1986638</v>
      </c>
      <c r="X3279">
        <v>0.97999360000000002</v>
      </c>
      <c r="Y3279">
        <v>-4.4231310000000003E-2</v>
      </c>
      <c r="Z3279">
        <v>2.0146959999999998E-3</v>
      </c>
      <c r="AA3279">
        <v>0.99901930000000005</v>
      </c>
      <c r="AB3279">
        <v>30</v>
      </c>
      <c r="AC3279">
        <v>13.083599999999899</v>
      </c>
      <c r="AD3279">
        <v>-1.1208834915629999</v>
      </c>
      <c r="AE3279">
        <v>0.614900000000005</v>
      </c>
      <c r="AF3279">
        <v>-0.59169854832625801</v>
      </c>
      <c r="AG3279">
        <v>-1.1208834915629999</v>
      </c>
      <c r="AH3279">
        <v>12.989347933740101</v>
      </c>
      <c r="AI3279">
        <v>94.926895343015602</v>
      </c>
      <c r="AJ3279">
        <v>92.608168607000096</v>
      </c>
      <c r="AK3279">
        <v>13.051040062673501</v>
      </c>
      <c r="AL3279">
        <v>78.541167116636501</v>
      </c>
      <c r="AM3279">
        <v>90.704428314910899</v>
      </c>
      <c r="AN3279">
        <v>0.99999997270749597</v>
      </c>
    </row>
    <row r="3280" spans="1:40" x14ac:dyDescent="0.25">
      <c r="A3280" t="str">
        <f>"20190303162321271"</f>
        <v>20190303162321271</v>
      </c>
      <c r="B3280" t="str">
        <f>"1551601401258037"</f>
        <v>1551601401258037</v>
      </c>
      <c r="C3280" t="s">
        <v>40</v>
      </c>
      <c r="D3280">
        <v>5.5395960000000004</v>
      </c>
      <c r="E3280">
        <v>0.48710979999999998</v>
      </c>
      <c r="F3280" t="s">
        <v>47</v>
      </c>
      <c r="G3280">
        <v>-357.44369999999998</v>
      </c>
      <c r="H3280" s="1">
        <v>2.3916020000000002E-6</v>
      </c>
      <c r="I3280">
        <v>215.3657</v>
      </c>
      <c r="J3280">
        <v>-370.43700000000001</v>
      </c>
      <c r="K3280">
        <v>1.120884</v>
      </c>
      <c r="L3280">
        <v>214.7646</v>
      </c>
      <c r="M3280">
        <v>0.99992309999999995</v>
      </c>
      <c r="N3280">
        <v>-1.231254E-2</v>
      </c>
      <c r="O3280">
        <v>1.533759E-3</v>
      </c>
      <c r="P3280">
        <v>0.98248829999999998</v>
      </c>
      <c r="Q3280">
        <v>0.185748</v>
      </c>
      <c r="R3280">
        <v>1.4647469999999999E-2</v>
      </c>
      <c r="S3280">
        <v>3.1015929999999998</v>
      </c>
      <c r="T3280">
        <v>-0.26130969999999998</v>
      </c>
      <c r="U3280">
        <v>0.14025879999999999</v>
      </c>
      <c r="V3280">
        <v>-1.3169739999999999E-2</v>
      </c>
      <c r="W3280">
        <v>0.19782910000000001</v>
      </c>
      <c r="X3280">
        <v>0.98014800000000002</v>
      </c>
      <c r="Y3280">
        <v>-4.3470679999999998E-2</v>
      </c>
      <c r="Z3280">
        <v>1.9852680000000001E-3</v>
      </c>
      <c r="AA3280">
        <v>0.99905270000000002</v>
      </c>
      <c r="AB3280">
        <v>30</v>
      </c>
      <c r="AC3280">
        <v>12.9932999999999</v>
      </c>
      <c r="AD3280">
        <v>-1.120881608398</v>
      </c>
      <c r="AE3280">
        <v>0.60110000000000197</v>
      </c>
      <c r="AF3280">
        <v>-0.57688527120747901</v>
      </c>
      <c r="AG3280">
        <v>-1.120881608398</v>
      </c>
      <c r="AH3280">
        <v>12.8984236669975</v>
      </c>
      <c r="AI3280">
        <v>94.961629220420704</v>
      </c>
      <c r="AJ3280">
        <v>92.560861647769499</v>
      </c>
      <c r="AK3280">
        <v>12.959880604756499</v>
      </c>
      <c r="AL3280">
        <v>78.589960063472205</v>
      </c>
      <c r="AM3280">
        <v>90.769807329500196</v>
      </c>
      <c r="AN3280">
        <v>0.99999994838123696</v>
      </c>
    </row>
    <row r="3281" spans="1:40" x14ac:dyDescent="0.25">
      <c r="A3281" t="str">
        <f>"20190303162321294"</f>
        <v>20190303162321294</v>
      </c>
      <c r="B3281" t="str">
        <f>"1551601401288294"</f>
        <v>1551601401288294</v>
      </c>
      <c r="C3281" t="s">
        <v>40</v>
      </c>
      <c r="D3281">
        <v>5.3321329999999998</v>
      </c>
      <c r="E3281">
        <v>0.48755029999999999</v>
      </c>
      <c r="F3281" t="s">
        <v>47</v>
      </c>
      <c r="G3281">
        <v>-357.16669999999999</v>
      </c>
      <c r="H3281" s="1">
        <v>2.244184E-6</v>
      </c>
      <c r="I3281">
        <v>215.36670000000001</v>
      </c>
      <c r="J3281">
        <v>-370.14150000000001</v>
      </c>
      <c r="K3281">
        <v>1.1208830000000001</v>
      </c>
      <c r="L3281">
        <v>214.76519999999999</v>
      </c>
      <c r="M3281">
        <v>0.99992300000000001</v>
      </c>
      <c r="N3281">
        <v>-1.2312170000000001E-2</v>
      </c>
      <c r="O3281">
        <v>1.620656E-3</v>
      </c>
      <c r="P3281">
        <v>0.98258829999999997</v>
      </c>
      <c r="Q3281">
        <v>0.18513070000000001</v>
      </c>
      <c r="R3281">
        <v>1.5718469999999998E-2</v>
      </c>
      <c r="S3281">
        <v>3.1009519999999999</v>
      </c>
      <c r="T3281">
        <v>-0.26192490000000002</v>
      </c>
      <c r="U3281">
        <v>0.1407013</v>
      </c>
      <c r="V3281">
        <v>-1.41543999999999E-2</v>
      </c>
      <c r="W3281">
        <v>0.197213</v>
      </c>
      <c r="X3281">
        <v>0.98025850000000003</v>
      </c>
      <c r="Y3281">
        <v>-4.35346E-2</v>
      </c>
      <c r="Z3281">
        <v>1.9864230000000002E-3</v>
      </c>
      <c r="AA3281">
        <v>0.99904999999999999</v>
      </c>
      <c r="AB3281">
        <v>30</v>
      </c>
      <c r="AC3281">
        <v>12.9748</v>
      </c>
      <c r="AD3281">
        <v>-1.1208807558159899</v>
      </c>
      <c r="AE3281">
        <v>0.60150000000001502</v>
      </c>
      <c r="AF3281">
        <v>-0.57617908804640094</v>
      </c>
      <c r="AG3281">
        <v>-1.1208807558159899</v>
      </c>
      <c r="AH3281">
        <v>12.879840851568501</v>
      </c>
      <c r="AI3281">
        <v>94.968746062122094</v>
      </c>
      <c r="AJ3281">
        <v>92.561416322695607</v>
      </c>
      <c r="AK3281">
        <v>12.9413545029874</v>
      </c>
      <c r="AL3281">
        <v>78.625970261604294</v>
      </c>
      <c r="AM3281">
        <v>90.827262426730499</v>
      </c>
      <c r="AN3281">
        <v>1.0000000206152999</v>
      </c>
    </row>
    <row r="3282" spans="1:40" x14ac:dyDescent="0.25">
      <c r="A3282" t="str">
        <f>"20190303162321316"</f>
        <v>20190303162321316</v>
      </c>
      <c r="B3282" t="str">
        <f>"1551601401307815"</f>
        <v>1551601401307815</v>
      </c>
      <c r="C3282" t="s">
        <v>40</v>
      </c>
      <c r="D3282">
        <v>5.5366839999999904</v>
      </c>
      <c r="E3282">
        <v>0.4878034</v>
      </c>
      <c r="F3282" t="s">
        <v>47</v>
      </c>
      <c r="G3282">
        <v>-356.81849999999997</v>
      </c>
      <c r="H3282" s="1">
        <v>2.058874E-6</v>
      </c>
      <c r="I3282">
        <v>215.36609999999999</v>
      </c>
      <c r="J3282">
        <v>-369.83640000000003</v>
      </c>
      <c r="K3282">
        <v>1.120887</v>
      </c>
      <c r="L3282">
        <v>214.76580000000001</v>
      </c>
      <c r="M3282">
        <v>0.99992289999999995</v>
      </c>
      <c r="N3282">
        <v>-1.230852E-2</v>
      </c>
      <c r="O3282">
        <v>1.7077360000000001E-3</v>
      </c>
      <c r="P3282">
        <v>0.98236310000000004</v>
      </c>
      <c r="Q3282">
        <v>0.1862576</v>
      </c>
      <c r="R3282">
        <v>1.645976E-2</v>
      </c>
      <c r="S3282">
        <v>3.1000670000000001</v>
      </c>
      <c r="T3282">
        <v>-0.26081120000000002</v>
      </c>
      <c r="U3282">
        <v>0.13981629999999901</v>
      </c>
      <c r="V3282">
        <v>-1.481005E-2</v>
      </c>
      <c r="W3282">
        <v>0.19833339999999999</v>
      </c>
      <c r="X3282">
        <v>0.98002270000000002</v>
      </c>
      <c r="Y3282">
        <v>-4.3178830000000001E-2</v>
      </c>
      <c r="Z3282">
        <v>1.9562640000000001E-3</v>
      </c>
      <c r="AA3282">
        <v>0.99906550000000005</v>
      </c>
      <c r="AB3282">
        <v>30</v>
      </c>
      <c r="AC3282">
        <v>13.017899999999999</v>
      </c>
      <c r="AD3282">
        <v>-1.120884941126</v>
      </c>
      <c r="AE3282">
        <v>0.60029999999997496</v>
      </c>
      <c r="AF3282">
        <v>-0.57382114468850998</v>
      </c>
      <c r="AG3282">
        <v>-1.120884941126</v>
      </c>
      <c r="AH3282">
        <v>12.923298941827801</v>
      </c>
      <c r="AI3282">
        <v>94.95221189758</v>
      </c>
      <c r="AJ3282">
        <v>92.542380932759698</v>
      </c>
      <c r="AK3282">
        <v>12.984502658830801</v>
      </c>
      <c r="AL3282">
        <v>78.560482115013897</v>
      </c>
      <c r="AM3282">
        <v>90.865784816270207</v>
      </c>
      <c r="AN3282">
        <v>0.99999998382592603</v>
      </c>
    </row>
    <row r="3283" spans="1:40" x14ac:dyDescent="0.25">
      <c r="A3283" t="str">
        <f>"20190303162321338"</f>
        <v>20190303162321338</v>
      </c>
      <c r="B3283" t="str">
        <f>"1551601401328309"</f>
        <v>1551601401328309</v>
      </c>
      <c r="C3283" t="s">
        <v>40</v>
      </c>
      <c r="D3283">
        <v>5.4771020000000004</v>
      </c>
      <c r="E3283">
        <v>0.48812</v>
      </c>
      <c r="F3283" t="s">
        <v>47</v>
      </c>
      <c r="G3283">
        <v>-356.25880000000001</v>
      </c>
      <c r="H3283" s="1">
        <v>1.760302E-6</v>
      </c>
      <c r="I3283">
        <v>215.38310000000001</v>
      </c>
      <c r="J3283">
        <v>-369.54349999999999</v>
      </c>
      <c r="K3283">
        <v>1.1208849999999999</v>
      </c>
      <c r="L3283">
        <v>214.7664</v>
      </c>
      <c r="M3283">
        <v>0.99992289999999995</v>
      </c>
      <c r="N3283">
        <v>-1.23004E-2</v>
      </c>
      <c r="O3283">
        <v>1.78880799999999E-3</v>
      </c>
      <c r="P3283">
        <v>0.98228070000000001</v>
      </c>
      <c r="Q3283">
        <v>0.18671209999999999</v>
      </c>
      <c r="R3283">
        <v>1.6236319999999999E-2</v>
      </c>
      <c r="S3283">
        <v>3.1000369999999999</v>
      </c>
      <c r="T3283">
        <v>-0.2559205</v>
      </c>
      <c r="U3283">
        <v>0.1409454</v>
      </c>
      <c r="V3283">
        <v>-1.45059E-2</v>
      </c>
      <c r="W3283">
        <v>0.19877880000000001</v>
      </c>
      <c r="X3283">
        <v>0.97993699999999995</v>
      </c>
      <c r="Y3283">
        <v>-4.3466390000000001E-2</v>
      </c>
      <c r="Z3283">
        <v>1.9328080000000001E-3</v>
      </c>
      <c r="AA3283">
        <v>0.99905299999999997</v>
      </c>
      <c r="AB3283">
        <v>30</v>
      </c>
      <c r="AC3283">
        <v>13.2846999999999</v>
      </c>
      <c r="AD3283">
        <v>-1.120883239698</v>
      </c>
      <c r="AE3283">
        <v>0.61670000000000802</v>
      </c>
      <c r="AF3283">
        <v>-0.58875115141489598</v>
      </c>
      <c r="AG3283">
        <v>-1.120883239698</v>
      </c>
      <c r="AH3283">
        <v>13.192069962941</v>
      </c>
      <c r="AI3283">
        <v>94.851747666027094</v>
      </c>
      <c r="AJ3283">
        <v>92.555367502101802</v>
      </c>
      <c r="AK3283">
        <v>13.252687163834301</v>
      </c>
      <c r="AL3283">
        <v>78.534444080596003</v>
      </c>
      <c r="AM3283">
        <v>90.848081202130999</v>
      </c>
      <c r="AN3283">
        <v>0.99999997821662401</v>
      </c>
    </row>
    <row r="3284" spans="1:40" x14ac:dyDescent="0.25">
      <c r="A3284" t="str">
        <f>"20190303162321360"</f>
        <v>20190303162321360</v>
      </c>
      <c r="B3284" t="str">
        <f>"1551601401347830"</f>
        <v>1551601401347830</v>
      </c>
      <c r="C3284" t="s">
        <v>40</v>
      </c>
      <c r="D3284">
        <v>5.4697129999999996</v>
      </c>
      <c r="E3284">
        <v>0.48842809999999998</v>
      </c>
      <c r="F3284" t="s">
        <v>47</v>
      </c>
      <c r="G3284">
        <v>-355.84059999999999</v>
      </c>
      <c r="H3284" s="1">
        <v>1.5377769999999999E-6</v>
      </c>
      <c r="I3284">
        <v>215.38310000000001</v>
      </c>
      <c r="J3284">
        <v>-369.2405</v>
      </c>
      <c r="K3284">
        <v>1.1208830000000001</v>
      </c>
      <c r="L3284">
        <v>214.767</v>
      </c>
      <c r="M3284">
        <v>0.9999228</v>
      </c>
      <c r="N3284">
        <v>-1.2286149999999999E-2</v>
      </c>
      <c r="O3284">
        <v>1.87206E-3</v>
      </c>
      <c r="P3284">
        <v>0.98232920000000001</v>
      </c>
      <c r="Q3284">
        <v>0.18654390000000001</v>
      </c>
      <c r="R3284">
        <v>1.518778E-2</v>
      </c>
      <c r="S3284">
        <v>3.100006</v>
      </c>
      <c r="T3284">
        <v>-0.25357659999999999</v>
      </c>
      <c r="U3284">
        <v>0.13952639999999999</v>
      </c>
      <c r="V3284">
        <v>-1.3374189999999999E-2</v>
      </c>
      <c r="W3284">
        <v>0.19859750000000001</v>
      </c>
      <c r="X3284">
        <v>0.97998989999999997</v>
      </c>
      <c r="Y3284">
        <v>-4.2932310000000001E-2</v>
      </c>
      <c r="Z3284">
        <v>1.8866390000000001E-3</v>
      </c>
      <c r="AA3284">
        <v>0.99907619999999997</v>
      </c>
      <c r="AB3284">
        <v>30</v>
      </c>
      <c r="AC3284">
        <v>13.399900000000001</v>
      </c>
      <c r="AD3284">
        <v>-1.1208814622229999</v>
      </c>
      <c r="AE3284">
        <v>0.61610000000001697</v>
      </c>
      <c r="AF3284">
        <v>-0.58691359785212505</v>
      </c>
      <c r="AG3284">
        <v>-1.1208814622229999</v>
      </c>
      <c r="AH3284">
        <v>13.3081086358421</v>
      </c>
      <c r="AI3284">
        <v>94.809746837574295</v>
      </c>
      <c r="AJ3284">
        <v>92.525219524379594</v>
      </c>
      <c r="AK3284">
        <v>13.3681187265476</v>
      </c>
      <c r="AL3284">
        <v>78.545043606754604</v>
      </c>
      <c r="AM3284">
        <v>90.781882623188295</v>
      </c>
      <c r="AN3284">
        <v>1.0000000200332</v>
      </c>
    </row>
    <row r="3285" spans="1:40" x14ac:dyDescent="0.25">
      <c r="A3285" t="str">
        <f>"20190303162321381"</f>
        <v>20190303162321381</v>
      </c>
      <c r="B3285" t="str">
        <f>"1551601401368324"</f>
        <v>1551601401368324</v>
      </c>
      <c r="C3285" t="s">
        <v>40</v>
      </c>
      <c r="D3285">
        <v>5.46671</v>
      </c>
      <c r="E3285">
        <v>0.48869609999999902</v>
      </c>
      <c r="F3285" t="s">
        <v>47</v>
      </c>
      <c r="G3285">
        <v>-355.53030000000001</v>
      </c>
      <c r="H3285" s="1">
        <v>1.3737089999999999E-6</v>
      </c>
      <c r="I3285">
        <v>215.35849999999999</v>
      </c>
      <c r="J3285">
        <v>-368.9597</v>
      </c>
      <c r="K3285">
        <v>1.1208769999999999</v>
      </c>
      <c r="L3285">
        <v>214.76759999999999</v>
      </c>
      <c r="M3285">
        <v>0.99992289999999995</v>
      </c>
      <c r="N3285">
        <v>-1.226904E-2</v>
      </c>
      <c r="O3285">
        <v>1.9465140000000001E-3</v>
      </c>
      <c r="P3285">
        <v>0.98232379999999997</v>
      </c>
      <c r="Q3285">
        <v>0.18662970000000001</v>
      </c>
      <c r="R3285">
        <v>1.4478049999999999E-2</v>
      </c>
      <c r="S3285">
        <v>3.100006</v>
      </c>
      <c r="T3285">
        <v>-0.25344090000000002</v>
      </c>
      <c r="U3285">
        <v>0.13374330000000001</v>
      </c>
      <c r="V3285">
        <v>-1.2590820000000001E-2</v>
      </c>
      <c r="W3285">
        <v>0.1986666</v>
      </c>
      <c r="X3285">
        <v>0.97998629999999998</v>
      </c>
      <c r="Y3285">
        <v>-4.1005430000000002E-2</v>
      </c>
      <c r="Z3285">
        <v>1.789831E-3</v>
      </c>
      <c r="AA3285">
        <v>0.99915730000000003</v>
      </c>
      <c r="AB3285">
        <v>30</v>
      </c>
      <c r="AC3285">
        <v>13.4293999999999</v>
      </c>
      <c r="AD3285">
        <v>-1.120875626291</v>
      </c>
      <c r="AE3285">
        <v>0.59090000000000398</v>
      </c>
      <c r="AF3285">
        <v>-0.56085685665796503</v>
      </c>
      <c r="AG3285">
        <v>-1.120875626291</v>
      </c>
      <c r="AH3285">
        <v>13.337789449177301</v>
      </c>
      <c r="AI3285">
        <v>94.799490202353994</v>
      </c>
      <c r="AJ3285">
        <v>92.407881048211905</v>
      </c>
      <c r="AK3285">
        <v>13.396549928017199</v>
      </c>
      <c r="AL3285">
        <v>78.541004293694996</v>
      </c>
      <c r="AM3285">
        <v>90.736093103212099</v>
      </c>
      <c r="AN3285">
        <v>1.00000004744576</v>
      </c>
    </row>
    <row r="3286" spans="1:40" x14ac:dyDescent="0.25">
      <c r="A3286" t="str">
        <f>"20190303162321406"</f>
        <v>20190303162321406</v>
      </c>
      <c r="B3286" t="str">
        <f>"1551601401397606"</f>
        <v>1551601401397606</v>
      </c>
      <c r="C3286" t="s">
        <v>40</v>
      </c>
      <c r="D3286">
        <v>5.4631829999999999</v>
      </c>
      <c r="E3286">
        <v>0.48897400000000002</v>
      </c>
      <c r="F3286" t="s">
        <v>47</v>
      </c>
      <c r="G3286">
        <v>-355.14789999999999</v>
      </c>
      <c r="H3286" s="1">
        <v>1.1708460000000001E-6</v>
      </c>
      <c r="I3286">
        <v>215.34460000000001</v>
      </c>
      <c r="J3286">
        <v>-368.63029999999998</v>
      </c>
      <c r="K3286">
        <v>1.1208659999999999</v>
      </c>
      <c r="L3286">
        <v>214.76830000000001</v>
      </c>
      <c r="M3286">
        <v>0.99992309999999995</v>
      </c>
      <c r="N3286">
        <v>-1.2242629999999999E-2</v>
      </c>
      <c r="O3286">
        <v>2.0306759999999999E-3</v>
      </c>
      <c r="P3286">
        <v>0.98233269999999995</v>
      </c>
      <c r="Q3286">
        <v>0.18666540000000001</v>
      </c>
      <c r="R3286">
        <v>1.336617E-2</v>
      </c>
      <c r="S3286">
        <v>3.0998839999999999</v>
      </c>
      <c r="T3286">
        <v>-0.25156699999999999</v>
      </c>
      <c r="U3286">
        <v>0.12950130000000001</v>
      </c>
      <c r="V3286">
        <v>-1.1394980000000001E-2</v>
      </c>
      <c r="W3286">
        <v>0.19867699999999999</v>
      </c>
      <c r="X3286">
        <v>0.97999879999999995</v>
      </c>
      <c r="Y3286">
        <v>-3.9565919999999997E-2</v>
      </c>
      <c r="Z3286">
        <v>1.7052599999999999E-3</v>
      </c>
      <c r="AA3286">
        <v>0.99921550000000003</v>
      </c>
      <c r="AB3286">
        <v>30</v>
      </c>
      <c r="AC3286">
        <v>13.482399999999901</v>
      </c>
      <c r="AD3286">
        <v>-1.120864829154</v>
      </c>
      <c r="AE3286">
        <v>0.57630000000000303</v>
      </c>
      <c r="AF3286">
        <v>-0.54515739487225701</v>
      </c>
      <c r="AG3286">
        <v>-1.120864829154</v>
      </c>
      <c r="AH3286">
        <v>13.391158419511701</v>
      </c>
      <c r="AI3286">
        <v>94.780668747054605</v>
      </c>
      <c r="AJ3286">
        <v>92.331238151904003</v>
      </c>
      <c r="AK3286">
        <v>13.4490393101841</v>
      </c>
      <c r="AL3286">
        <v>78.540396001743105</v>
      </c>
      <c r="AM3286">
        <v>90.666179224657</v>
      </c>
      <c r="AN3286">
        <v>1.00000002194982</v>
      </c>
    </row>
    <row r="3287" spans="1:40" x14ac:dyDescent="0.25">
      <c r="A3287" t="str">
        <f>"20190303162321426"</f>
        <v>20190303162321426</v>
      </c>
      <c r="B3287" t="str">
        <f>"1551601401418101"</f>
        <v>1551601401418101</v>
      </c>
      <c r="C3287" t="s">
        <v>40</v>
      </c>
      <c r="D3287">
        <v>5.4625180000000002</v>
      </c>
      <c r="E3287">
        <v>0.48910720000000002</v>
      </c>
      <c r="F3287" t="s">
        <v>47</v>
      </c>
      <c r="G3287">
        <v>-354.70030000000003</v>
      </c>
      <c r="H3287" s="1">
        <v>9.3330569999999995E-7</v>
      </c>
      <c r="I3287">
        <v>215.32929999999999</v>
      </c>
      <c r="J3287">
        <v>-368.33940000000001</v>
      </c>
      <c r="K3287">
        <v>1.120854</v>
      </c>
      <c r="L3287">
        <v>214.76900000000001</v>
      </c>
      <c r="M3287">
        <v>0.99992329999999996</v>
      </c>
      <c r="N3287">
        <v>-1.221671E-2</v>
      </c>
      <c r="O3287">
        <v>2.102928E-3</v>
      </c>
      <c r="P3287">
        <v>0.98237010000000002</v>
      </c>
      <c r="Q3287">
        <v>0.1865475</v>
      </c>
      <c r="R3287">
        <v>1.223368E-2</v>
      </c>
      <c r="S3287">
        <v>3.09964</v>
      </c>
      <c r="T3287">
        <v>-0.2494093</v>
      </c>
      <c r="U3287">
        <v>0.124816899999999</v>
      </c>
      <c r="V3287">
        <v>-1.0190579999999999E-2</v>
      </c>
      <c r="W3287">
        <v>0.19853390000000001</v>
      </c>
      <c r="X3287">
        <v>0.98004100000000005</v>
      </c>
      <c r="Y3287">
        <v>-3.7997690000000001E-2</v>
      </c>
      <c r="Z3287">
        <v>1.615057E-3</v>
      </c>
      <c r="AA3287">
        <v>0.99927650000000001</v>
      </c>
      <c r="AB3287">
        <v>30</v>
      </c>
      <c r="AC3287">
        <v>13.6390999999999</v>
      </c>
      <c r="AD3287">
        <v>-1.1208530666943</v>
      </c>
      <c r="AE3287">
        <v>0.56029999999998303</v>
      </c>
      <c r="AF3287">
        <v>-0.52805439610501503</v>
      </c>
      <c r="AG3287">
        <v>-1.1208530666943</v>
      </c>
      <c r="AH3287">
        <v>13.548900478983301</v>
      </c>
      <c r="AI3287">
        <v>94.725539204344699</v>
      </c>
      <c r="AJ3287">
        <v>92.231914189947702</v>
      </c>
      <c r="AK3287">
        <v>13.6054348417005</v>
      </c>
      <c r="AL3287">
        <v>78.548760951305198</v>
      </c>
      <c r="AM3287">
        <v>90.595746691272396</v>
      </c>
      <c r="AN3287">
        <v>0.99999995952547205</v>
      </c>
    </row>
    <row r="3288" spans="1:40" x14ac:dyDescent="0.25">
      <c r="A3288" t="str">
        <f>"20190303162321450"</f>
        <v>20190303162321450</v>
      </c>
      <c r="B3288" t="str">
        <f>"1551601401437622"</f>
        <v>1551601401437622</v>
      </c>
      <c r="C3288" t="s">
        <v>40</v>
      </c>
      <c r="D3288">
        <v>5.4602870000000001</v>
      </c>
      <c r="E3288">
        <v>0.48921530000000002</v>
      </c>
      <c r="F3288" t="s">
        <v>47</v>
      </c>
      <c r="G3288">
        <v>-354.33330000000001</v>
      </c>
      <c r="H3288" s="1">
        <v>7.3859619999999904E-7</v>
      </c>
      <c r="I3288">
        <v>215.31659999999999</v>
      </c>
      <c r="J3288">
        <v>-368.03120000000001</v>
      </c>
      <c r="K3288">
        <v>1.120844</v>
      </c>
      <c r="L3288">
        <v>214.7697</v>
      </c>
      <c r="M3288">
        <v>0.99992329999999996</v>
      </c>
      <c r="N3288">
        <v>-1.218823E-2</v>
      </c>
      <c r="O3288">
        <v>2.17783E-3</v>
      </c>
      <c r="P3288">
        <v>0.98258129999999999</v>
      </c>
      <c r="Q3288">
        <v>0.18544050000000001</v>
      </c>
      <c r="R3288">
        <v>1.207631E-2</v>
      </c>
      <c r="S3288">
        <v>3.0994259999999998</v>
      </c>
      <c r="T3288">
        <v>-0.24803559999999999</v>
      </c>
      <c r="U3288">
        <v>0.1211853</v>
      </c>
      <c r="V3288">
        <v>-9.9583039999999994E-3</v>
      </c>
      <c r="W3288">
        <v>0.19740189999999999</v>
      </c>
      <c r="X3288">
        <v>0.98027209999999998</v>
      </c>
      <c r="Y3288">
        <v>-3.6762690000000001E-2</v>
      </c>
      <c r="Z3288">
        <v>1.5451880000000001E-3</v>
      </c>
      <c r="AA3288">
        <v>0.99932279999999996</v>
      </c>
      <c r="AB3288">
        <v>30</v>
      </c>
      <c r="AC3288">
        <v>13.697900000000001</v>
      </c>
      <c r="AD3288">
        <v>-1.1208432614038</v>
      </c>
      <c r="AE3288">
        <v>0.54689999999999295</v>
      </c>
      <c r="AF3288">
        <v>-0.51363125274815102</v>
      </c>
      <c r="AG3288">
        <v>-1.1208432614038</v>
      </c>
      <c r="AH3288">
        <v>13.608090948198001</v>
      </c>
      <c r="AI3288">
        <v>94.705256828496701</v>
      </c>
      <c r="AJ3288">
        <v>92.161577237341206</v>
      </c>
      <c r="AK3288">
        <v>13.6638298414047</v>
      </c>
      <c r="AL3288">
        <v>78.614930211281802</v>
      </c>
      <c r="AM3288">
        <v>90.582031421742499</v>
      </c>
      <c r="AN3288">
        <v>1.0000000339902799</v>
      </c>
    </row>
    <row r="3289" spans="1:40" x14ac:dyDescent="0.25">
      <c r="A3289" t="str">
        <f>"20190303162321472"</f>
        <v>20190303162321472</v>
      </c>
      <c r="B3289" t="str">
        <f>"1551601401458117"</f>
        <v>1551601401458117</v>
      </c>
      <c r="C3289" t="s">
        <v>40</v>
      </c>
      <c r="D3289">
        <v>5.5132339999999997</v>
      </c>
      <c r="E3289">
        <v>0.48937849999999999</v>
      </c>
      <c r="F3289" t="s">
        <v>47</v>
      </c>
      <c r="G3289">
        <v>-354.14159999999998</v>
      </c>
      <c r="H3289" s="1">
        <v>6.3712859999999999E-7</v>
      </c>
      <c r="I3289">
        <v>215.3031</v>
      </c>
      <c r="J3289">
        <v>-367.72820000000002</v>
      </c>
      <c r="K3289">
        <v>1.1208370000000001</v>
      </c>
      <c r="L3289">
        <v>214.7705</v>
      </c>
      <c r="M3289">
        <v>0.99992369999999997</v>
      </c>
      <c r="N3289">
        <v>-1.215665E-2</v>
      </c>
      <c r="O3289">
        <v>2.250611E-3</v>
      </c>
      <c r="P3289">
        <v>0.98264090000000004</v>
      </c>
      <c r="Q3289">
        <v>0.18505150000000001</v>
      </c>
      <c r="R3289">
        <v>1.3153079999999999E-2</v>
      </c>
      <c r="S3289">
        <v>3.0989070000000001</v>
      </c>
      <c r="T3289">
        <v>-0.25007020000000002</v>
      </c>
      <c r="U3289">
        <v>0.118988</v>
      </c>
      <c r="V3289">
        <v>-1.0963280000000001E-2</v>
      </c>
      <c r="W3289">
        <v>0.19698260000000001</v>
      </c>
      <c r="X3289">
        <v>0.98034569999999999</v>
      </c>
      <c r="Y3289">
        <v>-3.5990050000000003E-2</v>
      </c>
      <c r="Z3289">
        <v>1.5145600000000001E-3</v>
      </c>
      <c r="AA3289">
        <v>0.99935099999999999</v>
      </c>
      <c r="AB3289">
        <v>30</v>
      </c>
      <c r="AC3289">
        <v>13.586600000000001</v>
      </c>
      <c r="AD3289">
        <v>-1.1208363628714</v>
      </c>
      <c r="AE3289">
        <v>0.53260000000000196</v>
      </c>
      <c r="AF3289">
        <v>-0.498630001882372</v>
      </c>
      <c r="AG3289">
        <v>-1.1208363628714</v>
      </c>
      <c r="AH3289">
        <v>13.496057261256899</v>
      </c>
      <c r="AI3289">
        <v>94.744250141391305</v>
      </c>
      <c r="AJ3289">
        <v>92.115907286558297</v>
      </c>
      <c r="AK3289">
        <v>13.551696116362599</v>
      </c>
      <c r="AL3289">
        <v>78.639435275988205</v>
      </c>
      <c r="AM3289">
        <v>90.640716320653098</v>
      </c>
      <c r="AN3289">
        <v>1.0000000148598001</v>
      </c>
    </row>
    <row r="3290" spans="1:40" x14ac:dyDescent="0.25">
      <c r="A3290" t="str">
        <f>"20190303162321494"</f>
        <v>20190303162321494</v>
      </c>
      <c r="B3290" t="str">
        <f>"1551601401487398"</f>
        <v>1551601401487398</v>
      </c>
      <c r="C3290" t="s">
        <v>40</v>
      </c>
      <c r="D3290">
        <v>5.5154439999999996</v>
      </c>
      <c r="E3290">
        <v>0.48965740000000002</v>
      </c>
      <c r="F3290" t="s">
        <v>47</v>
      </c>
      <c r="G3290">
        <v>-353.91050000000001</v>
      </c>
      <c r="H3290" s="1">
        <v>5.1387019999999997E-7</v>
      </c>
      <c r="I3290">
        <v>215.31</v>
      </c>
      <c r="J3290">
        <v>-367.43099999999998</v>
      </c>
      <c r="K3290">
        <v>1.120838</v>
      </c>
      <c r="L3290">
        <v>214.77119999999999</v>
      </c>
      <c r="M3290">
        <v>0.99992380000000003</v>
      </c>
      <c r="N3290">
        <v>-1.212507E-2</v>
      </c>
      <c r="O3290">
        <v>2.3220239999999998E-3</v>
      </c>
      <c r="P3290">
        <v>0.9824581</v>
      </c>
      <c r="Q3290">
        <v>0.18597079999999999</v>
      </c>
      <c r="R3290">
        <v>1.3812090000000001E-2</v>
      </c>
      <c r="S3290">
        <v>3.0987550000000001</v>
      </c>
      <c r="T3290">
        <v>-0.25135869999999999</v>
      </c>
      <c r="U3290">
        <v>0.1210022</v>
      </c>
      <c r="V3290">
        <v>-1.155252E-2</v>
      </c>
      <c r="W3290">
        <v>0.19786889999999999</v>
      </c>
      <c r="X3290">
        <v>0.98016040000000004</v>
      </c>
      <c r="Y3290">
        <v>-3.6565970000000003E-2</v>
      </c>
      <c r="Z3290">
        <v>1.5423779999999901E-3</v>
      </c>
      <c r="AA3290">
        <v>0.99933000000000005</v>
      </c>
      <c r="AB3290">
        <v>30</v>
      </c>
      <c r="AC3290">
        <v>13.520499999999901</v>
      </c>
      <c r="AD3290">
        <v>-1.1208374861298001</v>
      </c>
      <c r="AE3290">
        <v>0.53880000000000805</v>
      </c>
      <c r="AF3290">
        <v>-0.50394357214914098</v>
      </c>
      <c r="AG3290">
        <v>-1.1208374861298001</v>
      </c>
      <c r="AH3290">
        <v>13.429569538516599</v>
      </c>
      <c r="AI3290">
        <v>94.767532843194104</v>
      </c>
      <c r="AJ3290">
        <v>92.149011443991796</v>
      </c>
      <c r="AK3290">
        <v>13.485680323368101</v>
      </c>
      <c r="AL3290">
        <v>78.587634140340896</v>
      </c>
      <c r="AM3290">
        <v>90.675277220765395</v>
      </c>
      <c r="AN3290">
        <v>0.99999998601686002</v>
      </c>
    </row>
    <row r="3291" spans="1:40" x14ac:dyDescent="0.25">
      <c r="A3291" t="str">
        <f>"20190303162321516"</f>
        <v>20190303162321516</v>
      </c>
      <c r="B3291" t="str">
        <f>"1551601401507893"</f>
        <v>1551601401507893</v>
      </c>
      <c r="C3291" t="s">
        <v>40</v>
      </c>
      <c r="D3291">
        <v>5.452528</v>
      </c>
      <c r="E3291">
        <v>0.48968410000000001</v>
      </c>
      <c r="F3291" t="s">
        <v>47</v>
      </c>
      <c r="G3291">
        <v>-353.38099999999997</v>
      </c>
      <c r="H3291" s="1">
        <v>2.316072E-7</v>
      </c>
      <c r="I3291">
        <v>215.3211</v>
      </c>
      <c r="J3291">
        <v>-367.13549999999998</v>
      </c>
      <c r="K3291">
        <v>1.120838</v>
      </c>
      <c r="L3291">
        <v>214.77189999999999</v>
      </c>
      <c r="M3291">
        <v>0.99992409999999998</v>
      </c>
      <c r="N3291">
        <v>-1.209555E-2</v>
      </c>
      <c r="O3291">
        <v>2.3928899999999999E-3</v>
      </c>
      <c r="P3291">
        <v>0.98207440000000001</v>
      </c>
      <c r="Q3291">
        <v>0.1879276</v>
      </c>
      <c r="R3291">
        <v>1.461697E-2</v>
      </c>
      <c r="S3291">
        <v>3.0986940000000001</v>
      </c>
      <c r="T3291">
        <v>-0.24719759999999999</v>
      </c>
      <c r="U3291">
        <v>0.12127690000000001</v>
      </c>
      <c r="V3291">
        <v>-1.228888E-2</v>
      </c>
      <c r="W3291">
        <v>0.19979179999999999</v>
      </c>
      <c r="X3291">
        <v>0.97976129999999995</v>
      </c>
      <c r="Y3291">
        <v>-3.6588490000000001E-2</v>
      </c>
      <c r="Z3291">
        <v>1.516706E-3</v>
      </c>
      <c r="AA3291">
        <v>0.99932929999999998</v>
      </c>
      <c r="AB3291">
        <v>30</v>
      </c>
      <c r="AC3291">
        <v>13.7545</v>
      </c>
      <c r="AD3291">
        <v>-1.1208377683927999</v>
      </c>
      <c r="AE3291">
        <v>0.54920000000001301</v>
      </c>
      <c r="AF3291">
        <v>-0.51288267991947201</v>
      </c>
      <c r="AG3291">
        <v>-1.1208377683927999</v>
      </c>
      <c r="AH3291">
        <v>13.665176741934101</v>
      </c>
      <c r="AI3291">
        <v>94.685702878153904</v>
      </c>
      <c r="AJ3291">
        <v>92.149421618863599</v>
      </c>
      <c r="AK3291">
        <v>13.7206552808062</v>
      </c>
      <c r="AL3291">
        <v>78.475215580569397</v>
      </c>
      <c r="AM3291">
        <v>90.718607725539002</v>
      </c>
      <c r="AN3291">
        <v>0.99999999244829196</v>
      </c>
    </row>
    <row r="3292" spans="1:40" x14ac:dyDescent="0.25">
      <c r="A3292" t="str">
        <f>"20190303162321539"</f>
        <v>20190303162321539</v>
      </c>
      <c r="B3292" t="str">
        <f>"1551601401527414"</f>
        <v>1551601401527414</v>
      </c>
      <c r="C3292" t="s">
        <v>40</v>
      </c>
      <c r="D3292">
        <v>5.4601350000000002</v>
      </c>
      <c r="E3292">
        <v>0.48966759999999898</v>
      </c>
      <c r="F3292" t="s">
        <v>47</v>
      </c>
      <c r="G3292">
        <v>-352.67869999999999</v>
      </c>
      <c r="H3292" s="1">
        <v>-1.434849E-7</v>
      </c>
      <c r="I3292">
        <v>215.3519</v>
      </c>
      <c r="J3292">
        <v>-366.82429999999999</v>
      </c>
      <c r="K3292">
        <v>1.1208359999999999</v>
      </c>
      <c r="L3292">
        <v>214.77279999999999</v>
      </c>
      <c r="M3292">
        <v>0.99992420000000004</v>
      </c>
      <c r="N3292">
        <v>-1.2067039999999999E-2</v>
      </c>
      <c r="O3292">
        <v>2.4683399999999999E-3</v>
      </c>
      <c r="P3292">
        <v>0.98187259999999998</v>
      </c>
      <c r="Q3292">
        <v>0.18897800000000001</v>
      </c>
      <c r="R3292">
        <v>1.460619E-2</v>
      </c>
      <c r="S3292">
        <v>3.0988769999999999</v>
      </c>
      <c r="T3292">
        <v>-0.24025560000000001</v>
      </c>
      <c r="U3292">
        <v>0.1243134</v>
      </c>
      <c r="V3292">
        <v>-1.220453E-2</v>
      </c>
      <c r="W3292">
        <v>0.20081170000000001</v>
      </c>
      <c r="X3292">
        <v>0.97955380000000003</v>
      </c>
      <c r="Y3292">
        <v>-3.74921E-2</v>
      </c>
      <c r="Z3292">
        <v>1.516054E-3</v>
      </c>
      <c r="AA3292">
        <v>0.99929579999999996</v>
      </c>
      <c r="AB3292">
        <v>30</v>
      </c>
      <c r="AC3292">
        <v>14.1456</v>
      </c>
      <c r="AD3292">
        <v>-1.1208361434848999</v>
      </c>
      <c r="AE3292">
        <v>0.57910000000001005</v>
      </c>
      <c r="AF3292">
        <v>-0.540789988176683</v>
      </c>
      <c r="AG3292">
        <v>-1.1208361434848999</v>
      </c>
      <c r="AH3292">
        <v>14.0588684228024</v>
      </c>
      <c r="AI3292">
        <v>94.554881496746702</v>
      </c>
      <c r="AJ3292">
        <v>92.202859741101307</v>
      </c>
      <c r="AK3292">
        <v>14.1138410364268</v>
      </c>
      <c r="AL3292">
        <v>78.415570582830298</v>
      </c>
      <c r="AM3292">
        <v>90.713826928166299</v>
      </c>
      <c r="AN3292">
        <v>0.99999996825192505</v>
      </c>
    </row>
    <row r="3293" spans="1:40" x14ac:dyDescent="0.25">
      <c r="A3293" t="str">
        <f>"20190303162321560"</f>
        <v>20190303162321560</v>
      </c>
      <c r="B3293" t="str">
        <f>"1551601401547909"</f>
        <v>1551601401547909</v>
      </c>
      <c r="C3293" t="s">
        <v>40</v>
      </c>
      <c r="D3293">
        <v>5.4407670000000001</v>
      </c>
      <c r="E3293">
        <v>0.48977169999999998</v>
      </c>
      <c r="F3293" t="s">
        <v>47</v>
      </c>
      <c r="G3293">
        <v>-352.12939999999998</v>
      </c>
      <c r="H3293" s="1">
        <v>-4.3644829999999999E-7</v>
      </c>
      <c r="I3293">
        <v>215.36709999999999</v>
      </c>
      <c r="J3293">
        <v>-366.53219999999999</v>
      </c>
      <c r="K3293">
        <v>1.1208359999999999</v>
      </c>
      <c r="L3293">
        <v>214.77359999999999</v>
      </c>
      <c r="M3293">
        <v>0.99992440000000005</v>
      </c>
      <c r="N3293">
        <v>-1.2038510000000001E-2</v>
      </c>
      <c r="O3293">
        <v>2.5387259999999998E-3</v>
      </c>
      <c r="P3293">
        <v>0.98183140000000002</v>
      </c>
      <c r="Q3293">
        <v>0.18926200000000001</v>
      </c>
      <c r="R3293">
        <v>1.3693179999999999E-2</v>
      </c>
      <c r="S3293">
        <v>3.0989990000000001</v>
      </c>
      <c r="T3293">
        <v>-0.23637240000000001</v>
      </c>
      <c r="U3293">
        <v>0.12533569999999999</v>
      </c>
      <c r="V3293">
        <v>-1.1222569999999999E-2</v>
      </c>
      <c r="W3293">
        <v>0.2010672</v>
      </c>
      <c r="X3293">
        <v>0.97951319999999997</v>
      </c>
      <c r="Y3293">
        <v>-3.7752319999999999E-2</v>
      </c>
      <c r="Z3293">
        <v>1.502045E-3</v>
      </c>
      <c r="AA3293">
        <v>0.99928600000000001</v>
      </c>
      <c r="AB3293">
        <v>30</v>
      </c>
      <c r="AC3293">
        <v>14.402799999999999</v>
      </c>
      <c r="AD3293">
        <v>-1.1208364364483001</v>
      </c>
      <c r="AE3293">
        <v>0.59350000000000502</v>
      </c>
      <c r="AF3293">
        <v>-0.55358382042076404</v>
      </c>
      <c r="AG3293">
        <v>-1.1208364364483001</v>
      </c>
      <c r="AH3293">
        <v>14.3176984764448</v>
      </c>
      <c r="AI3293">
        <v>94.472844395302204</v>
      </c>
      <c r="AJ3293">
        <v>92.214198416329097</v>
      </c>
      <c r="AK3293">
        <v>14.372168208933999</v>
      </c>
      <c r="AL3293">
        <v>78.400627518701</v>
      </c>
      <c r="AM3293">
        <v>90.656425827445304</v>
      </c>
      <c r="AN3293">
        <v>1.0000000369837401</v>
      </c>
    </row>
    <row r="3294" spans="1:40" x14ac:dyDescent="0.25">
      <c r="A3294" t="str">
        <f>"20190303162321584"</f>
        <v>20190303162321584</v>
      </c>
      <c r="B3294" t="str">
        <f>"1551601401578424"</f>
        <v>1551601401578424</v>
      </c>
      <c r="C3294" t="s">
        <v>40</v>
      </c>
      <c r="D3294">
        <v>5.3492129999999998</v>
      </c>
      <c r="E3294">
        <v>0.51784679999999905</v>
      </c>
      <c r="F3294" t="s">
        <v>47</v>
      </c>
      <c r="G3294">
        <v>-351.77609999999999</v>
      </c>
      <c r="H3294" s="1">
        <v>-6.238644E-7</v>
      </c>
      <c r="I3294">
        <v>215.35339999999999</v>
      </c>
      <c r="J3294">
        <v>-366.22739999999999</v>
      </c>
      <c r="K3294">
        <v>1.120838</v>
      </c>
      <c r="L3294">
        <v>214.77440000000001</v>
      </c>
      <c r="M3294">
        <v>0.99992460000000005</v>
      </c>
      <c r="N3294">
        <v>-1.2006889999999999E-2</v>
      </c>
      <c r="O3294">
        <v>2.612526E-3</v>
      </c>
      <c r="P3294">
        <v>0.98175319999999999</v>
      </c>
      <c r="Q3294">
        <v>0.18975359999999999</v>
      </c>
      <c r="R3294">
        <v>1.242092E-2</v>
      </c>
      <c r="S3294">
        <v>3.0991819999999999</v>
      </c>
      <c r="T3294">
        <v>-0.23540539999999999</v>
      </c>
      <c r="U3294">
        <v>0.121780399999999</v>
      </c>
      <c r="V3294">
        <v>-9.8783159999999998E-3</v>
      </c>
      <c r="W3294">
        <v>0.20152729999999999</v>
      </c>
      <c r="X3294">
        <v>0.97943309999999995</v>
      </c>
      <c r="Y3294">
        <v>-3.653679E-2</v>
      </c>
      <c r="Z3294">
        <v>1.4381369999999999E-3</v>
      </c>
      <c r="AA3294">
        <v>0.99933130000000003</v>
      </c>
      <c r="AB3294">
        <v>30</v>
      </c>
      <c r="AC3294">
        <v>14.4513</v>
      </c>
      <c r="AD3294">
        <v>-1.1208386238643999</v>
      </c>
      <c r="AE3294">
        <v>0.57899999999997898</v>
      </c>
      <c r="AF3294">
        <v>-0.53800969382434305</v>
      </c>
      <c r="AG3294">
        <v>-1.1208386238643999</v>
      </c>
      <c r="AH3294">
        <v>14.366480259634301</v>
      </c>
      <c r="AI3294">
        <v>94.457931765648894</v>
      </c>
      <c r="AJ3294">
        <v>92.144664950609396</v>
      </c>
      <c r="AK3294">
        <v>14.4201764448934</v>
      </c>
      <c r="AL3294">
        <v>78.373714581689299</v>
      </c>
      <c r="AM3294">
        <v>90.577851234083099</v>
      </c>
      <c r="AN3294">
        <v>1.0000000155739399</v>
      </c>
    </row>
    <row r="3295" spans="1:40" x14ac:dyDescent="0.25">
      <c r="A3295" t="str">
        <f>"20190303162321605"</f>
        <v>20190303162321605</v>
      </c>
      <c r="B3295" t="str">
        <f>"1551601401597944"</f>
        <v>1551601401597944</v>
      </c>
      <c r="C3295" t="s">
        <v>40</v>
      </c>
      <c r="D3295">
        <v>5.3385030000000002</v>
      </c>
      <c r="E3295">
        <v>0.52809410000000001</v>
      </c>
      <c r="F3295" t="s">
        <v>42</v>
      </c>
      <c r="G3295">
        <v>-365.28429999999997</v>
      </c>
      <c r="H3295">
        <v>0.93439519999999998</v>
      </c>
      <c r="I3295">
        <v>214.7433</v>
      </c>
      <c r="J3295">
        <v>-365.91910000000001</v>
      </c>
      <c r="K3295">
        <v>1.120846</v>
      </c>
      <c r="L3295">
        <v>214.77529999999999</v>
      </c>
      <c r="M3295">
        <v>0.99992479999999995</v>
      </c>
      <c r="N3295">
        <v>-1.1976840000000001E-2</v>
      </c>
      <c r="O3295">
        <v>2.6875660000000002E-3</v>
      </c>
      <c r="P3295">
        <v>0.98150230000000005</v>
      </c>
      <c r="Q3295">
        <v>0.19114790000000001</v>
      </c>
      <c r="R3295">
        <v>1.0775150000000001E-2</v>
      </c>
      <c r="S3295">
        <v>3.1785580000000002</v>
      </c>
      <c r="T3295">
        <v>-0.62839350000000005</v>
      </c>
      <c r="U3295">
        <v>-0.1046448</v>
      </c>
      <c r="V3295">
        <v>-8.1596250000000002E-3</v>
      </c>
      <c r="W3295">
        <v>0.2028886</v>
      </c>
      <c r="X3295">
        <v>0.97916780000000003</v>
      </c>
      <c r="Y3295">
        <v>3.4829539999999999E-2</v>
      </c>
      <c r="Z3295">
        <v>-4.11393E-3</v>
      </c>
      <c r="AA3295">
        <v>0.99938479999999996</v>
      </c>
      <c r="AB3295">
        <v>30</v>
      </c>
      <c r="AC3295">
        <v>0.634800000000041</v>
      </c>
      <c r="AD3295">
        <v>-0.1864508</v>
      </c>
      <c r="AE3295">
        <v>-3.1999999999982202E-2</v>
      </c>
      <c r="AF3295">
        <v>3.1035462133688001E-2</v>
      </c>
      <c r="AG3295">
        <v>-0.1864508</v>
      </c>
      <c r="AH3295">
        <v>0.58442200100021802</v>
      </c>
      <c r="AI3295">
        <v>107.671131390526</v>
      </c>
      <c r="AJ3295">
        <v>86.960189295545106</v>
      </c>
      <c r="AK3295">
        <v>0.61422811396385202</v>
      </c>
      <c r="AL3295">
        <v>78.294072119371407</v>
      </c>
      <c r="AM3295">
        <v>90.477447536167404</v>
      </c>
      <c r="AN3295">
        <v>0.99999997202346902</v>
      </c>
    </row>
    <row r="3296" spans="1:40" x14ac:dyDescent="0.25">
      <c r="A3296" t="str">
        <f>"20190303162321626"</f>
        <v>20190303162321626</v>
      </c>
      <c r="B3296" t="str">
        <f>"1551601401617464"</f>
        <v>1551601401617464</v>
      </c>
      <c r="C3296" t="s">
        <v>40</v>
      </c>
      <c r="D3296">
        <v>5.2958150000000002</v>
      </c>
      <c r="E3296">
        <v>0.52844859999999905</v>
      </c>
      <c r="F3296" t="s">
        <v>42</v>
      </c>
      <c r="G3296">
        <v>-365.06529999999998</v>
      </c>
      <c r="H3296">
        <v>0.8115388</v>
      </c>
      <c r="I3296">
        <v>214.72569999999999</v>
      </c>
      <c r="J3296">
        <v>-365.63639999999998</v>
      </c>
      <c r="K3296">
        <v>1.120844</v>
      </c>
      <c r="L3296">
        <v>214.77610000000001</v>
      </c>
      <c r="M3296">
        <v>0.99992479999999995</v>
      </c>
      <c r="N3296">
        <v>-1.195095E-2</v>
      </c>
      <c r="O3296">
        <v>2.7562630000000001E-3</v>
      </c>
      <c r="P3296">
        <v>0.98134200000000005</v>
      </c>
      <c r="Q3296">
        <v>0.19204479999999999</v>
      </c>
      <c r="R3296">
        <v>9.3129130000000008E-3</v>
      </c>
      <c r="S3296">
        <v>3.2908019999999998</v>
      </c>
      <c r="T3296">
        <v>-1.192035</v>
      </c>
      <c r="U3296">
        <v>-0.18995670000000001</v>
      </c>
      <c r="V3296">
        <v>-6.6306840000000004E-3</v>
      </c>
      <c r="W3296">
        <v>0.20375879999999999</v>
      </c>
      <c r="X3296">
        <v>0.9789987</v>
      </c>
      <c r="Y3296">
        <v>5.6508170000000003E-2</v>
      </c>
      <c r="Z3296">
        <v>-1.119536E-2</v>
      </c>
      <c r="AA3296">
        <v>0.99833939999999999</v>
      </c>
      <c r="AB3296">
        <v>30</v>
      </c>
      <c r="AC3296">
        <v>0.57110000000000105</v>
      </c>
      <c r="AD3296">
        <v>-0.309305199999999</v>
      </c>
      <c r="AE3296">
        <v>-5.0400000000024599E-2</v>
      </c>
      <c r="AF3296">
        <v>4.02568956947549E-2</v>
      </c>
      <c r="AG3296">
        <v>-0.309305199999999</v>
      </c>
      <c r="AH3296">
        <v>0.44224079395042698</v>
      </c>
      <c r="AI3296">
        <v>124.858161562633</v>
      </c>
      <c r="AJ3296">
        <v>84.798736833629505</v>
      </c>
      <c r="AK3296">
        <v>0.54117210222989398</v>
      </c>
      <c r="AL3296">
        <v>78.243150384121094</v>
      </c>
      <c r="AM3296">
        <v>90.388054038785498</v>
      </c>
      <c r="AN3296">
        <v>1.00000003457471</v>
      </c>
    </row>
    <row r="3297" spans="1:40" x14ac:dyDescent="0.25">
      <c r="A3297" t="str">
        <f>"20190303162321651"</f>
        <v>20190303162321651</v>
      </c>
      <c r="B3297" t="str">
        <f>"1551601401647720"</f>
        <v>1551601401647720</v>
      </c>
      <c r="C3297" t="s">
        <v>40</v>
      </c>
      <c r="D3297">
        <v>5.3204339999999997</v>
      </c>
      <c r="E3297">
        <v>0.52884639999999905</v>
      </c>
      <c r="F3297" t="s">
        <v>42</v>
      </c>
      <c r="G3297">
        <v>-364.79239999999999</v>
      </c>
      <c r="H3297">
        <v>0.8159864</v>
      </c>
      <c r="I3297">
        <v>214.7252</v>
      </c>
      <c r="J3297">
        <v>-365.31060000000002</v>
      </c>
      <c r="K3297">
        <v>1.1208320000000001</v>
      </c>
      <c r="L3297">
        <v>214.77709999999999</v>
      </c>
      <c r="M3297">
        <v>0.99992510000000001</v>
      </c>
      <c r="N3297">
        <v>-1.1916309999999999E-2</v>
      </c>
      <c r="O3297">
        <v>2.8352630000000002E-3</v>
      </c>
      <c r="P3297">
        <v>0.98151489999999997</v>
      </c>
      <c r="Q3297">
        <v>0.19121730000000001</v>
      </c>
      <c r="R3297">
        <v>8.0513259999999993E-3</v>
      </c>
      <c r="S3297">
        <v>3.291595</v>
      </c>
      <c r="T3297">
        <v>-1.189055</v>
      </c>
      <c r="U3297">
        <v>-0.19783020000000001</v>
      </c>
      <c r="V3297">
        <v>-5.2913930000000001E-3</v>
      </c>
      <c r="W3297">
        <v>0.2028993</v>
      </c>
      <c r="X3297">
        <v>0.97918530000000004</v>
      </c>
      <c r="Y3297">
        <v>5.8818629999999997E-2</v>
      </c>
      <c r="Z3297">
        <v>-1.1610809999999999E-2</v>
      </c>
      <c r="AA3297">
        <v>0.99820109999999995</v>
      </c>
      <c r="AB3297">
        <v>30</v>
      </c>
      <c r="AC3297">
        <v>0.51820000000003497</v>
      </c>
      <c r="AD3297">
        <v>-0.30484559999999999</v>
      </c>
      <c r="AE3297">
        <v>-5.1899999999989101E-2</v>
      </c>
      <c r="AF3297">
        <v>3.9749575132385903E-2</v>
      </c>
      <c r="AG3297">
        <v>-0.30484559999999999</v>
      </c>
      <c r="AH3297">
        <v>0.38584661063175701</v>
      </c>
      <c r="AI3297">
        <v>128.16415924284601</v>
      </c>
      <c r="AJ3297">
        <v>84.118188883718005</v>
      </c>
      <c r="AK3297">
        <v>0.49334417549878901</v>
      </c>
      <c r="AL3297">
        <v>78.293446225094499</v>
      </c>
      <c r="AM3297">
        <v>90.309616101888096</v>
      </c>
      <c r="AN3297">
        <v>0.99999998825823</v>
      </c>
    </row>
    <row r="3298" spans="1:40" x14ac:dyDescent="0.25">
      <c r="A3298" t="str">
        <f>"20190303162321674"</f>
        <v>20190303162321674</v>
      </c>
      <c r="B3298" t="str">
        <f>"1551601401668215"</f>
        <v>1551601401668215</v>
      </c>
      <c r="C3298" t="s">
        <v>40</v>
      </c>
      <c r="D3298">
        <v>5.3268500000000003</v>
      </c>
      <c r="E3298">
        <v>0.52887550000000005</v>
      </c>
      <c r="F3298" t="s">
        <v>42</v>
      </c>
      <c r="G3298">
        <v>-364.51429999999999</v>
      </c>
      <c r="H3298">
        <v>0.83368299999999995</v>
      </c>
      <c r="I3298">
        <v>214.72739999999999</v>
      </c>
      <c r="J3298">
        <v>-364.9966</v>
      </c>
      <c r="K3298">
        <v>1.1208229999999999</v>
      </c>
      <c r="L3298">
        <v>214.77799999999999</v>
      </c>
      <c r="M3298">
        <v>0.99992519999999996</v>
      </c>
      <c r="N3298">
        <v>-1.187706E-2</v>
      </c>
      <c r="O3298">
        <v>2.9114280000000002E-3</v>
      </c>
      <c r="P3298">
        <v>0.98169530000000005</v>
      </c>
      <c r="Q3298">
        <v>0.1903282</v>
      </c>
      <c r="R3298">
        <v>7.0569250000000004E-3</v>
      </c>
      <c r="S3298">
        <v>3.289215</v>
      </c>
      <c r="T3298">
        <v>-1.185945</v>
      </c>
      <c r="U3298">
        <v>-0.20422360000000001</v>
      </c>
      <c r="V3298">
        <v>-4.2211189999999997E-3</v>
      </c>
      <c r="W3298">
        <v>0.20197419999999999</v>
      </c>
      <c r="X3298">
        <v>0.97938170000000002</v>
      </c>
      <c r="Y3298">
        <v>6.0755879999999998E-2</v>
      </c>
      <c r="Z3298">
        <v>-1.1964860000000001E-2</v>
      </c>
      <c r="AA3298">
        <v>0.998081</v>
      </c>
      <c r="AB3298">
        <v>30</v>
      </c>
      <c r="AC3298">
        <v>0.482300000000009</v>
      </c>
      <c r="AD3298">
        <v>-0.28713999999999901</v>
      </c>
      <c r="AE3298">
        <v>-5.0600000000002802E-2</v>
      </c>
      <c r="AF3298">
        <v>3.85047208596127E-2</v>
      </c>
      <c r="AG3298">
        <v>-0.28713999999999901</v>
      </c>
      <c r="AH3298">
        <v>0.35699276257319901</v>
      </c>
      <c r="AI3298">
        <v>128.64904228611601</v>
      </c>
      <c r="AJ3298">
        <v>83.843958863596399</v>
      </c>
      <c r="AK3298">
        <v>0.45975626766594602</v>
      </c>
      <c r="AL3298">
        <v>78.347570797365904</v>
      </c>
      <c r="AM3298">
        <v>90.246942337183796</v>
      </c>
      <c r="AN3298">
        <v>0.99999995480307002</v>
      </c>
    </row>
    <row r="3299" spans="1:40" x14ac:dyDescent="0.25">
      <c r="A3299" t="str">
        <f>"20190303162321696"</f>
        <v>20190303162321696</v>
      </c>
      <c r="B3299" t="str">
        <f>"1551601401687736"</f>
        <v>1551601401687736</v>
      </c>
      <c r="C3299" t="s">
        <v>40</v>
      </c>
      <c r="D3299">
        <v>5.3288650000000004</v>
      </c>
      <c r="E3299">
        <v>0.5289528</v>
      </c>
      <c r="F3299" t="s">
        <v>42</v>
      </c>
      <c r="G3299">
        <v>-364.23759999999999</v>
      </c>
      <c r="H3299">
        <v>0.84721179999999996</v>
      </c>
      <c r="I3299">
        <v>214.7302</v>
      </c>
      <c r="J3299">
        <v>-364.6977</v>
      </c>
      <c r="K3299">
        <v>1.120811</v>
      </c>
      <c r="L3299">
        <v>214.779</v>
      </c>
      <c r="M3299">
        <v>0.99992559999999997</v>
      </c>
      <c r="N3299">
        <v>-1.1833430000000001E-2</v>
      </c>
      <c r="O3299">
        <v>2.9836849999999998E-3</v>
      </c>
      <c r="P3299">
        <v>0.98193799999999998</v>
      </c>
      <c r="Q3299">
        <v>0.18909229999999999</v>
      </c>
      <c r="R3299">
        <v>6.4954919999999899E-3</v>
      </c>
      <c r="S3299">
        <v>3.28714</v>
      </c>
      <c r="T3299">
        <v>-1.184917</v>
      </c>
      <c r="U3299">
        <v>-0.2064667</v>
      </c>
      <c r="V3299">
        <v>-3.5878849999999999E-3</v>
      </c>
      <c r="W3299">
        <v>0.2006986</v>
      </c>
      <c r="X3299">
        <v>0.97964640000000003</v>
      </c>
      <c r="Y3299">
        <v>6.1495599999999997E-2</v>
      </c>
      <c r="Z3299">
        <v>-1.211885E-2</v>
      </c>
      <c r="AA3299">
        <v>0.99803379999999997</v>
      </c>
      <c r="AB3299">
        <v>30</v>
      </c>
      <c r="AC3299">
        <v>0.460100000000011</v>
      </c>
      <c r="AD3299">
        <v>-0.27359919999999899</v>
      </c>
      <c r="AE3299">
        <v>-4.88000000000283E-2</v>
      </c>
      <c r="AF3299">
        <v>3.7173841679509899E-2</v>
      </c>
      <c r="AG3299">
        <v>-0.27359919999999899</v>
      </c>
      <c r="AH3299">
        <v>0.340787018405313</v>
      </c>
      <c r="AI3299">
        <v>128.59374668413599</v>
      </c>
      <c r="AJ3299">
        <v>83.774656754206205</v>
      </c>
      <c r="AK3299">
        <v>0.43860484340626699</v>
      </c>
      <c r="AL3299">
        <v>78.422185013530793</v>
      </c>
      <c r="AM3299">
        <v>90.209840763721402</v>
      </c>
      <c r="AN3299">
        <v>0.99999993499684403</v>
      </c>
    </row>
    <row r="3300" spans="1:40" x14ac:dyDescent="0.25">
      <c r="A3300" t="str">
        <f>"20190303162321717"</f>
        <v>20190303162321717</v>
      </c>
      <c r="B3300" t="str">
        <f>"1551601401708231"</f>
        <v>1551601401708231</v>
      </c>
      <c r="C3300" t="s">
        <v>40</v>
      </c>
      <c r="D3300">
        <v>5.3915309999999996</v>
      </c>
      <c r="E3300">
        <v>0.52901669999999901</v>
      </c>
      <c r="F3300" t="s">
        <v>42</v>
      </c>
      <c r="G3300">
        <v>-363.96300000000002</v>
      </c>
      <c r="H3300">
        <v>0.85537949999999996</v>
      </c>
      <c r="I3300">
        <v>214.73230000000001</v>
      </c>
      <c r="J3300">
        <v>-364.41019999999997</v>
      </c>
      <c r="K3300">
        <v>1.120795</v>
      </c>
      <c r="L3300">
        <v>214.7799</v>
      </c>
      <c r="M3300">
        <v>0.99992599999999998</v>
      </c>
      <c r="N3300">
        <v>-1.178192E-2</v>
      </c>
      <c r="O3300">
        <v>3.0533650000000002E-3</v>
      </c>
      <c r="P3300">
        <v>0.98207160000000004</v>
      </c>
      <c r="Q3300">
        <v>0.1884092</v>
      </c>
      <c r="R3300">
        <v>6.1143650000000001E-3</v>
      </c>
      <c r="S3300">
        <v>3.285126</v>
      </c>
      <c r="T3300">
        <v>-1.1868890000000001</v>
      </c>
      <c r="U3300">
        <v>-0.2081451</v>
      </c>
      <c r="V3300">
        <v>-3.1380480000000001E-3</v>
      </c>
      <c r="W3300">
        <v>0.19996659999999999</v>
      </c>
      <c r="X3300">
        <v>0.97979769999999999</v>
      </c>
      <c r="Y3300">
        <v>6.205331E-2</v>
      </c>
      <c r="Z3300">
        <v>-1.226702E-2</v>
      </c>
      <c r="AA3300">
        <v>0.99799749999999998</v>
      </c>
      <c r="AB3300">
        <v>30</v>
      </c>
      <c r="AC3300">
        <v>0.44719999999995202</v>
      </c>
      <c r="AD3300">
        <v>-0.26541550000000003</v>
      </c>
      <c r="AE3300">
        <v>-4.7599999999988499E-2</v>
      </c>
      <c r="AF3300">
        <v>3.6316291047688798E-2</v>
      </c>
      <c r="AG3300">
        <v>-0.26541550000000003</v>
      </c>
      <c r="AH3300">
        <v>0.33156701976407599</v>
      </c>
      <c r="AI3300">
        <v>128.51029830295201</v>
      </c>
      <c r="AJ3300">
        <v>83.749351709689705</v>
      </c>
      <c r="AK3300">
        <v>0.42626394315135502</v>
      </c>
      <c r="AL3300">
        <v>78.464994225915007</v>
      </c>
      <c r="AM3300">
        <v>90.183503483985305</v>
      </c>
      <c r="AN3300">
        <v>1.00000001069305</v>
      </c>
    </row>
    <row r="3301" spans="1:40" x14ac:dyDescent="0.25">
      <c r="A3301" t="str">
        <f>"20190303162321738"</f>
        <v>20190303162321738</v>
      </c>
      <c r="B3301" t="str">
        <f>"1551601401727752"</f>
        <v>1551601401727752</v>
      </c>
      <c r="C3301" t="s">
        <v>40</v>
      </c>
      <c r="D3301">
        <v>5.3833589999999996</v>
      </c>
      <c r="E3301">
        <v>0.52896200000000004</v>
      </c>
      <c r="F3301" t="s">
        <v>42</v>
      </c>
      <c r="G3301">
        <v>-363.68959999999998</v>
      </c>
      <c r="H3301">
        <v>0.8602474</v>
      </c>
      <c r="I3301">
        <v>214.73390000000001</v>
      </c>
      <c r="J3301">
        <v>-364.12389999999999</v>
      </c>
      <c r="K3301">
        <v>1.120779</v>
      </c>
      <c r="L3301">
        <v>214.7808</v>
      </c>
      <c r="M3301">
        <v>0.99992639999999999</v>
      </c>
      <c r="N3301">
        <v>-1.172232E-2</v>
      </c>
      <c r="O3301">
        <v>3.1227329999999999E-3</v>
      </c>
      <c r="P3301">
        <v>0.98231380000000001</v>
      </c>
      <c r="Q3301">
        <v>0.18717549999999999</v>
      </c>
      <c r="R3301">
        <v>4.9905510000000002E-3</v>
      </c>
      <c r="S3301">
        <v>3.2838440000000002</v>
      </c>
      <c r="T3301">
        <v>-1.1872579999999999</v>
      </c>
      <c r="U3301">
        <v>-0.20922850000000001</v>
      </c>
      <c r="V3301">
        <v>-1.944861E-3</v>
      </c>
      <c r="W3301">
        <v>0.1986774</v>
      </c>
      <c r="X3301">
        <v>0.98006300000000002</v>
      </c>
      <c r="Y3301">
        <v>6.244069E-2</v>
      </c>
      <c r="Z3301">
        <v>-1.2366719999999999E-2</v>
      </c>
      <c r="AA3301">
        <v>0.99797210000000003</v>
      </c>
      <c r="AB3301">
        <v>30</v>
      </c>
      <c r="AC3301">
        <v>0.43430000000000701</v>
      </c>
      <c r="AD3301">
        <v>-0.26053159999999997</v>
      </c>
      <c r="AE3301">
        <v>-4.6899999999993697E-2</v>
      </c>
      <c r="AF3301">
        <v>3.5594473723891899E-2</v>
      </c>
      <c r="AG3301">
        <v>-0.26053159999999997</v>
      </c>
      <c r="AH3301">
        <v>0.32023726722325202</v>
      </c>
      <c r="AI3301">
        <v>128.95826287685301</v>
      </c>
      <c r="AJ3301">
        <v>83.657589333598693</v>
      </c>
      <c r="AK3301">
        <v>0.41436166386003598</v>
      </c>
      <c r="AL3301">
        <v>78.540372221334906</v>
      </c>
      <c r="AM3301">
        <v>90.113698997685503</v>
      </c>
      <c r="AN3301">
        <v>0.99999998786203403</v>
      </c>
    </row>
    <row r="3302" spans="1:40" x14ac:dyDescent="0.25">
      <c r="A3302" t="str">
        <f>"20190303162321761"</f>
        <v>20190303162321761</v>
      </c>
      <c r="B3302" t="str">
        <f>"1551601401758008"</f>
        <v>1551601401758008</v>
      </c>
      <c r="C3302" t="s">
        <v>40</v>
      </c>
      <c r="D3302">
        <v>5.3742269999999897</v>
      </c>
      <c r="E3302">
        <v>0.52923640000000005</v>
      </c>
      <c r="F3302" t="s">
        <v>42</v>
      </c>
      <c r="G3302">
        <v>-363.41660000000002</v>
      </c>
      <c r="H3302">
        <v>0.86374799999999996</v>
      </c>
      <c r="I3302">
        <v>214.73500000000001</v>
      </c>
      <c r="J3302">
        <v>-363.80529999999999</v>
      </c>
      <c r="K3302">
        <v>1.120765</v>
      </c>
      <c r="L3302">
        <v>214.78190000000001</v>
      </c>
      <c r="M3302">
        <v>0.99992700000000001</v>
      </c>
      <c r="N3302">
        <v>-1.165335E-2</v>
      </c>
      <c r="O3302">
        <v>3.2001989999999999E-3</v>
      </c>
      <c r="P3302">
        <v>0.98242220000000002</v>
      </c>
      <c r="Q3302">
        <v>0.18664149999999999</v>
      </c>
      <c r="R3302">
        <v>3.4124619999999998E-3</v>
      </c>
      <c r="S3302">
        <v>3.28241</v>
      </c>
      <c r="T3302">
        <v>-1.1927920000000001</v>
      </c>
      <c r="U3302">
        <v>-0.21121219999999999</v>
      </c>
      <c r="V3302">
        <v>-2.905448E-4</v>
      </c>
      <c r="W3302">
        <v>0.1980778</v>
      </c>
      <c r="X3302">
        <v>0.98018629999999995</v>
      </c>
      <c r="Y3302">
        <v>6.3060050000000006E-2</v>
      </c>
      <c r="Z3302">
        <v>-1.2561309999999999E-2</v>
      </c>
      <c r="AA3302">
        <v>0.99793069999999895</v>
      </c>
      <c r="AB3302">
        <v>30</v>
      </c>
      <c r="AC3302">
        <v>0.38869999999997101</v>
      </c>
      <c r="AD3302">
        <v>-0.257017</v>
      </c>
      <c r="AE3302">
        <v>-4.6899999999993697E-2</v>
      </c>
      <c r="AF3302">
        <v>3.3644833205940999E-2</v>
      </c>
      <c r="AG3302">
        <v>-0.257017</v>
      </c>
      <c r="AH3302">
        <v>0.27153319938405301</v>
      </c>
      <c r="AI3302">
        <v>133.20894708096799</v>
      </c>
      <c r="AJ3302">
        <v>82.936659187476096</v>
      </c>
      <c r="AK3302">
        <v>0.375393115890789</v>
      </c>
      <c r="AL3302">
        <v>78.575424005406305</v>
      </c>
      <c r="AM3302">
        <v>90.016983496210798</v>
      </c>
      <c r="AN3302">
        <v>1.0000000409884</v>
      </c>
    </row>
    <row r="3303" spans="1:40" x14ac:dyDescent="0.25">
      <c r="A3303" t="str">
        <f>"20190303162321784"</f>
        <v>20190303162321784</v>
      </c>
      <c r="B3303" t="str">
        <f>"1551601401778504"</f>
        <v>1551601401778504</v>
      </c>
      <c r="C3303" t="s">
        <v>40</v>
      </c>
      <c r="D3303">
        <v>5.3699019999999997</v>
      </c>
      <c r="E3303">
        <v>0.52932049999999997</v>
      </c>
      <c r="F3303" t="s">
        <v>42</v>
      </c>
      <c r="G3303">
        <v>-363.1388</v>
      </c>
      <c r="H3303">
        <v>0.87828470000000003</v>
      </c>
      <c r="I3303">
        <v>214.73769999999999</v>
      </c>
      <c r="J3303">
        <v>-363.5061</v>
      </c>
      <c r="K3303">
        <v>1.1207530000000001</v>
      </c>
      <c r="L3303">
        <v>214.78290000000001</v>
      </c>
      <c r="M3303">
        <v>0.99992740000000002</v>
      </c>
      <c r="N3303">
        <v>-1.159171E-2</v>
      </c>
      <c r="O3303">
        <v>3.27327E-3</v>
      </c>
      <c r="P3303">
        <v>0.98263750000000005</v>
      </c>
      <c r="Q3303">
        <v>0.18552560000000001</v>
      </c>
      <c r="R3303">
        <v>1.993089E-3</v>
      </c>
      <c r="S3303">
        <v>3.2811889999999999</v>
      </c>
      <c r="T3303">
        <v>-1.1936709999999999</v>
      </c>
      <c r="U3303">
        <v>-0.2172394</v>
      </c>
      <c r="V3303">
        <v>1.2015699999999999E-3</v>
      </c>
      <c r="W3303">
        <v>0.196904</v>
      </c>
      <c r="X3303">
        <v>0.98042200000000002</v>
      </c>
      <c r="Y3303">
        <v>6.4851339999999993E-2</v>
      </c>
      <c r="Z3303">
        <v>-1.2922629999999999E-2</v>
      </c>
      <c r="AA3303">
        <v>0.99781129999999996</v>
      </c>
      <c r="AB3303">
        <v>30</v>
      </c>
      <c r="AC3303">
        <v>0.36730000000000002</v>
      </c>
      <c r="AD3303">
        <v>-0.2424683</v>
      </c>
      <c r="AE3303">
        <v>-4.52000000000225E-2</v>
      </c>
      <c r="AF3303">
        <v>3.2465377965163598E-2</v>
      </c>
      <c r="AG3303">
        <v>-0.2424683</v>
      </c>
      <c r="AH3303">
        <v>0.25687766377462501</v>
      </c>
      <c r="AI3303">
        <v>133.12054712905601</v>
      </c>
      <c r="AJ3303">
        <v>82.796886379339995</v>
      </c>
      <c r="AK3303">
        <v>0.35472667142127901</v>
      </c>
      <c r="AL3303">
        <v>78.644028096096207</v>
      </c>
      <c r="AM3303">
        <v>89.929780385057597</v>
      </c>
      <c r="AN3303">
        <v>0.99999996353523102</v>
      </c>
    </row>
    <row r="3304" spans="1:40" x14ac:dyDescent="0.25">
      <c r="A3304" t="str">
        <f>"20190303162321805"</f>
        <v>20190303162321805</v>
      </c>
      <c r="B3304" t="str">
        <f>"1551601401798025"</f>
        <v>1551601401798025</v>
      </c>
      <c r="C3304" t="s">
        <v>40</v>
      </c>
      <c r="D3304">
        <v>5.3900980000000001</v>
      </c>
      <c r="E3304">
        <v>0.52939169999999902</v>
      </c>
      <c r="F3304" t="s">
        <v>42</v>
      </c>
      <c r="G3304">
        <v>-362.6259</v>
      </c>
      <c r="H3304">
        <v>0.79940679999999997</v>
      </c>
      <c r="I3304">
        <v>214.72319999999999</v>
      </c>
      <c r="J3304">
        <v>-363.1995</v>
      </c>
      <c r="K3304">
        <v>1.1207400000000001</v>
      </c>
      <c r="L3304">
        <v>214.78399999999999</v>
      </c>
      <c r="M3304">
        <v>0.99992780000000003</v>
      </c>
      <c r="N3304">
        <v>-1.153357E-2</v>
      </c>
      <c r="O3304">
        <v>3.3478129999999998E-3</v>
      </c>
      <c r="P3304">
        <v>0.98285869999999997</v>
      </c>
      <c r="Q3304">
        <v>0.18436060000000001</v>
      </c>
      <c r="R3304">
        <v>4.0430110000000001E-4</v>
      </c>
      <c r="S3304">
        <v>3.2795719999999999</v>
      </c>
      <c r="T3304">
        <v>-1.197384</v>
      </c>
      <c r="U3304">
        <v>-0.22262570000000001</v>
      </c>
      <c r="V3304">
        <v>2.8642659999999999E-3</v>
      </c>
      <c r="W3304">
        <v>0.1956841</v>
      </c>
      <c r="X3304">
        <v>0.98066279999999995</v>
      </c>
      <c r="Y3304">
        <v>6.6449090000000002E-2</v>
      </c>
      <c r="Z3304">
        <v>-1.3280200000000001E-2</v>
      </c>
      <c r="AA3304">
        <v>0.99770139999999996</v>
      </c>
      <c r="AB3304">
        <v>30</v>
      </c>
      <c r="AC3304">
        <v>0.573599999999999</v>
      </c>
      <c r="AD3304">
        <v>-0.32133319999999999</v>
      </c>
      <c r="AE3304">
        <v>-6.0800000000028803E-2</v>
      </c>
      <c r="AF3304">
        <v>4.7865434817668098E-2</v>
      </c>
      <c r="AG3304">
        <v>-0.32133319999999999</v>
      </c>
      <c r="AH3304">
        <v>0.43759048893852898</v>
      </c>
      <c r="AI3304">
        <v>126.128322369991</v>
      </c>
      <c r="AJ3304">
        <v>83.757571328676704</v>
      </c>
      <c r="AK3304">
        <v>0.54500601949151395</v>
      </c>
      <c r="AL3304">
        <v>78.715310416709897</v>
      </c>
      <c r="AM3304">
        <v>89.832654112561698</v>
      </c>
      <c r="AN3304">
        <v>0.99999999915818405</v>
      </c>
    </row>
    <row r="3305" spans="1:40" x14ac:dyDescent="0.25">
      <c r="A3305" t="str">
        <f>"20190303162321828"</f>
        <v>20190303162321828</v>
      </c>
      <c r="B3305" t="str">
        <f>"1551601401818520"</f>
        <v>1551601401818520</v>
      </c>
      <c r="C3305" t="s">
        <v>40</v>
      </c>
      <c r="D3305">
        <v>5.377694</v>
      </c>
      <c r="E3305">
        <v>0.52943619999999902</v>
      </c>
      <c r="F3305" t="s">
        <v>42</v>
      </c>
      <c r="G3305">
        <v>-362.34960000000001</v>
      </c>
      <c r="H3305">
        <v>0.80958529999999995</v>
      </c>
      <c r="I3305">
        <v>214.7243</v>
      </c>
      <c r="J3305">
        <v>-362.89420000000001</v>
      </c>
      <c r="K3305">
        <v>1.12073</v>
      </c>
      <c r="L3305">
        <v>214.7851</v>
      </c>
      <c r="M3305">
        <v>0.99992820000000004</v>
      </c>
      <c r="N3305">
        <v>-1.1480550000000001E-2</v>
      </c>
      <c r="O3305">
        <v>3.4214940000000002E-3</v>
      </c>
      <c r="P3305">
        <v>0.98298129999999995</v>
      </c>
      <c r="Q3305">
        <v>0.1837057</v>
      </c>
      <c r="R3305">
        <v>4.5174270000000001E-4</v>
      </c>
      <c r="S3305">
        <v>3.2774960000000002</v>
      </c>
      <c r="T3305">
        <v>-1.1999799999999901</v>
      </c>
      <c r="U3305">
        <v>-0.22984309999999999</v>
      </c>
      <c r="V3305">
        <v>2.8895150000000001E-3</v>
      </c>
      <c r="W3305">
        <v>0.19497890000000001</v>
      </c>
      <c r="X3305">
        <v>0.98080319999999999</v>
      </c>
      <c r="Y3305">
        <v>6.8581470000000005E-2</v>
      </c>
      <c r="Z3305">
        <v>-1.3727359999999999E-2</v>
      </c>
      <c r="AA3305">
        <v>0.99755110000000002</v>
      </c>
      <c r="AB3305">
        <v>30</v>
      </c>
      <c r="AC3305">
        <v>0.54460000000000197</v>
      </c>
      <c r="AD3305">
        <v>-0.3111447</v>
      </c>
      <c r="AE3305">
        <v>-6.0800000000000402E-2</v>
      </c>
      <c r="AF3305">
        <v>4.7386032176238498E-2</v>
      </c>
      <c r="AG3305">
        <v>-0.3111447</v>
      </c>
      <c r="AH3305">
        <v>0.41166840851494602</v>
      </c>
      <c r="AI3305">
        <v>126.901271936866</v>
      </c>
      <c r="AJ3305">
        <v>83.433737017355895</v>
      </c>
      <c r="AK3305">
        <v>0.51819623594997899</v>
      </c>
      <c r="AL3305">
        <v>78.756509223599807</v>
      </c>
      <c r="AM3305">
        <v>89.831203104386603</v>
      </c>
      <c r="AN3305">
        <v>1.0000000189361899</v>
      </c>
    </row>
    <row r="3306" spans="1:40" x14ac:dyDescent="0.25">
      <c r="A3306" t="str">
        <f>"20190303162321864"</f>
        <v>20190303162321864</v>
      </c>
      <c r="B3306" t="str">
        <f>"1551601401858536"</f>
        <v>1551601401858536</v>
      </c>
      <c r="C3306" t="s">
        <v>40</v>
      </c>
      <c r="D3306">
        <v>5.326746</v>
      </c>
      <c r="E3306">
        <v>0.52953700000000004</v>
      </c>
      <c r="F3306" t="s">
        <v>42</v>
      </c>
      <c r="G3306">
        <v>-362.07330000000002</v>
      </c>
      <c r="H3306">
        <v>0.81955460000000002</v>
      </c>
      <c r="I3306">
        <v>214.72739999999999</v>
      </c>
      <c r="J3306">
        <v>-362.42059999999998</v>
      </c>
      <c r="K3306">
        <v>1.1207149999999999</v>
      </c>
      <c r="L3306">
        <v>214.7869</v>
      </c>
      <c r="M3306">
        <v>0.9999287</v>
      </c>
      <c r="N3306">
        <v>-1.140832E-2</v>
      </c>
      <c r="O3306">
        <v>3.5365259999999999E-3</v>
      </c>
      <c r="P3306">
        <v>0.98311159999999997</v>
      </c>
      <c r="Q3306">
        <v>0.18300089999999999</v>
      </c>
      <c r="R3306">
        <v>1.5444969999999999E-3</v>
      </c>
      <c r="S3306">
        <v>3.2767029999999999</v>
      </c>
      <c r="T3306">
        <v>-1.2021630000000001</v>
      </c>
      <c r="U3306">
        <v>-0.23033139999999999</v>
      </c>
      <c r="V3306">
        <v>1.9103869999999999E-3</v>
      </c>
      <c r="W3306">
        <v>0.19420490000000001</v>
      </c>
      <c r="X3306">
        <v>0.98095909999999997</v>
      </c>
      <c r="Y3306">
        <v>6.8819969999999994E-2</v>
      </c>
      <c r="Z3306">
        <v>-1.383417E-2</v>
      </c>
      <c r="AA3306">
        <v>0.99753309999999995</v>
      </c>
      <c r="AB3306">
        <v>30</v>
      </c>
      <c r="AC3306">
        <v>0.34729999999996097</v>
      </c>
      <c r="AD3306">
        <v>-0.301160399999999</v>
      </c>
      <c r="AE3306">
        <v>-5.9500000000014097E-2</v>
      </c>
      <c r="AF3306">
        <v>3.5092632715911502E-2</v>
      </c>
      <c r="AG3306">
        <v>-0.301160399999999</v>
      </c>
      <c r="AH3306">
        <v>0.20057011118743001</v>
      </c>
      <c r="AI3306">
        <v>145.93706045672999</v>
      </c>
      <c r="AJ3306">
        <v>80.075732639420494</v>
      </c>
      <c r="AK3306">
        <v>0.36353465983428801</v>
      </c>
      <c r="AL3306">
        <v>78.801719894953806</v>
      </c>
      <c r="AM3306">
        <v>89.888418412184507</v>
      </c>
      <c r="AN3306">
        <v>0.99999997431765397</v>
      </c>
    </row>
    <row r="3307" spans="1:40" x14ac:dyDescent="0.25">
      <c r="A3307" t="str">
        <f>"20190303162321886"</f>
        <v>20190303162321886</v>
      </c>
      <c r="B3307" t="str">
        <f>"1551601401878056"</f>
        <v>1551601401878056</v>
      </c>
      <c r="C3307" t="s">
        <v>40</v>
      </c>
      <c r="D3307">
        <v>5.3169320000000004</v>
      </c>
      <c r="E3307">
        <v>0.52961740000000002</v>
      </c>
      <c r="F3307" t="s">
        <v>42</v>
      </c>
      <c r="G3307">
        <v>-361.53699999999998</v>
      </c>
      <c r="H3307">
        <v>0.7968075</v>
      </c>
      <c r="I3307">
        <v>214.72540000000001</v>
      </c>
      <c r="J3307">
        <v>-362.10890000000001</v>
      </c>
      <c r="K3307">
        <v>1.120711</v>
      </c>
      <c r="L3307">
        <v>214.78809999999999</v>
      </c>
      <c r="M3307">
        <v>0.99992879999999995</v>
      </c>
      <c r="N3307">
        <v>-1.137405E-2</v>
      </c>
      <c r="O3307">
        <v>3.6121209999999998E-3</v>
      </c>
      <c r="P3307">
        <v>0.98329489999999997</v>
      </c>
      <c r="Q3307">
        <v>0.18199499999999999</v>
      </c>
      <c r="R3307">
        <v>3.0217730000000002E-3</v>
      </c>
      <c r="S3307">
        <v>3.275452</v>
      </c>
      <c r="T3307">
        <v>-1.2006559999999999</v>
      </c>
      <c r="U3307">
        <v>-0.2276001</v>
      </c>
      <c r="V3307">
        <v>5.0785030000000001E-4</v>
      </c>
      <c r="W3307">
        <v>0.1931677</v>
      </c>
      <c r="X3307">
        <v>0.98116559999999997</v>
      </c>
      <c r="Y3307">
        <v>6.8143060000000005E-2</v>
      </c>
      <c r="Z3307">
        <v>-1.372432E-2</v>
      </c>
      <c r="AA3307">
        <v>0.99758119999999995</v>
      </c>
      <c r="AB3307">
        <v>30</v>
      </c>
      <c r="AC3307">
        <v>0.57190000000002705</v>
      </c>
      <c r="AD3307">
        <v>-0.32390350000000001</v>
      </c>
      <c r="AE3307">
        <v>-6.2699999999978204E-2</v>
      </c>
      <c r="AF3307">
        <v>4.9178092657386999E-2</v>
      </c>
      <c r="AG3307">
        <v>-0.32390350000000001</v>
      </c>
      <c r="AH3307">
        <v>0.434083433656066</v>
      </c>
      <c r="AI3307">
        <v>126.55453102670801</v>
      </c>
      <c r="AJ3307">
        <v>83.536417534785201</v>
      </c>
      <c r="AK3307">
        <v>0.54383856932393904</v>
      </c>
      <c r="AL3307">
        <v>78.862294169451602</v>
      </c>
      <c r="AM3307">
        <v>89.970343766418196</v>
      </c>
      <c r="AN3307">
        <v>0.99999997642928795</v>
      </c>
    </row>
    <row r="3308" spans="1:40" x14ac:dyDescent="0.25">
      <c r="A3308" t="str">
        <f>"20190303162321907"</f>
        <v>20190303162321907</v>
      </c>
      <c r="B3308" t="str">
        <f>"1551601401897576"</f>
        <v>1551601401897576</v>
      </c>
      <c r="C3308" t="s">
        <v>40</v>
      </c>
      <c r="D3308">
        <v>5.2796820000000002</v>
      </c>
      <c r="E3308">
        <v>0.52970709999999999</v>
      </c>
      <c r="F3308" t="s">
        <v>42</v>
      </c>
      <c r="G3308">
        <v>-361.2595</v>
      </c>
      <c r="H3308">
        <v>0.80875750000000002</v>
      </c>
      <c r="I3308">
        <v>214.7296</v>
      </c>
      <c r="J3308">
        <v>-361.81810000000002</v>
      </c>
      <c r="K3308">
        <v>1.120708</v>
      </c>
      <c r="L3308">
        <v>214.78919999999999</v>
      </c>
      <c r="M3308">
        <v>0.99992890000000001</v>
      </c>
      <c r="N3308">
        <v>-1.135074E-2</v>
      </c>
      <c r="O3308">
        <v>3.6827650000000002E-3</v>
      </c>
      <c r="P3308">
        <v>0.98338429999999999</v>
      </c>
      <c r="Q3308">
        <v>0.18148230000000001</v>
      </c>
      <c r="R3308">
        <v>4.4190870000000004E-3</v>
      </c>
      <c r="S3308">
        <v>3.2742610000000001</v>
      </c>
      <c r="T3308">
        <v>-1.2024570000000001</v>
      </c>
      <c r="U3308">
        <v>-0.22451779999999999</v>
      </c>
      <c r="V3308">
        <v>-8.1960039999999902E-4</v>
      </c>
      <c r="W3308">
        <v>0.1926329</v>
      </c>
      <c r="X3308">
        <v>0.98127059999999999</v>
      </c>
      <c r="Y3308">
        <v>6.7336629999999995E-2</v>
      </c>
      <c r="Z3308">
        <v>-1.3623740000000001E-2</v>
      </c>
      <c r="AA3308">
        <v>0.99763729999999995</v>
      </c>
      <c r="AB3308">
        <v>31</v>
      </c>
      <c r="AC3308">
        <v>0.55860000000001198</v>
      </c>
      <c r="AD3308">
        <v>-0.31195050000000002</v>
      </c>
      <c r="AE3308">
        <v>-5.9599999999989002E-2</v>
      </c>
      <c r="AF3308">
        <v>4.7125464832342701E-2</v>
      </c>
      <c r="AG3308">
        <v>-0.31195050000000002</v>
      </c>
      <c r="AH3308">
        <v>0.42677709952423798</v>
      </c>
      <c r="AI3308">
        <v>125.999490716903</v>
      </c>
      <c r="AJ3308">
        <v>83.698828246966102</v>
      </c>
      <c r="AK3308">
        <v>0.53072838303998404</v>
      </c>
      <c r="AL3308">
        <v>78.893523279052005</v>
      </c>
      <c r="AM3308">
        <v>90.047855946042802</v>
      </c>
      <c r="AN3308">
        <v>1.00000004816579</v>
      </c>
    </row>
    <row r="3309" spans="1:40" x14ac:dyDescent="0.25">
      <c r="A3309" t="str">
        <f>"20190303162321928"</f>
        <v>20190303162321928</v>
      </c>
      <c r="B3309" t="str">
        <f>"1551601401918071"</f>
        <v>1551601401918071</v>
      </c>
      <c r="C3309" t="s">
        <v>40</v>
      </c>
      <c r="D3309">
        <v>5.2715990000000001</v>
      </c>
      <c r="E3309">
        <v>0.5297887</v>
      </c>
      <c r="F3309" t="s">
        <v>42</v>
      </c>
      <c r="G3309">
        <v>-360.98430000000002</v>
      </c>
      <c r="H3309">
        <v>0.81456700000000004</v>
      </c>
      <c r="I3309">
        <v>214.73259999999999</v>
      </c>
      <c r="J3309">
        <v>-361.53</v>
      </c>
      <c r="K3309">
        <v>1.1207100000000001</v>
      </c>
      <c r="L3309">
        <v>214.79040000000001</v>
      </c>
      <c r="M3309">
        <v>0.99992879999999995</v>
      </c>
      <c r="N3309">
        <v>-1.1336799999999999E-2</v>
      </c>
      <c r="O3309">
        <v>3.752642E-3</v>
      </c>
      <c r="P3309">
        <v>0.98339359999999998</v>
      </c>
      <c r="Q3309">
        <v>0.18138789999999999</v>
      </c>
      <c r="R3309">
        <v>5.964179E-3</v>
      </c>
      <c r="S3309">
        <v>3.2734990000000002</v>
      </c>
      <c r="T3309">
        <v>-1.2019280000000001</v>
      </c>
      <c r="U3309">
        <v>-0.22219849999999999</v>
      </c>
      <c r="V3309">
        <v>-2.2958929999999998E-3</v>
      </c>
      <c r="W3309">
        <v>0.1925248</v>
      </c>
      <c r="X3309">
        <v>0.98128939999999998</v>
      </c>
      <c r="Y3309">
        <v>6.6755179999999997E-2</v>
      </c>
      <c r="Z3309">
        <v>-1.3538379999999999E-2</v>
      </c>
      <c r="AA3309">
        <v>0.99767749999999999</v>
      </c>
      <c r="AB3309">
        <v>31</v>
      </c>
      <c r="AC3309">
        <v>0.545699999999953</v>
      </c>
      <c r="AD3309">
        <v>-0.306143</v>
      </c>
      <c r="AE3309">
        <v>-5.78000000000145E-2</v>
      </c>
      <c r="AF3309">
        <v>4.5641937756607999E-2</v>
      </c>
      <c r="AG3309">
        <v>-0.306143</v>
      </c>
      <c r="AH3309">
        <v>0.41600254722740398</v>
      </c>
      <c r="AI3309">
        <v>126.18645790236</v>
      </c>
      <c r="AJ3309">
        <v>83.738806377586599</v>
      </c>
      <c r="AK3309">
        <v>0.51852178568587304</v>
      </c>
      <c r="AL3309">
        <v>78.899834313220694</v>
      </c>
      <c r="AM3309">
        <v>90.134052950216599</v>
      </c>
      <c r="AN3309">
        <v>0.99999997814603303</v>
      </c>
    </row>
    <row r="3310" spans="1:40" x14ac:dyDescent="0.25">
      <c r="A3310" t="str">
        <f>"20190303162321951"</f>
        <v>20190303162321951</v>
      </c>
      <c r="B3310" t="str">
        <f>"1551601401937593"</f>
        <v>1551601401937593</v>
      </c>
      <c r="C3310" t="s">
        <v>40</v>
      </c>
      <c r="D3310">
        <v>5.2812400000000004</v>
      </c>
      <c r="E3310">
        <v>0.52982940000000001</v>
      </c>
      <c r="F3310" t="s">
        <v>42</v>
      </c>
      <c r="G3310">
        <v>-360.70909999999998</v>
      </c>
      <c r="H3310">
        <v>0.81970109999999996</v>
      </c>
      <c r="I3310">
        <v>214.7354</v>
      </c>
      <c r="J3310">
        <v>-361.22730000000001</v>
      </c>
      <c r="K3310">
        <v>1.120709</v>
      </c>
      <c r="L3310">
        <v>214.79159999999999</v>
      </c>
      <c r="M3310">
        <v>0.99992859999999995</v>
      </c>
      <c r="N3310">
        <v>-1.1328599999999999E-2</v>
      </c>
      <c r="O3310">
        <v>3.825944E-3</v>
      </c>
      <c r="P3310">
        <v>0.98334589999999999</v>
      </c>
      <c r="Q3310">
        <v>0.181613</v>
      </c>
      <c r="R3310">
        <v>6.9170159999999998E-3</v>
      </c>
      <c r="S3310">
        <v>3.2733759999999998</v>
      </c>
      <c r="T3310">
        <v>-1.2003170000000001</v>
      </c>
      <c r="U3310">
        <v>-0.2182007</v>
      </c>
      <c r="V3310">
        <v>-3.1773069999999999E-3</v>
      </c>
      <c r="W3310">
        <v>0.192741</v>
      </c>
      <c r="X3310">
        <v>0.98124449999999996</v>
      </c>
      <c r="Y3310">
        <v>6.5695690000000001E-2</v>
      </c>
      <c r="Z3310">
        <v>-1.3353490000000001E-2</v>
      </c>
      <c r="AA3310">
        <v>0.99775029999999998</v>
      </c>
      <c r="AB3310">
        <v>31</v>
      </c>
      <c r="AC3310">
        <v>0.51820000000003497</v>
      </c>
      <c r="AD3310">
        <v>-0.301007899999999</v>
      </c>
      <c r="AE3310">
        <v>-5.61999999999898E-2</v>
      </c>
      <c r="AF3310">
        <v>4.36316174564714E-2</v>
      </c>
      <c r="AG3310">
        <v>-0.301007899999999</v>
      </c>
      <c r="AH3310">
        <v>0.38844027760717997</v>
      </c>
      <c r="AI3310">
        <v>127.598842411923</v>
      </c>
      <c r="AJ3310">
        <v>83.591105691600603</v>
      </c>
      <c r="AK3310">
        <v>0.49335111550681698</v>
      </c>
      <c r="AL3310">
        <v>78.887210538034907</v>
      </c>
      <c r="AM3310">
        <v>90.185525264168405</v>
      </c>
      <c r="AN3310">
        <v>0.99999997857051004</v>
      </c>
    </row>
    <row r="3311" spans="1:40" x14ac:dyDescent="0.25">
      <c r="A3311" t="str">
        <f>"20190303162321974"</f>
        <v>20190303162321974</v>
      </c>
      <c r="B3311" t="str">
        <f>"1551601401967848"</f>
        <v>1551601401967848</v>
      </c>
      <c r="C3311" t="s">
        <v>40</v>
      </c>
      <c r="D3311">
        <v>5.2998240000000001</v>
      </c>
      <c r="E3311">
        <v>0.52987850000000003</v>
      </c>
      <c r="F3311" t="s">
        <v>42</v>
      </c>
      <c r="G3311">
        <v>-360.43209999999999</v>
      </c>
      <c r="H3311">
        <v>0.82969799999999905</v>
      </c>
      <c r="I3311">
        <v>214.7388</v>
      </c>
      <c r="J3311">
        <v>-360.90379999999999</v>
      </c>
      <c r="K3311">
        <v>1.1207069999999999</v>
      </c>
      <c r="L3311">
        <v>214.7929</v>
      </c>
      <c r="M3311">
        <v>0.99992820000000004</v>
      </c>
      <c r="N3311">
        <v>-1.132625E-2</v>
      </c>
      <c r="O3311">
        <v>3.9045159999999998E-3</v>
      </c>
      <c r="P3311">
        <v>0.98338360000000002</v>
      </c>
      <c r="Q3311">
        <v>0.181371</v>
      </c>
      <c r="R3311">
        <v>7.8403889999999997E-3</v>
      </c>
      <c r="S3311">
        <v>3.2735599999999998</v>
      </c>
      <c r="T3311">
        <v>-1.1979219999999999</v>
      </c>
      <c r="U3311">
        <v>-0.21621699999999999</v>
      </c>
      <c r="V3311">
        <v>-4.0229849999999998E-3</v>
      </c>
      <c r="W3311">
        <v>0.19249720000000001</v>
      </c>
      <c r="X3311">
        <v>0.98128930000000003</v>
      </c>
      <c r="Y3311">
        <v>6.5213779999999999E-2</v>
      </c>
      <c r="Z3311">
        <v>-1.3267360000000001E-2</v>
      </c>
      <c r="AA3311">
        <v>0.99778310000000003</v>
      </c>
      <c r="AB3311">
        <v>31</v>
      </c>
      <c r="AC3311">
        <v>0.47169999999999801</v>
      </c>
      <c r="AD3311">
        <v>-0.29100900000000002</v>
      </c>
      <c r="AE3311">
        <v>-5.4100000000005297E-2</v>
      </c>
      <c r="AF3311">
        <v>4.0664912016228003E-2</v>
      </c>
      <c r="AG3311">
        <v>-0.29100900000000002</v>
      </c>
      <c r="AH3311">
        <v>0.34273149724464702</v>
      </c>
      <c r="AI3311">
        <v>130.13668881527701</v>
      </c>
      <c r="AJ3311">
        <v>83.233519700795</v>
      </c>
      <c r="AK3311">
        <v>0.45144739710606901</v>
      </c>
      <c r="AL3311">
        <v>78.9014463284377</v>
      </c>
      <c r="AM3311">
        <v>90.234893797560105</v>
      </c>
      <c r="AN3311">
        <v>1.0000000233553199</v>
      </c>
    </row>
    <row r="3312" spans="1:40" x14ac:dyDescent="0.25">
      <c r="A3312" t="str">
        <f>"20190303162321996"</f>
        <v>20190303162321996</v>
      </c>
      <c r="B3312" t="str">
        <f>"1551601401988345"</f>
        <v>1551601401988345</v>
      </c>
      <c r="C3312" t="s">
        <v>40</v>
      </c>
      <c r="D3312">
        <v>5.2833680000000003</v>
      </c>
      <c r="E3312">
        <v>0.52992220000000001</v>
      </c>
      <c r="F3312" t="s">
        <v>42</v>
      </c>
      <c r="G3312">
        <v>-360.15230000000003</v>
      </c>
      <c r="H3312">
        <v>0.84604080000000004</v>
      </c>
      <c r="I3312">
        <v>214.74359999999999</v>
      </c>
      <c r="J3312">
        <v>-360.61439999999999</v>
      </c>
      <c r="K3312">
        <v>1.120706</v>
      </c>
      <c r="L3312">
        <v>214.79409999999999</v>
      </c>
      <c r="M3312">
        <v>0.99992809999999999</v>
      </c>
      <c r="N3312">
        <v>-1.133061E-2</v>
      </c>
      <c r="O3312">
        <v>3.9748240000000001E-3</v>
      </c>
      <c r="P3312">
        <v>0.98344140000000002</v>
      </c>
      <c r="Q3312">
        <v>0.18105180000000001</v>
      </c>
      <c r="R3312">
        <v>7.9884159999999999E-3</v>
      </c>
      <c r="S3312">
        <v>3.2730100000000002</v>
      </c>
      <c r="T3312">
        <v>-1.196294</v>
      </c>
      <c r="U3312">
        <v>-0.21400449999999999</v>
      </c>
      <c r="V3312">
        <v>-4.1018540000000003E-3</v>
      </c>
      <c r="W3312">
        <v>0.19218279999999999</v>
      </c>
      <c r="X3312">
        <v>0.98135059999999996</v>
      </c>
      <c r="Y3312">
        <v>6.4665749999999994E-2</v>
      </c>
      <c r="Z3312">
        <v>-1.31772E-2</v>
      </c>
      <c r="AA3312">
        <v>0.99782000000000004</v>
      </c>
      <c r="AB3312">
        <v>31</v>
      </c>
      <c r="AC3312">
        <v>0.46209999999996398</v>
      </c>
      <c r="AD3312">
        <v>-0.274665199999999</v>
      </c>
      <c r="AE3312">
        <v>-5.0499999999999497E-2</v>
      </c>
      <c r="AF3312">
        <v>3.8792947701488598E-2</v>
      </c>
      <c r="AG3312">
        <v>-0.274665199999999</v>
      </c>
      <c r="AH3312">
        <v>0.34236713140827602</v>
      </c>
      <c r="AI3312">
        <v>128.56018942917001</v>
      </c>
      <c r="AJ3312">
        <v>83.535498880046106</v>
      </c>
      <c r="AK3312">
        <v>0.44063717223033</v>
      </c>
      <c r="AL3312">
        <v>78.919802908678605</v>
      </c>
      <c r="AM3312">
        <v>90.239483782594505</v>
      </c>
      <c r="AN3312">
        <v>1.0000000269712099</v>
      </c>
    </row>
    <row r="3313" spans="1:40" x14ac:dyDescent="0.25">
      <c r="A3313" t="str">
        <f>"20190303162322018"</f>
        <v>20190303162322018</v>
      </c>
      <c r="B3313" t="str">
        <f>"1551601402007864"</f>
        <v>1551601402007864</v>
      </c>
      <c r="C3313" t="s">
        <v>40</v>
      </c>
      <c r="D3313">
        <v>5.2688569999999997</v>
      </c>
      <c r="E3313">
        <v>0.52996650000000001</v>
      </c>
      <c r="F3313" t="s">
        <v>42</v>
      </c>
      <c r="G3313">
        <v>-359.87689999999998</v>
      </c>
      <c r="H3313">
        <v>0.85129009999999905</v>
      </c>
      <c r="I3313">
        <v>214.74539999999999</v>
      </c>
      <c r="J3313">
        <v>-360.30950000000001</v>
      </c>
      <c r="K3313">
        <v>1.120706</v>
      </c>
      <c r="L3313">
        <v>214.7954</v>
      </c>
      <c r="M3313">
        <v>0.99992760000000003</v>
      </c>
      <c r="N3313">
        <v>-1.133867E-2</v>
      </c>
      <c r="O3313">
        <v>4.0488069999999998E-3</v>
      </c>
      <c r="P3313">
        <v>0.98359750000000001</v>
      </c>
      <c r="Q3313">
        <v>0.18023120000000001</v>
      </c>
      <c r="R3313">
        <v>7.2698210000000001E-3</v>
      </c>
      <c r="S3313">
        <v>3.2723390000000001</v>
      </c>
      <c r="T3313">
        <v>-1.1953510000000001</v>
      </c>
      <c r="U3313">
        <v>-0.21498110000000001</v>
      </c>
      <c r="V3313">
        <v>-3.3096879999999999E-3</v>
      </c>
      <c r="W3313">
        <v>0.19137219999999999</v>
      </c>
      <c r="X3313">
        <v>0.98151200000000005</v>
      </c>
      <c r="Y3313">
        <v>6.5026039999999993E-2</v>
      </c>
      <c r="Z3313">
        <v>-1.326141E-2</v>
      </c>
      <c r="AA3313">
        <v>0.99779549999999995</v>
      </c>
      <c r="AB3313">
        <v>31</v>
      </c>
      <c r="AC3313">
        <v>0.43260000000003601</v>
      </c>
      <c r="AD3313">
        <v>-0.26941589999999999</v>
      </c>
      <c r="AE3313">
        <v>-5.0000000000011299E-2</v>
      </c>
      <c r="AF3313">
        <v>3.7426419898053398E-2</v>
      </c>
      <c r="AG3313">
        <v>-0.26941589999999999</v>
      </c>
      <c r="AH3313">
        <v>0.31270684087366302</v>
      </c>
      <c r="AI3313">
        <v>130.54551219330199</v>
      </c>
      <c r="AJ3313">
        <v>83.175000854570101</v>
      </c>
      <c r="AK3313">
        <v>0.41445293147519402</v>
      </c>
      <c r="AL3313">
        <v>78.967125385192503</v>
      </c>
      <c r="AM3313">
        <v>90.193202360409998</v>
      </c>
      <c r="AN3313">
        <v>1.00000003955574</v>
      </c>
    </row>
    <row r="3314" spans="1:40" x14ac:dyDescent="0.25">
      <c r="A3314" t="str">
        <f>"20190303162322041"</f>
        <v>20190303162322041</v>
      </c>
      <c r="B3314" t="str">
        <f>"1551601402028360"</f>
        <v>1551601402028360</v>
      </c>
      <c r="C3314" t="s">
        <v>40</v>
      </c>
      <c r="D3314">
        <v>5.2166860000000002</v>
      </c>
      <c r="E3314">
        <v>0.52965600000000002</v>
      </c>
      <c r="F3314" t="s">
        <v>42</v>
      </c>
      <c r="G3314">
        <v>-359.59969999999998</v>
      </c>
      <c r="H3314">
        <v>0.86092559999999996</v>
      </c>
      <c r="I3314">
        <v>214.74809999999999</v>
      </c>
      <c r="J3314">
        <v>-360.00299999999999</v>
      </c>
      <c r="K3314">
        <v>1.1207069999999999</v>
      </c>
      <c r="L3314">
        <v>214.79669999999999</v>
      </c>
      <c r="M3314">
        <v>0.99992709999999996</v>
      </c>
      <c r="N3314">
        <v>-1.134782E-2</v>
      </c>
      <c r="O3314">
        <v>4.1234380000000001E-3</v>
      </c>
      <c r="P3314">
        <v>0.98365979999999997</v>
      </c>
      <c r="Q3314">
        <v>0.17992259999999999</v>
      </c>
      <c r="R3314">
        <v>6.4159119999999898E-3</v>
      </c>
      <c r="S3314">
        <v>3.2709350000000001</v>
      </c>
      <c r="T3314">
        <v>-1.197052</v>
      </c>
      <c r="U3314">
        <v>-0.21711730000000001</v>
      </c>
      <c r="V3314">
        <v>-2.3822100000000001E-3</v>
      </c>
      <c r="W3314">
        <v>0.19107360000000001</v>
      </c>
      <c r="X3314">
        <v>0.98157280000000002</v>
      </c>
      <c r="Y3314">
        <v>6.5711000000000006E-2</v>
      </c>
      <c r="Z3314">
        <v>-1.343487E-2</v>
      </c>
      <c r="AA3314">
        <v>0.99774830000000003</v>
      </c>
      <c r="AB3314">
        <v>31</v>
      </c>
      <c r="AC3314">
        <v>0.403300000000058</v>
      </c>
      <c r="AD3314">
        <v>-0.259781399999999</v>
      </c>
      <c r="AE3314">
        <v>-4.8599999999993301E-2</v>
      </c>
      <c r="AF3314">
        <v>3.5673183242819102E-2</v>
      </c>
      <c r="AG3314">
        <v>-0.259781399999999</v>
      </c>
      <c r="AH3314">
        <v>0.28609147315327099</v>
      </c>
      <c r="AI3314">
        <v>132.02069711199201</v>
      </c>
      <c r="AJ3314">
        <v>82.892386484418793</v>
      </c>
      <c r="AK3314">
        <v>0.38808154143123602</v>
      </c>
      <c r="AL3314">
        <v>78.984554869836103</v>
      </c>
      <c r="AM3314">
        <v>90.139052662154498</v>
      </c>
      <c r="AN3314">
        <v>0.99999997862064105</v>
      </c>
    </row>
    <row r="3315" spans="1:40" x14ac:dyDescent="0.25">
      <c r="A3315" t="str">
        <f>"20190303162322065"</f>
        <v>20190303162322065</v>
      </c>
      <c r="B3315" t="str">
        <f>"1551601402057641"</f>
        <v>1551601402057641</v>
      </c>
      <c r="C3315" t="s">
        <v>40</v>
      </c>
      <c r="D3315">
        <v>5.0456139999999996</v>
      </c>
      <c r="E3315">
        <v>0.5002605</v>
      </c>
      <c r="F3315" t="s">
        <v>42</v>
      </c>
      <c r="G3315">
        <v>-359.3211</v>
      </c>
      <c r="H3315">
        <v>0.87348890000000001</v>
      </c>
      <c r="I3315">
        <v>214.75120000000001</v>
      </c>
      <c r="J3315">
        <v>-359.66969999999998</v>
      </c>
      <c r="K3315">
        <v>1.120711</v>
      </c>
      <c r="L3315">
        <v>214.79820000000001</v>
      </c>
      <c r="M3315">
        <v>0.9999268</v>
      </c>
      <c r="N3315">
        <v>-1.1358119999999999E-2</v>
      </c>
      <c r="O3315">
        <v>4.2044400000000003E-3</v>
      </c>
      <c r="P3315">
        <v>0.9836319</v>
      </c>
      <c r="Q3315">
        <v>0.18010419999999999</v>
      </c>
      <c r="R3315">
        <v>5.5625980000000002E-3</v>
      </c>
      <c r="S3315">
        <v>3.267944</v>
      </c>
      <c r="T3315">
        <v>-1.1847510000000001</v>
      </c>
      <c r="U3315">
        <v>-0.21760560000000001</v>
      </c>
      <c r="V3315">
        <v>-1.4493290000000001E-3</v>
      </c>
      <c r="W3315">
        <v>0.19126509999999999</v>
      </c>
      <c r="X3315">
        <v>0.98153729999999995</v>
      </c>
      <c r="Y3315">
        <v>6.6055970000000006E-2</v>
      </c>
      <c r="Z3315">
        <v>-1.3409620000000001E-2</v>
      </c>
      <c r="AA3315">
        <v>0.9977258</v>
      </c>
      <c r="AB3315">
        <v>31</v>
      </c>
      <c r="AC3315">
        <v>0.34859999999997598</v>
      </c>
      <c r="AD3315">
        <v>-0.247222099999999</v>
      </c>
      <c r="AE3315">
        <v>-4.6999999999997003E-2</v>
      </c>
      <c r="AF3315">
        <v>3.2440750515469602E-2</v>
      </c>
      <c r="AG3315">
        <v>-0.247222099999999</v>
      </c>
      <c r="AH3315">
        <v>0.23320445341388199</v>
      </c>
      <c r="AI3315">
        <v>136.397130372882</v>
      </c>
      <c r="AJ3315">
        <v>82.080486063452796</v>
      </c>
      <c r="AK3315">
        <v>0.34140223507540801</v>
      </c>
      <c r="AL3315">
        <v>78.973376305218594</v>
      </c>
      <c r="AM3315">
        <v>90.084602362512697</v>
      </c>
      <c r="AN3315">
        <v>0.99999995516192397</v>
      </c>
    </row>
    <row r="3316" spans="1:40" x14ac:dyDescent="0.25">
      <c r="A3316" t="str">
        <f>"20190303162322087"</f>
        <v>20190303162322087</v>
      </c>
      <c r="B3316" t="str">
        <f>"1551601402077870"</f>
        <v>1551601402077870</v>
      </c>
      <c r="C3316" t="s">
        <v>40</v>
      </c>
      <c r="D3316">
        <v>5.4022189999999997</v>
      </c>
      <c r="E3316">
        <v>0.49588480000000001</v>
      </c>
      <c r="F3316" t="s">
        <v>42</v>
      </c>
      <c r="G3316">
        <v>-358.69690000000003</v>
      </c>
      <c r="H3316">
        <v>1.0342340000000001</v>
      </c>
      <c r="I3316">
        <v>214.80269999999999</v>
      </c>
      <c r="J3316">
        <v>-359.36590000000001</v>
      </c>
      <c r="K3316">
        <v>1.120717</v>
      </c>
      <c r="L3316">
        <v>214.79949999999999</v>
      </c>
      <c r="M3316">
        <v>0.99992630000000005</v>
      </c>
      <c r="N3316">
        <v>-1.1367520000000001E-2</v>
      </c>
      <c r="O3316">
        <v>4.2782339999999997E-3</v>
      </c>
      <c r="P3316">
        <v>0.98345830000000001</v>
      </c>
      <c r="Q3316">
        <v>0.1810601</v>
      </c>
      <c r="R3316">
        <v>5.2468619999999997E-3</v>
      </c>
      <c r="S3316">
        <v>3.1003419999999999</v>
      </c>
      <c r="T3316">
        <v>-0.27556199999999997</v>
      </c>
      <c r="U3316">
        <v>1.4312739999999999E-2</v>
      </c>
      <c r="V3316">
        <v>-1.0620619999999999E-3</v>
      </c>
      <c r="W3316">
        <v>0.1922277</v>
      </c>
      <c r="X3316">
        <v>0.98134980000000005</v>
      </c>
      <c r="Y3316">
        <v>-3.4922199999999902E-4</v>
      </c>
      <c r="Z3316">
        <v>-3.1347329999999998E-4</v>
      </c>
      <c r="AA3316">
        <v>0.99999990000000005</v>
      </c>
      <c r="AB3316">
        <v>31</v>
      </c>
      <c r="AC3316">
        <v>0.66899999999998205</v>
      </c>
      <c r="AD3316">
        <v>-8.6482999999999796E-2</v>
      </c>
      <c r="AE3316">
        <v>3.19999999999254E-3</v>
      </c>
      <c r="AF3316">
        <v>-3.3209776250260099E-4</v>
      </c>
      <c r="AG3316">
        <v>-8.6482999999999796E-2</v>
      </c>
      <c r="AH3316">
        <v>0.65801161482223203</v>
      </c>
      <c r="AI3316">
        <v>97.487513377736803</v>
      </c>
      <c r="AJ3316">
        <v>90.028917116556798</v>
      </c>
      <c r="AK3316">
        <v>0.66367062976968105</v>
      </c>
      <c r="AL3316">
        <v>78.917181409204701</v>
      </c>
      <c r="AM3316">
        <v>90.062008110078096</v>
      </c>
      <c r="AN3316">
        <v>1.0000000232915101</v>
      </c>
    </row>
    <row r="3317" spans="1:40" x14ac:dyDescent="0.25">
      <c r="A3317" t="str">
        <f>"20190303162322109"</f>
        <v>20190303162322109</v>
      </c>
      <c r="B3317" t="str">
        <f>"1551601402098366"</f>
        <v>1551601402098366</v>
      </c>
      <c r="C3317" t="s">
        <v>40</v>
      </c>
      <c r="D3317">
        <v>5.5249480000000002</v>
      </c>
      <c r="E3317">
        <v>0.49495420000000001</v>
      </c>
      <c r="F3317" t="s">
        <v>47</v>
      </c>
      <c r="G3317">
        <v>-340.28620000000001</v>
      </c>
      <c r="H3317" s="1">
        <v>-1.3844919999999901E-6</v>
      </c>
      <c r="I3317">
        <v>215.0967</v>
      </c>
      <c r="J3317">
        <v>-359.06909999999999</v>
      </c>
      <c r="K3317">
        <v>1.1207260000000001</v>
      </c>
      <c r="L3317">
        <v>214.80090000000001</v>
      </c>
      <c r="M3317">
        <v>0.99992599999999998</v>
      </c>
      <c r="N3317">
        <v>-1.137639E-2</v>
      </c>
      <c r="O3317">
        <v>4.3503630000000003E-3</v>
      </c>
      <c r="P3317">
        <v>0.98326919999999995</v>
      </c>
      <c r="Q3317">
        <v>0.1820726</v>
      </c>
      <c r="R3317">
        <v>5.6391540000000004E-3</v>
      </c>
      <c r="S3317">
        <v>3.0835880000000002</v>
      </c>
      <c r="T3317">
        <v>-0.18112610000000001</v>
      </c>
      <c r="U3317">
        <v>4.8034670000000002E-2</v>
      </c>
      <c r="V3317">
        <v>-1.3841929999999999E-3</v>
      </c>
      <c r="W3317">
        <v>0.1932468</v>
      </c>
      <c r="X3317">
        <v>0.98114920000000005</v>
      </c>
      <c r="Y3317">
        <v>-1.1207190000000001E-2</v>
      </c>
      <c r="Z3317">
        <v>1.8682449999999999E-4</v>
      </c>
      <c r="AA3317">
        <v>0.99993719999999997</v>
      </c>
      <c r="AB3317">
        <v>31</v>
      </c>
      <c r="AC3317">
        <v>18.782899999999898</v>
      </c>
      <c r="AD3317">
        <v>-1.120727384492</v>
      </c>
      <c r="AE3317">
        <v>0.29579999999998502</v>
      </c>
      <c r="AF3317">
        <v>-0.21332021872938201</v>
      </c>
      <c r="AG3317">
        <v>-1.120727384492</v>
      </c>
      <c r="AH3317">
        <v>18.717387992484198</v>
      </c>
      <c r="AI3317">
        <v>93.426344570037699</v>
      </c>
      <c r="AJ3317">
        <v>90.652966059144802</v>
      </c>
      <c r="AK3317">
        <v>18.7521238436413</v>
      </c>
      <c r="AL3317">
        <v>78.857675273561298</v>
      </c>
      <c r="AM3317">
        <v>90.080832114336104</v>
      </c>
      <c r="AN3317">
        <v>0.99999999718056998</v>
      </c>
    </row>
    <row r="3318" spans="1:40" x14ac:dyDescent="0.25">
      <c r="A3318" t="str">
        <f>"20190303162322128"</f>
        <v>20190303162322128</v>
      </c>
      <c r="B3318" t="str">
        <f>"1551601402117886"</f>
        <v>1551601402117886</v>
      </c>
      <c r="C3318" t="s">
        <v>40</v>
      </c>
      <c r="D3318">
        <v>5.4980859999999998</v>
      </c>
      <c r="E3318">
        <v>0.49422969999999999</v>
      </c>
      <c r="F3318" t="s">
        <v>47</v>
      </c>
      <c r="G3318">
        <v>-337.42079999999999</v>
      </c>
      <c r="H3318" s="1">
        <v>2.386803E-6</v>
      </c>
      <c r="I3318">
        <v>215.1968</v>
      </c>
      <c r="J3318">
        <v>-358.79520000000002</v>
      </c>
      <c r="K3318">
        <v>1.120733</v>
      </c>
      <c r="L3318">
        <v>214.8022</v>
      </c>
      <c r="M3318">
        <v>0.99992550000000002</v>
      </c>
      <c r="N3318">
        <v>-1.1384089999999999E-2</v>
      </c>
      <c r="O3318">
        <v>4.4171330000000002E-3</v>
      </c>
      <c r="P3318">
        <v>0.98318649999999996</v>
      </c>
      <c r="Q3318">
        <v>0.1825193</v>
      </c>
      <c r="R3318">
        <v>5.5850070000000003E-3</v>
      </c>
      <c r="S3318">
        <v>3.0802610000000001</v>
      </c>
      <c r="T3318">
        <v>-0.15946379999999999</v>
      </c>
      <c r="U3318">
        <v>5.6335450000000002E-2</v>
      </c>
      <c r="V3318">
        <v>-1.264776E-3</v>
      </c>
      <c r="W3318">
        <v>0.19370009999999999</v>
      </c>
      <c r="X3318">
        <v>0.98106000000000004</v>
      </c>
      <c r="Y3318">
        <v>-1.385024E-2</v>
      </c>
      <c r="Z3318">
        <v>2.5890899999999998E-4</v>
      </c>
      <c r="AA3318">
        <v>0.99990400000000002</v>
      </c>
      <c r="AB3318">
        <v>31</v>
      </c>
      <c r="AC3318">
        <v>21.374400000000001</v>
      </c>
      <c r="AD3318">
        <v>-1.1207306131970001</v>
      </c>
      <c r="AE3318">
        <v>0.39459999999999601</v>
      </c>
      <c r="AF3318">
        <v>-0.29935375066383002</v>
      </c>
      <c r="AG3318">
        <v>-1.1207306131970001</v>
      </c>
      <c r="AH3318">
        <v>21.317347766032601</v>
      </c>
      <c r="AI3318">
        <v>93.009180987928701</v>
      </c>
      <c r="AJ3318">
        <v>90.804536257849605</v>
      </c>
      <c r="AK3318">
        <v>21.348886752085399</v>
      </c>
      <c r="AL3318">
        <v>78.831203240695004</v>
      </c>
      <c r="AM3318">
        <v>90.073865295377104</v>
      </c>
      <c r="AN3318">
        <v>1.0000000259991599</v>
      </c>
    </row>
    <row r="3319" spans="1:40" x14ac:dyDescent="0.25">
      <c r="A3319" t="str">
        <f>"20190303162322152"</f>
        <v>20190303162322152</v>
      </c>
      <c r="B3319" t="str">
        <f>"1551601402138382"</f>
        <v>1551601402138382</v>
      </c>
      <c r="C3319" t="s">
        <v>40</v>
      </c>
      <c r="D3319">
        <v>5.4938320000000003</v>
      </c>
      <c r="E3319">
        <v>0.4936605</v>
      </c>
      <c r="F3319" t="s">
        <v>47</v>
      </c>
      <c r="G3319">
        <v>-335.47660000000002</v>
      </c>
      <c r="H3319" s="1">
        <v>1.349126E-6</v>
      </c>
      <c r="I3319">
        <v>215.26679999999999</v>
      </c>
      <c r="J3319">
        <v>-358.47519999999997</v>
      </c>
      <c r="K3319">
        <v>1.1207419999999999</v>
      </c>
      <c r="L3319">
        <v>214.80369999999999</v>
      </c>
      <c r="M3319">
        <v>0.99992510000000001</v>
      </c>
      <c r="N3319">
        <v>-1.13925E-2</v>
      </c>
      <c r="O3319">
        <v>4.4949259999999998E-3</v>
      </c>
      <c r="P3319">
        <v>0.98297780000000001</v>
      </c>
      <c r="Q3319">
        <v>0.1836178</v>
      </c>
      <c r="R3319">
        <v>6.2922780000000001E-3</v>
      </c>
      <c r="S3319">
        <v>3.0784609999999999</v>
      </c>
      <c r="T3319">
        <v>-0.1479558</v>
      </c>
      <c r="U3319">
        <v>6.1340329999999998E-2</v>
      </c>
      <c r="V3319">
        <v>-1.896359E-3</v>
      </c>
      <c r="W3319">
        <v>0.19480449999999999</v>
      </c>
      <c r="X3319">
        <v>0.9808403</v>
      </c>
      <c r="Y3319">
        <v>-1.540819E-2</v>
      </c>
      <c r="Z3319">
        <v>2.9316280000000003E-4</v>
      </c>
      <c r="AA3319">
        <v>0.99988129999999997</v>
      </c>
      <c r="AB3319">
        <v>31</v>
      </c>
      <c r="AC3319">
        <v>22.9985999999999</v>
      </c>
      <c r="AD3319">
        <v>-1.1207406508740001</v>
      </c>
      <c r="AE3319">
        <v>0.46309999999999701</v>
      </c>
      <c r="AF3319">
        <v>-0.35885978060085499</v>
      </c>
      <c r="AG3319">
        <v>-1.1207406508740001</v>
      </c>
      <c r="AH3319">
        <v>22.945981792674399</v>
      </c>
      <c r="AI3319">
        <v>92.795909421391599</v>
      </c>
      <c r="AJ3319">
        <v>90.895994556076403</v>
      </c>
      <c r="AK3319">
        <v>22.9761380649229</v>
      </c>
      <c r="AL3319">
        <v>78.766697219186398</v>
      </c>
      <c r="AM3319">
        <v>90.110775660174397</v>
      </c>
      <c r="AN3319">
        <v>1.0000000417508901</v>
      </c>
    </row>
    <row r="3320" spans="1:40" x14ac:dyDescent="0.25">
      <c r="A3320" t="str">
        <f>"20190303162322174"</f>
        <v>20190303162322174</v>
      </c>
      <c r="B3320" t="str">
        <f>"1551601402167662"</f>
        <v>1551601402167662</v>
      </c>
      <c r="C3320" t="s">
        <v>40</v>
      </c>
      <c r="D3320">
        <v>5.4883480000000002</v>
      </c>
      <c r="E3320">
        <v>0.49326009999999998</v>
      </c>
      <c r="F3320" t="s">
        <v>47</v>
      </c>
      <c r="G3320">
        <v>-333.72789999999998</v>
      </c>
      <c r="H3320" s="1">
        <v>4.1484840000000001E-7</v>
      </c>
      <c r="I3320">
        <v>215.35220000000001</v>
      </c>
      <c r="J3320">
        <v>-358.16140000000001</v>
      </c>
      <c r="K3320">
        <v>1.1207499999999999</v>
      </c>
      <c r="L3320">
        <v>214.80520000000001</v>
      </c>
      <c r="M3320">
        <v>0.9999247</v>
      </c>
      <c r="N3320">
        <v>-1.140015E-2</v>
      </c>
      <c r="O3320">
        <v>4.5707589999999998E-3</v>
      </c>
      <c r="P3320">
        <v>0.98266719999999996</v>
      </c>
      <c r="Q3320">
        <v>0.1852414</v>
      </c>
      <c r="R3320">
        <v>7.1584819999999999E-3</v>
      </c>
      <c r="S3320">
        <v>3.0775760000000001</v>
      </c>
      <c r="T3320">
        <v>-0.13937559999999999</v>
      </c>
      <c r="U3320">
        <v>6.8222050000000006E-2</v>
      </c>
      <c r="V3320">
        <v>-2.6896239999999998E-3</v>
      </c>
      <c r="W3320">
        <v>0.19643179999999999</v>
      </c>
      <c r="X3320">
        <v>0.98051379999999999</v>
      </c>
      <c r="Y3320">
        <v>-1.7571940000000001E-2</v>
      </c>
      <c r="Z3320">
        <v>3.4310269999999999E-4</v>
      </c>
      <c r="AA3320">
        <v>0.9998456</v>
      </c>
      <c r="AB3320">
        <v>31</v>
      </c>
      <c r="AC3320">
        <v>24.433499999999999</v>
      </c>
      <c r="AD3320">
        <v>-1.1207495851515901</v>
      </c>
      <c r="AE3320">
        <v>0.54699999999999704</v>
      </c>
      <c r="AF3320">
        <v>-0.43439389494853697</v>
      </c>
      <c r="AG3320">
        <v>-1.1207495851515901</v>
      </c>
      <c r="AH3320">
        <v>24.384465878340102</v>
      </c>
      <c r="AI3320">
        <v>92.631138054320104</v>
      </c>
      <c r="AJ3320">
        <v>91.020580258052306</v>
      </c>
      <c r="AK3320">
        <v>24.4140728650612</v>
      </c>
      <c r="AL3320">
        <v>78.671622478128796</v>
      </c>
      <c r="AM3320">
        <v>90.157166290940296</v>
      </c>
      <c r="AN3320">
        <v>0.99999999905947001</v>
      </c>
    </row>
    <row r="3321" spans="1:40" x14ac:dyDescent="0.25">
      <c r="A3321" t="str">
        <f>"20190303162322197"</f>
        <v>20190303162322197</v>
      </c>
      <c r="B3321" t="str">
        <f>"1551601402188386"</f>
        <v>1551601402188386</v>
      </c>
      <c r="C3321" t="s">
        <v>40</v>
      </c>
      <c r="D3321">
        <v>5.1951890000000001</v>
      </c>
      <c r="E3321">
        <v>0.49323650000000002</v>
      </c>
      <c r="F3321" t="s">
        <v>47</v>
      </c>
      <c r="G3321">
        <v>-331.92809999999997</v>
      </c>
      <c r="H3321" s="1">
        <v>-5.4688629999999997E-7</v>
      </c>
      <c r="I3321">
        <v>215.4435</v>
      </c>
      <c r="J3321">
        <v>-357.84960000000001</v>
      </c>
      <c r="K3321">
        <v>1.120749</v>
      </c>
      <c r="L3321">
        <v>214.80670000000001</v>
      </c>
      <c r="M3321">
        <v>0.99992420000000004</v>
      </c>
      <c r="N3321">
        <v>-1.1406940000000001E-2</v>
      </c>
      <c r="O3321">
        <v>4.6462379999999996E-3</v>
      </c>
      <c r="P3321">
        <v>0.98270139999999995</v>
      </c>
      <c r="Q3321">
        <v>0.1850366</v>
      </c>
      <c r="R3321">
        <v>7.7241389999999997E-3</v>
      </c>
      <c r="S3321">
        <v>3.077118</v>
      </c>
      <c r="T3321">
        <v>-0.1314621</v>
      </c>
      <c r="U3321">
        <v>7.4874880000000005E-2</v>
      </c>
      <c r="V3321">
        <v>-3.1811420000000001E-3</v>
      </c>
      <c r="W3321">
        <v>0.19623450000000001</v>
      </c>
      <c r="X3321">
        <v>0.98055179999999997</v>
      </c>
      <c r="Y3321">
        <v>-1.965973E-2</v>
      </c>
      <c r="Z3321">
        <v>3.8651709999999999E-4</v>
      </c>
      <c r="AA3321">
        <v>0.99980659999999999</v>
      </c>
      <c r="AB3321">
        <v>31</v>
      </c>
      <c r="AC3321">
        <v>25.921500000000002</v>
      </c>
      <c r="AD3321">
        <v>-1.1207495468863</v>
      </c>
      <c r="AE3321">
        <v>0.63679999999999304</v>
      </c>
      <c r="AF3321">
        <v>-0.51538496999449801</v>
      </c>
      <c r="AG3321">
        <v>-1.1207495468863</v>
      </c>
      <c r="AH3321">
        <v>25.875836570881599</v>
      </c>
      <c r="AI3321">
        <v>92.479587447649095</v>
      </c>
      <c r="AJ3321">
        <v>91.141044447868495</v>
      </c>
      <c r="AK3321">
        <v>25.905223787049501</v>
      </c>
      <c r="AL3321">
        <v>78.683150934407607</v>
      </c>
      <c r="AM3321">
        <v>90.185880410582698</v>
      </c>
      <c r="AN3321">
        <v>0.99999996556895598</v>
      </c>
    </row>
    <row r="3322" spans="1:40" x14ac:dyDescent="0.25">
      <c r="A3322" t="str">
        <f>"20190303162322219"</f>
        <v>20190303162322219</v>
      </c>
      <c r="B3322" t="str">
        <f>"1551601402207907"</f>
        <v>1551601402207907</v>
      </c>
      <c r="C3322" t="s">
        <v>40</v>
      </c>
      <c r="D3322">
        <v>5.4828020000000004</v>
      </c>
      <c r="E3322">
        <v>0.49323919999999999</v>
      </c>
      <c r="F3322" t="s">
        <v>47</v>
      </c>
      <c r="G3322">
        <v>-331.6619</v>
      </c>
      <c r="H3322" s="1">
        <v>-6.8935070000000001E-7</v>
      </c>
      <c r="I3322">
        <v>215.46109999999999</v>
      </c>
      <c r="J3322">
        <v>-357.5532</v>
      </c>
      <c r="K3322">
        <v>1.120736</v>
      </c>
      <c r="L3322">
        <v>214.8081</v>
      </c>
      <c r="M3322">
        <v>0.99992380000000003</v>
      </c>
      <c r="N3322">
        <v>-1.1412739999999999E-2</v>
      </c>
      <c r="O3322">
        <v>4.7185020000000003E-3</v>
      </c>
      <c r="P3322">
        <v>0.98277990000000004</v>
      </c>
      <c r="Q3322">
        <v>0.18459020000000001</v>
      </c>
      <c r="R3322">
        <v>8.3858219999999994E-3</v>
      </c>
      <c r="S3322">
        <v>3.0769959999999998</v>
      </c>
      <c r="T3322">
        <v>-0.13168529999999901</v>
      </c>
      <c r="U3322">
        <v>7.6889040000000006E-2</v>
      </c>
      <c r="V3322">
        <v>-3.7710780000000002E-3</v>
      </c>
      <c r="W3322">
        <v>0.19579450000000001</v>
      </c>
      <c r="X3322">
        <v>0.98063769999999995</v>
      </c>
      <c r="Y3322">
        <v>-2.0241789999999999E-2</v>
      </c>
      <c r="Z3322">
        <v>4.0048949999999997E-4</v>
      </c>
      <c r="AA3322">
        <v>0.99979499999999999</v>
      </c>
      <c r="AB3322">
        <v>31</v>
      </c>
      <c r="AC3322">
        <v>25.891300000000001</v>
      </c>
      <c r="AD3322">
        <v>-1.1207366893507</v>
      </c>
      <c r="AE3322">
        <v>0.65299999999999103</v>
      </c>
      <c r="AF3322">
        <v>-0.52982452945292102</v>
      </c>
      <c r="AG3322">
        <v>-1.1207366893507</v>
      </c>
      <c r="AH3322">
        <v>25.845696885905401</v>
      </c>
      <c r="AI3322">
        <v>92.482417788993601</v>
      </c>
      <c r="AJ3322">
        <v>91.174371824976603</v>
      </c>
      <c r="AK3322">
        <v>25.875409412741</v>
      </c>
      <c r="AL3322">
        <v>78.708860232727901</v>
      </c>
      <c r="AM3322">
        <v>90.220331921307604</v>
      </c>
      <c r="AN3322">
        <v>1.0000000029604099</v>
      </c>
    </row>
    <row r="3323" spans="1:40" x14ac:dyDescent="0.25">
      <c r="A3323" t="str">
        <f>"20190303162322241"</f>
        <v>20190303162322241</v>
      </c>
      <c r="B3323" t="str">
        <f>"1551601402228404"</f>
        <v>1551601402228404</v>
      </c>
      <c r="C3323" t="s">
        <v>40</v>
      </c>
      <c r="D3323">
        <v>5.5387050000000002</v>
      </c>
      <c r="E3323">
        <v>0.4932339</v>
      </c>
      <c r="F3323" t="s">
        <v>47</v>
      </c>
      <c r="G3323">
        <v>-331.81199999999899</v>
      </c>
      <c r="H3323" s="1">
        <v>-6.0953149999999997E-7</v>
      </c>
      <c r="I3323">
        <v>215.4622</v>
      </c>
      <c r="J3323">
        <v>-357.25599999999997</v>
      </c>
      <c r="K3323">
        <v>1.1207389999999999</v>
      </c>
      <c r="L3323">
        <v>214.80959999999999</v>
      </c>
      <c r="M3323">
        <v>0.99992329999999996</v>
      </c>
      <c r="N3323">
        <v>-1.1418050000000001E-2</v>
      </c>
      <c r="O3323">
        <v>4.7904719999999996E-3</v>
      </c>
      <c r="P3323">
        <v>0.98296870000000003</v>
      </c>
      <c r="Q3323">
        <v>0.18356069999999999</v>
      </c>
      <c r="R3323">
        <v>8.8542759999999995E-3</v>
      </c>
      <c r="S3323">
        <v>3.077026</v>
      </c>
      <c r="T3323">
        <v>-0.13396930000000001</v>
      </c>
      <c r="U3323">
        <v>7.8186039999999998E-2</v>
      </c>
      <c r="V3323">
        <v>-4.1680040000000003E-3</v>
      </c>
      <c r="W3323">
        <v>0.19477220000000001</v>
      </c>
      <c r="X3323">
        <v>0.98083969999999998</v>
      </c>
      <c r="Y3323">
        <v>-2.0589730000000001E-2</v>
      </c>
      <c r="Z3323">
        <v>4.1181820000000001E-4</v>
      </c>
      <c r="AA3323">
        <v>0.99978789999999995</v>
      </c>
      <c r="AB3323">
        <v>31</v>
      </c>
      <c r="AC3323">
        <v>25.443999999999999</v>
      </c>
      <c r="AD3323">
        <v>-1.1207396095315001</v>
      </c>
      <c r="AE3323">
        <v>0.65260000000000595</v>
      </c>
      <c r="AF3323">
        <v>-0.52966882124963099</v>
      </c>
      <c r="AG3323">
        <v>-1.1207396095315001</v>
      </c>
      <c r="AH3323">
        <v>25.3975913500086</v>
      </c>
      <c r="AI3323">
        <v>92.526148419152406</v>
      </c>
      <c r="AJ3323">
        <v>91.194734924319505</v>
      </c>
      <c r="AK3323">
        <v>25.4278243802849</v>
      </c>
      <c r="AL3323">
        <v>78.768584103338995</v>
      </c>
      <c r="AM3323">
        <v>90.243472608999497</v>
      </c>
      <c r="AN3323">
        <v>1.00000004962313</v>
      </c>
    </row>
    <row r="3324" spans="1:40" x14ac:dyDescent="0.25">
      <c r="A3324" t="str">
        <f>"20190303162322266"</f>
        <v>20190303162322266</v>
      </c>
      <c r="B3324" t="str">
        <f>"1551601402257683"</f>
        <v>1551601402257683</v>
      </c>
      <c r="C3324" t="s">
        <v>40</v>
      </c>
      <c r="D3324">
        <v>5.474761</v>
      </c>
      <c r="E3324">
        <v>0.4932472</v>
      </c>
      <c r="F3324" t="s">
        <v>47</v>
      </c>
      <c r="G3324">
        <v>-332.24180000000001</v>
      </c>
      <c r="H3324" s="1">
        <v>-3.80335E-7</v>
      </c>
      <c r="I3324">
        <v>215.45140000000001</v>
      </c>
      <c r="J3324">
        <v>-356.923</v>
      </c>
      <c r="K3324">
        <v>1.12073</v>
      </c>
      <c r="L3324">
        <v>214.81129999999999</v>
      </c>
      <c r="M3324">
        <v>0.99992289999999995</v>
      </c>
      <c r="N3324">
        <v>-1.142346E-2</v>
      </c>
      <c r="O3324">
        <v>4.8711450000000003E-3</v>
      </c>
      <c r="P3324">
        <v>0.98305469999999895</v>
      </c>
      <c r="Q3324">
        <v>0.18309539999999999</v>
      </c>
      <c r="R3324">
        <v>8.9303899999999999E-3</v>
      </c>
      <c r="S3324">
        <v>3.0769959999999998</v>
      </c>
      <c r="T3324">
        <v>-0.13786199999999901</v>
      </c>
      <c r="U3324">
        <v>7.8948969999999993E-2</v>
      </c>
      <c r="V3324">
        <v>-4.164648E-3</v>
      </c>
      <c r="W3324">
        <v>0.19431290000000001</v>
      </c>
      <c r="X3324">
        <v>0.98093070000000004</v>
      </c>
      <c r="Y3324">
        <v>-2.0755800000000001E-2</v>
      </c>
      <c r="Z3324">
        <v>4.2083259999999999E-4</v>
      </c>
      <c r="AA3324">
        <v>0.99978449999999996</v>
      </c>
      <c r="AB3324">
        <v>31</v>
      </c>
      <c r="AC3324">
        <v>24.681199999999901</v>
      </c>
      <c r="AD3324">
        <v>-1.1207303803349999</v>
      </c>
      <c r="AE3324">
        <v>0.64010000000001799</v>
      </c>
      <c r="AF3324">
        <v>-0.51878987823967804</v>
      </c>
      <c r="AG3324">
        <v>-1.1207303803349999</v>
      </c>
      <c r="AH3324">
        <v>24.633267918538898</v>
      </c>
      <c r="AI3324">
        <v>92.604391081859006</v>
      </c>
      <c r="AJ3324">
        <v>91.206501590399796</v>
      </c>
      <c r="AK3324">
        <v>24.664206207978498</v>
      </c>
      <c r="AL3324">
        <v>78.795411425216201</v>
      </c>
      <c r="AM3324">
        <v>90.243254003436405</v>
      </c>
      <c r="AN3324">
        <v>0.99999994280092996</v>
      </c>
    </row>
    <row r="3325" spans="1:40" x14ac:dyDescent="0.25">
      <c r="A3325" t="str">
        <f>"20190303162322288"</f>
        <v>20190303162322288</v>
      </c>
      <c r="B3325" t="str">
        <f>"1551601402277710"</f>
        <v>1551601402277710</v>
      </c>
      <c r="C3325" t="s">
        <v>40</v>
      </c>
      <c r="D3325">
        <v>5.5941409999999996</v>
      </c>
      <c r="E3325">
        <v>0.49334620000000001</v>
      </c>
      <c r="F3325" t="s">
        <v>47</v>
      </c>
      <c r="G3325">
        <v>-332.19650000000001</v>
      </c>
      <c r="H3325" s="1">
        <v>-4.0398170000000002E-7</v>
      </c>
      <c r="I3325">
        <v>215.4409</v>
      </c>
      <c r="J3325">
        <v>-356.6087</v>
      </c>
      <c r="K3325">
        <v>1.1207199999999999</v>
      </c>
      <c r="L3325">
        <v>214.81290000000001</v>
      </c>
      <c r="M3325">
        <v>0.99992250000000005</v>
      </c>
      <c r="N3325">
        <v>-1.142807E-2</v>
      </c>
      <c r="O3325">
        <v>4.9476490000000001E-3</v>
      </c>
      <c r="P3325">
        <v>0.9832573</v>
      </c>
      <c r="Q3325">
        <v>0.18198449999999999</v>
      </c>
      <c r="R3325">
        <v>9.3232330000000002E-3</v>
      </c>
      <c r="S3325">
        <v>3.0769350000000002</v>
      </c>
      <c r="T3325">
        <v>-0.139462</v>
      </c>
      <c r="U3325">
        <v>7.8353880000000001E-2</v>
      </c>
      <c r="V3325">
        <v>-4.4809029999999996E-3</v>
      </c>
      <c r="W3325">
        <v>0.1932094</v>
      </c>
      <c r="X3325">
        <v>0.98114729999999994</v>
      </c>
      <c r="Y3325">
        <v>-2.0486500000000001E-2</v>
      </c>
      <c r="Z3325">
        <v>4.1353769999999998E-4</v>
      </c>
      <c r="AA3325">
        <v>0.99979010000000001</v>
      </c>
      <c r="AB3325">
        <v>31</v>
      </c>
      <c r="AC3325">
        <v>24.412199999999899</v>
      </c>
      <c r="AD3325">
        <v>-1.1207204039817</v>
      </c>
      <c r="AE3325">
        <v>0.62799999999998501</v>
      </c>
      <c r="AF3325">
        <v>-0.50613542557574398</v>
      </c>
      <c r="AG3325">
        <v>-1.1207204039817</v>
      </c>
      <c r="AH3325">
        <v>24.3636944085553</v>
      </c>
      <c r="AI3325">
        <v>92.633159518759598</v>
      </c>
      <c r="AJ3325">
        <v>91.190100836917907</v>
      </c>
      <c r="AK3325">
        <v>24.394708289430199</v>
      </c>
      <c r="AL3325">
        <v>78.859859187099303</v>
      </c>
      <c r="AM3325">
        <v>90.261668197390307</v>
      </c>
      <c r="AN3325">
        <v>0.99999998751867203</v>
      </c>
    </row>
    <row r="3326" spans="1:40" x14ac:dyDescent="0.25">
      <c r="A3326" t="str">
        <f>"20190303162322309"</f>
        <v>20190303162322309</v>
      </c>
      <c r="B3326" t="str">
        <f>"1551601402298207"</f>
        <v>1551601402298207</v>
      </c>
      <c r="C3326" t="s">
        <v>40</v>
      </c>
      <c r="D3326">
        <v>5.4770260000000004</v>
      </c>
      <c r="E3326">
        <v>0.49335909999999999</v>
      </c>
      <c r="F3326" t="s">
        <v>47</v>
      </c>
      <c r="G3326">
        <v>-332.55220000000003</v>
      </c>
      <c r="H3326" s="1">
        <v>-2.1416100000000001E-7</v>
      </c>
      <c r="I3326">
        <v>215.4289</v>
      </c>
      <c r="J3326">
        <v>-356.30770000000001</v>
      </c>
      <c r="K3326">
        <v>1.120717</v>
      </c>
      <c r="L3326">
        <v>214.81450000000001</v>
      </c>
      <c r="M3326">
        <v>0.99992199999999998</v>
      </c>
      <c r="N3326">
        <v>-1.1432080000000001E-2</v>
      </c>
      <c r="O3326">
        <v>5.0204619999999998E-3</v>
      </c>
      <c r="P3326">
        <v>0.98328879999999996</v>
      </c>
      <c r="Q3326">
        <v>0.18179219999999999</v>
      </c>
      <c r="R3326">
        <v>9.7462929999999996E-3</v>
      </c>
      <c r="S3326">
        <v>3.0768430000000002</v>
      </c>
      <c r="T3326">
        <v>-0.14334089999999999</v>
      </c>
      <c r="U3326">
        <v>7.8781130000000005E-2</v>
      </c>
      <c r="V3326">
        <v>-4.831971E-3</v>
      </c>
      <c r="W3326">
        <v>0.19302130000000001</v>
      </c>
      <c r="X3326">
        <v>0.98118269999999996</v>
      </c>
      <c r="Y3326">
        <v>-2.0552020000000001E-2</v>
      </c>
      <c r="Z3326">
        <v>4.1961500000000003E-4</v>
      </c>
      <c r="AA3326">
        <v>0.99978869999999997</v>
      </c>
      <c r="AB3326">
        <v>31</v>
      </c>
      <c r="AC3326">
        <v>23.755499999999898</v>
      </c>
      <c r="AD3326">
        <v>-1.120717214161</v>
      </c>
      <c r="AE3326">
        <v>0.61439999999998895</v>
      </c>
      <c r="AF3326">
        <v>-0.49402206838405399</v>
      </c>
      <c r="AG3326">
        <v>-1.120717214161</v>
      </c>
      <c r="AH3326">
        <v>23.705559510279102</v>
      </c>
      <c r="AI3326">
        <v>92.706145049190795</v>
      </c>
      <c r="AJ3326">
        <v>91.193866901194994</v>
      </c>
      <c r="AK3326">
        <v>23.737177940386001</v>
      </c>
      <c r="AL3326">
        <v>78.870843771747204</v>
      </c>
      <c r="AM3326">
        <v>90.282158773271703</v>
      </c>
      <c r="AN3326">
        <v>1.0000000304883601</v>
      </c>
    </row>
    <row r="3327" spans="1:40" x14ac:dyDescent="0.25">
      <c r="A3327" t="str">
        <f>"20190303162322354"</f>
        <v>20190303162322354</v>
      </c>
      <c r="B3327" t="str">
        <f>"1551601402347983"</f>
        <v>1551601402347983</v>
      </c>
      <c r="C3327" t="s">
        <v>40</v>
      </c>
      <c r="D3327">
        <v>5.1350660000000001</v>
      </c>
      <c r="E3327">
        <v>0.49336410000000003</v>
      </c>
      <c r="F3327" t="s">
        <v>47</v>
      </c>
      <c r="G3327">
        <v>-332.31779999999998</v>
      </c>
      <c r="H3327" s="1">
        <v>-3.391536E-7</v>
      </c>
      <c r="I3327">
        <v>215.4349</v>
      </c>
      <c r="J3327">
        <v>-355.69929999999999</v>
      </c>
      <c r="K3327">
        <v>1.1207210000000001</v>
      </c>
      <c r="L3327">
        <v>214.8177</v>
      </c>
      <c r="M3327">
        <v>0.99992139999999996</v>
      </c>
      <c r="N3327">
        <v>-1.143923E-2</v>
      </c>
      <c r="O3327">
        <v>5.1675219999999999E-3</v>
      </c>
      <c r="P3327">
        <v>0.98320479999999999</v>
      </c>
      <c r="Q3327">
        <v>0.18219099999999999</v>
      </c>
      <c r="R3327">
        <v>1.071921E-2</v>
      </c>
      <c r="S3327">
        <v>3.0767820000000001</v>
      </c>
      <c r="T3327">
        <v>-0.14373540000000001</v>
      </c>
      <c r="U3327">
        <v>7.9574580000000006E-2</v>
      </c>
      <c r="V3327">
        <v>-5.6610330000000002E-3</v>
      </c>
      <c r="W3327">
        <v>0.19342599999999999</v>
      </c>
      <c r="X3327">
        <v>0.98109849999999998</v>
      </c>
      <c r="Y3327">
        <v>-2.0662969999999999E-2</v>
      </c>
      <c r="Z3327">
        <v>4.1844290000000003E-4</v>
      </c>
      <c r="AA3327">
        <v>0.99978639999999996</v>
      </c>
      <c r="AB3327">
        <v>31</v>
      </c>
      <c r="AC3327">
        <v>23.381499999999999</v>
      </c>
      <c r="AD3327">
        <v>-1.1207213391535999</v>
      </c>
      <c r="AE3327">
        <v>0.61719999999999597</v>
      </c>
      <c r="AF3327">
        <v>-0.49522249020235898</v>
      </c>
      <c r="AG3327">
        <v>-1.1207213391535999</v>
      </c>
      <c r="AH3327">
        <v>23.330812773973499</v>
      </c>
      <c r="AI3327">
        <v>92.749533626666704</v>
      </c>
      <c r="AJ3327">
        <v>91.215984146330399</v>
      </c>
      <c r="AK3327">
        <v>23.362963988523401</v>
      </c>
      <c r="AL3327">
        <v>78.847210069388495</v>
      </c>
      <c r="AM3327">
        <v>90.330598506655306</v>
      </c>
      <c r="AN3327">
        <v>0.99999996573643701</v>
      </c>
    </row>
    <row r="3328" spans="1:40" x14ac:dyDescent="0.25">
      <c r="A3328" t="str">
        <f>"20190303162322376"</f>
        <v>20190303162322376</v>
      </c>
      <c r="B3328" t="str">
        <f>"1551601402368479"</f>
        <v>1551601402368479</v>
      </c>
      <c r="C3328" t="s">
        <v>40</v>
      </c>
      <c r="D3328">
        <v>5.433287</v>
      </c>
      <c r="E3328">
        <v>0.49298449999999999</v>
      </c>
      <c r="F3328" t="s">
        <v>47</v>
      </c>
      <c r="G3328">
        <v>-331.58370000000002</v>
      </c>
      <c r="H3328" s="1">
        <v>-7.3101910000000001E-7</v>
      </c>
      <c r="I3328">
        <v>215.46279999999999</v>
      </c>
      <c r="J3328">
        <v>-355.39139999999998</v>
      </c>
      <c r="K3328">
        <v>1.120722</v>
      </c>
      <c r="L3328">
        <v>214.8194</v>
      </c>
      <c r="M3328">
        <v>0.99992080000000005</v>
      </c>
      <c r="N3328">
        <v>-1.14423999999999E-2</v>
      </c>
      <c r="O3328">
        <v>5.2421880000000001E-3</v>
      </c>
      <c r="P3328">
        <v>0.98311159999999997</v>
      </c>
      <c r="Q3328">
        <v>0.18266589999999999</v>
      </c>
      <c r="R3328">
        <v>1.118006E-2</v>
      </c>
      <c r="S3328">
        <v>3.0768430000000002</v>
      </c>
      <c r="T3328">
        <v>-0.14299000000000001</v>
      </c>
      <c r="U3328">
        <v>8.2305909999999996E-2</v>
      </c>
      <c r="V3328">
        <v>-6.0492139999999998E-3</v>
      </c>
      <c r="W3328">
        <v>0.19390270000000001</v>
      </c>
      <c r="X3328">
        <v>0.98100220000000005</v>
      </c>
      <c r="Y3328">
        <v>-2.1473869999999999E-2</v>
      </c>
      <c r="Z3328">
        <v>4.38095E-4</v>
      </c>
      <c r="AA3328">
        <v>0.99976929999999997</v>
      </c>
      <c r="AB3328">
        <v>31</v>
      </c>
      <c r="AC3328">
        <v>23.807699999999901</v>
      </c>
      <c r="AD3328">
        <v>-1.1207227310190999</v>
      </c>
      <c r="AE3328">
        <v>0.64339999999998498</v>
      </c>
      <c r="AF3328">
        <v>-0.51743277659914999</v>
      </c>
      <c r="AG3328">
        <v>-1.1207227310190999</v>
      </c>
      <c r="AH3328">
        <v>23.758137268938999</v>
      </c>
      <c r="AI3328">
        <v>92.700124441999193</v>
      </c>
      <c r="AJ3328">
        <v>91.247657920733005</v>
      </c>
      <c r="AK3328">
        <v>23.7901837447269</v>
      </c>
      <c r="AL3328">
        <v>78.819371430035304</v>
      </c>
      <c r="AM3328">
        <v>90.353301999426094</v>
      </c>
      <c r="AN3328">
        <v>1.00000008323107</v>
      </c>
    </row>
    <row r="3329" spans="1:40" x14ac:dyDescent="0.25">
      <c r="A3329" t="str">
        <f>"20190303162322398"</f>
        <v>20190303162322398</v>
      </c>
      <c r="B3329" t="str">
        <f>"1551601402387530"</f>
        <v>1551601402387530</v>
      </c>
      <c r="C3329" t="s">
        <v>40</v>
      </c>
      <c r="D3329">
        <v>5.4293680000000002</v>
      </c>
      <c r="E3329">
        <v>0.4928689</v>
      </c>
      <c r="F3329" t="s">
        <v>47</v>
      </c>
      <c r="G3329">
        <v>-330.9982</v>
      </c>
      <c r="H3329" s="1">
        <v>-1.044564E-6</v>
      </c>
      <c r="I3329">
        <v>215.5077</v>
      </c>
      <c r="J3329">
        <v>-355.0883</v>
      </c>
      <c r="K3329">
        <v>1.1207279999999999</v>
      </c>
      <c r="L3329">
        <v>214.8211</v>
      </c>
      <c r="M3329">
        <v>0.99992049999999999</v>
      </c>
      <c r="N3329">
        <v>-1.1445260000000001E-2</v>
      </c>
      <c r="O3329">
        <v>5.3157789999999996E-3</v>
      </c>
      <c r="P3329">
        <v>0.98286090000000004</v>
      </c>
      <c r="Q3329">
        <v>0.18399380000000001</v>
      </c>
      <c r="R3329">
        <v>1.143861E-2</v>
      </c>
      <c r="S3329">
        <v>3.0768430000000002</v>
      </c>
      <c r="T3329">
        <v>-0.1413625</v>
      </c>
      <c r="U3329">
        <v>8.6822510000000006E-2</v>
      </c>
      <c r="V3329">
        <v>-6.2365220000000004E-3</v>
      </c>
      <c r="W3329">
        <v>0.19523099999999999</v>
      </c>
      <c r="X3329">
        <v>0.98073739999999998</v>
      </c>
      <c r="Y3329">
        <v>-2.2865449999999999E-2</v>
      </c>
      <c r="Z3329">
        <v>4.726132E-4</v>
      </c>
      <c r="AA3329">
        <v>0.99973849999999997</v>
      </c>
      <c r="AB3329">
        <v>31</v>
      </c>
      <c r="AC3329">
        <v>24.0901</v>
      </c>
      <c r="AD3329">
        <v>-1.1207290445639999</v>
      </c>
      <c r="AE3329">
        <v>0.68659999999999799</v>
      </c>
      <c r="AF3329">
        <v>-0.55731903363506297</v>
      </c>
      <c r="AG3329">
        <v>-1.1207290445639999</v>
      </c>
      <c r="AH3329">
        <v>24.041418245470599</v>
      </c>
      <c r="AI3329">
        <v>92.668286075636402</v>
      </c>
      <c r="AJ3329">
        <v>91.327971171636506</v>
      </c>
      <c r="AK3329">
        <v>24.073978261812599</v>
      </c>
      <c r="AL3329">
        <v>78.741781064312704</v>
      </c>
      <c r="AM3329">
        <v>90.364339703114396</v>
      </c>
      <c r="AN3329">
        <v>0.99999994266320602</v>
      </c>
    </row>
    <row r="3330" spans="1:40" x14ac:dyDescent="0.25">
      <c r="A3330" t="str">
        <f>"20190303162322420"</f>
        <v>20190303162322420</v>
      </c>
      <c r="B3330" t="str">
        <f>"1551601402408026"</f>
        <v>1551601402408026</v>
      </c>
      <c r="C3330" t="s">
        <v>40</v>
      </c>
      <c r="D3330">
        <v>5.4296369999999996</v>
      </c>
      <c r="E3330">
        <v>0.4927898</v>
      </c>
      <c r="F3330" t="s">
        <v>47</v>
      </c>
      <c r="G3330">
        <v>-329.96199999999999</v>
      </c>
      <c r="H3330" s="1">
        <v>-1.597462E-6</v>
      </c>
      <c r="I3330">
        <v>215.54169999999999</v>
      </c>
      <c r="J3330">
        <v>-354.79239999999999</v>
      </c>
      <c r="K3330">
        <v>1.120741</v>
      </c>
      <c r="L3330">
        <v>214.8227</v>
      </c>
      <c r="M3330">
        <v>0.99992009999999998</v>
      </c>
      <c r="N3330">
        <v>-1.144775E-2</v>
      </c>
      <c r="O3330">
        <v>5.3875859999999998E-3</v>
      </c>
      <c r="P3330">
        <v>0.98248619999999998</v>
      </c>
      <c r="Q3330">
        <v>0.1859856</v>
      </c>
      <c r="R3330">
        <v>1.141901E-2</v>
      </c>
      <c r="S3330">
        <v>3.076965</v>
      </c>
      <c r="T3330">
        <v>-0.13724449999999999</v>
      </c>
      <c r="U3330">
        <v>8.824158E-2</v>
      </c>
      <c r="V3330">
        <v>-6.148443E-3</v>
      </c>
      <c r="W3330">
        <v>0.19722100000000001</v>
      </c>
      <c r="X3330">
        <v>0.98033979999999998</v>
      </c>
      <c r="Y3330">
        <v>-2.3254110000000001E-2</v>
      </c>
      <c r="Z3330">
        <v>4.7297659999999999E-4</v>
      </c>
      <c r="AA3330">
        <v>0.99972950000000005</v>
      </c>
      <c r="AB3330">
        <v>31</v>
      </c>
      <c r="AC3330">
        <v>24.830400000000001</v>
      </c>
      <c r="AD3330">
        <v>-1.120742597462</v>
      </c>
      <c r="AE3330">
        <v>0.71899999999999398</v>
      </c>
      <c r="AF3330">
        <v>-0.58401611058715597</v>
      </c>
      <c r="AG3330">
        <v>-1.120742597462</v>
      </c>
      <c r="AH3330">
        <v>24.7834656970285</v>
      </c>
      <c r="AI3330">
        <v>92.588512769562698</v>
      </c>
      <c r="AJ3330">
        <v>91.349910745049598</v>
      </c>
      <c r="AK3330">
        <v>24.815666639100801</v>
      </c>
      <c r="AL3330">
        <v>78.625502761210001</v>
      </c>
      <c r="AM3330">
        <v>90.359339910133698</v>
      </c>
      <c r="AN3330">
        <v>1.00000002482818</v>
      </c>
    </row>
    <row r="3331" spans="1:40" x14ac:dyDescent="0.25">
      <c r="A3331" t="str">
        <f>"20190303162322442"</f>
        <v>20190303162322442</v>
      </c>
      <c r="B3331" t="str">
        <f>"1551601402427546"</f>
        <v>1551601402427546</v>
      </c>
      <c r="C3331" t="s">
        <v>40</v>
      </c>
      <c r="D3331">
        <v>5.3694620000000004</v>
      </c>
      <c r="E3331">
        <v>0.49254550000000002</v>
      </c>
      <c r="F3331" t="s">
        <v>47</v>
      </c>
      <c r="G3331">
        <v>-328.38029999999998</v>
      </c>
      <c r="H3331" s="1">
        <v>2.922792E-6</v>
      </c>
      <c r="I3331">
        <v>215.5873</v>
      </c>
      <c r="J3331">
        <v>-354.48649999999998</v>
      </c>
      <c r="K3331">
        <v>1.1207469999999999</v>
      </c>
      <c r="L3331">
        <v>214.8244</v>
      </c>
      <c r="M3331">
        <v>0.99991960000000002</v>
      </c>
      <c r="N3331">
        <v>-1.1445449999999999E-2</v>
      </c>
      <c r="O3331">
        <v>5.4619229999999996E-3</v>
      </c>
      <c r="P3331">
        <v>0.98216579999999998</v>
      </c>
      <c r="Q3331">
        <v>0.1876852</v>
      </c>
      <c r="R3331">
        <v>1.116267E-2</v>
      </c>
      <c r="S3331">
        <v>3.0771790000000001</v>
      </c>
      <c r="T3331">
        <v>-0.1305733</v>
      </c>
      <c r="U3331">
        <v>8.9080809999999996E-2</v>
      </c>
      <c r="V3331">
        <v>-5.8210559999999998E-3</v>
      </c>
      <c r="W3331">
        <v>0.19891429999999999</v>
      </c>
      <c r="X3331">
        <v>0.97999959999999997</v>
      </c>
      <c r="Y3331">
        <v>-2.345214E-2</v>
      </c>
      <c r="Z3331">
        <v>4.624389E-4</v>
      </c>
      <c r="AA3331">
        <v>0.99972490000000003</v>
      </c>
      <c r="AB3331">
        <v>31</v>
      </c>
      <c r="AC3331">
        <v>26.106200000000001</v>
      </c>
      <c r="AD3331">
        <v>-1.120744077208</v>
      </c>
      <c r="AE3331">
        <v>0.76290000000000102</v>
      </c>
      <c r="AF3331">
        <v>-0.61914910795681299</v>
      </c>
      <c r="AG3331">
        <v>-1.120744077208</v>
      </c>
      <c r="AH3331">
        <v>26.061986427281202</v>
      </c>
      <c r="AI3331">
        <v>92.461680626690395</v>
      </c>
      <c r="AJ3331">
        <v>91.360907747760194</v>
      </c>
      <c r="AK3331">
        <v>26.093419657842301</v>
      </c>
      <c r="AL3331">
        <v>78.526522559624198</v>
      </c>
      <c r="AM3331">
        <v>90.340324647851801</v>
      </c>
      <c r="AN3331">
        <v>0.99999999971880205</v>
      </c>
    </row>
    <row r="3332" spans="1:40" x14ac:dyDescent="0.25">
      <c r="A3332" t="str">
        <f>"20190303162322466"</f>
        <v>20190303162322466</v>
      </c>
      <c r="B3332" t="str">
        <f>"1551601402457802"</f>
        <v>1551601402457802</v>
      </c>
      <c r="C3332" t="s">
        <v>40</v>
      </c>
      <c r="D3332">
        <v>5.3585989999999999</v>
      </c>
      <c r="E3332">
        <v>0.49213829999999997</v>
      </c>
      <c r="F3332" t="s">
        <v>47</v>
      </c>
      <c r="G3332">
        <v>-326.88470000000001</v>
      </c>
      <c r="H3332" s="1">
        <v>2.1269159999999999E-6</v>
      </c>
      <c r="I3332">
        <v>215.64189999999999</v>
      </c>
      <c r="J3332">
        <v>-354.16379999999998</v>
      </c>
      <c r="K3332">
        <v>1.1207510000000001</v>
      </c>
      <c r="L3332">
        <v>214.8263</v>
      </c>
      <c r="M3332">
        <v>0.99991940000000001</v>
      </c>
      <c r="N3332">
        <v>-1.143241E-2</v>
      </c>
      <c r="O3332">
        <v>5.5397800000000002E-3</v>
      </c>
      <c r="P3332">
        <v>0.98212460000000001</v>
      </c>
      <c r="Q3332">
        <v>0.1879112</v>
      </c>
      <c r="R3332">
        <v>1.0984280000000001E-2</v>
      </c>
      <c r="S3332">
        <v>3.0773320000000002</v>
      </c>
      <c r="T3332">
        <v>-0.12495240000000001</v>
      </c>
      <c r="U3332">
        <v>9.1140750000000006E-2</v>
      </c>
      <c r="V3332">
        <v>-5.5665990000000002E-3</v>
      </c>
      <c r="W3332">
        <v>0.1991269</v>
      </c>
      <c r="X3332">
        <v>0.97995790000000005</v>
      </c>
      <c r="Y3332">
        <v>-2.4042640000000001E-2</v>
      </c>
      <c r="Z3332">
        <v>4.6386080000000002E-4</v>
      </c>
      <c r="AA3332">
        <v>0.99971080000000001</v>
      </c>
      <c r="AB3332">
        <v>31</v>
      </c>
      <c r="AC3332">
        <v>27.2790999999999</v>
      </c>
      <c r="AD3332">
        <v>-1.1207488730840001</v>
      </c>
      <c r="AE3332">
        <v>0.815599999999989</v>
      </c>
      <c r="AF3332">
        <v>-0.66333873394154397</v>
      </c>
      <c r="AG3332">
        <v>-1.1207488730840001</v>
      </c>
      <c r="AH3332">
        <v>27.237266133504701</v>
      </c>
      <c r="AI3332">
        <v>92.355558486627103</v>
      </c>
      <c r="AJ3332">
        <v>91.395110587435198</v>
      </c>
      <c r="AK3332">
        <v>27.268383940743998</v>
      </c>
      <c r="AL3332">
        <v>78.514092798567106</v>
      </c>
      <c r="AM3332">
        <v>90.325462143339607</v>
      </c>
      <c r="AN3332">
        <v>0.99999999755022295</v>
      </c>
    </row>
    <row r="3333" spans="1:40" x14ac:dyDescent="0.25">
      <c r="A3333" t="str">
        <f>"20190303162322488"</f>
        <v>20190303162322488</v>
      </c>
      <c r="B3333" t="str">
        <f>"1551601402477828"</f>
        <v>1551601402477828</v>
      </c>
      <c r="C3333" t="s">
        <v>40</v>
      </c>
      <c r="D3333">
        <v>5.3624530000000004</v>
      </c>
      <c r="E3333">
        <v>0.49196790000000001</v>
      </c>
      <c r="F3333" t="s">
        <v>47</v>
      </c>
      <c r="G3333">
        <v>-326.27159999999998</v>
      </c>
      <c r="H3333" s="1">
        <v>1.80064E-6</v>
      </c>
      <c r="I3333">
        <v>215.6756</v>
      </c>
      <c r="J3333">
        <v>-353.85210000000001</v>
      </c>
      <c r="K3333">
        <v>1.1207480000000001</v>
      </c>
      <c r="L3333">
        <v>214.82810000000001</v>
      </c>
      <c r="M3333">
        <v>0.99991920000000001</v>
      </c>
      <c r="N3333">
        <v>-1.141557E-2</v>
      </c>
      <c r="O3333">
        <v>5.6155689999999999E-3</v>
      </c>
      <c r="P3333">
        <v>0.98209159999999995</v>
      </c>
      <c r="Q3333">
        <v>0.18809400000000001</v>
      </c>
      <c r="R3333">
        <v>1.081757E-2</v>
      </c>
      <c r="S3333">
        <v>3.0772089999999999</v>
      </c>
      <c r="T3333">
        <v>-0.1236469</v>
      </c>
      <c r="U3333">
        <v>9.3704220000000005E-2</v>
      </c>
      <c r="V3333">
        <v>-5.3257670000000003E-3</v>
      </c>
      <c r="W3333">
        <v>0.19929279999999999</v>
      </c>
      <c r="X3333">
        <v>0.9799255</v>
      </c>
      <c r="Y3333">
        <v>-2.4799749999999999E-2</v>
      </c>
      <c r="Z3333">
        <v>4.7817390000000001E-4</v>
      </c>
      <c r="AA3333">
        <v>0.99969229999999998</v>
      </c>
      <c r="AB3333">
        <v>31</v>
      </c>
      <c r="AC3333">
        <v>27.580500000000001</v>
      </c>
      <c r="AD3333">
        <v>-1.1207461993600001</v>
      </c>
      <c r="AE3333">
        <v>0.84749999999999603</v>
      </c>
      <c r="AF3333">
        <v>-0.69145567938219599</v>
      </c>
      <c r="AG3333">
        <v>-1.1207461993600001</v>
      </c>
      <c r="AH3333">
        <v>27.539393315252202</v>
      </c>
      <c r="AI3333">
        <v>92.329696020985295</v>
      </c>
      <c r="AJ3333">
        <v>91.438273160753695</v>
      </c>
      <c r="AK3333">
        <v>27.570860834803302</v>
      </c>
      <c r="AL3333">
        <v>78.504392865229207</v>
      </c>
      <c r="AM3333">
        <v>90.311392006224594</v>
      </c>
      <c r="AN3333">
        <v>0.99999998473811302</v>
      </c>
    </row>
    <row r="3334" spans="1:40" x14ac:dyDescent="0.25">
      <c r="A3334" t="str">
        <f>"20190303162322511"</f>
        <v>20190303162322511</v>
      </c>
      <c r="B3334" t="str">
        <f>"1551601402498325"</f>
        <v>1551601402498325</v>
      </c>
      <c r="C3334" t="s">
        <v>40</v>
      </c>
      <c r="D3334">
        <v>5.3598270000000001</v>
      </c>
      <c r="E3334">
        <v>0.49180220000000002</v>
      </c>
      <c r="F3334" t="s">
        <v>47</v>
      </c>
      <c r="G3334">
        <v>-325.8288</v>
      </c>
      <c r="H3334" s="1">
        <v>1.5650250000000001E-6</v>
      </c>
      <c r="I3334">
        <v>215.69040000000001</v>
      </c>
      <c r="J3334">
        <v>-353.53910000000002</v>
      </c>
      <c r="K3334">
        <v>1.120738</v>
      </c>
      <c r="L3334">
        <v>214.82990000000001</v>
      </c>
      <c r="M3334">
        <v>0.99991890000000005</v>
      </c>
      <c r="N3334">
        <v>-1.139867E-2</v>
      </c>
      <c r="O3334">
        <v>5.691598E-3</v>
      </c>
      <c r="P3334">
        <v>0.98204820000000004</v>
      </c>
      <c r="Q3334">
        <v>0.18834480000000001</v>
      </c>
      <c r="R3334">
        <v>1.037836E-2</v>
      </c>
      <c r="S3334">
        <v>3.0772400000000002</v>
      </c>
      <c r="T3334">
        <v>-0.1230692</v>
      </c>
      <c r="U3334">
        <v>9.4696039999999995E-2</v>
      </c>
      <c r="V3334">
        <v>-4.8120089999999999E-3</v>
      </c>
      <c r="W3334">
        <v>0.1995265</v>
      </c>
      <c r="X3334">
        <v>0.97988059999999999</v>
      </c>
      <c r="Y3334">
        <v>-2.5045319999999999E-2</v>
      </c>
      <c r="Z3334">
        <v>4.8072929999999999E-4</v>
      </c>
      <c r="AA3334">
        <v>0.99968619999999997</v>
      </c>
      <c r="AB3334">
        <v>31</v>
      </c>
      <c r="AC3334">
        <v>27.7103</v>
      </c>
      <c r="AD3334">
        <v>-1.120736434975</v>
      </c>
      <c r="AE3334">
        <v>0.86050000000000104</v>
      </c>
      <c r="AF3334">
        <v>-0.70161335722308604</v>
      </c>
      <c r="AG3334">
        <v>-1.120736434975</v>
      </c>
      <c r="AH3334">
        <v>27.669531424565498</v>
      </c>
      <c r="AI3334">
        <v>92.318716025834206</v>
      </c>
      <c r="AJ3334">
        <v>91.452531711132707</v>
      </c>
      <c r="AK3334">
        <v>27.701106128000301</v>
      </c>
      <c r="AL3334">
        <v>78.490728409703706</v>
      </c>
      <c r="AM3334">
        <v>90.281366515860597</v>
      </c>
      <c r="AN3334">
        <v>0.99999998494461295</v>
      </c>
    </row>
    <row r="3335" spans="1:40" x14ac:dyDescent="0.25">
      <c r="A3335" t="str">
        <f>"20190303162322532"</f>
        <v>20190303162322532</v>
      </c>
      <c r="B3335" t="str">
        <f>"1551601402517844"</f>
        <v>1551601402517844</v>
      </c>
      <c r="C3335" t="s">
        <v>40</v>
      </c>
      <c r="D3335">
        <v>5.3597859999999997</v>
      </c>
      <c r="E3335">
        <v>0.49162359999999999</v>
      </c>
      <c r="F3335" t="s">
        <v>47</v>
      </c>
      <c r="G3335">
        <v>-325.4289</v>
      </c>
      <c r="H3335" s="1">
        <v>1.3521980000000001E-6</v>
      </c>
      <c r="I3335">
        <v>215.69579999999999</v>
      </c>
      <c r="J3335">
        <v>-353.23939999999999</v>
      </c>
      <c r="K3335">
        <v>1.120735</v>
      </c>
      <c r="L3335">
        <v>214.83170000000001</v>
      </c>
      <c r="M3335">
        <v>0.99991859999999999</v>
      </c>
      <c r="N3335">
        <v>-1.13834E-2</v>
      </c>
      <c r="O3335">
        <v>5.7643410000000001E-3</v>
      </c>
      <c r="P3335">
        <v>0.98204979999999997</v>
      </c>
      <c r="Q3335">
        <v>0.18836140000000001</v>
      </c>
      <c r="R3335">
        <v>9.9082779999999995E-3</v>
      </c>
      <c r="S3335">
        <v>3.0773619999999999</v>
      </c>
      <c r="T3335">
        <v>-0.1226927</v>
      </c>
      <c r="U3335">
        <v>9.47876E-2</v>
      </c>
      <c r="V3335">
        <v>-4.2704709999999996E-3</v>
      </c>
      <c r="W3335">
        <v>0.19952839999999999</v>
      </c>
      <c r="X3335">
        <v>0.97988280000000005</v>
      </c>
      <c r="Y3335">
        <v>-2.5001300000000001E-2</v>
      </c>
      <c r="Z3335">
        <v>4.764069E-4</v>
      </c>
      <c r="AA3335">
        <v>0.99968729999999995</v>
      </c>
      <c r="AB3335">
        <v>31</v>
      </c>
      <c r="AC3335">
        <v>27.810499999999902</v>
      </c>
      <c r="AD3335">
        <v>-1.120733647802</v>
      </c>
      <c r="AE3335">
        <v>0.864099999999979</v>
      </c>
      <c r="AF3335">
        <v>-0.70262608295643603</v>
      </c>
      <c r="AG3335">
        <v>-1.120733647802</v>
      </c>
      <c r="AH3335">
        <v>27.769964137379102</v>
      </c>
      <c r="AI3335">
        <v>92.310336760054994</v>
      </c>
      <c r="AJ3335">
        <v>91.449368880254298</v>
      </c>
      <c r="AK3335">
        <v>27.801450241185002</v>
      </c>
      <c r="AL3335">
        <v>78.490618195694694</v>
      </c>
      <c r="AM3335">
        <v>90.249701715089898</v>
      </c>
      <c r="AN3335">
        <v>1.0000000605324699</v>
      </c>
    </row>
    <row r="3336" spans="1:40" x14ac:dyDescent="0.25">
      <c r="A3336" t="str">
        <f>"20190303162322554"</f>
        <v>20190303162322554</v>
      </c>
      <c r="B3336" t="str">
        <f>"1551601402548100"</f>
        <v>1551601402548100</v>
      </c>
      <c r="C3336" t="s">
        <v>40</v>
      </c>
      <c r="D3336">
        <v>5.3649040000000001</v>
      </c>
      <c r="E3336">
        <v>0.49134080000000002</v>
      </c>
      <c r="F3336" t="s">
        <v>47</v>
      </c>
      <c r="G3336">
        <v>-325.07960000000003</v>
      </c>
      <c r="H3336" s="1">
        <v>1.166326E-6</v>
      </c>
      <c r="I3336">
        <v>215.70429999999999</v>
      </c>
      <c r="J3336">
        <v>-352.92809999999997</v>
      </c>
      <c r="K3336">
        <v>1.1207290000000001</v>
      </c>
      <c r="L3336">
        <v>214.83359999999999</v>
      </c>
      <c r="M3336">
        <v>0.99991839999999999</v>
      </c>
      <c r="N3336">
        <v>-1.1368410000000001E-2</v>
      </c>
      <c r="O3336">
        <v>5.8397049999999997E-3</v>
      </c>
      <c r="P3336">
        <v>0.98205109999999995</v>
      </c>
      <c r="Q3336">
        <v>0.18839020000000001</v>
      </c>
      <c r="R3336">
        <v>9.2209749999999993E-3</v>
      </c>
      <c r="S3336">
        <v>3.0773929999999998</v>
      </c>
      <c r="T3336">
        <v>-0.1224775</v>
      </c>
      <c r="U3336">
        <v>9.5367430000000003E-2</v>
      </c>
      <c r="V3336">
        <v>-3.509318E-3</v>
      </c>
      <c r="W3336">
        <v>0.19954230000000001</v>
      </c>
      <c r="X3336">
        <v>0.9798829</v>
      </c>
      <c r="Y3336">
        <v>-2.5113819999999999E-2</v>
      </c>
      <c r="Z3336">
        <v>4.763961E-4</v>
      </c>
      <c r="AA3336">
        <v>0.99968449999999998</v>
      </c>
      <c r="AB3336">
        <v>31</v>
      </c>
      <c r="AC3336">
        <v>27.848499999999898</v>
      </c>
      <c r="AD3336">
        <v>-1.1207278336740001</v>
      </c>
      <c r="AE3336">
        <v>0.87069999999999903</v>
      </c>
      <c r="AF3336">
        <v>-0.70690387474123595</v>
      </c>
      <c r="AG3336">
        <v>-1.1207278336740001</v>
      </c>
      <c r="AH3336">
        <v>27.808117150559401</v>
      </c>
      <c r="AI3336">
        <v>92.307151468774805</v>
      </c>
      <c r="AJ3336">
        <v>91.456189472706498</v>
      </c>
      <c r="AK3336">
        <v>27.839668162974402</v>
      </c>
      <c r="AL3336">
        <v>78.489804398786504</v>
      </c>
      <c r="AM3336">
        <v>90.205196203267604</v>
      </c>
      <c r="AN3336">
        <v>0.99999997125726203</v>
      </c>
    </row>
    <row r="3337" spans="1:40" x14ac:dyDescent="0.25">
      <c r="A3337" t="str">
        <f>"20190303162322576"</f>
        <v>20190303162322576</v>
      </c>
      <c r="B3337" t="str">
        <f>"1551601402567620"</f>
        <v>1551601402567620</v>
      </c>
      <c r="C3337" t="s">
        <v>40</v>
      </c>
      <c r="D3337">
        <v>5.3675179999999996</v>
      </c>
      <c r="E3337">
        <v>0.49115310000000001</v>
      </c>
      <c r="F3337" t="s">
        <v>47</v>
      </c>
      <c r="G3337">
        <v>-324.8177</v>
      </c>
      <c r="H3337" s="1">
        <v>1.026967E-6</v>
      </c>
      <c r="I3337">
        <v>215.70769999999999</v>
      </c>
      <c r="J3337">
        <v>-352.63209999999998</v>
      </c>
      <c r="K3337">
        <v>1.120717</v>
      </c>
      <c r="L3337">
        <v>214.83539999999999</v>
      </c>
      <c r="M3337">
        <v>0.99991819999999998</v>
      </c>
      <c r="N3337">
        <v>-1.1355179999999999E-2</v>
      </c>
      <c r="O3337">
        <v>5.9112449999999999E-3</v>
      </c>
      <c r="P3337">
        <v>0.98218300000000003</v>
      </c>
      <c r="Q3337">
        <v>0.1877441</v>
      </c>
      <c r="R3337">
        <v>8.3138910000000003E-3</v>
      </c>
      <c r="S3337">
        <v>3.0775450000000002</v>
      </c>
      <c r="T3337">
        <v>-0.12269819999999999</v>
      </c>
      <c r="U3337">
        <v>9.5703129999999997E-2</v>
      </c>
      <c r="V3337">
        <v>-2.531251E-3</v>
      </c>
      <c r="W3337">
        <v>0.19888539999999999</v>
      </c>
      <c r="X3337">
        <v>0.98001950000000004</v>
      </c>
      <c r="Y3337">
        <v>-2.5149629999999999E-2</v>
      </c>
      <c r="Z3337">
        <v>4.7549909999999998E-4</v>
      </c>
      <c r="AA3337">
        <v>0.99968360000000001</v>
      </c>
      <c r="AB3337">
        <v>31</v>
      </c>
      <c r="AC3337">
        <v>27.8143999999999</v>
      </c>
      <c r="AD3337">
        <v>-1.1207159730330001</v>
      </c>
      <c r="AE3337">
        <v>0.87229999999999497</v>
      </c>
      <c r="AF3337">
        <v>-0.70671023220683105</v>
      </c>
      <c r="AG3337">
        <v>-1.1207159730330001</v>
      </c>
      <c r="AH3337">
        <v>27.7740239229793</v>
      </c>
      <c r="AI3337">
        <v>92.309954640930698</v>
      </c>
      <c r="AJ3337">
        <v>91.457576994530797</v>
      </c>
      <c r="AK3337">
        <v>27.8056082206224</v>
      </c>
      <c r="AL3337">
        <v>78.528212343660201</v>
      </c>
      <c r="AM3337">
        <v>90.147986521373994</v>
      </c>
      <c r="AN3337">
        <v>1.0000000149725099</v>
      </c>
    </row>
    <row r="3338" spans="1:40" x14ac:dyDescent="0.25">
      <c r="A3338" t="str">
        <f>"20190303162322598"</f>
        <v>20190303162322598</v>
      </c>
      <c r="B3338" t="str">
        <f>"1551601402587553"</f>
        <v>1551601402587553</v>
      </c>
      <c r="C3338" t="s">
        <v>40</v>
      </c>
      <c r="D3338">
        <v>5.1206209999999999</v>
      </c>
      <c r="E3338">
        <v>0.49104989999999998</v>
      </c>
      <c r="F3338" t="s">
        <v>47</v>
      </c>
      <c r="G3338">
        <v>-324.98869999999999</v>
      </c>
      <c r="H3338" s="1">
        <v>1.1179309999999999E-6</v>
      </c>
      <c r="I3338">
        <v>215.68709999999999</v>
      </c>
      <c r="J3338">
        <v>-352.33479999999997</v>
      </c>
      <c r="K3338">
        <v>1.120714</v>
      </c>
      <c r="L3338">
        <v>214.8372</v>
      </c>
      <c r="M3338">
        <v>0.99991790000000003</v>
      </c>
      <c r="N3338">
        <v>-1.1343249999999999E-2</v>
      </c>
      <c r="O3338">
        <v>5.9830769999999998E-3</v>
      </c>
      <c r="P3338">
        <v>0.98235830000000002</v>
      </c>
      <c r="Q3338">
        <v>0.18686910000000001</v>
      </c>
      <c r="R3338">
        <v>7.2385080000000003E-3</v>
      </c>
      <c r="S3338">
        <v>3.0774840000000001</v>
      </c>
      <c r="T3338">
        <v>-0.1247669</v>
      </c>
      <c r="U3338">
        <v>9.4818120000000006E-2</v>
      </c>
      <c r="V3338">
        <v>-1.3842570000000001E-3</v>
      </c>
      <c r="W3338">
        <v>0.19800019999999999</v>
      </c>
      <c r="X3338">
        <v>0.98020099999999999</v>
      </c>
      <c r="Y3338">
        <v>-2.4790980000000001E-2</v>
      </c>
      <c r="Z3338">
        <v>4.6836190000000002E-4</v>
      </c>
      <c r="AA3338">
        <v>0.99969260000000004</v>
      </c>
      <c r="AB3338">
        <v>31</v>
      </c>
      <c r="AC3338">
        <v>27.3460999999999</v>
      </c>
      <c r="AD3338">
        <v>-1.120712882069</v>
      </c>
      <c r="AE3338">
        <v>0.84989999999999</v>
      </c>
      <c r="AF3338">
        <v>-0.68511087844133001</v>
      </c>
      <c r="AG3338">
        <v>-1.120712882069</v>
      </c>
      <c r="AH3338">
        <v>27.304879636385699</v>
      </c>
      <c r="AI3338">
        <v>92.349613984082495</v>
      </c>
      <c r="AJ3338">
        <v>91.437315520676805</v>
      </c>
      <c r="AK3338">
        <v>27.336455992635599</v>
      </c>
      <c r="AL3338">
        <v>78.579959498040296</v>
      </c>
      <c r="AM3338">
        <v>90.080914048379796</v>
      </c>
      <c r="AN3338">
        <v>0.99999999788424099</v>
      </c>
    </row>
    <row r="3339" spans="1:40" x14ac:dyDescent="0.25">
      <c r="A3339" t="str">
        <f>"20190303162322620"</f>
        <v>20190303162322620</v>
      </c>
      <c r="B3339" t="str">
        <f>"1551601402617809"</f>
        <v>1551601402617809</v>
      </c>
      <c r="C3339" t="s">
        <v>40</v>
      </c>
      <c r="D3339">
        <v>4.1799939999999998</v>
      </c>
      <c r="E3339">
        <v>0.49104599999999998</v>
      </c>
      <c r="F3339" t="s">
        <v>47</v>
      </c>
      <c r="G3339">
        <v>-325.30450000000002</v>
      </c>
      <c r="H3339" s="1">
        <v>1.286013E-6</v>
      </c>
      <c r="I3339">
        <v>215.6473</v>
      </c>
      <c r="J3339">
        <v>-352.02089999999998</v>
      </c>
      <c r="K3339">
        <v>1.1207049999999901</v>
      </c>
      <c r="L3339">
        <v>214.8391</v>
      </c>
      <c r="M3339">
        <v>0.99991750000000001</v>
      </c>
      <c r="N3339">
        <v>-1.133196E-2</v>
      </c>
      <c r="O3339">
        <v>6.0589569999999898E-3</v>
      </c>
      <c r="P3339">
        <v>0.9825081</v>
      </c>
      <c r="Q3339">
        <v>0.18611069999999999</v>
      </c>
      <c r="R3339">
        <v>6.4103419999999899E-3</v>
      </c>
      <c r="S3339">
        <v>3.0774539999999999</v>
      </c>
      <c r="T3339">
        <v>-0.12759529999999999</v>
      </c>
      <c r="U3339">
        <v>9.2239379999999996E-2</v>
      </c>
      <c r="V3339">
        <v>-4.8038829999999999E-4</v>
      </c>
      <c r="W3339">
        <v>0.19723260000000001</v>
      </c>
      <c r="X3339">
        <v>0.98035660000000002</v>
      </c>
      <c r="Y3339">
        <v>-2.387864E-2</v>
      </c>
      <c r="Z3339">
        <v>4.4768679999999998E-4</v>
      </c>
      <c r="AA3339">
        <v>0.99971480000000001</v>
      </c>
      <c r="AB3339">
        <v>31</v>
      </c>
      <c r="AC3339">
        <v>26.716399999999901</v>
      </c>
      <c r="AD3339">
        <v>-1.12070371398699</v>
      </c>
      <c r="AE3339">
        <v>0.80819999999999903</v>
      </c>
      <c r="AF3339">
        <v>-0.64516703174313295</v>
      </c>
      <c r="AG3339">
        <v>-1.12070371398699</v>
      </c>
      <c r="AH3339">
        <v>26.6739129253139</v>
      </c>
      <c r="AI3339">
        <v>92.405162994783495</v>
      </c>
      <c r="AJ3339">
        <v>91.385553823339606</v>
      </c>
      <c r="AK3339">
        <v>26.705240086181899</v>
      </c>
      <c r="AL3339">
        <v>78.624824484095896</v>
      </c>
      <c r="AM3339">
        <v>90.028075722563003</v>
      </c>
      <c r="AN3339">
        <v>0.99999999621961899</v>
      </c>
    </row>
    <row r="3340" spans="1:40" x14ac:dyDescent="0.25">
      <c r="A3340" t="str">
        <f>"20190303162322754"</f>
        <v>20190303162322754</v>
      </c>
      <c r="B3340" t="str">
        <f>"1551601402747618"</f>
        <v>1551601402747618</v>
      </c>
      <c r="C3340" t="s">
        <v>40</v>
      </c>
      <c r="D3340">
        <v>5.4770849999999998</v>
      </c>
      <c r="E3340">
        <v>0.50413269999999999</v>
      </c>
      <c r="F3340" t="s">
        <v>47</v>
      </c>
      <c r="G3340">
        <v>-325.70569999999998</v>
      </c>
      <c r="H3340" s="1">
        <v>1.4995129999999999E-6</v>
      </c>
      <c r="I3340">
        <v>215.60749999999999</v>
      </c>
      <c r="J3340">
        <v>-350.1626</v>
      </c>
      <c r="K3340">
        <v>1.1206799999999999</v>
      </c>
      <c r="L3340">
        <v>214.85120000000001</v>
      </c>
      <c r="M3340">
        <v>0.99991580000000002</v>
      </c>
      <c r="N3340">
        <v>-1.1241849999999999E-2</v>
      </c>
      <c r="O3340">
        <v>6.5098259999999998E-3</v>
      </c>
      <c r="P3340">
        <v>0.98287449999999998</v>
      </c>
      <c r="Q3340">
        <v>0.18415819999999999</v>
      </c>
      <c r="R3340">
        <v>6.6294789999999998E-3</v>
      </c>
      <c r="S3340">
        <v>3.0776979999999998</v>
      </c>
      <c r="T3340">
        <v>-0.1310723</v>
      </c>
      <c r="U3340">
        <v>8.9859010000000003E-2</v>
      </c>
      <c r="V3340">
        <v>-2.5423820000000001E-4</v>
      </c>
      <c r="W3340">
        <v>0.19519590000000001</v>
      </c>
      <c r="X3340">
        <v>0.98076419999999997</v>
      </c>
      <c r="Y3340">
        <v>-2.265356E-2</v>
      </c>
      <c r="Z3340">
        <v>4.0559979999999998E-4</v>
      </c>
      <c r="AA3340">
        <v>0.9997433</v>
      </c>
      <c r="AB3340">
        <v>31</v>
      </c>
      <c r="AC3340">
        <v>24.456900000000001</v>
      </c>
      <c r="AD3340">
        <v>-1.1206785004869999</v>
      </c>
      <c r="AE3340">
        <v>0.75629999999998099</v>
      </c>
      <c r="AF3340">
        <v>-0.59581393561290796</v>
      </c>
      <c r="AG3340">
        <v>-1.1206785004869999</v>
      </c>
      <c r="AH3340">
        <v>24.410100246603498</v>
      </c>
      <c r="AI3340">
        <v>92.627847184357293</v>
      </c>
      <c r="AJ3340">
        <v>91.398226411076493</v>
      </c>
      <c r="AK3340">
        <v>24.443074859693098</v>
      </c>
      <c r="AL3340">
        <v>78.743831794724798</v>
      </c>
      <c r="AM3340">
        <v>90.014852474758598</v>
      </c>
      <c r="AN3340">
        <v>0.99999996000775504</v>
      </c>
    </row>
    <row r="3341" spans="1:40" x14ac:dyDescent="0.25">
      <c r="A3341" t="str">
        <f>"20190303162322776"</f>
        <v>20190303162322776</v>
      </c>
      <c r="B3341" t="str">
        <f>"1551601402768113"</f>
        <v>1551601402768113</v>
      </c>
      <c r="C3341" t="s">
        <v>40</v>
      </c>
      <c r="D3341">
        <v>5.3352259999999996</v>
      </c>
      <c r="E3341">
        <v>0.51476409999999995</v>
      </c>
      <c r="F3341" t="s">
        <v>47</v>
      </c>
      <c r="G3341">
        <v>-348.45549999999997</v>
      </c>
      <c r="H3341" s="1">
        <v>2.9628260000000001E-6</v>
      </c>
      <c r="I3341">
        <v>214.84370000000001</v>
      </c>
      <c r="J3341">
        <v>-349.85700000000003</v>
      </c>
      <c r="K3341">
        <v>1.120687</v>
      </c>
      <c r="L3341">
        <v>214.85329999999999</v>
      </c>
      <c r="M3341">
        <v>0.99991529999999995</v>
      </c>
      <c r="N3341">
        <v>-1.1230749999999999E-2</v>
      </c>
      <c r="O3341">
        <v>6.5839749999999997E-3</v>
      </c>
      <c r="P3341">
        <v>0.9827688</v>
      </c>
      <c r="Q3341">
        <v>0.18468889999999999</v>
      </c>
      <c r="R3341">
        <v>7.4609250000000002E-3</v>
      </c>
      <c r="S3341">
        <v>3.480499</v>
      </c>
      <c r="T3341">
        <v>-2.284929</v>
      </c>
      <c r="U3341">
        <v>-1.542664E-2</v>
      </c>
      <c r="V3341">
        <v>-1.0131509999999999E-3</v>
      </c>
      <c r="W3341">
        <v>0.19571450000000001</v>
      </c>
      <c r="X3341">
        <v>0.98066039999999999</v>
      </c>
      <c r="Y3341">
        <v>8.1385469999999994E-3</v>
      </c>
      <c r="Z3341">
        <v>-6.3512760000000003E-3</v>
      </c>
      <c r="AA3341">
        <v>0.99994669999999997</v>
      </c>
      <c r="AB3341">
        <v>31</v>
      </c>
      <c r="AC3341">
        <v>1.40149999999999</v>
      </c>
      <c r="AD3341">
        <v>-1.1206840371739999</v>
      </c>
      <c r="AE3341">
        <v>-9.5999999999776195E-3</v>
      </c>
      <c r="AF3341">
        <v>1.1484708773549001E-2</v>
      </c>
      <c r="AG3341">
        <v>-1.1206840371739999</v>
      </c>
      <c r="AH3341">
        <v>0.85483870295553399</v>
      </c>
      <c r="AI3341">
        <v>142.66173523645301</v>
      </c>
      <c r="AJ3341">
        <v>89.230280808541707</v>
      </c>
      <c r="AK3341">
        <v>1.4095438332251</v>
      </c>
      <c r="AL3341">
        <v>78.713534360457004</v>
      </c>
      <c r="AM3341">
        <v>90.059194044805196</v>
      </c>
      <c r="AN3341">
        <v>1.0000000060566701</v>
      </c>
    </row>
    <row r="3342" spans="1:40" x14ac:dyDescent="0.25">
      <c r="A3342" t="str">
        <f>"20190303162322799"</f>
        <v>20190303162322799</v>
      </c>
      <c r="B3342" t="str">
        <f>"1551601402787633"</f>
        <v>1551601402787633</v>
      </c>
      <c r="C3342" t="s">
        <v>40</v>
      </c>
      <c r="D3342">
        <v>5.3414640000000002</v>
      </c>
      <c r="E3342">
        <v>0.51380969999999904</v>
      </c>
      <c r="F3342" t="s">
        <v>42</v>
      </c>
      <c r="G3342">
        <v>-349.14370000000002</v>
      </c>
      <c r="H3342">
        <v>0.83016619999999997</v>
      </c>
      <c r="I3342">
        <v>214.83240000000001</v>
      </c>
      <c r="J3342">
        <v>-349.55119999999999</v>
      </c>
      <c r="K3342">
        <v>1.12069</v>
      </c>
      <c r="L3342">
        <v>214.8554</v>
      </c>
      <c r="M3342">
        <v>0.99991490000000005</v>
      </c>
      <c r="N3342">
        <v>-1.122102E-2</v>
      </c>
      <c r="O3342">
        <v>6.6579380000000004E-3</v>
      </c>
      <c r="P3342">
        <v>0.98269309999999999</v>
      </c>
      <c r="Q3342">
        <v>0.18507680000000001</v>
      </c>
      <c r="R3342">
        <v>7.7976529999999999E-3</v>
      </c>
      <c r="S3342">
        <v>3.3064580000000001</v>
      </c>
      <c r="T3342">
        <v>-1.346576</v>
      </c>
      <c r="U3342">
        <v>-9.6130370000000007E-2</v>
      </c>
      <c r="V3342">
        <v>-1.2781909999999999E-3</v>
      </c>
      <c r="W3342">
        <v>0.1960924</v>
      </c>
      <c r="X3342">
        <v>0.98058460000000003</v>
      </c>
      <c r="Y3342">
        <v>3.2543809999999999E-2</v>
      </c>
      <c r="Z3342">
        <v>-9.0965270000000001E-3</v>
      </c>
      <c r="AA3342">
        <v>0.99942889999999995</v>
      </c>
      <c r="AB3342">
        <v>31</v>
      </c>
      <c r="AC3342">
        <v>0.40749999999997</v>
      </c>
      <c r="AD3342">
        <v>-0.290523799999999</v>
      </c>
      <c r="AE3342">
        <v>-2.29999999999961E-2</v>
      </c>
      <c r="AF3342">
        <v>1.70659380412507E-2</v>
      </c>
      <c r="AG3342">
        <v>-0.290523799999999</v>
      </c>
      <c r="AH3342">
        <v>0.27035600996484099</v>
      </c>
      <c r="AI3342">
        <v>137.002501945018</v>
      </c>
      <c r="AJ3342">
        <v>86.388056671354406</v>
      </c>
      <c r="AK3342">
        <v>0.39722499509947401</v>
      </c>
      <c r="AL3342">
        <v>78.691454497199601</v>
      </c>
      <c r="AM3342">
        <v>90.074684946340696</v>
      </c>
      <c r="AN3342">
        <v>1.00000001043357</v>
      </c>
    </row>
    <row r="3343" spans="1:40" x14ac:dyDescent="0.25">
      <c r="A3343" t="str">
        <f>"20190303162322823"</f>
        <v>20190303162322823</v>
      </c>
      <c r="B3343" t="str">
        <f>"1551601402817889"</f>
        <v>1551601402817889</v>
      </c>
      <c r="C3343" t="s">
        <v>40</v>
      </c>
      <c r="D3343">
        <v>5.3962059999999896</v>
      </c>
      <c r="E3343">
        <v>0.51362969999999997</v>
      </c>
      <c r="F3343" t="s">
        <v>42</v>
      </c>
      <c r="G3343">
        <v>-348.85410000000002</v>
      </c>
      <c r="H3343">
        <v>0.85881229999999997</v>
      </c>
      <c r="I3343">
        <v>214.83690000000001</v>
      </c>
      <c r="J3343">
        <v>-349.2176</v>
      </c>
      <c r="K3343">
        <v>1.12069</v>
      </c>
      <c r="L3343">
        <v>214.85769999999999</v>
      </c>
      <c r="M3343">
        <v>0.99991450000000004</v>
      </c>
      <c r="N3343">
        <v>-1.1211799999999999E-2</v>
      </c>
      <c r="O3343">
        <v>6.7388119999999899E-3</v>
      </c>
      <c r="P3343">
        <v>0.98266140000000002</v>
      </c>
      <c r="Q3343">
        <v>0.18524930000000001</v>
      </c>
      <c r="R3343">
        <v>7.7039939999999996E-3</v>
      </c>
      <c r="S3343">
        <v>3.2860109999999998</v>
      </c>
      <c r="T3343">
        <v>-1.2343710000000001</v>
      </c>
      <c r="U3343">
        <v>-8.6807250000000002E-2</v>
      </c>
      <c r="V3343">
        <v>-1.1051500000000001E-3</v>
      </c>
      <c r="W3343">
        <v>0.19625509999999999</v>
      </c>
      <c r="X3343">
        <v>0.98055230000000004</v>
      </c>
      <c r="Y3343">
        <v>3.056151E-2</v>
      </c>
      <c r="Z3343">
        <v>-8.1015010000000005E-3</v>
      </c>
      <c r="AA3343">
        <v>0.99950000000000006</v>
      </c>
      <c r="AB3343">
        <v>31</v>
      </c>
      <c r="AC3343">
        <v>0.363499999999987</v>
      </c>
      <c r="AD3343">
        <v>-0.26187769999999999</v>
      </c>
      <c r="AE3343">
        <v>-2.0799999999979901E-2</v>
      </c>
      <c r="AF3343">
        <v>1.5322457218786899E-2</v>
      </c>
      <c r="AG3343">
        <v>-0.26187769999999999</v>
      </c>
      <c r="AH3343">
        <v>0.23946756801079799</v>
      </c>
      <c r="AI3343">
        <v>137.501120955841</v>
      </c>
      <c r="AJ3343">
        <v>86.338890598830204</v>
      </c>
      <c r="AK3343">
        <v>0.355189278528389</v>
      </c>
      <c r="AL3343">
        <v>78.681948195881702</v>
      </c>
      <c r="AM3343">
        <v>90.064576263721193</v>
      </c>
      <c r="AN3343">
        <v>1.0000000493339101</v>
      </c>
    </row>
    <row r="3344" spans="1:40" x14ac:dyDescent="0.25">
      <c r="A3344" t="str">
        <f>"20190303162322855"</f>
        <v>20190303162322855</v>
      </c>
      <c r="B3344" t="str">
        <f>"1551601402848146"</f>
        <v>1551601402848146</v>
      </c>
      <c r="C3344" t="s">
        <v>40</v>
      </c>
      <c r="D3344">
        <v>5.4000389999999996</v>
      </c>
      <c r="E3344">
        <v>0.51378570000000001</v>
      </c>
      <c r="F3344" t="s">
        <v>42</v>
      </c>
      <c r="G3344">
        <v>-348.32100000000003</v>
      </c>
      <c r="H3344">
        <v>0.80170600000000003</v>
      </c>
      <c r="I3344">
        <v>214.83420000000001</v>
      </c>
      <c r="J3344">
        <v>-348.76299999999998</v>
      </c>
      <c r="K3344">
        <v>1.120692</v>
      </c>
      <c r="L3344">
        <v>214.86089999999999</v>
      </c>
      <c r="M3344">
        <v>0.99991390000000002</v>
      </c>
      <c r="N3344">
        <v>-1.120169E-2</v>
      </c>
      <c r="O3344">
        <v>6.8485999999999998E-3</v>
      </c>
      <c r="P3344">
        <v>0.98278639999999995</v>
      </c>
      <c r="Q3344">
        <v>0.18460689999999999</v>
      </c>
      <c r="R3344">
        <v>7.1702060000000001E-3</v>
      </c>
      <c r="S3344">
        <v>3.2731629999999998</v>
      </c>
      <c r="T3344">
        <v>-1.1644589999999999</v>
      </c>
      <c r="U3344">
        <v>-8.5708619999999999E-2</v>
      </c>
      <c r="V3344">
        <v>-4.627783E-4</v>
      </c>
      <c r="W3344">
        <v>0.19560420000000001</v>
      </c>
      <c r="X3344">
        <v>0.98068279999999997</v>
      </c>
      <c r="Y3344">
        <v>3.0682520000000001E-2</v>
      </c>
      <c r="Z3344">
        <v>-7.7606430000000002E-3</v>
      </c>
      <c r="AA3344">
        <v>0.99949900000000003</v>
      </c>
      <c r="AB3344">
        <v>31</v>
      </c>
      <c r="AC3344">
        <v>0.44200000000006401</v>
      </c>
      <c r="AD3344">
        <v>-0.31898599999999999</v>
      </c>
      <c r="AE3344">
        <v>-2.6699999999976801E-2</v>
      </c>
      <c r="AF3344">
        <v>1.9570655785804698E-2</v>
      </c>
      <c r="AG3344">
        <v>-0.31898599999999999</v>
      </c>
      <c r="AH3344">
        <v>0.29086525623698301</v>
      </c>
      <c r="AI3344">
        <v>137.575652806345</v>
      </c>
      <c r="AJ3344">
        <v>86.150697252448893</v>
      </c>
      <c r="AK3344">
        <v>0.43213154947271798</v>
      </c>
      <c r="AL3344">
        <v>78.719978408022499</v>
      </c>
      <c r="AM3344">
        <v>90.027037530863197</v>
      </c>
      <c r="AN3344">
        <v>0.99999998571861703</v>
      </c>
    </row>
    <row r="3345" spans="1:40" x14ac:dyDescent="0.25">
      <c r="A3345" t="str">
        <f>"20190303162322879"</f>
        <v>20190303162322879</v>
      </c>
      <c r="B3345" t="str">
        <f>"1551601402867665"</f>
        <v>1551601402867665</v>
      </c>
      <c r="C3345" t="s">
        <v>40</v>
      </c>
      <c r="D3345">
        <v>5.3995379999999997</v>
      </c>
      <c r="E3345">
        <v>0.51361920000000005</v>
      </c>
      <c r="F3345" t="s">
        <v>42</v>
      </c>
      <c r="G3345">
        <v>-348.01850000000002</v>
      </c>
      <c r="H3345">
        <v>0.86140039999999996</v>
      </c>
      <c r="I3345">
        <v>214.84049999999999</v>
      </c>
      <c r="J3345">
        <v>-348.44310000000002</v>
      </c>
      <c r="K3345">
        <v>1.120689</v>
      </c>
      <c r="L3345">
        <v>214.8631</v>
      </c>
      <c r="M3345">
        <v>0.99991339999999995</v>
      </c>
      <c r="N3345">
        <v>-1.1196009999999999E-2</v>
      </c>
      <c r="O3345">
        <v>6.9259380000000004E-3</v>
      </c>
      <c r="P3345">
        <v>0.98280679999999998</v>
      </c>
      <c r="Q3345">
        <v>0.18451670000000001</v>
      </c>
      <c r="R3345">
        <v>6.6693169999999897E-3</v>
      </c>
      <c r="S3345">
        <v>3.2669069999999998</v>
      </c>
      <c r="T3345">
        <v>-1.1378079999999999</v>
      </c>
      <c r="U3345">
        <v>-8.8912959999999999E-2</v>
      </c>
      <c r="V3345">
        <v>1.1429640000000001E-4</v>
      </c>
      <c r="W3345">
        <v>0.19550880000000001</v>
      </c>
      <c r="X3345">
        <v>0.98070190000000002</v>
      </c>
      <c r="Y3345">
        <v>3.1810669999999999E-2</v>
      </c>
      <c r="Z3345">
        <v>-7.8309309999999993E-3</v>
      </c>
      <c r="AA3345">
        <v>0.99946330000000005</v>
      </c>
      <c r="AB3345">
        <v>31</v>
      </c>
      <c r="AC3345">
        <v>0.42459999999999798</v>
      </c>
      <c r="AD3345">
        <v>-0.25928859999999998</v>
      </c>
      <c r="AE3345">
        <v>-2.2600000000011201E-2</v>
      </c>
      <c r="AF3345">
        <v>1.86173626638159E-2</v>
      </c>
      <c r="AG3345">
        <v>-0.25928859999999998</v>
      </c>
      <c r="AH3345">
        <v>0.309385512120399</v>
      </c>
      <c r="AI3345">
        <v>129.914599790452</v>
      </c>
      <c r="AJ3345">
        <v>86.556362437894904</v>
      </c>
      <c r="AK3345">
        <v>0.40409971466522698</v>
      </c>
      <c r="AL3345">
        <v>78.725551748388</v>
      </c>
      <c r="AM3345">
        <v>89.993322434366704</v>
      </c>
      <c r="AN3345">
        <v>0.99999996030235705</v>
      </c>
    </row>
    <row r="3346" spans="1:40" x14ac:dyDescent="0.25">
      <c r="A3346" t="str">
        <f>"20190303162322901"</f>
        <v>20190303162322901</v>
      </c>
      <c r="B3346" t="str">
        <f>"1551601402897922"</f>
        <v>1551601402897922</v>
      </c>
      <c r="C3346" t="s">
        <v>40</v>
      </c>
      <c r="D3346">
        <v>5.4074799999999996</v>
      </c>
      <c r="E3346">
        <v>0.51350340000000005</v>
      </c>
      <c r="F3346" t="s">
        <v>42</v>
      </c>
      <c r="G3346">
        <v>-347.73379999999997</v>
      </c>
      <c r="H3346">
        <v>0.87577159999999998</v>
      </c>
      <c r="I3346">
        <v>214.84370000000001</v>
      </c>
      <c r="J3346">
        <v>-348.12759999999997</v>
      </c>
      <c r="K3346">
        <v>1.1206879999999999</v>
      </c>
      <c r="L3346">
        <v>214.86539999999999</v>
      </c>
      <c r="M3346">
        <v>0.99991289999999999</v>
      </c>
      <c r="N3346">
        <v>-1.1191370000000001E-2</v>
      </c>
      <c r="O3346">
        <v>7.0023759999999899E-3</v>
      </c>
      <c r="P3346">
        <v>0.98280420000000002</v>
      </c>
      <c r="Q3346">
        <v>0.18454570000000001</v>
      </c>
      <c r="R3346">
        <v>6.2256890000000004E-3</v>
      </c>
      <c r="S3346">
        <v>3.2647089999999999</v>
      </c>
      <c r="T3346">
        <v>-1.1272059999999999</v>
      </c>
      <c r="U3346">
        <v>-8.9294429999999994E-2</v>
      </c>
      <c r="V3346">
        <v>6.3305999999999996E-4</v>
      </c>
      <c r="W3346">
        <v>0.1955336</v>
      </c>
      <c r="X3346">
        <v>0.98069680000000004</v>
      </c>
      <c r="Y3346">
        <v>3.2042639999999997E-2</v>
      </c>
      <c r="Z3346">
        <v>-7.8326739999999995E-3</v>
      </c>
      <c r="AA3346">
        <v>0.99945580000000001</v>
      </c>
      <c r="AB3346">
        <v>31</v>
      </c>
      <c r="AC3346">
        <v>0.39379999999999798</v>
      </c>
      <c r="AD3346">
        <v>-0.24491639999999901</v>
      </c>
      <c r="AE3346">
        <v>-2.1699999999981401E-2</v>
      </c>
      <c r="AF3346">
        <v>1.7650618619295001E-2</v>
      </c>
      <c r="AG3346">
        <v>-0.24491639999999901</v>
      </c>
      <c r="AH3346">
        <v>0.28408680234304901</v>
      </c>
      <c r="AI3346">
        <v>130.71064492176001</v>
      </c>
      <c r="AJ3346">
        <v>86.444721665243506</v>
      </c>
      <c r="AK3346">
        <v>0.375500863636959</v>
      </c>
      <c r="AL3346">
        <v>78.724103319238395</v>
      </c>
      <c r="AM3346">
        <v>89.963014398394606</v>
      </c>
      <c r="AN3346">
        <v>1.00000000151208</v>
      </c>
    </row>
    <row r="3347" spans="1:40" x14ac:dyDescent="0.25">
      <c r="A3347" t="str">
        <f>"20190303162322923"</f>
        <v>20190303162322923</v>
      </c>
      <c r="B3347" t="str">
        <f>"1551601402918417"</f>
        <v>1551601402918417</v>
      </c>
      <c r="C3347" t="s">
        <v>40</v>
      </c>
      <c r="D3347">
        <v>5.4130390000000004</v>
      </c>
      <c r="E3347">
        <v>0.51306960000000001</v>
      </c>
      <c r="F3347" t="s">
        <v>42</v>
      </c>
      <c r="G3347">
        <v>-347.44929999999999</v>
      </c>
      <c r="H3347">
        <v>0.88923479999999999</v>
      </c>
      <c r="I3347">
        <v>214.8468</v>
      </c>
      <c r="J3347">
        <v>-347.82060000000001</v>
      </c>
      <c r="K3347">
        <v>1.120679</v>
      </c>
      <c r="L3347">
        <v>214.86760000000001</v>
      </c>
      <c r="M3347">
        <v>0.99991240000000003</v>
      </c>
      <c r="N3347">
        <v>-1.1187600000000001E-2</v>
      </c>
      <c r="O3347">
        <v>7.0773160000000002E-3</v>
      </c>
      <c r="P3347">
        <v>0.98283900000000002</v>
      </c>
      <c r="Q3347">
        <v>0.1843706</v>
      </c>
      <c r="R3347">
        <v>5.9318399999999999E-3</v>
      </c>
      <c r="S3347">
        <v>3.2621150000000001</v>
      </c>
      <c r="T3347">
        <v>-1.1132379999999999</v>
      </c>
      <c r="U3347">
        <v>-8.8973999999999998E-2</v>
      </c>
      <c r="V3347">
        <v>1.000711E-3</v>
      </c>
      <c r="W3347">
        <v>0.19535540000000001</v>
      </c>
      <c r="X3347">
        <v>0.98073200000000005</v>
      </c>
      <c r="Y3347">
        <v>3.2085910000000002E-2</v>
      </c>
      <c r="Z3347">
        <v>-7.7791400000000004E-3</v>
      </c>
      <c r="AA3347">
        <v>0.99945490000000003</v>
      </c>
      <c r="AB3347">
        <v>31</v>
      </c>
      <c r="AC3347">
        <v>0.371300000000019</v>
      </c>
      <c r="AD3347">
        <v>-0.23144419999999999</v>
      </c>
      <c r="AE3347">
        <v>-2.0800000000008301E-2</v>
      </c>
      <c r="AF3347">
        <v>1.6886709429564401E-2</v>
      </c>
      <c r="AG3347">
        <v>-0.23144419999999999</v>
      </c>
      <c r="AH3347">
        <v>0.267523436074251</v>
      </c>
      <c r="AI3347">
        <v>130.807909050219</v>
      </c>
      <c r="AJ3347">
        <v>86.388147412119196</v>
      </c>
      <c r="AK3347">
        <v>0.35414738106891602</v>
      </c>
      <c r="AL3347">
        <v>78.734514126654801</v>
      </c>
      <c r="AM3347">
        <v>89.941537038749004</v>
      </c>
      <c r="AN3347">
        <v>0.99999999477783197</v>
      </c>
    </row>
    <row r="3348" spans="1:40" x14ac:dyDescent="0.25">
      <c r="A3348" t="str">
        <f>"20190303162322945"</f>
        <v>20190303162322945</v>
      </c>
      <c r="B3348" t="str">
        <f>"1551601402937938"</f>
        <v>1551601402937938</v>
      </c>
      <c r="C3348" t="s">
        <v>40</v>
      </c>
      <c r="D3348">
        <v>5.4040169999999996</v>
      </c>
      <c r="E3348">
        <v>0.51274940000000002</v>
      </c>
      <c r="F3348" t="s">
        <v>42</v>
      </c>
      <c r="G3348">
        <v>-346.92309999999998</v>
      </c>
      <c r="H3348">
        <v>0.81398009999999998</v>
      </c>
      <c r="I3348">
        <v>214.84360000000001</v>
      </c>
      <c r="J3348">
        <v>-347.51650000000001</v>
      </c>
      <c r="K3348">
        <v>1.1206739999999999</v>
      </c>
      <c r="L3348">
        <v>214.8699</v>
      </c>
      <c r="M3348">
        <v>0.99991189999999996</v>
      </c>
      <c r="N3348">
        <v>-1.1184609999999999E-2</v>
      </c>
      <c r="O3348">
        <v>7.1508839999999997E-3</v>
      </c>
      <c r="P3348">
        <v>0.98281030000000003</v>
      </c>
      <c r="Q3348">
        <v>0.18451519999999999</v>
      </c>
      <c r="R3348">
        <v>6.2090849999999996E-3</v>
      </c>
      <c r="S3348">
        <v>3.2619929999999999</v>
      </c>
      <c r="T3348">
        <v>-1.114706</v>
      </c>
      <c r="U3348">
        <v>-8.64563E-2</v>
      </c>
      <c r="V3348">
        <v>7.9551610000000005E-4</v>
      </c>
      <c r="W3348">
        <v>0.19549620000000001</v>
      </c>
      <c r="X3348">
        <v>0.98070409999999997</v>
      </c>
      <c r="Y3348">
        <v>3.1418910000000001E-2</v>
      </c>
      <c r="Z3348">
        <v>-7.6980460000000001E-3</v>
      </c>
      <c r="AA3348">
        <v>0.9994767</v>
      </c>
      <c r="AB3348">
        <v>31</v>
      </c>
      <c r="AC3348">
        <v>0.59340000000003101</v>
      </c>
      <c r="AD3348">
        <v>-0.30669390000000002</v>
      </c>
      <c r="AE3348">
        <v>-2.6299999999992E-2</v>
      </c>
      <c r="AF3348">
        <v>2.4114074064997298E-2</v>
      </c>
      <c r="AG3348">
        <v>-0.30669390000000002</v>
      </c>
      <c r="AH3348">
        <v>0.46833723837868102</v>
      </c>
      <c r="AI3348">
        <v>123.18431050685901</v>
      </c>
      <c r="AJ3348">
        <v>87.052517818289004</v>
      </c>
      <c r="AK3348">
        <v>0.56034132965308803</v>
      </c>
      <c r="AL3348">
        <v>78.726287927125199</v>
      </c>
      <c r="AM3348">
        <v>89.953523488820196</v>
      </c>
      <c r="AN3348">
        <v>0.99999996440855698</v>
      </c>
    </row>
    <row r="3349" spans="1:40" x14ac:dyDescent="0.25">
      <c r="A3349" t="str">
        <f>"20190303162322967"</f>
        <v>20190303162322967</v>
      </c>
      <c r="B3349" t="str">
        <f>"1551601402958433"</f>
        <v>1551601402958433</v>
      </c>
      <c r="C3349" t="s">
        <v>40</v>
      </c>
      <c r="D3349">
        <v>5.4455780000000003</v>
      </c>
      <c r="E3349">
        <v>0.51266650000000002</v>
      </c>
      <c r="F3349" t="s">
        <v>42</v>
      </c>
      <c r="G3349">
        <v>-346.64100000000002</v>
      </c>
      <c r="H3349">
        <v>0.82183309999999998</v>
      </c>
      <c r="I3349">
        <v>214.84780000000001</v>
      </c>
      <c r="J3349">
        <v>-347.21019999999999</v>
      </c>
      <c r="K3349">
        <v>1.1206780000000001</v>
      </c>
      <c r="L3349">
        <v>214.87209999999999</v>
      </c>
      <c r="M3349">
        <v>0.99991160000000001</v>
      </c>
      <c r="N3349">
        <v>-1.1182269999999999E-2</v>
      </c>
      <c r="O3349">
        <v>7.2246879999999999E-3</v>
      </c>
      <c r="P3349">
        <v>0.98278399999999999</v>
      </c>
      <c r="Q3349">
        <v>0.18464140000000001</v>
      </c>
      <c r="R3349">
        <v>6.6196959999999996E-3</v>
      </c>
      <c r="S3349">
        <v>3.2620239999999998</v>
      </c>
      <c r="T3349">
        <v>-1.113343</v>
      </c>
      <c r="U3349">
        <v>-8.2122799999999996E-2</v>
      </c>
      <c r="V3349">
        <v>4.5717190000000001E-4</v>
      </c>
      <c r="W3349">
        <v>0.19562009999999999</v>
      </c>
      <c r="X3349">
        <v>0.98067959999999998</v>
      </c>
      <c r="Y3349">
        <v>3.023609E-2</v>
      </c>
      <c r="Z3349">
        <v>-7.5098909999999899E-3</v>
      </c>
      <c r="AA3349">
        <v>0.99951460000000003</v>
      </c>
      <c r="AB3349">
        <v>31</v>
      </c>
      <c r="AC3349">
        <v>0.56920000000002302</v>
      </c>
      <c r="AD3349">
        <v>-0.29884490000000002</v>
      </c>
      <c r="AE3349">
        <v>-2.4299999999982402E-2</v>
      </c>
      <c r="AF3349">
        <v>2.22812154873465E-2</v>
      </c>
      <c r="AG3349">
        <v>-0.29884490000000002</v>
      </c>
      <c r="AH3349">
        <v>0.44622916756939701</v>
      </c>
      <c r="AI3349">
        <v>123.77770924040099</v>
      </c>
      <c r="AJ3349">
        <v>87.1414682873544</v>
      </c>
      <c r="AK3349">
        <v>0.53751762464990904</v>
      </c>
      <c r="AL3349">
        <v>78.719049110187797</v>
      </c>
      <c r="AM3349">
        <v>89.973289932323993</v>
      </c>
      <c r="AN3349">
        <v>0.99999995519315699</v>
      </c>
    </row>
    <row r="3350" spans="1:40" x14ac:dyDescent="0.25">
      <c r="A3350" t="str">
        <f>"20190303162322989"</f>
        <v>20190303162322989</v>
      </c>
      <c r="B3350" t="str">
        <f>"1551601402977954"</f>
        <v>1551601402977954</v>
      </c>
      <c r="C3350" t="s">
        <v>40</v>
      </c>
      <c r="D3350">
        <v>5.4842969999999998</v>
      </c>
      <c r="E3350">
        <v>0.51338839999999997</v>
      </c>
      <c r="F3350" t="s">
        <v>42</v>
      </c>
      <c r="G3350">
        <v>-346.35829999999999</v>
      </c>
      <c r="H3350">
        <v>0.83041160000000003</v>
      </c>
      <c r="I3350">
        <v>214.85069999999999</v>
      </c>
      <c r="J3350">
        <v>-346.89780000000002</v>
      </c>
      <c r="K3350">
        <v>1.120687</v>
      </c>
      <c r="L3350">
        <v>214.87450000000001</v>
      </c>
      <c r="M3350">
        <v>0.99991090000000005</v>
      </c>
      <c r="N3350">
        <v>-1.118047E-2</v>
      </c>
      <c r="O3350">
        <v>7.3002739999999998E-3</v>
      </c>
      <c r="P3350">
        <v>0.98274899999999998</v>
      </c>
      <c r="Q3350">
        <v>0.1847993</v>
      </c>
      <c r="R3350">
        <v>7.3277169999999897E-3</v>
      </c>
      <c r="S3350">
        <v>3.2618710000000002</v>
      </c>
      <c r="T3350">
        <v>-1.111302</v>
      </c>
      <c r="U3350">
        <v>-8.094788E-2</v>
      </c>
      <c r="V3350">
        <v>-1.7658499999999999E-4</v>
      </c>
      <c r="W3350">
        <v>0.1957758</v>
      </c>
      <c r="X3350">
        <v>0.98064870000000004</v>
      </c>
      <c r="Y3350">
        <v>2.9971879999999999E-2</v>
      </c>
      <c r="Z3350">
        <v>-7.4762739999999998E-3</v>
      </c>
      <c r="AA3350">
        <v>0.99952280000000004</v>
      </c>
      <c r="AB3350">
        <v>31</v>
      </c>
      <c r="AC3350">
        <v>0.53950000000003195</v>
      </c>
      <c r="AD3350">
        <v>-0.29027540000000002</v>
      </c>
      <c r="AE3350">
        <v>-2.3800000000022602E-2</v>
      </c>
      <c r="AF3350">
        <v>2.1520254414925E-2</v>
      </c>
      <c r="AG3350">
        <v>-0.29027540000000002</v>
      </c>
      <c r="AH3350">
        <v>0.41841815241529201</v>
      </c>
      <c r="AI3350">
        <v>124.71533969948401</v>
      </c>
      <c r="AJ3350">
        <v>87.055734235034294</v>
      </c>
      <c r="AK3350">
        <v>0.509702540179927</v>
      </c>
      <c r="AL3350">
        <v>78.709953162868004</v>
      </c>
      <c r="AM3350">
        <v>90.010317226868196</v>
      </c>
      <c r="AN3350">
        <v>1.0000000339297901</v>
      </c>
    </row>
    <row r="3351" spans="1:40" x14ac:dyDescent="0.25">
      <c r="A3351" t="str">
        <f>"20190303162323012"</f>
        <v>20190303162323012</v>
      </c>
      <c r="B3351" t="str">
        <f>"1551601403008209"</f>
        <v>1551601403008209</v>
      </c>
      <c r="C3351" t="s">
        <v>40</v>
      </c>
      <c r="D3351">
        <v>5.4299650000000002</v>
      </c>
      <c r="E3351">
        <v>0.52795999999999998</v>
      </c>
      <c r="F3351" t="s">
        <v>42</v>
      </c>
      <c r="G3351">
        <v>-346.07510000000002</v>
      </c>
      <c r="H3351">
        <v>0.83987080000000003</v>
      </c>
      <c r="I3351">
        <v>214.8528</v>
      </c>
      <c r="J3351">
        <v>-346.58420000000001</v>
      </c>
      <c r="K3351">
        <v>1.1206969999999901</v>
      </c>
      <c r="L3351">
        <v>214.8768</v>
      </c>
      <c r="M3351">
        <v>0.99991039999999998</v>
      </c>
      <c r="N3351">
        <v>-1.117917E-2</v>
      </c>
      <c r="O3351">
        <v>7.3760369999999898E-3</v>
      </c>
      <c r="P3351">
        <v>0.9825661</v>
      </c>
      <c r="Q3351">
        <v>0.18575510000000001</v>
      </c>
      <c r="R3351">
        <v>7.7011559999999998E-3</v>
      </c>
      <c r="S3351">
        <v>3.2626949999999999</v>
      </c>
      <c r="T3351">
        <v>-1.113747</v>
      </c>
      <c r="U3351">
        <v>-8.5388179999999994E-2</v>
      </c>
      <c r="V3351">
        <v>-4.7716529999999998E-4</v>
      </c>
      <c r="W3351">
        <v>0.19672819999999999</v>
      </c>
      <c r="X3351">
        <v>0.98045800000000005</v>
      </c>
      <c r="Y3351">
        <v>3.1310329999999997E-2</v>
      </c>
      <c r="Z3351">
        <v>-7.7439190000000001E-3</v>
      </c>
      <c r="AA3351">
        <v>0.99947969999999997</v>
      </c>
      <c r="AB3351">
        <v>31</v>
      </c>
      <c r="AC3351">
        <v>0.50909999999998901</v>
      </c>
      <c r="AD3351">
        <v>-0.28082619999999903</v>
      </c>
      <c r="AE3351">
        <v>-2.4000000000000899E-2</v>
      </c>
      <c r="AF3351">
        <v>2.1290790320510899E-2</v>
      </c>
      <c r="AG3351">
        <v>-0.28082619999999903</v>
      </c>
      <c r="AH3351">
        <v>0.390386807007364</v>
      </c>
      <c r="AI3351">
        <v>125.689168945258</v>
      </c>
      <c r="AJ3351">
        <v>86.878313729184995</v>
      </c>
      <c r="AK3351">
        <v>0.48137149006179902</v>
      </c>
      <c r="AL3351">
        <v>78.654302646970606</v>
      </c>
      <c r="AM3351">
        <v>90.027884474053494</v>
      </c>
      <c r="AN3351">
        <v>1.0000000510629801</v>
      </c>
    </row>
    <row r="3352" spans="1:40" x14ac:dyDescent="0.25">
      <c r="A3352" t="str">
        <f>"20190303162323034"</f>
        <v>20190303162323034</v>
      </c>
      <c r="B3352" t="str">
        <f>"1551601403027730"</f>
        <v>1551601403027730</v>
      </c>
      <c r="C3352" t="s">
        <v>40</v>
      </c>
      <c r="D3352">
        <v>5.6680260000000002</v>
      </c>
      <c r="E3352">
        <v>0.52806679999999995</v>
      </c>
      <c r="F3352" t="s">
        <v>42</v>
      </c>
      <c r="G3352">
        <v>-345.79520000000002</v>
      </c>
      <c r="H3352">
        <v>0.84145059999999905</v>
      </c>
      <c r="I3352">
        <v>214.82849999999999</v>
      </c>
      <c r="J3352">
        <v>-346.26369999999997</v>
      </c>
      <c r="K3352">
        <v>1.1206989999999999</v>
      </c>
      <c r="L3352">
        <v>214.8793</v>
      </c>
      <c r="M3352">
        <v>0.99990979999999996</v>
      </c>
      <c r="N3352">
        <v>-1.117829E-2</v>
      </c>
      <c r="O3352">
        <v>7.4534680000000004E-3</v>
      </c>
      <c r="P3352">
        <v>0.98251069999999996</v>
      </c>
      <c r="Q3352">
        <v>0.186033</v>
      </c>
      <c r="R3352">
        <v>8.0170699999999994E-3</v>
      </c>
      <c r="S3352">
        <v>3.2738649999999998</v>
      </c>
      <c r="T3352">
        <v>-1.1587229999999999</v>
      </c>
      <c r="U3352">
        <v>-0.2000122</v>
      </c>
      <c r="V3352">
        <v>-7.1742929999999902E-4</v>
      </c>
      <c r="W3352">
        <v>0.1970045</v>
      </c>
      <c r="X3352">
        <v>0.98040229999999995</v>
      </c>
      <c r="Y3352">
        <v>6.3988569999999995E-2</v>
      </c>
      <c r="Z3352">
        <v>-1.382653E-2</v>
      </c>
      <c r="AA3352">
        <v>0.99785480000000004</v>
      </c>
      <c r="AB3352">
        <v>31</v>
      </c>
      <c r="AC3352">
        <v>0.46849999999994901</v>
      </c>
      <c r="AD3352">
        <v>-0.27924839999999901</v>
      </c>
      <c r="AE3352">
        <v>-5.0800000000009497E-2</v>
      </c>
      <c r="AF3352">
        <v>4.0181311013067503E-2</v>
      </c>
      <c r="AG3352">
        <v>-0.27924839999999901</v>
      </c>
      <c r="AH3352">
        <v>0.34645319775014799</v>
      </c>
      <c r="AI3352">
        <v>128.682638720071</v>
      </c>
      <c r="AJ3352">
        <v>83.384446796644596</v>
      </c>
      <c r="AK3352">
        <v>0.446793044807763</v>
      </c>
      <c r="AL3352">
        <v>78.638155004037102</v>
      </c>
      <c r="AM3352">
        <v>90.041927343144494</v>
      </c>
      <c r="AN3352">
        <v>0.999999978785169</v>
      </c>
    </row>
    <row r="3353" spans="1:40" x14ac:dyDescent="0.25">
      <c r="A3353" t="str">
        <f>"20190303162323057"</f>
        <v>20190303162323057</v>
      </c>
      <c r="B3353" t="str">
        <f>"1551601403048225"</f>
        <v>1551601403048225</v>
      </c>
      <c r="C3353" t="s">
        <v>40</v>
      </c>
      <c r="D3353">
        <v>5.4612249999999998</v>
      </c>
      <c r="E3353">
        <v>0.52818690000000001</v>
      </c>
      <c r="F3353" t="s">
        <v>42</v>
      </c>
      <c r="G3353">
        <v>-345.51029999999997</v>
      </c>
      <c r="H3353">
        <v>0.855070199999999</v>
      </c>
      <c r="I3353">
        <v>214.834</v>
      </c>
      <c r="J3353">
        <v>-345.9511</v>
      </c>
      <c r="K3353">
        <v>1.120703</v>
      </c>
      <c r="L3353">
        <v>214.8817</v>
      </c>
      <c r="M3353">
        <v>0.9999093</v>
      </c>
      <c r="N3353">
        <v>-1.117777E-2</v>
      </c>
      <c r="O3353">
        <v>7.52887E-3</v>
      </c>
      <c r="P3353">
        <v>0.98254390000000003</v>
      </c>
      <c r="Q3353">
        <v>0.18587329999999999</v>
      </c>
      <c r="R3353">
        <v>7.690405E-3</v>
      </c>
      <c r="S3353">
        <v>3.2734990000000002</v>
      </c>
      <c r="T3353">
        <v>-1.154093</v>
      </c>
      <c r="U3353">
        <v>-0.19664000000000001</v>
      </c>
      <c r="V3353">
        <v>-3.1679880000000003E-4</v>
      </c>
      <c r="W3353">
        <v>0.19684460000000001</v>
      </c>
      <c r="X3353">
        <v>0.98043469999999999</v>
      </c>
      <c r="Y3353">
        <v>6.3128310000000007E-2</v>
      </c>
      <c r="Z3353">
        <v>-1.365011E-2</v>
      </c>
      <c r="AA3353">
        <v>0.99791200000000002</v>
      </c>
      <c r="AB3353">
        <v>31</v>
      </c>
      <c r="AC3353">
        <v>0.44080000000002401</v>
      </c>
      <c r="AD3353">
        <v>-0.2656328</v>
      </c>
      <c r="AE3353">
        <v>-4.7699999999991798E-2</v>
      </c>
      <c r="AF3353">
        <v>3.7542133831212798E-2</v>
      </c>
      <c r="AG3353">
        <v>-0.2656328</v>
      </c>
      <c r="AH3353">
        <v>0.32409651784120802</v>
      </c>
      <c r="AI3353">
        <v>129.151313170512</v>
      </c>
      <c r="AJ3353">
        <v>83.392518394599506</v>
      </c>
      <c r="AK3353">
        <v>0.42072407718745702</v>
      </c>
      <c r="AL3353">
        <v>78.647500385811796</v>
      </c>
      <c r="AM3353">
        <v>90.018513454861505</v>
      </c>
      <c r="AN3353">
        <v>1.0000000489373599</v>
      </c>
    </row>
    <row r="3354" spans="1:40" x14ac:dyDescent="0.25">
      <c r="A3354" t="str">
        <f>"20190303162323080"</f>
        <v>20190303162323080</v>
      </c>
      <c r="B3354" t="str">
        <f>"1551601403067746"</f>
        <v>1551601403067746</v>
      </c>
      <c r="C3354" t="s">
        <v>40</v>
      </c>
      <c r="D3354">
        <v>5.482882</v>
      </c>
      <c r="E3354">
        <v>0.52806629999999999</v>
      </c>
      <c r="F3354" t="s">
        <v>42</v>
      </c>
      <c r="G3354">
        <v>-345.22629999999998</v>
      </c>
      <c r="H3354">
        <v>0.86581019999999898</v>
      </c>
      <c r="I3354">
        <v>214.83760000000001</v>
      </c>
      <c r="J3354">
        <v>-345.62889999999999</v>
      </c>
      <c r="K3354">
        <v>1.1207009999999999</v>
      </c>
      <c r="L3354">
        <v>214.88419999999999</v>
      </c>
      <c r="M3354">
        <v>0.99990869999999998</v>
      </c>
      <c r="N3354">
        <v>-1.117756E-2</v>
      </c>
      <c r="O3354">
        <v>7.6067729999999998E-3</v>
      </c>
      <c r="P3354">
        <v>0.98251299999999997</v>
      </c>
      <c r="Q3354">
        <v>0.18604019999999999</v>
      </c>
      <c r="R3354">
        <v>7.5698629999999996E-3</v>
      </c>
      <c r="S3354">
        <v>3.2725520000000001</v>
      </c>
      <c r="T3354">
        <v>-1.1508069999999999</v>
      </c>
      <c r="U3354">
        <v>-0.19815060000000001</v>
      </c>
      <c r="V3354">
        <v>-1.195065E-4</v>
      </c>
      <c r="W3354">
        <v>0.19701109999999999</v>
      </c>
      <c r="X3354">
        <v>0.98040130000000003</v>
      </c>
      <c r="Y3354">
        <v>6.3666159999999999E-2</v>
      </c>
      <c r="Z3354">
        <v>-1.3738169999999999E-2</v>
      </c>
      <c r="AA3354">
        <v>0.99787669999999995</v>
      </c>
      <c r="AB3354">
        <v>31</v>
      </c>
      <c r="AC3354">
        <v>0.40260000000000601</v>
      </c>
      <c r="AD3354">
        <v>-0.25489079999999997</v>
      </c>
      <c r="AE3354">
        <v>-4.6599999999983703E-2</v>
      </c>
      <c r="AF3354">
        <v>3.5585963989882501E-2</v>
      </c>
      <c r="AG3354">
        <v>-0.25489079999999997</v>
      </c>
      <c r="AH3354">
        <v>0.28822988769682101</v>
      </c>
      <c r="AI3354">
        <v>131.27237711702</v>
      </c>
      <c r="AJ3354">
        <v>82.961662302708902</v>
      </c>
      <c r="AK3354">
        <v>0.38640930232002801</v>
      </c>
      <c r="AL3354">
        <v>78.637770094465395</v>
      </c>
      <c r="AM3354">
        <v>90.006984097267505</v>
      </c>
      <c r="AN3354">
        <v>1.00000004842335</v>
      </c>
    </row>
    <row r="3355" spans="1:40" x14ac:dyDescent="0.25">
      <c r="A3355" t="str">
        <f>"20190303162323103"</f>
        <v>20190303162323103</v>
      </c>
      <c r="B3355" t="str">
        <f>"1551601403098002"</f>
        <v>1551601403098002</v>
      </c>
      <c r="C3355" t="s">
        <v>40</v>
      </c>
      <c r="D3355">
        <v>5.4895579999999997</v>
      </c>
      <c r="E3355">
        <v>0.52788679999999999</v>
      </c>
      <c r="F3355" t="s">
        <v>42</v>
      </c>
      <c r="G3355">
        <v>-344.94110000000001</v>
      </c>
      <c r="H3355">
        <v>0.87907359999999901</v>
      </c>
      <c r="I3355">
        <v>214.84200000000001</v>
      </c>
      <c r="J3355">
        <v>-345.30939999999998</v>
      </c>
      <c r="K3355">
        <v>1.1207020000000001</v>
      </c>
      <c r="L3355">
        <v>214.88669999999999</v>
      </c>
      <c r="M3355">
        <v>0.99990820000000002</v>
      </c>
      <c r="N3355">
        <v>-1.1177599999999999E-2</v>
      </c>
      <c r="O3355">
        <v>7.6838990000000001E-3</v>
      </c>
      <c r="P3355">
        <v>0.98248740000000001</v>
      </c>
      <c r="Q3355">
        <v>0.18617819999999999</v>
      </c>
      <c r="R3355">
        <v>7.5159090000000003E-3</v>
      </c>
      <c r="S3355">
        <v>3.2726139999999999</v>
      </c>
      <c r="T3355">
        <v>-1.1495820000000001</v>
      </c>
      <c r="U3355">
        <v>-0.19998170000000001</v>
      </c>
      <c r="V3355" s="1">
        <v>9.7758310000000003E-6</v>
      </c>
      <c r="W3355">
        <v>0.1971485</v>
      </c>
      <c r="X3355">
        <v>0.98037359999999896</v>
      </c>
      <c r="Y3355">
        <v>6.4266149999999994E-2</v>
      </c>
      <c r="Z3355">
        <v>-1.3855320000000001E-2</v>
      </c>
      <c r="AA3355">
        <v>0.99783659999999996</v>
      </c>
      <c r="AB3355">
        <v>31</v>
      </c>
      <c r="AC3355">
        <v>0.36829999999997598</v>
      </c>
      <c r="AD3355">
        <v>-0.24162839999999999</v>
      </c>
      <c r="AE3355">
        <v>-4.4699999999977501E-2</v>
      </c>
      <c r="AF3355">
        <v>3.3372963358704599E-2</v>
      </c>
      <c r="AG3355">
        <v>-0.24162839999999999</v>
      </c>
      <c r="AH3355">
        <v>0.25835760093993299</v>
      </c>
      <c r="AI3355">
        <v>132.847199857292</v>
      </c>
      <c r="AJ3355">
        <v>82.6396590452635</v>
      </c>
      <c r="AK3355">
        <v>0.35531209989717399</v>
      </c>
      <c r="AL3355">
        <v>78.629739187340206</v>
      </c>
      <c r="AM3355">
        <v>89.999428673051199</v>
      </c>
      <c r="AN3355">
        <v>0.99999996336238695</v>
      </c>
    </row>
    <row r="3356" spans="1:40" x14ac:dyDescent="0.25">
      <c r="A3356" t="str">
        <f>"20190303162323125"</f>
        <v>20190303162323125</v>
      </c>
      <c r="B3356" t="str">
        <f>"1551601403118498"</f>
        <v>1551601403118498</v>
      </c>
      <c r="C3356" t="s">
        <v>40</v>
      </c>
      <c r="D3356">
        <v>5.5941409999999996</v>
      </c>
      <c r="E3356">
        <v>0.52780079999999996</v>
      </c>
      <c r="F3356" t="s">
        <v>42</v>
      </c>
      <c r="G3356">
        <v>-344.41030000000001</v>
      </c>
      <c r="H3356">
        <v>0.80464049999999998</v>
      </c>
      <c r="I3356">
        <v>214.83189999999999</v>
      </c>
      <c r="J3356">
        <v>-345.00319999999999</v>
      </c>
      <c r="K3356">
        <v>1.1206969999999901</v>
      </c>
      <c r="L3356">
        <v>214.88910000000001</v>
      </c>
      <c r="M3356">
        <v>0.99990760000000001</v>
      </c>
      <c r="N3356">
        <v>-1.117253E-2</v>
      </c>
      <c r="O3356">
        <v>7.75831E-3</v>
      </c>
      <c r="P3356">
        <v>0.98248990000000003</v>
      </c>
      <c r="Q3356">
        <v>0.18619459999999999</v>
      </c>
      <c r="R3356">
        <v>6.7449719999999897E-3</v>
      </c>
      <c r="S3356">
        <v>3.27298</v>
      </c>
      <c r="T3356">
        <v>-1.1505160000000001</v>
      </c>
      <c r="U3356">
        <v>-0.1989746</v>
      </c>
      <c r="V3356">
        <v>8.5380769999999996E-4</v>
      </c>
      <c r="W3356">
        <v>0.19716020000000001</v>
      </c>
      <c r="X3356">
        <v>0.98037090000000005</v>
      </c>
      <c r="Y3356">
        <v>6.403201E-2</v>
      </c>
      <c r="Z3356">
        <v>-1.384759E-2</v>
      </c>
      <c r="AA3356">
        <v>0.99785179999999996</v>
      </c>
      <c r="AB3356">
        <v>31</v>
      </c>
      <c r="AC3356">
        <v>0.59289999999998599</v>
      </c>
      <c r="AD3356">
        <v>-0.31605649999999902</v>
      </c>
      <c r="AE3356">
        <v>-5.7200000000023003E-2</v>
      </c>
      <c r="AF3356">
        <v>4.8221962394818699E-2</v>
      </c>
      <c r="AG3356">
        <v>-0.31605649999999902</v>
      </c>
      <c r="AH3356">
        <v>0.46228557620720601</v>
      </c>
      <c r="AI3356">
        <v>124.21542314556601</v>
      </c>
      <c r="AJ3356">
        <v>84.044895865659996</v>
      </c>
      <c r="AK3356">
        <v>0.56207207973593998</v>
      </c>
      <c r="AL3356">
        <v>78.629055683979203</v>
      </c>
      <c r="AM3356">
        <v>89.950100961424099</v>
      </c>
      <c r="AN3356">
        <v>0.99999998750921903</v>
      </c>
    </row>
    <row r="3357" spans="1:40" x14ac:dyDescent="0.25">
      <c r="A3357" t="str">
        <f>"20190303162323146"</f>
        <v>20190303162323146</v>
      </c>
      <c r="B3357" t="str">
        <f>"1551601403138018"</f>
        <v>1551601403138018</v>
      </c>
      <c r="C3357" t="s">
        <v>40</v>
      </c>
      <c r="D3357">
        <v>5.5307820000000003</v>
      </c>
      <c r="E3357">
        <v>0.5277385</v>
      </c>
      <c r="F3357" t="s">
        <v>42</v>
      </c>
      <c r="G3357">
        <v>-344.12689999999998</v>
      </c>
      <c r="H3357">
        <v>0.81264780000000003</v>
      </c>
      <c r="I3357">
        <v>214.83529999999999</v>
      </c>
      <c r="J3357">
        <v>-344.69799999999998</v>
      </c>
      <c r="K3357">
        <v>1.1206940000000001</v>
      </c>
      <c r="L3357">
        <v>214.89160000000001</v>
      </c>
      <c r="M3357">
        <v>0.99990699999999999</v>
      </c>
      <c r="N3357">
        <v>-1.116432E-2</v>
      </c>
      <c r="O3357">
        <v>7.8319080000000003E-3</v>
      </c>
      <c r="P3357">
        <v>0.98255159999999997</v>
      </c>
      <c r="Q3357">
        <v>0.18587200000000001</v>
      </c>
      <c r="R3357">
        <v>6.6584219999999998E-3</v>
      </c>
      <c r="S3357">
        <v>3.2728269999999999</v>
      </c>
      <c r="T3357">
        <v>-1.150468</v>
      </c>
      <c r="U3357">
        <v>-0.19996639999999999</v>
      </c>
      <c r="V3357">
        <v>1.0130180000000001E-3</v>
      </c>
      <c r="W3357">
        <v>0.19683010000000001</v>
      </c>
      <c r="X3357">
        <v>0.98043709999999995</v>
      </c>
      <c r="Y3357">
        <v>6.4383789999999996E-2</v>
      </c>
      <c r="Z3357">
        <v>-1.3933640000000001E-2</v>
      </c>
      <c r="AA3357">
        <v>0.99782789999999999</v>
      </c>
      <c r="AB3357">
        <v>31</v>
      </c>
      <c r="AC3357">
        <v>0.57110000000005801</v>
      </c>
      <c r="AD3357">
        <v>-0.30804619999999999</v>
      </c>
      <c r="AE3357">
        <v>-5.63000000000215E-2</v>
      </c>
      <c r="AF3357">
        <v>4.7177513410483797E-2</v>
      </c>
      <c r="AG3357">
        <v>-0.30804619999999999</v>
      </c>
      <c r="AH3357">
        <v>0.44299568592961303</v>
      </c>
      <c r="AI3357">
        <v>124.66233113989</v>
      </c>
      <c r="AJ3357">
        <v>83.921109181704693</v>
      </c>
      <c r="AK3357">
        <v>0.54163027690324395</v>
      </c>
      <c r="AL3357">
        <v>78.648347313226196</v>
      </c>
      <c r="AM3357">
        <v>89.940800245812397</v>
      </c>
      <c r="AN3357">
        <v>1.00000001076394</v>
      </c>
    </row>
    <row r="3358" spans="1:40" x14ac:dyDescent="0.25">
      <c r="A3358" t="str">
        <f>"20190303162323168"</f>
        <v>20190303162323168</v>
      </c>
      <c r="B3358" t="str">
        <f>"1551601403157537"</f>
        <v>1551601403157537</v>
      </c>
      <c r="C3358" t="s">
        <v>40</v>
      </c>
      <c r="D3358">
        <v>5.4856860000000003</v>
      </c>
      <c r="E3358">
        <v>0.52779969999999998</v>
      </c>
      <c r="F3358" t="s">
        <v>42</v>
      </c>
      <c r="G3358">
        <v>-343.84370000000001</v>
      </c>
      <c r="H3358">
        <v>0.81946369999999902</v>
      </c>
      <c r="I3358">
        <v>214.83920000000001</v>
      </c>
      <c r="J3358">
        <v>-344.39370000000002</v>
      </c>
      <c r="K3358">
        <v>1.12069</v>
      </c>
      <c r="L3358">
        <v>214.89400000000001</v>
      </c>
      <c r="M3358">
        <v>0.99990659999999998</v>
      </c>
      <c r="N3358">
        <v>-1.115583E-2</v>
      </c>
      <c r="O3358">
        <v>7.9053259999999903E-3</v>
      </c>
      <c r="P3358">
        <v>0.98246840000000002</v>
      </c>
      <c r="Q3358">
        <v>0.18628939999999999</v>
      </c>
      <c r="R3358">
        <v>7.2314669999999897E-3</v>
      </c>
      <c r="S3358">
        <v>3.2729490000000001</v>
      </c>
      <c r="T3358">
        <v>-1.154166</v>
      </c>
      <c r="U3358">
        <v>-0.19996639999999999</v>
      </c>
      <c r="V3358">
        <v>5.1155790000000003E-4</v>
      </c>
      <c r="W3358">
        <v>0.19723869999999999</v>
      </c>
      <c r="X3358">
        <v>0.98035539999999999</v>
      </c>
      <c r="Y3358">
        <v>6.4421339999999994E-2</v>
      </c>
      <c r="Z3358">
        <v>-1.400536E-2</v>
      </c>
      <c r="AA3358">
        <v>0.9978245</v>
      </c>
      <c r="AB3358">
        <v>31</v>
      </c>
      <c r="AC3358">
        <v>0.55000000000001104</v>
      </c>
      <c r="AD3358">
        <v>-0.3012263</v>
      </c>
      <c r="AE3358">
        <v>-5.4800000000000099E-2</v>
      </c>
      <c r="AF3358">
        <v>4.5602202720206E-2</v>
      </c>
      <c r="AG3358">
        <v>-0.3012263</v>
      </c>
      <c r="AH3358">
        <v>0.42370514827498901</v>
      </c>
      <c r="AI3358">
        <v>125.25464177743</v>
      </c>
      <c r="AJ3358">
        <v>83.857061461323696</v>
      </c>
      <c r="AK3358">
        <v>0.52186482673136303</v>
      </c>
      <c r="AL3358">
        <v>78.624468462750599</v>
      </c>
      <c r="AM3358">
        <v>89.970102570979506</v>
      </c>
      <c r="AN3358">
        <v>1.0000000383891601</v>
      </c>
    </row>
    <row r="3359" spans="1:40" x14ac:dyDescent="0.25">
      <c r="A3359" t="str">
        <f>"20190303162323190"</f>
        <v>20190303162323190</v>
      </c>
      <c r="B3359" t="str">
        <f>"1551601403178034"</f>
        <v>1551601403178034</v>
      </c>
      <c r="C3359" t="s">
        <v>40</v>
      </c>
      <c r="D3359">
        <v>5.5185940000000002</v>
      </c>
      <c r="E3359">
        <v>0.52804410000000002</v>
      </c>
      <c r="F3359" t="s">
        <v>42</v>
      </c>
      <c r="G3359">
        <v>-343.56020000000001</v>
      </c>
      <c r="H3359">
        <v>0.82675789999999905</v>
      </c>
      <c r="I3359">
        <v>214.84309999999999</v>
      </c>
      <c r="J3359">
        <v>-344.08269999999999</v>
      </c>
      <c r="K3359">
        <v>1.120692</v>
      </c>
      <c r="L3359">
        <v>214.89660000000001</v>
      </c>
      <c r="M3359">
        <v>0.99990610000000002</v>
      </c>
      <c r="N3359">
        <v>-1.114773E-2</v>
      </c>
      <c r="O3359">
        <v>7.9805889999999997E-3</v>
      </c>
      <c r="P3359">
        <v>0.98246429999999996</v>
      </c>
      <c r="Q3359">
        <v>0.18630440000000001</v>
      </c>
      <c r="R3359">
        <v>7.4012959999999999E-3</v>
      </c>
      <c r="S3359">
        <v>3.2739259999999999</v>
      </c>
      <c r="T3359">
        <v>-1.1545339999999999</v>
      </c>
      <c r="U3359">
        <v>-0.19943240000000001</v>
      </c>
      <c r="V3359">
        <v>4.1574219999999999E-4</v>
      </c>
      <c r="W3359">
        <v>0.19724530000000001</v>
      </c>
      <c r="X3359">
        <v>0.98035410000000001</v>
      </c>
      <c r="Y3359">
        <v>6.4318150000000004E-2</v>
      </c>
      <c r="Z3359">
        <v>-1.4012169999999999E-2</v>
      </c>
      <c r="AA3359">
        <v>0.99783100000000002</v>
      </c>
      <c r="AB3359">
        <v>31</v>
      </c>
      <c r="AC3359">
        <v>0.52249999999997898</v>
      </c>
      <c r="AD3359">
        <v>-0.29393409999999998</v>
      </c>
      <c r="AE3359">
        <v>-5.35000000000138E-2</v>
      </c>
      <c r="AF3359">
        <v>4.3914994032791803E-2</v>
      </c>
      <c r="AG3359">
        <v>-0.29393409999999998</v>
      </c>
      <c r="AH3359">
        <v>0.39755043322894501</v>
      </c>
      <c r="AI3359">
        <v>126.31190422177499</v>
      </c>
      <c r="AJ3359">
        <v>83.696437854627007</v>
      </c>
      <c r="AK3359">
        <v>0.496358870983719</v>
      </c>
      <c r="AL3359">
        <v>78.6240825358948</v>
      </c>
      <c r="AM3359">
        <v>89.975702379377395</v>
      </c>
      <c r="AN3359">
        <v>1.00000002130023</v>
      </c>
    </row>
    <row r="3360" spans="1:40" x14ac:dyDescent="0.25">
      <c r="A3360" t="str">
        <f>"20190303162323213"</f>
        <v>20190303162323213</v>
      </c>
      <c r="B3360" t="str">
        <f>"1551601403208290"</f>
        <v>1551601403208290</v>
      </c>
      <c r="C3360" t="s">
        <v>40</v>
      </c>
      <c r="D3360">
        <v>5.531504</v>
      </c>
      <c r="E3360">
        <v>0.52818140000000002</v>
      </c>
      <c r="F3360" t="s">
        <v>42</v>
      </c>
      <c r="G3360">
        <v>-343.27620000000002</v>
      </c>
      <c r="H3360">
        <v>0.83518890000000001</v>
      </c>
      <c r="I3360">
        <v>214.84700000000001</v>
      </c>
      <c r="J3360">
        <v>-343.76420000000002</v>
      </c>
      <c r="K3360">
        <v>1.120681</v>
      </c>
      <c r="L3360">
        <v>214.89920000000001</v>
      </c>
      <c r="M3360">
        <v>0.99990559999999995</v>
      </c>
      <c r="N3360">
        <v>-1.1139980000000001E-2</v>
      </c>
      <c r="O3360">
        <v>8.0575230000000005E-3</v>
      </c>
      <c r="P3360">
        <v>0.98238210000000004</v>
      </c>
      <c r="Q3360">
        <v>0.18674769999999999</v>
      </c>
      <c r="R3360">
        <v>7.1433719999999899E-3</v>
      </c>
      <c r="S3360">
        <v>3.2748110000000001</v>
      </c>
      <c r="T3360">
        <v>-1.159222</v>
      </c>
      <c r="U3360">
        <v>-0.20047000000000001</v>
      </c>
      <c r="V3360">
        <v>7.4844029999999995E-4</v>
      </c>
      <c r="W3360">
        <v>0.19768050000000001</v>
      </c>
      <c r="X3360">
        <v>0.98026619999999998</v>
      </c>
      <c r="Y3360">
        <v>6.4636869999999999E-2</v>
      </c>
      <c r="Z3360">
        <v>-1.414312E-2</v>
      </c>
      <c r="AA3360">
        <v>0.99780860000000005</v>
      </c>
      <c r="AB3360">
        <v>31</v>
      </c>
      <c r="AC3360">
        <v>0.48799999999999899</v>
      </c>
      <c r="AD3360">
        <v>-0.28549209999999903</v>
      </c>
      <c r="AE3360">
        <v>-5.2199999999999101E-2</v>
      </c>
      <c r="AF3360">
        <v>4.1939154662835001E-2</v>
      </c>
      <c r="AG3360">
        <v>-0.28549209999999903</v>
      </c>
      <c r="AH3360">
        <v>0.36429318228705398</v>
      </c>
      <c r="AI3360">
        <v>127.902377877554</v>
      </c>
      <c r="AJ3360">
        <v>83.432750411791304</v>
      </c>
      <c r="AK3360">
        <v>0.46473019540059102</v>
      </c>
      <c r="AL3360">
        <v>78.598646129086205</v>
      </c>
      <c r="AM3360">
        <v>89.956254268406994</v>
      </c>
      <c r="AN3360">
        <v>0.99999998155278602</v>
      </c>
    </row>
    <row r="3361" spans="1:40" x14ac:dyDescent="0.25">
      <c r="A3361" t="str">
        <f>"20190303162323234"</f>
        <v>20190303162323234</v>
      </c>
      <c r="B3361" t="str">
        <f>"1551601403227809"</f>
        <v>1551601403227809</v>
      </c>
      <c r="C3361" t="s">
        <v>40</v>
      </c>
      <c r="D3361">
        <v>5.5469339999999896</v>
      </c>
      <c r="E3361">
        <v>0.52824769999999999</v>
      </c>
      <c r="F3361" t="s">
        <v>42</v>
      </c>
      <c r="G3361">
        <v>-342.99079999999998</v>
      </c>
      <c r="H3361">
        <v>0.84649730000000001</v>
      </c>
      <c r="I3361">
        <v>214.85149999999999</v>
      </c>
      <c r="J3361">
        <v>-343.4606</v>
      </c>
      <c r="K3361">
        <v>1.120679</v>
      </c>
      <c r="L3361">
        <v>214.90170000000001</v>
      </c>
      <c r="M3361">
        <v>0.99990520000000005</v>
      </c>
      <c r="N3361">
        <v>-1.113049E-2</v>
      </c>
      <c r="O3361">
        <v>8.130768E-3</v>
      </c>
      <c r="P3361">
        <v>0.98230399999999995</v>
      </c>
      <c r="Q3361">
        <v>0.18716650000000001</v>
      </c>
      <c r="R3361">
        <v>6.9371779999999996E-3</v>
      </c>
      <c r="S3361">
        <v>3.2760929999999999</v>
      </c>
      <c r="T3361">
        <v>-1.1614770000000001</v>
      </c>
      <c r="U3361">
        <v>-0.20077510000000001</v>
      </c>
      <c r="V3361">
        <v>1.0257860000000001E-3</v>
      </c>
      <c r="W3361">
        <v>0.19808899999999999</v>
      </c>
      <c r="X3361">
        <v>0.98018349999999999</v>
      </c>
      <c r="Y3361">
        <v>6.4753829999999998E-2</v>
      </c>
      <c r="Z3361">
        <v>-1.420835E-2</v>
      </c>
      <c r="AA3361">
        <v>0.99780009999999997</v>
      </c>
      <c r="AB3361">
        <v>31</v>
      </c>
      <c r="AC3361">
        <v>0.46980000000001998</v>
      </c>
      <c r="AD3361">
        <v>-0.27418169999999997</v>
      </c>
      <c r="AE3361">
        <v>-5.0200000000018001E-2</v>
      </c>
      <c r="AF3361">
        <v>4.0409958883834599E-2</v>
      </c>
      <c r="AG3361">
        <v>-0.27418169999999997</v>
      </c>
      <c r="AH3361">
        <v>0.35112984169029898</v>
      </c>
      <c r="AI3361">
        <v>127.801995927172</v>
      </c>
      <c r="AJ3361">
        <v>83.4349679142789</v>
      </c>
      <c r="AK3361">
        <v>0.44732620660692102</v>
      </c>
      <c r="AL3361">
        <v>78.5747688330556</v>
      </c>
      <c r="AM3361">
        <v>89.940038587644807</v>
      </c>
      <c r="AN3361">
        <v>0.99999999891508295</v>
      </c>
    </row>
    <row r="3362" spans="1:40" x14ac:dyDescent="0.25">
      <c r="A3362" t="str">
        <f>"20190303162323259"</f>
        <v>20190303162323259</v>
      </c>
      <c r="B3362" t="str">
        <f>"1551601403248305"</f>
        <v>1551601403248305</v>
      </c>
      <c r="C3362" t="s">
        <v>40</v>
      </c>
      <c r="D3362">
        <v>5.5421690000000003</v>
      </c>
      <c r="E3362">
        <v>0.52833169999999996</v>
      </c>
      <c r="F3362" t="s">
        <v>42</v>
      </c>
      <c r="G3362">
        <v>-342.70690000000002</v>
      </c>
      <c r="H3362">
        <v>0.85361290000000001</v>
      </c>
      <c r="I3362">
        <v>214.85489999999999</v>
      </c>
      <c r="J3362">
        <v>-343.13490000000002</v>
      </c>
      <c r="K3362">
        <v>1.120681</v>
      </c>
      <c r="L3362">
        <v>214.90450000000001</v>
      </c>
      <c r="M3362">
        <v>0.99990460000000003</v>
      </c>
      <c r="N3362">
        <v>-1.1112850000000001E-2</v>
      </c>
      <c r="O3362">
        <v>8.2094230000000004E-3</v>
      </c>
      <c r="P3362">
        <v>0.98222960000000004</v>
      </c>
      <c r="Q3362">
        <v>0.18757579999999999</v>
      </c>
      <c r="R3362">
        <v>6.368935E-3</v>
      </c>
      <c r="S3362">
        <v>3.2767330000000001</v>
      </c>
      <c r="T3362">
        <v>-1.1611750000000001</v>
      </c>
      <c r="U3362">
        <v>-0.20214840000000001</v>
      </c>
      <c r="V3362">
        <v>1.6707169999999999E-3</v>
      </c>
      <c r="W3362">
        <v>0.1984802</v>
      </c>
      <c r="X3362">
        <v>0.98010350000000002</v>
      </c>
      <c r="Y3362">
        <v>6.5208269999999999E-2</v>
      </c>
      <c r="Z3362">
        <v>-1.4308599999999999E-2</v>
      </c>
      <c r="AA3362">
        <v>0.99776909999999996</v>
      </c>
      <c r="AB3362">
        <v>31</v>
      </c>
      <c r="AC3362">
        <v>0.42799999999999699</v>
      </c>
      <c r="AD3362">
        <v>-0.26706809999999898</v>
      </c>
      <c r="AE3362">
        <v>-4.9600000000026498E-2</v>
      </c>
      <c r="AF3362">
        <v>3.8370174515939597E-2</v>
      </c>
      <c r="AG3362">
        <v>-0.26706809999999898</v>
      </c>
      <c r="AH3362">
        <v>0.30889820293338299</v>
      </c>
      <c r="AI3362">
        <v>130.62922980887899</v>
      </c>
      <c r="AJ3362">
        <v>82.919202964239105</v>
      </c>
      <c r="AK3362">
        <v>0.41014112218292298</v>
      </c>
      <c r="AL3362">
        <v>78.551900977828893</v>
      </c>
      <c r="AM3362">
        <v>89.902331804607897</v>
      </c>
      <c r="AN3362">
        <v>1.0000000258997901</v>
      </c>
    </row>
    <row r="3363" spans="1:40" x14ac:dyDescent="0.25">
      <c r="A3363" t="str">
        <f>"20190303162323281"</f>
        <v>20190303162323281</v>
      </c>
      <c r="B3363" t="str">
        <f>"1551601403267825"</f>
        <v>1551601403267825</v>
      </c>
      <c r="C3363" t="s">
        <v>40</v>
      </c>
      <c r="D3363">
        <v>5.5617130000000001</v>
      </c>
      <c r="E3363">
        <v>0.52839099999999894</v>
      </c>
      <c r="F3363" t="s">
        <v>42</v>
      </c>
      <c r="G3363">
        <v>-342.42009999999999</v>
      </c>
      <c r="H3363">
        <v>0.86776830000000005</v>
      </c>
      <c r="I3363">
        <v>214.85910000000001</v>
      </c>
      <c r="J3363">
        <v>-342.8141</v>
      </c>
      <c r="K3363">
        <v>1.1206799999999999</v>
      </c>
      <c r="L3363">
        <v>214.90719999999999</v>
      </c>
      <c r="M3363">
        <v>0.99990429999999997</v>
      </c>
      <c r="N3363">
        <v>-1.1085650000000001E-2</v>
      </c>
      <c r="O3363">
        <v>8.2869980000000003E-3</v>
      </c>
      <c r="P3363">
        <v>0.98211820000000005</v>
      </c>
      <c r="Q3363">
        <v>0.18815670000000001</v>
      </c>
      <c r="R3363">
        <v>6.4132649999999996E-3</v>
      </c>
      <c r="S3363">
        <v>3.2770389999999998</v>
      </c>
      <c r="T3363">
        <v>-1.159532</v>
      </c>
      <c r="U3363">
        <v>-0.20573430000000001</v>
      </c>
      <c r="V3363">
        <v>1.7014700000000001E-3</v>
      </c>
      <c r="W3363">
        <v>0.19903299999999999</v>
      </c>
      <c r="X3363">
        <v>0.97999130000000001</v>
      </c>
      <c r="Y3363">
        <v>6.6308069999999997E-2</v>
      </c>
      <c r="Z3363">
        <v>-1.450826E-2</v>
      </c>
      <c r="AA3363">
        <v>0.99769370000000002</v>
      </c>
      <c r="AB3363">
        <v>31</v>
      </c>
      <c r="AC3363">
        <v>0.39400000000000501</v>
      </c>
      <c r="AD3363">
        <v>-0.25291169999999902</v>
      </c>
      <c r="AE3363">
        <v>-4.8099999999976703E-2</v>
      </c>
      <c r="AF3363">
        <v>3.6531873676697198E-2</v>
      </c>
      <c r="AG3363">
        <v>-0.25291169999999902</v>
      </c>
      <c r="AH3363">
        <v>0.27993548074172098</v>
      </c>
      <c r="AI3363">
        <v>131.856141560781</v>
      </c>
      <c r="AJ3363">
        <v>82.564858833747095</v>
      </c>
      <c r="AK3363">
        <v>0.37902873132431297</v>
      </c>
      <c r="AL3363">
        <v>78.519582664990395</v>
      </c>
      <c r="AM3363">
        <v>89.900522635239099</v>
      </c>
      <c r="AN3363">
        <v>0.99999998908242504</v>
      </c>
    </row>
    <row r="3364" spans="1:40" x14ac:dyDescent="0.25">
      <c r="A3364" t="str">
        <f>"20190303162323304"</f>
        <v>20190303162323304</v>
      </c>
      <c r="B3364" t="str">
        <f>"1551601403298081"</f>
        <v>1551601403298081</v>
      </c>
      <c r="C3364" t="s">
        <v>40</v>
      </c>
      <c r="D3364">
        <v>5.5559149999999997</v>
      </c>
      <c r="E3364">
        <v>0.52844679999999999</v>
      </c>
      <c r="F3364" t="s">
        <v>42</v>
      </c>
      <c r="G3364">
        <v>-342.1336</v>
      </c>
      <c r="H3364">
        <v>0.880173599999999</v>
      </c>
      <c r="I3364">
        <v>214.86449999999999</v>
      </c>
      <c r="J3364">
        <v>-342.48970000000003</v>
      </c>
      <c r="K3364">
        <v>1.1206769999999999</v>
      </c>
      <c r="L3364">
        <v>214.90989999999999</v>
      </c>
      <c r="M3364">
        <v>0.99990420000000002</v>
      </c>
      <c r="N3364">
        <v>-1.104805E-2</v>
      </c>
      <c r="O3364">
        <v>8.3655810000000004E-3</v>
      </c>
      <c r="P3364">
        <v>0.98191759999999995</v>
      </c>
      <c r="Q3364">
        <v>0.18918670000000001</v>
      </c>
      <c r="R3364">
        <v>6.8390069999999898E-3</v>
      </c>
      <c r="S3364">
        <v>3.2778320000000001</v>
      </c>
      <c r="T3364">
        <v>-1.1584299999999901</v>
      </c>
      <c r="U3364">
        <v>-0.2055206</v>
      </c>
      <c r="V3364">
        <v>1.351234E-3</v>
      </c>
      <c r="W3364">
        <v>0.20002410000000001</v>
      </c>
      <c r="X3364">
        <v>0.97979000000000005</v>
      </c>
      <c r="Y3364">
        <v>6.6312750000000004E-2</v>
      </c>
      <c r="Z3364">
        <v>-1.45182E-2</v>
      </c>
      <c r="AA3364">
        <v>0.99769319999999895</v>
      </c>
      <c r="AB3364">
        <v>31</v>
      </c>
      <c r="AC3364">
        <v>0.35610000000002601</v>
      </c>
      <c r="AD3364">
        <v>-0.24050340000000001</v>
      </c>
      <c r="AE3364">
        <v>-4.5400000000000697E-2</v>
      </c>
      <c r="AF3364">
        <v>3.3390449349682799E-2</v>
      </c>
      <c r="AG3364">
        <v>-0.24050340000000001</v>
      </c>
      <c r="AH3364">
        <v>0.245511279644195</v>
      </c>
      <c r="AI3364">
        <v>134.14720159302399</v>
      </c>
      <c r="AJ3364">
        <v>82.255079722070803</v>
      </c>
      <c r="AK3364">
        <v>0.34530073262572702</v>
      </c>
      <c r="AL3364">
        <v>78.461631138323597</v>
      </c>
      <c r="AM3364">
        <v>89.9209831124505</v>
      </c>
      <c r="AN3364">
        <v>0.99999995525706498</v>
      </c>
    </row>
    <row r="3365" spans="1:40" x14ac:dyDescent="0.25">
      <c r="A3365" t="str">
        <f>"20190303162323326"</f>
        <v>20190303162323326</v>
      </c>
      <c r="B3365" t="str">
        <f>"1551601403318578"</f>
        <v>1551601403318578</v>
      </c>
      <c r="C3365" t="s">
        <v>40</v>
      </c>
      <c r="D3365">
        <v>5.5791810000000002</v>
      </c>
      <c r="E3365">
        <v>0.52849639999999998</v>
      </c>
      <c r="F3365" t="s">
        <v>42</v>
      </c>
      <c r="G3365">
        <v>-341.59899999999999</v>
      </c>
      <c r="H3365">
        <v>0.80640149999999999</v>
      </c>
      <c r="I3365">
        <v>214.85470000000001</v>
      </c>
      <c r="J3365">
        <v>-342.17540000000002</v>
      </c>
      <c r="K3365">
        <v>1.120663</v>
      </c>
      <c r="L3365">
        <v>214.9126</v>
      </c>
      <c r="M3365">
        <v>0.99990389999999996</v>
      </c>
      <c r="N3365">
        <v>-1.100279E-2</v>
      </c>
      <c r="O3365">
        <v>8.4415870000000004E-3</v>
      </c>
      <c r="P3365">
        <v>0.98176419999999998</v>
      </c>
      <c r="Q3365">
        <v>0.189971</v>
      </c>
      <c r="R3365">
        <v>7.1049609999999999E-3</v>
      </c>
      <c r="S3365">
        <v>3.279633</v>
      </c>
      <c r="T3365">
        <v>-1.157241</v>
      </c>
      <c r="U3365">
        <v>-0.20274349999999999</v>
      </c>
      <c r="V3365">
        <v>1.1583870000000001E-3</v>
      </c>
      <c r="W3365">
        <v>0.20076260000000001</v>
      </c>
      <c r="X3365">
        <v>0.97963920000000004</v>
      </c>
      <c r="Y3365">
        <v>6.5568860000000007E-2</v>
      </c>
      <c r="Z3365">
        <v>-1.4389890000000001E-2</v>
      </c>
      <c r="AA3365">
        <v>0.99774430000000003</v>
      </c>
      <c r="AB3365">
        <v>32</v>
      </c>
      <c r="AC3365">
        <v>0.576400000000035</v>
      </c>
      <c r="AD3365">
        <v>-0.31426150000000003</v>
      </c>
      <c r="AE3365">
        <v>-5.7899999999989397E-2</v>
      </c>
      <c r="AF3365">
        <v>4.8493000660234903E-2</v>
      </c>
      <c r="AG3365">
        <v>-0.31426150000000003</v>
      </c>
      <c r="AH3365">
        <v>0.444947474885664</v>
      </c>
      <c r="AI3365">
        <v>125.073896554988</v>
      </c>
      <c r="AJ3365">
        <v>83.780116864079304</v>
      </c>
      <c r="AK3365">
        <v>0.54689132092437898</v>
      </c>
      <c r="AL3365">
        <v>78.418442224250995</v>
      </c>
      <c r="AM3365">
        <v>89.932249898524603</v>
      </c>
      <c r="AN3365">
        <v>0.99999996279792003</v>
      </c>
    </row>
    <row r="3366" spans="1:40" x14ac:dyDescent="0.25">
      <c r="A3366" t="str">
        <f>"20190303162323347"</f>
        <v>20190303162323347</v>
      </c>
      <c r="B3366" t="str">
        <f>"1551601403338097"</f>
        <v>1551601403338097</v>
      </c>
      <c r="C3366" t="s">
        <v>40</v>
      </c>
      <c r="D3366">
        <v>5.5684589999999998</v>
      </c>
      <c r="E3366">
        <v>0.52853909999999904</v>
      </c>
      <c r="F3366" t="s">
        <v>42</v>
      </c>
      <c r="G3366">
        <v>-341.31279999999998</v>
      </c>
      <c r="H3366">
        <v>0.81680140000000001</v>
      </c>
      <c r="I3366">
        <v>214.8588</v>
      </c>
      <c r="J3366">
        <v>-341.87740000000002</v>
      </c>
      <c r="K3366">
        <v>1.120662</v>
      </c>
      <c r="L3366">
        <v>214.9152</v>
      </c>
      <c r="M3366">
        <v>0.99990369999999995</v>
      </c>
      <c r="N3366">
        <v>-1.0957140000000001E-2</v>
      </c>
      <c r="O3366">
        <v>8.5134789999999991E-3</v>
      </c>
      <c r="P3366">
        <v>0.98158000000000001</v>
      </c>
      <c r="Q3366">
        <v>0.19088959999999999</v>
      </c>
      <c r="R3366">
        <v>7.8772430000000008E-3</v>
      </c>
      <c r="S3366">
        <v>3.2808229999999998</v>
      </c>
      <c r="T3366">
        <v>-1.15567</v>
      </c>
      <c r="U3366">
        <v>-0.2034454</v>
      </c>
      <c r="V3366">
        <v>4.5511519999999998E-4</v>
      </c>
      <c r="W3366">
        <v>0.2016338</v>
      </c>
      <c r="X3366">
        <v>0.97946089999999997</v>
      </c>
      <c r="Y3366">
        <v>6.5826449999999995E-2</v>
      </c>
      <c r="Z3366">
        <v>-1.443497E-2</v>
      </c>
      <c r="AA3366">
        <v>0.99772669999999997</v>
      </c>
      <c r="AB3366">
        <v>32</v>
      </c>
      <c r="AC3366">
        <v>0.56460000000004096</v>
      </c>
      <c r="AD3366">
        <v>-0.30386059999999998</v>
      </c>
      <c r="AE3366">
        <v>-5.6399999999996397E-2</v>
      </c>
      <c r="AF3366">
        <v>4.7564283204300097E-2</v>
      </c>
      <c r="AG3366">
        <v>-0.30386059999999998</v>
      </c>
      <c r="AH3366">
        <v>0.43837923285168601</v>
      </c>
      <c r="AI3366">
        <v>124.57077438239899</v>
      </c>
      <c r="AJ3366">
        <v>83.807613852481595</v>
      </c>
      <c r="AK3366">
        <v>0.53550908214962301</v>
      </c>
      <c r="AL3366">
        <v>78.367484811193805</v>
      </c>
      <c r="AM3366">
        <v>89.973377009459398</v>
      </c>
      <c r="AN3366">
        <v>1.0000000255305399</v>
      </c>
    </row>
    <row r="3367" spans="1:40" x14ac:dyDescent="0.25">
      <c r="A3367" t="str">
        <f>"20190303162323369"</f>
        <v>20190303162323369</v>
      </c>
      <c r="B3367" t="str">
        <f>"1551601403357617"</f>
        <v>1551601403357617</v>
      </c>
      <c r="C3367" t="s">
        <v>40</v>
      </c>
      <c r="D3367">
        <v>5.5885850000000001</v>
      </c>
      <c r="E3367">
        <v>0.52858079999999996</v>
      </c>
      <c r="F3367" t="s">
        <v>42</v>
      </c>
      <c r="G3367">
        <v>-341.02820000000003</v>
      </c>
      <c r="H3367">
        <v>0.82220569999999904</v>
      </c>
      <c r="I3367">
        <v>214.863</v>
      </c>
      <c r="J3367">
        <v>-341.56990000000002</v>
      </c>
      <c r="K3367">
        <v>1.1206560000000001</v>
      </c>
      <c r="L3367">
        <v>214.9179</v>
      </c>
      <c r="M3367">
        <v>0.99990369999999995</v>
      </c>
      <c r="N3367">
        <v>-1.0907210000000001E-2</v>
      </c>
      <c r="O3367">
        <v>8.5876010000000003E-3</v>
      </c>
      <c r="P3367">
        <v>0.98159770000000002</v>
      </c>
      <c r="Q3367">
        <v>0.19078609999999999</v>
      </c>
      <c r="R3367">
        <v>8.1755279999999996E-3</v>
      </c>
      <c r="S3367">
        <v>3.2822269999999998</v>
      </c>
      <c r="T3367">
        <v>-1.1535740000000001</v>
      </c>
      <c r="U3367">
        <v>-0.20170589999999999</v>
      </c>
      <c r="V3367">
        <v>2.2965950000000001E-4</v>
      </c>
      <c r="W3367">
        <v>0.20148199999999999</v>
      </c>
      <c r="X3367">
        <v>0.97949219999999904</v>
      </c>
      <c r="Y3367">
        <v>6.5389959999999997E-2</v>
      </c>
      <c r="Z3367">
        <v>-1.4351549999999999E-2</v>
      </c>
      <c r="AA3367">
        <v>0.99775659999999999</v>
      </c>
      <c r="AB3367">
        <v>32</v>
      </c>
      <c r="AC3367">
        <v>0.54169999999999097</v>
      </c>
      <c r="AD3367">
        <v>-0.298450299999999</v>
      </c>
      <c r="AE3367">
        <v>-5.4900000000003502E-2</v>
      </c>
      <c r="AF3367">
        <v>4.57915678016554E-2</v>
      </c>
      <c r="AG3367">
        <v>-0.298450299999999</v>
      </c>
      <c r="AH3367">
        <v>0.41616662854518199</v>
      </c>
      <c r="AI3367">
        <v>125.482759499805</v>
      </c>
      <c r="AJ3367">
        <v>83.720900672853006</v>
      </c>
      <c r="AK3367">
        <v>0.51416350703495795</v>
      </c>
      <c r="AL3367">
        <v>78.376364363422397</v>
      </c>
      <c r="AM3367">
        <v>89.986565977928194</v>
      </c>
      <c r="AN3367">
        <v>1.0000000094641599</v>
      </c>
    </row>
    <row r="3368" spans="1:40" x14ac:dyDescent="0.25">
      <c r="A3368" t="str">
        <f>"20190303162323392"</f>
        <v>20190303162323392</v>
      </c>
      <c r="B3368" t="str">
        <f>"1551601403388850"</f>
        <v>1551601403388850</v>
      </c>
      <c r="C3368" t="s">
        <v>40</v>
      </c>
      <c r="D3368">
        <v>5.5898919999999999</v>
      </c>
      <c r="E3368">
        <v>0.52859860000000003</v>
      </c>
      <c r="F3368" t="s">
        <v>42</v>
      </c>
      <c r="G3368">
        <v>-340.74259999999998</v>
      </c>
      <c r="H3368">
        <v>0.82971919999999899</v>
      </c>
      <c r="I3368">
        <v>214.8672</v>
      </c>
      <c r="J3368">
        <v>-341.23840000000001</v>
      </c>
      <c r="K3368">
        <v>1.12064599999999</v>
      </c>
      <c r="L3368">
        <v>214.92089999999999</v>
      </c>
      <c r="M3368">
        <v>0.99990349999999995</v>
      </c>
      <c r="N3368">
        <v>-1.0853679999999999E-2</v>
      </c>
      <c r="O3368">
        <v>8.6676419999999997E-3</v>
      </c>
      <c r="P3368">
        <v>0.98158400000000001</v>
      </c>
      <c r="Q3368">
        <v>0.19085840000000001</v>
      </c>
      <c r="R3368">
        <v>8.1429959999999996E-3</v>
      </c>
      <c r="S3368">
        <v>3.282257</v>
      </c>
      <c r="T3368">
        <v>-1.1542669999999999</v>
      </c>
      <c r="U3368">
        <v>-0.20045470000000001</v>
      </c>
      <c r="V3368">
        <v>3.4057530000000002E-4</v>
      </c>
      <c r="W3368">
        <v>0.20150109999999999</v>
      </c>
      <c r="X3368">
        <v>0.97948829999999998</v>
      </c>
      <c r="Y3368">
        <v>6.5099000000000004E-2</v>
      </c>
      <c r="Z3368">
        <v>-1.433341E-2</v>
      </c>
      <c r="AA3368">
        <v>0.99777590000000005</v>
      </c>
      <c r="AB3368">
        <v>32</v>
      </c>
      <c r="AC3368">
        <v>0.49580000000003099</v>
      </c>
      <c r="AD3368">
        <v>-0.29092679999999899</v>
      </c>
      <c r="AE3368">
        <v>-5.3699999999991997E-2</v>
      </c>
      <c r="AF3368">
        <v>4.3269957159234103E-2</v>
      </c>
      <c r="AG3368">
        <v>-0.29092679999999899</v>
      </c>
      <c r="AH3368">
        <v>0.369550069439332</v>
      </c>
      <c r="AI3368">
        <v>128.02200803537801</v>
      </c>
      <c r="AJ3368">
        <v>83.321747631040793</v>
      </c>
      <c r="AK3368">
        <v>0.47231128080262602</v>
      </c>
      <c r="AL3368">
        <v>78.375247807640804</v>
      </c>
      <c r="AM3368">
        <v>89.980077836039399</v>
      </c>
      <c r="AN3368">
        <v>1.0000000695648099</v>
      </c>
    </row>
    <row r="3369" spans="1:40" x14ac:dyDescent="0.25">
      <c r="A3369" t="str">
        <f>"20190303162323414"</f>
        <v>20190303162323414</v>
      </c>
      <c r="B3369" t="str">
        <f>"1551601403408369"</f>
        <v>1551601403408369</v>
      </c>
      <c r="C3369" t="s">
        <v>40</v>
      </c>
      <c r="D3369">
        <v>5.7505480000000002</v>
      </c>
      <c r="E3369">
        <v>0.52850419999999998</v>
      </c>
      <c r="F3369" t="s">
        <v>42</v>
      </c>
      <c r="G3369">
        <v>-340.45389999999998</v>
      </c>
      <c r="H3369">
        <v>0.84448040000000002</v>
      </c>
      <c r="I3369">
        <v>214.87299999999999</v>
      </c>
      <c r="J3369">
        <v>-340.92630000000003</v>
      </c>
      <c r="K3369">
        <v>1.1206370000000001</v>
      </c>
      <c r="L3369">
        <v>214.92359999999999</v>
      </c>
      <c r="M3369">
        <v>0.9999034</v>
      </c>
      <c r="N3369">
        <v>-1.0806629999999999E-2</v>
      </c>
      <c r="O3369">
        <v>8.7427589999999993E-3</v>
      </c>
      <c r="P3369">
        <v>0.98154350000000001</v>
      </c>
      <c r="Q3369">
        <v>0.19104699999999999</v>
      </c>
      <c r="R3369">
        <v>8.5761510000000006E-3</v>
      </c>
      <c r="S3369">
        <v>3.2826840000000002</v>
      </c>
      <c r="T3369">
        <v>-1.1556059999999999</v>
      </c>
      <c r="U3369">
        <v>-0.19975280000000001</v>
      </c>
      <c r="V3369" s="1">
        <v>-1.912697E-5</v>
      </c>
      <c r="W3369">
        <v>0.20164360000000001</v>
      </c>
      <c r="X3369">
        <v>0.97945899999999997</v>
      </c>
      <c r="Y3369">
        <v>6.4949889999999996E-2</v>
      </c>
      <c r="Z3369">
        <v>-1.4344569999999999E-2</v>
      </c>
      <c r="AA3369">
        <v>0.99778540000000004</v>
      </c>
      <c r="AB3369">
        <v>32</v>
      </c>
      <c r="AC3369">
        <v>0.47240000000005</v>
      </c>
      <c r="AD3369">
        <v>-0.27615659999999997</v>
      </c>
      <c r="AE3369">
        <v>-5.0600000000002802E-2</v>
      </c>
      <c r="AF3369">
        <v>4.0907410184425001E-2</v>
      </c>
      <c r="AG3369">
        <v>-0.27615659999999997</v>
      </c>
      <c r="AH3369">
        <v>0.35275704936630498</v>
      </c>
      <c r="AI3369">
        <v>127.870092400689</v>
      </c>
      <c r="AJ3369">
        <v>83.385250620139104</v>
      </c>
      <c r="AK3369">
        <v>0.44985933335785999</v>
      </c>
      <c r="AL3369">
        <v>78.366911675559805</v>
      </c>
      <c r="AM3369">
        <v>90.001118877518806</v>
      </c>
      <c r="AN3369">
        <v>1.00000003723389</v>
      </c>
    </row>
    <row r="3370" spans="1:40" x14ac:dyDescent="0.25">
      <c r="A3370" t="str">
        <f>"20190303162323436"</f>
        <v>20190303162323436</v>
      </c>
      <c r="B3370" t="str">
        <f>"1551601403427890"</f>
        <v>1551601403427890</v>
      </c>
      <c r="C3370" t="s">
        <v>40</v>
      </c>
      <c r="D3370">
        <v>5.4717859999999998</v>
      </c>
      <c r="E3370">
        <v>0.50543890000000002</v>
      </c>
      <c r="F3370" t="s">
        <v>42</v>
      </c>
      <c r="G3370">
        <v>-340.16719999999998</v>
      </c>
      <c r="H3370">
        <v>0.85360569999999902</v>
      </c>
      <c r="I3370">
        <v>214.87790000000001</v>
      </c>
      <c r="J3370">
        <v>-340.61250000000001</v>
      </c>
      <c r="K3370">
        <v>1.120636</v>
      </c>
      <c r="L3370">
        <v>214.9265</v>
      </c>
      <c r="M3370">
        <v>0.99990319999999999</v>
      </c>
      <c r="N3370">
        <v>-1.076362E-2</v>
      </c>
      <c r="O3370">
        <v>8.8186870000000004E-3</v>
      </c>
      <c r="P3370">
        <v>0.98148559999999996</v>
      </c>
      <c r="Q3370">
        <v>0.1913358</v>
      </c>
      <c r="R3370">
        <v>8.7645680000000004E-3</v>
      </c>
      <c r="S3370">
        <v>3.282867</v>
      </c>
      <c r="T3370">
        <v>-1.1547829999999999</v>
      </c>
      <c r="U3370">
        <v>-0.1966705</v>
      </c>
      <c r="V3370">
        <v>-1.3339600000000001E-4</v>
      </c>
      <c r="W3370">
        <v>0.20188919999999999</v>
      </c>
      <c r="X3370">
        <v>0.97940830000000001</v>
      </c>
      <c r="Y3370">
        <v>6.4141299999999998E-2</v>
      </c>
      <c r="Z3370">
        <v>-1.4216299999999901E-2</v>
      </c>
      <c r="AA3370">
        <v>0.99783960000000005</v>
      </c>
      <c r="AB3370">
        <v>32</v>
      </c>
      <c r="AC3370">
        <v>0.445300000000031</v>
      </c>
      <c r="AD3370">
        <v>-0.2670303</v>
      </c>
      <c r="AE3370">
        <v>-4.8599999999993301E-2</v>
      </c>
      <c r="AF3370">
        <v>3.8753653881983999E-2</v>
      </c>
      <c r="AG3370">
        <v>-0.2670303</v>
      </c>
      <c r="AH3370">
        <v>0.32821746959009102</v>
      </c>
      <c r="AI3370">
        <v>128.93699182409799</v>
      </c>
      <c r="AJ3370">
        <v>83.266087308899401</v>
      </c>
      <c r="AK3370">
        <v>0.42489261484687701</v>
      </c>
      <c r="AL3370">
        <v>78.352543230508005</v>
      </c>
      <c r="AM3370">
        <v>90.007803719609697</v>
      </c>
      <c r="AN3370">
        <v>0.99999994249000901</v>
      </c>
    </row>
    <row r="3371" spans="1:40" x14ac:dyDescent="0.25">
      <c r="A3371" t="str">
        <f>"20190303162323458"</f>
        <v>20190303162323458</v>
      </c>
      <c r="B3371" t="str">
        <f>"1551601403448386"</f>
        <v>1551601403448386</v>
      </c>
      <c r="C3371" t="s">
        <v>40</v>
      </c>
      <c r="D3371">
        <v>5.0549150000000003</v>
      </c>
      <c r="E3371">
        <v>0.47052890000000003</v>
      </c>
      <c r="F3371" t="s">
        <v>42</v>
      </c>
      <c r="G3371">
        <v>-339.84190000000001</v>
      </c>
      <c r="H3371">
        <v>0.94733730000000005</v>
      </c>
      <c r="I3371">
        <v>214.92339999999999</v>
      </c>
      <c r="J3371">
        <v>-340.30380000000002</v>
      </c>
      <c r="K3371">
        <v>1.120636</v>
      </c>
      <c r="L3371">
        <v>214.92920000000001</v>
      </c>
      <c r="M3371">
        <v>0.99990299999999999</v>
      </c>
      <c r="N3371">
        <v>-1.0725299999999899E-2</v>
      </c>
      <c r="O3371">
        <v>8.8933980000000003E-3</v>
      </c>
      <c r="P3371">
        <v>0.98150959999999998</v>
      </c>
      <c r="Q3371">
        <v>0.19121640000000001</v>
      </c>
      <c r="R3371">
        <v>8.6930849999999997E-3</v>
      </c>
      <c r="S3371">
        <v>3.196869</v>
      </c>
      <c r="T3371">
        <v>-0.71893879999999999</v>
      </c>
      <c r="U3371">
        <v>-1.31072999999999E-2</v>
      </c>
      <c r="V3371" s="1">
        <v>1.1423879999999999E-5</v>
      </c>
      <c r="W3371">
        <v>0.20173279999999999</v>
      </c>
      <c r="X3371">
        <v>0.97944059999999999</v>
      </c>
      <c r="Y3371">
        <v>1.246569E-2</v>
      </c>
      <c r="Z3371">
        <v>-3.3331860000000001E-3</v>
      </c>
      <c r="AA3371">
        <v>0.99991669999999999</v>
      </c>
      <c r="AB3371">
        <v>32</v>
      </c>
      <c r="AC3371">
        <v>0.46190000000001402</v>
      </c>
      <c r="AD3371">
        <v>-0.1732987</v>
      </c>
      <c r="AE3371">
        <v>-5.8000000000220098E-3</v>
      </c>
      <c r="AF3371">
        <v>8.6854522108919495E-3</v>
      </c>
      <c r="AG3371">
        <v>-0.1732987</v>
      </c>
      <c r="AH3371">
        <v>0.404850368482087</v>
      </c>
      <c r="AI3371">
        <v>113.168876428856</v>
      </c>
      <c r="AJ3371">
        <v>88.770994253493299</v>
      </c>
      <c r="AK3371">
        <v>0.44046758945679498</v>
      </c>
      <c r="AL3371">
        <v>78.361693290239003</v>
      </c>
      <c r="AM3371">
        <v>89.999331720463999</v>
      </c>
      <c r="AN3371">
        <v>1.0000000058273499</v>
      </c>
    </row>
    <row r="3372" spans="1:40" x14ac:dyDescent="0.25">
      <c r="A3372" t="str">
        <f>"20190303162323481"</f>
        <v>20190303162323481</v>
      </c>
      <c r="B3372" t="str">
        <f>"1551601403467906"</f>
        <v>1551601403467906</v>
      </c>
      <c r="C3372" t="s">
        <v>40</v>
      </c>
      <c r="D3372">
        <v>5.5509329999999997</v>
      </c>
      <c r="E3372">
        <v>0.47184320000000002</v>
      </c>
      <c r="F3372" t="s">
        <v>49</v>
      </c>
      <c r="G3372">
        <v>-313.01609999999999</v>
      </c>
      <c r="H3372" s="1">
        <v>2.2431850000000002E-6</v>
      </c>
      <c r="I3372">
        <v>217.2647</v>
      </c>
      <c r="J3372">
        <v>-339.97890000000001</v>
      </c>
      <c r="K3372">
        <v>1.12063</v>
      </c>
      <c r="L3372">
        <v>214.93219999999999</v>
      </c>
      <c r="M3372">
        <v>0.99990270000000003</v>
      </c>
      <c r="N3372">
        <v>-1.0689229999999999E-2</v>
      </c>
      <c r="O3372">
        <v>8.9716150000000005E-3</v>
      </c>
      <c r="P3372">
        <v>0.98162559999999999</v>
      </c>
      <c r="Q3372">
        <v>0.19063869999999999</v>
      </c>
      <c r="R3372">
        <v>8.2687490000000006E-3</v>
      </c>
      <c r="S3372">
        <v>3.0787960000000001</v>
      </c>
      <c r="T3372">
        <v>-0.12643840000000001</v>
      </c>
      <c r="U3372">
        <v>0.26350400000000002</v>
      </c>
      <c r="V3372">
        <v>5.1341470000000004E-4</v>
      </c>
      <c r="W3372">
        <v>0.20112089999999999</v>
      </c>
      <c r="X3372">
        <v>0.9795663</v>
      </c>
      <c r="Y3372">
        <v>-7.6255660000000003E-2</v>
      </c>
      <c r="Z3372">
        <v>1.6989609999999999E-3</v>
      </c>
      <c r="AA3372">
        <v>0.99708680000000005</v>
      </c>
      <c r="AB3372">
        <v>32</v>
      </c>
      <c r="AC3372">
        <v>26.962800000000001</v>
      </c>
      <c r="AD3372">
        <v>-1.120627756815</v>
      </c>
      <c r="AE3372">
        <v>2.3325000000000098</v>
      </c>
      <c r="AF3372">
        <v>-2.0869142966259302</v>
      </c>
      <c r="AG3372">
        <v>-1.120627756815</v>
      </c>
      <c r="AH3372">
        <v>26.936457830094401</v>
      </c>
      <c r="AI3372">
        <v>92.375172349695205</v>
      </c>
      <c r="AJ3372">
        <v>94.430166722081296</v>
      </c>
      <c r="AK3372">
        <v>27.0404100982818</v>
      </c>
      <c r="AL3372">
        <v>78.397486231680304</v>
      </c>
      <c r="AM3372">
        <v>89.969969880796896</v>
      </c>
      <c r="AN3372">
        <v>1.00000000805357</v>
      </c>
    </row>
    <row r="3373" spans="1:40" x14ac:dyDescent="0.25">
      <c r="A3373" t="str">
        <f>"20190303162323504"</f>
        <v>20190303162323504</v>
      </c>
      <c r="B3373" t="str">
        <f>"1551601403498162"</f>
        <v>1551601403498162</v>
      </c>
      <c r="C3373" t="s">
        <v>40</v>
      </c>
      <c r="D3373">
        <v>5.7432270000000001</v>
      </c>
      <c r="E3373">
        <v>0.47232299999999999</v>
      </c>
      <c r="F3373" t="s">
        <v>49</v>
      </c>
      <c r="G3373">
        <v>-304.3766</v>
      </c>
      <c r="H3373" s="1">
        <v>1.8769260000000001E-6</v>
      </c>
      <c r="I3373">
        <v>217.8485</v>
      </c>
      <c r="J3373">
        <v>-339.64980000000003</v>
      </c>
      <c r="K3373">
        <v>1.120627</v>
      </c>
      <c r="L3373">
        <v>214.93530000000001</v>
      </c>
      <c r="M3373">
        <v>0.99990230000000002</v>
      </c>
      <c r="N3373">
        <v>-1.0657410000000001E-2</v>
      </c>
      <c r="O3373">
        <v>9.0511759999999993E-3</v>
      </c>
      <c r="P3373">
        <v>0.98164720000000005</v>
      </c>
      <c r="Q3373">
        <v>0.19053990000000001</v>
      </c>
      <c r="R3373">
        <v>7.9666659999999903E-3</v>
      </c>
      <c r="S3373">
        <v>3.072845</v>
      </c>
      <c r="T3373">
        <v>-9.6721769999999999E-2</v>
      </c>
      <c r="U3373">
        <v>0.25170900000000002</v>
      </c>
      <c r="V3373">
        <v>8.9370379999999998E-4</v>
      </c>
      <c r="W3373">
        <v>0.20099149999999999</v>
      </c>
      <c r="X3373">
        <v>0.97959260000000004</v>
      </c>
      <c r="Y3373">
        <v>-7.2569800000000004E-2</v>
      </c>
      <c r="Z3373">
        <v>1.339388E-3</v>
      </c>
      <c r="AA3373">
        <v>0.99736239999999998</v>
      </c>
      <c r="AB3373">
        <v>32</v>
      </c>
      <c r="AC3373">
        <v>35.273200000000003</v>
      </c>
      <c r="AD3373">
        <v>-1.1206251230740001</v>
      </c>
      <c r="AE3373">
        <v>2.9131999999999798</v>
      </c>
      <c r="AF3373">
        <v>-2.5912009531015698</v>
      </c>
      <c r="AG3373">
        <v>-1.1206251230740001</v>
      </c>
      <c r="AH3373">
        <v>35.262773862771198</v>
      </c>
      <c r="AI3373">
        <v>91.815314128010897</v>
      </c>
      <c r="AJ3373">
        <v>94.202690343842406</v>
      </c>
      <c r="AK3373">
        <v>35.375603790504499</v>
      </c>
      <c r="AL3373">
        <v>78.405055021577496</v>
      </c>
      <c r="AM3373">
        <v>89.9477278190258</v>
      </c>
      <c r="AN3373">
        <v>1.00000002187674</v>
      </c>
    </row>
    <row r="3374" spans="1:40" x14ac:dyDescent="0.25">
      <c r="A3374" t="str">
        <f>"20190303162323547"</f>
        <v>20190303162323547</v>
      </c>
      <c r="B3374" t="str">
        <f>"1551601403538177"</f>
        <v>1551601403538177</v>
      </c>
      <c r="C3374" t="s">
        <v>40</v>
      </c>
      <c r="D3374">
        <v>5.852017</v>
      </c>
      <c r="E3374">
        <v>0.47386689999999998</v>
      </c>
      <c r="F3374" t="s">
        <v>49</v>
      </c>
      <c r="G3374">
        <v>-307.32369999999997</v>
      </c>
      <c r="H3374" s="1">
        <v>1.3541620000000001E-6</v>
      </c>
      <c r="I3374">
        <v>217.52979999999999</v>
      </c>
      <c r="J3374">
        <v>-339.0308</v>
      </c>
      <c r="K3374">
        <v>1.120628</v>
      </c>
      <c r="L3374">
        <v>214.94110000000001</v>
      </c>
      <c r="M3374">
        <v>0.99990140000000005</v>
      </c>
      <c r="N3374">
        <v>-1.0608909999999999E-2</v>
      </c>
      <c r="O3374">
        <v>9.2006220000000003E-3</v>
      </c>
      <c r="P3374">
        <v>0.98142660000000004</v>
      </c>
      <c r="Q3374">
        <v>0.19166340000000001</v>
      </c>
      <c r="R3374">
        <v>8.1783240000000007E-3</v>
      </c>
      <c r="S3374">
        <v>3.0747680000000002</v>
      </c>
      <c r="T3374">
        <v>-0.10659059999999999</v>
      </c>
      <c r="U3374">
        <v>0.24678040000000001</v>
      </c>
      <c r="V3374">
        <v>8.2662679999999996E-4</v>
      </c>
      <c r="W3374">
        <v>0.2020653</v>
      </c>
      <c r="X3374">
        <v>0.97937169999999896</v>
      </c>
      <c r="Y3374">
        <v>-7.0774950000000003E-2</v>
      </c>
      <c r="Z3374">
        <v>1.3797309999999999E-3</v>
      </c>
      <c r="AA3374">
        <v>0.99749140000000003</v>
      </c>
      <c r="AB3374">
        <v>32</v>
      </c>
      <c r="AC3374">
        <v>31.707100000000001</v>
      </c>
      <c r="AD3374">
        <v>-1.1206266458380001</v>
      </c>
      <c r="AE3374">
        <v>2.5886999999999798</v>
      </c>
      <c r="AF3374">
        <v>-2.2940024175431901</v>
      </c>
      <c r="AG3374">
        <v>-1.1206266458380001</v>
      </c>
      <c r="AH3374">
        <v>31.690253548471699</v>
      </c>
      <c r="AI3374">
        <v>92.019961012246497</v>
      </c>
      <c r="AJ3374">
        <v>94.140320207460903</v>
      </c>
      <c r="AK3374">
        <v>31.7929303641153</v>
      </c>
      <c r="AL3374">
        <v>78.342241772258404</v>
      </c>
      <c r="AM3374">
        <v>89.9516402039946</v>
      </c>
      <c r="AN3374">
        <v>0.99999999776842297</v>
      </c>
    </row>
    <row r="3375" spans="1:40" x14ac:dyDescent="0.25">
      <c r="A3375" t="str">
        <f>"20190303162323570"</f>
        <v>20190303162323570</v>
      </c>
      <c r="B3375" t="str">
        <f>"1551601403557697"</f>
        <v>1551601403557697</v>
      </c>
      <c r="C3375" t="s">
        <v>40</v>
      </c>
      <c r="D3375">
        <v>5.7957470000000004</v>
      </c>
      <c r="E3375">
        <v>0.47492469999999998</v>
      </c>
      <c r="F3375" t="s">
        <v>49</v>
      </c>
      <c r="G3375">
        <v>-308.49720000000002</v>
      </c>
      <c r="H3375" s="1">
        <v>1.146002E-6</v>
      </c>
      <c r="I3375">
        <v>217.27430000000001</v>
      </c>
      <c r="J3375">
        <v>-338.71530000000001</v>
      </c>
      <c r="K3375">
        <v>1.1206290000000001</v>
      </c>
      <c r="L3375">
        <v>214.94399999999999</v>
      </c>
      <c r="M3375">
        <v>0.99990089999999998</v>
      </c>
      <c r="N3375">
        <v>-1.058917E-2</v>
      </c>
      <c r="O3375">
        <v>9.2764249999999996E-3</v>
      </c>
      <c r="P3375">
        <v>0.98131299999999999</v>
      </c>
      <c r="Q3375">
        <v>0.19221640000000001</v>
      </c>
      <c r="R3375">
        <v>8.8281939999999993E-3</v>
      </c>
      <c r="S3375">
        <v>3.0768740000000001</v>
      </c>
      <c r="T3375">
        <v>-0.1129256</v>
      </c>
      <c r="U3375">
        <v>0.23512269999999999</v>
      </c>
      <c r="V3375">
        <v>2.4971740000000002E-4</v>
      </c>
      <c r="W3375">
        <v>0.20259720000000001</v>
      </c>
      <c r="X3375">
        <v>0.97926210000000002</v>
      </c>
      <c r="Y3375">
        <v>-6.6886089999999995E-2</v>
      </c>
      <c r="Z3375">
        <v>1.3382839999999999E-3</v>
      </c>
      <c r="AA3375">
        <v>0.99775970000000003</v>
      </c>
      <c r="AB3375">
        <v>32</v>
      </c>
      <c r="AC3375">
        <v>30.2181</v>
      </c>
      <c r="AD3375">
        <v>-1.1206278539979999</v>
      </c>
      <c r="AE3375">
        <v>2.33029999999999</v>
      </c>
      <c r="AF3375">
        <v>-2.0470694327855501</v>
      </c>
      <c r="AG3375">
        <v>-1.1206278539979999</v>
      </c>
      <c r="AH3375">
        <v>30.197133971405499</v>
      </c>
      <c r="AI3375">
        <v>92.120432077574606</v>
      </c>
      <c r="AJ3375">
        <v>93.878158305773098</v>
      </c>
      <c r="AK3375">
        <v>30.287178807819199</v>
      </c>
      <c r="AL3375">
        <v>78.311122231449204</v>
      </c>
      <c r="AM3375">
        <v>89.985389250966705</v>
      </c>
      <c r="AN3375">
        <v>0.99999997415151398</v>
      </c>
    </row>
    <row r="3376" spans="1:40" x14ac:dyDescent="0.25">
      <c r="A3376" t="str">
        <f>"20190303162323592"</f>
        <v>20190303162323592</v>
      </c>
      <c r="B3376" t="str">
        <f>"1551601403587954"</f>
        <v>1551601403587954</v>
      </c>
      <c r="C3376" t="s">
        <v>40</v>
      </c>
      <c r="D3376">
        <v>5.7865120000000001</v>
      </c>
      <c r="E3376">
        <v>0.47583029999999998</v>
      </c>
      <c r="F3376" t="s">
        <v>49</v>
      </c>
      <c r="G3376">
        <v>-309.92939999999999</v>
      </c>
      <c r="H3376" s="1">
        <v>8.9193959999999996E-7</v>
      </c>
      <c r="I3376">
        <v>217.08189999999999</v>
      </c>
      <c r="J3376">
        <v>-338.3931</v>
      </c>
      <c r="K3376">
        <v>1.1206320000000001</v>
      </c>
      <c r="L3376">
        <v>214.94710000000001</v>
      </c>
      <c r="M3376">
        <v>0.99990040000000002</v>
      </c>
      <c r="N3376">
        <v>-1.0572130000000001E-2</v>
      </c>
      <c r="O3376">
        <v>9.3538830000000003E-3</v>
      </c>
      <c r="P3376">
        <v>0.98123629999999995</v>
      </c>
      <c r="Q3376">
        <v>0.19256499999999999</v>
      </c>
      <c r="R3376">
        <v>9.7065109999999993E-3</v>
      </c>
      <c r="S3376">
        <v>3.0785830000000001</v>
      </c>
      <c r="T3376">
        <v>-0.11984880000000001</v>
      </c>
      <c r="U3376">
        <v>0.2286377</v>
      </c>
      <c r="V3376">
        <v>-5.5359110000000001E-4</v>
      </c>
      <c r="W3376">
        <v>0.2029282</v>
      </c>
      <c r="X3376">
        <v>0.97919339999999999</v>
      </c>
      <c r="Y3376">
        <v>-6.4672999999999994E-2</v>
      </c>
      <c r="Z3376">
        <v>1.3344279999999999E-3</v>
      </c>
      <c r="AA3376">
        <v>0.99790559999999995</v>
      </c>
      <c r="AB3376">
        <v>32</v>
      </c>
      <c r="AC3376">
        <v>28.463699999999999</v>
      </c>
      <c r="AD3376">
        <v>-1.1206311080603999</v>
      </c>
      <c r="AE3376">
        <v>2.1347999999999798</v>
      </c>
      <c r="AF3376">
        <v>-1.8655700739854799</v>
      </c>
      <c r="AG3376">
        <v>-1.1206311080603999</v>
      </c>
      <c r="AH3376">
        <v>28.4385900489882</v>
      </c>
      <c r="AI3376">
        <v>92.251754890862799</v>
      </c>
      <c r="AJ3376">
        <v>93.753222598477805</v>
      </c>
      <c r="AK3376">
        <v>28.521738547215399</v>
      </c>
      <c r="AL3376">
        <v>78.291754597759393</v>
      </c>
      <c r="AM3376">
        <v>90.032392406062598</v>
      </c>
      <c r="AN3376">
        <v>0.99999993771095097</v>
      </c>
    </row>
    <row r="3377" spans="1:40" x14ac:dyDescent="0.25">
      <c r="A3377" t="str">
        <f>"20190303162323616"</f>
        <v>20190303162323616</v>
      </c>
      <c r="B3377" t="str">
        <f>"1551601403607475"</f>
        <v>1551601403607475</v>
      </c>
      <c r="C3377" t="s">
        <v>40</v>
      </c>
      <c r="D3377">
        <v>5.7829329999999999</v>
      </c>
      <c r="E3377">
        <v>0.47629480000000002</v>
      </c>
      <c r="F3377" t="s">
        <v>49</v>
      </c>
      <c r="G3377">
        <v>-311.37819999999999</v>
      </c>
      <c r="H3377" s="1">
        <v>1.516815E-6</v>
      </c>
      <c r="I3377">
        <v>216.91130000000001</v>
      </c>
      <c r="J3377">
        <v>-338.05360000000002</v>
      </c>
      <c r="K3377">
        <v>1.1206290000000001</v>
      </c>
      <c r="L3377">
        <v>214.9504</v>
      </c>
      <c r="M3377">
        <v>0.99989989999999995</v>
      </c>
      <c r="N3377">
        <v>-1.055681E-2</v>
      </c>
      <c r="O3377">
        <v>9.435499E-3</v>
      </c>
      <c r="P3377">
        <v>0.98118030000000001</v>
      </c>
      <c r="Q3377">
        <v>0.19281100000000001</v>
      </c>
      <c r="R3377">
        <v>1.046514E-2</v>
      </c>
      <c r="S3377">
        <v>3.0802309999999999</v>
      </c>
      <c r="T3377">
        <v>-0.127774</v>
      </c>
      <c r="U3377">
        <v>0.22395319999999999</v>
      </c>
      <c r="V3377">
        <v>-1.232426E-3</v>
      </c>
      <c r="W3377">
        <v>0.2031589</v>
      </c>
      <c r="X3377">
        <v>0.97914500000000004</v>
      </c>
      <c r="Y3377">
        <v>-6.3037609999999994E-2</v>
      </c>
      <c r="Z3377">
        <v>1.3473199999999999E-3</v>
      </c>
      <c r="AA3377">
        <v>0.99801019999999896</v>
      </c>
      <c r="AB3377">
        <v>32</v>
      </c>
      <c r="AC3377">
        <v>26.6754</v>
      </c>
      <c r="AD3377">
        <v>-1.1206274831850001</v>
      </c>
      <c r="AE3377">
        <v>1.9609000000000001</v>
      </c>
      <c r="AF3377">
        <v>-1.7061082069370901</v>
      </c>
      <c r="AG3377">
        <v>-1.1206274831850001</v>
      </c>
      <c r="AH3377">
        <v>26.645942927274099</v>
      </c>
      <c r="AI3377">
        <v>92.4033088329208</v>
      </c>
      <c r="AJ3377">
        <v>93.663579937087306</v>
      </c>
      <c r="AK3377">
        <v>26.724013277451402</v>
      </c>
      <c r="AL3377">
        <v>78.278255937923404</v>
      </c>
      <c r="AM3377">
        <v>90.072116766232199</v>
      </c>
      <c r="AN3377">
        <v>0.99999999427402697</v>
      </c>
    </row>
    <row r="3378" spans="1:40" x14ac:dyDescent="0.25">
      <c r="A3378" t="str">
        <f>"20190303162323638"</f>
        <v>20190303162323638</v>
      </c>
      <c r="B3378" t="str">
        <f>"1551601403627970"</f>
        <v>1551601403627970</v>
      </c>
      <c r="C3378" t="s">
        <v>40</v>
      </c>
      <c r="D3378">
        <v>5.7247700000000004</v>
      </c>
      <c r="E3378">
        <v>0.47669400000000001</v>
      </c>
      <c r="F3378" t="s">
        <v>49</v>
      </c>
      <c r="G3378">
        <v>-311.5994</v>
      </c>
      <c r="H3378" s="1">
        <v>1.6148950000000001E-6</v>
      </c>
      <c r="I3378">
        <v>216.86160000000001</v>
      </c>
      <c r="J3378">
        <v>-337.74189999999999</v>
      </c>
      <c r="K3378">
        <v>1.120628</v>
      </c>
      <c r="L3378">
        <v>214.95339999999999</v>
      </c>
      <c r="M3378">
        <v>0.99989930000000005</v>
      </c>
      <c r="N3378">
        <v>-1.0545000000000001E-2</v>
      </c>
      <c r="O3378">
        <v>9.5095219999999994E-3</v>
      </c>
      <c r="P3378">
        <v>0.9812843</v>
      </c>
      <c r="Q3378">
        <v>0.19223599999999999</v>
      </c>
      <c r="R3378">
        <v>1.126744E-2</v>
      </c>
      <c r="S3378">
        <v>3.0808110000000002</v>
      </c>
      <c r="T3378">
        <v>-0.13050599999999901</v>
      </c>
      <c r="U3378">
        <v>0.22258</v>
      </c>
      <c r="V3378">
        <v>-1.9605540000000002E-3</v>
      </c>
      <c r="W3378">
        <v>0.20257339999999999</v>
      </c>
      <c r="X3378">
        <v>0.97926519999999995</v>
      </c>
      <c r="Y3378">
        <v>-6.250588E-2</v>
      </c>
      <c r="Z3378">
        <v>1.3498119999999999E-3</v>
      </c>
      <c r="AA3378">
        <v>0.99804369999999998</v>
      </c>
      <c r="AB3378">
        <v>32</v>
      </c>
      <c r="AC3378">
        <v>26.142499999999899</v>
      </c>
      <c r="AD3378">
        <v>-1.120626385105</v>
      </c>
      <c r="AE3378">
        <v>1.9082000000000201</v>
      </c>
      <c r="AF3378">
        <v>-1.65646960307328</v>
      </c>
      <c r="AG3378">
        <v>-1.120626385105</v>
      </c>
      <c r="AH3378">
        <v>26.1117388188216</v>
      </c>
      <c r="AI3378">
        <v>92.452506731222101</v>
      </c>
      <c r="AJ3378">
        <v>93.629850511152497</v>
      </c>
      <c r="AK3378">
        <v>26.188214891115699</v>
      </c>
      <c r="AL3378">
        <v>78.312515988578994</v>
      </c>
      <c r="AM3378">
        <v>90.114709804476703</v>
      </c>
      <c r="AN3378">
        <v>1.0000000790452901</v>
      </c>
    </row>
    <row r="3379" spans="1:40" x14ac:dyDescent="0.25">
      <c r="A3379" t="str">
        <f>"20190303162323660"</f>
        <v>20190303162323660</v>
      </c>
      <c r="B3379" t="str">
        <f>"1551601403647489"</f>
        <v>1551601403647489</v>
      </c>
      <c r="C3379" t="s">
        <v>40</v>
      </c>
      <c r="D3379">
        <v>5.7853919999999999</v>
      </c>
      <c r="E3379">
        <v>0.47703489999999998</v>
      </c>
      <c r="F3379" t="s">
        <v>49</v>
      </c>
      <c r="G3379">
        <v>-312.17489999999998</v>
      </c>
      <c r="H3379" s="1">
        <v>1.870135E-6</v>
      </c>
      <c r="I3379">
        <v>216.7929</v>
      </c>
      <c r="J3379">
        <v>-337.4341</v>
      </c>
      <c r="K3379">
        <v>1.1206240000000001</v>
      </c>
      <c r="L3379">
        <v>214.9564</v>
      </c>
      <c r="M3379">
        <v>0.99989870000000003</v>
      </c>
      <c r="N3379">
        <v>-1.0535279999999999E-2</v>
      </c>
      <c r="O3379">
        <v>9.5778470000000004E-3</v>
      </c>
      <c r="P3379">
        <v>0.98134089999999996</v>
      </c>
      <c r="Q3379">
        <v>0.19188540000000001</v>
      </c>
      <c r="R3379">
        <v>1.226126E-2</v>
      </c>
      <c r="S3379">
        <v>3.0811160000000002</v>
      </c>
      <c r="T3379">
        <v>-0.13504849999999999</v>
      </c>
      <c r="U3379">
        <v>0.22167970000000001</v>
      </c>
      <c r="V3379">
        <v>-2.8858E-3</v>
      </c>
      <c r="W3379">
        <v>0.2022138</v>
      </c>
      <c r="X3379">
        <v>0.97933720000000002</v>
      </c>
      <c r="Y3379">
        <v>-6.2136990000000003E-2</v>
      </c>
      <c r="Z3379">
        <v>1.3690250000000001E-3</v>
      </c>
      <c r="AA3379">
        <v>0.99806669999999997</v>
      </c>
      <c r="AB3379">
        <v>32</v>
      </c>
      <c r="AC3379">
        <v>25.2592</v>
      </c>
      <c r="AD3379">
        <v>-1.1206221298649901</v>
      </c>
      <c r="AE3379">
        <v>1.8365</v>
      </c>
      <c r="AF3379">
        <v>-1.59135787711623</v>
      </c>
      <c r="AG3379">
        <v>-1.1206221298649901</v>
      </c>
      <c r="AH3379">
        <v>25.2262416148772</v>
      </c>
      <c r="AI3379">
        <v>92.538531436273203</v>
      </c>
      <c r="AJ3379">
        <v>93.609631236091602</v>
      </c>
      <c r="AK3379">
        <v>25.301214987884698</v>
      </c>
      <c r="AL3379">
        <v>78.333554623288194</v>
      </c>
      <c r="AM3379">
        <v>90.168832228534001</v>
      </c>
      <c r="AN3379">
        <v>1.00000005002795</v>
      </c>
    </row>
    <row r="3380" spans="1:40" x14ac:dyDescent="0.25">
      <c r="A3380" t="str">
        <f>"20190303162323683"</f>
        <v>20190303162323683</v>
      </c>
      <c r="B3380" t="str">
        <f>"1551601403667986"</f>
        <v>1551601403667986</v>
      </c>
      <c r="C3380" t="s">
        <v>40</v>
      </c>
      <c r="D3380">
        <v>5.6629870000000002</v>
      </c>
      <c r="E3380">
        <v>0.47735300000000003</v>
      </c>
      <c r="F3380" t="s">
        <v>49</v>
      </c>
      <c r="G3380">
        <v>-312.58629999999999</v>
      </c>
      <c r="H3380" s="1">
        <v>2.052552E-6</v>
      </c>
      <c r="I3380">
        <v>216.7424</v>
      </c>
      <c r="J3380">
        <v>-337.10579999999999</v>
      </c>
      <c r="K3380">
        <v>1.120609</v>
      </c>
      <c r="L3380">
        <v>214.95959999999999</v>
      </c>
      <c r="M3380">
        <v>0.99989810000000001</v>
      </c>
      <c r="N3380">
        <v>-1.052669E-2</v>
      </c>
      <c r="O3380">
        <v>9.6393739999999992E-3</v>
      </c>
      <c r="P3380">
        <v>0.98142770000000001</v>
      </c>
      <c r="Q3380">
        <v>0.19138569999999999</v>
      </c>
      <c r="R3380">
        <v>1.30858E-2</v>
      </c>
      <c r="S3380">
        <v>3.0814819999999998</v>
      </c>
      <c r="T3380">
        <v>-0.13897309999999999</v>
      </c>
      <c r="U3380">
        <v>0.22149659999999999</v>
      </c>
      <c r="V3380">
        <v>-3.6455060000000002E-3</v>
      </c>
      <c r="W3380">
        <v>0.20170660000000001</v>
      </c>
      <c r="X3380">
        <v>0.97943919999999995</v>
      </c>
      <c r="Y3380">
        <v>-6.2004799999999999E-2</v>
      </c>
      <c r="Z3380">
        <v>1.390074E-3</v>
      </c>
      <c r="AA3380">
        <v>0.99807489999999999</v>
      </c>
      <c r="AB3380">
        <v>32</v>
      </c>
      <c r="AC3380">
        <v>24.519499999999901</v>
      </c>
      <c r="AD3380">
        <v>-1.120606947448</v>
      </c>
      <c r="AE3380">
        <v>1.7827999999999999</v>
      </c>
      <c r="AF3380">
        <v>-1.5431451566323799</v>
      </c>
      <c r="AG3380">
        <v>-1.120606947448</v>
      </c>
      <c r="AH3380">
        <v>24.484673677520501</v>
      </c>
      <c r="AI3380">
        <v>92.615285028218906</v>
      </c>
      <c r="AJ3380">
        <v>93.606293365746296</v>
      </c>
      <c r="AK3380">
        <v>24.5588334820645</v>
      </c>
      <c r="AL3380">
        <v>78.363225810549196</v>
      </c>
      <c r="AM3380">
        <v>90.213255854430201</v>
      </c>
      <c r="AN3380">
        <v>0.99999999434709796</v>
      </c>
    </row>
    <row r="3381" spans="1:40" x14ac:dyDescent="0.25">
      <c r="A3381" t="str">
        <f>"20190303162323707"</f>
        <v>20190303162323707</v>
      </c>
      <c r="B3381" t="str">
        <f>"1551601403698242"</f>
        <v>1551601403698242</v>
      </c>
      <c r="C3381" t="s">
        <v>40</v>
      </c>
      <c r="D3381">
        <v>5.7128300000000003</v>
      </c>
      <c r="E3381">
        <v>0.47799249999999999</v>
      </c>
      <c r="F3381" t="s">
        <v>49</v>
      </c>
      <c r="G3381">
        <v>-312.7414</v>
      </c>
      <c r="H3381" s="1">
        <v>2.121332E-6</v>
      </c>
      <c r="I3381">
        <v>216.70959999999999</v>
      </c>
      <c r="J3381">
        <v>-336.77519999999998</v>
      </c>
      <c r="K3381">
        <v>1.1205909999999999</v>
      </c>
      <c r="L3381">
        <v>214.96289999999999</v>
      </c>
      <c r="M3381">
        <v>0.99989779999999995</v>
      </c>
      <c r="N3381">
        <v>-1.051998E-2</v>
      </c>
      <c r="O3381">
        <v>9.68252E-3</v>
      </c>
      <c r="P3381">
        <v>0.98162450000000001</v>
      </c>
      <c r="Q3381">
        <v>0.19025890000000001</v>
      </c>
      <c r="R3381">
        <v>1.465752E-2</v>
      </c>
      <c r="S3381">
        <v>3.0814210000000002</v>
      </c>
      <c r="T3381">
        <v>-0.1417255</v>
      </c>
      <c r="U3381">
        <v>0.22132869999999999</v>
      </c>
      <c r="V3381">
        <v>-5.1664500000000004E-3</v>
      </c>
      <c r="W3381">
        <v>0.2005758</v>
      </c>
      <c r="X3381">
        <v>0.9796646</v>
      </c>
      <c r="Y3381">
        <v>-6.190673E-2</v>
      </c>
      <c r="Z3381">
        <v>1.4045609999999999E-3</v>
      </c>
      <c r="AA3381">
        <v>0.998081</v>
      </c>
      <c r="AB3381">
        <v>32</v>
      </c>
      <c r="AC3381">
        <v>24.0337999999999</v>
      </c>
      <c r="AD3381">
        <v>-1.1205888786679901</v>
      </c>
      <c r="AE3381">
        <v>1.7466999999999999</v>
      </c>
      <c r="AF3381">
        <v>-1.51063072088314</v>
      </c>
      <c r="AG3381">
        <v>-1.1205888786679901</v>
      </c>
      <c r="AH3381">
        <v>23.997691189134901</v>
      </c>
      <c r="AI3381">
        <v>92.668250510177302</v>
      </c>
      <c r="AJ3381">
        <v>93.601959500029096</v>
      </c>
      <c r="AK3381">
        <v>24.071288021602701</v>
      </c>
      <c r="AL3381">
        <v>78.429368162803996</v>
      </c>
      <c r="AM3381">
        <v>90.302157530101496</v>
      </c>
      <c r="AN3381">
        <v>1.0000000361221999</v>
      </c>
    </row>
    <row r="3382" spans="1:40" x14ac:dyDescent="0.25">
      <c r="A3382" t="str">
        <f>"20190303162323728"</f>
        <v>20190303162323728</v>
      </c>
      <c r="B3382" t="str">
        <f>"1551601403708003"</f>
        <v>1551601403708003</v>
      </c>
      <c r="C3382" t="s">
        <v>40</v>
      </c>
      <c r="D3382">
        <v>5.6513</v>
      </c>
      <c r="E3382">
        <v>0.47799249999999999</v>
      </c>
      <c r="F3382" t="s">
        <v>49</v>
      </c>
      <c r="G3382">
        <v>-313.19080000000002</v>
      </c>
      <c r="H3382" s="1">
        <v>2.32065E-6</v>
      </c>
      <c r="I3382">
        <v>216.6508</v>
      </c>
      <c r="J3382">
        <v>-336.45830000000001</v>
      </c>
      <c r="K3382">
        <v>1.1205700000000001</v>
      </c>
      <c r="L3382">
        <v>214.96600000000001</v>
      </c>
      <c r="M3382">
        <v>0.99989760000000005</v>
      </c>
      <c r="N3382">
        <v>-1.051496E-2</v>
      </c>
      <c r="O3382">
        <v>9.7102130000000005E-3</v>
      </c>
      <c r="P3382">
        <v>0.98181850000000004</v>
      </c>
      <c r="Q3382">
        <v>0.1891012</v>
      </c>
      <c r="R3382">
        <v>1.6532640000000001E-2</v>
      </c>
      <c r="S3382">
        <v>3.0812379999999999</v>
      </c>
      <c r="T3382">
        <v>-0.14640220000000001</v>
      </c>
      <c r="U3382">
        <v>0.22051999999999999</v>
      </c>
      <c r="V3382">
        <v>-7.0058639999999997E-3</v>
      </c>
      <c r="W3382">
        <v>0.19941529999999999</v>
      </c>
      <c r="X3382">
        <v>0.97989000000000004</v>
      </c>
      <c r="Y3382">
        <v>-6.161879E-2</v>
      </c>
      <c r="Z3382">
        <v>1.427256E-3</v>
      </c>
      <c r="AA3382">
        <v>0.99809870000000001</v>
      </c>
      <c r="AB3382">
        <v>32</v>
      </c>
      <c r="AC3382">
        <v>23.267499999999899</v>
      </c>
      <c r="AD3382">
        <v>-1.1205676793499999</v>
      </c>
      <c r="AE3382">
        <v>1.6848000000000201</v>
      </c>
      <c r="AF3382">
        <v>-1.4554175992060101</v>
      </c>
      <c r="AG3382">
        <v>-1.1205676793499999</v>
      </c>
      <c r="AH3382">
        <v>23.229166753408901</v>
      </c>
      <c r="AI3382">
        <v>92.756392762207795</v>
      </c>
      <c r="AJ3382">
        <v>93.585166222110502</v>
      </c>
      <c r="AK3382">
        <v>23.301675913327799</v>
      </c>
      <c r="AL3382">
        <v>78.497230285050193</v>
      </c>
      <c r="AM3382">
        <v>90.409637407907596</v>
      </c>
      <c r="AN3382">
        <v>0.99999997805223795</v>
      </c>
    </row>
    <row r="3383" spans="1:40" x14ac:dyDescent="0.25">
      <c r="A3383" t="str">
        <f>"20190303162323749"</f>
        <v>20190303162323749</v>
      </c>
      <c r="B3383" t="str">
        <f>"1551601403738258"</f>
        <v>1551601403738258</v>
      </c>
      <c r="C3383" t="s">
        <v>40</v>
      </c>
      <c r="D3383">
        <v>5.3729930000000001</v>
      </c>
      <c r="E3383">
        <v>0.50968639999999998</v>
      </c>
      <c r="F3383" t="s">
        <v>49</v>
      </c>
      <c r="G3383">
        <v>-313.50369999999998</v>
      </c>
      <c r="H3383" s="1">
        <v>2.4593950000000002E-6</v>
      </c>
      <c r="I3383">
        <v>216.6431</v>
      </c>
      <c r="J3383">
        <v>-336.14429999999999</v>
      </c>
      <c r="K3383">
        <v>1.1205529999999999</v>
      </c>
      <c r="L3383">
        <v>214.9691</v>
      </c>
      <c r="M3383">
        <v>0.9998977</v>
      </c>
      <c r="N3383">
        <v>-1.0511110000000001E-2</v>
      </c>
      <c r="O3383">
        <v>9.7253429999999991E-3</v>
      </c>
      <c r="P3383">
        <v>0.98193379999999997</v>
      </c>
      <c r="Q3383">
        <v>0.18834390000000001</v>
      </c>
      <c r="R3383">
        <v>1.8246749999999999E-2</v>
      </c>
      <c r="S3383">
        <v>3.0807190000000002</v>
      </c>
      <c r="T3383">
        <v>-0.15039089999999999</v>
      </c>
      <c r="U3383">
        <v>0.22508239999999999</v>
      </c>
      <c r="V3383">
        <v>-8.6981909999999992E-3</v>
      </c>
      <c r="W3383">
        <v>0.1986559</v>
      </c>
      <c r="X3383">
        <v>0.98003070000000003</v>
      </c>
      <c r="Y3383">
        <v>-6.3080170000000005E-2</v>
      </c>
      <c r="Z3383">
        <v>1.49719E-3</v>
      </c>
      <c r="AA3383">
        <v>0.99800739999999999</v>
      </c>
      <c r="AB3383">
        <v>32</v>
      </c>
      <c r="AC3383">
        <v>22.640599999999999</v>
      </c>
      <c r="AD3383">
        <v>-1.120550540605</v>
      </c>
      <c r="AE3383">
        <v>1.6739999999999999</v>
      </c>
      <c r="AF3383">
        <v>-1.4501881112530199</v>
      </c>
      <c r="AG3383">
        <v>-1.120550540605</v>
      </c>
      <c r="AH3383">
        <v>22.600749525441302</v>
      </c>
      <c r="AI3383">
        <v>92.832598416269605</v>
      </c>
      <c r="AJ3383">
        <v>93.671378532603896</v>
      </c>
      <c r="AK3383">
        <v>22.6749323744042</v>
      </c>
      <c r="AL3383">
        <v>78.541629264289497</v>
      </c>
      <c r="AM3383">
        <v>90.508511160170002</v>
      </c>
      <c r="AN3383">
        <v>0.999999999036986</v>
      </c>
    </row>
    <row r="3384" spans="1:40" x14ac:dyDescent="0.25">
      <c r="A3384" t="str">
        <f>"20190303162323772"</f>
        <v>20190303162323772</v>
      </c>
      <c r="B3384" t="str">
        <f>"1551601403757779"</f>
        <v>1551601403757779</v>
      </c>
      <c r="C3384" t="s">
        <v>40</v>
      </c>
      <c r="D3384">
        <v>5.3174519999999896</v>
      </c>
      <c r="E3384">
        <v>0.51019669999999995</v>
      </c>
      <c r="F3384" t="s">
        <v>49</v>
      </c>
      <c r="G3384">
        <v>-313.99970000000002</v>
      </c>
      <c r="H3384" s="1">
        <v>2.679364E-6</v>
      </c>
      <c r="I3384">
        <v>214.8013</v>
      </c>
      <c r="J3384">
        <v>-335.82400000000001</v>
      </c>
      <c r="K3384">
        <v>1.1205309999999999</v>
      </c>
      <c r="L3384">
        <v>214.97219999999999</v>
      </c>
      <c r="M3384">
        <v>0.9998977</v>
      </c>
      <c r="N3384">
        <v>-1.0508190000000001E-2</v>
      </c>
      <c r="O3384">
        <v>9.7212029999999994E-3</v>
      </c>
      <c r="P3384">
        <v>0.98196969999999995</v>
      </c>
      <c r="Q3384">
        <v>0.18808720000000001</v>
      </c>
      <c r="R3384">
        <v>1.8952130000000001E-2</v>
      </c>
      <c r="S3384">
        <v>3.0855410000000001</v>
      </c>
      <c r="T3384">
        <v>-0.15613289999999999</v>
      </c>
      <c r="U3384">
        <v>-2.3376460000000002E-2</v>
      </c>
      <c r="V3384">
        <v>-9.4015360000000003E-3</v>
      </c>
      <c r="W3384">
        <v>0.19839699999999999</v>
      </c>
      <c r="X3384">
        <v>0.98007670000000002</v>
      </c>
      <c r="Y3384">
        <v>1.7262530000000002E-2</v>
      </c>
      <c r="Z3384">
        <v>-9.1672439999999997E-4</v>
      </c>
      <c r="AA3384">
        <v>0.99985060000000003</v>
      </c>
      <c r="AB3384">
        <v>32</v>
      </c>
      <c r="AC3384">
        <v>21.824299999999901</v>
      </c>
      <c r="AD3384">
        <v>-1.1205283206359999</v>
      </c>
      <c r="AE3384">
        <v>-0.17089999999998801</v>
      </c>
      <c r="AF3384">
        <v>0.38205497270264099</v>
      </c>
      <c r="AG3384">
        <v>-1.1205283206359999</v>
      </c>
      <c r="AH3384">
        <v>21.764237594665499</v>
      </c>
      <c r="AI3384">
        <v>92.946808670583394</v>
      </c>
      <c r="AJ3384">
        <v>88.994318578689601</v>
      </c>
      <c r="AK3384">
        <v>21.796412268916299</v>
      </c>
      <c r="AL3384">
        <v>78.556764968505306</v>
      </c>
      <c r="AM3384">
        <v>90.549601691458506</v>
      </c>
      <c r="AN3384">
        <v>1.00000004818552</v>
      </c>
    </row>
    <row r="3385" spans="1:40" x14ac:dyDescent="0.25">
      <c r="A3385" t="str">
        <f>"20190303162323793"</f>
        <v>20190303162323793</v>
      </c>
      <c r="B3385" t="str">
        <f>"1551601403788034"</f>
        <v>1551601403788034</v>
      </c>
      <c r="C3385" t="s">
        <v>40</v>
      </c>
      <c r="D3385">
        <v>5.2297289999999998</v>
      </c>
      <c r="E3385">
        <v>0.51126260000000001</v>
      </c>
      <c r="F3385" t="s">
        <v>49</v>
      </c>
      <c r="G3385">
        <v>-313.86070000000001</v>
      </c>
      <c r="H3385" s="1">
        <v>2.6177069999999999E-6</v>
      </c>
      <c r="I3385">
        <v>214.78919999999999</v>
      </c>
      <c r="J3385">
        <v>-335.50650000000002</v>
      </c>
      <c r="K3385">
        <v>1.120512</v>
      </c>
      <c r="L3385">
        <v>214.9753</v>
      </c>
      <c r="M3385">
        <v>0.99989790000000001</v>
      </c>
      <c r="N3385">
        <v>-1.0506150000000001E-2</v>
      </c>
      <c r="O3385">
        <v>9.6855699999999992E-3</v>
      </c>
      <c r="P3385">
        <v>0.98188359999999997</v>
      </c>
      <c r="Q3385">
        <v>0.1885088</v>
      </c>
      <c r="R3385">
        <v>1.9218249999999999E-2</v>
      </c>
      <c r="S3385">
        <v>3.0857239999999999</v>
      </c>
      <c r="T3385">
        <v>-0.15742809999999999</v>
      </c>
      <c r="U3385">
        <v>-2.5711060000000001E-2</v>
      </c>
      <c r="V3385">
        <v>-9.6946500000000008E-3</v>
      </c>
      <c r="W3385">
        <v>0.1988162</v>
      </c>
      <c r="X3385">
        <v>0.97998890000000005</v>
      </c>
      <c r="Y3385">
        <v>1.7981210000000001E-2</v>
      </c>
      <c r="Z3385">
        <v>-9.450169E-4</v>
      </c>
      <c r="AA3385">
        <v>0.99983789999999995</v>
      </c>
      <c r="AB3385">
        <v>32</v>
      </c>
      <c r="AC3385">
        <v>21.645800000000001</v>
      </c>
      <c r="AD3385">
        <v>-1.1205093822929999</v>
      </c>
      <c r="AE3385">
        <v>-0.18610000000001001</v>
      </c>
      <c r="AF3385">
        <v>0.39469716664483401</v>
      </c>
      <c r="AG3385">
        <v>-1.1205093822929999</v>
      </c>
      <c r="AH3385">
        <v>21.585144871568598</v>
      </c>
      <c r="AI3385">
        <v>92.9711258343997</v>
      </c>
      <c r="AJ3385">
        <v>88.952429460475699</v>
      </c>
      <c r="AK3385">
        <v>21.617812244900499</v>
      </c>
      <c r="AL3385">
        <v>78.532258479687201</v>
      </c>
      <c r="AM3385">
        <v>90.566786429962704</v>
      </c>
      <c r="AN3385">
        <v>1.00000005587213</v>
      </c>
    </row>
    <row r="3386" spans="1:40" x14ac:dyDescent="0.25">
      <c r="A3386" t="str">
        <f>"20190303162323817"</f>
        <v>20190303162323817</v>
      </c>
      <c r="B3386" t="str">
        <f>"1551601403807554"</f>
        <v>1551601403807554</v>
      </c>
      <c r="C3386" t="s">
        <v>40</v>
      </c>
      <c r="D3386">
        <v>5.2286400000000004</v>
      </c>
      <c r="E3386">
        <v>0.51179149999999995</v>
      </c>
      <c r="F3386" t="s">
        <v>49</v>
      </c>
      <c r="G3386">
        <v>-314.8383</v>
      </c>
      <c r="H3386" s="1">
        <v>3.0512230000000001E-6</v>
      </c>
      <c r="I3386">
        <v>214.75470000000001</v>
      </c>
      <c r="J3386">
        <v>-335.1721</v>
      </c>
      <c r="K3386">
        <v>1.120487</v>
      </c>
      <c r="L3386">
        <v>214.97839999999999</v>
      </c>
      <c r="M3386">
        <v>0.99989859999999997</v>
      </c>
      <c r="N3386">
        <v>-1.0504799999999899E-2</v>
      </c>
      <c r="O3386">
        <v>9.6117400000000006E-3</v>
      </c>
      <c r="P3386">
        <v>0.98180339999999999</v>
      </c>
      <c r="Q3386">
        <v>0.1890105</v>
      </c>
      <c r="R3386">
        <v>1.8366790000000001E-2</v>
      </c>
      <c r="S3386">
        <v>3.088165</v>
      </c>
      <c r="T3386">
        <v>-0.1674224</v>
      </c>
      <c r="U3386">
        <v>-3.2958979999999999E-2</v>
      </c>
      <c r="V3386">
        <v>-8.9025939999999998E-3</v>
      </c>
      <c r="W3386">
        <v>0.1993162</v>
      </c>
      <c r="X3386">
        <v>0.97989479999999995</v>
      </c>
      <c r="Y3386">
        <v>2.0238639999999999E-2</v>
      </c>
      <c r="Z3386">
        <v>-1.07438E-3</v>
      </c>
      <c r="AA3386">
        <v>0.99979459999999998</v>
      </c>
      <c r="AB3386">
        <v>32</v>
      </c>
      <c r="AC3386">
        <v>20.3338</v>
      </c>
      <c r="AD3386">
        <v>-1.120483948777</v>
      </c>
      <c r="AE3386">
        <v>-0.223699999999979</v>
      </c>
      <c r="AF3386">
        <v>0.41787492758674499</v>
      </c>
      <c r="AG3386">
        <v>-1.120483948777</v>
      </c>
      <c r="AH3386">
        <v>20.2691703202612</v>
      </c>
      <c r="AI3386">
        <v>93.163431321619498</v>
      </c>
      <c r="AJ3386">
        <v>88.818941372354899</v>
      </c>
      <c r="AK3386">
        <v>20.304417480103499</v>
      </c>
      <c r="AL3386">
        <v>78.503025006088293</v>
      </c>
      <c r="AM3386">
        <v>90.520532438040902</v>
      </c>
      <c r="AN3386">
        <v>1.0000000114147001</v>
      </c>
    </row>
    <row r="3387" spans="1:40" x14ac:dyDescent="0.25">
      <c r="A3387" t="str">
        <f>"20190303162323837"</f>
        <v>20190303162323837</v>
      </c>
      <c r="B3387" t="str">
        <f>"1551601403828050"</f>
        <v>1551601403828050</v>
      </c>
      <c r="C3387" t="s">
        <v>40</v>
      </c>
      <c r="D3387">
        <v>5.2149020000000004</v>
      </c>
      <c r="E3387">
        <v>0.51222599999999996</v>
      </c>
      <c r="F3387" t="s">
        <v>49</v>
      </c>
      <c r="G3387">
        <v>-315.5532</v>
      </c>
      <c r="H3387" s="1">
        <v>3.3682670000000002E-6</v>
      </c>
      <c r="I3387">
        <v>214.72389999999999</v>
      </c>
      <c r="J3387">
        <v>-334.8759</v>
      </c>
      <c r="K3387">
        <v>1.120465</v>
      </c>
      <c r="L3387">
        <v>214.9812</v>
      </c>
      <c r="M3387">
        <v>0.9998996</v>
      </c>
      <c r="N3387">
        <v>-1.050421E-2</v>
      </c>
      <c r="O3387">
        <v>9.5187840000000006E-3</v>
      </c>
      <c r="P3387">
        <v>0.98179819999999995</v>
      </c>
      <c r="Q3387">
        <v>0.1891526</v>
      </c>
      <c r="R3387">
        <v>1.7143439999999999E-2</v>
      </c>
      <c r="S3387">
        <v>3.0903019999999999</v>
      </c>
      <c r="T3387">
        <v>-0.17649500000000001</v>
      </c>
      <c r="U3387">
        <v>-4.0084839999999997E-2</v>
      </c>
      <c r="V3387">
        <v>-7.7585290000000001E-3</v>
      </c>
      <c r="W3387">
        <v>0.19945779999999999</v>
      </c>
      <c r="X3387">
        <v>0.97987570000000002</v>
      </c>
      <c r="Y3387">
        <v>2.2434389999999998E-2</v>
      </c>
      <c r="Z3387">
        <v>-1.2013029999999999E-3</v>
      </c>
      <c r="AA3387">
        <v>0.99974759999999996</v>
      </c>
      <c r="AB3387">
        <v>32</v>
      </c>
      <c r="AC3387">
        <v>19.322700000000001</v>
      </c>
      <c r="AD3387">
        <v>-1.1204616317330001</v>
      </c>
      <c r="AE3387">
        <v>-0.25730000000001402</v>
      </c>
      <c r="AF3387">
        <v>0.439748703659947</v>
      </c>
      <c r="AG3387">
        <v>-1.1204616317330001</v>
      </c>
      <c r="AH3387">
        <v>19.254643503202999</v>
      </c>
      <c r="AI3387">
        <v>93.329520271211706</v>
      </c>
      <c r="AJ3387">
        <v>88.691673235796003</v>
      </c>
      <c r="AK3387">
        <v>19.292229254961502</v>
      </c>
      <c r="AL3387">
        <v>78.494745526539603</v>
      </c>
      <c r="AM3387">
        <v>90.453651088263001</v>
      </c>
      <c r="AN3387">
        <v>0.99999999810178597</v>
      </c>
    </row>
    <row r="3388" spans="1:40" x14ac:dyDescent="0.25">
      <c r="A3388" t="str">
        <f>"20190303162323861"</f>
        <v>20190303162323861</v>
      </c>
      <c r="B3388" t="str">
        <f>"1551601403847570"</f>
        <v>1551601403847570</v>
      </c>
      <c r="C3388" t="s">
        <v>40</v>
      </c>
      <c r="D3388">
        <v>5.1843009999999996</v>
      </c>
      <c r="E3388">
        <v>0.51276350000000004</v>
      </c>
      <c r="F3388" t="s">
        <v>49</v>
      </c>
      <c r="G3388">
        <v>-315.7944</v>
      </c>
      <c r="H3388" s="1">
        <v>3.4752440000000001E-6</v>
      </c>
      <c r="I3388">
        <v>214.69200000000001</v>
      </c>
      <c r="J3388">
        <v>-334.536</v>
      </c>
      <c r="K3388">
        <v>1.120447</v>
      </c>
      <c r="L3388">
        <v>214.98429999999999</v>
      </c>
      <c r="M3388">
        <v>0.99990080000000003</v>
      </c>
      <c r="N3388">
        <v>-1.0504090000000001E-2</v>
      </c>
      <c r="O3388">
        <v>9.3884450000000005E-3</v>
      </c>
      <c r="P3388">
        <v>0.9818095</v>
      </c>
      <c r="Q3388">
        <v>0.1893463</v>
      </c>
      <c r="R3388">
        <v>1.408066E-2</v>
      </c>
      <c r="S3388">
        <v>3.0914000000000001</v>
      </c>
      <c r="T3388">
        <v>-0.18152699999999999</v>
      </c>
      <c r="U3388">
        <v>-4.6844480000000001E-2</v>
      </c>
      <c r="V3388">
        <v>-4.8109490000000001E-3</v>
      </c>
      <c r="W3388">
        <v>0.1996512</v>
      </c>
      <c r="X3388">
        <v>0.97985520000000004</v>
      </c>
      <c r="Y3388">
        <v>2.4478030000000001E-2</v>
      </c>
      <c r="Z3388">
        <v>-1.29896E-3</v>
      </c>
      <c r="AA3388">
        <v>0.99969949999999996</v>
      </c>
      <c r="AB3388">
        <v>32</v>
      </c>
      <c r="AC3388">
        <v>18.741599999999998</v>
      </c>
      <c r="AD3388">
        <v>-1.1204435247560001</v>
      </c>
      <c r="AE3388">
        <v>-0.29229999999998302</v>
      </c>
      <c r="AF3388">
        <v>0.46658408477046898</v>
      </c>
      <c r="AG3388">
        <v>-1.1204435247560001</v>
      </c>
      <c r="AH3388">
        <v>18.671312630850899</v>
      </c>
      <c r="AI3388">
        <v>93.433064973328797</v>
      </c>
      <c r="AJ3388">
        <v>88.568513271569401</v>
      </c>
      <c r="AK3388">
        <v>18.710719113901</v>
      </c>
      <c r="AL3388">
        <v>78.483436860594495</v>
      </c>
      <c r="AM3388">
        <v>90.281311828732001</v>
      </c>
      <c r="AN3388">
        <v>0.99999997992937995</v>
      </c>
    </row>
    <row r="3389" spans="1:40" x14ac:dyDescent="0.25">
      <c r="A3389" t="str">
        <f>"20190303162323884"</f>
        <v>20190303162323884</v>
      </c>
      <c r="B3389" t="str">
        <f>"1551601403877827"</f>
        <v>1551601403877827</v>
      </c>
      <c r="C3389" t="s">
        <v>40</v>
      </c>
      <c r="D3389">
        <v>5.1620799999999996</v>
      </c>
      <c r="E3389">
        <v>0.5131561</v>
      </c>
      <c r="F3389" t="s">
        <v>49</v>
      </c>
      <c r="G3389">
        <v>-315.60109999999997</v>
      </c>
      <c r="H3389" s="1">
        <v>3.3894959999999998E-6</v>
      </c>
      <c r="I3389">
        <v>214.62880000000001</v>
      </c>
      <c r="J3389">
        <v>-334.20870000000002</v>
      </c>
      <c r="K3389">
        <v>1.120425</v>
      </c>
      <c r="L3389">
        <v>214.9872</v>
      </c>
      <c r="M3389">
        <v>0.99990210000000002</v>
      </c>
      <c r="N3389">
        <v>-1.050446E-2</v>
      </c>
      <c r="O3389">
        <v>9.2412290000000001E-3</v>
      </c>
      <c r="P3389">
        <v>0.9818789</v>
      </c>
      <c r="Q3389">
        <v>0.18928110000000001</v>
      </c>
      <c r="R3389">
        <v>9.3025460000000001E-3</v>
      </c>
      <c r="S3389">
        <v>3.0917050000000001</v>
      </c>
      <c r="T3389">
        <v>-0.18294640000000001</v>
      </c>
      <c r="U3389">
        <v>-5.8044430000000001E-2</v>
      </c>
      <c r="V3389">
        <v>-1.6803630000000001E-4</v>
      </c>
      <c r="W3389">
        <v>0.19958529999999999</v>
      </c>
      <c r="X3389">
        <v>0.97988050000000004</v>
      </c>
      <c r="Y3389">
        <v>2.794176E-2</v>
      </c>
      <c r="Z3389">
        <v>-1.4221500000000001E-3</v>
      </c>
      <c r="AA3389">
        <v>0.99960850000000001</v>
      </c>
      <c r="AB3389">
        <v>32</v>
      </c>
      <c r="AC3389">
        <v>18.607600000000001</v>
      </c>
      <c r="AD3389">
        <v>-1.1204216105039999</v>
      </c>
      <c r="AE3389">
        <v>-0.35839999999998801</v>
      </c>
      <c r="AF3389">
        <v>0.52843608127307296</v>
      </c>
      <c r="AG3389">
        <v>-1.1204216105039999</v>
      </c>
      <c r="AH3389">
        <v>18.5363124148064</v>
      </c>
      <c r="AI3389">
        <v>93.457615673408696</v>
      </c>
      <c r="AJ3389">
        <v>88.367045273804194</v>
      </c>
      <c r="AK3389">
        <v>18.577660434419201</v>
      </c>
      <c r="AL3389">
        <v>78.487291108262298</v>
      </c>
      <c r="AM3389">
        <v>90.009825453920698</v>
      </c>
      <c r="AN3389">
        <v>1.00000005724626</v>
      </c>
    </row>
    <row r="3390" spans="1:40" x14ac:dyDescent="0.25">
      <c r="A3390" t="str">
        <f>"20190303162323918"</f>
        <v>20190303162323918</v>
      </c>
      <c r="B3390" t="str">
        <f>"1551601403908082"</f>
        <v>1551601403908082</v>
      </c>
      <c r="C3390" t="s">
        <v>40</v>
      </c>
      <c r="D3390">
        <v>5.1565519999999996</v>
      </c>
      <c r="E3390">
        <v>0.51328490000000004</v>
      </c>
      <c r="F3390" t="s">
        <v>49</v>
      </c>
      <c r="G3390">
        <v>-315.54910000000001</v>
      </c>
      <c r="H3390" s="1">
        <v>3.3664340000000002E-6</v>
      </c>
      <c r="I3390">
        <v>214.54419999999999</v>
      </c>
      <c r="J3390">
        <v>-333.71620000000001</v>
      </c>
      <c r="K3390">
        <v>1.1204050000000001</v>
      </c>
      <c r="L3390">
        <v>214.9915</v>
      </c>
      <c r="M3390">
        <v>0.99990440000000003</v>
      </c>
      <c r="N3390">
        <v>-1.0505769999999999E-2</v>
      </c>
      <c r="O3390">
        <v>8.9949920000000003E-3</v>
      </c>
      <c r="P3390">
        <v>0.98211649999999995</v>
      </c>
      <c r="Q3390">
        <v>0.18817349999999999</v>
      </c>
      <c r="R3390">
        <v>6.1710259999999996E-3</v>
      </c>
      <c r="S3390">
        <v>3.0918580000000002</v>
      </c>
      <c r="T3390">
        <v>-0.1856517</v>
      </c>
      <c r="U3390">
        <v>-7.3410030000000001E-2</v>
      </c>
      <c r="V3390">
        <v>2.7301869999999998E-3</v>
      </c>
      <c r="W3390">
        <v>0.19848060000000001</v>
      </c>
      <c r="X3390">
        <v>0.980101</v>
      </c>
      <c r="Y3390">
        <v>3.2648219999999999E-2</v>
      </c>
      <c r="Z3390">
        <v>-1.5960130000000001E-3</v>
      </c>
      <c r="AA3390">
        <v>0.99946559999999995</v>
      </c>
      <c r="AB3390">
        <v>32</v>
      </c>
      <c r="AC3390">
        <v>18.167100000000001</v>
      </c>
      <c r="AD3390">
        <v>-1.1204016335660001</v>
      </c>
      <c r="AE3390">
        <v>-0.44730000000001202</v>
      </c>
      <c r="AF3390">
        <v>0.60839125668231697</v>
      </c>
      <c r="AG3390">
        <v>-1.1204016335660001</v>
      </c>
      <c r="AH3390">
        <v>18.093565226787799</v>
      </c>
      <c r="AI3390">
        <v>93.541386268517599</v>
      </c>
      <c r="AJ3390">
        <v>88.074170425009896</v>
      </c>
      <c r="AK3390">
        <v>18.138427229441099</v>
      </c>
      <c r="AL3390">
        <v>78.551877135395898</v>
      </c>
      <c r="AM3390">
        <v>89.840396257351898</v>
      </c>
      <c r="AN3390">
        <v>0.99999998634920695</v>
      </c>
    </row>
    <row r="3391" spans="1:40" x14ac:dyDescent="0.25">
      <c r="A3391" t="str">
        <f>"20190303162323939"</f>
        <v>20190303162323939</v>
      </c>
      <c r="B3391" t="str">
        <f>"1551601403927602"</f>
        <v>1551601403927602</v>
      </c>
      <c r="C3391" t="s">
        <v>40</v>
      </c>
      <c r="D3391">
        <v>5.1490929999999997</v>
      </c>
      <c r="E3391">
        <v>0.51306200000000002</v>
      </c>
      <c r="F3391" t="s">
        <v>49</v>
      </c>
      <c r="G3391">
        <v>-315.52929999999998</v>
      </c>
      <c r="H3391" s="1">
        <v>3.357659E-6</v>
      </c>
      <c r="I3391">
        <v>214.48910000000001</v>
      </c>
      <c r="J3391">
        <v>-333.41160000000002</v>
      </c>
      <c r="K3391">
        <v>1.1203920000000001</v>
      </c>
      <c r="L3391">
        <v>214.994</v>
      </c>
      <c r="M3391">
        <v>0.99990579999999996</v>
      </c>
      <c r="N3391">
        <v>-1.0506969999999999E-2</v>
      </c>
      <c r="O3391">
        <v>8.83649699999999E-3</v>
      </c>
      <c r="P3391">
        <v>0.98228550000000003</v>
      </c>
      <c r="Q3391">
        <v>0.18730830000000001</v>
      </c>
      <c r="R3391">
        <v>5.5358930000000001E-3</v>
      </c>
      <c r="S3391">
        <v>3.091675</v>
      </c>
      <c r="T3391">
        <v>-0.19046179999999999</v>
      </c>
      <c r="U3391">
        <v>-8.5403439999999997E-2</v>
      </c>
      <c r="V3391">
        <v>3.2133259999999999E-3</v>
      </c>
      <c r="W3391">
        <v>0.19761780000000001</v>
      </c>
      <c r="X3391">
        <v>0.98027379999999997</v>
      </c>
      <c r="Y3391">
        <v>3.635352E-2</v>
      </c>
      <c r="Z3391">
        <v>-1.7607440000000001E-3</v>
      </c>
      <c r="AA3391">
        <v>0.99933740000000004</v>
      </c>
      <c r="AB3391">
        <v>32</v>
      </c>
      <c r="AC3391">
        <v>17.882300000000001</v>
      </c>
      <c r="AD3391">
        <v>-1.1203886423409899</v>
      </c>
      <c r="AE3391">
        <v>-0.50490000000002</v>
      </c>
      <c r="AF3391">
        <v>0.660315911962847</v>
      </c>
      <c r="AG3391">
        <v>-1.1203886423409899</v>
      </c>
      <c r="AH3391">
        <v>17.807293805583399</v>
      </c>
      <c r="AI3391">
        <v>93.597689916040906</v>
      </c>
      <c r="AJ3391">
        <v>87.876376436669204</v>
      </c>
      <c r="AK3391">
        <v>17.854719277878502</v>
      </c>
      <c r="AL3391">
        <v>78.602310177640703</v>
      </c>
      <c r="AM3391">
        <v>89.812185780574197</v>
      </c>
      <c r="AN3391">
        <v>0.99999992165362805</v>
      </c>
    </row>
    <row r="3392" spans="1:40" x14ac:dyDescent="0.25">
      <c r="A3392" t="str">
        <f>"20190303162323960"</f>
        <v>20190303162323960</v>
      </c>
      <c r="B3392" t="str">
        <f>"1551601403948099"</f>
        <v>1551601403948099</v>
      </c>
      <c r="C3392" t="s">
        <v>40</v>
      </c>
      <c r="D3392">
        <v>5.1270040000000003</v>
      </c>
      <c r="E3392">
        <v>0.51338549999999905</v>
      </c>
      <c r="F3392" t="s">
        <v>49</v>
      </c>
      <c r="G3392">
        <v>-315.42309999999998</v>
      </c>
      <c r="H3392" s="1">
        <v>3.3105739999999998E-6</v>
      </c>
      <c r="I3392">
        <v>214.49170000000001</v>
      </c>
      <c r="J3392">
        <v>-333.09649999999999</v>
      </c>
      <c r="K3392">
        <v>1.120384</v>
      </c>
      <c r="L3392">
        <v>214.9967</v>
      </c>
      <c r="M3392">
        <v>0.99990710000000005</v>
      </c>
      <c r="N3392">
        <v>-1.051243E-2</v>
      </c>
      <c r="O3392">
        <v>8.6728059999999999E-3</v>
      </c>
      <c r="P3392">
        <v>0.98231659999999998</v>
      </c>
      <c r="Q3392">
        <v>0.18713440000000001</v>
      </c>
      <c r="R3392">
        <v>5.8865439999999996E-3</v>
      </c>
      <c r="S3392">
        <v>3.0913089999999999</v>
      </c>
      <c r="T3392">
        <v>-0.19253780000000001</v>
      </c>
      <c r="U3392">
        <v>-8.6334229999999998E-2</v>
      </c>
      <c r="V3392">
        <v>2.703965E-3</v>
      </c>
      <c r="W3392">
        <v>0.19744999999999999</v>
      </c>
      <c r="X3392">
        <v>0.98030919999999999</v>
      </c>
      <c r="Y3392">
        <v>3.6491799999999998E-2</v>
      </c>
      <c r="Z3392">
        <v>-1.7756429999999999E-3</v>
      </c>
      <c r="AA3392">
        <v>0.99933240000000001</v>
      </c>
      <c r="AB3392">
        <v>32</v>
      </c>
      <c r="AC3392">
        <v>17.673400000000001</v>
      </c>
      <c r="AD3392">
        <v>-1.120380689426</v>
      </c>
      <c r="AE3392">
        <v>-0.50499999999999501</v>
      </c>
      <c r="AF3392">
        <v>0.65563476677874799</v>
      </c>
      <c r="AG3392">
        <v>-1.120380689426</v>
      </c>
      <c r="AH3392">
        <v>17.597692194633201</v>
      </c>
      <c r="AI3392">
        <v>93.640377079104695</v>
      </c>
      <c r="AJ3392">
        <v>87.866325990922505</v>
      </c>
      <c r="AK3392">
        <v>17.645505955163301</v>
      </c>
      <c r="AL3392">
        <v>78.612118223009603</v>
      </c>
      <c r="AM3392">
        <v>89.841962730171105</v>
      </c>
      <c r="AN3392">
        <v>0.99999997076568004</v>
      </c>
    </row>
    <row r="3393" spans="1:40" x14ac:dyDescent="0.25">
      <c r="A3393" t="str">
        <f>"20190303162323984"</f>
        <v>20190303162323984</v>
      </c>
      <c r="B3393" t="str">
        <f>"1551601403978354"</f>
        <v>1551601403978354</v>
      </c>
      <c r="C3393" t="s">
        <v>40</v>
      </c>
      <c r="D3393">
        <v>5.2198929999999999</v>
      </c>
      <c r="E3393">
        <v>0.51339029999999997</v>
      </c>
      <c r="F3393" t="s">
        <v>49</v>
      </c>
      <c r="G3393">
        <v>-315.04759999999999</v>
      </c>
      <c r="H3393" s="1">
        <v>3.14405E-6</v>
      </c>
      <c r="I3393">
        <v>214.4838</v>
      </c>
      <c r="J3393">
        <v>-332.7672</v>
      </c>
      <c r="K3393">
        <v>1.1203749999999999</v>
      </c>
      <c r="L3393">
        <v>214.99940000000001</v>
      </c>
      <c r="M3393">
        <v>0.99990840000000003</v>
      </c>
      <c r="N3393">
        <v>-1.052268E-2</v>
      </c>
      <c r="O3393">
        <v>8.5037919999999996E-3</v>
      </c>
      <c r="P3393">
        <v>0.98230830000000002</v>
      </c>
      <c r="Q3393">
        <v>0.18711659999999999</v>
      </c>
      <c r="R3393">
        <v>7.6179949999999998E-3</v>
      </c>
      <c r="S3393">
        <v>3.0911249999999999</v>
      </c>
      <c r="T3393">
        <v>-0.19188089999999999</v>
      </c>
      <c r="U3393">
        <v>-8.7844850000000002E-2</v>
      </c>
      <c r="V3393">
        <v>8.0779690000000004E-4</v>
      </c>
      <c r="W3393">
        <v>0.1974426</v>
      </c>
      <c r="X3393">
        <v>0.98031409999999997</v>
      </c>
      <c r="Y3393">
        <v>3.6812619999999997E-2</v>
      </c>
      <c r="Z3393">
        <v>-1.7730599999999999E-3</v>
      </c>
      <c r="AA3393">
        <v>0.9993206</v>
      </c>
      <c r="AB3393">
        <v>32</v>
      </c>
      <c r="AC3393">
        <v>17.7196</v>
      </c>
      <c r="AD3393">
        <v>-1.12037185595</v>
      </c>
      <c r="AE3393">
        <v>-0.51560000000000605</v>
      </c>
      <c r="AF3393">
        <v>0.66362274292238199</v>
      </c>
      <c r="AG3393">
        <v>-1.12037185595</v>
      </c>
      <c r="AH3393">
        <v>17.6440972592425</v>
      </c>
      <c r="AI3393">
        <v>93.630751739562797</v>
      </c>
      <c r="AJ3393">
        <v>87.846029321801694</v>
      </c>
      <c r="AK3393">
        <v>17.692082871559801</v>
      </c>
      <c r="AL3393">
        <v>78.612550875951399</v>
      </c>
      <c r="AM3393">
        <v>89.952787231563605</v>
      </c>
      <c r="AN3393">
        <v>0.99999998374470001</v>
      </c>
    </row>
    <row r="3394" spans="1:40" x14ac:dyDescent="0.25">
      <c r="A3394" t="str">
        <f>"20190303162324006"</f>
        <v>20190303162324006</v>
      </c>
      <c r="B3394" t="str">
        <f>"1551601403997744"</f>
        <v>1551601403997744</v>
      </c>
      <c r="C3394" t="s">
        <v>40</v>
      </c>
      <c r="D3394">
        <v>5.1265280000000004</v>
      </c>
      <c r="E3394">
        <v>0.5349005</v>
      </c>
      <c r="F3394" t="s">
        <v>49</v>
      </c>
      <c r="G3394">
        <v>-314.64150000000001</v>
      </c>
      <c r="H3394" s="1">
        <v>2.9639679999999999E-6</v>
      </c>
      <c r="I3394">
        <v>214.51759999999999</v>
      </c>
      <c r="J3394">
        <v>-332.44110000000001</v>
      </c>
      <c r="K3394">
        <v>1.1203749999999999</v>
      </c>
      <c r="L3394">
        <v>215.00200000000001</v>
      </c>
      <c r="M3394">
        <v>0.99990979999999996</v>
      </c>
      <c r="N3394">
        <v>-1.0534119999999999E-2</v>
      </c>
      <c r="O3394">
        <v>8.3390700000000005E-3</v>
      </c>
      <c r="P3394">
        <v>0.98226610000000003</v>
      </c>
      <c r="Q3394">
        <v>0.18723219999999999</v>
      </c>
      <c r="R3394">
        <v>9.8806880000000003E-3</v>
      </c>
      <c r="S3394">
        <v>3.0910340000000001</v>
      </c>
      <c r="T3394">
        <v>-0.19106110000000001</v>
      </c>
      <c r="U3394">
        <v>-8.2153320000000002E-2</v>
      </c>
      <c r="V3394">
        <v>-1.615294E-3</v>
      </c>
      <c r="W3394">
        <v>0.1975702</v>
      </c>
      <c r="X3394">
        <v>0.98028740000000003</v>
      </c>
      <c r="Y3394">
        <v>3.4815529999999997E-2</v>
      </c>
      <c r="Z3394">
        <v>-1.68551799999999E-3</v>
      </c>
      <c r="AA3394">
        <v>0.99939230000000001</v>
      </c>
      <c r="AB3394">
        <v>32</v>
      </c>
      <c r="AC3394">
        <v>17.799599999999899</v>
      </c>
      <c r="AD3394">
        <v>-1.120372036032</v>
      </c>
      <c r="AE3394">
        <v>-0.48440000000002198</v>
      </c>
      <c r="AF3394">
        <v>0.63032804172430901</v>
      </c>
      <c r="AG3394">
        <v>-1.120372036032</v>
      </c>
      <c r="AH3394">
        <v>17.7247694788791</v>
      </c>
      <c r="AI3394">
        <v>93.614541238087696</v>
      </c>
      <c r="AJ3394">
        <v>87.963306451554701</v>
      </c>
      <c r="AK3394">
        <v>17.771325218416099</v>
      </c>
      <c r="AL3394">
        <v>78.605093097148099</v>
      </c>
      <c r="AM3394">
        <v>90.094410521965798</v>
      </c>
      <c r="AN3394">
        <v>0.999999989850753</v>
      </c>
    </row>
    <row r="3395" spans="1:40" x14ac:dyDescent="0.25">
      <c r="A3395" t="str">
        <f>"20190303162324027"</f>
        <v>20190303162324027</v>
      </c>
      <c r="B3395" t="str">
        <f>"1551601404018241"</f>
        <v>1551601404018241</v>
      </c>
      <c r="C3395" t="s">
        <v>40</v>
      </c>
      <c r="D3395">
        <v>5.1107639999999996</v>
      </c>
      <c r="E3395">
        <v>0.53830429999999996</v>
      </c>
      <c r="F3395" t="s">
        <v>49</v>
      </c>
      <c r="G3395">
        <v>-313.81529999999998</v>
      </c>
      <c r="H3395" s="1">
        <v>2.597586E-6</v>
      </c>
      <c r="I3395">
        <v>213.51310000000001</v>
      </c>
      <c r="J3395">
        <v>-332.1352</v>
      </c>
      <c r="K3395">
        <v>1.1203780000000001</v>
      </c>
      <c r="L3395">
        <v>215.0044</v>
      </c>
      <c r="M3395">
        <v>0.99991110000000005</v>
      </c>
      <c r="N3395">
        <v>-1.054458E-2</v>
      </c>
      <c r="O3395">
        <v>8.1861639999999992E-3</v>
      </c>
      <c r="P3395">
        <v>0.98212250000000001</v>
      </c>
      <c r="Q3395">
        <v>0.18792200000000001</v>
      </c>
      <c r="R3395">
        <v>1.1010549999999999E-2</v>
      </c>
      <c r="S3395">
        <v>3.092133</v>
      </c>
      <c r="T3395">
        <v>-0.18599750000000001</v>
      </c>
      <c r="U3395">
        <v>-0.24717710000000001</v>
      </c>
      <c r="V3395">
        <v>-2.8961210000000002E-3</v>
      </c>
      <c r="W3395">
        <v>0.19826940000000001</v>
      </c>
      <c r="X3395">
        <v>0.98014330000000005</v>
      </c>
      <c r="Y3395">
        <v>8.7645959999999995E-2</v>
      </c>
      <c r="Z3395">
        <v>-3.4979109999999998E-3</v>
      </c>
      <c r="AA3395">
        <v>0.99614550000000002</v>
      </c>
      <c r="AB3395">
        <v>32</v>
      </c>
      <c r="AC3395">
        <v>18.319900000000001</v>
      </c>
      <c r="AD3395">
        <v>-1.120375402414</v>
      </c>
      <c r="AE3395">
        <v>-1.4912999999999901</v>
      </c>
      <c r="AF3395">
        <v>1.6351526942214401</v>
      </c>
      <c r="AG3395">
        <v>-1.120375402414</v>
      </c>
      <c r="AH3395">
        <v>18.239309956327599</v>
      </c>
      <c r="AI3395">
        <v>93.5010518198048</v>
      </c>
      <c r="AJ3395">
        <v>84.877132955283102</v>
      </c>
      <c r="AK3395">
        <v>18.346699786575901</v>
      </c>
      <c r="AL3395">
        <v>78.5642237089194</v>
      </c>
      <c r="AM3395">
        <v>90.1692967011506</v>
      </c>
      <c r="AN3395">
        <v>1.0000000155140401</v>
      </c>
    </row>
    <row r="3396" spans="1:40" x14ac:dyDescent="0.25">
      <c r="A3396" t="str">
        <f>"20190303162324050"</f>
        <v>20190303162324050</v>
      </c>
      <c r="B3396" t="str">
        <f>"1551601404037761"</f>
        <v>1551601404037761</v>
      </c>
      <c r="C3396" t="s">
        <v>40</v>
      </c>
      <c r="D3396">
        <v>5.1486349999999996</v>
      </c>
      <c r="E3396">
        <v>0.53849669999999905</v>
      </c>
      <c r="F3396" t="s">
        <v>49</v>
      </c>
      <c r="G3396">
        <v>-312.55309999999997</v>
      </c>
      <c r="H3396" s="1">
        <v>2.037845E-6</v>
      </c>
      <c r="I3396">
        <v>213.2877</v>
      </c>
      <c r="J3396">
        <v>-331.79329999999999</v>
      </c>
      <c r="K3396">
        <v>1.1203799999999999</v>
      </c>
      <c r="L3396">
        <v>215.00700000000001</v>
      </c>
      <c r="M3396">
        <v>0.99991220000000003</v>
      </c>
      <c r="N3396">
        <v>-1.055585E-2</v>
      </c>
      <c r="O3396">
        <v>8.0162129999999995E-3</v>
      </c>
      <c r="P3396">
        <v>0.98198189999999996</v>
      </c>
      <c r="Q3396">
        <v>0.18866040000000001</v>
      </c>
      <c r="R3396">
        <v>1.0901889999999999E-2</v>
      </c>
      <c r="S3396">
        <v>3.0914920000000001</v>
      </c>
      <c r="T3396">
        <v>-0.1768776</v>
      </c>
      <c r="U3396">
        <v>-0.27102659999999901</v>
      </c>
      <c r="V3396">
        <v>-2.9540859999999999E-3</v>
      </c>
      <c r="W3396">
        <v>0.19901720000000001</v>
      </c>
      <c r="X3396">
        <v>0.97999159999999996</v>
      </c>
      <c r="Y3396">
        <v>9.5125039999999994E-2</v>
      </c>
      <c r="Z3396">
        <v>-3.590396E-3</v>
      </c>
      <c r="AA3396">
        <v>0.99545879999999998</v>
      </c>
      <c r="AB3396">
        <v>32</v>
      </c>
      <c r="AC3396">
        <v>19.240200000000002</v>
      </c>
      <c r="AD3396">
        <v>-1.1203779621550001</v>
      </c>
      <c r="AE3396">
        <v>-1.7193000000000001</v>
      </c>
      <c r="AF3396">
        <v>1.8672056027642401</v>
      </c>
      <c r="AG3396">
        <v>-1.1203779621550001</v>
      </c>
      <c r="AH3396">
        <v>19.1613399733459</v>
      </c>
      <c r="AI3396">
        <v>93.330577149954493</v>
      </c>
      <c r="AJ3396">
        <v>84.434299138726104</v>
      </c>
      <c r="AK3396">
        <v>19.284674047419699</v>
      </c>
      <c r="AL3396">
        <v>78.520507177358894</v>
      </c>
      <c r="AM3396">
        <v>90.172711834943698</v>
      </c>
      <c r="AN3396">
        <v>1.0000000542952401</v>
      </c>
    </row>
    <row r="3397" spans="1:40" x14ac:dyDescent="0.25">
      <c r="A3397" t="str">
        <f>"20190303162324073"</f>
        <v>20190303162324073</v>
      </c>
      <c r="B3397" t="str">
        <f>"1551601404068017"</f>
        <v>1551601404068017</v>
      </c>
      <c r="C3397" t="s">
        <v>40</v>
      </c>
      <c r="D3397">
        <v>5.1443000000000003</v>
      </c>
      <c r="E3397">
        <v>0.53804129999999994</v>
      </c>
      <c r="F3397" t="s">
        <v>49</v>
      </c>
      <c r="G3397">
        <v>-312.68540000000002</v>
      </c>
      <c r="H3397" s="1">
        <v>2.096524E-6</v>
      </c>
      <c r="I3397">
        <v>213.3244</v>
      </c>
      <c r="J3397">
        <v>-331.46980000000002</v>
      </c>
      <c r="K3397">
        <v>1.120395</v>
      </c>
      <c r="L3397">
        <v>215.0094</v>
      </c>
      <c r="M3397">
        <v>0.99991350000000001</v>
      </c>
      <c r="N3397">
        <v>-1.056609E-2</v>
      </c>
      <c r="O3397">
        <v>7.8552750000000001E-3</v>
      </c>
      <c r="P3397">
        <v>0.98176490000000005</v>
      </c>
      <c r="Q3397">
        <v>0.18984980000000001</v>
      </c>
      <c r="R3397">
        <v>9.7582410000000008E-3</v>
      </c>
      <c r="S3397">
        <v>3.0929570000000002</v>
      </c>
      <c r="T3397">
        <v>-0.1813533</v>
      </c>
      <c r="U3397">
        <v>-0.27235409999999999</v>
      </c>
      <c r="V3397">
        <v>-1.9690010000000002E-3</v>
      </c>
      <c r="W3397">
        <v>0.20021420000000001</v>
      </c>
      <c r="X3397">
        <v>0.97975020000000002</v>
      </c>
      <c r="Y3397">
        <v>9.5338530000000005E-2</v>
      </c>
      <c r="Z3397">
        <v>-3.669014E-3</v>
      </c>
      <c r="AA3397">
        <v>0.99543820000000005</v>
      </c>
      <c r="AB3397">
        <v>33</v>
      </c>
      <c r="AC3397">
        <v>18.784400000000002</v>
      </c>
      <c r="AD3397">
        <v>-1.1203929034760001</v>
      </c>
      <c r="AE3397">
        <v>-1.6850000000000001</v>
      </c>
      <c r="AF3397">
        <v>1.82606844481774</v>
      </c>
      <c r="AG3397">
        <v>-1.1203929034760001</v>
      </c>
      <c r="AH3397">
        <v>18.704572962043901</v>
      </c>
      <c r="AI3397">
        <v>93.411706330873201</v>
      </c>
      <c r="AJ3397">
        <v>84.424063766566306</v>
      </c>
      <c r="AK3397">
        <v>18.826865270557999</v>
      </c>
      <c r="AL3397">
        <v>78.450515193613896</v>
      </c>
      <c r="AM3397">
        <v>90.115146998974495</v>
      </c>
      <c r="AN3397">
        <v>1.0000000286233</v>
      </c>
    </row>
    <row r="3398" spans="1:40" x14ac:dyDescent="0.25">
      <c r="A3398" t="str">
        <f>"20190303162324096"</f>
        <v>20190303162324096</v>
      </c>
      <c r="B3398" t="str">
        <f>"1551601404088311"</f>
        <v>1551601404088311</v>
      </c>
      <c r="C3398" t="s">
        <v>40</v>
      </c>
      <c r="D3398">
        <v>5.1371630000000001</v>
      </c>
      <c r="E3398">
        <v>0.53796699999999997</v>
      </c>
      <c r="F3398" t="s">
        <v>49</v>
      </c>
      <c r="G3398">
        <v>-312.10989999999998</v>
      </c>
      <c r="H3398" s="1">
        <v>1.841289E-6</v>
      </c>
      <c r="I3398">
        <v>213.30840000000001</v>
      </c>
      <c r="J3398">
        <v>-331.1293</v>
      </c>
      <c r="K3398">
        <v>1.1204050000000001</v>
      </c>
      <c r="L3398">
        <v>215.0119</v>
      </c>
      <c r="M3398">
        <v>0.99991450000000004</v>
      </c>
      <c r="N3398">
        <v>-1.057638E-2</v>
      </c>
      <c r="O3398">
        <v>7.6871329999999996E-3</v>
      </c>
      <c r="P3398">
        <v>0.98145190000000004</v>
      </c>
      <c r="Q3398">
        <v>0.1915133</v>
      </c>
      <c r="R3398">
        <v>8.660203E-3</v>
      </c>
      <c r="S3398">
        <v>3.093048</v>
      </c>
      <c r="T3398">
        <v>-0.17899979999999999</v>
      </c>
      <c r="U3398">
        <v>-0.27175899999999997</v>
      </c>
      <c r="V3398">
        <v>-1.0375439999999901E-3</v>
      </c>
      <c r="W3398">
        <v>0.2018836</v>
      </c>
      <c r="X3398">
        <v>0.97940899999999997</v>
      </c>
      <c r="Y3398">
        <v>9.4984230000000003E-2</v>
      </c>
      <c r="Z3398">
        <v>-3.6072410000000002E-3</v>
      </c>
      <c r="AA3398">
        <v>0.99547229999999998</v>
      </c>
      <c r="AB3398">
        <v>33</v>
      </c>
      <c r="AC3398">
        <v>19.019400000000001</v>
      </c>
      <c r="AD3398">
        <v>-1.1204031587109999</v>
      </c>
      <c r="AE3398">
        <v>-1.70349999999999</v>
      </c>
      <c r="AF3398">
        <v>1.84331672170602</v>
      </c>
      <c r="AG3398">
        <v>-1.1204031587109999</v>
      </c>
      <c r="AH3398">
        <v>18.9405377647142</v>
      </c>
      <c r="AI3398">
        <v>93.369431145416399</v>
      </c>
      <c r="AJ3398">
        <v>84.441408542442204</v>
      </c>
      <c r="AK3398">
        <v>19.062976960357901</v>
      </c>
      <c r="AL3398">
        <v>78.352871829040197</v>
      </c>
      <c r="AM3398">
        <v>90.060696675261596</v>
      </c>
      <c r="AN3398">
        <v>1.0000000268637499</v>
      </c>
    </row>
    <row r="3399" spans="1:40" x14ac:dyDescent="0.25">
      <c r="A3399" t="str">
        <f>"20190303162324119"</f>
        <v>20190303162324119</v>
      </c>
      <c r="B3399" t="str">
        <f>"1551601404107831"</f>
        <v>1551601404107831</v>
      </c>
      <c r="C3399" t="s">
        <v>40</v>
      </c>
      <c r="D3399">
        <v>5.1756609999999998</v>
      </c>
      <c r="E3399">
        <v>0.53778040000000005</v>
      </c>
      <c r="F3399" t="s">
        <v>49</v>
      </c>
      <c r="G3399">
        <v>-311.56650000000002</v>
      </c>
      <c r="H3399" s="1">
        <v>1.6003360000000001E-6</v>
      </c>
      <c r="I3399">
        <v>213.27610000000001</v>
      </c>
      <c r="J3399">
        <v>-330.79759999999999</v>
      </c>
      <c r="K3399">
        <v>1.120411</v>
      </c>
      <c r="L3399">
        <v>215.01429999999999</v>
      </c>
      <c r="M3399">
        <v>0.99991580000000002</v>
      </c>
      <c r="N3399">
        <v>-1.0585789999999999E-2</v>
      </c>
      <c r="O3399">
        <v>7.5251490000000001E-3</v>
      </c>
      <c r="P3399">
        <v>0.9811761</v>
      </c>
      <c r="Q3399">
        <v>0.19298580000000001</v>
      </c>
      <c r="R3399">
        <v>7.0901009999999997E-3</v>
      </c>
      <c r="S3399">
        <v>3.093658</v>
      </c>
      <c r="T3399">
        <v>-0.17718039999999999</v>
      </c>
      <c r="U3399">
        <v>-0.27450560000000002</v>
      </c>
      <c r="V3399">
        <v>3.7132140000000001E-4</v>
      </c>
      <c r="W3399">
        <v>0.20336199999999999</v>
      </c>
      <c r="X3399">
        <v>0.97910359999999996</v>
      </c>
      <c r="Y3399">
        <v>9.5685359999999997E-2</v>
      </c>
      <c r="Z3399">
        <v>-3.5907740000000001E-3</v>
      </c>
      <c r="AA3399">
        <v>0.99540510000000004</v>
      </c>
      <c r="AB3399">
        <v>33</v>
      </c>
      <c r="AC3399">
        <v>19.231099999999898</v>
      </c>
      <c r="AD3399">
        <v>-1.1204093996639899</v>
      </c>
      <c r="AE3399">
        <v>-1.73819999999997</v>
      </c>
      <c r="AF3399">
        <v>1.8765578458455301</v>
      </c>
      <c r="AG3399">
        <v>-1.1204093996639899</v>
      </c>
      <c r="AH3399">
        <v>19.152991020208599</v>
      </c>
      <c r="AI3399">
        <v>93.331948204252797</v>
      </c>
      <c r="AJ3399">
        <v>84.404175904378505</v>
      </c>
      <c r="AK3399">
        <v>19.2772884916902</v>
      </c>
      <c r="AL3399">
        <v>78.266371730668993</v>
      </c>
      <c r="AM3399">
        <v>89.978270789686704</v>
      </c>
      <c r="AN3399">
        <v>1.00000005022826</v>
      </c>
    </row>
    <row r="3400" spans="1:40" x14ac:dyDescent="0.25">
      <c r="A3400" t="str">
        <f>"20190303162324141"</f>
        <v>20190303162324141</v>
      </c>
      <c r="B3400" t="str">
        <f>"1551601404128329"</f>
        <v>1551601404128329</v>
      </c>
      <c r="C3400" t="s">
        <v>40</v>
      </c>
      <c r="D3400">
        <v>5.1657919999999997</v>
      </c>
      <c r="E3400">
        <v>0.53766709999999995</v>
      </c>
      <c r="F3400" t="s">
        <v>49</v>
      </c>
      <c r="G3400">
        <v>-310.7439</v>
      </c>
      <c r="H3400" s="1">
        <v>1.235534E-6</v>
      </c>
      <c r="I3400">
        <v>213.22030000000001</v>
      </c>
      <c r="J3400">
        <v>-330.47129999999999</v>
      </c>
      <c r="K3400">
        <v>1.1204099999999999</v>
      </c>
      <c r="L3400">
        <v>215.01660000000001</v>
      </c>
      <c r="M3400">
        <v>0.99991669999999999</v>
      </c>
      <c r="N3400">
        <v>-1.059414E-2</v>
      </c>
      <c r="O3400">
        <v>7.3687839999999998E-3</v>
      </c>
      <c r="P3400">
        <v>0.98095489999999996</v>
      </c>
      <c r="Q3400">
        <v>0.1941408</v>
      </c>
      <c r="R3400">
        <v>6.0785469999999897E-3</v>
      </c>
      <c r="S3400">
        <v>3.0935670000000002</v>
      </c>
      <c r="T3400">
        <v>-0.17283889999999999</v>
      </c>
      <c r="U3400">
        <v>-0.27674870000000001</v>
      </c>
      <c r="V3400">
        <v>1.227499E-3</v>
      </c>
      <c r="W3400">
        <v>0.20452200000000001</v>
      </c>
      <c r="X3400">
        <v>0.97886119999999999</v>
      </c>
      <c r="Y3400">
        <v>9.6256140000000004E-2</v>
      </c>
      <c r="Z3400">
        <v>-3.5256060000000001E-3</v>
      </c>
      <c r="AA3400">
        <v>0.99535039999999997</v>
      </c>
      <c r="AB3400">
        <v>33</v>
      </c>
      <c r="AC3400">
        <v>19.7273999999999</v>
      </c>
      <c r="AD3400">
        <v>-1.1204087644659999</v>
      </c>
      <c r="AE3400">
        <v>-1.7963</v>
      </c>
      <c r="AF3400">
        <v>1.93543469538185</v>
      </c>
      <c r="AG3400">
        <v>-1.1204087644659999</v>
      </c>
      <c r="AH3400">
        <v>19.650762372876901</v>
      </c>
      <c r="AI3400">
        <v>93.247565992627202</v>
      </c>
      <c r="AJ3400">
        <v>84.374989799987205</v>
      </c>
      <c r="AK3400">
        <v>19.777605646155799</v>
      </c>
      <c r="AL3400">
        <v>78.198481203844395</v>
      </c>
      <c r="AM3400">
        <v>89.928150717189595</v>
      </c>
      <c r="AN3400">
        <v>1.00000000205161</v>
      </c>
    </row>
    <row r="3401" spans="1:40" x14ac:dyDescent="0.25">
      <c r="A3401" t="str">
        <f>"20190303162324163"</f>
        <v>20190303162324163</v>
      </c>
      <c r="B3401" t="str">
        <f>"1551601404147847"</f>
        <v>1551601404147847</v>
      </c>
      <c r="C3401" t="s">
        <v>40</v>
      </c>
      <c r="D3401">
        <v>5.1877979999999999</v>
      </c>
      <c r="E3401">
        <v>0.53748079999999998</v>
      </c>
      <c r="F3401" t="s">
        <v>49</v>
      </c>
      <c r="G3401">
        <v>-310.1574</v>
      </c>
      <c r="H3401" s="1">
        <v>9.7546410000000002E-7</v>
      </c>
      <c r="I3401">
        <v>213.19049999999999</v>
      </c>
      <c r="J3401">
        <v>-330.15769999999998</v>
      </c>
      <c r="K3401">
        <v>1.120417</v>
      </c>
      <c r="L3401">
        <v>215.0187</v>
      </c>
      <c r="M3401">
        <v>0.99991770000000002</v>
      </c>
      <c r="N3401">
        <v>-1.060581E-2</v>
      </c>
      <c r="O3401">
        <v>7.2227849999999998E-3</v>
      </c>
      <c r="P3401">
        <v>0.98082040000000004</v>
      </c>
      <c r="Q3401">
        <v>0.19485050000000001</v>
      </c>
      <c r="R3401">
        <v>4.9709029999999996E-3</v>
      </c>
      <c r="S3401">
        <v>3.0937190000000001</v>
      </c>
      <c r="T3401">
        <v>-0.17063390000000001</v>
      </c>
      <c r="U3401">
        <v>-0.27810669999999998</v>
      </c>
      <c r="V3401">
        <v>2.1900119999999999E-3</v>
      </c>
      <c r="W3401">
        <v>0.20524120000000001</v>
      </c>
      <c r="X3401">
        <v>0.97870900000000005</v>
      </c>
      <c r="Y3401">
        <v>9.6543879999999999E-2</v>
      </c>
      <c r="Z3401">
        <v>-3.4894430000000001E-3</v>
      </c>
      <c r="AA3401">
        <v>0.99532259999999995</v>
      </c>
      <c r="AB3401">
        <v>33</v>
      </c>
      <c r="AC3401">
        <v>20.0002999999999</v>
      </c>
      <c r="AD3401">
        <v>-1.1204160245358901</v>
      </c>
      <c r="AE3401">
        <v>-1.8282</v>
      </c>
      <c r="AF3401">
        <v>1.96649809688202</v>
      </c>
      <c r="AG3401">
        <v>-1.1204160245358901</v>
      </c>
      <c r="AH3401">
        <v>19.924562947113099</v>
      </c>
      <c r="AI3401">
        <v>93.202988503938002</v>
      </c>
      <c r="AJ3401">
        <v>84.363323597651501</v>
      </c>
      <c r="AK3401">
        <v>20.0526969624175</v>
      </c>
      <c r="AL3401">
        <v>78.156381290459095</v>
      </c>
      <c r="AM3401">
        <v>89.871792090134903</v>
      </c>
      <c r="AN3401">
        <v>1.00000002650549</v>
      </c>
    </row>
    <row r="3402" spans="1:40" x14ac:dyDescent="0.25">
      <c r="A3402" t="str">
        <f>"20190303162324185"</f>
        <v>20190303162324185</v>
      </c>
      <c r="B3402" t="str">
        <f>"1551601404178103"</f>
        <v>1551601404178103</v>
      </c>
      <c r="C3402" t="s">
        <v>40</v>
      </c>
      <c r="D3402">
        <v>5.1975040000000003</v>
      </c>
      <c r="E3402">
        <v>0.53718639999999995</v>
      </c>
      <c r="F3402" t="s">
        <v>49</v>
      </c>
      <c r="G3402">
        <v>-309.72680000000003</v>
      </c>
      <c r="H3402" s="1">
        <v>9.2787980000000004E-7</v>
      </c>
      <c r="I3402">
        <v>213.16810000000001</v>
      </c>
      <c r="J3402">
        <v>-329.82859999999999</v>
      </c>
      <c r="K3402">
        <v>1.1204270000000001</v>
      </c>
      <c r="L3402">
        <v>215.02090000000001</v>
      </c>
      <c r="M3402">
        <v>0.99991870000000005</v>
      </c>
      <c r="N3402">
        <v>-1.062169E-2</v>
      </c>
      <c r="O3402">
        <v>7.0771430000000001E-3</v>
      </c>
      <c r="P3402">
        <v>0.98068679999999997</v>
      </c>
      <c r="Q3402">
        <v>0.19553090000000001</v>
      </c>
      <c r="R3402">
        <v>4.6496749999999998E-3</v>
      </c>
      <c r="S3402">
        <v>3.09375</v>
      </c>
      <c r="T3402">
        <v>-0.169659</v>
      </c>
      <c r="U3402">
        <v>-0.28022770000000002</v>
      </c>
      <c r="V3402">
        <v>2.3654689999999998E-3</v>
      </c>
      <c r="W3402">
        <v>0.2059356</v>
      </c>
      <c r="X3402">
        <v>0.97856270000000001</v>
      </c>
      <c r="Y3402">
        <v>9.7075960000000003E-2</v>
      </c>
      <c r="Z3402">
        <v>-3.4835339999999999E-3</v>
      </c>
      <c r="AA3402">
        <v>0.99527089999999996</v>
      </c>
      <c r="AB3402">
        <v>33</v>
      </c>
      <c r="AC3402">
        <v>20.101799999999901</v>
      </c>
      <c r="AD3402">
        <v>-1.1204260721202</v>
      </c>
      <c r="AE3402">
        <v>-1.8528</v>
      </c>
      <c r="AF3402">
        <v>1.9888980915718999</v>
      </c>
      <c r="AG3402">
        <v>-1.1204260721202</v>
      </c>
      <c r="AH3402">
        <v>20.026491460627302</v>
      </c>
      <c r="AI3402">
        <v>93.186556389768299</v>
      </c>
      <c r="AJ3402">
        <v>84.328361740743205</v>
      </c>
      <c r="AK3402">
        <v>20.156175987134102</v>
      </c>
      <c r="AL3402">
        <v>78.115726488264798</v>
      </c>
      <c r="AM3402">
        <v>89.861499803449405</v>
      </c>
      <c r="AN3402">
        <v>1.0000000123111199</v>
      </c>
    </row>
    <row r="3403" spans="1:40" x14ac:dyDescent="0.25">
      <c r="A3403" t="str">
        <f>"20190303162324207"</f>
        <v>20190303162324207</v>
      </c>
      <c r="B3403" t="str">
        <f>"1551601404198599"</f>
        <v>1551601404198599</v>
      </c>
      <c r="C3403" t="s">
        <v>40</v>
      </c>
      <c r="D3403">
        <v>5.1890049999999999</v>
      </c>
      <c r="E3403">
        <v>0.53738369999999902</v>
      </c>
      <c r="F3403" t="s">
        <v>49</v>
      </c>
      <c r="G3403">
        <v>-309.67419999999998</v>
      </c>
      <c r="H3403" s="1">
        <v>9.3721049999999997E-7</v>
      </c>
      <c r="I3403">
        <v>213.2088</v>
      </c>
      <c r="J3403">
        <v>-329.51179999999999</v>
      </c>
      <c r="K3403">
        <v>1.120433</v>
      </c>
      <c r="L3403">
        <v>215.0231</v>
      </c>
      <c r="M3403">
        <v>0.99991929999999996</v>
      </c>
      <c r="N3403">
        <v>-1.0637199999999999E-2</v>
      </c>
      <c r="O3403">
        <v>6.9459500000000002E-3</v>
      </c>
      <c r="P3403">
        <v>0.98061960000000004</v>
      </c>
      <c r="Q3403">
        <v>0.19587650000000001</v>
      </c>
      <c r="R3403">
        <v>4.2022489999999999E-3</v>
      </c>
      <c r="S3403">
        <v>3.0946959999999999</v>
      </c>
      <c r="T3403">
        <v>-0.17204150000000001</v>
      </c>
      <c r="U3403">
        <v>-0.27825929999999999</v>
      </c>
      <c r="V3403">
        <v>2.6809249999999998E-3</v>
      </c>
      <c r="W3403">
        <v>0.2062958</v>
      </c>
      <c r="X3403">
        <v>0.97848599999999997</v>
      </c>
      <c r="Y3403">
        <v>9.6286979999999994E-2</v>
      </c>
      <c r="Z3403">
        <v>-3.4940090000000002E-3</v>
      </c>
      <c r="AA3403">
        <v>0.99534750000000005</v>
      </c>
      <c r="AB3403">
        <v>33</v>
      </c>
      <c r="AC3403">
        <v>19.837599999999998</v>
      </c>
      <c r="AD3403">
        <v>-1.1204320627894999</v>
      </c>
      <c r="AE3403">
        <v>-1.8143</v>
      </c>
      <c r="AF3403">
        <v>1.9458990449815099</v>
      </c>
      <c r="AG3403">
        <v>-1.1204320627894999</v>
      </c>
      <c r="AH3403">
        <v>19.762000489784</v>
      </c>
      <c r="AI3403">
        <v>93.229399430845703</v>
      </c>
      <c r="AJ3403">
        <v>84.376401598354306</v>
      </c>
      <c r="AK3403">
        <v>19.889156705572301</v>
      </c>
      <c r="AL3403">
        <v>78.094635509974097</v>
      </c>
      <c r="AM3403">
        <v>89.843017372424498</v>
      </c>
      <c r="AN3403">
        <v>0.99999999832624697</v>
      </c>
    </row>
    <row r="3404" spans="1:40" x14ac:dyDescent="0.25">
      <c r="A3404" t="str">
        <f>"20190303162324227"</f>
        <v>20190303162324227</v>
      </c>
      <c r="B3404" t="str">
        <f>"1551601404218119"</f>
        <v>1551601404218119</v>
      </c>
      <c r="C3404" t="s">
        <v>40</v>
      </c>
      <c r="D3404">
        <v>5.2221209999999996</v>
      </c>
      <c r="E3404">
        <v>0.53750359999999997</v>
      </c>
      <c r="F3404" t="s">
        <v>49</v>
      </c>
      <c r="G3404">
        <v>-309.26220000000001</v>
      </c>
      <c r="H3404" s="1">
        <v>1.0103009999999999E-6</v>
      </c>
      <c r="I3404">
        <v>213.18469999999999</v>
      </c>
      <c r="J3404">
        <v>-329.20240000000001</v>
      </c>
      <c r="K3404">
        <v>1.120441</v>
      </c>
      <c r="L3404">
        <v>215.02510000000001</v>
      </c>
      <c r="M3404">
        <v>0.99992009999999998</v>
      </c>
      <c r="N3404">
        <v>-1.065169E-2</v>
      </c>
      <c r="O3404">
        <v>6.8256159999999996E-3</v>
      </c>
      <c r="P3404">
        <v>0.98065150000000001</v>
      </c>
      <c r="Q3404">
        <v>0.19572339999999999</v>
      </c>
      <c r="R3404">
        <v>3.859431E-3</v>
      </c>
      <c r="S3404">
        <v>3.0946660000000001</v>
      </c>
      <c r="T3404">
        <v>-0.17123099999999999</v>
      </c>
      <c r="U3404">
        <v>-0.28094479999999999</v>
      </c>
      <c r="V3404">
        <v>2.9029440000000002E-3</v>
      </c>
      <c r="W3404">
        <v>0.20615729999999999</v>
      </c>
      <c r="X3404">
        <v>0.97851460000000001</v>
      </c>
      <c r="Y3404">
        <v>9.7025180000000003E-2</v>
      </c>
      <c r="Z3404">
        <v>-3.4991190000000002E-3</v>
      </c>
      <c r="AA3404">
        <v>0.99527580000000004</v>
      </c>
      <c r="AB3404">
        <v>33</v>
      </c>
      <c r="AC3404">
        <v>19.940200000000001</v>
      </c>
      <c r="AD3404">
        <v>-1.120439989699</v>
      </c>
      <c r="AE3404">
        <v>-1.84040000000001</v>
      </c>
      <c r="AF3404">
        <v>1.97030065746989</v>
      </c>
      <c r="AG3404">
        <v>-1.120439989699</v>
      </c>
      <c r="AH3404">
        <v>19.864982594212901</v>
      </c>
      <c r="AI3404">
        <v>93.212490484602299</v>
      </c>
      <c r="AJ3404">
        <v>84.335666130906006</v>
      </c>
      <c r="AK3404">
        <v>19.993874159845198</v>
      </c>
      <c r="AL3404">
        <v>78.102745815489698</v>
      </c>
      <c r="AM3404">
        <v>89.830022003343501</v>
      </c>
      <c r="AN3404">
        <v>1.0000000409201499</v>
      </c>
    </row>
    <row r="3405" spans="1:40" x14ac:dyDescent="0.25">
      <c r="A3405" t="str">
        <f>"20190303162324253"</f>
        <v>20190303162324253</v>
      </c>
      <c r="B3405" t="str">
        <f>"1551601404237639"</f>
        <v>1551601404237639</v>
      </c>
      <c r="C3405" t="s">
        <v>40</v>
      </c>
      <c r="D3405">
        <v>5.2252539999999996</v>
      </c>
      <c r="E3405">
        <v>0.53765030000000003</v>
      </c>
      <c r="F3405" t="s">
        <v>49</v>
      </c>
      <c r="G3405">
        <v>-309.21859999999998</v>
      </c>
      <c r="H3405" s="1">
        <v>1.0180320000000001E-6</v>
      </c>
      <c r="I3405">
        <v>213.1978</v>
      </c>
      <c r="J3405">
        <v>-328.84559999999999</v>
      </c>
      <c r="K3405">
        <v>1.1204499999999999</v>
      </c>
      <c r="L3405">
        <v>215.0274</v>
      </c>
      <c r="M3405">
        <v>0.99992080000000005</v>
      </c>
      <c r="N3405">
        <v>-1.066723E-2</v>
      </c>
      <c r="O3405">
        <v>6.7000059999999997E-3</v>
      </c>
      <c r="P3405">
        <v>0.98083189999999998</v>
      </c>
      <c r="Q3405">
        <v>0.19481770000000001</v>
      </c>
      <c r="R3405">
        <v>3.850104E-3</v>
      </c>
      <c r="S3405">
        <v>3.0949399999999998</v>
      </c>
      <c r="T3405">
        <v>-0.17352509999999999</v>
      </c>
      <c r="U3405">
        <v>-0.2829895</v>
      </c>
      <c r="V3405">
        <v>2.7855359999999999E-3</v>
      </c>
      <c r="W3405">
        <v>0.20526829999999999</v>
      </c>
      <c r="X3405">
        <v>0.97870179999999996</v>
      </c>
      <c r="Y3405">
        <v>9.7538920000000001E-2</v>
      </c>
      <c r="Z3405">
        <v>-3.551701E-3</v>
      </c>
      <c r="AA3405">
        <v>0.99522540000000004</v>
      </c>
      <c r="AB3405">
        <v>33</v>
      </c>
      <c r="AC3405">
        <v>19.626999999999999</v>
      </c>
      <c r="AD3405">
        <v>-1.1204489819679999</v>
      </c>
      <c r="AE3405">
        <v>-1.8295999999999899</v>
      </c>
      <c r="AF3405">
        <v>1.95475187232153</v>
      </c>
      <c r="AG3405">
        <v>-1.1204489819679999</v>
      </c>
      <c r="AH3405">
        <v>19.551133326926902</v>
      </c>
      <c r="AI3405">
        <v>93.263719368096801</v>
      </c>
      <c r="AJ3405">
        <v>84.290455657978896</v>
      </c>
      <c r="AK3405">
        <v>19.680530357965701</v>
      </c>
      <c r="AL3405">
        <v>78.154794763164503</v>
      </c>
      <c r="AM3405">
        <v>89.836927830791893</v>
      </c>
      <c r="AN3405">
        <v>1.00000002375946</v>
      </c>
    </row>
    <row r="3406" spans="1:40" x14ac:dyDescent="0.25">
      <c r="A3406" t="str">
        <f>"20190303162324274"</f>
        <v>20190303162324274</v>
      </c>
      <c r="B3406" t="str">
        <f>"1551601404267896"</f>
        <v>1551601404267896</v>
      </c>
      <c r="C3406" t="s">
        <v>40</v>
      </c>
      <c r="D3406">
        <v>5.2880289999999999</v>
      </c>
      <c r="E3406">
        <v>0.53765359999999995</v>
      </c>
      <c r="F3406" t="s">
        <v>49</v>
      </c>
      <c r="G3406">
        <v>-309.21839999999997</v>
      </c>
      <c r="H3406" s="1">
        <v>1.0180790000000001E-6</v>
      </c>
      <c r="I3406">
        <v>213.2278</v>
      </c>
      <c r="J3406">
        <v>-328.51749999999998</v>
      </c>
      <c r="K3406">
        <v>1.1204559999999999</v>
      </c>
      <c r="L3406">
        <v>215.02950000000001</v>
      </c>
      <c r="M3406">
        <v>0.99992119999999995</v>
      </c>
      <c r="N3406">
        <v>-1.0680729999999999E-2</v>
      </c>
      <c r="O3406">
        <v>6.5999379999999996E-3</v>
      </c>
      <c r="P3406">
        <v>0.98086850000000003</v>
      </c>
      <c r="Q3406">
        <v>0.19464029999999999</v>
      </c>
      <c r="R3406">
        <v>3.5242910000000001E-3</v>
      </c>
      <c r="S3406">
        <v>3.094849</v>
      </c>
      <c r="T3406">
        <v>-0.17667330000000001</v>
      </c>
      <c r="U3406">
        <v>-0.28375240000000002</v>
      </c>
      <c r="V3406">
        <v>3.007933E-3</v>
      </c>
      <c r="W3406">
        <v>0.20510500000000001</v>
      </c>
      <c r="X3406">
        <v>0.97873540000000003</v>
      </c>
      <c r="Y3406">
        <v>9.7678689999999999E-2</v>
      </c>
      <c r="Z3406">
        <v>-3.6086220000000001E-3</v>
      </c>
      <c r="AA3406">
        <v>0.99521150000000003</v>
      </c>
      <c r="AB3406">
        <v>33</v>
      </c>
      <c r="AC3406">
        <v>19.299099999999999</v>
      </c>
      <c r="AD3406">
        <v>-1.1204549819209999</v>
      </c>
      <c r="AE3406">
        <v>-1.8017000000000101</v>
      </c>
      <c r="AF3406">
        <v>1.9226163911585299</v>
      </c>
      <c r="AG3406">
        <v>-1.1204549819209999</v>
      </c>
      <c r="AH3406">
        <v>19.222554992119399</v>
      </c>
      <c r="AI3406">
        <v>93.319389160817906</v>
      </c>
      <c r="AJ3406">
        <v>84.288341821001794</v>
      </c>
      <c r="AK3406">
        <v>19.350930044292902</v>
      </c>
      <c r="AL3406">
        <v>78.164354835492304</v>
      </c>
      <c r="AM3406">
        <v>89.823914284323493</v>
      </c>
      <c r="AN3406">
        <v>1.00000004594954</v>
      </c>
    </row>
    <row r="3407" spans="1:40" x14ac:dyDescent="0.25">
      <c r="A3407" t="str">
        <f>"20190303162324297"</f>
        <v>20190303162324297</v>
      </c>
      <c r="B3407" t="str">
        <f>"1551601404288391"</f>
        <v>1551601404288391</v>
      </c>
      <c r="C3407" t="s">
        <v>40</v>
      </c>
      <c r="D3407">
        <v>5.2360829999999998</v>
      </c>
      <c r="E3407">
        <v>0.5530986</v>
      </c>
      <c r="F3407" t="s">
        <v>49</v>
      </c>
      <c r="G3407">
        <v>-308.80770000000001</v>
      </c>
      <c r="H3407" s="1">
        <v>1.090923E-6</v>
      </c>
      <c r="I3407">
        <v>213.21600000000001</v>
      </c>
      <c r="J3407">
        <v>-328.20260000000002</v>
      </c>
      <c r="K3407">
        <v>1.120471</v>
      </c>
      <c r="L3407">
        <v>215.03139999999999</v>
      </c>
      <c r="M3407">
        <v>0.99992170000000002</v>
      </c>
      <c r="N3407">
        <v>-1.069579E-2</v>
      </c>
      <c r="O3407">
        <v>6.5202150000000002E-3</v>
      </c>
      <c r="P3407">
        <v>0.98089720000000002</v>
      </c>
      <c r="Q3407">
        <v>0.19449420000000001</v>
      </c>
      <c r="R3407">
        <v>3.6234119999999999E-3</v>
      </c>
      <c r="S3407">
        <v>3.094452</v>
      </c>
      <c r="T3407">
        <v>-0.1759115</v>
      </c>
      <c r="U3407">
        <v>-0.28471370000000001</v>
      </c>
      <c r="V3407">
        <v>2.8243919999999998E-3</v>
      </c>
      <c r="W3407">
        <v>0.20497380000000001</v>
      </c>
      <c r="X3407">
        <v>0.97876339999999995</v>
      </c>
      <c r="Y3407">
        <v>9.7918640000000001E-2</v>
      </c>
      <c r="Z3407">
        <v>-3.6004560000000001E-3</v>
      </c>
      <c r="AA3407">
        <v>0.99518790000000001</v>
      </c>
      <c r="AB3407">
        <v>33</v>
      </c>
      <c r="AC3407">
        <v>19.3949</v>
      </c>
      <c r="AD3407">
        <v>-1.1204699090770001</v>
      </c>
      <c r="AE3407">
        <v>-1.8154000000000099</v>
      </c>
      <c r="AF3407">
        <v>1.93542410237366</v>
      </c>
      <c r="AG3407">
        <v>-1.1204699090770001</v>
      </c>
      <c r="AH3407">
        <v>19.318733330548</v>
      </c>
      <c r="AI3407">
        <v>93.302890260001703</v>
      </c>
      <c r="AJ3407">
        <v>84.278980395774795</v>
      </c>
      <c r="AK3407">
        <v>19.447744773366999</v>
      </c>
      <c r="AL3407">
        <v>78.172034844008806</v>
      </c>
      <c r="AM3407">
        <v>89.834663523265803</v>
      </c>
      <c r="AN3407">
        <v>1.0000000145280801</v>
      </c>
    </row>
    <row r="3408" spans="1:40" x14ac:dyDescent="0.25">
      <c r="A3408" t="str">
        <f>"20190303162324320"</f>
        <v>20190303162324320</v>
      </c>
      <c r="B3408" t="str">
        <f>"1551601404307911"</f>
        <v>1551601404307911</v>
      </c>
      <c r="C3408" t="s">
        <v>40</v>
      </c>
      <c r="D3408">
        <v>5.245717</v>
      </c>
      <c r="E3408">
        <v>0.55468019999999996</v>
      </c>
      <c r="F3408" t="s">
        <v>49</v>
      </c>
      <c r="G3408">
        <v>-307.23239999999998</v>
      </c>
      <c r="H3408" s="1">
        <v>1.370346E-6</v>
      </c>
      <c r="I3408">
        <v>212.2638</v>
      </c>
      <c r="J3408">
        <v>-327.85399999999998</v>
      </c>
      <c r="K3408">
        <v>1.1204879999999999</v>
      </c>
      <c r="L3408">
        <v>215.03370000000001</v>
      </c>
      <c r="M3408">
        <v>0.99992190000000003</v>
      </c>
      <c r="N3408">
        <v>-1.0716079999999999E-2</v>
      </c>
      <c r="O3408">
        <v>6.452073E-3</v>
      </c>
      <c r="P3408">
        <v>0.98080040000000002</v>
      </c>
      <c r="Q3408">
        <v>0.19497400000000001</v>
      </c>
      <c r="R3408">
        <v>3.9929650000000002E-3</v>
      </c>
      <c r="S3408">
        <v>3.0927120000000001</v>
      </c>
      <c r="T3408">
        <v>-0.165248799999999</v>
      </c>
      <c r="U3408">
        <v>-0.4081726</v>
      </c>
      <c r="V3408">
        <v>2.379553E-3</v>
      </c>
      <c r="W3408">
        <v>0.20547270000000001</v>
      </c>
      <c r="X3408">
        <v>0.97865999999999997</v>
      </c>
      <c r="Y3408">
        <v>0.1370014</v>
      </c>
      <c r="Z3408">
        <v>-4.6538619999999999E-3</v>
      </c>
      <c r="AA3408">
        <v>0.99055990000000005</v>
      </c>
      <c r="AB3408">
        <v>33</v>
      </c>
      <c r="AC3408">
        <v>20.621600000000001</v>
      </c>
      <c r="AD3408">
        <v>-1.1204866296539999</v>
      </c>
      <c r="AE3408">
        <v>-2.7698999999999998</v>
      </c>
      <c r="AF3408">
        <v>2.89450786030952</v>
      </c>
      <c r="AG3408">
        <v>-1.1204866296539999</v>
      </c>
      <c r="AH3408">
        <v>20.5437206233319</v>
      </c>
      <c r="AI3408">
        <v>93.091434381627494</v>
      </c>
      <c r="AJ3408">
        <v>81.9801008992672</v>
      </c>
      <c r="AK3408">
        <v>20.7768650929378</v>
      </c>
      <c r="AL3408">
        <v>78.142828680830803</v>
      </c>
      <c r="AM3408">
        <v>89.860689028512695</v>
      </c>
      <c r="AN3408">
        <v>1.0000000441588801</v>
      </c>
    </row>
    <row r="3409" spans="1:40" x14ac:dyDescent="0.25">
      <c r="A3409" t="str">
        <f>"20190303162324343"</f>
        <v>20190303162324343</v>
      </c>
      <c r="B3409" t="str">
        <f>"1551601404338167"</f>
        <v>1551601404338167</v>
      </c>
      <c r="C3409" t="s">
        <v>40</v>
      </c>
      <c r="D3409">
        <v>5.2285700000000004</v>
      </c>
      <c r="E3409">
        <v>0.555245199999999</v>
      </c>
      <c r="F3409" t="s">
        <v>49</v>
      </c>
      <c r="G3409">
        <v>-309.28590000000003</v>
      </c>
      <c r="H3409" s="1">
        <v>1.0060960000000001E-6</v>
      </c>
      <c r="I3409">
        <v>212.5138</v>
      </c>
      <c r="J3409">
        <v>-327.52800000000002</v>
      </c>
      <c r="K3409">
        <v>1.1205039999999999</v>
      </c>
      <c r="L3409">
        <v>215.03569999999999</v>
      </c>
      <c r="M3409">
        <v>0.99992190000000003</v>
      </c>
      <c r="N3409">
        <v>-1.0740039999999999E-2</v>
      </c>
      <c r="O3409">
        <v>6.4069749999999996E-3</v>
      </c>
      <c r="P3409">
        <v>0.98089360000000003</v>
      </c>
      <c r="Q3409">
        <v>0.19450020000000001</v>
      </c>
      <c r="R3409">
        <v>4.2102479999999998E-3</v>
      </c>
      <c r="S3409">
        <v>3.0975950000000001</v>
      </c>
      <c r="T3409">
        <v>-0.18692339999999999</v>
      </c>
      <c r="U3409">
        <v>-0.42036440000000003</v>
      </c>
      <c r="V3409">
        <v>2.1105939999999999E-3</v>
      </c>
      <c r="W3409">
        <v>0.20502329999999999</v>
      </c>
      <c r="X3409">
        <v>0.97875480000000004</v>
      </c>
      <c r="Y3409">
        <v>0.14051629999999901</v>
      </c>
      <c r="Z3409">
        <v>-5.29153E-3</v>
      </c>
      <c r="AA3409">
        <v>0.99006419999999995</v>
      </c>
      <c r="AB3409">
        <v>33</v>
      </c>
      <c r="AC3409">
        <v>18.242099999999901</v>
      </c>
      <c r="AD3409">
        <v>-1.1205029939040001</v>
      </c>
      <c r="AE3409">
        <v>-2.52189999999998</v>
      </c>
      <c r="AF3409">
        <v>2.6289986828115901</v>
      </c>
      <c r="AG3409">
        <v>-1.1205029939040001</v>
      </c>
      <c r="AH3409">
        <v>18.158341883923001</v>
      </c>
      <c r="AI3409">
        <v>93.494746463004503</v>
      </c>
      <c r="AJ3409">
        <v>81.761853755239898</v>
      </c>
      <c r="AK3409">
        <v>18.3818535791961</v>
      </c>
      <c r="AL3409">
        <v>78.169136788455106</v>
      </c>
      <c r="AM3409">
        <v>89.876447154053395</v>
      </c>
      <c r="AN3409">
        <v>0.99999998333648099</v>
      </c>
    </row>
    <row r="3410" spans="1:40" x14ac:dyDescent="0.25">
      <c r="A3410" t="str">
        <f>"20190303162324364"</f>
        <v>20190303162324364</v>
      </c>
      <c r="B3410" t="str">
        <f>"1551601404357687"</f>
        <v>1551601404357687</v>
      </c>
      <c r="C3410" t="s">
        <v>40</v>
      </c>
      <c r="D3410">
        <v>5.2547769999999998</v>
      </c>
      <c r="E3410">
        <v>0.55542269999999905</v>
      </c>
      <c r="F3410" t="s">
        <v>49</v>
      </c>
      <c r="G3410">
        <v>-310.34769999999997</v>
      </c>
      <c r="H3410" s="1">
        <v>1.0598349999999999E-6</v>
      </c>
      <c r="I3410">
        <v>212.68700000000001</v>
      </c>
      <c r="J3410">
        <v>-327.221</v>
      </c>
      <c r="K3410">
        <v>1.12052</v>
      </c>
      <c r="L3410">
        <v>215.0377</v>
      </c>
      <c r="M3410">
        <v>0.99992170000000002</v>
      </c>
      <c r="N3410">
        <v>-1.076535E-2</v>
      </c>
      <c r="O3410">
        <v>6.3806210000000004E-3</v>
      </c>
      <c r="P3410">
        <v>0.9810932</v>
      </c>
      <c r="Q3410">
        <v>0.19348219999999999</v>
      </c>
      <c r="R3410">
        <v>4.5529869999999997E-3</v>
      </c>
      <c r="S3410">
        <v>3.1003419999999999</v>
      </c>
      <c r="T3410">
        <v>-0.20220479999999999</v>
      </c>
      <c r="U3410">
        <v>-0.42384339999999998</v>
      </c>
      <c r="V3410">
        <v>1.736095E-3</v>
      </c>
      <c r="W3410">
        <v>0.20403279999999999</v>
      </c>
      <c r="X3410">
        <v>0.97896249999999996</v>
      </c>
      <c r="Y3410">
        <v>0.1414144</v>
      </c>
      <c r="Z3410">
        <v>-5.6965649999999998E-3</v>
      </c>
      <c r="AA3410">
        <v>0.98993410000000004</v>
      </c>
      <c r="AB3410">
        <v>33</v>
      </c>
      <c r="AC3410">
        <v>16.8733</v>
      </c>
      <c r="AD3410">
        <v>-1.120518940165</v>
      </c>
      <c r="AE3410">
        <v>-2.3506999999999798</v>
      </c>
      <c r="AF3410">
        <v>2.4477315407576898</v>
      </c>
      <c r="AG3410">
        <v>-1.120518940165</v>
      </c>
      <c r="AH3410">
        <v>16.785342702354701</v>
      </c>
      <c r="AI3410">
        <v>93.779304482414403</v>
      </c>
      <c r="AJ3410">
        <v>81.7032926678759</v>
      </c>
      <c r="AK3410">
        <v>16.9998435882917</v>
      </c>
      <c r="AL3410">
        <v>78.227113899414505</v>
      </c>
      <c r="AM3410">
        <v>89.898391601254701</v>
      </c>
      <c r="AN3410">
        <v>0.99999998695396897</v>
      </c>
    </row>
    <row r="3411" spans="1:40" x14ac:dyDescent="0.25">
      <c r="A3411" t="str">
        <f>"20190303162324385"</f>
        <v>20190303162324385</v>
      </c>
      <c r="B3411" t="str">
        <f>"1551601404378186"</f>
        <v>1551601404378186</v>
      </c>
      <c r="C3411" t="s">
        <v>40</v>
      </c>
      <c r="D3411">
        <v>5.2697229999999999</v>
      </c>
      <c r="E3411">
        <v>0.55570069999999905</v>
      </c>
      <c r="F3411" t="s">
        <v>49</v>
      </c>
      <c r="G3411">
        <v>-310.63600000000002</v>
      </c>
      <c r="H3411" s="1">
        <v>1.187706E-6</v>
      </c>
      <c r="I3411">
        <v>212.76840000000001</v>
      </c>
      <c r="J3411">
        <v>-326.89069999999998</v>
      </c>
      <c r="K3411">
        <v>1.1205350000000001</v>
      </c>
      <c r="L3411">
        <v>215.03970000000001</v>
      </c>
      <c r="M3411">
        <v>0.99992159999999997</v>
      </c>
      <c r="N3411">
        <v>-1.0792370000000001E-2</v>
      </c>
      <c r="O3411">
        <v>6.3658569999999999E-3</v>
      </c>
      <c r="P3411">
        <v>0.9811744</v>
      </c>
      <c r="Q3411">
        <v>0.19305240000000001</v>
      </c>
      <c r="R3411">
        <v>5.2484380000000002E-3</v>
      </c>
      <c r="S3411">
        <v>3.101105</v>
      </c>
      <c r="T3411">
        <v>-0.2095178</v>
      </c>
      <c r="U3411">
        <v>-0.42431639999999998</v>
      </c>
      <c r="V3411">
        <v>1.020392E-3</v>
      </c>
      <c r="W3411">
        <v>0.20363039999999999</v>
      </c>
      <c r="X3411">
        <v>0.97904729999999995</v>
      </c>
      <c r="Y3411">
        <v>0.141490899999999</v>
      </c>
      <c r="Z3411">
        <v>-5.8796330000000004E-3</v>
      </c>
      <c r="AA3411">
        <v>0.98992210000000003</v>
      </c>
      <c r="AB3411">
        <v>33</v>
      </c>
      <c r="AC3411">
        <v>16.2547</v>
      </c>
      <c r="AD3411">
        <v>-1.1205338122939901</v>
      </c>
      <c r="AE3411">
        <v>-2.2712999999999899</v>
      </c>
      <c r="AF3411">
        <v>2.36371741655072</v>
      </c>
      <c r="AG3411">
        <v>-1.1205338122939901</v>
      </c>
      <c r="AH3411">
        <v>16.164565346039598</v>
      </c>
      <c r="AI3411">
        <v>93.923824913249007</v>
      </c>
      <c r="AJ3411">
        <v>81.680695859107104</v>
      </c>
      <c r="AK3411">
        <v>16.374856606278598</v>
      </c>
      <c r="AL3411">
        <v>78.250664271543599</v>
      </c>
      <c r="AM3411">
        <v>89.940284668697601</v>
      </c>
      <c r="AN3411">
        <v>0.99999999832064101</v>
      </c>
    </row>
    <row r="3412" spans="1:40" x14ac:dyDescent="0.25">
      <c r="A3412" t="str">
        <f>"20190303162324407"</f>
        <v>20190303162324407</v>
      </c>
      <c r="B3412" t="str">
        <f>"1551601404397703"</f>
        <v>1551601404397703</v>
      </c>
      <c r="C3412" t="s">
        <v>40</v>
      </c>
      <c r="D3412">
        <v>5.2672629999999998</v>
      </c>
      <c r="E3412">
        <v>0.55598549999999902</v>
      </c>
      <c r="F3412" t="s">
        <v>49</v>
      </c>
      <c r="G3412">
        <v>-310.58260000000001</v>
      </c>
      <c r="H3412" s="1">
        <v>1.1640190000000001E-6</v>
      </c>
      <c r="I3412">
        <v>212.8039</v>
      </c>
      <c r="J3412">
        <v>-326.56979999999999</v>
      </c>
      <c r="K3412">
        <v>1.120544</v>
      </c>
      <c r="L3412">
        <v>215.04179999999999</v>
      </c>
      <c r="M3412">
        <v>0.99992130000000001</v>
      </c>
      <c r="N3412">
        <v>-1.081711E-2</v>
      </c>
      <c r="O3412">
        <v>6.3601179999999997E-3</v>
      </c>
      <c r="P3412">
        <v>0.98105960000000003</v>
      </c>
      <c r="Q3412">
        <v>0.1936041</v>
      </c>
      <c r="R3412">
        <v>6.2966990000000002E-3</v>
      </c>
      <c r="S3412">
        <v>3.1017760000000001</v>
      </c>
      <c r="T3412">
        <v>-0.2131236</v>
      </c>
      <c r="U3412">
        <v>-0.42524719999999999</v>
      </c>
      <c r="V3412" s="1">
        <v>-3.8636690000000002E-5</v>
      </c>
      <c r="W3412">
        <v>0.2042051</v>
      </c>
      <c r="X3412">
        <v>0.97892809999999997</v>
      </c>
      <c r="Y3412">
        <v>0.1417351</v>
      </c>
      <c r="Z3412">
        <v>-5.9783329999999997E-3</v>
      </c>
      <c r="AA3412">
        <v>0.98988659999999995</v>
      </c>
      <c r="AB3412">
        <v>33</v>
      </c>
      <c r="AC3412">
        <v>15.9871999999999</v>
      </c>
      <c r="AD3412">
        <v>-1.1205428359809999</v>
      </c>
      <c r="AE3412">
        <v>-2.23789999999999</v>
      </c>
      <c r="AF3412">
        <v>2.3283228370501998</v>
      </c>
      <c r="AG3412">
        <v>-1.1205428359809999</v>
      </c>
      <c r="AH3412">
        <v>15.8960521527822</v>
      </c>
      <c r="AI3412">
        <v>93.989786455929703</v>
      </c>
      <c r="AJ3412">
        <v>81.667040531090905</v>
      </c>
      <c r="AK3412">
        <v>16.104694269832301</v>
      </c>
      <c r="AL3412">
        <v>78.217029374008007</v>
      </c>
      <c r="AM3412">
        <v>90.002261370646295</v>
      </c>
      <c r="AN3412">
        <v>0.99999997466420598</v>
      </c>
    </row>
    <row r="3413" spans="1:40" x14ac:dyDescent="0.25">
      <c r="A3413" t="str">
        <f>"20190303162324429"</f>
        <v>20190303162324429</v>
      </c>
      <c r="B3413" t="str">
        <f>"1551601404418198"</f>
        <v>1551601404418198</v>
      </c>
      <c r="C3413" t="s">
        <v>40</v>
      </c>
      <c r="D3413">
        <v>5.2660879999999999</v>
      </c>
      <c r="E3413">
        <v>0.55620009999999998</v>
      </c>
      <c r="F3413" t="s">
        <v>49</v>
      </c>
      <c r="G3413">
        <v>-310.14800000000002</v>
      </c>
      <c r="H3413" s="1">
        <v>9.7128650000000007E-7</v>
      </c>
      <c r="I3413">
        <v>212.79339999999999</v>
      </c>
      <c r="J3413">
        <v>-326.24430000000001</v>
      </c>
      <c r="K3413">
        <v>1.1205529999999999</v>
      </c>
      <c r="L3413">
        <v>215.04390000000001</v>
      </c>
      <c r="M3413">
        <v>0.99992099999999995</v>
      </c>
      <c r="N3413">
        <v>-1.0840499999999999E-2</v>
      </c>
      <c r="O3413">
        <v>6.3602509999999999E-3</v>
      </c>
      <c r="P3413">
        <v>0.98098160000000001</v>
      </c>
      <c r="Q3413">
        <v>0.19396620000000001</v>
      </c>
      <c r="R3413">
        <v>7.2341289999999997E-3</v>
      </c>
      <c r="S3413">
        <v>3.1023860000000001</v>
      </c>
      <c r="T3413">
        <v>-0.21169199999999999</v>
      </c>
      <c r="U3413">
        <v>-0.42475889999999999</v>
      </c>
      <c r="V3413">
        <v>-9.7953910000000001E-4</v>
      </c>
      <c r="W3413">
        <v>0.20458970000000001</v>
      </c>
      <c r="X3413">
        <v>0.97884729999999998</v>
      </c>
      <c r="Y3413">
        <v>0.14156160000000001</v>
      </c>
      <c r="Z3413">
        <v>-5.9366829999999999E-3</v>
      </c>
      <c r="AA3413">
        <v>0.98991169999999995</v>
      </c>
      <c r="AB3413">
        <v>33</v>
      </c>
      <c r="AC3413">
        <v>16.096299999999999</v>
      </c>
      <c r="AD3413">
        <v>-1.1205520287135</v>
      </c>
      <c r="AE3413">
        <v>-2.2505000000000099</v>
      </c>
      <c r="AF3413">
        <v>2.3417059394666899</v>
      </c>
      <c r="AG3413">
        <v>-1.1205520287135</v>
      </c>
      <c r="AH3413">
        <v>16.005578913227499</v>
      </c>
      <c r="AI3413">
        <v>93.962697944738196</v>
      </c>
      <c r="AJ3413">
        <v>81.676361022350505</v>
      </c>
      <c r="AK3413">
        <v>16.214739587903999</v>
      </c>
      <c r="AL3413">
        <v>78.194518113033794</v>
      </c>
      <c r="AM3413">
        <v>90.057336254146804</v>
      </c>
      <c r="AN3413">
        <v>0.99999997078011305</v>
      </c>
    </row>
    <row r="3414" spans="1:40" x14ac:dyDescent="0.25">
      <c r="A3414" t="str">
        <f>"20190303162324453"</f>
        <v>20190303162324453</v>
      </c>
      <c r="B3414" t="str">
        <f>"1551601404448455"</f>
        <v>1551601404448455</v>
      </c>
      <c r="C3414" t="s">
        <v>40</v>
      </c>
      <c r="D3414">
        <v>5.2810269999999999</v>
      </c>
      <c r="E3414">
        <v>0.55650169999999999</v>
      </c>
      <c r="F3414" t="s">
        <v>49</v>
      </c>
      <c r="G3414">
        <v>-309.72699999999998</v>
      </c>
      <c r="H3414" s="1">
        <v>9.2785879999999999E-7</v>
      </c>
      <c r="I3414">
        <v>212.78630000000001</v>
      </c>
      <c r="J3414">
        <v>-325.89330000000001</v>
      </c>
      <c r="K3414">
        <v>1.120557</v>
      </c>
      <c r="L3414">
        <v>215.0461</v>
      </c>
      <c r="M3414">
        <v>0.9999209</v>
      </c>
      <c r="N3414">
        <v>-1.0865959999999999E-2</v>
      </c>
      <c r="O3414">
        <v>6.3628499999999998E-3</v>
      </c>
      <c r="P3414">
        <v>0.98099959999999997</v>
      </c>
      <c r="Q3414">
        <v>0.1938463</v>
      </c>
      <c r="R3414">
        <v>7.9833309999999998E-3</v>
      </c>
      <c r="S3414">
        <v>3.1029049999999998</v>
      </c>
      <c r="T3414">
        <v>-0.2105042</v>
      </c>
      <c r="U3414">
        <v>-0.4241028</v>
      </c>
      <c r="V3414">
        <v>-1.727775E-3</v>
      </c>
      <c r="W3414">
        <v>0.20449490000000001</v>
      </c>
      <c r="X3414">
        <v>0.97886609999999996</v>
      </c>
      <c r="Y3414">
        <v>0.14134099999999999</v>
      </c>
      <c r="Z3414">
        <v>-5.8997299999999997E-3</v>
      </c>
      <c r="AA3414">
        <v>0.98994340000000003</v>
      </c>
      <c r="AB3414">
        <v>33</v>
      </c>
      <c r="AC3414">
        <v>16.1662999999999</v>
      </c>
      <c r="AD3414">
        <v>-1.1205560721412</v>
      </c>
      <c r="AE3414">
        <v>-2.2597999999999798</v>
      </c>
      <c r="AF3414">
        <v>2.3515426458900301</v>
      </c>
      <c r="AG3414">
        <v>-1.1205560721412</v>
      </c>
      <c r="AH3414">
        <v>16.075837381391601</v>
      </c>
      <c r="AI3414">
        <v>93.945463727793197</v>
      </c>
      <c r="AJ3414">
        <v>81.677905093408</v>
      </c>
      <c r="AK3414">
        <v>16.285513385803899</v>
      </c>
      <c r="AL3414">
        <v>78.200067366940601</v>
      </c>
      <c r="AM3414">
        <v>90.101131413829606</v>
      </c>
      <c r="AN3414">
        <v>0.99999999553083496</v>
      </c>
    </row>
    <row r="3415" spans="1:40" x14ac:dyDescent="0.25">
      <c r="A3415" t="str">
        <f>"20190303162324474"</f>
        <v>20190303162324474</v>
      </c>
      <c r="B3415" t="str">
        <f>"1551601404467974"</f>
        <v>1551601404467974</v>
      </c>
      <c r="C3415" t="s">
        <v>40</v>
      </c>
      <c r="D3415">
        <v>5.3418299999999999</v>
      </c>
      <c r="E3415">
        <v>0.55635049999999997</v>
      </c>
      <c r="F3415" t="s">
        <v>49</v>
      </c>
      <c r="G3415">
        <v>-309.50020000000001</v>
      </c>
      <c r="H3415" s="1">
        <v>9.6808279999999996E-7</v>
      </c>
      <c r="I3415">
        <v>212.80340000000001</v>
      </c>
      <c r="J3415">
        <v>-325.58539999999999</v>
      </c>
      <c r="K3415">
        <v>1.120566</v>
      </c>
      <c r="L3415">
        <v>215.04810000000001</v>
      </c>
      <c r="M3415">
        <v>0.99992040000000004</v>
      </c>
      <c r="N3415">
        <v>-1.089088E-2</v>
      </c>
      <c r="O3415">
        <v>6.3662650000000003E-3</v>
      </c>
      <c r="P3415">
        <v>0.98109089999999999</v>
      </c>
      <c r="Q3415">
        <v>0.19333359999999999</v>
      </c>
      <c r="R3415">
        <v>9.1005329999999992E-3</v>
      </c>
      <c r="S3415">
        <v>3.1034549999999999</v>
      </c>
      <c r="T3415">
        <v>-0.2121372</v>
      </c>
      <c r="U3415">
        <v>-0.4245758</v>
      </c>
      <c r="V3415">
        <v>-2.8426910000000001E-3</v>
      </c>
      <c r="W3415">
        <v>0.2040081</v>
      </c>
      <c r="X3415">
        <v>0.97896510000000003</v>
      </c>
      <c r="Y3415">
        <v>0.14146310000000001</v>
      </c>
      <c r="Z3415">
        <v>-5.9456269999999898E-3</v>
      </c>
      <c r="AA3415">
        <v>0.98992570000000002</v>
      </c>
      <c r="AB3415">
        <v>33</v>
      </c>
      <c r="AC3415">
        <v>16.085199999999901</v>
      </c>
      <c r="AD3415">
        <v>-1.1205650319172</v>
      </c>
      <c r="AE3415">
        <v>-2.2446999999999901</v>
      </c>
      <c r="AF3415">
        <v>2.33594316746745</v>
      </c>
      <c r="AG3415">
        <v>-1.1205650319172</v>
      </c>
      <c r="AH3415">
        <v>15.994442597209201</v>
      </c>
      <c r="AI3415">
        <v>93.965640292816701</v>
      </c>
      <c r="AJ3415">
        <v>81.690858281254194</v>
      </c>
      <c r="AK3415">
        <v>16.202916110003599</v>
      </c>
      <c r="AL3415">
        <v>78.228559982119094</v>
      </c>
      <c r="AM3415">
        <v>90.166373386531404</v>
      </c>
      <c r="AN3415">
        <v>1.0000000263878699</v>
      </c>
    </row>
    <row r="3416" spans="1:40" x14ac:dyDescent="0.25">
      <c r="A3416" t="str">
        <f>"20190303162324497"</f>
        <v>20190303162324497</v>
      </c>
      <c r="B3416" t="str">
        <f>"1551601404488471"</f>
        <v>1551601404488471</v>
      </c>
      <c r="C3416" t="s">
        <v>40</v>
      </c>
      <c r="D3416">
        <v>5.3616380000000001</v>
      </c>
      <c r="E3416">
        <v>0.52692459999999997</v>
      </c>
      <c r="F3416" t="s">
        <v>49</v>
      </c>
      <c r="G3416">
        <v>-309.51979999999998</v>
      </c>
      <c r="H3416" s="1">
        <v>9.6460299999999992E-7</v>
      </c>
      <c r="I3416">
        <v>212.876</v>
      </c>
      <c r="J3416">
        <v>-325.24790000000002</v>
      </c>
      <c r="K3416">
        <v>1.120571</v>
      </c>
      <c r="L3416">
        <v>215.05019999999999</v>
      </c>
      <c r="M3416">
        <v>0.99992009999999998</v>
      </c>
      <c r="N3416">
        <v>-1.0918580000000001E-2</v>
      </c>
      <c r="O3416">
        <v>6.3691800000000003E-3</v>
      </c>
      <c r="P3416">
        <v>0.9811763</v>
      </c>
      <c r="Q3416">
        <v>0.1928773</v>
      </c>
      <c r="R3416">
        <v>9.5627300000000002E-3</v>
      </c>
      <c r="S3416">
        <v>3.1043699999999999</v>
      </c>
      <c r="T3416">
        <v>-0.2165272</v>
      </c>
      <c r="U3416">
        <v>-0.41970829999999998</v>
      </c>
      <c r="V3416">
        <v>-3.3023290000000001E-3</v>
      </c>
      <c r="W3416">
        <v>0.2035795</v>
      </c>
      <c r="X3416">
        <v>0.97905279999999995</v>
      </c>
      <c r="Y3416">
        <v>0.13989190000000001</v>
      </c>
      <c r="Z3416">
        <v>-5.9916079999999998E-3</v>
      </c>
      <c r="AA3416">
        <v>0.99014869999999999</v>
      </c>
      <c r="AB3416">
        <v>33</v>
      </c>
      <c r="AC3416">
        <v>15.7281</v>
      </c>
      <c r="AD3416">
        <v>-1.1205700353970001</v>
      </c>
      <c r="AE3416">
        <v>-2.1742000000000101</v>
      </c>
      <c r="AF3416">
        <v>2.26306494789281</v>
      </c>
      <c r="AG3416">
        <v>-1.1205700353970001</v>
      </c>
      <c r="AH3416">
        <v>15.6360511996598</v>
      </c>
      <c r="AI3416">
        <v>94.057010183449293</v>
      </c>
      <c r="AJ3416">
        <v>81.764551970710599</v>
      </c>
      <c r="AK3416">
        <v>15.8386627365126</v>
      </c>
      <c r="AL3416">
        <v>78.2536424667246</v>
      </c>
      <c r="AM3416">
        <v>90.193256989532998</v>
      </c>
      <c r="AN3416">
        <v>0.99999995169245504</v>
      </c>
    </row>
    <row r="3417" spans="1:40" x14ac:dyDescent="0.25">
      <c r="A3417" t="str">
        <f>"20190303162324521"</f>
        <v>20190303162324521</v>
      </c>
      <c r="B3417" t="str">
        <f>"1551601404507992"</f>
        <v>1551601404507992</v>
      </c>
      <c r="C3417" t="s">
        <v>40</v>
      </c>
      <c r="D3417">
        <v>5.3404249999999998</v>
      </c>
      <c r="E3417">
        <v>0.51568139999999996</v>
      </c>
      <c r="F3417" t="s">
        <v>49</v>
      </c>
      <c r="G3417">
        <v>-310.10059999999999</v>
      </c>
      <c r="H3417" s="1">
        <v>9.5028140000000001E-7</v>
      </c>
      <c r="I3417">
        <v>214.15389999999999</v>
      </c>
      <c r="J3417">
        <v>-324.8981</v>
      </c>
      <c r="K3417">
        <v>1.120576</v>
      </c>
      <c r="L3417">
        <v>215.05250000000001</v>
      </c>
      <c r="M3417">
        <v>0.99991980000000003</v>
      </c>
      <c r="N3417">
        <v>-1.0945409999999999E-2</v>
      </c>
      <c r="O3417">
        <v>6.3709029999999998E-3</v>
      </c>
      <c r="P3417">
        <v>0.98125209999999996</v>
      </c>
      <c r="Q3417">
        <v>0.19249289999999999</v>
      </c>
      <c r="R3417">
        <v>9.5313229999999995E-3</v>
      </c>
      <c r="S3417">
        <v>3.1045229999999999</v>
      </c>
      <c r="T3417">
        <v>-0.22966829999999999</v>
      </c>
      <c r="U3417">
        <v>-0.18371580000000001</v>
      </c>
      <c r="V3417">
        <v>-3.2698979999999998E-3</v>
      </c>
      <c r="W3417">
        <v>0.2032224</v>
      </c>
      <c r="X3417">
        <v>0.97912719999999998</v>
      </c>
      <c r="Y3417">
        <v>6.5215830000000002E-2</v>
      </c>
      <c r="Z3417">
        <v>-3.1653749999999998E-3</v>
      </c>
      <c r="AA3417">
        <v>0.99786620000000004</v>
      </c>
      <c r="AB3417">
        <v>33</v>
      </c>
      <c r="AC3417">
        <v>14.797499999999999</v>
      </c>
      <c r="AD3417">
        <v>-1.1205750497186</v>
      </c>
      <c r="AE3417">
        <v>-0.89860000000001505</v>
      </c>
      <c r="AF3417">
        <v>0.98722030623583701</v>
      </c>
      <c r="AG3417">
        <v>-1.1205750497186</v>
      </c>
      <c r="AH3417">
        <v>14.707442603438601</v>
      </c>
      <c r="AI3417">
        <v>94.347261066397806</v>
      </c>
      <c r="AJ3417">
        <v>86.159846665289393</v>
      </c>
      <c r="AK3417">
        <v>14.783070056944799</v>
      </c>
      <c r="AL3417">
        <v>78.274540862791895</v>
      </c>
      <c r="AM3417">
        <v>90.191344554962299</v>
      </c>
      <c r="AN3417">
        <v>1.0000000549372601</v>
      </c>
    </row>
    <row r="3418" spans="1:40" x14ac:dyDescent="0.25">
      <c r="A3418" t="str">
        <f>"20190303162324542"</f>
        <v>20190303162324542</v>
      </c>
      <c r="B3418" t="str">
        <f>"1551601404538248"</f>
        <v>1551601404538248</v>
      </c>
      <c r="C3418" t="s">
        <v>40</v>
      </c>
      <c r="D3418">
        <v>5.6581729999999997</v>
      </c>
      <c r="E3418">
        <v>0.45708959999999998</v>
      </c>
      <c r="F3418" t="s">
        <v>49</v>
      </c>
      <c r="G3418">
        <v>-307.4502</v>
      </c>
      <c r="H3418" s="1">
        <v>1.3317249999999999E-6</v>
      </c>
      <c r="I3418">
        <v>214.5189</v>
      </c>
      <c r="J3418">
        <v>-324.58429999999998</v>
      </c>
      <c r="K3418">
        <v>1.120576</v>
      </c>
      <c r="L3418">
        <v>215.05449999999999</v>
      </c>
      <c r="M3418">
        <v>0.99991960000000002</v>
      </c>
      <c r="N3418">
        <v>-1.0967269999999999E-2</v>
      </c>
      <c r="O3418">
        <v>6.3716320000000003E-3</v>
      </c>
      <c r="P3418">
        <v>0.98125620000000002</v>
      </c>
      <c r="Q3418">
        <v>0.19247130000000001</v>
      </c>
      <c r="R3418">
        <v>9.55078E-3</v>
      </c>
      <c r="S3418">
        <v>3.0972900000000001</v>
      </c>
      <c r="T3418">
        <v>-0.1989195</v>
      </c>
      <c r="U3418">
        <v>-9.4711299999999998E-2</v>
      </c>
      <c r="V3418">
        <v>-3.2890409999999999E-3</v>
      </c>
      <c r="W3418">
        <v>0.20322190000000001</v>
      </c>
      <c r="X3418">
        <v>0.97912719999999998</v>
      </c>
      <c r="Y3418">
        <v>3.6835069999999998E-2</v>
      </c>
      <c r="Z3418">
        <v>-1.7225350000000001E-3</v>
      </c>
      <c r="AA3418">
        <v>0.99931990000000004</v>
      </c>
      <c r="AB3418">
        <v>33</v>
      </c>
      <c r="AC3418">
        <v>17.134099999999901</v>
      </c>
      <c r="AD3418">
        <v>-1.120574668275</v>
      </c>
      <c r="AE3418">
        <v>-0.53559999999998797</v>
      </c>
      <c r="AF3418">
        <v>0.642024485023726</v>
      </c>
      <c r="AG3418">
        <v>-1.120574668275</v>
      </c>
      <c r="AH3418">
        <v>17.057452478793898</v>
      </c>
      <c r="AI3418">
        <v>93.755944201446994</v>
      </c>
      <c r="AJ3418">
        <v>87.8444649332735</v>
      </c>
      <c r="AK3418">
        <v>17.106272770327902</v>
      </c>
      <c r="AL3418">
        <v>78.274569659437006</v>
      </c>
      <c r="AM3418">
        <v>90.192464737102895</v>
      </c>
      <c r="AN3418">
        <v>1.0000000161050699</v>
      </c>
    </row>
    <row r="3419" spans="1:40" x14ac:dyDescent="0.25">
      <c r="A3419" t="str">
        <f>"20190303162324566"</f>
        <v>20190303162324566</v>
      </c>
      <c r="B3419" t="str">
        <f>"1551601404557767"</f>
        <v>1551601404557767</v>
      </c>
      <c r="C3419" t="s">
        <v>40</v>
      </c>
      <c r="D3419">
        <v>5.4703600000000003</v>
      </c>
      <c r="E3419">
        <v>0.4603063</v>
      </c>
      <c r="F3419" t="s">
        <v>49</v>
      </c>
      <c r="G3419">
        <v>-301.03640000000001</v>
      </c>
      <c r="H3419" s="1">
        <v>2.4694200000000002E-6</v>
      </c>
      <c r="I3419">
        <v>217.8972</v>
      </c>
      <c r="J3419">
        <v>-324.23860000000002</v>
      </c>
      <c r="K3419">
        <v>1.120576</v>
      </c>
      <c r="L3419">
        <v>215.05670000000001</v>
      </c>
      <c r="M3419">
        <v>0.99991949999999996</v>
      </c>
      <c r="N3419">
        <v>-1.0989270000000001E-2</v>
      </c>
      <c r="O3419">
        <v>6.3717000000000001E-3</v>
      </c>
      <c r="P3419">
        <v>0.98127370000000003</v>
      </c>
      <c r="Q3419">
        <v>0.19238379999999999</v>
      </c>
      <c r="R3419">
        <v>9.5322380000000002E-3</v>
      </c>
      <c r="S3419">
        <v>3.0824579999999999</v>
      </c>
      <c r="T3419">
        <v>-0.14668499999999901</v>
      </c>
      <c r="U3419">
        <v>0.37211610000000001</v>
      </c>
      <c r="V3419">
        <v>-3.2708780000000001E-3</v>
      </c>
      <c r="W3419">
        <v>0.20315610000000001</v>
      </c>
      <c r="X3419">
        <v>0.97914089999999998</v>
      </c>
      <c r="Y3419">
        <v>-0.11337</v>
      </c>
      <c r="Z3419">
        <v>3.0796690000000002E-3</v>
      </c>
      <c r="AA3419">
        <v>0.99354810000000005</v>
      </c>
      <c r="AB3419">
        <v>33</v>
      </c>
      <c r="AC3419">
        <v>23.202200000000001</v>
      </c>
      <c r="AD3419">
        <v>-1.12057353058</v>
      </c>
      <c r="AE3419">
        <v>2.8404999999999898</v>
      </c>
      <c r="AF3419">
        <v>-2.6864224102372098</v>
      </c>
      <c r="AG3419">
        <v>-1.12057353058</v>
      </c>
      <c r="AH3419">
        <v>23.1665906020718</v>
      </c>
      <c r="AI3419">
        <v>92.7508472726403</v>
      </c>
      <c r="AJ3419">
        <v>96.614536431632004</v>
      </c>
      <c r="AK3419">
        <v>23.348735951388502</v>
      </c>
      <c r="AL3419">
        <v>78.278419860872702</v>
      </c>
      <c r="AM3419">
        <v>90.191399223127604</v>
      </c>
      <c r="AN3419">
        <v>1.00000000083145</v>
      </c>
    </row>
    <row r="3420" spans="1:40" x14ac:dyDescent="0.25">
      <c r="A3420" t="str">
        <f>"20190303162324586"</f>
        <v>20190303162324586</v>
      </c>
      <c r="B3420" t="str">
        <f>"1551601404578263"</f>
        <v>1551601404578263</v>
      </c>
      <c r="C3420" t="s">
        <v>40</v>
      </c>
      <c r="D3420">
        <v>5.3981269999999997</v>
      </c>
      <c r="E3420">
        <v>0.4621401</v>
      </c>
      <c r="F3420" t="s">
        <v>49</v>
      </c>
      <c r="G3420">
        <v>-297.9008</v>
      </c>
      <c r="H3420" s="1">
        <v>2.295888E-6</v>
      </c>
      <c r="I3420">
        <v>218.01400000000001</v>
      </c>
      <c r="J3420">
        <v>-323.93119999999999</v>
      </c>
      <c r="K3420">
        <v>1.1205750000000001</v>
      </c>
      <c r="L3420">
        <v>215.05860000000001</v>
      </c>
      <c r="M3420">
        <v>0.99991920000000001</v>
      </c>
      <c r="N3420">
        <v>-1.1007080000000001E-2</v>
      </c>
      <c r="O3420">
        <v>6.3719659999999997E-3</v>
      </c>
      <c r="P3420">
        <v>0.98129789999999995</v>
      </c>
      <c r="Q3420">
        <v>0.19226289999999999</v>
      </c>
      <c r="R3420">
        <v>9.4657679999999994E-3</v>
      </c>
      <c r="S3420">
        <v>3.07959</v>
      </c>
      <c r="T3420">
        <v>-0.131025</v>
      </c>
      <c r="U3420">
        <v>0.34579470000000001</v>
      </c>
      <c r="V3420">
        <v>-3.2041819999999999E-3</v>
      </c>
      <c r="W3420">
        <v>0.20305290000000001</v>
      </c>
      <c r="X3420">
        <v>0.97916250000000005</v>
      </c>
      <c r="Y3420">
        <v>-0.10513450000000001</v>
      </c>
      <c r="Z3420">
        <v>2.6090990000000001E-3</v>
      </c>
      <c r="AA3420">
        <v>0.99445459999999997</v>
      </c>
      <c r="AB3420">
        <v>33</v>
      </c>
      <c r="AC3420">
        <v>26.030399999999901</v>
      </c>
      <c r="AD3420">
        <v>-1.1205727041119999</v>
      </c>
      <c r="AE3420">
        <v>2.9553999999999898</v>
      </c>
      <c r="AF3420">
        <v>-2.78437085406508</v>
      </c>
      <c r="AG3420">
        <v>-1.1205727041119999</v>
      </c>
      <c r="AH3420">
        <v>26.001132692853002</v>
      </c>
      <c r="AI3420">
        <v>92.453741523966002</v>
      </c>
      <c r="AJ3420">
        <v>96.112312383566803</v>
      </c>
      <c r="AK3420">
        <v>26.173790431451</v>
      </c>
      <c r="AL3420">
        <v>78.284458334920899</v>
      </c>
      <c r="AM3420">
        <v>90.187492321337004</v>
      </c>
      <c r="AN3420">
        <v>0.99999997419347397</v>
      </c>
    </row>
    <row r="3421" spans="1:40" x14ac:dyDescent="0.25">
      <c r="A3421" t="str">
        <f>"20190303162324608"</f>
        <v>20190303162324608</v>
      </c>
      <c r="B3421" t="str">
        <f>"1551601404597784"</f>
        <v>1551601404597784</v>
      </c>
      <c r="C3421" t="s">
        <v>40</v>
      </c>
      <c r="D3421">
        <v>5.4081530000000004</v>
      </c>
      <c r="E3421">
        <v>0.4635592</v>
      </c>
      <c r="F3421" t="s">
        <v>49</v>
      </c>
      <c r="G3421">
        <v>-295.298</v>
      </c>
      <c r="H3421" s="1">
        <v>1.8341829999999999E-6</v>
      </c>
      <c r="I3421">
        <v>218.1379</v>
      </c>
      <c r="J3421">
        <v>-323.61079999999998</v>
      </c>
      <c r="K3421">
        <v>1.120571</v>
      </c>
      <c r="L3421">
        <v>215.0607</v>
      </c>
      <c r="M3421">
        <v>0.99991890000000005</v>
      </c>
      <c r="N3421">
        <v>-1.102389E-2</v>
      </c>
      <c r="O3421">
        <v>6.3719960000000004E-3</v>
      </c>
      <c r="P3421">
        <v>0.98130459999999997</v>
      </c>
      <c r="Q3421">
        <v>0.19222330000000001</v>
      </c>
      <c r="R3421">
        <v>9.5821829999999993E-3</v>
      </c>
      <c r="S3421">
        <v>3.0775450000000002</v>
      </c>
      <c r="T3421">
        <v>-0.1204412</v>
      </c>
      <c r="U3421">
        <v>0.33096310000000001</v>
      </c>
      <c r="V3421">
        <v>-3.3204570000000002E-3</v>
      </c>
      <c r="W3421">
        <v>0.20302999999999999</v>
      </c>
      <c r="X3421">
        <v>0.97916689999999995</v>
      </c>
      <c r="Y3421">
        <v>-0.1004915</v>
      </c>
      <c r="Z3421">
        <v>2.337273E-3</v>
      </c>
      <c r="AA3421">
        <v>0.99493520000000002</v>
      </c>
      <c r="AB3421">
        <v>33</v>
      </c>
      <c r="AC3421">
        <v>28.3127999999999</v>
      </c>
      <c r="AD3421">
        <v>-1.1205691658170001</v>
      </c>
      <c r="AE3421">
        <v>3.0771999999999999</v>
      </c>
      <c r="AF3421">
        <v>-2.8922398971530301</v>
      </c>
      <c r="AG3421">
        <v>-1.1205691658170001</v>
      </c>
      <c r="AH3421">
        <v>28.288040254378998</v>
      </c>
      <c r="AI3421">
        <v>92.2567092366248</v>
      </c>
      <c r="AJ3421">
        <v>95.837778221351996</v>
      </c>
      <c r="AK3421">
        <v>28.4575815611839</v>
      </c>
      <c r="AL3421">
        <v>78.285798771471704</v>
      </c>
      <c r="AM3421">
        <v>90.194295214535103</v>
      </c>
      <c r="AN3421">
        <v>1.00000001219514</v>
      </c>
    </row>
    <row r="3422" spans="1:40" x14ac:dyDescent="0.25">
      <c r="A3422" t="str">
        <f>"20190303162324631"</f>
        <v>20190303162324631</v>
      </c>
      <c r="B3422" t="str">
        <f>"1551601404618279"</f>
        <v>1551601404618279</v>
      </c>
      <c r="C3422" t="s">
        <v>40</v>
      </c>
      <c r="D3422">
        <v>5.4634530000000003</v>
      </c>
      <c r="E3422">
        <v>0.46450259999999999</v>
      </c>
      <c r="F3422" t="s">
        <v>49</v>
      </c>
      <c r="G3422">
        <v>-294.0822</v>
      </c>
      <c r="H3422" s="1">
        <v>1.6185189999999999E-6</v>
      </c>
      <c r="I3422">
        <v>218.13390000000001</v>
      </c>
      <c r="J3422">
        <v>-323.26949999999999</v>
      </c>
      <c r="K3422">
        <v>1.120568</v>
      </c>
      <c r="L3422">
        <v>215.06290000000001</v>
      </c>
      <c r="M3422">
        <v>0.99991890000000005</v>
      </c>
      <c r="N3422">
        <v>-1.103998E-2</v>
      </c>
      <c r="O3422">
        <v>6.3722659999999997E-3</v>
      </c>
      <c r="P3422">
        <v>0.98130379999999995</v>
      </c>
      <c r="Q3422">
        <v>0.19217239999999999</v>
      </c>
      <c r="R3422">
        <v>1.06123E-2</v>
      </c>
      <c r="S3422">
        <v>3.0769350000000002</v>
      </c>
      <c r="T3422">
        <v>-0.1167653</v>
      </c>
      <c r="U3422">
        <v>0.32023620000000003</v>
      </c>
      <c r="V3422">
        <v>-4.3509430000000003E-3</v>
      </c>
      <c r="W3422">
        <v>0.20299500000000001</v>
      </c>
      <c r="X3422">
        <v>0.97917010000000004</v>
      </c>
      <c r="Y3422">
        <v>-9.708957E-2</v>
      </c>
      <c r="Z3422">
        <v>2.2033180000000001E-3</v>
      </c>
      <c r="AA3422">
        <v>0.99527319999999997</v>
      </c>
      <c r="AB3422">
        <v>33</v>
      </c>
      <c r="AC3422">
        <v>29.1873</v>
      </c>
      <c r="AD3422">
        <v>-1.1205663814810001</v>
      </c>
      <c r="AE3422">
        <v>3.07099999999999</v>
      </c>
      <c r="AF3422">
        <v>-2.8807374786911399</v>
      </c>
      <c r="AG3422">
        <v>-1.1205663814810001</v>
      </c>
      <c r="AH3422">
        <v>29.163762048575599</v>
      </c>
      <c r="AI3422">
        <v>92.189760895718607</v>
      </c>
      <c r="AJ3422">
        <v>95.641261377876205</v>
      </c>
      <c r="AK3422">
        <v>29.3271092039836</v>
      </c>
      <c r="AL3422">
        <v>78.287846539787395</v>
      </c>
      <c r="AM3422">
        <v>90.254592159317696</v>
      </c>
      <c r="AN3422">
        <v>0.99999999273199902</v>
      </c>
    </row>
    <row r="3423" spans="1:40" x14ac:dyDescent="0.25">
      <c r="A3423" t="str">
        <f>"20190303162324654"</f>
        <v>20190303162324654</v>
      </c>
      <c r="B3423" t="str">
        <f>"1551601404648535"</f>
        <v>1551601404648535</v>
      </c>
      <c r="C3423" t="s">
        <v>40</v>
      </c>
      <c r="D3423">
        <v>5.2519369999999999</v>
      </c>
      <c r="E3423">
        <v>0.4649393</v>
      </c>
      <c r="F3423" t="s">
        <v>49</v>
      </c>
      <c r="G3423">
        <v>-292.37169999999998</v>
      </c>
      <c r="H3423" s="1">
        <v>1.3151140000000001E-6</v>
      </c>
      <c r="I3423">
        <v>218.2303</v>
      </c>
      <c r="J3423">
        <v>-322.92739999999998</v>
      </c>
      <c r="K3423">
        <v>1.120573</v>
      </c>
      <c r="L3423">
        <v>215.065</v>
      </c>
      <c r="M3423">
        <v>0.99991859999999999</v>
      </c>
      <c r="N3423">
        <v>-1.105681E-2</v>
      </c>
      <c r="O3423">
        <v>6.3727100000000002E-3</v>
      </c>
      <c r="P3423">
        <v>0.98120680000000005</v>
      </c>
      <c r="Q3423">
        <v>0.1926041</v>
      </c>
      <c r="R3423">
        <v>1.170857E-2</v>
      </c>
      <c r="S3423">
        <v>3.0755919999999999</v>
      </c>
      <c r="T3423">
        <v>-0.11154210000000001</v>
      </c>
      <c r="U3423">
        <v>0.31529239999999997</v>
      </c>
      <c r="V3423">
        <v>-5.4471819999999897E-3</v>
      </c>
      <c r="W3423">
        <v>0.20344229999999999</v>
      </c>
      <c r="X3423">
        <v>0.97907180000000005</v>
      </c>
      <c r="Y3423">
        <v>-9.5558690000000002E-2</v>
      </c>
      <c r="Z3423">
        <v>2.0974750000000001E-3</v>
      </c>
      <c r="AA3423">
        <v>0.99542160000000002</v>
      </c>
      <c r="AB3423">
        <v>33</v>
      </c>
      <c r="AC3423">
        <v>30.555700000000002</v>
      </c>
      <c r="AD3423">
        <v>-1.1205716848859999</v>
      </c>
      <c r="AE3423">
        <v>3.1652999999999998</v>
      </c>
      <c r="AF3423">
        <v>-2.9665538035574199</v>
      </c>
      <c r="AG3423">
        <v>-1.1205716848859999</v>
      </c>
      <c r="AH3423">
        <v>30.534621775809999</v>
      </c>
      <c r="AI3423">
        <v>92.091879636188295</v>
      </c>
      <c r="AJ3423">
        <v>95.549086047734903</v>
      </c>
      <c r="AK3423">
        <v>30.698847687855299</v>
      </c>
      <c r="AL3423">
        <v>78.261672231991497</v>
      </c>
      <c r="AM3423">
        <v>90.318768571070606</v>
      </c>
      <c r="AN3423">
        <v>1.0000000153881301</v>
      </c>
    </row>
    <row r="3424" spans="1:40" x14ac:dyDescent="0.25">
      <c r="A3424" t="str">
        <f>"20190303162324675"</f>
        <v>20190303162324675</v>
      </c>
      <c r="B3424" t="str">
        <f>"1551601404668055"</f>
        <v>1551601404668055</v>
      </c>
      <c r="C3424" t="s">
        <v>40</v>
      </c>
      <c r="D3424">
        <v>5.4563670000000002</v>
      </c>
      <c r="E3424">
        <v>0.4652096</v>
      </c>
      <c r="F3424" t="s">
        <v>49</v>
      </c>
      <c r="G3424">
        <v>-291.55110000000002</v>
      </c>
      <c r="H3424" s="1">
        <v>1.1695509999999999E-6</v>
      </c>
      <c r="I3424">
        <v>218.27850000000001</v>
      </c>
      <c r="J3424">
        <v>-322.60039999999998</v>
      </c>
      <c r="K3424">
        <v>1.120574</v>
      </c>
      <c r="L3424">
        <v>215.06710000000001</v>
      </c>
      <c r="M3424">
        <v>0.99991830000000004</v>
      </c>
      <c r="N3424">
        <v>-1.10761E-2</v>
      </c>
      <c r="O3424">
        <v>6.3730799999999997E-3</v>
      </c>
      <c r="P3424">
        <v>0.98098039999999997</v>
      </c>
      <c r="Q3424">
        <v>0.19373170000000001</v>
      </c>
      <c r="R3424">
        <v>1.206776E-2</v>
      </c>
      <c r="S3424">
        <v>3.075256</v>
      </c>
      <c r="T3424">
        <v>-0.1098295</v>
      </c>
      <c r="U3424">
        <v>0.31495669999999998</v>
      </c>
      <c r="V3424">
        <v>-5.8075829999999998E-3</v>
      </c>
      <c r="W3424">
        <v>0.20458599999999999</v>
      </c>
      <c r="X3424">
        <v>0.97883140000000002</v>
      </c>
      <c r="Y3424">
        <v>-9.5463919999999994E-2</v>
      </c>
      <c r="Z3424">
        <v>2.0734859999999998E-3</v>
      </c>
      <c r="AA3424">
        <v>0.9954307</v>
      </c>
      <c r="AB3424">
        <v>33</v>
      </c>
      <c r="AC3424">
        <v>31.049299999999899</v>
      </c>
      <c r="AD3424">
        <v>-1.1205728304489999</v>
      </c>
      <c r="AE3424">
        <v>3.21139999999999</v>
      </c>
      <c r="AF3424">
        <v>-3.00956449545001</v>
      </c>
      <c r="AG3424">
        <v>-1.1205728304489999</v>
      </c>
      <c r="AH3424">
        <v>31.029149543128</v>
      </c>
      <c r="AI3424">
        <v>92.058603369116597</v>
      </c>
      <c r="AJ3424">
        <v>95.539876463839207</v>
      </c>
      <c r="AK3424">
        <v>31.194891942278201</v>
      </c>
      <c r="AL3424">
        <v>78.194735451693305</v>
      </c>
      <c r="AM3424">
        <v>90.339942190857798</v>
      </c>
      <c r="AN3424">
        <v>1.00000003452113</v>
      </c>
    </row>
    <row r="3425" spans="1:40" x14ac:dyDescent="0.25">
      <c r="A3425" t="str">
        <f>"20190303162324697"</f>
        <v>20190303162324697</v>
      </c>
      <c r="B3425" t="str">
        <f>"1551601404688551"</f>
        <v>1551601404688551</v>
      </c>
      <c r="C3425" t="s">
        <v>40</v>
      </c>
      <c r="D3425">
        <v>5.2235189999999996</v>
      </c>
      <c r="E3425">
        <v>0.46534930000000002</v>
      </c>
      <c r="F3425" t="s">
        <v>49</v>
      </c>
      <c r="G3425">
        <v>-289.27949999999998</v>
      </c>
      <c r="H3425" s="1">
        <v>2.5159330000000002E-6</v>
      </c>
      <c r="I3425">
        <v>218.4742</v>
      </c>
      <c r="J3425">
        <v>-322.28629999999998</v>
      </c>
      <c r="K3425">
        <v>1.120576</v>
      </c>
      <c r="L3425">
        <v>215.06909999999999</v>
      </c>
      <c r="M3425">
        <v>0.99991819999999998</v>
      </c>
      <c r="N3425">
        <v>-1.109543E-2</v>
      </c>
      <c r="O3425">
        <v>6.3733310000000003E-3</v>
      </c>
      <c r="P3425">
        <v>0.98097659999999998</v>
      </c>
      <c r="Q3425">
        <v>0.19375400000000001</v>
      </c>
      <c r="R3425">
        <v>1.2018869999999999E-2</v>
      </c>
      <c r="S3425">
        <v>3.074738</v>
      </c>
      <c r="T3425">
        <v>-0.10340249999999999</v>
      </c>
      <c r="U3425">
        <v>0.31439210000000001</v>
      </c>
      <c r="V3425">
        <v>-5.7585240000000001E-3</v>
      </c>
      <c r="W3425">
        <v>0.20462749999999999</v>
      </c>
      <c r="X3425">
        <v>0.978823</v>
      </c>
      <c r="Y3425">
        <v>-9.5307489999999995E-2</v>
      </c>
      <c r="Z3425">
        <v>1.9851220000000002E-3</v>
      </c>
      <c r="AA3425">
        <v>0.99544589999999999</v>
      </c>
      <c r="AB3425">
        <v>33</v>
      </c>
      <c r="AC3425">
        <v>33.006799999999998</v>
      </c>
      <c r="AD3425">
        <v>-1.1205734840670001</v>
      </c>
      <c r="AE3425">
        <v>3.4051</v>
      </c>
      <c r="AF3425">
        <v>-3.1910154438514602</v>
      </c>
      <c r="AG3425">
        <v>-1.1205734840670001</v>
      </c>
      <c r="AH3425">
        <v>32.9902090389606</v>
      </c>
      <c r="AI3425">
        <v>91.936378901449601</v>
      </c>
      <c r="AJ3425">
        <v>95.524812188290497</v>
      </c>
      <c r="AK3425">
        <v>33.163114403361</v>
      </c>
      <c r="AL3425">
        <v>78.192306110301104</v>
      </c>
      <c r="AM3425">
        <v>90.337073520950398</v>
      </c>
      <c r="AN3425">
        <v>1.0000000198419501</v>
      </c>
    </row>
    <row r="3426" spans="1:40" x14ac:dyDescent="0.25">
      <c r="A3426" t="str">
        <f>"20190303162324721"</f>
        <v>20190303162324721</v>
      </c>
      <c r="B3426" t="str">
        <f>"1551601404708071"</f>
        <v>1551601404708071</v>
      </c>
      <c r="C3426" t="s">
        <v>40</v>
      </c>
      <c r="D3426">
        <v>5.4631869999999996</v>
      </c>
      <c r="E3426">
        <v>0.46545900000000001</v>
      </c>
      <c r="F3426" t="s">
        <v>49</v>
      </c>
      <c r="G3426">
        <v>-288.16520000000003</v>
      </c>
      <c r="H3426" s="1">
        <v>3.0006339999999998E-6</v>
      </c>
      <c r="I3426">
        <v>218.55340000000001</v>
      </c>
      <c r="J3426">
        <v>-321.9282</v>
      </c>
      <c r="K3426">
        <v>1.1205849999999999</v>
      </c>
      <c r="L3426">
        <v>215.07140000000001</v>
      </c>
      <c r="M3426">
        <v>0.99991790000000003</v>
      </c>
      <c r="N3426">
        <v>-1.1116259999999999E-2</v>
      </c>
      <c r="O3426">
        <v>6.3736919999999898E-3</v>
      </c>
      <c r="P3426">
        <v>0.9810989</v>
      </c>
      <c r="Q3426">
        <v>0.19315280000000001</v>
      </c>
      <c r="R3426">
        <v>1.1695819999999999E-2</v>
      </c>
      <c r="S3426">
        <v>3.0743100000000001</v>
      </c>
      <c r="T3426">
        <v>-0.1009637</v>
      </c>
      <c r="U3426">
        <v>0.3139343</v>
      </c>
      <c r="V3426">
        <v>-5.4343439999999998E-3</v>
      </c>
      <c r="W3426">
        <v>0.20404820000000001</v>
      </c>
      <c r="X3426">
        <v>0.97894570000000003</v>
      </c>
      <c r="Y3426">
        <v>-9.5177289999999998E-2</v>
      </c>
      <c r="Z3426">
        <v>1.95094E-3</v>
      </c>
      <c r="AA3426">
        <v>0.99545839999999997</v>
      </c>
      <c r="AB3426">
        <v>33</v>
      </c>
      <c r="AC3426">
        <v>33.762999999999899</v>
      </c>
      <c r="AD3426">
        <v>-1.120581999366</v>
      </c>
      <c r="AE3426">
        <v>3.48199999999999</v>
      </c>
      <c r="AF3426">
        <v>-3.26316428628341</v>
      </c>
      <c r="AG3426">
        <v>-1.120581999366</v>
      </c>
      <c r="AH3426">
        <v>33.747725017367799</v>
      </c>
      <c r="AI3426">
        <v>91.892966494107995</v>
      </c>
      <c r="AJ3426">
        <v>95.522923681089793</v>
      </c>
      <c r="AK3426">
        <v>33.923633193165699</v>
      </c>
      <c r="AL3426">
        <v>78.226212043459597</v>
      </c>
      <c r="AM3426">
        <v>90.318058271602396</v>
      </c>
      <c r="AN3426">
        <v>0.99999994178321805</v>
      </c>
    </row>
    <row r="3427" spans="1:40" x14ac:dyDescent="0.25">
      <c r="A3427" t="str">
        <f>"20190303162324745"</f>
        <v>20190303162324745</v>
      </c>
      <c r="B3427" t="str">
        <f>"1551601404728567"</f>
        <v>1551601404728567</v>
      </c>
      <c r="C3427" t="s">
        <v>40</v>
      </c>
      <c r="D3427">
        <v>5.5692909999999998</v>
      </c>
      <c r="E3427">
        <v>0.46550229999999998</v>
      </c>
      <c r="F3427" t="s">
        <v>49</v>
      </c>
      <c r="G3427">
        <v>-287.96730000000002</v>
      </c>
      <c r="H3427" s="1">
        <v>3.0935129999999998E-6</v>
      </c>
      <c r="I3427">
        <v>218.51050000000001</v>
      </c>
      <c r="J3427">
        <v>-321.59219999999999</v>
      </c>
      <c r="K3427">
        <v>1.120579</v>
      </c>
      <c r="L3427">
        <v>215.0736</v>
      </c>
      <c r="M3427">
        <v>0.99991790000000003</v>
      </c>
      <c r="N3427">
        <v>-1.1134120000000001E-2</v>
      </c>
      <c r="O3427">
        <v>6.3739499999999998E-3</v>
      </c>
      <c r="P3427">
        <v>0.98121100000000006</v>
      </c>
      <c r="Q3427">
        <v>0.19261</v>
      </c>
      <c r="R3427">
        <v>1.123975E-2</v>
      </c>
      <c r="S3427">
        <v>3.0740660000000002</v>
      </c>
      <c r="T3427">
        <v>-0.1014327</v>
      </c>
      <c r="U3427">
        <v>0.31129459999999998</v>
      </c>
      <c r="V3427">
        <v>-4.9769699999999998E-3</v>
      </c>
      <c r="W3427">
        <v>0.20352400000000001</v>
      </c>
      <c r="X3427">
        <v>0.97905730000000002</v>
      </c>
      <c r="Y3427">
        <v>-9.4338939999999996E-2</v>
      </c>
      <c r="Z3427">
        <v>1.9398410000000001E-3</v>
      </c>
      <c r="AA3427">
        <v>0.99553820000000004</v>
      </c>
      <c r="AB3427">
        <v>33</v>
      </c>
      <c r="AC3427">
        <v>33.624899999999897</v>
      </c>
      <c r="AD3427">
        <v>-1.120575906487</v>
      </c>
      <c r="AE3427">
        <v>3.4369000000000001</v>
      </c>
      <c r="AF3427">
        <v>-3.2189554684723398</v>
      </c>
      <c r="AG3427">
        <v>-1.120575906487</v>
      </c>
      <c r="AH3427">
        <v>33.609184176463202</v>
      </c>
      <c r="AI3427">
        <v>91.900919521427298</v>
      </c>
      <c r="AJ3427">
        <v>95.470876911509706</v>
      </c>
      <c r="AK3427">
        <v>33.781572279537698</v>
      </c>
      <c r="AL3427">
        <v>78.2568908693043</v>
      </c>
      <c r="AM3427">
        <v>90.291256619513405</v>
      </c>
      <c r="AN3427">
        <v>0.99999999274483498</v>
      </c>
    </row>
    <row r="3428" spans="1:40" x14ac:dyDescent="0.25">
      <c r="A3428" t="str">
        <f>"20190303162324764"</f>
        <v>20190303162324764</v>
      </c>
      <c r="B3428" t="str">
        <f>"1551601404757847"</f>
        <v>1551601404757847</v>
      </c>
      <c r="C3428" t="s">
        <v>40</v>
      </c>
      <c r="D3428">
        <v>5.4357769999999999</v>
      </c>
      <c r="E3428">
        <v>0.49715690000000001</v>
      </c>
      <c r="F3428" t="s">
        <v>49</v>
      </c>
      <c r="G3428">
        <v>-288.41930000000002</v>
      </c>
      <c r="H3428" s="1">
        <v>2.9046819999999998E-6</v>
      </c>
      <c r="I3428">
        <v>218.41300000000001</v>
      </c>
      <c r="J3428">
        <v>-321.28149999999999</v>
      </c>
      <c r="K3428">
        <v>1.120574</v>
      </c>
      <c r="L3428">
        <v>215.07550000000001</v>
      </c>
      <c r="M3428">
        <v>0.99991750000000001</v>
      </c>
      <c r="N3428">
        <v>-1.1149340000000001E-2</v>
      </c>
      <c r="O3428">
        <v>6.3743419999999999E-3</v>
      </c>
      <c r="P3428">
        <v>0.98130819999999996</v>
      </c>
      <c r="Q3428">
        <v>0.1921522</v>
      </c>
      <c r="R3428">
        <v>1.0580880000000001E-2</v>
      </c>
      <c r="S3428">
        <v>3.074249</v>
      </c>
      <c r="T3428">
        <v>-0.10384790000000001</v>
      </c>
      <c r="U3428">
        <v>0.3094788</v>
      </c>
      <c r="V3428">
        <v>-4.3172459999999899E-3</v>
      </c>
      <c r="W3428">
        <v>0.20308180000000001</v>
      </c>
      <c r="X3428">
        <v>0.97915229999999998</v>
      </c>
      <c r="Y3428">
        <v>-9.3748170000000006E-2</v>
      </c>
      <c r="Z3428">
        <v>1.9592920000000001E-3</v>
      </c>
      <c r="AA3428">
        <v>0.99559399999999998</v>
      </c>
      <c r="AB3428">
        <v>33</v>
      </c>
      <c r="AC3428">
        <v>32.862199999999902</v>
      </c>
      <c r="AD3428">
        <v>-1.1205710953179999</v>
      </c>
      <c r="AE3428">
        <v>3.3374999999999702</v>
      </c>
      <c r="AF3428">
        <v>-3.1243485163969802</v>
      </c>
      <c r="AG3428">
        <v>-1.1205710953179999</v>
      </c>
      <c r="AH3428">
        <v>32.845007398909502</v>
      </c>
      <c r="AI3428">
        <v>91.945224543416998</v>
      </c>
      <c r="AJ3428">
        <v>95.433853603122103</v>
      </c>
      <c r="AK3428">
        <v>33.012296864441197</v>
      </c>
      <c r="AL3428">
        <v>78.282768050808997</v>
      </c>
      <c r="AM3428">
        <v>90.252625022668695</v>
      </c>
      <c r="AN3428">
        <v>1.0000000413497701</v>
      </c>
    </row>
    <row r="3429" spans="1:40" x14ac:dyDescent="0.25">
      <c r="A3429" t="str">
        <f>"20190303162324787"</f>
        <v>20190303162324787</v>
      </c>
      <c r="B3429" t="str">
        <f>"1551601404778343"</f>
        <v>1551601404778343</v>
      </c>
      <c r="C3429" t="s">
        <v>40</v>
      </c>
      <c r="D3429">
        <v>5.4334449999999999</v>
      </c>
      <c r="E3429">
        <v>0.50368440000000003</v>
      </c>
      <c r="F3429" t="s">
        <v>46</v>
      </c>
      <c r="G3429">
        <v>-190.2448</v>
      </c>
      <c r="H3429" s="1">
        <v>3.6752060000000001E-6</v>
      </c>
      <c r="I3429">
        <v>217.4298</v>
      </c>
      <c r="J3429">
        <v>-320.94940000000003</v>
      </c>
      <c r="K3429">
        <v>1.120573</v>
      </c>
      <c r="L3429">
        <v>215.07769999999999</v>
      </c>
      <c r="M3429">
        <v>0.99991730000000001</v>
      </c>
      <c r="N3429">
        <v>-1.116441E-2</v>
      </c>
      <c r="O3429">
        <v>6.3747939999999996E-3</v>
      </c>
      <c r="P3429">
        <v>0.98134010000000005</v>
      </c>
      <c r="Q3429">
        <v>0.19202</v>
      </c>
      <c r="R3429">
        <v>9.9970010000000002E-3</v>
      </c>
      <c r="S3429">
        <v>3.0616759999999998</v>
      </c>
      <c r="T3429">
        <v>-2.6182170000000001E-2</v>
      </c>
      <c r="U3429">
        <v>5.5007929999999997E-2</v>
      </c>
      <c r="V3429">
        <v>-3.7327829999999999E-3</v>
      </c>
      <c r="W3429">
        <v>0.20296510000000001</v>
      </c>
      <c r="X3429">
        <v>0.97917880000000002</v>
      </c>
      <c r="Y3429">
        <v>-1.158823E-2</v>
      </c>
      <c r="Z3429">
        <v>1.3090270000000001E-4</v>
      </c>
      <c r="AA3429">
        <v>0.99993279999999995</v>
      </c>
      <c r="AB3429">
        <v>33</v>
      </c>
      <c r="AC3429">
        <v>130.7046</v>
      </c>
      <c r="AD3429">
        <v>-1.1205693247939901</v>
      </c>
      <c r="AE3429">
        <v>2.3521000000000001</v>
      </c>
      <c r="AF3429">
        <v>-1.5186737340518</v>
      </c>
      <c r="AG3429">
        <v>-1.1205693247939901</v>
      </c>
      <c r="AH3429">
        <v>130.707334879115</v>
      </c>
      <c r="AI3429">
        <v>90.491158259579706</v>
      </c>
      <c r="AJ3429">
        <v>90.665683224640205</v>
      </c>
      <c r="AK3429">
        <v>130.72096020425801</v>
      </c>
      <c r="AL3429">
        <v>78.289595524912997</v>
      </c>
      <c r="AM3429">
        <v>90.218419430352597</v>
      </c>
      <c r="AN3429">
        <v>0.99999994392818503</v>
      </c>
    </row>
    <row r="3430" spans="1:40" x14ac:dyDescent="0.25">
      <c r="A3430" t="str">
        <f>"20190303162324809"</f>
        <v>20190303162324809</v>
      </c>
      <c r="B3430" t="str">
        <f>"1551601404797864"</f>
        <v>1551601404797864</v>
      </c>
      <c r="C3430" t="s">
        <v>40</v>
      </c>
      <c r="D3430">
        <v>5.4387980000000002</v>
      </c>
      <c r="E3430">
        <v>0.50465400000000005</v>
      </c>
      <c r="F3430" t="s">
        <v>46</v>
      </c>
      <c r="G3430">
        <v>-193.68610000000001</v>
      </c>
      <c r="H3430" s="1">
        <v>3.2651459999999999E-6</v>
      </c>
      <c r="I3430">
        <v>215.1379</v>
      </c>
      <c r="J3430">
        <v>-320.62389999999999</v>
      </c>
      <c r="K3430">
        <v>1.1205769999999999</v>
      </c>
      <c r="L3430">
        <v>215.0797</v>
      </c>
      <c r="M3430">
        <v>0.99991730000000001</v>
      </c>
      <c r="N3430">
        <v>-1.1177339999999999E-2</v>
      </c>
      <c r="O3430">
        <v>6.3750200000000003E-3</v>
      </c>
      <c r="P3430">
        <v>0.98136029999999996</v>
      </c>
      <c r="Q3430">
        <v>0.19193940000000001</v>
      </c>
      <c r="R3430">
        <v>9.5577549999999994E-3</v>
      </c>
      <c r="S3430">
        <v>3.0622859999999998</v>
      </c>
      <c r="T3430">
        <v>-2.6963830000000001E-2</v>
      </c>
      <c r="U3430">
        <v>1.449585E-3</v>
      </c>
      <c r="V3430">
        <v>-3.2930020000000002E-3</v>
      </c>
      <c r="W3430">
        <v>0.20289699999999999</v>
      </c>
      <c r="X3430">
        <v>0.97919460000000003</v>
      </c>
      <c r="Y3430">
        <v>5.901524E-3</v>
      </c>
      <c r="Z3430" s="1">
        <v>-4.3838219999999998E-5</v>
      </c>
      <c r="AA3430">
        <v>0.99998260000000005</v>
      </c>
      <c r="AB3430">
        <v>33</v>
      </c>
      <c r="AC3430">
        <v>126.937799999999</v>
      </c>
      <c r="AD3430">
        <v>-1.1205737348539999</v>
      </c>
      <c r="AE3430">
        <v>5.8199999999999301E-2</v>
      </c>
      <c r="AF3430">
        <v>0.75102415146854495</v>
      </c>
      <c r="AG3430">
        <v>-1.1205737348539999</v>
      </c>
      <c r="AH3430">
        <v>126.92570008215699</v>
      </c>
      <c r="AI3430">
        <v>90.505818394161295</v>
      </c>
      <c r="AJ3430">
        <v>89.660982669475203</v>
      </c>
      <c r="AK3430">
        <v>126.93286833644299</v>
      </c>
      <c r="AL3430">
        <v>78.293581544436904</v>
      </c>
      <c r="AM3430">
        <v>90.192683257500605</v>
      </c>
      <c r="AN3430">
        <v>1.0000000505701601</v>
      </c>
    </row>
    <row r="3431" spans="1:40" x14ac:dyDescent="0.25">
      <c r="A3431" t="str">
        <f>"20190303162324833"</f>
        <v>20190303162324833</v>
      </c>
      <c r="B3431" t="str">
        <f>"1551601404818360"</f>
        <v>1551601404818360</v>
      </c>
      <c r="C3431" t="s">
        <v>40</v>
      </c>
      <c r="D3431">
        <v>5.3739780000000001</v>
      </c>
      <c r="E3431">
        <v>0.50503019999999998</v>
      </c>
      <c r="F3431" t="s">
        <v>46</v>
      </c>
      <c r="G3431">
        <v>-179.95769999999999</v>
      </c>
      <c r="H3431">
        <v>3.073656E-2</v>
      </c>
      <c r="I3431">
        <v>214.732</v>
      </c>
      <c r="J3431">
        <v>-320.2808</v>
      </c>
      <c r="K3431">
        <v>1.1205780000000001</v>
      </c>
      <c r="L3431">
        <v>215.08189999999999</v>
      </c>
      <c r="M3431">
        <v>0.9999171</v>
      </c>
      <c r="N3431">
        <v>-1.118939E-2</v>
      </c>
      <c r="O3431">
        <v>6.3754889999999998E-3</v>
      </c>
      <c r="P3431">
        <v>0.98134129999999997</v>
      </c>
      <c r="Q3431">
        <v>0.19205469999999999</v>
      </c>
      <c r="R3431">
        <v>9.1947890000000001E-3</v>
      </c>
      <c r="S3431">
        <v>3.0617070000000002</v>
      </c>
      <c r="T3431">
        <v>-2.3721220000000001E-2</v>
      </c>
      <c r="U3431">
        <v>-7.5683590000000002E-3</v>
      </c>
      <c r="V3431">
        <v>-2.93013E-3</v>
      </c>
      <c r="W3431">
        <v>0.20302390000000001</v>
      </c>
      <c r="X3431">
        <v>0.97916939999999997</v>
      </c>
      <c r="Y3431">
        <v>8.8470659999999902E-3</v>
      </c>
      <c r="Z3431" s="1">
        <v>-6.1825579999999998E-5</v>
      </c>
      <c r="AA3431">
        <v>0.99996079999999998</v>
      </c>
      <c r="AB3431">
        <v>33</v>
      </c>
      <c r="AC3431">
        <v>140.32310000000001</v>
      </c>
      <c r="AD3431">
        <v>-1.0898414400000001</v>
      </c>
      <c r="AE3431">
        <v>-0.349899999999991</v>
      </c>
      <c r="AF3431">
        <v>1.2445021842133199</v>
      </c>
      <c r="AG3431">
        <v>-1.0898414400000001</v>
      </c>
      <c r="AH3431">
        <v>140.309553288882</v>
      </c>
      <c r="AI3431">
        <v>90.445013198920606</v>
      </c>
      <c r="AJ3431">
        <v>89.491817547084196</v>
      </c>
      <c r="AK3431">
        <v>140.31930474519999</v>
      </c>
      <c r="AL3431">
        <v>78.286155585707604</v>
      </c>
      <c r="AM3431">
        <v>90.171455093778405</v>
      </c>
      <c r="AN3431">
        <v>1.0000000017646899</v>
      </c>
    </row>
    <row r="3432" spans="1:40" x14ac:dyDescent="0.25">
      <c r="A3432" t="str">
        <f>"20190303162324855"</f>
        <v>20190303162324855</v>
      </c>
      <c r="B3432" t="str">
        <f>"1551601404848616"</f>
        <v>1551601404848616</v>
      </c>
      <c r="C3432" t="s">
        <v>40</v>
      </c>
      <c r="D3432">
        <v>5.3698139999999999</v>
      </c>
      <c r="E3432">
        <v>0.50487519999999997</v>
      </c>
      <c r="F3432" t="s">
        <v>46</v>
      </c>
      <c r="G3432">
        <v>-179.32810000000001</v>
      </c>
      <c r="H3432">
        <v>7.9981949999999996E-2</v>
      </c>
      <c r="I3432">
        <v>214.56129999999999</v>
      </c>
      <c r="J3432">
        <v>-319.94819999999999</v>
      </c>
      <c r="K3432">
        <v>1.1205769999999999</v>
      </c>
      <c r="L3432">
        <v>215.084</v>
      </c>
      <c r="M3432">
        <v>0.99991699999999994</v>
      </c>
      <c r="N3432">
        <v>-1.1199779999999999E-2</v>
      </c>
      <c r="O3432">
        <v>6.3759069999999897E-3</v>
      </c>
      <c r="P3432">
        <v>0.9814003</v>
      </c>
      <c r="Q3432">
        <v>0.19178690000000001</v>
      </c>
      <c r="R3432">
        <v>8.4608849999999996E-3</v>
      </c>
      <c r="S3432">
        <v>3.0615839999999999</v>
      </c>
      <c r="T3432">
        <v>-2.2602440000000001E-2</v>
      </c>
      <c r="U3432">
        <v>-1.1306760000000001E-2</v>
      </c>
      <c r="V3432">
        <v>-2.195341E-3</v>
      </c>
      <c r="W3432">
        <v>0.20276669999999999</v>
      </c>
      <c r="X3432">
        <v>0.9792246</v>
      </c>
      <c r="Y3432">
        <v>1.0068529999999999E-2</v>
      </c>
      <c r="Z3432" s="1">
        <v>-6.9210340000000007E-5</v>
      </c>
      <c r="AA3432">
        <v>0.99994930000000004</v>
      </c>
      <c r="AB3432">
        <v>33</v>
      </c>
      <c r="AC3432">
        <v>140.62009999999901</v>
      </c>
      <c r="AD3432">
        <v>-1.0405950500000001</v>
      </c>
      <c r="AE3432">
        <v>-0.52270000000001404</v>
      </c>
      <c r="AF3432">
        <v>1.41924853052943</v>
      </c>
      <c r="AG3432">
        <v>-1.0405950500000001</v>
      </c>
      <c r="AH3432">
        <v>140.60620887666201</v>
      </c>
      <c r="AI3432">
        <v>90.424003887682204</v>
      </c>
      <c r="AJ3432">
        <v>89.421688486919294</v>
      </c>
      <c r="AK3432">
        <v>140.617221843973</v>
      </c>
      <c r="AL3432">
        <v>78.301204892562495</v>
      </c>
      <c r="AM3432">
        <v>90.128452209181305</v>
      </c>
      <c r="AN3432">
        <v>0.99999998569807802</v>
      </c>
    </row>
    <row r="3433" spans="1:40" x14ac:dyDescent="0.25">
      <c r="A3433" t="str">
        <f>"20190303162324876"</f>
        <v>20190303162324876</v>
      </c>
      <c r="B3433" t="str">
        <f>"1551601404868135"</f>
        <v>1551601404868135</v>
      </c>
      <c r="C3433" t="s">
        <v>40</v>
      </c>
      <c r="D3433">
        <v>5.171475</v>
      </c>
      <c r="E3433">
        <v>0.50493789999999905</v>
      </c>
      <c r="F3433" t="s">
        <v>43</v>
      </c>
      <c r="G3433">
        <v>-151.83430000000001</v>
      </c>
      <c r="H3433">
        <v>-0.05</v>
      </c>
      <c r="I3433">
        <v>214.3843</v>
      </c>
      <c r="J3433">
        <v>-319.61579999999998</v>
      </c>
      <c r="K3433">
        <v>1.120581</v>
      </c>
      <c r="L3433">
        <v>215.08609999999999</v>
      </c>
      <c r="M3433">
        <v>0.99991699999999994</v>
      </c>
      <c r="N3433">
        <v>-1.12091E-2</v>
      </c>
      <c r="O3433">
        <v>6.3762119999999896E-3</v>
      </c>
      <c r="P3433">
        <v>0.98139460000000001</v>
      </c>
      <c r="Q3433">
        <v>0.19181190000000001</v>
      </c>
      <c r="R3433">
        <v>8.5559920000000001E-3</v>
      </c>
      <c r="S3433">
        <v>3.0611269999999999</v>
      </c>
      <c r="T3433">
        <v>-2.1314619999999999E-2</v>
      </c>
      <c r="U3433">
        <v>-1.274109E-2</v>
      </c>
      <c r="V3433">
        <v>-2.2901110000000001E-3</v>
      </c>
      <c r="W3433">
        <v>0.20280119999999999</v>
      </c>
      <c r="X3433">
        <v>0.97921720000000001</v>
      </c>
      <c r="Y3433">
        <v>1.0537940000000001E-2</v>
      </c>
      <c r="Z3433" s="1">
        <v>-6.8674129999999996E-5</v>
      </c>
      <c r="AA3433">
        <v>0.99994439999999996</v>
      </c>
      <c r="AB3433">
        <v>33</v>
      </c>
      <c r="AC3433">
        <v>167.781499999999</v>
      </c>
      <c r="AD3433">
        <v>-1.1705809999999901</v>
      </c>
      <c r="AE3433">
        <v>-0.70179999999999099</v>
      </c>
      <c r="AF3433">
        <v>1.7715769635056799</v>
      </c>
      <c r="AG3433">
        <v>-1.1705809999999901</v>
      </c>
      <c r="AH3433">
        <v>167.76544775631501</v>
      </c>
      <c r="AI3433">
        <v>90.399751703399602</v>
      </c>
      <c r="AJ3433">
        <v>89.394987991915698</v>
      </c>
      <c r="AK3433">
        <v>167.778884862464</v>
      </c>
      <c r="AL3433">
        <v>78.299185801065804</v>
      </c>
      <c r="AM3433">
        <v>90.133998315888206</v>
      </c>
      <c r="AN3433">
        <v>0.99999994805283399</v>
      </c>
    </row>
    <row r="3434" spans="1:40" x14ac:dyDescent="0.25">
      <c r="A3434" t="str">
        <f>"20190303162324898"</f>
        <v>20190303162324898</v>
      </c>
      <c r="B3434" t="str">
        <f>"1551601404887655"</f>
        <v>1551601404887655</v>
      </c>
      <c r="C3434" t="s">
        <v>40</v>
      </c>
      <c r="D3434">
        <v>5.3649100000000001</v>
      </c>
      <c r="E3434">
        <v>0.50500029999999996</v>
      </c>
      <c r="F3434" t="s">
        <v>43</v>
      </c>
      <c r="G3434">
        <v>-141.76089999999999</v>
      </c>
      <c r="H3434">
        <v>-0.05</v>
      </c>
      <c r="I3434">
        <v>214.3449</v>
      </c>
      <c r="J3434">
        <v>-319.29739999999998</v>
      </c>
      <c r="K3434">
        <v>1.1205830000000001</v>
      </c>
      <c r="L3434">
        <v>215.0882</v>
      </c>
      <c r="M3434">
        <v>0.99991680000000005</v>
      </c>
      <c r="N3434">
        <v>-1.1217110000000001E-2</v>
      </c>
      <c r="O3434">
        <v>6.3766439999999999E-3</v>
      </c>
      <c r="P3434">
        <v>0.98136159999999995</v>
      </c>
      <c r="Q3434">
        <v>0.19198219999999999</v>
      </c>
      <c r="R3434">
        <v>8.5144899999999996E-3</v>
      </c>
      <c r="S3434">
        <v>3.0609130000000002</v>
      </c>
      <c r="T3434">
        <v>-2.014589E-2</v>
      </c>
      <c r="U3434">
        <v>-1.275635E-2</v>
      </c>
      <c r="V3434">
        <v>-2.2484699999999998E-3</v>
      </c>
      <c r="W3434">
        <v>0.20297870000000001</v>
      </c>
      <c r="X3434">
        <v>0.97918059999999996</v>
      </c>
      <c r="Y3434">
        <v>1.054368E-2</v>
      </c>
      <c r="Z3434" s="1">
        <v>-6.4273669999999897E-5</v>
      </c>
      <c r="AA3434">
        <v>0.99994439999999996</v>
      </c>
      <c r="AB3434">
        <v>33</v>
      </c>
      <c r="AC3434">
        <v>177.53649999999999</v>
      </c>
      <c r="AD3434">
        <v>-1.1705829999999999</v>
      </c>
      <c r="AE3434">
        <v>-0.74330000000000496</v>
      </c>
      <c r="AF3434">
        <v>1.87536159183023</v>
      </c>
      <c r="AG3434">
        <v>-1.1705829999999999</v>
      </c>
      <c r="AH3434">
        <v>177.520432614443</v>
      </c>
      <c r="AI3434">
        <v>90.377786096662405</v>
      </c>
      <c r="AJ3434">
        <v>89.394738364916407</v>
      </c>
      <c r="AK3434">
        <v>177.534197385402</v>
      </c>
      <c r="AL3434">
        <v>78.288800734275299</v>
      </c>
      <c r="AM3434">
        <v>90.131566755847501</v>
      </c>
      <c r="AN3434">
        <v>1.00000002784369</v>
      </c>
    </row>
    <row r="3435" spans="1:40" x14ac:dyDescent="0.25">
      <c r="A3435" t="str">
        <f>"20190303162324922"</f>
        <v>20190303162324922</v>
      </c>
      <c r="B3435" t="str">
        <f>"1551601404908153"</f>
        <v>1551601404908153</v>
      </c>
      <c r="C3435" t="s">
        <v>40</v>
      </c>
      <c r="D3435">
        <v>5.0931989999999896</v>
      </c>
      <c r="E3435">
        <v>0.50526459999999995</v>
      </c>
      <c r="F3435" t="s">
        <v>43</v>
      </c>
      <c r="G3435">
        <v>-137.38220000000001</v>
      </c>
      <c r="H3435">
        <v>-0.05</v>
      </c>
      <c r="I3435">
        <v>214.28919999999999</v>
      </c>
      <c r="J3435">
        <v>-318.94349999999997</v>
      </c>
      <c r="K3435">
        <v>1.1205909999999999</v>
      </c>
      <c r="L3435">
        <v>215.09039999999999</v>
      </c>
      <c r="M3435">
        <v>0.99991669999999999</v>
      </c>
      <c r="N3435">
        <v>-1.122511E-2</v>
      </c>
      <c r="O3435">
        <v>6.3771349999999999E-3</v>
      </c>
      <c r="P3435">
        <v>0.98117790000000005</v>
      </c>
      <c r="Q3435">
        <v>0.19290550000000001</v>
      </c>
      <c r="R3435">
        <v>8.8038960000000003E-3</v>
      </c>
      <c r="S3435">
        <v>3.0609440000000001</v>
      </c>
      <c r="T3435">
        <v>-1.9696470000000001E-2</v>
      </c>
      <c r="U3435">
        <v>-1.344299E-2</v>
      </c>
      <c r="V3435">
        <v>-2.5388540000000001E-3</v>
      </c>
      <c r="W3435">
        <v>0.2039077</v>
      </c>
      <c r="X3435">
        <v>0.97898680000000005</v>
      </c>
      <c r="Y3435">
        <v>1.0768440000000001E-2</v>
      </c>
      <c r="Z3435" s="1">
        <v>-6.4536190000000007E-5</v>
      </c>
      <c r="AA3435">
        <v>0.999942</v>
      </c>
      <c r="AB3435">
        <v>33</v>
      </c>
      <c r="AC3435">
        <v>181.56129999999999</v>
      </c>
      <c r="AD3435">
        <v>-1.1705909999999999</v>
      </c>
      <c r="AE3435">
        <v>-0.80119999999999403</v>
      </c>
      <c r="AF3435">
        <v>1.9590161030131701</v>
      </c>
      <c r="AG3435">
        <v>-1.1705909999999999</v>
      </c>
      <c r="AH3435">
        <v>181.544951566625</v>
      </c>
      <c r="AI3435">
        <v>90.369413136666395</v>
      </c>
      <c r="AJ3435">
        <v>89.381756433086693</v>
      </c>
      <c r="AK3435">
        <v>181.559294630458</v>
      </c>
      <c r="AL3435">
        <v>78.234435383565</v>
      </c>
      <c r="AM3435">
        <v>90.148587593717906</v>
      </c>
      <c r="AN3435">
        <v>0.99999997523658102</v>
      </c>
    </row>
    <row r="3436" spans="1:40" x14ac:dyDescent="0.25">
      <c r="A3436" t="str">
        <f>"20190303162324945"</f>
        <v>20190303162324945</v>
      </c>
      <c r="B3436" t="str">
        <f>"1551601404938408"</f>
        <v>1551601404938408</v>
      </c>
      <c r="C3436" t="s">
        <v>40</v>
      </c>
      <c r="D3436">
        <v>5.3642659999999998</v>
      </c>
      <c r="E3436">
        <v>0.50585059999999904</v>
      </c>
      <c r="F3436" t="s">
        <v>43</v>
      </c>
      <c r="G3436">
        <v>-105.6229</v>
      </c>
      <c r="H3436">
        <v>-0.05</v>
      </c>
      <c r="I3436">
        <v>214.0547</v>
      </c>
      <c r="J3436">
        <v>-318.6087</v>
      </c>
      <c r="K3436">
        <v>1.120598</v>
      </c>
      <c r="L3436">
        <v>215.0926</v>
      </c>
      <c r="M3436">
        <v>0.99991660000000004</v>
      </c>
      <c r="N3436">
        <v>-1.123184E-2</v>
      </c>
      <c r="O3436">
        <v>6.3775749999999999E-3</v>
      </c>
      <c r="P3436">
        <v>0.98093339999999996</v>
      </c>
      <c r="Q3436">
        <v>0.19411629999999999</v>
      </c>
      <c r="R3436">
        <v>9.4121310000000007E-3</v>
      </c>
      <c r="S3436">
        <v>3.0610050000000002</v>
      </c>
      <c r="T3436">
        <v>-1.6797179999999998E-2</v>
      </c>
      <c r="U3436">
        <v>-1.486206E-2</v>
      </c>
      <c r="V3436">
        <v>-3.1476999999999998E-3</v>
      </c>
      <c r="W3436">
        <v>0.20512269999999999</v>
      </c>
      <c r="X3436">
        <v>0.97873120000000002</v>
      </c>
      <c r="Y3436">
        <v>1.123241E-2</v>
      </c>
      <c r="Z3436" s="1">
        <v>-5.7264399999999898E-5</v>
      </c>
      <c r="AA3436">
        <v>0.99993690000000002</v>
      </c>
      <c r="AB3436">
        <v>33</v>
      </c>
      <c r="AC3436">
        <v>212.98580000000001</v>
      </c>
      <c r="AD3436">
        <v>-1.170598</v>
      </c>
      <c r="AE3436">
        <v>-1.0379</v>
      </c>
      <c r="AF3436">
        <v>2.3962250851942701</v>
      </c>
      <c r="AG3436">
        <v>-1.170598</v>
      </c>
      <c r="AH3436">
        <v>212.968415189219</v>
      </c>
      <c r="AI3436">
        <v>90.314907750400195</v>
      </c>
      <c r="AJ3436">
        <v>89.355360790038603</v>
      </c>
      <c r="AK3436">
        <v>212.98511230258401</v>
      </c>
      <c r="AL3436">
        <v>78.163318069154798</v>
      </c>
      <c r="AM3436">
        <v>90.184268472663106</v>
      </c>
      <c r="AN3436">
        <v>0.99999999596200995</v>
      </c>
    </row>
    <row r="3437" spans="1:40" x14ac:dyDescent="0.25">
      <c r="A3437" t="str">
        <f>"20190303162324966"</f>
        <v>20190303162324966</v>
      </c>
      <c r="B3437" t="str">
        <f>"1551601404957928"</f>
        <v>1551601404957928</v>
      </c>
      <c r="C3437" t="s">
        <v>40</v>
      </c>
      <c r="D3437">
        <v>5.3586269999999896</v>
      </c>
      <c r="E3437">
        <v>0.50617959999999995</v>
      </c>
      <c r="F3437" t="s">
        <v>50</v>
      </c>
      <c r="G3437">
        <v>-107.39749999999999</v>
      </c>
      <c r="H3437">
        <v>0.23291510000000001</v>
      </c>
      <c r="I3437">
        <v>213.93549999999999</v>
      </c>
      <c r="J3437">
        <v>-318.27699999999999</v>
      </c>
      <c r="K3437">
        <v>1.1206050000000001</v>
      </c>
      <c r="L3437">
        <v>215.09469999999999</v>
      </c>
      <c r="M3437">
        <v>0.99991669999999999</v>
      </c>
      <c r="N3437">
        <v>-1.1238100000000001E-2</v>
      </c>
      <c r="O3437">
        <v>6.3777189999999996E-3</v>
      </c>
      <c r="P3437">
        <v>0.98076669999999999</v>
      </c>
      <c r="Q3437">
        <v>0.19496869999999999</v>
      </c>
      <c r="R3437">
        <v>9.1764540000000006E-3</v>
      </c>
      <c r="S3437">
        <v>3.0610050000000002</v>
      </c>
      <c r="T3437">
        <v>-1.286411E-2</v>
      </c>
      <c r="U3437">
        <v>-1.6769409999999998E-2</v>
      </c>
      <c r="V3437">
        <v>-2.9128840000000001E-3</v>
      </c>
      <c r="W3437">
        <v>0.205979</v>
      </c>
      <c r="X3437">
        <v>0.97855210000000004</v>
      </c>
      <c r="Y3437">
        <v>1.185569E-2</v>
      </c>
      <c r="Z3437" s="1">
        <v>-4.6660129999999999E-5</v>
      </c>
      <c r="AA3437">
        <v>0.99992970000000003</v>
      </c>
      <c r="AB3437">
        <v>33</v>
      </c>
      <c r="AC3437">
        <v>210.87950000000001</v>
      </c>
      <c r="AD3437">
        <v>-0.88768989999999903</v>
      </c>
      <c r="AE3437">
        <v>-1.15919999999999</v>
      </c>
      <c r="AF3437">
        <v>2.5041469274125499</v>
      </c>
      <c r="AG3437">
        <v>-0.88768989999999903</v>
      </c>
      <c r="AH3437">
        <v>210.86408079192901</v>
      </c>
      <c r="AI3437">
        <v>90.241183790557699</v>
      </c>
      <c r="AJ3437">
        <v>89.319607657443697</v>
      </c>
      <c r="AK3437">
        <v>210.880817793885</v>
      </c>
      <c r="AL3437">
        <v>78.113185499826798</v>
      </c>
      <c r="AM3437">
        <v>90.170553480457102</v>
      </c>
      <c r="AN3437">
        <v>1.0000000228743</v>
      </c>
    </row>
    <row r="3438" spans="1:40" x14ac:dyDescent="0.25">
      <c r="A3438" t="str">
        <f>"20190303162324989"</f>
        <v>20190303162324989</v>
      </c>
      <c r="B3438" t="str">
        <f>"1551601404978424"</f>
        <v>1551601404978424</v>
      </c>
      <c r="C3438" t="s">
        <v>40</v>
      </c>
      <c r="D3438">
        <v>5.1393300000000002</v>
      </c>
      <c r="E3438">
        <v>0.50653429999999999</v>
      </c>
      <c r="F3438" t="s">
        <v>50</v>
      </c>
      <c r="G3438">
        <v>-107.39749999999999</v>
      </c>
      <c r="H3438">
        <v>0.4586865</v>
      </c>
      <c r="I3438">
        <v>213.726</v>
      </c>
      <c r="J3438">
        <v>-317.95269999999999</v>
      </c>
      <c r="K3438">
        <v>1.120608</v>
      </c>
      <c r="L3438">
        <v>215.0967</v>
      </c>
      <c r="M3438">
        <v>0.99991649999999999</v>
      </c>
      <c r="N3438">
        <v>-1.1243619999999999E-2</v>
      </c>
      <c r="O3438">
        <v>6.3783440000000002E-3</v>
      </c>
      <c r="P3438">
        <v>0.98059560000000001</v>
      </c>
      <c r="Q3438">
        <v>0.19585649999999999</v>
      </c>
      <c r="R3438">
        <v>8.5093879999999997E-3</v>
      </c>
      <c r="S3438">
        <v>3.0609739999999999</v>
      </c>
      <c r="T3438">
        <v>-9.6071960000000001E-3</v>
      </c>
      <c r="U3438">
        <v>-1.986694E-2</v>
      </c>
      <c r="V3438">
        <v>-2.2465990000000002E-3</v>
      </c>
      <c r="W3438">
        <v>0.2068702</v>
      </c>
      <c r="X3438">
        <v>0.97836579999999995</v>
      </c>
      <c r="Y3438">
        <v>1.286824E-2</v>
      </c>
      <c r="Z3438" s="1">
        <v>-4.0841830000000001E-5</v>
      </c>
      <c r="AA3438">
        <v>0.99991719999999895</v>
      </c>
      <c r="AB3438">
        <v>33</v>
      </c>
      <c r="AC3438">
        <v>210.55520000000001</v>
      </c>
      <c r="AD3438">
        <v>-0.66192150000000005</v>
      </c>
      <c r="AE3438">
        <v>-1.37069999999999</v>
      </c>
      <c r="AF3438">
        <v>2.7137236170135699</v>
      </c>
      <c r="AG3438">
        <v>-0.66192150000000005</v>
      </c>
      <c r="AH3438">
        <v>210.54009238742501</v>
      </c>
      <c r="AI3438">
        <v>90.180117872064201</v>
      </c>
      <c r="AJ3438">
        <v>89.261535897460405</v>
      </c>
      <c r="AK3438">
        <v>210.55862114491299</v>
      </c>
      <c r="AL3438">
        <v>78.060999059597606</v>
      </c>
      <c r="AM3438">
        <v>90.131566756233497</v>
      </c>
      <c r="AN3438">
        <v>0.99999998273237301</v>
      </c>
    </row>
    <row r="3439" spans="1:40" x14ac:dyDescent="0.25">
      <c r="A3439" t="str">
        <f>"20190303162325011"</f>
        <v>20190303162325011</v>
      </c>
      <c r="B3439" t="str">
        <f>"1551601404997944"</f>
        <v>1551601404997944</v>
      </c>
      <c r="C3439" t="s">
        <v>40</v>
      </c>
      <c r="D3439">
        <v>5.0300640000000003</v>
      </c>
      <c r="E3439">
        <v>0.50689549999999906</v>
      </c>
      <c r="F3439" t="s">
        <v>50</v>
      </c>
      <c r="G3439">
        <v>-107.39749999999999</v>
      </c>
      <c r="H3439">
        <v>0.62951849999999998</v>
      </c>
      <c r="I3439">
        <v>213.40369999999999</v>
      </c>
      <c r="J3439">
        <v>-317.61989999999997</v>
      </c>
      <c r="K3439">
        <v>1.1206</v>
      </c>
      <c r="L3439">
        <v>215.09880000000001</v>
      </c>
      <c r="M3439">
        <v>0.99991649999999999</v>
      </c>
      <c r="N3439">
        <v>-1.124868E-2</v>
      </c>
      <c r="O3439">
        <v>6.3786729999999996E-3</v>
      </c>
      <c r="P3439">
        <v>0.98059580000000002</v>
      </c>
      <c r="Q3439">
        <v>0.19590270000000001</v>
      </c>
      <c r="R3439">
        <v>7.3697099999999998E-3</v>
      </c>
      <c r="S3439">
        <v>3.0610050000000002</v>
      </c>
      <c r="T3439">
        <v>-7.1386100000000001E-3</v>
      </c>
      <c r="U3439">
        <v>-2.4612430000000001E-2</v>
      </c>
      <c r="V3439">
        <v>-1.1068740000000001E-3</v>
      </c>
      <c r="W3439">
        <v>0.20692150000000001</v>
      </c>
      <c r="X3439">
        <v>0.97835700000000003</v>
      </c>
      <c r="Y3439">
        <v>1.44186E-2</v>
      </c>
      <c r="Z3439" s="1">
        <v>-4.1034759999999999E-5</v>
      </c>
      <c r="AA3439">
        <v>0.99989600000000001</v>
      </c>
      <c r="AB3439">
        <v>33</v>
      </c>
      <c r="AC3439">
        <v>210.22239999999999</v>
      </c>
      <c r="AD3439">
        <v>-0.4910815</v>
      </c>
      <c r="AE3439">
        <v>-1.69510000000002</v>
      </c>
      <c r="AF3439">
        <v>3.0360735830171599</v>
      </c>
      <c r="AG3439">
        <v>-0.4910815</v>
      </c>
      <c r="AH3439">
        <v>210.206162528211</v>
      </c>
      <c r="AI3439">
        <v>90.133839614814505</v>
      </c>
      <c r="AJ3439">
        <v>89.172516610055197</v>
      </c>
      <c r="AK3439">
        <v>210.22866043591199</v>
      </c>
      <c r="AL3439">
        <v>78.057995911320603</v>
      </c>
      <c r="AM3439">
        <v>90.064822126886597</v>
      </c>
      <c r="AN3439">
        <v>1.00000007589064</v>
      </c>
    </row>
    <row r="3440" spans="1:40" x14ac:dyDescent="0.25">
      <c r="A3440" t="str">
        <f>"20190303162325034"</f>
        <v>20190303162325034</v>
      </c>
      <c r="B3440" t="str">
        <f>"1551601405028200"</f>
        <v>1551601405028200</v>
      </c>
      <c r="C3440" t="s">
        <v>40</v>
      </c>
      <c r="D3440">
        <v>5.3621549999999996</v>
      </c>
      <c r="E3440">
        <v>0.50701689999999999</v>
      </c>
      <c r="F3440" t="s">
        <v>50</v>
      </c>
      <c r="G3440">
        <v>-107.39749999999999</v>
      </c>
      <c r="H3440">
        <v>0.59039680000000005</v>
      </c>
      <c r="I3440">
        <v>212.97579999999999</v>
      </c>
      <c r="J3440">
        <v>-317.27859999999998</v>
      </c>
      <c r="K3440">
        <v>1.1205969999999901</v>
      </c>
      <c r="L3440">
        <v>215.101</v>
      </c>
      <c r="M3440">
        <v>0.99991629999999998</v>
      </c>
      <c r="N3440">
        <v>-1.125343E-2</v>
      </c>
      <c r="O3440">
        <v>6.3793030000000002E-3</v>
      </c>
      <c r="P3440">
        <v>0.9806859</v>
      </c>
      <c r="Q3440">
        <v>0.1955008</v>
      </c>
      <c r="R3440">
        <v>5.8772950000000003E-3</v>
      </c>
      <c r="S3440">
        <v>3.0611269999999999</v>
      </c>
      <c r="T3440">
        <v>-7.719755E-3</v>
      </c>
      <c r="U3440">
        <v>-3.091431E-2</v>
      </c>
      <c r="V3440">
        <v>3.8694309999999998E-4</v>
      </c>
      <c r="W3440">
        <v>0.2065244</v>
      </c>
      <c r="X3440">
        <v>0.97844140000000002</v>
      </c>
      <c r="Y3440">
        <v>1.647713E-2</v>
      </c>
      <c r="Z3440" s="1">
        <v>-5.7791909999999999E-5</v>
      </c>
      <c r="AA3440">
        <v>0.99986419999999998</v>
      </c>
      <c r="AB3440">
        <v>33</v>
      </c>
      <c r="AC3440">
        <v>209.8811</v>
      </c>
      <c r="AD3440">
        <v>-0.53020019999999901</v>
      </c>
      <c r="AE3440">
        <v>-2.1252</v>
      </c>
      <c r="AF3440">
        <v>3.4641146027861498</v>
      </c>
      <c r="AG3440">
        <v>-0.53020019999999901</v>
      </c>
      <c r="AH3440">
        <v>209.861931524385</v>
      </c>
      <c r="AI3440">
        <v>90.144733402630195</v>
      </c>
      <c r="AJ3440">
        <v>89.054325281771796</v>
      </c>
      <c r="AK3440">
        <v>209.891189680222</v>
      </c>
      <c r="AL3440">
        <v>78.081249760325093</v>
      </c>
      <c r="AM3440">
        <v>89.977341304869199</v>
      </c>
      <c r="AN3440">
        <v>1.0000000253771399</v>
      </c>
    </row>
    <row r="3441" spans="1:40" x14ac:dyDescent="0.25">
      <c r="A3441" t="str">
        <f>"20190303162325055"</f>
        <v>20190303162325055</v>
      </c>
      <c r="B3441" t="str">
        <f>"1551601405047719"</f>
        <v>1551601405047719</v>
      </c>
      <c r="C3441" t="s">
        <v>40</v>
      </c>
      <c r="D3441">
        <v>5.3614199999999999</v>
      </c>
      <c r="E3441">
        <v>0.50714409999999999</v>
      </c>
      <c r="F3441" t="s">
        <v>50</v>
      </c>
      <c r="G3441">
        <v>-107.39749999999999</v>
      </c>
      <c r="H3441">
        <v>0.51375839999999995</v>
      </c>
      <c r="I3441">
        <v>212.62569999999999</v>
      </c>
      <c r="J3441">
        <v>-316.9556</v>
      </c>
      <c r="K3441">
        <v>1.1205969999999901</v>
      </c>
      <c r="L3441">
        <v>215.10310000000001</v>
      </c>
      <c r="M3441">
        <v>0.99991629999999998</v>
      </c>
      <c r="N3441">
        <v>-1.125757E-2</v>
      </c>
      <c r="O3441">
        <v>6.3796360000000002E-3</v>
      </c>
      <c r="P3441">
        <v>0.98090639999999996</v>
      </c>
      <c r="Q3441">
        <v>0.1944246</v>
      </c>
      <c r="R3441">
        <v>4.6608830000000002E-3</v>
      </c>
      <c r="S3441">
        <v>3.0610659999999998</v>
      </c>
      <c r="T3441">
        <v>-8.8498589999999999E-3</v>
      </c>
      <c r="U3441">
        <v>-3.6102290000000002E-2</v>
      </c>
      <c r="V3441">
        <v>1.6050420000000001E-3</v>
      </c>
      <c r="W3441">
        <v>0.205455</v>
      </c>
      <c r="X3441">
        <v>0.97866520000000001</v>
      </c>
      <c r="Y3441">
        <v>1.8171969999999999E-2</v>
      </c>
      <c r="Z3441" s="1">
        <v>-7.5185999999999995E-5</v>
      </c>
      <c r="AA3441">
        <v>0.99983489999999997</v>
      </c>
      <c r="AB3441">
        <v>33</v>
      </c>
      <c r="AC3441">
        <v>209.5581</v>
      </c>
      <c r="AD3441">
        <v>-0.60683859999999901</v>
      </c>
      <c r="AE3441">
        <v>-2.47740000000001</v>
      </c>
      <c r="AF3441">
        <v>3.8143066925582598</v>
      </c>
      <c r="AG3441">
        <v>-0.60683859999999901</v>
      </c>
      <c r="AH3441">
        <v>209.53627216764801</v>
      </c>
      <c r="AI3441">
        <v>90.165906522022595</v>
      </c>
      <c r="AJ3441">
        <v>88.957127860461199</v>
      </c>
      <c r="AK3441">
        <v>209.57186486393201</v>
      </c>
      <c r="AL3441">
        <v>78.143863833428497</v>
      </c>
      <c r="AM3441">
        <v>89.906033186741396</v>
      </c>
      <c r="AN3441">
        <v>0.99999995343792902</v>
      </c>
    </row>
    <row r="3442" spans="1:40" x14ac:dyDescent="0.25">
      <c r="A3442" t="str">
        <f>"20190303162325076"</f>
        <v>20190303162325076</v>
      </c>
      <c r="B3442" t="str">
        <f>"1551601405068216"</f>
        <v>1551601405068216</v>
      </c>
      <c r="C3442" t="s">
        <v>40</v>
      </c>
      <c r="D3442">
        <v>5.1635200000000001</v>
      </c>
      <c r="E3442">
        <v>0.50702340000000001</v>
      </c>
      <c r="F3442" t="s">
        <v>50</v>
      </c>
      <c r="G3442">
        <v>-107.39749999999999</v>
      </c>
      <c r="H3442">
        <v>0.25306790000000001</v>
      </c>
      <c r="I3442">
        <v>212.3005</v>
      </c>
      <c r="J3442">
        <v>-316.63409999999999</v>
      </c>
      <c r="K3442">
        <v>1.120593</v>
      </c>
      <c r="L3442">
        <v>215.10509999999999</v>
      </c>
      <c r="M3442">
        <v>0.99991629999999998</v>
      </c>
      <c r="N3442">
        <v>-1.1261439999999999E-2</v>
      </c>
      <c r="O3442">
        <v>6.3800920000000004E-3</v>
      </c>
      <c r="P3442">
        <v>0.98109919999999995</v>
      </c>
      <c r="Q3442">
        <v>0.19345809999999999</v>
      </c>
      <c r="R3442">
        <v>4.318377E-3</v>
      </c>
      <c r="S3442">
        <v>3.0611269999999999</v>
      </c>
      <c r="T3442">
        <v>-1.2671709999999999E-2</v>
      </c>
      <c r="U3442">
        <v>-4.0939330000000003E-2</v>
      </c>
      <c r="V3442">
        <v>1.94908E-3</v>
      </c>
      <c r="W3442">
        <v>0.2044945</v>
      </c>
      <c r="X3442">
        <v>0.97886580000000001</v>
      </c>
      <c r="Y3442">
        <v>1.9751609999999999E-2</v>
      </c>
      <c r="Z3442">
        <v>-1.0666689999999999E-4</v>
      </c>
      <c r="AA3442">
        <v>0.9998049</v>
      </c>
      <c r="AB3442">
        <v>33</v>
      </c>
      <c r="AC3442">
        <v>209.23660000000001</v>
      </c>
      <c r="AD3442">
        <v>-0.86752509999999905</v>
      </c>
      <c r="AE3442">
        <v>-2.80459999999999</v>
      </c>
      <c r="AF3442">
        <v>4.1395050897446097</v>
      </c>
      <c r="AG3442">
        <v>-0.86752509999999905</v>
      </c>
      <c r="AH3442">
        <v>209.21085033415099</v>
      </c>
      <c r="AI3442">
        <v>90.237537943777497</v>
      </c>
      <c r="AJ3442">
        <v>88.866477400420706</v>
      </c>
      <c r="AK3442">
        <v>209.25359733998701</v>
      </c>
      <c r="AL3442">
        <v>78.2000911558181</v>
      </c>
      <c r="AM3442">
        <v>89.885914994324907</v>
      </c>
      <c r="AN3442">
        <v>1.00000002692636</v>
      </c>
    </row>
    <row r="3443" spans="1:40" x14ac:dyDescent="0.25">
      <c r="A3443" t="str">
        <f>"20190303162325100"</f>
        <v>20190303162325100</v>
      </c>
      <c r="B3443" t="str">
        <f>"1551601405087735"</f>
        <v>1551601405087735</v>
      </c>
      <c r="C3443" t="s">
        <v>40</v>
      </c>
      <c r="D3443">
        <v>5.1784749999999997</v>
      </c>
      <c r="E3443">
        <v>0.50711110000000004</v>
      </c>
      <c r="F3443" t="s">
        <v>50</v>
      </c>
      <c r="G3443">
        <v>-107.39749999999999</v>
      </c>
      <c r="H3443">
        <v>4.7978519999999997E-2</v>
      </c>
      <c r="I3443">
        <v>212.30889999999999</v>
      </c>
      <c r="J3443">
        <v>-316.28840000000002</v>
      </c>
      <c r="K3443">
        <v>1.1205909999999999</v>
      </c>
      <c r="L3443">
        <v>215.10730000000001</v>
      </c>
      <c r="M3443">
        <v>0.99991640000000004</v>
      </c>
      <c r="N3443">
        <v>-1.126536E-2</v>
      </c>
      <c r="O3443">
        <v>6.3802479999999998E-3</v>
      </c>
      <c r="P3443">
        <v>0.98135090000000003</v>
      </c>
      <c r="Q3443">
        <v>0.1921659</v>
      </c>
      <c r="R3443">
        <v>4.7975960000000003E-3</v>
      </c>
      <c r="S3443">
        <v>3.0610659999999998</v>
      </c>
      <c r="T3443">
        <v>-1.5691279999999998E-2</v>
      </c>
      <c r="U3443">
        <v>-4.0908809999999997E-2</v>
      </c>
      <c r="V3443">
        <v>1.4716639999999999E-3</v>
      </c>
      <c r="W3443">
        <v>0.20320879999999999</v>
      </c>
      <c r="X3443">
        <v>0.97913430000000001</v>
      </c>
      <c r="Y3443">
        <v>1.9741910000000001E-2</v>
      </c>
      <c r="Z3443">
        <v>-1.2263660000000001E-4</v>
      </c>
      <c r="AA3443">
        <v>0.9998051</v>
      </c>
      <c r="AB3443">
        <v>33</v>
      </c>
      <c r="AC3443">
        <v>208.89089999999999</v>
      </c>
      <c r="AD3443">
        <v>-1.0726124800000001</v>
      </c>
      <c r="AE3443">
        <v>-2.7984000000000102</v>
      </c>
      <c r="AF3443">
        <v>4.1310941760109801</v>
      </c>
      <c r="AG3443">
        <v>-1.0726124800000001</v>
      </c>
      <c r="AH3443">
        <v>208.86328615196399</v>
      </c>
      <c r="AI3443">
        <v>90.294181001615399</v>
      </c>
      <c r="AJ3443">
        <v>88.866898021088005</v>
      </c>
      <c r="AK3443">
        <v>208.90689011811099</v>
      </c>
      <c r="AL3443">
        <v>78.275335797795904</v>
      </c>
      <c r="AM3443">
        <v>89.913883036713202</v>
      </c>
      <c r="AN3443">
        <v>0.99999997981442901</v>
      </c>
    </row>
    <row r="3444" spans="1:40" x14ac:dyDescent="0.25">
      <c r="A3444" t="str">
        <f>"20190303162325123"</f>
        <v>20190303162325123</v>
      </c>
      <c r="B3444" t="str">
        <f>"1551601405117992"</f>
        <v>1551601405117992</v>
      </c>
      <c r="C3444" t="s">
        <v>40</v>
      </c>
      <c r="D3444">
        <v>5.132212</v>
      </c>
      <c r="E3444">
        <v>0.48528450000000001</v>
      </c>
      <c r="F3444" t="s">
        <v>43</v>
      </c>
      <c r="G3444">
        <v>-151.5051</v>
      </c>
      <c r="H3444">
        <v>-0.05</v>
      </c>
      <c r="I3444">
        <v>212.94980000000001</v>
      </c>
      <c r="J3444">
        <v>-315.93869999999998</v>
      </c>
      <c r="K3444">
        <v>1.1205799999999999</v>
      </c>
      <c r="L3444">
        <v>215.1096</v>
      </c>
      <c r="M3444">
        <v>0.99991609999999997</v>
      </c>
      <c r="N3444">
        <v>-1.1269090000000001E-2</v>
      </c>
      <c r="O3444">
        <v>6.3808819999999896E-3</v>
      </c>
      <c r="P3444">
        <v>0.98157760000000005</v>
      </c>
      <c r="Q3444">
        <v>0.19099769999999999</v>
      </c>
      <c r="R3444">
        <v>5.0402249999999997E-3</v>
      </c>
      <c r="S3444">
        <v>3.061493</v>
      </c>
      <c r="T3444">
        <v>-2.1748300000000002E-2</v>
      </c>
      <c r="U3444">
        <v>-4.0084839999999997E-2</v>
      </c>
      <c r="V3444">
        <v>1.231104E-3</v>
      </c>
      <c r="W3444">
        <v>0.20204749999999999</v>
      </c>
      <c r="X3444">
        <v>0.97937490000000005</v>
      </c>
      <c r="Y3444">
        <v>1.9471260000000001E-2</v>
      </c>
      <c r="Z3444">
        <v>-1.523001E-4</v>
      </c>
      <c r="AA3444">
        <v>0.99981039999999999</v>
      </c>
      <c r="AB3444">
        <v>33</v>
      </c>
      <c r="AC3444">
        <v>164.43359999999899</v>
      </c>
      <c r="AD3444">
        <v>-1.17058</v>
      </c>
      <c r="AE3444">
        <v>-2.15979999999999</v>
      </c>
      <c r="AF3444">
        <v>3.2088915039149302</v>
      </c>
      <c r="AG3444">
        <v>-1.17058</v>
      </c>
      <c r="AH3444">
        <v>164.40813925569401</v>
      </c>
      <c r="AI3444">
        <v>90.407859306673998</v>
      </c>
      <c r="AJ3444">
        <v>88.881852201109794</v>
      </c>
      <c r="AK3444">
        <v>164.44361798422</v>
      </c>
      <c r="AL3444">
        <v>78.343282566878898</v>
      </c>
      <c r="AM3444">
        <v>89.927977502599603</v>
      </c>
      <c r="AN3444">
        <v>0.99999995131165798</v>
      </c>
    </row>
    <row r="3445" spans="1:40" x14ac:dyDescent="0.25">
      <c r="A3445" t="str">
        <f>"20190303162325146"</f>
        <v>20190303162325146</v>
      </c>
      <c r="B3445" t="str">
        <f>"1551601405138488"</f>
        <v>1551601405138488</v>
      </c>
      <c r="C3445" t="s">
        <v>40</v>
      </c>
      <c r="D3445">
        <v>5.2832800000000004</v>
      </c>
      <c r="E3445">
        <v>0.47301959999999998</v>
      </c>
      <c r="F3445" t="s">
        <v>49</v>
      </c>
      <c r="G3445">
        <v>-290.6771</v>
      </c>
      <c r="H3445" s="1">
        <v>1.0145180000000001E-6</v>
      </c>
      <c r="I3445">
        <v>216.21789999999999</v>
      </c>
      <c r="J3445">
        <v>-315.6028</v>
      </c>
      <c r="K3445">
        <v>1.120576</v>
      </c>
      <c r="L3445">
        <v>215.11170000000001</v>
      </c>
      <c r="M3445">
        <v>0.99991620000000003</v>
      </c>
      <c r="N3445">
        <v>-1.127242E-2</v>
      </c>
      <c r="O3445">
        <v>6.3812209999999899E-3</v>
      </c>
      <c r="P3445">
        <v>0.98186859999999998</v>
      </c>
      <c r="Q3445">
        <v>0.18948960000000001</v>
      </c>
      <c r="R3445">
        <v>5.3030960000000002E-3</v>
      </c>
      <c r="S3445">
        <v>3.0821839999999998</v>
      </c>
      <c r="T3445">
        <v>-0.1367226</v>
      </c>
      <c r="U3445">
        <v>0.13522339999999999</v>
      </c>
      <c r="V3445">
        <v>9.7027349999999997E-4</v>
      </c>
      <c r="W3445">
        <v>0.2005459</v>
      </c>
      <c r="X3445">
        <v>0.97968379999999999</v>
      </c>
      <c r="Y3445">
        <v>-3.7411460000000001E-2</v>
      </c>
      <c r="Z3445">
        <v>8.2915599999999995E-4</v>
      </c>
      <c r="AA3445">
        <v>0.99929959999999995</v>
      </c>
      <c r="AB3445">
        <v>33</v>
      </c>
      <c r="AC3445">
        <v>24.925699999999999</v>
      </c>
      <c r="AD3445">
        <v>-1.120574985482</v>
      </c>
      <c r="AE3445">
        <v>1.1061999999999701</v>
      </c>
      <c r="AF3445">
        <v>-0.94520438906202497</v>
      </c>
      <c r="AG3445">
        <v>-1.120574985482</v>
      </c>
      <c r="AH3445">
        <v>24.8820615956237</v>
      </c>
      <c r="AI3445">
        <v>92.576743194503507</v>
      </c>
      <c r="AJ3445">
        <v>92.175470658121199</v>
      </c>
      <c r="AK3445">
        <v>24.9252099065103</v>
      </c>
      <c r="AL3445">
        <v>78.431116105420102</v>
      </c>
      <c r="AM3445">
        <v>89.943254590565999</v>
      </c>
      <c r="AN3445">
        <v>0.99999997370995697</v>
      </c>
    </row>
    <row r="3446" spans="1:40" x14ac:dyDescent="0.25">
      <c r="A3446" t="str">
        <f>"20190303162325168"</f>
        <v>20190303162325168</v>
      </c>
      <c r="B3446" t="str">
        <f>"1551601405158008"</f>
        <v>1551601405158008</v>
      </c>
      <c r="C3446" t="s">
        <v>40</v>
      </c>
      <c r="D3446">
        <v>5.0914089999999996</v>
      </c>
      <c r="E3446">
        <v>0.47078009999999898</v>
      </c>
      <c r="F3446" t="s">
        <v>49</v>
      </c>
      <c r="G3446">
        <v>-287.19979999999998</v>
      </c>
      <c r="H3446" s="1">
        <v>3.5817949999999998E-6</v>
      </c>
      <c r="I3446">
        <v>217.2696</v>
      </c>
      <c r="J3446">
        <v>-315.27350000000001</v>
      </c>
      <c r="K3446">
        <v>1.120568</v>
      </c>
      <c r="L3446">
        <v>215.1138</v>
      </c>
      <c r="M3446">
        <v>0.99991609999999997</v>
      </c>
      <c r="N3446">
        <v>-1.1275479999999999E-2</v>
      </c>
      <c r="O3446">
        <v>6.381739E-3</v>
      </c>
      <c r="P3446">
        <v>0.98207900000000004</v>
      </c>
      <c r="Q3446">
        <v>0.18839520000000001</v>
      </c>
      <c r="R3446">
        <v>5.3048909999999999E-3</v>
      </c>
      <c r="S3446">
        <v>3.0775760000000001</v>
      </c>
      <c r="T3446">
        <v>-0.1214187</v>
      </c>
      <c r="U3446">
        <v>0.2338104</v>
      </c>
      <c r="V3446">
        <v>9.7037570000000001E-4</v>
      </c>
      <c r="W3446">
        <v>0.19945679999999999</v>
      </c>
      <c r="X3446">
        <v>0.9799061</v>
      </c>
      <c r="Y3446">
        <v>-6.9322120000000001E-2</v>
      </c>
      <c r="Z3446">
        <v>1.577106E-3</v>
      </c>
      <c r="AA3446">
        <v>0.99759310000000001</v>
      </c>
      <c r="AB3446">
        <v>33</v>
      </c>
      <c r="AC3446">
        <v>28.073699999999999</v>
      </c>
      <c r="AD3446">
        <v>-1.1205644182050001</v>
      </c>
      <c r="AE3446">
        <v>2.1558000000000002</v>
      </c>
      <c r="AF3446">
        <v>-1.9734599710109499</v>
      </c>
      <c r="AG3446">
        <v>-1.1205644182050001</v>
      </c>
      <c r="AH3446">
        <v>28.042471105706401</v>
      </c>
      <c r="AI3446">
        <v>92.282656458677707</v>
      </c>
      <c r="AJ3446">
        <v>94.025494706829505</v>
      </c>
      <c r="AK3446">
        <v>28.134149970932299</v>
      </c>
      <c r="AL3446">
        <v>78.494803561660504</v>
      </c>
      <c r="AM3446">
        <v>89.943261488036399</v>
      </c>
      <c r="AN3446">
        <v>0.99999996075622299</v>
      </c>
    </row>
    <row r="3447" spans="1:40" x14ac:dyDescent="0.25">
      <c r="A3447" t="str">
        <f>"20190303162325190"</f>
        <v>20190303162325190</v>
      </c>
      <c r="B3447" t="str">
        <f>"1551601405178504"</f>
        <v>1551601405178504</v>
      </c>
      <c r="C3447" t="s">
        <v>40</v>
      </c>
      <c r="D3447">
        <v>5.2755049999999999</v>
      </c>
      <c r="E3447">
        <v>0.46968300000000002</v>
      </c>
      <c r="F3447" t="s">
        <v>49</v>
      </c>
      <c r="G3447">
        <v>-287.04590000000002</v>
      </c>
      <c r="H3447" s="1">
        <v>3.6317260000000002E-6</v>
      </c>
      <c r="I3447">
        <v>217.42320000000001</v>
      </c>
      <c r="J3447">
        <v>-314.95069999999998</v>
      </c>
      <c r="K3447">
        <v>1.120563</v>
      </c>
      <c r="L3447">
        <v>215.11590000000001</v>
      </c>
      <c r="M3447">
        <v>0.99991620000000003</v>
      </c>
      <c r="N3447">
        <v>-1.127832E-2</v>
      </c>
      <c r="O3447">
        <v>6.3818420000000004E-3</v>
      </c>
      <c r="P3447">
        <v>0.98220039999999997</v>
      </c>
      <c r="Q3447">
        <v>0.18776999999999999</v>
      </c>
      <c r="R3447">
        <v>5.0113270000000003E-3</v>
      </c>
      <c r="S3447">
        <v>3.076813</v>
      </c>
      <c r="T3447">
        <v>-0.12214170000000001</v>
      </c>
      <c r="U3447">
        <v>0.25172420000000001</v>
      </c>
      <c r="V3447">
        <v>1.2647489999999999E-3</v>
      </c>
      <c r="W3447">
        <v>0.1988354</v>
      </c>
      <c r="X3447">
        <v>0.98003209999999996</v>
      </c>
      <c r="Y3447">
        <v>-7.510522E-2</v>
      </c>
      <c r="Z3447">
        <v>1.7311780000000001E-3</v>
      </c>
      <c r="AA3447">
        <v>0.99717409999999995</v>
      </c>
      <c r="AB3447">
        <v>33</v>
      </c>
      <c r="AC3447">
        <v>27.904799999999899</v>
      </c>
      <c r="AD3447">
        <v>-1.120559368274</v>
      </c>
      <c r="AE3447">
        <v>2.3072999999999899</v>
      </c>
      <c r="AF3447">
        <v>-2.1257530891107801</v>
      </c>
      <c r="AG3447">
        <v>-1.120559368274</v>
      </c>
      <c r="AH3447">
        <v>27.874314051234101</v>
      </c>
      <c r="AI3447">
        <v>92.295417186086297</v>
      </c>
      <c r="AJ3447">
        <v>94.361053740259806</v>
      </c>
      <c r="AK3447">
        <v>27.9777029671937</v>
      </c>
      <c r="AL3447">
        <v>78.531135531923297</v>
      </c>
      <c r="AM3447">
        <v>89.926058810099207</v>
      </c>
      <c r="AN3447">
        <v>1.0000000164567999</v>
      </c>
    </row>
    <row r="3448" spans="1:40" x14ac:dyDescent="0.25">
      <c r="A3448" t="str">
        <f>"20190303162325211"</f>
        <v>20190303162325211</v>
      </c>
      <c r="B3448" t="str">
        <f>"1551601405198024"</f>
        <v>1551601405198024</v>
      </c>
      <c r="C3448" t="s">
        <v>40</v>
      </c>
      <c r="D3448">
        <v>5.164879</v>
      </c>
      <c r="E3448">
        <v>0.46896840000000001</v>
      </c>
      <c r="F3448" t="s">
        <v>49</v>
      </c>
      <c r="G3448">
        <v>-285.81639999999999</v>
      </c>
      <c r="H3448" s="1">
        <v>4.1595130000000003E-6</v>
      </c>
      <c r="I3448">
        <v>217.56970000000001</v>
      </c>
      <c r="J3448">
        <v>-314.61950000000002</v>
      </c>
      <c r="K3448">
        <v>1.1205620000000001</v>
      </c>
      <c r="L3448">
        <v>215.11799999999999</v>
      </c>
      <c r="M3448">
        <v>0.99991609999999997</v>
      </c>
      <c r="N3448">
        <v>-1.1281080000000001E-2</v>
      </c>
      <c r="O3448">
        <v>6.3823619999999999E-3</v>
      </c>
      <c r="P3448">
        <v>0.98223020000000005</v>
      </c>
      <c r="Q3448">
        <v>0.1876273</v>
      </c>
      <c r="R3448">
        <v>4.4745490000000004E-3</v>
      </c>
      <c r="S3448">
        <v>3.0756839999999999</v>
      </c>
      <c r="T3448">
        <v>-0.1182964</v>
      </c>
      <c r="U3448">
        <v>0.25904850000000001</v>
      </c>
      <c r="V3448">
        <v>1.802239E-3</v>
      </c>
      <c r="W3448">
        <v>0.19869609999999999</v>
      </c>
      <c r="X3448">
        <v>0.98005949999999997</v>
      </c>
      <c r="Y3448">
        <v>-7.7494209999999994E-2</v>
      </c>
      <c r="Z3448">
        <v>1.7521329999999999E-3</v>
      </c>
      <c r="AA3448">
        <v>0.99699130000000002</v>
      </c>
      <c r="AB3448">
        <v>34</v>
      </c>
      <c r="AC3448">
        <v>28.803100000000001</v>
      </c>
      <c r="AD3448">
        <v>-1.120557840487</v>
      </c>
      <c r="AE3448">
        <v>2.45170000000001</v>
      </c>
      <c r="AF3448">
        <v>-2.2644039847659898</v>
      </c>
      <c r="AG3448">
        <v>-1.120557840487</v>
      </c>
      <c r="AH3448">
        <v>28.774923568873199</v>
      </c>
      <c r="AI3448">
        <v>92.223228554780803</v>
      </c>
      <c r="AJ3448">
        <v>94.499541655998897</v>
      </c>
      <c r="AK3448">
        <v>28.885626212263301</v>
      </c>
      <c r="AL3448">
        <v>78.539279203937497</v>
      </c>
      <c r="AM3448">
        <v>89.894638466359098</v>
      </c>
      <c r="AN3448">
        <v>1.0000000058804299</v>
      </c>
    </row>
    <row r="3449" spans="1:40" x14ac:dyDescent="0.25">
      <c r="A3449" t="str">
        <f>"20190303162325235"</f>
        <v>20190303162325235</v>
      </c>
      <c r="B3449" t="str">
        <f>"1551601405228280"</f>
        <v>1551601405228280</v>
      </c>
      <c r="C3449" t="s">
        <v>40</v>
      </c>
      <c r="D3449">
        <v>5.2245210000000002</v>
      </c>
      <c r="E3449">
        <v>0.46839069999999999</v>
      </c>
      <c r="F3449" t="s">
        <v>49</v>
      </c>
      <c r="G3449">
        <v>-282.70920000000001</v>
      </c>
      <c r="H3449" s="1">
        <v>5.5037850000000004E-6</v>
      </c>
      <c r="I3449">
        <v>217.852</v>
      </c>
      <c r="J3449">
        <v>-314.26889999999997</v>
      </c>
      <c r="K3449">
        <v>1.1205609999999999</v>
      </c>
      <c r="L3449">
        <v>215.12020000000001</v>
      </c>
      <c r="M3449">
        <v>0.99991609999999997</v>
      </c>
      <c r="N3449">
        <v>-1.128387E-2</v>
      </c>
      <c r="O3449">
        <v>6.3828230000000001E-3</v>
      </c>
      <c r="P3449">
        <v>0.98213910000000004</v>
      </c>
      <c r="Q3449">
        <v>0.18810579999999999</v>
      </c>
      <c r="R3449">
        <v>4.3883439999999998E-3</v>
      </c>
      <c r="S3449">
        <v>3.0737000000000001</v>
      </c>
      <c r="T3449">
        <v>-0.1079354</v>
      </c>
      <c r="U3449">
        <v>0.26335140000000001</v>
      </c>
      <c r="V3449">
        <v>1.8883420000000001E-3</v>
      </c>
      <c r="W3449">
        <v>0.19917650000000001</v>
      </c>
      <c r="X3449">
        <v>0.97996179999999999</v>
      </c>
      <c r="Y3449">
        <v>-7.8942429999999994E-2</v>
      </c>
      <c r="Z3449">
        <v>1.677743E-3</v>
      </c>
      <c r="AA3449">
        <v>0.99687780000000004</v>
      </c>
      <c r="AB3449">
        <v>34</v>
      </c>
      <c r="AC3449">
        <v>31.5596999999999</v>
      </c>
      <c r="AD3449">
        <v>-1.1205554962149999</v>
      </c>
      <c r="AE3449">
        <v>2.73179999999999</v>
      </c>
      <c r="AF3449">
        <v>-2.5271293877580598</v>
      </c>
      <c r="AG3449">
        <v>-1.1205554962149999</v>
      </c>
      <c r="AH3449">
        <v>31.537032657416901</v>
      </c>
      <c r="AI3449">
        <v>92.028447619590395</v>
      </c>
      <c r="AJ3449">
        <v>94.581443144734607</v>
      </c>
      <c r="AK3449">
        <v>31.657960395413099</v>
      </c>
      <c r="AL3449">
        <v>78.511192711753907</v>
      </c>
      <c r="AM3449">
        <v>89.889593764814194</v>
      </c>
      <c r="AN3449">
        <v>0.99999998672349899</v>
      </c>
    </row>
    <row r="3450" spans="1:40" x14ac:dyDescent="0.25">
      <c r="A3450" t="str">
        <f>"20190303162325257"</f>
        <v>20190303162325257</v>
      </c>
      <c r="B3450" t="str">
        <f>"1551601405247800"</f>
        <v>1551601405247800</v>
      </c>
      <c r="C3450" t="s">
        <v>40</v>
      </c>
      <c r="D3450">
        <v>5.2839749999999999</v>
      </c>
      <c r="E3450">
        <v>0.46808830000000001</v>
      </c>
      <c r="F3450" t="s">
        <v>47</v>
      </c>
      <c r="G3450">
        <v>-277.81029999999998</v>
      </c>
      <c r="H3450" s="1">
        <v>2.4584820000000002E-6</v>
      </c>
      <c r="I3450">
        <v>218.29900000000001</v>
      </c>
      <c r="J3450">
        <v>-313.93349999999998</v>
      </c>
      <c r="K3450">
        <v>1.120571</v>
      </c>
      <c r="L3450">
        <v>215.1224</v>
      </c>
      <c r="M3450">
        <v>0.99991600000000003</v>
      </c>
      <c r="N3450">
        <v>-1.12864E-2</v>
      </c>
      <c r="O3450">
        <v>6.383166E-3</v>
      </c>
      <c r="P3450">
        <v>0.98207610000000001</v>
      </c>
      <c r="Q3450">
        <v>0.18843289999999999</v>
      </c>
      <c r="R3450">
        <v>4.4611329999999999E-3</v>
      </c>
      <c r="S3450">
        <v>3.0714419999999998</v>
      </c>
      <c r="T3450">
        <v>-9.4400999999999999E-2</v>
      </c>
      <c r="U3450">
        <v>0.26779170000000002</v>
      </c>
      <c r="V3450">
        <v>1.8153710000000001E-3</v>
      </c>
      <c r="W3450">
        <v>0.1995054</v>
      </c>
      <c r="X3450">
        <v>0.97989510000000002</v>
      </c>
      <c r="Y3450">
        <v>-8.0446480000000001E-2</v>
      </c>
      <c r="Z3450">
        <v>1.564778E-3</v>
      </c>
      <c r="AA3450">
        <v>0.99675769999999997</v>
      </c>
      <c r="AB3450">
        <v>34</v>
      </c>
      <c r="AC3450">
        <v>36.123199999999997</v>
      </c>
      <c r="AD3450">
        <v>-1.120568541518</v>
      </c>
      <c r="AE3450">
        <v>3.1766000000000001</v>
      </c>
      <c r="AF3450">
        <v>-2.9431298210008898</v>
      </c>
      <c r="AG3450">
        <v>-1.120568541518</v>
      </c>
      <c r="AH3450">
        <v>36.108262177888001</v>
      </c>
      <c r="AI3450">
        <v>91.771650914403295</v>
      </c>
      <c r="AJ3450">
        <v>94.659791207633504</v>
      </c>
      <c r="AK3450">
        <v>36.245334658499203</v>
      </c>
      <c r="AL3450">
        <v>78.491962956569296</v>
      </c>
      <c r="AM3450">
        <v>89.893852946552101</v>
      </c>
      <c r="AN3450">
        <v>1.00000005360251</v>
      </c>
    </row>
    <row r="3451" spans="1:40" x14ac:dyDescent="0.25">
      <c r="A3451" t="str">
        <f>"20190303162325279"</f>
        <v>20190303162325279</v>
      </c>
      <c r="B3451" t="str">
        <f>"1551601405268296"</f>
        <v>1551601405268296</v>
      </c>
      <c r="C3451" t="s">
        <v>40</v>
      </c>
      <c r="D3451">
        <v>5.225981</v>
      </c>
      <c r="E3451">
        <v>0.4677732</v>
      </c>
      <c r="F3451" t="s">
        <v>47</v>
      </c>
      <c r="G3451">
        <v>-276.44459999999998</v>
      </c>
      <c r="H3451" s="1">
        <v>1.7264249999999999E-6</v>
      </c>
      <c r="I3451">
        <v>218.4205</v>
      </c>
      <c r="J3451">
        <v>-313.6071</v>
      </c>
      <c r="K3451">
        <v>1.1205750000000001</v>
      </c>
      <c r="L3451">
        <v>215.12450000000001</v>
      </c>
      <c r="M3451">
        <v>0.99991609999999997</v>
      </c>
      <c r="N3451">
        <v>-1.128874E-2</v>
      </c>
      <c r="O3451">
        <v>6.3835100000000002E-3</v>
      </c>
      <c r="P3451">
        <v>0.98197310000000004</v>
      </c>
      <c r="Q3451">
        <v>0.18895999999999999</v>
      </c>
      <c r="R3451">
        <v>4.8213029999999999E-3</v>
      </c>
      <c r="S3451">
        <v>3.0711360000000001</v>
      </c>
      <c r="T3451">
        <v>-9.1798539999999998E-2</v>
      </c>
      <c r="U3451">
        <v>0.27018740000000002</v>
      </c>
      <c r="V3451">
        <v>1.455081E-3</v>
      </c>
      <c r="W3451">
        <v>0.2000334</v>
      </c>
      <c r="X3451">
        <v>0.97978799999999999</v>
      </c>
      <c r="Y3451">
        <v>-8.1228129999999996E-2</v>
      </c>
      <c r="Z3451">
        <v>1.552433E-3</v>
      </c>
      <c r="AA3451">
        <v>0.99669430000000003</v>
      </c>
      <c r="AB3451">
        <v>34</v>
      </c>
      <c r="AC3451">
        <v>37.162500000000001</v>
      </c>
      <c r="AD3451">
        <v>-1.120573273575</v>
      </c>
      <c r="AE3451">
        <v>3.29599999999999</v>
      </c>
      <c r="AF3451">
        <v>-3.0559337340991402</v>
      </c>
      <c r="AG3451">
        <v>-1.120573273575</v>
      </c>
      <c r="AH3451">
        <v>37.149270741406298</v>
      </c>
      <c r="AI3451">
        <v>91.721937415910702</v>
      </c>
      <c r="AJ3451">
        <v>94.702616132480102</v>
      </c>
      <c r="AK3451">
        <v>37.2915906347123</v>
      </c>
      <c r="AL3451">
        <v>78.461087839321095</v>
      </c>
      <c r="AM3451">
        <v>89.914910226642405</v>
      </c>
      <c r="AN3451">
        <v>1.00000000166013</v>
      </c>
    </row>
    <row r="3452" spans="1:40" x14ac:dyDescent="0.25">
      <c r="A3452" t="str">
        <f>"20190303162325303"</f>
        <v>20190303162325303</v>
      </c>
      <c r="B3452" t="str">
        <f>"1551601405287817"</f>
        <v>1551601405287817</v>
      </c>
      <c r="C3452" t="s">
        <v>40</v>
      </c>
      <c r="D3452">
        <v>5.3488689999999997</v>
      </c>
      <c r="E3452">
        <v>0.46743499999999999</v>
      </c>
      <c r="F3452" t="s">
        <v>47</v>
      </c>
      <c r="G3452">
        <v>-272.96510000000001</v>
      </c>
      <c r="H3452" s="1">
        <v>-1.39552E-7</v>
      </c>
      <c r="I3452">
        <v>218.74889999999999</v>
      </c>
      <c r="J3452">
        <v>-313.25069999999999</v>
      </c>
      <c r="K3452">
        <v>1.120579</v>
      </c>
      <c r="L3452">
        <v>215.1267</v>
      </c>
      <c r="M3452">
        <v>0.99991589999999997</v>
      </c>
      <c r="N3452">
        <v>-1.129119E-2</v>
      </c>
      <c r="O3452">
        <v>6.3839730000000003E-3</v>
      </c>
      <c r="P3452">
        <v>0.98180020000000001</v>
      </c>
      <c r="Q3452">
        <v>0.18985399999999999</v>
      </c>
      <c r="R3452">
        <v>4.9023479999999999E-3</v>
      </c>
      <c r="S3452">
        <v>3.0700379999999998</v>
      </c>
      <c r="T3452">
        <v>-8.4646579999999999E-2</v>
      </c>
      <c r="U3452">
        <v>0.27378849999999999</v>
      </c>
      <c r="V3452">
        <v>1.373422E-3</v>
      </c>
      <c r="W3452">
        <v>0.200928</v>
      </c>
      <c r="X3452">
        <v>0.97960510000000001</v>
      </c>
      <c r="Y3452">
        <v>-8.2424269999999994E-2</v>
      </c>
      <c r="Z3452">
        <v>1.4965410000000001E-3</v>
      </c>
      <c r="AA3452">
        <v>0.99659620000000004</v>
      </c>
      <c r="AB3452">
        <v>34</v>
      </c>
      <c r="AC3452">
        <v>40.285599999999903</v>
      </c>
      <c r="AD3452">
        <v>-1.1205791395519999</v>
      </c>
      <c r="AE3452">
        <v>3.6221999999999901</v>
      </c>
      <c r="AF3452">
        <v>-3.36234694511873</v>
      </c>
      <c r="AG3452">
        <v>-1.1205791395519999</v>
      </c>
      <c r="AH3452">
        <v>40.2769911532611</v>
      </c>
      <c r="AI3452">
        <v>91.588140243107006</v>
      </c>
      <c r="AJ3452">
        <v>94.772020530376196</v>
      </c>
      <c r="AK3452">
        <v>40.432624091780397</v>
      </c>
      <c r="AL3452">
        <v>78.408769399066998</v>
      </c>
      <c r="AM3452">
        <v>89.919670454420199</v>
      </c>
      <c r="AN3452">
        <v>1.00000004970899</v>
      </c>
    </row>
    <row r="3453" spans="1:40" x14ac:dyDescent="0.25">
      <c r="A3453" t="str">
        <f>"20190303162325326"</f>
        <v>20190303162325326</v>
      </c>
      <c r="B3453" t="str">
        <f>"1551601405318072"</f>
        <v>1551601405318072</v>
      </c>
      <c r="C3453" t="s">
        <v>40</v>
      </c>
      <c r="D3453">
        <v>5.223935</v>
      </c>
      <c r="E3453">
        <v>0.4670725</v>
      </c>
      <c r="F3453" t="s">
        <v>47</v>
      </c>
      <c r="G3453">
        <v>-268.99779999999998</v>
      </c>
      <c r="H3453" s="1">
        <v>3.0548200000000001E-6</v>
      </c>
      <c r="I3453">
        <v>219.11359999999999</v>
      </c>
      <c r="J3453">
        <v>-312.90859999999998</v>
      </c>
      <c r="K3453">
        <v>1.120579</v>
      </c>
      <c r="L3453">
        <v>215.12889999999999</v>
      </c>
      <c r="M3453">
        <v>0.99991589999999997</v>
      </c>
      <c r="N3453">
        <v>-1.129346E-2</v>
      </c>
      <c r="O3453">
        <v>6.3844369999999998E-3</v>
      </c>
      <c r="P3453">
        <v>0.98171410000000003</v>
      </c>
      <c r="Q3453">
        <v>0.19029960000000001</v>
      </c>
      <c r="R3453">
        <v>4.857854E-3</v>
      </c>
      <c r="S3453">
        <v>3.0692750000000002</v>
      </c>
      <c r="T3453">
        <v>-7.7720399999999995E-2</v>
      </c>
      <c r="U3453">
        <v>0.27651979999999998</v>
      </c>
      <c r="V3453">
        <v>1.417824E-3</v>
      </c>
      <c r="W3453">
        <v>0.20137459999999999</v>
      </c>
      <c r="X3453">
        <v>0.97951330000000003</v>
      </c>
      <c r="Y3453">
        <v>-8.3330769999999998E-2</v>
      </c>
      <c r="Z3453">
        <v>1.4350299999999999E-3</v>
      </c>
      <c r="AA3453">
        <v>0.99652090000000004</v>
      </c>
      <c r="AB3453">
        <v>34</v>
      </c>
      <c r="AC3453">
        <v>43.910800000000002</v>
      </c>
      <c r="AD3453">
        <v>-1.1205759451799999</v>
      </c>
      <c r="AE3453">
        <v>3.9847000000000001</v>
      </c>
      <c r="AF3453">
        <v>-3.70186407278986</v>
      </c>
      <c r="AG3453">
        <v>-1.1205759451799999</v>
      </c>
      <c r="AH3453">
        <v>43.906986270397603</v>
      </c>
      <c r="AI3453">
        <v>91.45679547121</v>
      </c>
      <c r="AJ3453">
        <v>94.819295732555602</v>
      </c>
      <c r="AK3453">
        <v>44.077011371135498</v>
      </c>
      <c r="AL3453">
        <v>78.382646848795105</v>
      </c>
      <c r="AM3453">
        <v>89.917065674802103</v>
      </c>
      <c r="AN3453">
        <v>1.00000002231347</v>
      </c>
    </row>
    <row r="3454" spans="1:40" x14ac:dyDescent="0.25">
      <c r="A3454" t="str">
        <f>"20190303162325348"</f>
        <v>20190303162325348</v>
      </c>
      <c r="B3454" t="str">
        <f>"1551601405338568"</f>
        <v>1551601405338568</v>
      </c>
      <c r="C3454" t="s">
        <v>40</v>
      </c>
      <c r="D3454">
        <v>5.3914999999999997</v>
      </c>
      <c r="E3454">
        <v>0.46706880000000001</v>
      </c>
      <c r="F3454" t="s">
        <v>47</v>
      </c>
      <c r="G3454">
        <v>-266.30599999999998</v>
      </c>
      <c r="H3454" s="1">
        <v>1.6109600000000001E-6</v>
      </c>
      <c r="I3454">
        <v>219.37430000000001</v>
      </c>
      <c r="J3454">
        <v>-312.56720000000001</v>
      </c>
      <c r="K3454">
        <v>1.120582</v>
      </c>
      <c r="L3454">
        <v>215.1311</v>
      </c>
      <c r="M3454">
        <v>0.99991589999999997</v>
      </c>
      <c r="N3454">
        <v>-1.1295619999999999E-2</v>
      </c>
      <c r="O3454">
        <v>6.3849609999999998E-3</v>
      </c>
      <c r="P3454">
        <v>0.98164280000000004</v>
      </c>
      <c r="Q3454">
        <v>0.1906726</v>
      </c>
      <c r="R3454">
        <v>4.6245590000000003E-3</v>
      </c>
      <c r="S3454">
        <v>3.068756</v>
      </c>
      <c r="T3454">
        <v>-7.3789359999999998E-2</v>
      </c>
      <c r="U3454">
        <v>0.27955629999999998</v>
      </c>
      <c r="V3454">
        <v>1.65130299999999E-3</v>
      </c>
      <c r="W3454">
        <v>0.20174909999999999</v>
      </c>
      <c r="X3454">
        <v>0.97943590000000003</v>
      </c>
      <c r="Y3454">
        <v>-8.4325949999999997E-2</v>
      </c>
      <c r="Z3454">
        <v>1.4077390000000001E-3</v>
      </c>
      <c r="AA3454">
        <v>0.99643729999999997</v>
      </c>
      <c r="AB3454">
        <v>34</v>
      </c>
      <c r="AC3454">
        <v>46.261200000000002</v>
      </c>
      <c r="AD3454">
        <v>-1.1205803890399999</v>
      </c>
      <c r="AE3454">
        <v>4.2431999999999999</v>
      </c>
      <c r="AF3454">
        <v>-3.9454230575425702</v>
      </c>
      <c r="AG3454">
        <v>-1.1205803890399999</v>
      </c>
      <c r="AH3454">
        <v>46.260434476590298</v>
      </c>
      <c r="AI3454">
        <v>91.382604105545695</v>
      </c>
      <c r="AJ3454">
        <v>94.874799993598003</v>
      </c>
      <c r="AK3454">
        <v>46.441897694583801</v>
      </c>
      <c r="AL3454">
        <v>78.360740334162301</v>
      </c>
      <c r="AM3454">
        <v>89.903400923989295</v>
      </c>
      <c r="AN3454">
        <v>1.0000000541806</v>
      </c>
    </row>
    <row r="3455" spans="1:40" x14ac:dyDescent="0.25">
      <c r="A3455" t="str">
        <f>"20190303162325369"</f>
        <v>20190303162325369</v>
      </c>
      <c r="B3455" t="str">
        <f>"1551601405358088"</f>
        <v>1551601405358088</v>
      </c>
      <c r="C3455" t="s">
        <v>40</v>
      </c>
      <c r="D3455">
        <v>5.4329580000000002</v>
      </c>
      <c r="E3455">
        <v>0.4672326</v>
      </c>
      <c r="F3455" t="s">
        <v>47</v>
      </c>
      <c r="G3455">
        <v>-264.0677</v>
      </c>
      <c r="H3455" s="1">
        <v>4.1288840000000001E-7</v>
      </c>
      <c r="I3455">
        <v>219.53309999999999</v>
      </c>
      <c r="J3455">
        <v>-312.25130000000001</v>
      </c>
      <c r="K3455">
        <v>1.1205799999999999</v>
      </c>
      <c r="L3455">
        <v>215.13310000000001</v>
      </c>
      <c r="M3455">
        <v>0.99991589999999997</v>
      </c>
      <c r="N3455">
        <v>-1.129757E-2</v>
      </c>
      <c r="O3455">
        <v>6.3853080000000001E-3</v>
      </c>
      <c r="P3455">
        <v>0.98155250000000005</v>
      </c>
      <c r="Q3455">
        <v>0.19114519999999999</v>
      </c>
      <c r="R3455">
        <v>4.2887619999999998E-3</v>
      </c>
      <c r="S3455">
        <v>3.0686040000000001</v>
      </c>
      <c r="T3455">
        <v>-7.0900080000000004E-2</v>
      </c>
      <c r="U3455">
        <v>0.27851870000000001</v>
      </c>
      <c r="V3455">
        <v>1.9867940000000001E-3</v>
      </c>
      <c r="W3455">
        <v>0.20222219999999999</v>
      </c>
      <c r="X3455">
        <v>0.97933760000000003</v>
      </c>
      <c r="Y3455">
        <v>-8.3998249999999997E-2</v>
      </c>
      <c r="Z3455">
        <v>1.3686359999999999E-3</v>
      </c>
      <c r="AA3455">
        <v>0.99646500000000005</v>
      </c>
      <c r="AB3455">
        <v>34</v>
      </c>
      <c r="AC3455">
        <v>48.183599999999998</v>
      </c>
      <c r="AD3455">
        <v>-1.1205795871116</v>
      </c>
      <c r="AE3455">
        <v>4.3999999999999702</v>
      </c>
      <c r="AF3455">
        <v>-4.0900297091434901</v>
      </c>
      <c r="AG3455">
        <v>-1.1205795871116</v>
      </c>
      <c r="AH3455">
        <v>48.184868868799498</v>
      </c>
      <c r="AI3455">
        <v>91.327449518968905</v>
      </c>
      <c r="AJ3455">
        <v>94.851752418716899</v>
      </c>
      <c r="AK3455">
        <v>48.371123922606301</v>
      </c>
      <c r="AL3455">
        <v>78.333062004267006</v>
      </c>
      <c r="AM3455">
        <v>89.883763520574206</v>
      </c>
      <c r="AN3455">
        <v>0.99999995014849796</v>
      </c>
    </row>
    <row r="3456" spans="1:40" x14ac:dyDescent="0.25">
      <c r="A3456" t="str">
        <f>"20190303162325391"</f>
        <v>20190303162325391</v>
      </c>
      <c r="B3456" t="str">
        <f>"1551601405378583"</f>
        <v>1551601405378583</v>
      </c>
      <c r="C3456" t="s">
        <v>40</v>
      </c>
      <c r="D3456">
        <v>5.236707</v>
      </c>
      <c r="E3456">
        <v>0.50693350000000004</v>
      </c>
      <c r="F3456" t="s">
        <v>47</v>
      </c>
      <c r="G3456">
        <v>-262.55939999999998</v>
      </c>
      <c r="H3456" s="1">
        <v>-3.9293369999999999E-7</v>
      </c>
      <c r="I3456">
        <v>219.6069</v>
      </c>
      <c r="J3456">
        <v>-311.92099999999999</v>
      </c>
      <c r="K3456">
        <v>1.120582</v>
      </c>
      <c r="L3456">
        <v>215.1352</v>
      </c>
      <c r="M3456">
        <v>0.99991580000000002</v>
      </c>
      <c r="N3456">
        <v>-1.129957E-2</v>
      </c>
      <c r="O3456">
        <v>6.385773E-3</v>
      </c>
      <c r="P3456">
        <v>0.98163199999999995</v>
      </c>
      <c r="Q3456">
        <v>0.19074050000000001</v>
      </c>
      <c r="R3456">
        <v>4.1104679999999999E-3</v>
      </c>
      <c r="S3456">
        <v>3.0686650000000002</v>
      </c>
      <c r="T3456">
        <v>-6.9200159999999997E-2</v>
      </c>
      <c r="U3456">
        <v>0.27627560000000001</v>
      </c>
      <c r="V3456">
        <v>2.16592E-3</v>
      </c>
      <c r="W3456">
        <v>0.20182059999999999</v>
      </c>
      <c r="X3456">
        <v>0.97942010000000002</v>
      </c>
      <c r="Y3456">
        <v>-8.3275089999999996E-2</v>
      </c>
      <c r="Z3456">
        <v>1.3368080000000001E-3</v>
      </c>
      <c r="AA3456">
        <v>0.99652569999999996</v>
      </c>
      <c r="AB3456">
        <v>34</v>
      </c>
      <c r="AC3456">
        <v>49.361600000000003</v>
      </c>
      <c r="AD3456">
        <v>-1.1205823929337</v>
      </c>
      <c r="AE3456">
        <v>4.4716999999999896</v>
      </c>
      <c r="AF3456">
        <v>-4.1542532251204296</v>
      </c>
      <c r="AG3456">
        <v>-1.1205823929337</v>
      </c>
      <c r="AH3456">
        <v>49.363917491338199</v>
      </c>
      <c r="AI3456">
        <v>91.295836762512494</v>
      </c>
      <c r="AJ3456">
        <v>94.810429600851194</v>
      </c>
      <c r="AK3456">
        <v>49.551083488148102</v>
      </c>
      <c r="AL3456">
        <v>78.356556878673302</v>
      </c>
      <c r="AM3456">
        <v>89.873294541876305</v>
      </c>
      <c r="AN3456">
        <v>0.99999998903890797</v>
      </c>
    </row>
    <row r="3457" spans="1:40" x14ac:dyDescent="0.25">
      <c r="A3457" t="str">
        <f>"20190303162325425"</f>
        <v>20190303162325425</v>
      </c>
      <c r="B3457" t="str">
        <f>"1551601405418205"</f>
        <v>1551601405418205</v>
      </c>
      <c r="C3457" t="s">
        <v>40</v>
      </c>
      <c r="D3457">
        <v>5.1804769999999998</v>
      </c>
      <c r="E3457">
        <v>0.52685590000000004</v>
      </c>
      <c r="F3457" t="s">
        <v>47</v>
      </c>
      <c r="G3457">
        <v>-253.18629999999999</v>
      </c>
      <c r="H3457" s="1">
        <v>1.70688299999999E-7</v>
      </c>
      <c r="I3457">
        <v>214.34469999999999</v>
      </c>
      <c r="J3457">
        <v>-311.41719999999998</v>
      </c>
      <c r="K3457">
        <v>1.120576</v>
      </c>
      <c r="L3457">
        <v>215.13849999999999</v>
      </c>
      <c r="M3457">
        <v>0.99991580000000002</v>
      </c>
      <c r="N3457">
        <v>-1.130253E-2</v>
      </c>
      <c r="O3457">
        <v>6.3864119999999898E-3</v>
      </c>
      <c r="P3457">
        <v>0.98176099999999999</v>
      </c>
      <c r="Q3457">
        <v>0.19008920000000001</v>
      </c>
      <c r="R3457">
        <v>3.3844249999999999E-3</v>
      </c>
      <c r="S3457">
        <v>3.067688</v>
      </c>
      <c r="T3457">
        <v>-5.8527589999999997E-2</v>
      </c>
      <c r="U3457">
        <v>-4.1290279999999999E-2</v>
      </c>
      <c r="V3457">
        <v>2.8934329999999999E-3</v>
      </c>
      <c r="W3457">
        <v>0.20117370000000001</v>
      </c>
      <c r="X3457">
        <v>0.97955130000000001</v>
      </c>
      <c r="Y3457">
        <v>1.983855E-2</v>
      </c>
      <c r="Z3457">
        <v>-3.5100939999999997E-4</v>
      </c>
      <c r="AA3457">
        <v>0.99980309999999994</v>
      </c>
      <c r="AB3457">
        <v>34</v>
      </c>
      <c r="AC3457">
        <v>58.230899999999899</v>
      </c>
      <c r="AD3457">
        <v>-1.1205758293117001</v>
      </c>
      <c r="AE3457">
        <v>-0.79380000000000395</v>
      </c>
      <c r="AF3457">
        <v>1.16526261988334</v>
      </c>
      <c r="AG3457">
        <v>-1.1205758293117001</v>
      </c>
      <c r="AH3457">
        <v>58.203092786955999</v>
      </c>
      <c r="AI3457">
        <v>91.102750261022607</v>
      </c>
      <c r="AJ3457">
        <v>88.853055589205496</v>
      </c>
      <c r="AK3457">
        <v>58.225540247639998</v>
      </c>
      <c r="AL3457">
        <v>78.394397672833904</v>
      </c>
      <c r="AM3457">
        <v>89.8307582083238</v>
      </c>
      <c r="AN3457">
        <v>0.99999998942895196</v>
      </c>
    </row>
    <row r="3458" spans="1:40" x14ac:dyDescent="0.25">
      <c r="A3458" t="str">
        <f>"20190303162325446"</f>
        <v>20190303162325446</v>
      </c>
      <c r="B3458" t="str">
        <f>"1551601405437726"</f>
        <v>1551601405437726</v>
      </c>
      <c r="C3458" t="s">
        <v>40</v>
      </c>
      <c r="D3458">
        <v>5.1899459999999999</v>
      </c>
      <c r="E3458">
        <v>0.52985859999999996</v>
      </c>
      <c r="F3458" t="s">
        <v>47</v>
      </c>
      <c r="G3458">
        <v>-275.28480000000002</v>
      </c>
      <c r="H3458" s="1">
        <v>1.3567080000000001E-6</v>
      </c>
      <c r="I3458">
        <v>212.75890000000001</v>
      </c>
      <c r="J3458">
        <v>-311.09190000000001</v>
      </c>
      <c r="K3458">
        <v>1.120568</v>
      </c>
      <c r="L3458">
        <v>215.1405</v>
      </c>
      <c r="M3458">
        <v>0.99991580000000002</v>
      </c>
      <c r="N3458">
        <v>-1.1304399999999999E-2</v>
      </c>
      <c r="O3458">
        <v>6.3867589999999997E-3</v>
      </c>
      <c r="P3458">
        <v>0.98183489999999995</v>
      </c>
      <c r="Q3458">
        <v>0.18971060000000001</v>
      </c>
      <c r="R3458">
        <v>3.2076439999999999E-3</v>
      </c>
      <c r="S3458">
        <v>3.0748899999999999</v>
      </c>
      <c r="T3458">
        <v>-9.5361589999999996E-2</v>
      </c>
      <c r="U3458">
        <v>-0.2024994</v>
      </c>
      <c r="V3458">
        <v>3.0710109999999998E-3</v>
      </c>
      <c r="W3458">
        <v>0.20079720000000001</v>
      </c>
      <c r="X3458">
        <v>0.97962800000000005</v>
      </c>
      <c r="Y3458">
        <v>7.2037149999999994E-2</v>
      </c>
      <c r="Z3458">
        <v>-1.649036E-3</v>
      </c>
      <c r="AA3458">
        <v>0.99740059999999997</v>
      </c>
      <c r="AB3458">
        <v>34</v>
      </c>
      <c r="AC3458">
        <v>35.807099999999899</v>
      </c>
      <c r="AD3458">
        <v>-1.1205666432920001</v>
      </c>
      <c r="AE3458">
        <v>-2.3815999999999899</v>
      </c>
      <c r="AF3458">
        <v>2.60771471776637</v>
      </c>
      <c r="AG3458">
        <v>-1.1205666432920001</v>
      </c>
      <c r="AH3458">
        <v>35.756294297811401</v>
      </c>
      <c r="AI3458">
        <v>91.790253565389904</v>
      </c>
      <c r="AJ3458">
        <v>85.828790542755598</v>
      </c>
      <c r="AK3458">
        <v>35.868766741595898</v>
      </c>
      <c r="AL3458">
        <v>78.416418813007098</v>
      </c>
      <c r="AM3458">
        <v>89.820385500677006</v>
      </c>
      <c r="AN3458">
        <v>0.99999998251020095</v>
      </c>
    </row>
    <row r="3459" spans="1:40" x14ac:dyDescent="0.25">
      <c r="A3459" t="str">
        <f>"20190303162325467"</f>
        <v>20190303162325467</v>
      </c>
      <c r="B3459" t="str">
        <f>"1551601405458221"</f>
        <v>1551601405458221</v>
      </c>
      <c r="C3459" t="s">
        <v>40</v>
      </c>
      <c r="D3459">
        <v>5.2248519999999896</v>
      </c>
      <c r="E3459">
        <v>0.53191709999999903</v>
      </c>
      <c r="F3459" t="s">
        <v>47</v>
      </c>
      <c r="G3459">
        <v>-279.35469999999998</v>
      </c>
      <c r="H3459" s="1">
        <v>3.5208810000000001E-6</v>
      </c>
      <c r="I3459">
        <v>212.7963</v>
      </c>
      <c r="J3459">
        <v>-310.77730000000003</v>
      </c>
      <c r="K3459">
        <v>1.120565</v>
      </c>
      <c r="L3459">
        <v>215.14259999999999</v>
      </c>
      <c r="M3459">
        <v>0.99991580000000002</v>
      </c>
      <c r="N3459">
        <v>-1.1306160000000001E-2</v>
      </c>
      <c r="O3459">
        <v>6.386928E-3</v>
      </c>
      <c r="P3459">
        <v>0.98186589999999996</v>
      </c>
      <c r="Q3459">
        <v>0.18953320000000001</v>
      </c>
      <c r="R3459">
        <v>4.090766E-3</v>
      </c>
      <c r="S3459">
        <v>3.0772400000000002</v>
      </c>
      <c r="T3459">
        <v>-0.1086501</v>
      </c>
      <c r="U3459">
        <v>-0.22729489999999999</v>
      </c>
      <c r="V3459">
        <v>2.1882529999999998E-3</v>
      </c>
      <c r="W3459">
        <v>0.20062199999999999</v>
      </c>
      <c r="X3459">
        <v>0.97966629999999999</v>
      </c>
      <c r="Y3459">
        <v>7.9963699999999999E-2</v>
      </c>
      <c r="Z3459">
        <v>-2.015209E-3</v>
      </c>
      <c r="AA3459">
        <v>0.99679569999999995</v>
      </c>
      <c r="AB3459">
        <v>34</v>
      </c>
      <c r="AC3459">
        <v>31.422599999999999</v>
      </c>
      <c r="AD3459">
        <v>-1.1205614791189999</v>
      </c>
      <c r="AE3459">
        <v>-2.3462999999999798</v>
      </c>
      <c r="AF3459">
        <v>2.54374186771174</v>
      </c>
      <c r="AG3459">
        <v>-1.1205614791189999</v>
      </c>
      <c r="AH3459">
        <v>31.3673035438207</v>
      </c>
      <c r="AI3459">
        <v>92.039268031383699</v>
      </c>
      <c r="AJ3459">
        <v>85.363725438575699</v>
      </c>
      <c r="AK3459">
        <v>31.490220899959098</v>
      </c>
      <c r="AL3459">
        <v>78.426665955519894</v>
      </c>
      <c r="AM3459">
        <v>89.872020245166794</v>
      </c>
      <c r="AN3459">
        <v>1.00000001734544</v>
      </c>
    </row>
    <row r="3460" spans="1:40" x14ac:dyDescent="0.25">
      <c r="A3460" t="str">
        <f>"20190303162325491"</f>
        <v>20190303162325491</v>
      </c>
      <c r="B3460" t="str">
        <f>"1551601405477742"</f>
        <v>1551601405477742</v>
      </c>
      <c r="C3460" t="s">
        <v>40</v>
      </c>
      <c r="D3460">
        <v>5.2076449999999896</v>
      </c>
      <c r="E3460">
        <v>0.53382359999999995</v>
      </c>
      <c r="F3460" t="s">
        <v>49</v>
      </c>
      <c r="G3460">
        <v>-280.56040000000002</v>
      </c>
      <c r="H3460" s="1">
        <v>7.0617940000000001E-6</v>
      </c>
      <c r="I3460">
        <v>212.77590000000001</v>
      </c>
      <c r="J3460">
        <v>-310.41849999999999</v>
      </c>
      <c r="K3460">
        <v>1.120573</v>
      </c>
      <c r="L3460">
        <v>215.14490000000001</v>
      </c>
      <c r="M3460">
        <v>0.99991569999999996</v>
      </c>
      <c r="N3460">
        <v>-1.13081E-2</v>
      </c>
      <c r="O3460">
        <v>6.3875719999999898E-3</v>
      </c>
      <c r="P3460">
        <v>0.98185650000000002</v>
      </c>
      <c r="Q3460">
        <v>0.18954940000000001</v>
      </c>
      <c r="R3460">
        <v>5.3723969999999897E-3</v>
      </c>
      <c r="S3460">
        <v>3.0784910000000001</v>
      </c>
      <c r="T3460">
        <v>-0.11416229999999999</v>
      </c>
      <c r="U3460">
        <v>-0.24111940000000001</v>
      </c>
      <c r="V3460">
        <v>9.0720989999999995E-4</v>
      </c>
      <c r="W3460">
        <v>0.20064019999999999</v>
      </c>
      <c r="X3460">
        <v>0.9796646</v>
      </c>
      <c r="Y3460">
        <v>8.4374199999999996E-2</v>
      </c>
      <c r="Z3460">
        <v>-2.2038919999999998E-3</v>
      </c>
      <c r="AA3460">
        <v>0.99643170000000003</v>
      </c>
      <c r="AB3460">
        <v>34</v>
      </c>
      <c r="AC3460">
        <v>29.858099999999901</v>
      </c>
      <c r="AD3460">
        <v>-1.120565938206</v>
      </c>
      <c r="AE3460">
        <v>-2.3690000000000002</v>
      </c>
      <c r="AF3460">
        <v>2.5561069136696499</v>
      </c>
      <c r="AG3460">
        <v>-1.120565938206</v>
      </c>
      <c r="AH3460">
        <v>29.800646649790298</v>
      </c>
      <c r="AI3460">
        <v>92.145554589394393</v>
      </c>
      <c r="AJ3460">
        <v>85.097537387351494</v>
      </c>
      <c r="AK3460">
        <v>29.931052292253899</v>
      </c>
      <c r="AL3460">
        <v>78.425601568466206</v>
      </c>
      <c r="AM3460">
        <v>89.9469417558374</v>
      </c>
      <c r="AN3460">
        <v>1.0000000206894999</v>
      </c>
    </row>
    <row r="3461" spans="1:40" x14ac:dyDescent="0.25">
      <c r="A3461" t="str">
        <f>"20190303162325514"</f>
        <v>20190303162325514</v>
      </c>
      <c r="B3461" t="str">
        <f>"1551601405508556"</f>
        <v>1551601405508556</v>
      </c>
      <c r="C3461" t="s">
        <v>40</v>
      </c>
      <c r="D3461">
        <v>5.2210919999999996</v>
      </c>
      <c r="E3461">
        <v>0.53541569999999905</v>
      </c>
      <c r="F3461" t="s">
        <v>49</v>
      </c>
      <c r="G3461">
        <v>-280.15870000000001</v>
      </c>
      <c r="H3461" s="1">
        <v>7.2531629999999999E-6</v>
      </c>
      <c r="I3461">
        <v>212.66480000000001</v>
      </c>
      <c r="J3461">
        <v>-310.07749999999999</v>
      </c>
      <c r="K3461">
        <v>1.1205780000000001</v>
      </c>
      <c r="L3461">
        <v>215.14699999999999</v>
      </c>
      <c r="M3461">
        <v>0.99991569999999996</v>
      </c>
      <c r="N3461">
        <v>-1.1309919999999999E-2</v>
      </c>
      <c r="O3461">
        <v>6.3880389999999999E-3</v>
      </c>
      <c r="P3461">
        <v>0.98175279999999998</v>
      </c>
      <c r="Q3461">
        <v>0.19008430000000001</v>
      </c>
      <c r="R3461">
        <v>5.4517439999999997E-3</v>
      </c>
      <c r="S3461">
        <v>3.078827</v>
      </c>
      <c r="T3461">
        <v>-0.1140138</v>
      </c>
      <c r="U3461">
        <v>-0.25233460000000002</v>
      </c>
      <c r="V3461">
        <v>8.275477E-4</v>
      </c>
      <c r="W3461">
        <v>0.20117560000000001</v>
      </c>
      <c r="X3461">
        <v>0.97955479999999995</v>
      </c>
      <c r="Y3461">
        <v>8.7969169999999999E-2</v>
      </c>
      <c r="Z3461">
        <v>-2.2880589999999998E-3</v>
      </c>
      <c r="AA3461">
        <v>0.99612060000000002</v>
      </c>
      <c r="AB3461">
        <v>34</v>
      </c>
      <c r="AC3461">
        <v>29.918799999999901</v>
      </c>
      <c r="AD3461">
        <v>-1.1205707468369901</v>
      </c>
      <c r="AE3461">
        <v>-2.4822000000000002</v>
      </c>
      <c r="AF3461">
        <v>2.6695648032202599</v>
      </c>
      <c r="AG3461">
        <v>-1.1205707468369901</v>
      </c>
      <c r="AH3461">
        <v>29.8607303145663</v>
      </c>
      <c r="AI3461">
        <v>92.140576347912898</v>
      </c>
      <c r="AJ3461">
        <v>84.891308982457403</v>
      </c>
      <c r="AK3461">
        <v>30.000757823036999</v>
      </c>
      <c r="AL3461">
        <v>78.3942861517138</v>
      </c>
      <c r="AM3461">
        <v>89.951595378558295</v>
      </c>
      <c r="AN3461">
        <v>0.99999995653679596</v>
      </c>
    </row>
    <row r="3462" spans="1:40" x14ac:dyDescent="0.25">
      <c r="A3462" t="str">
        <f>"20190303162325536"</f>
        <v>20190303162325536</v>
      </c>
      <c r="B3462" t="str">
        <f>"1551601405528076"</f>
        <v>1551601405528076</v>
      </c>
      <c r="C3462" t="s">
        <v>40</v>
      </c>
      <c r="D3462">
        <v>5.2395719999999999</v>
      </c>
      <c r="E3462">
        <v>0.53572959999999903</v>
      </c>
      <c r="F3462" t="s">
        <v>49</v>
      </c>
      <c r="G3462">
        <v>-280.00360000000001</v>
      </c>
      <c r="H3462" s="1">
        <v>7.3332140000000003E-6</v>
      </c>
      <c r="I3462">
        <v>212.57040000000001</v>
      </c>
      <c r="J3462">
        <v>-309.73259999999999</v>
      </c>
      <c r="K3462">
        <v>1.120581</v>
      </c>
      <c r="L3462">
        <v>215.14920000000001</v>
      </c>
      <c r="M3462">
        <v>0.99991560000000002</v>
      </c>
      <c r="N3462">
        <v>-1.1311740000000001E-2</v>
      </c>
      <c r="O3462">
        <v>6.3883859999999898E-3</v>
      </c>
      <c r="P3462">
        <v>0.98171189999999997</v>
      </c>
      <c r="Q3462">
        <v>0.1903135</v>
      </c>
      <c r="R3462">
        <v>4.7677099999999997E-3</v>
      </c>
      <c r="S3462">
        <v>3.0794679999999999</v>
      </c>
      <c r="T3462">
        <v>-0.114742899999999</v>
      </c>
      <c r="U3462">
        <v>-0.26383970000000001</v>
      </c>
      <c r="V3462">
        <v>1.511732E-3</v>
      </c>
      <c r="W3462">
        <v>0.20140630000000001</v>
      </c>
      <c r="X3462">
        <v>0.97950660000000001</v>
      </c>
      <c r="Y3462">
        <v>9.1643470000000005E-2</v>
      </c>
      <c r="Z3462">
        <v>-2.388579E-3</v>
      </c>
      <c r="AA3462">
        <v>0.99578900000000004</v>
      </c>
      <c r="AB3462">
        <v>34</v>
      </c>
      <c r="AC3462">
        <v>29.7289999999999</v>
      </c>
      <c r="AD3462">
        <v>-1.120573666786</v>
      </c>
      <c r="AE3462">
        <v>-2.5788000000000002</v>
      </c>
      <c r="AF3462">
        <v>2.76478110216383</v>
      </c>
      <c r="AG3462">
        <v>-1.120573666786</v>
      </c>
      <c r="AH3462">
        <v>29.670078654213299</v>
      </c>
      <c r="AI3462">
        <v>92.153586619964699</v>
      </c>
      <c r="AJ3462">
        <v>84.676314913706506</v>
      </c>
      <c r="AK3462">
        <v>29.819679193995</v>
      </c>
      <c r="AL3462">
        <v>78.380792096579697</v>
      </c>
      <c r="AM3462">
        <v>89.911572015356398</v>
      </c>
      <c r="AN3462">
        <v>0.99999998122844402</v>
      </c>
    </row>
    <row r="3463" spans="1:40" x14ac:dyDescent="0.25">
      <c r="A3463" t="str">
        <f>"20190303162325558"</f>
        <v>20190303162325558</v>
      </c>
      <c r="B3463" t="str">
        <f>"1551601405548571"</f>
        <v>1551601405548571</v>
      </c>
      <c r="C3463" t="s">
        <v>40</v>
      </c>
      <c r="D3463">
        <v>5.2425680000000003</v>
      </c>
      <c r="E3463">
        <v>0.53599039999999998</v>
      </c>
      <c r="F3463" t="s">
        <v>49</v>
      </c>
      <c r="G3463">
        <v>-280.0591</v>
      </c>
      <c r="H3463" s="1">
        <v>7.3087789999999901E-6</v>
      </c>
      <c r="I3463">
        <v>212.56909999999999</v>
      </c>
      <c r="J3463">
        <v>-309.39890000000003</v>
      </c>
      <c r="K3463">
        <v>1.120576</v>
      </c>
      <c r="L3463">
        <v>215.15129999999999</v>
      </c>
      <c r="M3463">
        <v>0.99991569999999996</v>
      </c>
      <c r="N3463">
        <v>-1.1313490000000001E-2</v>
      </c>
      <c r="O3463">
        <v>6.3887340000000001E-3</v>
      </c>
      <c r="P3463">
        <v>0.98175319999999999</v>
      </c>
      <c r="Q3463">
        <v>0.19011800000000001</v>
      </c>
      <c r="R3463">
        <v>3.9843719999999999E-3</v>
      </c>
      <c r="S3463">
        <v>3.0798030000000001</v>
      </c>
      <c r="T3463">
        <v>-0.1163037</v>
      </c>
      <c r="U3463">
        <v>-0.26779170000000002</v>
      </c>
      <c r="V3463">
        <v>2.2957889999999999E-3</v>
      </c>
      <c r="W3463">
        <v>0.20121249999999999</v>
      </c>
      <c r="X3463">
        <v>0.97954490000000005</v>
      </c>
      <c r="Y3463">
        <v>9.289965E-2</v>
      </c>
      <c r="Z3463">
        <v>-2.445549E-3</v>
      </c>
      <c r="AA3463">
        <v>0.99567249999999996</v>
      </c>
      <c r="AB3463">
        <v>34</v>
      </c>
      <c r="AC3463">
        <v>29.3398</v>
      </c>
      <c r="AD3463">
        <v>-1.120568691221</v>
      </c>
      <c r="AE3463">
        <v>-2.5821999999999998</v>
      </c>
      <c r="AF3463">
        <v>2.76560030686817</v>
      </c>
      <c r="AG3463">
        <v>-1.120568691221</v>
      </c>
      <c r="AH3463">
        <v>29.280320517598501</v>
      </c>
      <c r="AI3463">
        <v>92.181959223350603</v>
      </c>
      <c r="AJ3463">
        <v>84.604276347354798</v>
      </c>
      <c r="AK3463">
        <v>29.4319790170895</v>
      </c>
      <c r="AL3463">
        <v>78.3921280307313</v>
      </c>
      <c r="AM3463">
        <v>89.865714395019197</v>
      </c>
      <c r="AN3463">
        <v>0.99999997595969603</v>
      </c>
    </row>
    <row r="3464" spans="1:40" x14ac:dyDescent="0.25">
      <c r="A3464" t="str">
        <f>"20190303162325581"</f>
        <v>20190303162325581</v>
      </c>
      <c r="B3464" t="str">
        <f>"1551601405568092"</f>
        <v>1551601405568092</v>
      </c>
      <c r="C3464" t="s">
        <v>40</v>
      </c>
      <c r="D3464">
        <v>5.2628820000000003</v>
      </c>
      <c r="E3464">
        <v>0.53621799999999997</v>
      </c>
      <c r="F3464" t="s">
        <v>49</v>
      </c>
      <c r="G3464">
        <v>-280.09219999999999</v>
      </c>
      <c r="H3464" s="1">
        <v>7.2961249999999902E-6</v>
      </c>
      <c r="I3464">
        <v>212.55199999999999</v>
      </c>
      <c r="J3464">
        <v>-309.06549999999999</v>
      </c>
      <c r="K3464">
        <v>1.1205700000000001</v>
      </c>
      <c r="L3464">
        <v>215.15350000000001</v>
      </c>
      <c r="M3464">
        <v>0.99991569999999996</v>
      </c>
      <c r="N3464">
        <v>-1.1315270000000001E-2</v>
      </c>
      <c r="O3464">
        <v>6.3890209999999999E-3</v>
      </c>
      <c r="P3464">
        <v>0.98170009999999996</v>
      </c>
      <c r="Q3464">
        <v>0.1904015</v>
      </c>
      <c r="R3464">
        <v>3.4977720000000001E-3</v>
      </c>
      <c r="S3464">
        <v>3.0796809999999999</v>
      </c>
      <c r="T3464">
        <v>-0.1177545</v>
      </c>
      <c r="U3464">
        <v>-0.27314759999999999</v>
      </c>
      <c r="V3464">
        <v>2.7824170000000001E-3</v>
      </c>
      <c r="W3464">
        <v>0.20149739999999999</v>
      </c>
      <c r="X3464">
        <v>0.9794851</v>
      </c>
      <c r="Y3464">
        <v>9.4617930000000003E-2</v>
      </c>
      <c r="Z3464">
        <v>-2.5129420000000002E-3</v>
      </c>
      <c r="AA3464">
        <v>0.99551049999999996</v>
      </c>
      <c r="AB3464">
        <v>34</v>
      </c>
      <c r="AC3464">
        <v>28.973299999999899</v>
      </c>
      <c r="AD3464">
        <v>-1.1205627038749999</v>
      </c>
      <c r="AE3464">
        <v>-2.6014999999999802</v>
      </c>
      <c r="AF3464">
        <v>2.7824410295725599</v>
      </c>
      <c r="AG3464">
        <v>-1.1205627038749999</v>
      </c>
      <c r="AH3464">
        <v>28.913183741969</v>
      </c>
      <c r="AI3464">
        <v>92.209254844126804</v>
      </c>
      <c r="AJ3464">
        <v>84.503106015482999</v>
      </c>
      <c r="AK3464">
        <v>29.068364813887001</v>
      </c>
      <c r="AL3464">
        <v>78.375463451900202</v>
      </c>
      <c r="AM3464">
        <v>89.837240686836196</v>
      </c>
      <c r="AN3464">
        <v>1.0000000025865601</v>
      </c>
    </row>
    <row r="3465" spans="1:40" x14ac:dyDescent="0.25">
      <c r="A3465" t="str">
        <f>"20190303162325602"</f>
        <v>20190303162325602</v>
      </c>
      <c r="B3465" t="str">
        <f>"1551601405588588"</f>
        <v>1551601405588588</v>
      </c>
      <c r="C3465" t="s">
        <v>40</v>
      </c>
      <c r="D3465">
        <v>5.2704269999999998</v>
      </c>
      <c r="E3465">
        <v>0.53645799999999999</v>
      </c>
      <c r="F3465" t="s">
        <v>49</v>
      </c>
      <c r="G3465">
        <v>-280.09879999999998</v>
      </c>
      <c r="H3465" s="1">
        <v>7.2930829999999998E-6</v>
      </c>
      <c r="I3465">
        <v>212.55289999999999</v>
      </c>
      <c r="J3465">
        <v>-308.73410000000001</v>
      </c>
      <c r="K3465">
        <v>1.120574</v>
      </c>
      <c r="L3465">
        <v>215.15559999999999</v>
      </c>
      <c r="M3465">
        <v>0.99991569999999996</v>
      </c>
      <c r="N3465">
        <v>-1.131704E-2</v>
      </c>
      <c r="O3465">
        <v>6.3893680000000003E-3</v>
      </c>
      <c r="P3465">
        <v>0.98165789999999997</v>
      </c>
      <c r="Q3465">
        <v>0.19062809999999999</v>
      </c>
      <c r="R3465">
        <v>2.9944870000000001E-3</v>
      </c>
      <c r="S3465">
        <v>3.0800169999999998</v>
      </c>
      <c r="T3465">
        <v>-0.11914909999999999</v>
      </c>
      <c r="U3465">
        <v>-0.27651979999999998</v>
      </c>
      <c r="V3465">
        <v>3.2857490000000001E-3</v>
      </c>
      <c r="W3465">
        <v>0.20172480000000001</v>
      </c>
      <c r="X3465">
        <v>0.97943670000000005</v>
      </c>
      <c r="Y3465">
        <v>9.5687060000000004E-2</v>
      </c>
      <c r="Z3465">
        <v>-2.5636719999999999E-3</v>
      </c>
      <c r="AA3465">
        <v>0.99540819999999997</v>
      </c>
      <c r="AB3465">
        <v>34</v>
      </c>
      <c r="AC3465">
        <v>28.635300000000001</v>
      </c>
      <c r="AD3465">
        <v>-1.120566706917</v>
      </c>
      <c r="AE3465">
        <v>-2.6026999999999898</v>
      </c>
      <c r="AF3465">
        <v>2.7813956581502102</v>
      </c>
      <c r="AG3465">
        <v>-1.120566706917</v>
      </c>
      <c r="AH3465">
        <v>28.574685682098</v>
      </c>
      <c r="AI3465">
        <v>92.235171177357003</v>
      </c>
      <c r="AJ3465">
        <v>84.440471673118907</v>
      </c>
      <c r="AK3465">
        <v>28.731593993068401</v>
      </c>
      <c r="AL3465">
        <v>78.362160857137994</v>
      </c>
      <c r="AM3465">
        <v>89.807788656474699</v>
      </c>
      <c r="AN3465">
        <v>0.99999997019421005</v>
      </c>
    </row>
    <row r="3466" spans="1:40" x14ac:dyDescent="0.25">
      <c r="A3466" t="str">
        <f>"20190303162325625"</f>
        <v>20190303162325625</v>
      </c>
      <c r="B3466" t="str">
        <f>"1551601405618496"</f>
        <v>1551601405618496</v>
      </c>
      <c r="C3466" t="s">
        <v>40</v>
      </c>
      <c r="D3466">
        <v>5.2325439999999999</v>
      </c>
      <c r="E3466">
        <v>0.53666969999999903</v>
      </c>
      <c r="F3466" t="s">
        <v>49</v>
      </c>
      <c r="G3466">
        <v>-280.01690000000002</v>
      </c>
      <c r="H3466" s="1">
        <v>7.3298950000000004E-6</v>
      </c>
      <c r="I3466">
        <v>212.5487</v>
      </c>
      <c r="J3466">
        <v>-308.39710000000002</v>
      </c>
      <c r="K3466">
        <v>1.1205719999999999</v>
      </c>
      <c r="L3466">
        <v>215.15770000000001</v>
      </c>
      <c r="M3466">
        <v>0.99991569999999996</v>
      </c>
      <c r="N3466">
        <v>-1.131884E-2</v>
      </c>
      <c r="O3466">
        <v>6.3898339999999996E-3</v>
      </c>
      <c r="P3466">
        <v>0.98164059999999997</v>
      </c>
      <c r="Q3466">
        <v>0.19071679999999999</v>
      </c>
      <c r="R3466">
        <v>2.998101E-3</v>
      </c>
      <c r="S3466">
        <v>3.0802309999999999</v>
      </c>
      <c r="T3466">
        <v>-0.12019299999999999</v>
      </c>
      <c r="U3466">
        <v>-0.27961730000000001</v>
      </c>
      <c r="V3466">
        <v>3.2824740000000001E-3</v>
      </c>
      <c r="W3466">
        <v>0.20181589999999999</v>
      </c>
      <c r="X3466">
        <v>0.97941800000000001</v>
      </c>
      <c r="Y3466">
        <v>9.6671800000000002E-2</v>
      </c>
      <c r="Z3466">
        <v>-2.6066290000000001E-3</v>
      </c>
      <c r="AA3466">
        <v>0.99531289999999994</v>
      </c>
      <c r="AB3466">
        <v>34</v>
      </c>
      <c r="AC3466">
        <v>28.380199999999999</v>
      </c>
      <c r="AD3466">
        <v>-1.1205646701049901</v>
      </c>
      <c r="AE3466">
        <v>-2.609</v>
      </c>
      <c r="AF3466">
        <v>2.7859961448911998</v>
      </c>
      <c r="AG3466">
        <v>-1.1205646701049901</v>
      </c>
      <c r="AH3466">
        <v>28.319169120374099</v>
      </c>
      <c r="AI3466">
        <v>92.255086463745499</v>
      </c>
      <c r="AJ3466">
        <v>84.381409281029704</v>
      </c>
      <c r="AK3466">
        <v>28.477934956165399</v>
      </c>
      <c r="AL3466">
        <v>78.356832256035801</v>
      </c>
      <c r="AM3466">
        <v>89.807976571382298</v>
      </c>
      <c r="AN3466">
        <v>1.0000000254261801</v>
      </c>
    </row>
    <row r="3467" spans="1:40" x14ac:dyDescent="0.25">
      <c r="A3467" t="str">
        <f>"20190303162325646"</f>
        <v>20190303162325646</v>
      </c>
      <c r="B3467" t="str">
        <f>"1551601405638016"</f>
        <v>1551601405638016</v>
      </c>
      <c r="C3467" t="s">
        <v>40</v>
      </c>
      <c r="D3467">
        <v>5.2831440000000001</v>
      </c>
      <c r="E3467">
        <v>0.53693040000000003</v>
      </c>
      <c r="F3467" t="s">
        <v>49</v>
      </c>
      <c r="G3467">
        <v>-280.30130000000003</v>
      </c>
      <c r="H3467" s="1">
        <v>7.1980149999999997E-6</v>
      </c>
      <c r="I3467">
        <v>212.59700000000001</v>
      </c>
      <c r="J3467">
        <v>-308.0582</v>
      </c>
      <c r="K3467">
        <v>1.120573</v>
      </c>
      <c r="L3467">
        <v>215.15989999999999</v>
      </c>
      <c r="M3467">
        <v>0.99991549999999996</v>
      </c>
      <c r="N3467">
        <v>-1.132067E-2</v>
      </c>
      <c r="O3467">
        <v>6.3903600000000003E-3</v>
      </c>
      <c r="P3467">
        <v>0.98159960000000002</v>
      </c>
      <c r="Q3467">
        <v>0.19091830000000001</v>
      </c>
      <c r="R3467">
        <v>3.5675910000000002E-3</v>
      </c>
      <c r="S3467">
        <v>3.0808110000000002</v>
      </c>
      <c r="T3467">
        <v>-0.122874</v>
      </c>
      <c r="U3467">
        <v>-0.28079219999999999</v>
      </c>
      <c r="V3467">
        <v>2.7131859999999998E-3</v>
      </c>
      <c r="W3467">
        <v>0.20201859999999999</v>
      </c>
      <c r="X3467">
        <v>0.97937790000000002</v>
      </c>
      <c r="Y3467">
        <v>9.7027660000000002E-2</v>
      </c>
      <c r="Z3467">
        <v>-2.6628770000000001E-3</v>
      </c>
      <c r="AA3467">
        <v>0.99527810000000005</v>
      </c>
      <c r="AB3467">
        <v>34</v>
      </c>
      <c r="AC3467">
        <v>27.756899999999899</v>
      </c>
      <c r="AD3467">
        <v>-1.120565801985</v>
      </c>
      <c r="AE3467">
        <v>-2.56289999999998</v>
      </c>
      <c r="AF3467">
        <v>2.7358144905188699</v>
      </c>
      <c r="AG3467">
        <v>-1.120565801985</v>
      </c>
      <c r="AH3467">
        <v>27.695198358396301</v>
      </c>
      <c r="AI3467">
        <v>92.305750513317406</v>
      </c>
      <c r="AJ3467">
        <v>84.358454318711793</v>
      </c>
      <c r="AK3467">
        <v>27.8525467552615</v>
      </c>
      <c r="AL3467">
        <v>78.344973542695797</v>
      </c>
      <c r="AM3467">
        <v>89.841273006925505</v>
      </c>
      <c r="AN3467">
        <v>0.99999997356631998</v>
      </c>
    </row>
    <row r="3468" spans="1:40" x14ac:dyDescent="0.25">
      <c r="A3468" t="str">
        <f>"20190303162325669"</f>
        <v>20190303162325669</v>
      </c>
      <c r="B3468" t="str">
        <f>"1551601405658512"</f>
        <v>1551601405658512</v>
      </c>
      <c r="C3468" t="s">
        <v>40</v>
      </c>
      <c r="D3468">
        <v>5.2990519999999997</v>
      </c>
      <c r="E3468">
        <v>0.53712069999999901</v>
      </c>
      <c r="F3468" t="s">
        <v>49</v>
      </c>
      <c r="G3468">
        <v>-280.18009999999998</v>
      </c>
      <c r="H3468" s="1">
        <v>7.2492260000000003E-6</v>
      </c>
      <c r="I3468">
        <v>212.61850000000001</v>
      </c>
      <c r="J3468">
        <v>-307.72039999999998</v>
      </c>
      <c r="K3468">
        <v>1.120579</v>
      </c>
      <c r="L3468">
        <v>215.16210000000001</v>
      </c>
      <c r="M3468">
        <v>0.99991549999999996</v>
      </c>
      <c r="N3468">
        <v>-1.1322509999999999E-2</v>
      </c>
      <c r="O3468">
        <v>6.3907080000000002E-3</v>
      </c>
      <c r="P3468">
        <v>0.98156339999999997</v>
      </c>
      <c r="Q3468">
        <v>0.19110440000000001</v>
      </c>
      <c r="R3468">
        <v>3.5796399999999998E-3</v>
      </c>
      <c r="S3468">
        <v>3.0813600000000001</v>
      </c>
      <c r="T3468">
        <v>-0.1238558</v>
      </c>
      <c r="U3468">
        <v>-0.28089899999999901</v>
      </c>
      <c r="V3468">
        <v>2.701092E-3</v>
      </c>
      <c r="W3468">
        <v>0.20220589999999999</v>
      </c>
      <c r="X3468">
        <v>0.97933930000000002</v>
      </c>
      <c r="Y3468">
        <v>9.7044749999999999E-2</v>
      </c>
      <c r="Z3468">
        <v>-2.680455E-3</v>
      </c>
      <c r="AA3468">
        <v>0.99527639999999995</v>
      </c>
      <c r="AB3468">
        <v>34</v>
      </c>
      <c r="AC3468">
        <v>27.540299999999998</v>
      </c>
      <c r="AD3468">
        <v>-1.1205717507740001</v>
      </c>
      <c r="AE3468">
        <v>-2.5435999999999899</v>
      </c>
      <c r="AF3468">
        <v>2.7151043760758902</v>
      </c>
      <c r="AG3468">
        <v>-1.1205717507740001</v>
      </c>
      <c r="AH3468">
        <v>27.478374068491199</v>
      </c>
      <c r="AI3468">
        <v>92.323931154346795</v>
      </c>
      <c r="AJ3468">
        <v>84.356991419247905</v>
      </c>
      <c r="AK3468">
        <v>27.634914768631901</v>
      </c>
      <c r="AL3468">
        <v>78.334016135459294</v>
      </c>
      <c r="AM3468">
        <v>89.841974299145804</v>
      </c>
      <c r="AN3468">
        <v>0.99999999320864597</v>
      </c>
    </row>
    <row r="3469" spans="1:40" x14ac:dyDescent="0.25">
      <c r="A3469" t="str">
        <f>"20190303162325696"</f>
        <v>20190303162325696</v>
      </c>
      <c r="B3469" t="str">
        <f>"1551601405687793"</f>
        <v>1551601405687793</v>
      </c>
      <c r="C3469" t="s">
        <v>40</v>
      </c>
      <c r="D3469">
        <v>5.2850429999999999</v>
      </c>
      <c r="E3469">
        <v>0.52322270000000004</v>
      </c>
      <c r="F3469" t="s">
        <v>49</v>
      </c>
      <c r="G3469">
        <v>-280.10669999999999</v>
      </c>
      <c r="H3469" s="1">
        <v>7.280072E-6</v>
      </c>
      <c r="I3469">
        <v>212.6326</v>
      </c>
      <c r="J3469">
        <v>-307.32900000000001</v>
      </c>
      <c r="K3469">
        <v>1.1205799999999999</v>
      </c>
      <c r="L3469">
        <v>215.16460000000001</v>
      </c>
      <c r="M3469">
        <v>0.99991549999999996</v>
      </c>
      <c r="N3469">
        <v>-1.132465E-2</v>
      </c>
      <c r="O3469">
        <v>6.3908169999999896E-3</v>
      </c>
      <c r="P3469">
        <v>0.98148959999999996</v>
      </c>
      <c r="Q3469">
        <v>0.1914891</v>
      </c>
      <c r="R3469">
        <v>3.2244180000000002E-3</v>
      </c>
      <c r="S3469">
        <v>3.0817260000000002</v>
      </c>
      <c r="T3469">
        <v>-0.12505730000000001</v>
      </c>
      <c r="U3469">
        <v>-0.28228760000000003</v>
      </c>
      <c r="V3469">
        <v>3.0560409999999998E-3</v>
      </c>
      <c r="W3469">
        <v>0.20259199999999999</v>
      </c>
      <c r="X3469">
        <v>0.97925850000000003</v>
      </c>
      <c r="Y3469">
        <v>9.7476649999999998E-2</v>
      </c>
      <c r="Z3469">
        <v>-2.7127929999999998E-3</v>
      </c>
      <c r="AA3469">
        <v>0.99523410000000001</v>
      </c>
      <c r="AB3469">
        <v>34</v>
      </c>
      <c r="AC3469">
        <v>27.222300000000001</v>
      </c>
      <c r="AD3469">
        <v>-1.120572719928</v>
      </c>
      <c r="AE3469">
        <v>-2.5320000000000098</v>
      </c>
      <c r="AF3469">
        <v>2.7013940375888499</v>
      </c>
      <c r="AG3469">
        <v>-1.120572719928</v>
      </c>
      <c r="AH3469">
        <v>27.15993481788</v>
      </c>
      <c r="AI3469">
        <v>92.350999230512599</v>
      </c>
      <c r="AJ3469">
        <v>84.319902093760007</v>
      </c>
      <c r="AK3469">
        <v>27.316941122286298</v>
      </c>
      <c r="AL3469">
        <v>78.311427186253198</v>
      </c>
      <c r="AM3469">
        <v>89.821193604259904</v>
      </c>
      <c r="AN3469">
        <v>1.0000000338364201</v>
      </c>
    </row>
    <row r="3470" spans="1:40" x14ac:dyDescent="0.25">
      <c r="A3470" t="str">
        <f>"20190303162325713"</f>
        <v>20190303162325713</v>
      </c>
      <c r="B3470" t="str">
        <f>"1551601405708012"</f>
        <v>1551601405708012</v>
      </c>
      <c r="C3470" t="s">
        <v>40</v>
      </c>
      <c r="D3470">
        <v>5.2475500000000004</v>
      </c>
      <c r="E3470">
        <v>0.52440969999999998</v>
      </c>
      <c r="F3470" t="s">
        <v>49</v>
      </c>
      <c r="G3470">
        <v>-287.3707</v>
      </c>
      <c r="H3470" s="1">
        <v>3.8897460000000002E-6</v>
      </c>
      <c r="I3470">
        <v>214.05070000000001</v>
      </c>
      <c r="J3470">
        <v>-307.04500000000002</v>
      </c>
      <c r="K3470">
        <v>1.120581</v>
      </c>
      <c r="L3470">
        <v>215.16640000000001</v>
      </c>
      <c r="M3470">
        <v>0.99991549999999996</v>
      </c>
      <c r="N3470">
        <v>-1.13262E-2</v>
      </c>
      <c r="O3470">
        <v>6.3911649999999999E-3</v>
      </c>
      <c r="P3470">
        <v>0.98146770000000005</v>
      </c>
      <c r="Q3470">
        <v>0.19160150000000001</v>
      </c>
      <c r="R3470">
        <v>3.1962420000000002E-3</v>
      </c>
      <c r="S3470">
        <v>3.0910030000000002</v>
      </c>
      <c r="T3470">
        <v>-0.1735466</v>
      </c>
      <c r="U3470">
        <v>-0.1725006</v>
      </c>
      <c r="V3470">
        <v>3.084542E-3</v>
      </c>
      <c r="W3470">
        <v>0.20270550000000001</v>
      </c>
      <c r="X3470">
        <v>0.97923490000000002</v>
      </c>
      <c r="Y3470">
        <v>6.19776999999999E-2</v>
      </c>
      <c r="Z3470">
        <v>-2.374779E-3</v>
      </c>
      <c r="AA3470">
        <v>0.99807469999999998</v>
      </c>
      <c r="AB3470">
        <v>34</v>
      </c>
      <c r="AC3470">
        <v>19.674299999999999</v>
      </c>
      <c r="AD3470">
        <v>-1.1205771102540001</v>
      </c>
      <c r="AE3470">
        <v>-1.1156999999999999</v>
      </c>
      <c r="AF3470">
        <v>1.23742558695356</v>
      </c>
      <c r="AG3470">
        <v>-1.1205771102540001</v>
      </c>
      <c r="AH3470">
        <v>19.6033769492437</v>
      </c>
      <c r="AI3470">
        <v>93.265122608254899</v>
      </c>
      <c r="AJ3470">
        <v>86.388105902982005</v>
      </c>
      <c r="AK3470">
        <v>19.674331067596999</v>
      </c>
      <c r="AL3470">
        <v>78.304786065684695</v>
      </c>
      <c r="AM3470">
        <v>89.819521696158901</v>
      </c>
      <c r="AN3470">
        <v>1.0000000117537999</v>
      </c>
    </row>
    <row r="3471" spans="1:40" x14ac:dyDescent="0.25">
      <c r="A3471" t="str">
        <f>"20190303162325737"</f>
        <v>20190303162325737</v>
      </c>
      <c r="B3471" t="str">
        <f>"1551601405728507"</f>
        <v>1551601405728507</v>
      </c>
      <c r="C3471" t="s">
        <v>40</v>
      </c>
      <c r="D3471">
        <v>5.2616949999999996</v>
      </c>
      <c r="E3471">
        <v>0.52514419999999995</v>
      </c>
      <c r="F3471" t="s">
        <v>49</v>
      </c>
      <c r="G3471">
        <v>-287.16329999999999</v>
      </c>
      <c r="H3471" s="1">
        <v>3.9880569999999999E-6</v>
      </c>
      <c r="I3471">
        <v>213.9975</v>
      </c>
      <c r="J3471">
        <v>-306.69490000000002</v>
      </c>
      <c r="K3471">
        <v>1.120573</v>
      </c>
      <c r="L3471">
        <v>215.1686</v>
      </c>
      <c r="M3471">
        <v>0.99991549999999996</v>
      </c>
      <c r="N3471">
        <v>-1.1328059999999999E-2</v>
      </c>
      <c r="O3471">
        <v>6.3915119999999898E-3</v>
      </c>
      <c r="P3471">
        <v>0.98141690000000004</v>
      </c>
      <c r="Q3471">
        <v>0.19186810000000001</v>
      </c>
      <c r="R3471">
        <v>2.795503E-3</v>
      </c>
      <c r="S3471">
        <v>3.0912480000000002</v>
      </c>
      <c r="T3471">
        <v>-0.17422950000000001</v>
      </c>
      <c r="U3471">
        <v>-0.1817474</v>
      </c>
      <c r="V3471">
        <v>3.4850459999999999E-3</v>
      </c>
      <c r="W3471">
        <v>0.20297309999999999</v>
      </c>
      <c r="X3471">
        <v>0.97917810000000005</v>
      </c>
      <c r="Y3471">
        <v>6.4942639999999996E-2</v>
      </c>
      <c r="Z3471">
        <v>-2.4830099999999999E-3</v>
      </c>
      <c r="AA3471">
        <v>0.99788589999999999</v>
      </c>
      <c r="AB3471">
        <v>34</v>
      </c>
      <c r="AC3471">
        <v>19.531600000000001</v>
      </c>
      <c r="AD3471">
        <v>-1.1205690119429901</v>
      </c>
      <c r="AE3471">
        <v>-1.17109999999999</v>
      </c>
      <c r="AF3471">
        <v>1.2916841076983501</v>
      </c>
      <c r="AG3471">
        <v>-1.1205690119429901</v>
      </c>
      <c r="AH3471">
        <v>19.459891502051899</v>
      </c>
      <c r="AI3471">
        <v>93.288432810119502</v>
      </c>
      <c r="AJ3471">
        <v>86.202463704712002</v>
      </c>
      <c r="AK3471">
        <v>19.534879063261101</v>
      </c>
      <c r="AL3471">
        <v>78.289127940747306</v>
      </c>
      <c r="AM3471">
        <v>89.796076337830698</v>
      </c>
      <c r="AN3471">
        <v>0.99999998819442104</v>
      </c>
    </row>
    <row r="3472" spans="1:40" x14ac:dyDescent="0.25">
      <c r="A3472" t="str">
        <f>"20190303162325759"</f>
        <v>20190303162325759</v>
      </c>
      <c r="B3472" t="str">
        <f>"1551601405748028"</f>
        <v>1551601405748028</v>
      </c>
      <c r="C3472" t="s">
        <v>40</v>
      </c>
      <c r="D3472">
        <v>5.2073790000000004</v>
      </c>
      <c r="E3472">
        <v>0.52532380000000001</v>
      </c>
      <c r="F3472" t="s">
        <v>49</v>
      </c>
      <c r="G3472">
        <v>-286.42169999999999</v>
      </c>
      <c r="H3472" s="1">
        <v>4.3256550000000002E-6</v>
      </c>
      <c r="I3472">
        <v>213.92410000000001</v>
      </c>
      <c r="J3472">
        <v>-306.3605</v>
      </c>
      <c r="K3472">
        <v>1.1205750000000001</v>
      </c>
      <c r="L3472">
        <v>215.17070000000001</v>
      </c>
      <c r="M3472">
        <v>0.99991549999999996</v>
      </c>
      <c r="N3472">
        <v>-1.1329809999999999E-2</v>
      </c>
      <c r="O3472">
        <v>6.3918000000000004E-3</v>
      </c>
      <c r="P3472">
        <v>0.98121480000000005</v>
      </c>
      <c r="Q3472">
        <v>0.1928926</v>
      </c>
      <c r="R3472">
        <v>3.2247959999999998E-3</v>
      </c>
      <c r="S3472">
        <v>3.0907589999999998</v>
      </c>
      <c r="T3472">
        <v>-0.17083690000000001</v>
      </c>
      <c r="U3472">
        <v>-0.1897278</v>
      </c>
      <c r="V3472">
        <v>3.0549029999999999E-3</v>
      </c>
      <c r="W3472">
        <v>0.20399690000000001</v>
      </c>
      <c r="X3472">
        <v>0.97896680000000003</v>
      </c>
      <c r="Y3472">
        <v>6.7519140000000005E-2</v>
      </c>
      <c r="Z3472">
        <v>-2.526454E-3</v>
      </c>
      <c r="AA3472">
        <v>0.99771480000000001</v>
      </c>
      <c r="AB3472">
        <v>34</v>
      </c>
      <c r="AC3472">
        <v>19.938800000000001</v>
      </c>
      <c r="AD3472">
        <v>-1.1205706743449999</v>
      </c>
      <c r="AE3472">
        <v>-1.2465999999999999</v>
      </c>
      <c r="AF3472">
        <v>1.3697181138811501</v>
      </c>
      <c r="AG3472">
        <v>-1.1205706743449999</v>
      </c>
      <c r="AH3472">
        <v>19.867915701881</v>
      </c>
      <c r="AI3472">
        <v>93.220492132936002</v>
      </c>
      <c r="AJ3472">
        <v>86.056199982781905</v>
      </c>
      <c r="AK3472">
        <v>19.946575663124399</v>
      </c>
      <c r="AL3472">
        <v>78.229215541601107</v>
      </c>
      <c r="AM3472">
        <v>89.821206928996801</v>
      </c>
      <c r="AN3472">
        <v>1.0000000315720901</v>
      </c>
    </row>
    <row r="3473" spans="1:40" x14ac:dyDescent="0.25">
      <c r="A3473" t="str">
        <f>"20190303162325782"</f>
        <v>20190303162325782</v>
      </c>
      <c r="B3473" t="str">
        <f>"1551601405768523"</f>
        <v>1551601405768523</v>
      </c>
      <c r="C3473" t="s">
        <v>40</v>
      </c>
      <c r="D3473">
        <v>5.2382689999999998</v>
      </c>
      <c r="E3473">
        <v>0.52616640000000003</v>
      </c>
      <c r="F3473" t="s">
        <v>49</v>
      </c>
      <c r="G3473">
        <v>-285.55419999999998</v>
      </c>
      <c r="H3473" s="1">
        <v>4.7143029999999998E-6</v>
      </c>
      <c r="I3473">
        <v>213.8912</v>
      </c>
      <c r="J3473">
        <v>-306.01429999999999</v>
      </c>
      <c r="K3473">
        <v>1.120576</v>
      </c>
      <c r="L3473">
        <v>215.173</v>
      </c>
      <c r="M3473">
        <v>0.99991540000000001</v>
      </c>
      <c r="N3473">
        <v>-1.1331630000000001E-2</v>
      </c>
      <c r="O3473">
        <v>6.3923259999999898E-3</v>
      </c>
      <c r="P3473">
        <v>0.98110269999999999</v>
      </c>
      <c r="Q3473">
        <v>0.19345419999999999</v>
      </c>
      <c r="R3473">
        <v>3.6414630000000002E-3</v>
      </c>
      <c r="S3473">
        <v>3.0907900000000001</v>
      </c>
      <c r="T3473">
        <v>-0.1664611</v>
      </c>
      <c r="U3473">
        <v>-0.19007869999999999</v>
      </c>
      <c r="V3473">
        <v>2.6379480000000002E-3</v>
      </c>
      <c r="W3473">
        <v>0.2045594</v>
      </c>
      <c r="X3473">
        <v>0.97885060000000002</v>
      </c>
      <c r="Y3473">
        <v>6.7637820000000001E-2</v>
      </c>
      <c r="Z3473">
        <v>-2.4736789999999999E-3</v>
      </c>
      <c r="AA3473">
        <v>0.99770689999999995</v>
      </c>
      <c r="AB3473">
        <v>34</v>
      </c>
      <c r="AC3473">
        <v>20.460100000000001</v>
      </c>
      <c r="AD3473">
        <v>-1.120571285697</v>
      </c>
      <c r="AE3473">
        <v>-1.2818000000000001</v>
      </c>
      <c r="AF3473">
        <v>1.40836182256124</v>
      </c>
      <c r="AG3473">
        <v>-1.120571285697</v>
      </c>
      <c r="AH3473">
        <v>20.390563282599501</v>
      </c>
      <c r="AI3473">
        <v>93.138086311353703</v>
      </c>
      <c r="AJ3473">
        <v>86.048895954868001</v>
      </c>
      <c r="AK3473">
        <v>20.4698371759834</v>
      </c>
      <c r="AL3473">
        <v>78.196292058416901</v>
      </c>
      <c r="AM3473">
        <v>89.845591430324006</v>
      </c>
      <c r="AN3473">
        <v>1.0000000020091799</v>
      </c>
    </row>
    <row r="3474" spans="1:40" x14ac:dyDescent="0.25">
      <c r="A3474" t="str">
        <f>"20190303162325805"</f>
        <v>20190303162325805</v>
      </c>
      <c r="B3474" t="str">
        <f>"1551601405797804"</f>
        <v>1551601405797804</v>
      </c>
      <c r="C3474" t="s">
        <v>40</v>
      </c>
      <c r="D3474">
        <v>5.1750429999999996</v>
      </c>
      <c r="E3474">
        <v>0.5262365</v>
      </c>
      <c r="F3474" t="s">
        <v>49</v>
      </c>
      <c r="G3474">
        <v>-284.7269</v>
      </c>
      <c r="H3474" s="1">
        <v>5.0876329999999996E-6</v>
      </c>
      <c r="I3474">
        <v>213.83680000000001</v>
      </c>
      <c r="J3474">
        <v>-305.67169999999999</v>
      </c>
      <c r="K3474">
        <v>1.1205780000000001</v>
      </c>
      <c r="L3474">
        <v>215.17509999999999</v>
      </c>
      <c r="M3474">
        <v>0.99991540000000001</v>
      </c>
      <c r="N3474">
        <v>-1.133341E-2</v>
      </c>
      <c r="O3474">
        <v>6.3927929999999999E-3</v>
      </c>
      <c r="P3474">
        <v>0.98092159999999995</v>
      </c>
      <c r="Q3474">
        <v>0.194356</v>
      </c>
      <c r="R3474">
        <v>4.3369649999999999E-3</v>
      </c>
      <c r="S3474">
        <v>3.0906069999999999</v>
      </c>
      <c r="T3474">
        <v>-0.16269029999999901</v>
      </c>
      <c r="U3474">
        <v>-0.19398499999999999</v>
      </c>
      <c r="V3474">
        <v>1.9418790000000001E-3</v>
      </c>
      <c r="W3474">
        <v>0.205461</v>
      </c>
      <c r="X3474">
        <v>0.97866339999999996</v>
      </c>
      <c r="Y3474">
        <v>6.8901080000000003E-2</v>
      </c>
      <c r="Z3474">
        <v>-2.4652480000000002E-3</v>
      </c>
      <c r="AA3474">
        <v>0.99762050000000002</v>
      </c>
      <c r="AB3474">
        <v>34</v>
      </c>
      <c r="AC3474">
        <v>20.944799999999901</v>
      </c>
      <c r="AD3474">
        <v>-1.1205729123670001</v>
      </c>
      <c r="AE3474">
        <v>-1.3382999999999701</v>
      </c>
      <c r="AF3474">
        <v>1.4679921417731501</v>
      </c>
      <c r="AG3474">
        <v>-1.1205729123670001</v>
      </c>
      <c r="AH3474">
        <v>20.876302927578301</v>
      </c>
      <c r="AI3474">
        <v>93.0649511033794</v>
      </c>
      <c r="AJ3474">
        <v>85.977662729957402</v>
      </c>
      <c r="AK3474">
        <v>20.957831674680801</v>
      </c>
      <c r="AL3474">
        <v>78.143513388942793</v>
      </c>
      <c r="AM3474">
        <v>89.886312980531201</v>
      </c>
      <c r="AN3474">
        <v>1.0000000219573</v>
      </c>
    </row>
    <row r="3475" spans="1:40" x14ac:dyDescent="0.25">
      <c r="A3475" t="str">
        <f>"20190303162325828"</f>
        <v>20190303162325828</v>
      </c>
      <c r="B3475" t="str">
        <f>"1551601405818300"</f>
        <v>1551601405818300</v>
      </c>
      <c r="C3475" t="s">
        <v>40</v>
      </c>
      <c r="D3475">
        <v>5.2370660000000004</v>
      </c>
      <c r="E3475">
        <v>0.52614430000000001</v>
      </c>
      <c r="F3475" t="s">
        <v>49</v>
      </c>
      <c r="G3475">
        <v>-283.92090000000002</v>
      </c>
      <c r="H3475" s="1">
        <v>5.4471470000000001E-6</v>
      </c>
      <c r="I3475">
        <v>213.8194</v>
      </c>
      <c r="J3475">
        <v>-305.32299999999998</v>
      </c>
      <c r="K3475">
        <v>1.120584</v>
      </c>
      <c r="L3475">
        <v>215.17740000000001</v>
      </c>
      <c r="M3475">
        <v>0.99991549999999996</v>
      </c>
      <c r="N3475">
        <v>-1.133522E-2</v>
      </c>
      <c r="O3475">
        <v>6.3931400000000003E-3</v>
      </c>
      <c r="P3475">
        <v>0.98087279999999999</v>
      </c>
      <c r="Q3475">
        <v>0.1945982</v>
      </c>
      <c r="R3475">
        <v>4.5265280000000001E-3</v>
      </c>
      <c r="S3475">
        <v>3.0907589999999998</v>
      </c>
      <c r="T3475">
        <v>-0.15923190000000001</v>
      </c>
      <c r="U3475">
        <v>-0.19264220000000001</v>
      </c>
      <c r="V3475">
        <v>1.752378E-3</v>
      </c>
      <c r="W3475">
        <v>0.2057042</v>
      </c>
      <c r="X3475">
        <v>0.9786127</v>
      </c>
      <c r="Y3475">
        <v>6.8472050000000007E-2</v>
      </c>
      <c r="Z3475">
        <v>-2.40618E-3</v>
      </c>
      <c r="AA3475">
        <v>0.99765009999999998</v>
      </c>
      <c r="AB3475">
        <v>34</v>
      </c>
      <c r="AC3475">
        <v>21.402099999999901</v>
      </c>
      <c r="AD3475">
        <v>-1.1205785528529999</v>
      </c>
      <c r="AE3475">
        <v>-1.3580000000000001</v>
      </c>
      <c r="AF3475">
        <v>1.49073731719888</v>
      </c>
      <c r="AG3475">
        <v>-1.1205785528529999</v>
      </c>
      <c r="AH3475">
        <v>21.334727709284898</v>
      </c>
      <c r="AI3475">
        <v>92.999323230763395</v>
      </c>
      <c r="AJ3475">
        <v>86.003025745153906</v>
      </c>
      <c r="AK3475">
        <v>21.4160827527195</v>
      </c>
      <c r="AL3475">
        <v>78.129275288422505</v>
      </c>
      <c r="AM3475">
        <v>89.897401948496906</v>
      </c>
      <c r="AN3475">
        <v>1.00000005266379</v>
      </c>
    </row>
    <row r="3476" spans="1:40" x14ac:dyDescent="0.25">
      <c r="A3476" t="str">
        <f>"20190303162325870"</f>
        <v>20190303162325870</v>
      </c>
      <c r="B3476" t="str">
        <f>"1551601405858317"</f>
        <v>1551601405858317</v>
      </c>
      <c r="C3476" t="s">
        <v>40</v>
      </c>
      <c r="D3476">
        <v>5.1995430000000002</v>
      </c>
      <c r="E3476">
        <v>0.52664719999999998</v>
      </c>
      <c r="F3476" t="s">
        <v>49</v>
      </c>
      <c r="G3476">
        <v>-283.42739999999998</v>
      </c>
      <c r="H3476" s="1">
        <v>5.6658089999999996E-6</v>
      </c>
      <c r="I3476">
        <v>213.8211</v>
      </c>
      <c r="J3476">
        <v>-304.67320000000001</v>
      </c>
      <c r="K3476">
        <v>1.1205849999999999</v>
      </c>
      <c r="L3476">
        <v>215.1815</v>
      </c>
      <c r="M3476">
        <v>0.99991549999999996</v>
      </c>
      <c r="N3476">
        <v>-1.1338529999999999E-2</v>
      </c>
      <c r="O3476">
        <v>6.3939560000000001E-3</v>
      </c>
      <c r="P3476">
        <v>0.98085149999999999</v>
      </c>
      <c r="Q3476">
        <v>0.19471820000000001</v>
      </c>
      <c r="R3476">
        <v>3.9280359999999898E-3</v>
      </c>
      <c r="S3476">
        <v>3.0907900000000001</v>
      </c>
      <c r="T3476">
        <v>-0.1581813</v>
      </c>
      <c r="U3476">
        <v>-0.19145200000000001</v>
      </c>
      <c r="V3476">
        <v>2.351629E-3</v>
      </c>
      <c r="W3476">
        <v>0.20582729999999999</v>
      </c>
      <c r="X3476">
        <v>0.9785855</v>
      </c>
      <c r="Y3476">
        <v>6.8091540000000006E-2</v>
      </c>
      <c r="Z3476">
        <v>-2.380648E-3</v>
      </c>
      <c r="AA3476">
        <v>0.99767629999999996</v>
      </c>
      <c r="AB3476">
        <v>34</v>
      </c>
      <c r="AC3476">
        <v>21.245799999999999</v>
      </c>
      <c r="AD3476">
        <v>-1.120579334191</v>
      </c>
      <c r="AE3476">
        <v>-1.3603999999999901</v>
      </c>
      <c r="AF3476">
        <v>1.4920917232319599</v>
      </c>
      <c r="AG3476">
        <v>-1.120579334191</v>
      </c>
      <c r="AH3476">
        <v>21.177992596284099</v>
      </c>
      <c r="AI3476">
        <v>93.021359534565505</v>
      </c>
      <c r="AJ3476">
        <v>85.969895503860002</v>
      </c>
      <c r="AK3476">
        <v>21.260042477921299</v>
      </c>
      <c r="AL3476">
        <v>78.122067245923205</v>
      </c>
      <c r="AM3476">
        <v>89.862313351958306</v>
      </c>
      <c r="AN3476">
        <v>0.99999999419724594</v>
      </c>
    </row>
    <row r="3477" spans="1:40" x14ac:dyDescent="0.25">
      <c r="A3477" t="str">
        <f>"20190303162325893"</f>
        <v>20190303162325893</v>
      </c>
      <c r="B3477" t="str">
        <f>"1551601405888572"</f>
        <v>1551601405888572</v>
      </c>
      <c r="C3477" t="s">
        <v>40</v>
      </c>
      <c r="D3477">
        <v>5.1930509999999996</v>
      </c>
      <c r="E3477">
        <v>0.52694949999999996</v>
      </c>
      <c r="F3477" t="s">
        <v>49</v>
      </c>
      <c r="G3477">
        <v>-282.69720000000001</v>
      </c>
      <c r="H3477" s="1">
        <v>5.9945059999999997E-6</v>
      </c>
      <c r="I3477">
        <v>213.7801</v>
      </c>
      <c r="J3477">
        <v>-304.3254</v>
      </c>
      <c r="K3477">
        <v>1.120581</v>
      </c>
      <c r="L3477">
        <v>215.18369999999999</v>
      </c>
      <c r="M3477">
        <v>0.99991540000000001</v>
      </c>
      <c r="N3477">
        <v>-1.1340289999999999E-2</v>
      </c>
      <c r="O3477">
        <v>6.3944229999999998E-3</v>
      </c>
      <c r="P3477">
        <v>0.98087780000000002</v>
      </c>
      <c r="Q3477">
        <v>0.1945953</v>
      </c>
      <c r="R3477">
        <v>3.4383090000000001E-3</v>
      </c>
      <c r="S3477">
        <v>3.0906069999999999</v>
      </c>
      <c r="T3477">
        <v>-0.15759279999999901</v>
      </c>
      <c r="U3477">
        <v>-0.19708249999999999</v>
      </c>
      <c r="V3477">
        <v>2.8418990000000002E-3</v>
      </c>
      <c r="W3477">
        <v>0.20570649999999999</v>
      </c>
      <c r="X3477">
        <v>0.97860959999999997</v>
      </c>
      <c r="Y3477">
        <v>6.9903870000000007E-2</v>
      </c>
      <c r="Z3477">
        <v>-2.4294899999999999E-3</v>
      </c>
      <c r="AA3477">
        <v>0.99755079999999996</v>
      </c>
      <c r="AB3477">
        <v>34</v>
      </c>
      <c r="AC3477">
        <v>21.6282</v>
      </c>
      <c r="AD3477">
        <v>-1.120575005494</v>
      </c>
      <c r="AE3477">
        <v>-1.40359999999998</v>
      </c>
      <c r="AF3477">
        <v>1.5377694151797701</v>
      </c>
      <c r="AG3477">
        <v>-1.120575005494</v>
      </c>
      <c r="AH3477">
        <v>21.561146785979101</v>
      </c>
      <c r="AI3477">
        <v>92.967572562699601</v>
      </c>
      <c r="AJ3477">
        <v>85.920497218349695</v>
      </c>
      <c r="AK3477">
        <v>21.644941068151201</v>
      </c>
      <c r="AL3477">
        <v>78.129139932267705</v>
      </c>
      <c r="AM3477">
        <v>89.833612545006801</v>
      </c>
      <c r="AN3477">
        <v>0.99999999487216795</v>
      </c>
    </row>
    <row r="3478" spans="1:40" x14ac:dyDescent="0.25">
      <c r="A3478" t="str">
        <f>"20190303162325916"</f>
        <v>20190303162325916</v>
      </c>
      <c r="B3478" t="str">
        <f>"1551601405907622"</f>
        <v>1551601405907622</v>
      </c>
      <c r="C3478" t="s">
        <v>40</v>
      </c>
      <c r="D3478">
        <v>5.2131239999999996</v>
      </c>
      <c r="E3478">
        <v>0.52721989999999996</v>
      </c>
      <c r="F3478" t="s">
        <v>49</v>
      </c>
      <c r="G3478">
        <v>-282.33229999999998</v>
      </c>
      <c r="H3478" s="1">
        <v>6.1592329999999997E-6</v>
      </c>
      <c r="I3478">
        <v>213.75559999999999</v>
      </c>
      <c r="J3478">
        <v>-303.97800000000001</v>
      </c>
      <c r="K3478">
        <v>1.120581</v>
      </c>
      <c r="L3478">
        <v>215.1859</v>
      </c>
      <c r="M3478">
        <v>0.9999152</v>
      </c>
      <c r="N3478">
        <v>-1.1342029999999999E-2</v>
      </c>
      <c r="O3478">
        <v>6.3949489999999996E-3</v>
      </c>
      <c r="P3478">
        <v>0.98090679999999997</v>
      </c>
      <c r="Q3478">
        <v>0.19444400000000001</v>
      </c>
      <c r="R3478">
        <v>3.6667050000000001E-3</v>
      </c>
      <c r="S3478">
        <v>3.0904539999999998</v>
      </c>
      <c r="T3478">
        <v>-0.1574622</v>
      </c>
      <c r="U3478">
        <v>-0.20068359999999999</v>
      </c>
      <c r="V3478">
        <v>2.6143329999999999E-3</v>
      </c>
      <c r="W3478">
        <v>0.20555670000000001</v>
      </c>
      <c r="X3478">
        <v>0.97864169999999995</v>
      </c>
      <c r="Y3478">
        <v>7.1063379999999995E-2</v>
      </c>
      <c r="Z3478">
        <v>-2.46394E-3</v>
      </c>
      <c r="AA3478">
        <v>0.99746880000000004</v>
      </c>
      <c r="AB3478">
        <v>34</v>
      </c>
      <c r="AC3478">
        <v>21.645700000000001</v>
      </c>
      <c r="AD3478">
        <v>-1.120574840767</v>
      </c>
      <c r="AE3478">
        <v>-1.4303000000000099</v>
      </c>
      <c r="AF3478">
        <v>1.56452806281441</v>
      </c>
      <c r="AG3478">
        <v>-1.120574840767</v>
      </c>
      <c r="AH3478">
        <v>21.578530507339501</v>
      </c>
      <c r="AI3478">
        <v>92.964935295720693</v>
      </c>
      <c r="AJ3478">
        <v>85.8530877141731</v>
      </c>
      <c r="AK3478">
        <v>21.664173533492502</v>
      </c>
      <c r="AL3478">
        <v>78.137910139720304</v>
      </c>
      <c r="AM3478">
        <v>89.846941029769894</v>
      </c>
      <c r="AN3478">
        <v>0.99999998431540704</v>
      </c>
    </row>
    <row r="3479" spans="1:40" x14ac:dyDescent="0.25">
      <c r="A3479" t="str">
        <f>"20190303162325937"</f>
        <v>20190303162325937</v>
      </c>
      <c r="B3479" t="str">
        <f>"1551601405928122"</f>
        <v>1551601405928122</v>
      </c>
      <c r="C3479" t="s">
        <v>40</v>
      </c>
      <c r="D3479">
        <v>5.4224209999999999</v>
      </c>
      <c r="E3479">
        <v>0.52731249999999996</v>
      </c>
      <c r="F3479" t="s">
        <v>49</v>
      </c>
      <c r="G3479">
        <v>-281.87970000000001</v>
      </c>
      <c r="H3479" s="1">
        <v>6.3615650000000003E-6</v>
      </c>
      <c r="I3479">
        <v>213.74209999999999</v>
      </c>
      <c r="J3479">
        <v>-303.65179999999998</v>
      </c>
      <c r="K3479">
        <v>1.120584</v>
      </c>
      <c r="L3479">
        <v>215.18799999999999</v>
      </c>
      <c r="M3479">
        <v>0.9999152</v>
      </c>
      <c r="N3479">
        <v>-1.134367E-2</v>
      </c>
      <c r="O3479">
        <v>6.3952979999999998E-3</v>
      </c>
      <c r="P3479">
        <v>0.98091349999999999</v>
      </c>
      <c r="Q3479">
        <v>0.1944051</v>
      </c>
      <c r="R3479">
        <v>3.9373680000000001E-3</v>
      </c>
      <c r="S3479">
        <v>3.0902099999999999</v>
      </c>
      <c r="T3479">
        <v>-0.15670049999999999</v>
      </c>
      <c r="U3479">
        <v>-0.20190430000000001</v>
      </c>
      <c r="V3479">
        <v>2.3438159999999999E-3</v>
      </c>
      <c r="W3479">
        <v>0.2055198</v>
      </c>
      <c r="X3479">
        <v>0.97865020000000003</v>
      </c>
      <c r="Y3479">
        <v>7.14616E-2</v>
      </c>
      <c r="Z3479">
        <v>-2.4661829999999998E-3</v>
      </c>
      <c r="AA3479">
        <v>0.99744029999999995</v>
      </c>
      <c r="AB3479">
        <v>34</v>
      </c>
      <c r="AC3479">
        <v>21.772099999999899</v>
      </c>
      <c r="AD3479">
        <v>-1.1205776384349999</v>
      </c>
      <c r="AE3479">
        <v>-1.44589999999999</v>
      </c>
      <c r="AF3479">
        <v>1.58094889846501</v>
      </c>
      <c r="AG3479">
        <v>-1.1205776384349999</v>
      </c>
      <c r="AH3479">
        <v>21.705162466671599</v>
      </c>
      <c r="AI3479">
        <v>92.947604306966596</v>
      </c>
      <c r="AJ3479">
        <v>85.834077719279506</v>
      </c>
      <c r="AK3479">
        <v>21.791493096342101</v>
      </c>
      <c r="AL3479">
        <v>78.140071243266206</v>
      </c>
      <c r="AM3479">
        <v>89.862779869658894</v>
      </c>
      <c r="AN3479">
        <v>1.00000004781275</v>
      </c>
    </row>
    <row r="3480" spans="1:40" x14ac:dyDescent="0.25">
      <c r="A3480" t="str">
        <f>"20190303162325960"</f>
        <v>20190303162325960</v>
      </c>
      <c r="B3480" t="str">
        <f>"1551601405947638"</f>
        <v>1551601405947638</v>
      </c>
      <c r="C3480" t="s">
        <v>40</v>
      </c>
      <c r="D3480">
        <v>5.3666239999999998</v>
      </c>
      <c r="E3480">
        <v>0.50473250000000003</v>
      </c>
      <c r="F3480" t="s">
        <v>49</v>
      </c>
      <c r="G3480">
        <v>-281.63060000000002</v>
      </c>
      <c r="H3480" s="1">
        <v>6.4707300000000001E-6</v>
      </c>
      <c r="I3480">
        <v>213.75290000000001</v>
      </c>
      <c r="J3480">
        <v>-303.30380000000002</v>
      </c>
      <c r="K3480">
        <v>1.120582</v>
      </c>
      <c r="L3480">
        <v>215.19030000000001</v>
      </c>
      <c r="M3480">
        <v>0.9999152</v>
      </c>
      <c r="N3480">
        <v>-1.13454E-2</v>
      </c>
      <c r="O3480">
        <v>6.395764E-3</v>
      </c>
      <c r="P3480">
        <v>0.98091799999999996</v>
      </c>
      <c r="Q3480">
        <v>0.1943763</v>
      </c>
      <c r="R3480">
        <v>4.2312340000000004E-3</v>
      </c>
      <c r="S3480">
        <v>3.0904240000000001</v>
      </c>
      <c r="T3480">
        <v>-0.1572605</v>
      </c>
      <c r="U3480">
        <v>-0.20140079999999999</v>
      </c>
      <c r="V3480">
        <v>2.050531E-3</v>
      </c>
      <c r="W3480">
        <v>0.2054927</v>
      </c>
      <c r="X3480">
        <v>0.97865650000000004</v>
      </c>
      <c r="Y3480">
        <v>7.1295239999999996E-2</v>
      </c>
      <c r="Z3480">
        <v>-2.4685559999999998E-3</v>
      </c>
      <c r="AA3480">
        <v>0.99745220000000001</v>
      </c>
      <c r="AB3480">
        <v>34</v>
      </c>
      <c r="AC3480">
        <v>21.673200000000001</v>
      </c>
      <c r="AD3480">
        <v>-1.1205755292699999</v>
      </c>
      <c r="AE3480">
        <v>-1.43739999999999</v>
      </c>
      <c r="AF3480">
        <v>1.57181277437708</v>
      </c>
      <c r="AG3480">
        <v>-1.1205755292699999</v>
      </c>
      <c r="AH3480">
        <v>21.6060577904457</v>
      </c>
      <c r="AI3480">
        <v>92.961114077990402</v>
      </c>
      <c r="AJ3480">
        <v>85.839136058522797</v>
      </c>
      <c r="AK3480">
        <v>21.692118802887201</v>
      </c>
      <c r="AL3480">
        <v>78.141657244397294</v>
      </c>
      <c r="AM3480">
        <v>89.879951136955697</v>
      </c>
      <c r="AN3480">
        <v>0.99999999971146103</v>
      </c>
    </row>
    <row r="3481" spans="1:40" x14ac:dyDescent="0.25">
      <c r="A3481" t="str">
        <f>"20190303162326005"</f>
        <v>20190303162326005</v>
      </c>
      <c r="B3481" t="str">
        <f>"1551601405998390"</f>
        <v>1551601405998390</v>
      </c>
      <c r="C3481" t="s">
        <v>40</v>
      </c>
      <c r="D3481">
        <v>5.4222809999999999</v>
      </c>
      <c r="E3481">
        <v>0.50130609999999998</v>
      </c>
      <c r="F3481" t="s">
        <v>47</v>
      </c>
      <c r="G3481">
        <v>-263.99020000000002</v>
      </c>
      <c r="H3481" s="1">
        <v>5.7307830000000002E-7</v>
      </c>
      <c r="I3481">
        <v>214.92580000000001</v>
      </c>
      <c r="J3481">
        <v>-302.6234</v>
      </c>
      <c r="K3481">
        <v>1.1205849999999999</v>
      </c>
      <c r="L3481">
        <v>215.19460000000001</v>
      </c>
      <c r="M3481">
        <v>0.9999152</v>
      </c>
      <c r="N3481">
        <v>-1.1348769999999999E-2</v>
      </c>
      <c r="O3481">
        <v>6.3965799999999998E-3</v>
      </c>
      <c r="P3481">
        <v>0.98094389999999998</v>
      </c>
      <c r="Q3481">
        <v>0.19424839999999999</v>
      </c>
      <c r="R3481">
        <v>4.1325229999999999E-3</v>
      </c>
      <c r="S3481">
        <v>3.0758670000000001</v>
      </c>
      <c r="T3481">
        <v>-8.7673539999999994E-2</v>
      </c>
      <c r="U3481">
        <v>-2.0690920000000002E-2</v>
      </c>
      <c r="V3481">
        <v>2.1501570000000002E-3</v>
      </c>
      <c r="W3481">
        <v>0.20536869999999999</v>
      </c>
      <c r="X3481">
        <v>0.97868230000000001</v>
      </c>
      <c r="Y3481">
        <v>1.311503E-2</v>
      </c>
      <c r="Z3481">
        <v>-3.7101849999999999E-4</v>
      </c>
      <c r="AA3481">
        <v>0.99991390000000002</v>
      </c>
      <c r="AB3481">
        <v>34</v>
      </c>
      <c r="AC3481">
        <v>38.633199999999903</v>
      </c>
      <c r="AD3481">
        <v>-1.1205844269217</v>
      </c>
      <c r="AE3481">
        <v>-0.26879999999999798</v>
      </c>
      <c r="AF3481">
        <v>0.51549707180458704</v>
      </c>
      <c r="AG3481">
        <v>-1.1205844269217</v>
      </c>
      <c r="AH3481">
        <v>38.598217643267397</v>
      </c>
      <c r="AI3481">
        <v>91.662797204509303</v>
      </c>
      <c r="AJ3481">
        <v>89.234833822073696</v>
      </c>
      <c r="AK3481">
        <v>38.617921382771698</v>
      </c>
      <c r="AL3481">
        <v>78.148916580142895</v>
      </c>
      <c r="AM3481">
        <v>89.874121844055196</v>
      </c>
      <c r="AN3481">
        <v>0.99999998522405198</v>
      </c>
    </row>
    <row r="3482" spans="1:40" x14ac:dyDescent="0.25">
      <c r="A3482" t="str">
        <f>"20190303162326026"</f>
        <v>20190303162326026</v>
      </c>
      <c r="B3482" t="str">
        <f>"1551601406017910"</f>
        <v>1551601406017910</v>
      </c>
      <c r="C3482" t="s">
        <v>40</v>
      </c>
      <c r="D3482">
        <v>5.4194230000000001</v>
      </c>
      <c r="E3482">
        <v>0.50121150000000003</v>
      </c>
      <c r="F3482" t="s">
        <v>47</v>
      </c>
      <c r="G3482">
        <v>-258.73419999999999</v>
      </c>
      <c r="H3482" s="1">
        <v>3.0823830000000001E-6</v>
      </c>
      <c r="I3482">
        <v>215.27369999999999</v>
      </c>
      <c r="J3482">
        <v>-302.28919999999999</v>
      </c>
      <c r="K3482">
        <v>1.1205849999999999</v>
      </c>
      <c r="L3482">
        <v>215.1968</v>
      </c>
      <c r="M3482">
        <v>0.9999152</v>
      </c>
      <c r="N3482">
        <v>-1.135042E-2</v>
      </c>
      <c r="O3482">
        <v>6.397107E-3</v>
      </c>
      <c r="P3482">
        <v>0.98099709999999996</v>
      </c>
      <c r="Q3482">
        <v>0.19397829999999999</v>
      </c>
      <c r="R3482">
        <v>4.1686559999999998E-3</v>
      </c>
      <c r="S3482">
        <v>3.0737920000000001</v>
      </c>
      <c r="T3482">
        <v>-7.8480240000000007E-2</v>
      </c>
      <c r="U3482">
        <v>5.53894E-3</v>
      </c>
      <c r="V3482">
        <v>2.1148109999999999E-3</v>
      </c>
      <c r="W3482">
        <v>0.2051007</v>
      </c>
      <c r="X3482">
        <v>0.97873860000000001</v>
      </c>
      <c r="Y3482">
        <v>4.5927529999999998E-3</v>
      </c>
      <c r="Z3482">
        <v>-1.75390999999999E-4</v>
      </c>
      <c r="AA3482">
        <v>0.99998940000000003</v>
      </c>
      <c r="AB3482">
        <v>34</v>
      </c>
      <c r="AC3482">
        <v>43.555</v>
      </c>
      <c r="AD3482">
        <v>-1.120581917617</v>
      </c>
      <c r="AE3482">
        <v>7.6899999999994806E-2</v>
      </c>
      <c r="AF3482">
        <v>0.20161204382838999</v>
      </c>
      <c r="AG3482">
        <v>-1.120581917617</v>
      </c>
      <c r="AH3482">
        <v>43.525789767423802</v>
      </c>
      <c r="AI3482">
        <v>91.474752022712096</v>
      </c>
      <c r="AJ3482">
        <v>89.734607076438195</v>
      </c>
      <c r="AK3482">
        <v>43.540678981020498</v>
      </c>
      <c r="AL3482">
        <v>78.1646061073954</v>
      </c>
      <c r="AM3482">
        <v>89.8761982451759</v>
      </c>
      <c r="AN3482">
        <v>1.0000000083480001</v>
      </c>
    </row>
    <row r="3483" spans="1:40" x14ac:dyDescent="0.25">
      <c r="A3483" t="str">
        <f>"20190303162326049"</f>
        <v>20190303162326049</v>
      </c>
      <c r="B3483" t="str">
        <f>"1551601406038406"</f>
        <v>1551601406038406</v>
      </c>
      <c r="C3483" t="s">
        <v>40</v>
      </c>
      <c r="D3483">
        <v>5.2649160000000004</v>
      </c>
      <c r="E3483">
        <v>0.50115449999999995</v>
      </c>
      <c r="F3483" t="s">
        <v>47</v>
      </c>
      <c r="G3483">
        <v>-257.98390000000001</v>
      </c>
      <c r="H3483" s="1">
        <v>2.6823589999999999E-6</v>
      </c>
      <c r="I3483">
        <v>215.29089999999999</v>
      </c>
      <c r="J3483">
        <v>-301.95639999999997</v>
      </c>
      <c r="K3483">
        <v>1.1205860000000001</v>
      </c>
      <c r="L3483">
        <v>215.19890000000001</v>
      </c>
      <c r="M3483">
        <v>0.99991509999999995</v>
      </c>
      <c r="N3483">
        <v>-1.1352060000000001E-2</v>
      </c>
      <c r="O3483">
        <v>6.3975739999999996E-3</v>
      </c>
      <c r="P3483">
        <v>0.98112560000000004</v>
      </c>
      <c r="Q3483">
        <v>0.1933136</v>
      </c>
      <c r="R3483">
        <v>4.7011350000000004E-3</v>
      </c>
      <c r="S3483">
        <v>3.0734560000000002</v>
      </c>
      <c r="T3483">
        <v>-7.7734830000000005E-2</v>
      </c>
      <c r="U3483">
        <v>6.5307619999999999E-3</v>
      </c>
      <c r="V3483">
        <v>1.583821E-3</v>
      </c>
      <c r="W3483">
        <v>0.20443890000000001</v>
      </c>
      <c r="X3483">
        <v>0.97887800000000003</v>
      </c>
      <c r="Y3483">
        <v>4.2705290000000003E-3</v>
      </c>
      <c r="Z3483">
        <v>-1.67403499999999E-4</v>
      </c>
      <c r="AA3483">
        <v>0.99999090000000002</v>
      </c>
      <c r="AB3483">
        <v>34</v>
      </c>
      <c r="AC3483">
        <v>43.972499999999897</v>
      </c>
      <c r="AD3483">
        <v>-1.1205833176410001</v>
      </c>
      <c r="AE3483">
        <v>9.1999999999984497E-2</v>
      </c>
      <c r="AF3483">
        <v>0.18921445406933299</v>
      </c>
      <c r="AG3483">
        <v>-1.1205833176410001</v>
      </c>
      <c r="AH3483">
        <v>43.943650832799598</v>
      </c>
      <c r="AI3483">
        <v>91.460738633296401</v>
      </c>
      <c r="AJ3483">
        <v>89.7532949029777</v>
      </c>
      <c r="AK3483">
        <v>43.958343435534701</v>
      </c>
      <c r="AL3483">
        <v>78.203344701599804</v>
      </c>
      <c r="AM3483">
        <v>89.907295720594604</v>
      </c>
      <c r="AN3483">
        <v>0.99999995560308397</v>
      </c>
    </row>
    <row r="3484" spans="1:40" x14ac:dyDescent="0.25">
      <c r="A3484" t="str">
        <f>"20190303162326070"</f>
        <v>20190303162326070</v>
      </c>
      <c r="B3484" t="str">
        <f>"1551601406057927"</f>
        <v>1551601406057927</v>
      </c>
      <c r="C3484" t="s">
        <v>40</v>
      </c>
      <c r="D3484">
        <v>5.4821530000000003</v>
      </c>
      <c r="E3484">
        <v>0.50111720000000004</v>
      </c>
      <c r="F3484" t="s">
        <v>47</v>
      </c>
      <c r="G3484">
        <v>-259.17189999999999</v>
      </c>
      <c r="H3484" s="1">
        <v>3.3136840000000001E-6</v>
      </c>
      <c r="I3484">
        <v>215.31129999999999</v>
      </c>
      <c r="J3484">
        <v>-301.6148</v>
      </c>
      <c r="K3484">
        <v>1.120584</v>
      </c>
      <c r="L3484">
        <v>215.2011</v>
      </c>
      <c r="M3484">
        <v>0.99991509999999995</v>
      </c>
      <c r="N3484">
        <v>-1.1353739999999999E-2</v>
      </c>
      <c r="O3484">
        <v>6.3979220000000003E-3</v>
      </c>
      <c r="P3484">
        <v>0.98115379999999996</v>
      </c>
      <c r="Q3484">
        <v>0.19314419999999999</v>
      </c>
      <c r="R3484">
        <v>5.7234240000000004E-3</v>
      </c>
      <c r="S3484">
        <v>3.073547</v>
      </c>
      <c r="T3484">
        <v>-8.0500360000000007E-2</v>
      </c>
      <c r="U3484">
        <v>8.0718990000000004E-3</v>
      </c>
      <c r="V3484">
        <v>5.6188039999999998E-4</v>
      </c>
      <c r="W3484">
        <v>0.2042718</v>
      </c>
      <c r="X3484">
        <v>0.97891399999999995</v>
      </c>
      <c r="Y3484">
        <v>3.7695699999999999E-3</v>
      </c>
      <c r="Z3484">
        <v>-1.6566589999999999E-4</v>
      </c>
      <c r="AA3484">
        <v>0.99999289999999996</v>
      </c>
      <c r="AB3484">
        <v>34</v>
      </c>
      <c r="AC3484">
        <v>42.442900000000002</v>
      </c>
      <c r="AD3484">
        <v>-1.1205806863159999</v>
      </c>
      <c r="AE3484">
        <v>0.110199999999991</v>
      </c>
      <c r="AF3484">
        <v>0.16125371242933401</v>
      </c>
      <c r="AG3484">
        <v>-1.1205806863159999</v>
      </c>
      <c r="AH3484">
        <v>42.413171574621202</v>
      </c>
      <c r="AI3484">
        <v>91.513424835363907</v>
      </c>
      <c r="AJ3484">
        <v>89.782164070898901</v>
      </c>
      <c r="AK3484">
        <v>42.428278622312398</v>
      </c>
      <c r="AL3484">
        <v>78.213125180697205</v>
      </c>
      <c r="AM3484">
        <v>89.967113176463201</v>
      </c>
      <c r="AN3484">
        <v>0.99999995169041</v>
      </c>
    </row>
    <row r="3485" spans="1:40" x14ac:dyDescent="0.25">
      <c r="A3485" t="str">
        <f>"20190303162326095"</f>
        <v>20190303162326095</v>
      </c>
      <c r="B3485" t="str">
        <f>"1551601406088182"</f>
        <v>1551601406088182</v>
      </c>
      <c r="C3485" t="s">
        <v>40</v>
      </c>
      <c r="D3485">
        <v>5.4842879999999896</v>
      </c>
      <c r="E3485">
        <v>0.50143800000000005</v>
      </c>
      <c r="F3485" t="s">
        <v>47</v>
      </c>
      <c r="G3485">
        <v>-259.81479999999999</v>
      </c>
      <c r="H3485" s="1">
        <v>3.6538850000000001E-6</v>
      </c>
      <c r="I3485">
        <v>215.35400000000001</v>
      </c>
      <c r="J3485">
        <v>-301.25940000000003</v>
      </c>
      <c r="K3485">
        <v>1.120582</v>
      </c>
      <c r="L3485">
        <v>215.20339999999999</v>
      </c>
      <c r="M3485">
        <v>0.99991509999999995</v>
      </c>
      <c r="N3485">
        <v>-1.1355469999999999E-2</v>
      </c>
      <c r="O3485">
        <v>6.3982099999999997E-3</v>
      </c>
      <c r="P3485">
        <v>0.98119089999999998</v>
      </c>
      <c r="Q3485">
        <v>0.1929111</v>
      </c>
      <c r="R3485">
        <v>7.0650319999999997E-3</v>
      </c>
      <c r="S3485">
        <v>3.0737610000000002</v>
      </c>
      <c r="T3485">
        <v>-8.2401749999999996E-2</v>
      </c>
      <c r="U3485">
        <v>1.1245730000000001E-2</v>
      </c>
      <c r="V3485">
        <v>-7.7892740000000003E-4</v>
      </c>
      <c r="W3485">
        <v>0.20404069999999999</v>
      </c>
      <c r="X3485">
        <v>0.97896209999999995</v>
      </c>
      <c r="Y3485">
        <v>2.7378929999999999E-3</v>
      </c>
      <c r="Z3485">
        <v>-1.510831E-4</v>
      </c>
      <c r="AA3485">
        <v>0.9999962</v>
      </c>
      <c r="AB3485">
        <v>34</v>
      </c>
      <c r="AC3485">
        <v>41.444600000000001</v>
      </c>
      <c r="AD3485">
        <v>-1.1205783461149901</v>
      </c>
      <c r="AE3485">
        <v>0.15060000000002499</v>
      </c>
      <c r="AF3485">
        <v>0.114507713181994</v>
      </c>
      <c r="AG3485">
        <v>-1.1205783461149901</v>
      </c>
      <c r="AH3485">
        <v>41.414439475434797</v>
      </c>
      <c r="AI3485">
        <v>91.549906359001895</v>
      </c>
      <c r="AJ3485">
        <v>89.841582017008506</v>
      </c>
      <c r="AK3485">
        <v>41.429755066988001</v>
      </c>
      <c r="AL3485">
        <v>78.226651735028994</v>
      </c>
      <c r="AM3485">
        <v>90.045588325788103</v>
      </c>
      <c r="AN3485">
        <v>1.00000000361039</v>
      </c>
    </row>
    <row r="3486" spans="1:40" x14ac:dyDescent="0.25">
      <c r="A3486" t="str">
        <f>"20190303162326116"</f>
        <v>20190303162326116</v>
      </c>
      <c r="B3486" t="str">
        <f>"1551601406107702"</f>
        <v>1551601406107702</v>
      </c>
      <c r="C3486" t="s">
        <v>40</v>
      </c>
      <c r="D3486">
        <v>5.2742319999999996</v>
      </c>
      <c r="E3486">
        <v>0.50141229999999903</v>
      </c>
      <c r="F3486" t="s">
        <v>47</v>
      </c>
      <c r="G3486">
        <v>-261.05119999999999</v>
      </c>
      <c r="H3486" s="1">
        <v>-1.010034E-6</v>
      </c>
      <c r="I3486">
        <v>215.36269999999999</v>
      </c>
      <c r="J3486">
        <v>-300.9205</v>
      </c>
      <c r="K3486">
        <v>1.1205780000000001</v>
      </c>
      <c r="L3486">
        <v>215.2056</v>
      </c>
      <c r="M3486">
        <v>0.9999152</v>
      </c>
      <c r="N3486">
        <v>-1.135713E-2</v>
      </c>
      <c r="O3486">
        <v>6.3985580000000004E-3</v>
      </c>
      <c r="P3486">
        <v>0.98131559999999995</v>
      </c>
      <c r="Q3486">
        <v>0.19221750000000001</v>
      </c>
      <c r="R3486">
        <v>8.5153190000000004E-3</v>
      </c>
      <c r="S3486">
        <v>3.0743100000000001</v>
      </c>
      <c r="T3486">
        <v>-8.5679530000000004E-2</v>
      </c>
      <c r="U3486">
        <v>1.217651E-2</v>
      </c>
      <c r="V3486">
        <v>-2.2282169999999998E-3</v>
      </c>
      <c r="W3486">
        <v>0.2033508</v>
      </c>
      <c r="X3486">
        <v>0.97910339999999996</v>
      </c>
      <c r="Y3486">
        <v>2.4360979999999998E-3</v>
      </c>
      <c r="Z3486">
        <v>-1.5340190000000001E-4</v>
      </c>
      <c r="AA3486">
        <v>0.99999700000000002</v>
      </c>
      <c r="AB3486">
        <v>34</v>
      </c>
      <c r="AC3486">
        <v>39.869300000000003</v>
      </c>
      <c r="AD3486">
        <v>-1.1205790100340001</v>
      </c>
      <c r="AE3486">
        <v>0.157099999999985</v>
      </c>
      <c r="AF3486">
        <v>9.7948281820120206E-2</v>
      </c>
      <c r="AG3486">
        <v>-1.1205790100340001</v>
      </c>
      <c r="AH3486">
        <v>39.838018865039601</v>
      </c>
      <c r="AI3486">
        <v>91.611207857853501</v>
      </c>
      <c r="AJ3486">
        <v>89.859129243609502</v>
      </c>
      <c r="AK3486">
        <v>39.853896149245998</v>
      </c>
      <c r="AL3486">
        <v>78.267026425731004</v>
      </c>
      <c r="AM3486">
        <v>90.130391958129593</v>
      </c>
      <c r="AN3486">
        <v>0.99999999035159903</v>
      </c>
    </row>
    <row r="3487" spans="1:40" x14ac:dyDescent="0.25">
      <c r="A3487" t="str">
        <f>"20190303162326162"</f>
        <v>20190303162326162</v>
      </c>
      <c r="B3487" t="str">
        <f>"1551601406147719"</f>
        <v>1551601406147719</v>
      </c>
      <c r="C3487" t="s">
        <v>40</v>
      </c>
      <c r="D3487">
        <v>5.4894480000000003</v>
      </c>
      <c r="E3487">
        <v>0.50140859999999998</v>
      </c>
      <c r="F3487" t="s">
        <v>47</v>
      </c>
      <c r="G3487">
        <v>-262.19690000000003</v>
      </c>
      <c r="H3487" s="1">
        <v>-4.023622E-7</v>
      </c>
      <c r="I3487">
        <v>215.40950000000001</v>
      </c>
      <c r="J3487">
        <v>-300.23059999999998</v>
      </c>
      <c r="K3487">
        <v>1.1205639999999999</v>
      </c>
      <c r="L3487">
        <v>215.21</v>
      </c>
      <c r="M3487">
        <v>0.99991509999999995</v>
      </c>
      <c r="N3487">
        <v>-1.136063E-2</v>
      </c>
      <c r="O3487">
        <v>6.3834809999999999E-3</v>
      </c>
      <c r="P3487">
        <v>0.98166050000000005</v>
      </c>
      <c r="Q3487">
        <v>0.1902874</v>
      </c>
      <c r="R3487">
        <v>1.1557700000000001E-2</v>
      </c>
      <c r="S3487">
        <v>3.0744020000000001</v>
      </c>
      <c r="T3487">
        <v>-8.8966729999999994E-2</v>
      </c>
      <c r="U3487">
        <v>1.6189579999999999E-2</v>
      </c>
      <c r="V3487">
        <v>-5.2799580000000004E-3</v>
      </c>
      <c r="W3487">
        <v>0.2014283</v>
      </c>
      <c r="X3487">
        <v>0.97948900000000005</v>
      </c>
      <c r="Y3487">
        <v>1.116421E-3</v>
      </c>
      <c r="Z3487">
        <v>-1.346629E-4</v>
      </c>
      <c r="AA3487">
        <v>0.99999930000000004</v>
      </c>
      <c r="AB3487">
        <v>34</v>
      </c>
      <c r="AC3487">
        <v>38.033699999999897</v>
      </c>
      <c r="AD3487">
        <v>-1.1205644023621999</v>
      </c>
      <c r="AE3487">
        <v>0.19950000000000001</v>
      </c>
      <c r="AF3487">
        <v>4.3269574804414998E-2</v>
      </c>
      <c r="AG3487">
        <v>-1.1205644023621999</v>
      </c>
      <c r="AH3487">
        <v>38.001213145515003</v>
      </c>
      <c r="AI3487">
        <v>91.689024244119906</v>
      </c>
      <c r="AJ3487">
        <v>89.934760952585407</v>
      </c>
      <c r="AK3487">
        <v>38.017755554040903</v>
      </c>
      <c r="AL3487">
        <v>78.3795050779581</v>
      </c>
      <c r="AM3487">
        <v>90.308851226794502</v>
      </c>
      <c r="AN3487">
        <v>0.99999996955918502</v>
      </c>
    </row>
    <row r="3488" spans="1:40" x14ac:dyDescent="0.25">
      <c r="A3488" t="str">
        <f>"20190303162326184"</f>
        <v>20190303162326184</v>
      </c>
      <c r="B3488" t="str">
        <f>"1551601406177974"</f>
        <v>1551601406177974</v>
      </c>
      <c r="C3488" t="s">
        <v>40</v>
      </c>
      <c r="D3488">
        <v>5.3400790000000002</v>
      </c>
      <c r="E3488">
        <v>0.50166619999999995</v>
      </c>
      <c r="F3488" t="s">
        <v>47</v>
      </c>
      <c r="G3488">
        <v>-264.32490000000001</v>
      </c>
      <c r="H3488" s="1">
        <v>7.2642539999999996E-7</v>
      </c>
      <c r="I3488">
        <v>215.49189999999999</v>
      </c>
      <c r="J3488">
        <v>-299.8843</v>
      </c>
      <c r="K3488">
        <v>1.1205529999999999</v>
      </c>
      <c r="L3488">
        <v>215.2122</v>
      </c>
      <c r="M3488">
        <v>0.9999152</v>
      </c>
      <c r="N3488">
        <v>-1.13671E-2</v>
      </c>
      <c r="O3488">
        <v>6.3572589999999997E-3</v>
      </c>
      <c r="P3488">
        <v>0.98157229999999995</v>
      </c>
      <c r="Q3488">
        <v>0.19065299999999999</v>
      </c>
      <c r="R3488">
        <v>1.2939519999999999E-2</v>
      </c>
      <c r="S3488">
        <v>3.0743710000000002</v>
      </c>
      <c r="T3488">
        <v>-9.5946550000000005E-2</v>
      </c>
      <c r="U3488">
        <v>2.4139399999999998E-2</v>
      </c>
      <c r="V3488">
        <v>-6.6829350000000001E-3</v>
      </c>
      <c r="W3488">
        <v>0.20179949999999999</v>
      </c>
      <c r="X3488">
        <v>0.97940400000000005</v>
      </c>
      <c r="Y3488">
        <v>-1.4942029999999999E-3</v>
      </c>
      <c r="Z3488" s="1">
        <v>-9.4287080000000006E-5</v>
      </c>
      <c r="AA3488">
        <v>0.99999890000000002</v>
      </c>
      <c r="AB3488">
        <v>34</v>
      </c>
      <c r="AC3488">
        <v>35.559399999999897</v>
      </c>
      <c r="AD3488">
        <v>-1.1205522735746001</v>
      </c>
      <c r="AE3488">
        <v>0.27969999999999101</v>
      </c>
      <c r="AF3488">
        <v>-5.3566240355814802E-2</v>
      </c>
      <c r="AG3488">
        <v>-1.1205522735746001</v>
      </c>
      <c r="AH3488">
        <v>35.525184752956797</v>
      </c>
      <c r="AI3488">
        <v>91.806649671600596</v>
      </c>
      <c r="AJ3488">
        <v>90.086392715257006</v>
      </c>
      <c r="AK3488">
        <v>35.542893220327898</v>
      </c>
      <c r="AL3488">
        <v>78.357790726374304</v>
      </c>
      <c r="AM3488">
        <v>90.390950034702001</v>
      </c>
      <c r="AN3488">
        <v>0.99999994751822996</v>
      </c>
    </row>
    <row r="3489" spans="1:40" x14ac:dyDescent="0.25">
      <c r="A3489" t="str">
        <f>"20190303162326207"</f>
        <v>20190303162326207</v>
      </c>
      <c r="B3489" t="str">
        <f>"1551601406198470"</f>
        <v>1551601406198470</v>
      </c>
      <c r="C3489" t="s">
        <v>40</v>
      </c>
      <c r="D3489">
        <v>5.6040739999999998</v>
      </c>
      <c r="E3489">
        <v>0.50182570000000004</v>
      </c>
      <c r="F3489" t="s">
        <v>47</v>
      </c>
      <c r="G3489">
        <v>-264.93560000000002</v>
      </c>
      <c r="H3489" s="1">
        <v>1.0507880000000001E-6</v>
      </c>
      <c r="I3489">
        <v>215.506</v>
      </c>
      <c r="J3489">
        <v>-299.53140000000002</v>
      </c>
      <c r="K3489">
        <v>1.120533</v>
      </c>
      <c r="L3489">
        <v>215.21440000000001</v>
      </c>
      <c r="M3489">
        <v>0.99991540000000001</v>
      </c>
      <c r="N3489">
        <v>-1.1377709999999999E-2</v>
      </c>
      <c r="O3489">
        <v>6.3146440000000003E-3</v>
      </c>
      <c r="P3489">
        <v>0.98152209999999995</v>
      </c>
      <c r="Q3489">
        <v>0.19086620000000001</v>
      </c>
      <c r="R3489">
        <v>1.3600620000000001E-2</v>
      </c>
      <c r="S3489">
        <v>3.0751650000000001</v>
      </c>
      <c r="T3489">
        <v>-9.8598240000000004E-2</v>
      </c>
      <c r="U3489">
        <v>2.5848389999999999E-2</v>
      </c>
      <c r="V3489">
        <v>-7.3803089999999998E-3</v>
      </c>
      <c r="W3489">
        <v>0.2020228</v>
      </c>
      <c r="X3489">
        <v>0.97935300000000003</v>
      </c>
      <c r="Y3489">
        <v>-2.0901299999999999E-3</v>
      </c>
      <c r="Z3489" s="1">
        <v>-8.5177099999999995E-5</v>
      </c>
      <c r="AA3489">
        <v>0.99999780000000005</v>
      </c>
      <c r="AB3489">
        <v>34</v>
      </c>
      <c r="AC3489">
        <v>34.595799999999997</v>
      </c>
      <c r="AD3489">
        <v>-1.1205319492120001</v>
      </c>
      <c r="AE3489">
        <v>0.291599999999959</v>
      </c>
      <c r="AF3489">
        <v>-7.3043276177694197E-2</v>
      </c>
      <c r="AG3489">
        <v>-1.1205319492120001</v>
      </c>
      <c r="AH3489">
        <v>34.560697836816701</v>
      </c>
      <c r="AI3489">
        <v>91.856997406328404</v>
      </c>
      <c r="AJ3489">
        <v>90.121093191905103</v>
      </c>
      <c r="AK3489">
        <v>34.578935237180801</v>
      </c>
      <c r="AL3489">
        <v>78.344728024242499</v>
      </c>
      <c r="AM3489">
        <v>90.4317672511838</v>
      </c>
      <c r="AN3489">
        <v>0.99999998964488701</v>
      </c>
    </row>
    <row r="3490" spans="1:40" x14ac:dyDescent="0.25">
      <c r="A3490" t="str">
        <f>"20190303162326227"</f>
        <v>20190303162326227</v>
      </c>
      <c r="B3490" t="str">
        <f>"1551601406217991"</f>
        <v>1551601406217991</v>
      </c>
      <c r="C3490" t="s">
        <v>40</v>
      </c>
      <c r="D3490">
        <v>5.5991540000000004</v>
      </c>
      <c r="E3490">
        <v>0.50198329999999902</v>
      </c>
      <c r="F3490" t="s">
        <v>47</v>
      </c>
      <c r="G3490">
        <v>-264.31849999999997</v>
      </c>
      <c r="H3490" s="1">
        <v>7.2188780000000003E-7</v>
      </c>
      <c r="I3490">
        <v>215.5181</v>
      </c>
      <c r="J3490">
        <v>-299.21499999999997</v>
      </c>
      <c r="K3490">
        <v>1.1205210000000001</v>
      </c>
      <c r="L3490">
        <v>215.21639999999999</v>
      </c>
      <c r="M3490">
        <v>0.99991569999999996</v>
      </c>
      <c r="N3490">
        <v>-1.138787E-2</v>
      </c>
      <c r="O3490">
        <v>6.265919E-3</v>
      </c>
      <c r="P3490">
        <v>0.98166390000000003</v>
      </c>
      <c r="Q3490">
        <v>0.19017680000000001</v>
      </c>
      <c r="R3490">
        <v>1.300776E-2</v>
      </c>
      <c r="S3490">
        <v>3.0751339999999998</v>
      </c>
      <c r="T3490">
        <v>-9.7855689999999995E-2</v>
      </c>
      <c r="U3490">
        <v>2.651978E-2</v>
      </c>
      <c r="V3490">
        <v>-6.8288300000000001E-3</v>
      </c>
      <c r="W3490">
        <v>0.2013451</v>
      </c>
      <c r="X3490">
        <v>0.97949649999999999</v>
      </c>
      <c r="Y3490">
        <v>-2.3570470000000001E-3</v>
      </c>
      <c r="Z3490" s="1">
        <v>-7.707089E-5</v>
      </c>
      <c r="AA3490">
        <v>0.99999720000000003</v>
      </c>
      <c r="AB3490">
        <v>34</v>
      </c>
      <c r="AC3490">
        <v>34.896500000000003</v>
      </c>
      <c r="AD3490">
        <v>-1.1205202781121999</v>
      </c>
      <c r="AE3490">
        <v>0.30170000000001002</v>
      </c>
      <c r="AF3490">
        <v>-8.2935789338329E-2</v>
      </c>
      <c r="AG3490">
        <v>-1.1205202781121999</v>
      </c>
      <c r="AH3490">
        <v>34.8617642038244</v>
      </c>
      <c r="AI3490">
        <v>91.840951192157902</v>
      </c>
      <c r="AJ3490">
        <v>90.136305830862895</v>
      </c>
      <c r="AK3490">
        <v>34.879865932108501</v>
      </c>
      <c r="AL3490">
        <v>78.384371423904696</v>
      </c>
      <c r="AM3490">
        <v>90.399446857642104</v>
      </c>
      <c r="AN3490">
        <v>0.99999993786271202</v>
      </c>
    </row>
    <row r="3491" spans="1:40" x14ac:dyDescent="0.25">
      <c r="A3491" t="str">
        <f>"20190303162326251"</f>
        <v>20190303162326251</v>
      </c>
      <c r="B3491" t="str">
        <f>"1551601406238486"</f>
        <v>1551601406238486</v>
      </c>
      <c r="C3491" t="s">
        <v>40</v>
      </c>
      <c r="D3491">
        <v>5.5447749999999996</v>
      </c>
      <c r="E3491">
        <v>0.50229760000000001</v>
      </c>
      <c r="F3491" t="s">
        <v>47</v>
      </c>
      <c r="G3491">
        <v>-264.83179999999999</v>
      </c>
      <c r="H3491" s="1">
        <v>9.9658130000000005E-7</v>
      </c>
      <c r="I3491">
        <v>215.48220000000001</v>
      </c>
      <c r="J3491">
        <v>-298.86770000000001</v>
      </c>
      <c r="K3491">
        <v>1.1205160000000001</v>
      </c>
      <c r="L3491">
        <v>215.21850000000001</v>
      </c>
      <c r="M3491">
        <v>0.99991589999999997</v>
      </c>
      <c r="N3491">
        <v>-1.140042E-2</v>
      </c>
      <c r="O3491">
        <v>6.2023590000000002E-3</v>
      </c>
      <c r="P3491">
        <v>0.98186249999999997</v>
      </c>
      <c r="Q3491">
        <v>0.1892452</v>
      </c>
      <c r="R3491">
        <v>1.1505110000000001E-2</v>
      </c>
      <c r="S3491">
        <v>3.0751339999999998</v>
      </c>
      <c r="T3491">
        <v>-0.100216</v>
      </c>
      <c r="U3491">
        <v>2.377319E-2</v>
      </c>
      <c r="V3491">
        <v>-5.3833700000000002E-3</v>
      </c>
      <c r="W3491">
        <v>0.20042769999999999</v>
      </c>
      <c r="X3491">
        <v>0.9796937</v>
      </c>
      <c r="Y3491">
        <v>-1.5281229999999999E-3</v>
      </c>
      <c r="Z3491" s="1">
        <v>-9.7764219999999901E-5</v>
      </c>
      <c r="AA3491">
        <v>0.99999879999999997</v>
      </c>
      <c r="AB3491">
        <v>34</v>
      </c>
      <c r="AC3491">
        <v>34.035899999999998</v>
      </c>
      <c r="AD3491">
        <v>-1.1205150034186999</v>
      </c>
      <c r="AE3491">
        <v>0.26369999999999999</v>
      </c>
      <c r="AF3491">
        <v>-5.2521441722711698E-2</v>
      </c>
      <c r="AG3491">
        <v>-1.1205150034186999</v>
      </c>
      <c r="AH3491">
        <v>34.000032890198902</v>
      </c>
      <c r="AI3491">
        <v>91.887570997750601</v>
      </c>
      <c r="AJ3491">
        <v>90.088507401177196</v>
      </c>
      <c r="AK3491">
        <v>34.0185324332096</v>
      </c>
      <c r="AL3491">
        <v>78.438029065859794</v>
      </c>
      <c r="AM3491">
        <v>90.314834397906594</v>
      </c>
      <c r="AN3491">
        <v>0.99999999470976797</v>
      </c>
    </row>
    <row r="3492" spans="1:40" x14ac:dyDescent="0.25">
      <c r="A3492" t="str">
        <f>"20190303162326272"</f>
        <v>20190303162326272</v>
      </c>
      <c r="B3492" t="str">
        <f>"1551601406258007"</f>
        <v>1551601406258007</v>
      </c>
      <c r="C3492" t="s">
        <v>40</v>
      </c>
      <c r="D3492">
        <v>5.2991919999999997</v>
      </c>
      <c r="E3492">
        <v>0.50279359999999995</v>
      </c>
      <c r="F3492" t="s">
        <v>47</v>
      </c>
      <c r="G3492">
        <v>-265.69850000000002</v>
      </c>
      <c r="H3492" s="1">
        <v>1.4614359999999901E-6</v>
      </c>
      <c r="I3492">
        <v>215.39940000000001</v>
      </c>
      <c r="J3492">
        <v>-298.52980000000002</v>
      </c>
      <c r="K3492">
        <v>1.1205050000000001</v>
      </c>
      <c r="L3492">
        <v>215.22049999999999</v>
      </c>
      <c r="M3492">
        <v>0.99991609999999997</v>
      </c>
      <c r="N3492">
        <v>-1.141676E-2</v>
      </c>
      <c r="O3492">
        <v>6.133098E-3</v>
      </c>
      <c r="P3492">
        <v>0.98186580000000001</v>
      </c>
      <c r="Q3492">
        <v>0.18936049999999999</v>
      </c>
      <c r="R3492">
        <v>9.0774400000000009E-3</v>
      </c>
      <c r="S3492">
        <v>3.0752259999999998</v>
      </c>
      <c r="T3492">
        <v>-0.1038866</v>
      </c>
      <c r="U3492">
        <v>1.6769409999999998E-2</v>
      </c>
      <c r="V3492">
        <v>-3.0204070000000001E-3</v>
      </c>
      <c r="W3492">
        <v>0.20055899999999999</v>
      </c>
      <c r="X3492">
        <v>0.97967700000000002</v>
      </c>
      <c r="Y3492">
        <v>6.7847259999999896E-4</v>
      </c>
      <c r="Z3492">
        <v>-1.5244649999999999E-4</v>
      </c>
      <c r="AA3492">
        <v>0.99999979999999999</v>
      </c>
      <c r="AB3492">
        <v>34</v>
      </c>
      <c r="AC3492">
        <v>32.831299999999999</v>
      </c>
      <c r="AD3492">
        <v>-1.1205035385640001</v>
      </c>
      <c r="AE3492">
        <v>0.17890000000002701</v>
      </c>
      <c r="AF3492">
        <v>2.2447906457902501E-2</v>
      </c>
      <c r="AG3492">
        <v>-1.1205035385640001</v>
      </c>
      <c r="AH3492">
        <v>32.793582985165003</v>
      </c>
      <c r="AI3492">
        <v>91.956942067068994</v>
      </c>
      <c r="AJ3492">
        <v>89.960779823947902</v>
      </c>
      <c r="AK3492">
        <v>32.812727973963803</v>
      </c>
      <c r="AL3492">
        <v>78.430350623297102</v>
      </c>
      <c r="AM3492">
        <v>90.176646001893999</v>
      </c>
      <c r="AN3492">
        <v>1.00000002983422</v>
      </c>
    </row>
    <row r="3493" spans="1:40" x14ac:dyDescent="0.25">
      <c r="A3493" t="str">
        <f>"20190303162326295"</f>
        <v>20190303162326295</v>
      </c>
      <c r="B3493" t="str">
        <f>"1551601406288265"</f>
        <v>1551601406288265</v>
      </c>
      <c r="C3493" t="s">
        <v>40</v>
      </c>
      <c r="D3493">
        <v>5.289193</v>
      </c>
      <c r="E3493">
        <v>0.50339029999999996</v>
      </c>
      <c r="F3493" t="s">
        <v>47</v>
      </c>
      <c r="G3493">
        <v>-264.96949999999998</v>
      </c>
      <c r="H3493" s="1">
        <v>1.078624E-6</v>
      </c>
      <c r="I3493">
        <v>215.28290000000001</v>
      </c>
      <c r="J3493">
        <v>-298.18549999999999</v>
      </c>
      <c r="K3493">
        <v>1.1205069999999999</v>
      </c>
      <c r="L3493">
        <v>215.2225</v>
      </c>
      <c r="M3493">
        <v>0.99991629999999998</v>
      </c>
      <c r="N3493">
        <v>-1.144065E-2</v>
      </c>
      <c r="O3493">
        <v>6.0574440000000004E-3</v>
      </c>
      <c r="P3493">
        <v>0.9818867</v>
      </c>
      <c r="Q3493">
        <v>0.1893476</v>
      </c>
      <c r="R3493">
        <v>6.8136990000000003E-3</v>
      </c>
      <c r="S3493">
        <v>3.0751339999999998</v>
      </c>
      <c r="T3493">
        <v>-0.10267220000000001</v>
      </c>
      <c r="U3493">
        <v>5.7220459999999997E-3</v>
      </c>
      <c r="V3493">
        <v>-8.2901579999999995E-4</v>
      </c>
      <c r="W3493">
        <v>0.20056879999999999</v>
      </c>
      <c r="X3493">
        <v>0.97967930000000003</v>
      </c>
      <c r="Y3493">
        <v>4.1925249999999999E-3</v>
      </c>
      <c r="Z3493">
        <v>-2.268591E-4</v>
      </c>
      <c r="AA3493">
        <v>0.99999119999999997</v>
      </c>
      <c r="AB3493">
        <v>34</v>
      </c>
      <c r="AC3493">
        <v>33.216000000000001</v>
      </c>
      <c r="AD3493">
        <v>-1.120505921376</v>
      </c>
      <c r="AE3493">
        <v>6.0400000000015497E-2</v>
      </c>
      <c r="AF3493">
        <v>0.14065825279998101</v>
      </c>
      <c r="AG3493">
        <v>-1.120505921376</v>
      </c>
      <c r="AH3493">
        <v>33.178000725995297</v>
      </c>
      <c r="AI3493">
        <v>91.934272427103195</v>
      </c>
      <c r="AJ3493">
        <v>89.757095792994306</v>
      </c>
      <c r="AK3493">
        <v>33.197214498178298</v>
      </c>
      <c r="AL3493">
        <v>78.429777490351299</v>
      </c>
      <c r="AM3493">
        <v>90.048484330690698</v>
      </c>
      <c r="AN3493">
        <v>1.00000003082456</v>
      </c>
    </row>
    <row r="3494" spans="1:40" x14ac:dyDescent="0.25">
      <c r="A3494" t="str">
        <f>"20190303162326318"</f>
        <v>20190303162326318</v>
      </c>
      <c r="B3494" t="str">
        <f>"1551601406307785"</f>
        <v>1551601406307785</v>
      </c>
      <c r="C3494" t="s">
        <v>40</v>
      </c>
      <c r="D3494">
        <v>5.5899850000000004</v>
      </c>
      <c r="E3494">
        <v>0.50350529999999905</v>
      </c>
      <c r="F3494" t="s">
        <v>47</v>
      </c>
      <c r="G3494">
        <v>-264.38749999999999</v>
      </c>
      <c r="H3494" s="1">
        <v>7.7452530000000004E-7</v>
      </c>
      <c r="I3494">
        <v>215.15309999999999</v>
      </c>
      <c r="J3494">
        <v>-297.8338</v>
      </c>
      <c r="K3494">
        <v>1.120514</v>
      </c>
      <c r="L3494">
        <v>215.22460000000001</v>
      </c>
      <c r="M3494">
        <v>0.99991629999999998</v>
      </c>
      <c r="N3494">
        <v>-1.147403E-2</v>
      </c>
      <c r="O3494">
        <v>5.9778729999999999E-3</v>
      </c>
      <c r="P3494">
        <v>0.98189550000000003</v>
      </c>
      <c r="Q3494">
        <v>0.18934200000000001</v>
      </c>
      <c r="R3494">
        <v>5.5756310000000002E-3</v>
      </c>
      <c r="S3494">
        <v>3.0750120000000001</v>
      </c>
      <c r="T3494">
        <v>-0.1019456</v>
      </c>
      <c r="U3494">
        <v>-6.3171390000000003E-3</v>
      </c>
      <c r="V3494">
        <v>3.3248289999999997E-4</v>
      </c>
      <c r="W3494">
        <v>0.20059589999999999</v>
      </c>
      <c r="X3494">
        <v>0.97967400000000004</v>
      </c>
      <c r="Y3494">
        <v>8.0252199999999996E-3</v>
      </c>
      <c r="Z3494">
        <v>-3.086009E-4</v>
      </c>
      <c r="AA3494">
        <v>0.99996779999999996</v>
      </c>
      <c r="AB3494">
        <v>34</v>
      </c>
      <c r="AC3494">
        <v>33.446300000000001</v>
      </c>
      <c r="AD3494">
        <v>-1.1205132254746999</v>
      </c>
      <c r="AE3494">
        <v>-7.1500000000014496E-2</v>
      </c>
      <c r="AF3494">
        <v>0.27114529383149399</v>
      </c>
      <c r="AG3494">
        <v>-1.1205132254746999</v>
      </c>
      <c r="AH3494">
        <v>33.407778999021403</v>
      </c>
      <c r="AI3494">
        <v>91.920945070381606</v>
      </c>
      <c r="AJ3494">
        <v>89.534984356151497</v>
      </c>
      <c r="AK3494">
        <v>33.427664700159497</v>
      </c>
      <c r="AL3494">
        <v>78.428192037720393</v>
      </c>
      <c r="AM3494">
        <v>89.980554892547005</v>
      </c>
      <c r="AN3494">
        <v>0.99999998595884398</v>
      </c>
    </row>
    <row r="3495" spans="1:40" x14ac:dyDescent="0.25">
      <c r="A3495" t="str">
        <f>"20190303162326339"</f>
        <v>20190303162326339</v>
      </c>
      <c r="B3495" t="str">
        <f>"1551601406328279"</f>
        <v>1551601406328279</v>
      </c>
      <c r="C3495" t="s">
        <v>40</v>
      </c>
      <c r="D3495">
        <v>5.3413899999999996</v>
      </c>
      <c r="E3495">
        <v>0.53166569999999902</v>
      </c>
      <c r="F3495" t="s">
        <v>47</v>
      </c>
      <c r="G3495">
        <v>-263.81009999999998</v>
      </c>
      <c r="H3495" s="1">
        <v>4.6957059999999999E-7</v>
      </c>
      <c r="I3495">
        <v>215.10130000000001</v>
      </c>
      <c r="J3495">
        <v>-297.50729999999999</v>
      </c>
      <c r="K3495">
        <v>1.120525</v>
      </c>
      <c r="L3495">
        <v>215.22640000000001</v>
      </c>
      <c r="M3495">
        <v>0.99991629999999998</v>
      </c>
      <c r="N3495">
        <v>-1.1511220000000001E-2</v>
      </c>
      <c r="O3495">
        <v>5.9040119999999897E-3</v>
      </c>
      <c r="P3495">
        <v>0.9818363</v>
      </c>
      <c r="Q3495">
        <v>0.1896717</v>
      </c>
      <c r="R3495">
        <v>4.7067029999999996E-3</v>
      </c>
      <c r="S3495">
        <v>3.0748899999999999</v>
      </c>
      <c r="T3495">
        <v>-0.10126640000000001</v>
      </c>
      <c r="U3495">
        <v>-1.113892E-2</v>
      </c>
      <c r="V3495">
        <v>1.129845E-3</v>
      </c>
      <c r="W3495">
        <v>0.20096120000000001</v>
      </c>
      <c r="X3495">
        <v>0.97959859999999999</v>
      </c>
      <c r="Y3495">
        <v>9.5185010000000004E-3</v>
      </c>
      <c r="Z3495">
        <v>-3.3793439999999999E-4</v>
      </c>
      <c r="AA3495">
        <v>0.99995460000000003</v>
      </c>
      <c r="AB3495">
        <v>34</v>
      </c>
      <c r="AC3495">
        <v>33.697200000000002</v>
      </c>
      <c r="AD3495">
        <v>-1.12052453042939</v>
      </c>
      <c r="AE3495">
        <v>-0.12510000000000299</v>
      </c>
      <c r="AF3495">
        <v>0.32370175097603698</v>
      </c>
      <c r="AG3495">
        <v>-1.12052453042939</v>
      </c>
      <c r="AH3495">
        <v>33.6586565897939</v>
      </c>
      <c r="AI3495">
        <v>91.906631622313498</v>
      </c>
      <c r="AJ3495">
        <v>89.448992495118304</v>
      </c>
      <c r="AK3495">
        <v>33.678858672415799</v>
      </c>
      <c r="AL3495">
        <v>78.406827560237801</v>
      </c>
      <c r="AM3495">
        <v>89.933916482425801</v>
      </c>
      <c r="AN3495">
        <v>1.0000000487885601</v>
      </c>
    </row>
    <row r="3496" spans="1:40" x14ac:dyDescent="0.25">
      <c r="A3496" t="str">
        <f>"20190303162326362"</f>
        <v>20190303162326362</v>
      </c>
      <c r="B3496" t="str">
        <f>"1551601406358534"</f>
        <v>1551601406358534</v>
      </c>
      <c r="C3496" t="s">
        <v>40</v>
      </c>
      <c r="D3496">
        <v>5.3224739999999997</v>
      </c>
      <c r="E3496">
        <v>0.544382699999999</v>
      </c>
      <c r="F3496" t="s">
        <v>47</v>
      </c>
      <c r="G3496">
        <v>-261.12670000000003</v>
      </c>
      <c r="H3496" s="1">
        <v>-8.4104050000000003E-7</v>
      </c>
      <c r="I3496">
        <v>212.41659999999999</v>
      </c>
      <c r="J3496">
        <v>-297.1558</v>
      </c>
      <c r="K3496">
        <v>1.1205309999999999</v>
      </c>
      <c r="L3496">
        <v>215.22839999999999</v>
      </c>
      <c r="M3496">
        <v>0.99991620000000003</v>
      </c>
      <c r="N3496">
        <v>-1.156241E-2</v>
      </c>
      <c r="O3496">
        <v>5.8252950000000003E-3</v>
      </c>
      <c r="P3496">
        <v>0.98181790000000002</v>
      </c>
      <c r="Q3496">
        <v>0.1897779</v>
      </c>
      <c r="R3496">
        <v>4.2361819999999998E-3</v>
      </c>
      <c r="S3496">
        <v>3.0749209999999998</v>
      </c>
      <c r="T3496">
        <v>-9.4708089999999995E-2</v>
      </c>
      <c r="U3496">
        <v>-0.2374878</v>
      </c>
      <c r="V3496">
        <v>1.524309E-3</v>
      </c>
      <c r="W3496">
        <v>0.2011172</v>
      </c>
      <c r="X3496">
        <v>0.97956600000000005</v>
      </c>
      <c r="Y3496">
        <v>8.2756750000000004E-2</v>
      </c>
      <c r="Z3496">
        <v>-1.8634599999999999E-3</v>
      </c>
      <c r="AA3496">
        <v>0.99656800000000001</v>
      </c>
      <c r="AB3496">
        <v>34</v>
      </c>
      <c r="AC3496">
        <v>36.0290999999999</v>
      </c>
      <c r="AD3496">
        <v>-1.1205318410405001</v>
      </c>
      <c r="AE3496">
        <v>-2.8117999999999999</v>
      </c>
      <c r="AF3496">
        <v>3.0187442259111599</v>
      </c>
      <c r="AG3496">
        <v>-1.1205318410405001</v>
      </c>
      <c r="AH3496">
        <v>35.977519131794899</v>
      </c>
      <c r="AI3496">
        <v>91.777676834505797</v>
      </c>
      <c r="AJ3496">
        <v>85.203751819986707</v>
      </c>
      <c r="AK3496">
        <v>36.121327372992901</v>
      </c>
      <c r="AL3496">
        <v>78.397702553461201</v>
      </c>
      <c r="AM3496">
        <v>89.910841738198499</v>
      </c>
      <c r="AN3496">
        <v>1.0000000000048801</v>
      </c>
    </row>
    <row r="3497" spans="1:40" x14ac:dyDescent="0.25">
      <c r="A3497" t="str">
        <f>"20190303162326385"</f>
        <v>20190303162326385</v>
      </c>
      <c r="B3497" t="str">
        <f>"1551601406378055"</f>
        <v>1551601406378055</v>
      </c>
      <c r="C3497" t="s">
        <v>40</v>
      </c>
      <c r="D3497">
        <v>5.3121989999999997</v>
      </c>
      <c r="E3497">
        <v>0.54697169999999995</v>
      </c>
      <c r="F3497" t="s">
        <v>47</v>
      </c>
      <c r="G3497">
        <v>-264.2253</v>
      </c>
      <c r="H3497" s="1">
        <v>8.4349699999999997E-7</v>
      </c>
      <c r="I3497">
        <v>211.60120000000001</v>
      </c>
      <c r="J3497">
        <v>-296.80169999999998</v>
      </c>
      <c r="K3497">
        <v>1.1205419999999999</v>
      </c>
      <c r="L3497">
        <v>215.2304</v>
      </c>
      <c r="M3497">
        <v>0.99991580000000002</v>
      </c>
      <c r="N3497">
        <v>-1.162754E-2</v>
      </c>
      <c r="O3497">
        <v>5.7467250000000003E-3</v>
      </c>
      <c r="P3497">
        <v>0.98197409999999996</v>
      </c>
      <c r="Q3497">
        <v>0.18897069999999999</v>
      </c>
      <c r="R3497">
        <v>4.1243460000000001E-3</v>
      </c>
      <c r="S3497">
        <v>3.0772710000000001</v>
      </c>
      <c r="T3497">
        <v>-0.1047106</v>
      </c>
      <c r="U3497">
        <v>-0.3389587</v>
      </c>
      <c r="V3497">
        <v>1.5610839999999999E-3</v>
      </c>
      <c r="W3497">
        <v>0.20037579999999999</v>
      </c>
      <c r="X3497">
        <v>0.97971790000000003</v>
      </c>
      <c r="Y3497">
        <v>0.11510769999999999</v>
      </c>
      <c r="Z3497">
        <v>-2.751744E-3</v>
      </c>
      <c r="AA3497">
        <v>0.99334920000000004</v>
      </c>
      <c r="AB3497">
        <v>34</v>
      </c>
      <c r="AC3497">
        <v>32.5763999999999</v>
      </c>
      <c r="AD3497">
        <v>-1.1205411565029999</v>
      </c>
      <c r="AE3497">
        <v>-3.6291999999999902</v>
      </c>
      <c r="AF3497">
        <v>3.8119054834375099</v>
      </c>
      <c r="AG3497">
        <v>-1.1205411565029999</v>
      </c>
      <c r="AH3497">
        <v>32.517002884102901</v>
      </c>
      <c r="AI3497">
        <v>91.960228201752003</v>
      </c>
      <c r="AJ3497">
        <v>83.3138429144188</v>
      </c>
      <c r="AK3497">
        <v>32.758841744830299</v>
      </c>
      <c r="AL3497">
        <v>78.441064714010395</v>
      </c>
      <c r="AM3497">
        <v>89.908704894573603</v>
      </c>
      <c r="AN3497">
        <v>1.0000000308946499</v>
      </c>
    </row>
    <row r="3498" spans="1:40" x14ac:dyDescent="0.25">
      <c r="A3498" t="str">
        <f>"20190303162326406"</f>
        <v>20190303162326406</v>
      </c>
      <c r="B3498" t="str">
        <f>"1551601406397575"</f>
        <v>1551601406397575</v>
      </c>
      <c r="C3498" t="s">
        <v>40</v>
      </c>
      <c r="D3498">
        <v>5.3265840000000004</v>
      </c>
      <c r="E3498">
        <v>0.54830990000000002</v>
      </c>
      <c r="F3498" t="s">
        <v>47</v>
      </c>
      <c r="G3498">
        <v>-265.50920000000002</v>
      </c>
      <c r="H3498" s="1">
        <v>1.528192E-6</v>
      </c>
      <c r="I3498">
        <v>211.56729999999999</v>
      </c>
      <c r="J3498">
        <v>-296.47969999999998</v>
      </c>
      <c r="K3498">
        <v>1.1205499999999999</v>
      </c>
      <c r="L3498">
        <v>215.23220000000001</v>
      </c>
      <c r="M3498">
        <v>0.99991549999999996</v>
      </c>
      <c r="N3498">
        <v>-1.168927E-2</v>
      </c>
      <c r="O3498">
        <v>5.6752139999999996E-3</v>
      </c>
      <c r="P3498">
        <v>0.98199829999999999</v>
      </c>
      <c r="Q3498">
        <v>0.1888426</v>
      </c>
      <c r="R3498">
        <v>4.2146680000000004E-3</v>
      </c>
      <c r="S3498">
        <v>3.077728</v>
      </c>
      <c r="T3498">
        <v>-0.110209</v>
      </c>
      <c r="U3498">
        <v>-0.36027530000000002</v>
      </c>
      <c r="V3498">
        <v>1.401928E-3</v>
      </c>
      <c r="W3498">
        <v>0.2003086</v>
      </c>
      <c r="X3498">
        <v>0.97973189999999999</v>
      </c>
      <c r="Y3498">
        <v>0.1217961</v>
      </c>
      <c r="Z3498">
        <v>-3.023548E-3</v>
      </c>
      <c r="AA3498">
        <v>0.99255059999999995</v>
      </c>
      <c r="AB3498">
        <v>34</v>
      </c>
      <c r="AC3498">
        <v>30.970499999999902</v>
      </c>
      <c r="AD3498">
        <v>-1.1205484718080001</v>
      </c>
      <c r="AE3498">
        <v>-3.66490000000001</v>
      </c>
      <c r="AF3498">
        <v>3.8356653732984398</v>
      </c>
      <c r="AG3498">
        <v>-1.1205484718080001</v>
      </c>
      <c r="AH3498">
        <v>30.909296826908999</v>
      </c>
      <c r="AI3498">
        <v>92.060432727371307</v>
      </c>
      <c r="AJ3498">
        <v>82.926087750244406</v>
      </c>
      <c r="AK3498">
        <v>31.166529933047698</v>
      </c>
      <c r="AL3498">
        <v>78.444994869570607</v>
      </c>
      <c r="AM3498">
        <v>89.918013792591495</v>
      </c>
      <c r="AN3498">
        <v>1.0000000482568401</v>
      </c>
    </row>
    <row r="3499" spans="1:40" x14ac:dyDescent="0.25">
      <c r="A3499" t="str">
        <f>"20190303162326427"</f>
        <v>20190303162326427</v>
      </c>
      <c r="B3499" t="str">
        <f>"1551601406418070"</f>
        <v>1551601406418070</v>
      </c>
      <c r="C3499" t="s">
        <v>40</v>
      </c>
      <c r="D3499">
        <v>5.3235359999999998</v>
      </c>
      <c r="E3499">
        <v>0.54889149999999998</v>
      </c>
      <c r="F3499" t="s">
        <v>47</v>
      </c>
      <c r="G3499">
        <v>-265.24419999999998</v>
      </c>
      <c r="H3499" s="1">
        <v>1.3914429999999901E-6</v>
      </c>
      <c r="I3499">
        <v>211.46950000000001</v>
      </c>
      <c r="J3499">
        <v>-296.14999999999998</v>
      </c>
      <c r="K3499">
        <v>1.1205560000000001</v>
      </c>
      <c r="L3499">
        <v>215.23400000000001</v>
      </c>
      <c r="M3499">
        <v>0.99991540000000001</v>
      </c>
      <c r="N3499">
        <v>-1.1750999999999999E-2</v>
      </c>
      <c r="O3499">
        <v>5.6016869999999898E-3</v>
      </c>
      <c r="P3499">
        <v>0.98196289999999997</v>
      </c>
      <c r="Q3499">
        <v>0.18904090000000001</v>
      </c>
      <c r="R3499">
        <v>3.6149139999999999E-3</v>
      </c>
      <c r="S3499">
        <v>3.07782</v>
      </c>
      <c r="T3499">
        <v>-0.110414</v>
      </c>
      <c r="U3499">
        <v>-0.37075809999999998</v>
      </c>
      <c r="V3499">
        <v>1.930045E-3</v>
      </c>
      <c r="W3499">
        <v>0.20056689999999999</v>
      </c>
      <c r="X3499">
        <v>0.9796781</v>
      </c>
      <c r="Y3499">
        <v>0.1250494</v>
      </c>
      <c r="Z3499">
        <v>-3.1065509999999999E-3</v>
      </c>
      <c r="AA3499">
        <v>0.99214570000000002</v>
      </c>
      <c r="AB3499">
        <v>34</v>
      </c>
      <c r="AC3499">
        <v>30.905799999999999</v>
      </c>
      <c r="AD3499">
        <v>-1.120554608557</v>
      </c>
      <c r="AE3499">
        <v>-3.7644999999999902</v>
      </c>
      <c r="AF3499">
        <v>3.9324835017206499</v>
      </c>
      <c r="AG3499">
        <v>-1.120554608557</v>
      </c>
      <c r="AH3499">
        <v>30.844271643935201</v>
      </c>
      <c r="AI3499">
        <v>92.063915470195397</v>
      </c>
      <c r="AJ3499">
        <v>82.734286082870597</v>
      </c>
      <c r="AK3499">
        <v>31.114131232720101</v>
      </c>
      <c r="AL3499">
        <v>78.429888167029603</v>
      </c>
      <c r="AM3499">
        <v>89.887122831770398</v>
      </c>
      <c r="AN3499">
        <v>0.99999999303446097</v>
      </c>
    </row>
    <row r="3500" spans="1:40" x14ac:dyDescent="0.25">
      <c r="A3500" t="str">
        <f>"20190303162326452"</f>
        <v>20190303162326452</v>
      </c>
      <c r="B3500" t="str">
        <f>"1551601406438567"</f>
        <v>1551601406438567</v>
      </c>
      <c r="C3500" t="s">
        <v>40</v>
      </c>
      <c r="D3500">
        <v>5.3279480000000001</v>
      </c>
      <c r="E3500">
        <v>0.54998239999999998</v>
      </c>
      <c r="F3500" t="s">
        <v>47</v>
      </c>
      <c r="G3500">
        <v>-264.94749999999999</v>
      </c>
      <c r="H3500" s="1">
        <v>1.2360450000000001E-6</v>
      </c>
      <c r="I3500">
        <v>211.41300000000001</v>
      </c>
      <c r="J3500">
        <v>-295.78910000000002</v>
      </c>
      <c r="K3500">
        <v>1.120557</v>
      </c>
      <c r="L3500">
        <v>215.23589999999999</v>
      </c>
      <c r="M3500">
        <v>0.99991490000000005</v>
      </c>
      <c r="N3500">
        <v>-1.1820580000000001E-2</v>
      </c>
      <c r="O3500">
        <v>5.5170180000000003E-3</v>
      </c>
      <c r="P3500">
        <v>0.98198589999999997</v>
      </c>
      <c r="Q3500">
        <v>0.188917</v>
      </c>
      <c r="R3500">
        <v>3.7550790000000001E-3</v>
      </c>
      <c r="S3500">
        <v>3.0777589999999999</v>
      </c>
      <c r="T3500">
        <v>-0.1105294</v>
      </c>
      <c r="U3500">
        <v>-0.37689210000000001</v>
      </c>
      <c r="V3500">
        <v>1.7080800000000001E-3</v>
      </c>
      <c r="W3500">
        <v>0.2005113</v>
      </c>
      <c r="X3500">
        <v>0.9796899</v>
      </c>
      <c r="Y3500">
        <v>0.12691430000000001</v>
      </c>
      <c r="Z3500">
        <v>-3.1553140000000002E-3</v>
      </c>
      <c r="AA3500">
        <v>0.99190869999999998</v>
      </c>
      <c r="AB3500">
        <v>34</v>
      </c>
      <c r="AC3500">
        <v>30.8416</v>
      </c>
      <c r="AD3500">
        <v>-1.1205557639549999</v>
      </c>
      <c r="AE3500">
        <v>-3.8229000000000002</v>
      </c>
      <c r="AF3500">
        <v>3.9878228622567198</v>
      </c>
      <c r="AG3500">
        <v>-1.1205557639549999</v>
      </c>
      <c r="AH3500">
        <v>30.780021478300799</v>
      </c>
      <c r="AI3500">
        <v>92.067682867920695</v>
      </c>
      <c r="AJ3500">
        <v>82.617947661971399</v>
      </c>
      <c r="AK3500">
        <v>31.057496657095999</v>
      </c>
      <c r="AL3500">
        <v>78.433139944997706</v>
      </c>
      <c r="AM3500">
        <v>89.900105455911998</v>
      </c>
      <c r="AN3500">
        <v>0.99999999956349295</v>
      </c>
    </row>
    <row r="3501" spans="1:40" x14ac:dyDescent="0.25">
      <c r="A3501" t="str">
        <f>"20190303162326473"</f>
        <v>20190303162326473</v>
      </c>
      <c r="B3501" t="str">
        <f>"1551601406467847"</f>
        <v>1551601406467847</v>
      </c>
      <c r="C3501" t="s">
        <v>40</v>
      </c>
      <c r="D3501">
        <v>5.5749870000000001</v>
      </c>
      <c r="E3501">
        <v>0.55088519999999996</v>
      </c>
      <c r="F3501" t="s">
        <v>47</v>
      </c>
      <c r="G3501">
        <v>-264.61340000000001</v>
      </c>
      <c r="H3501" s="1">
        <v>1.061434E-6</v>
      </c>
      <c r="I3501">
        <v>211.34020000000001</v>
      </c>
      <c r="J3501">
        <v>-295.45760000000001</v>
      </c>
      <c r="K3501">
        <v>1.1205639999999999</v>
      </c>
      <c r="L3501">
        <v>215.23759999999999</v>
      </c>
      <c r="M3501">
        <v>0.99991459999999999</v>
      </c>
      <c r="N3501">
        <v>-1.188926E-2</v>
      </c>
      <c r="O3501">
        <v>5.4358660000000001E-3</v>
      </c>
      <c r="P3501">
        <v>0.98189689999999996</v>
      </c>
      <c r="Q3501">
        <v>0.1893668</v>
      </c>
      <c r="R3501">
        <v>4.3474630000000002E-3</v>
      </c>
      <c r="S3501">
        <v>3.0777589999999999</v>
      </c>
      <c r="T3501">
        <v>-0.1106248</v>
      </c>
      <c r="U3501">
        <v>-0.38459779999999999</v>
      </c>
      <c r="V3501">
        <v>1.036768E-3</v>
      </c>
      <c r="W3501">
        <v>0.2010275</v>
      </c>
      <c r="X3501">
        <v>0.97958509999999999</v>
      </c>
      <c r="Y3501">
        <v>0.12927710000000001</v>
      </c>
      <c r="Z3501">
        <v>-3.2156390000000002E-3</v>
      </c>
      <c r="AA3501">
        <v>0.99160329999999997</v>
      </c>
      <c r="AB3501">
        <v>34</v>
      </c>
      <c r="AC3501">
        <v>30.844200000000001</v>
      </c>
      <c r="AD3501">
        <v>-1.1205629385660001</v>
      </c>
      <c r="AE3501">
        <v>-3.89739999999997</v>
      </c>
      <c r="AF3501">
        <v>4.0597451312689197</v>
      </c>
      <c r="AG3501">
        <v>-1.1205629385660001</v>
      </c>
      <c r="AH3501">
        <v>30.782567023191199</v>
      </c>
      <c r="AI3501">
        <v>92.066907866243398</v>
      </c>
      <c r="AJ3501">
        <v>82.486931046801701</v>
      </c>
      <c r="AK3501">
        <v>31.069335756777999</v>
      </c>
      <c r="AL3501">
        <v>78.402949719796894</v>
      </c>
      <c r="AM3501">
        <v>89.939359624238605</v>
      </c>
      <c r="AN3501">
        <v>1.0000000493930701</v>
      </c>
    </row>
    <row r="3502" spans="1:40" x14ac:dyDescent="0.25">
      <c r="A3502" t="str">
        <f>"20190303162326496"</f>
        <v>20190303162326496</v>
      </c>
      <c r="B3502" t="str">
        <f>"1551601406488343"</f>
        <v>1551601406488343</v>
      </c>
      <c r="C3502" t="s">
        <v>40</v>
      </c>
      <c r="D3502">
        <v>5.4837809999999996</v>
      </c>
      <c r="E3502">
        <v>0.53168649999999995</v>
      </c>
      <c r="F3502" t="s">
        <v>47</v>
      </c>
      <c r="G3502">
        <v>-262.83879999999999</v>
      </c>
      <c r="H3502" s="1">
        <v>1.2760799999999999E-7</v>
      </c>
      <c r="I3502">
        <v>211.09989999999999</v>
      </c>
      <c r="J3502">
        <v>-295.1114</v>
      </c>
      <c r="K3502">
        <v>1.120579</v>
      </c>
      <c r="L3502">
        <v>215.23939999999999</v>
      </c>
      <c r="M3502">
        <v>0.99991410000000003</v>
      </c>
      <c r="N3502">
        <v>-1.196667E-2</v>
      </c>
      <c r="O3502">
        <v>5.3570689999999999E-3</v>
      </c>
      <c r="P3502">
        <v>0.98170880000000005</v>
      </c>
      <c r="Q3502">
        <v>0.1903338</v>
      </c>
      <c r="R3502">
        <v>4.5782169999999999E-3</v>
      </c>
      <c r="S3502">
        <v>3.0773929999999998</v>
      </c>
      <c r="T3502">
        <v>-0.1057189</v>
      </c>
      <c r="U3502">
        <v>-0.39036559999999998</v>
      </c>
      <c r="V3502">
        <v>7.2799319999999998E-4</v>
      </c>
      <c r="W3502">
        <v>0.20206760000000001</v>
      </c>
      <c r="X3502">
        <v>0.97937129999999994</v>
      </c>
      <c r="Y3502">
        <v>0.1310499</v>
      </c>
      <c r="Z3502">
        <v>-3.148372E-3</v>
      </c>
      <c r="AA3502">
        <v>0.9913708</v>
      </c>
      <c r="AB3502">
        <v>34</v>
      </c>
      <c r="AC3502">
        <v>32.272599999999997</v>
      </c>
      <c r="AD3502">
        <v>-1.120578872392</v>
      </c>
      <c r="AE3502">
        <v>-4.1394999999999902</v>
      </c>
      <c r="AF3502">
        <v>4.3072306012610699</v>
      </c>
      <c r="AG3502">
        <v>-1.120578872392</v>
      </c>
      <c r="AH3502">
        <v>32.211752555835403</v>
      </c>
      <c r="AI3502">
        <v>91.974833061704004</v>
      </c>
      <c r="AJ3502">
        <v>82.3838086909483</v>
      </c>
      <c r="AK3502">
        <v>32.5177633791142</v>
      </c>
      <c r="AL3502">
        <v>78.342107172998695</v>
      </c>
      <c r="AM3502">
        <v>89.957410503869198</v>
      </c>
      <c r="AN3502">
        <v>0.99999999410377405</v>
      </c>
    </row>
    <row r="3503" spans="1:40" x14ac:dyDescent="0.25">
      <c r="A3503" t="str">
        <f>"20190303162326517"</f>
        <v>20190303162326517</v>
      </c>
      <c r="B3503" t="str">
        <f>"1551601406507863"</f>
        <v>1551601406507863</v>
      </c>
      <c r="C3503" t="s">
        <v>40</v>
      </c>
      <c r="D3503">
        <v>5.6597629999999999</v>
      </c>
      <c r="E3503">
        <v>0.47663349999999999</v>
      </c>
      <c r="F3503" t="s">
        <v>47</v>
      </c>
      <c r="G3503">
        <v>-278.99720000000002</v>
      </c>
      <c r="H3503" s="1">
        <v>3.2774129999999999E-6</v>
      </c>
      <c r="I3503">
        <v>214.01349999999999</v>
      </c>
      <c r="J3503">
        <v>-294.77539999999999</v>
      </c>
      <c r="K3503">
        <v>1.120593</v>
      </c>
      <c r="L3503">
        <v>215.24109999999999</v>
      </c>
      <c r="M3503">
        <v>0.99991350000000001</v>
      </c>
      <c r="N3503">
        <v>-1.204332E-2</v>
      </c>
      <c r="O3503">
        <v>5.2883469999999997E-3</v>
      </c>
      <c r="P3503">
        <v>0.98156679999999996</v>
      </c>
      <c r="Q3503">
        <v>0.1910568</v>
      </c>
      <c r="R3503">
        <v>4.8718989999999998E-3</v>
      </c>
      <c r="S3503">
        <v>3.0987849999999999</v>
      </c>
      <c r="T3503">
        <v>-0.21548870000000001</v>
      </c>
      <c r="U3503">
        <v>-0.23574829999999999</v>
      </c>
      <c r="V3503">
        <v>3.66499E-4</v>
      </c>
      <c r="W3503">
        <v>0.20286419999999999</v>
      </c>
      <c r="X3503">
        <v>0.97920680000000004</v>
      </c>
      <c r="Y3503">
        <v>8.0894049999999995E-2</v>
      </c>
      <c r="Z3503">
        <v>-3.5970289999999999E-3</v>
      </c>
      <c r="AA3503">
        <v>0.99671620000000005</v>
      </c>
      <c r="AB3503">
        <v>34</v>
      </c>
      <c r="AC3503">
        <v>15.778199999999901</v>
      </c>
      <c r="AD3503">
        <v>-1.1205897225869901</v>
      </c>
      <c r="AE3503">
        <v>-1.22759999999999</v>
      </c>
      <c r="AF3503">
        <v>1.3044891772321301</v>
      </c>
      <c r="AG3503">
        <v>-1.1205897225869901</v>
      </c>
      <c r="AH3503">
        <v>15.6928080420772</v>
      </c>
      <c r="AI3503">
        <v>94.0704439087814</v>
      </c>
      <c r="AJ3503">
        <v>85.248123943302303</v>
      </c>
      <c r="AK3503">
        <v>15.7867551316085</v>
      </c>
      <c r="AL3503">
        <v>78.295500011000897</v>
      </c>
      <c r="AM3503">
        <v>89.978555250111398</v>
      </c>
      <c r="AN3503">
        <v>0.99999998756469799</v>
      </c>
    </row>
    <row r="3504" spans="1:40" x14ac:dyDescent="0.25">
      <c r="A3504" t="str">
        <f>"20190303162326552"</f>
        <v>20190303162326552</v>
      </c>
      <c r="B3504" t="str">
        <f>"1551601406538118"</f>
        <v>1551601406538118</v>
      </c>
      <c r="C3504" t="s">
        <v>40</v>
      </c>
      <c r="D3504">
        <v>5.6212619999999998</v>
      </c>
      <c r="E3504">
        <v>0.4759871</v>
      </c>
      <c r="F3504" t="s">
        <v>47</v>
      </c>
      <c r="G3504">
        <v>-234.77629999999999</v>
      </c>
      <c r="H3504" s="1">
        <v>8.030308E-7</v>
      </c>
      <c r="I3504">
        <v>219.2346</v>
      </c>
      <c r="J3504">
        <v>-294.24939999999998</v>
      </c>
      <c r="K3504">
        <v>1.1206229999999999</v>
      </c>
      <c r="L3504">
        <v>215.24369999999999</v>
      </c>
      <c r="M3504">
        <v>0.99991260000000004</v>
      </c>
      <c r="N3504">
        <v>-1.21723E-2</v>
      </c>
      <c r="O3504">
        <v>5.1883429999999998E-3</v>
      </c>
      <c r="P3504">
        <v>0.98130919999999999</v>
      </c>
      <c r="Q3504">
        <v>0.1923907</v>
      </c>
      <c r="R3504">
        <v>4.2718649999999997E-3</v>
      </c>
      <c r="S3504">
        <v>3.0664669999999998</v>
      </c>
      <c r="T3504">
        <v>-5.7271839999999997E-2</v>
      </c>
      <c r="U3504">
        <v>0.20410159999999999</v>
      </c>
      <c r="V3504">
        <v>8.6623789999999896E-4</v>
      </c>
      <c r="W3504">
        <v>0.20432130000000001</v>
      </c>
      <c r="X3504">
        <v>0.97890350000000004</v>
      </c>
      <c r="Y3504">
        <v>-6.1216609999999998E-2</v>
      </c>
      <c r="Z3504">
        <v>9.1034259999999995E-4</v>
      </c>
      <c r="AA3504">
        <v>0.99812409999999996</v>
      </c>
      <c r="AB3504">
        <v>34</v>
      </c>
      <c r="AC3504">
        <v>59.473099999999903</v>
      </c>
      <c r="AD3504">
        <v>-1.1206221969691901</v>
      </c>
      <c r="AE3504">
        <v>3.9909000000000101</v>
      </c>
      <c r="AF3504">
        <v>-3.68095558936928</v>
      </c>
      <c r="AG3504">
        <v>-1.1206221969691901</v>
      </c>
      <c r="AH3504">
        <v>59.4719868097621</v>
      </c>
      <c r="AI3504">
        <v>91.077427209344805</v>
      </c>
      <c r="AJ3504">
        <v>93.541743515234501</v>
      </c>
      <c r="AK3504">
        <v>59.596329108928899</v>
      </c>
      <c r="AL3504">
        <v>78.210228549256399</v>
      </c>
      <c r="AM3504">
        <v>89.949298615471903</v>
      </c>
      <c r="AN3504">
        <v>1.00000000315701</v>
      </c>
    </row>
    <row r="3505" spans="1:40" x14ac:dyDescent="0.25">
      <c r="A3505" t="str">
        <f>"20190303162326576"</f>
        <v>20190303162326576</v>
      </c>
      <c r="B3505" t="str">
        <f>"1551601406568376"</f>
        <v>1551601406568376</v>
      </c>
      <c r="C3505" t="s">
        <v>40</v>
      </c>
      <c r="D3505">
        <v>5.069178</v>
      </c>
      <c r="E3505">
        <v>0.4766743</v>
      </c>
      <c r="F3505" t="s">
        <v>47</v>
      </c>
      <c r="G3505">
        <v>-246.37200000000001</v>
      </c>
      <c r="H3505" s="1">
        <v>1.6853420000000001E-6</v>
      </c>
      <c r="I3505">
        <v>218.4761</v>
      </c>
      <c r="J3505">
        <v>-293.89249999999998</v>
      </c>
      <c r="K3505">
        <v>1.12064599999999</v>
      </c>
      <c r="L3505">
        <v>215.24549999999999</v>
      </c>
      <c r="M3505">
        <v>0.99991169999999996</v>
      </c>
      <c r="N3505">
        <v>-1.2265440000000001E-2</v>
      </c>
      <c r="O3505">
        <v>5.1100329999999999E-3</v>
      </c>
      <c r="P3505">
        <v>0.98116729999999996</v>
      </c>
      <c r="Q3505">
        <v>0.19311239999999999</v>
      </c>
      <c r="R3505">
        <v>4.2986530000000004E-3</v>
      </c>
      <c r="S3505">
        <v>3.0703429999999998</v>
      </c>
      <c r="T3505">
        <v>-7.1864600000000001E-2</v>
      </c>
      <c r="U3505">
        <v>0.20729059999999999</v>
      </c>
      <c r="V3505">
        <v>7.5833189999999998E-4</v>
      </c>
      <c r="W3505">
        <v>0.2051325</v>
      </c>
      <c r="X3505">
        <v>0.97873390000000005</v>
      </c>
      <c r="Y3505">
        <v>-6.2235220000000001E-2</v>
      </c>
      <c r="Z3505">
        <v>1.0527710000000001E-3</v>
      </c>
      <c r="AA3505">
        <v>0.99806090000000003</v>
      </c>
      <c r="AB3505">
        <v>34</v>
      </c>
      <c r="AC3505">
        <v>47.520499999999899</v>
      </c>
      <c r="AD3505">
        <v>-1.1206443146580001</v>
      </c>
      <c r="AE3505">
        <v>3.2305999999999999</v>
      </c>
      <c r="AF3505">
        <v>-2.9860552333515602</v>
      </c>
      <c r="AG3505">
        <v>-1.1206443146580001</v>
      </c>
      <c r="AH3505">
        <v>47.510089112102598</v>
      </c>
      <c r="AI3505">
        <v>91.348553802635706</v>
      </c>
      <c r="AJ3505">
        <v>93.596364848224695</v>
      </c>
      <c r="AK3505">
        <v>47.617023604762799</v>
      </c>
      <c r="AL3505">
        <v>78.162744207092999</v>
      </c>
      <c r="AM3505">
        <v>89.955606719410099</v>
      </c>
      <c r="AN3505">
        <v>0.999999982316365</v>
      </c>
    </row>
    <row r="3506" spans="1:40" x14ac:dyDescent="0.25">
      <c r="A3506" t="str">
        <f>"20190303162326597"</f>
        <v>20190303162326597</v>
      </c>
      <c r="B3506" t="str">
        <f>"1551601406587895"</f>
        <v>1551601406587895</v>
      </c>
      <c r="C3506" t="s">
        <v>40</v>
      </c>
      <c r="D3506">
        <v>5.069604</v>
      </c>
      <c r="E3506">
        <v>0.47739799999999899</v>
      </c>
      <c r="F3506" t="s">
        <v>47</v>
      </c>
      <c r="G3506">
        <v>-255.98650000000001</v>
      </c>
      <c r="H3506" s="1">
        <v>1.5128299999999999E-6</v>
      </c>
      <c r="I3506">
        <v>217.7302</v>
      </c>
      <c r="J3506">
        <v>-293.56479999999999</v>
      </c>
      <c r="K3506">
        <v>1.1206689999999999</v>
      </c>
      <c r="L3506">
        <v>215.24709999999999</v>
      </c>
      <c r="M3506">
        <v>0.99991110000000005</v>
      </c>
      <c r="N3506">
        <v>-1.2356799999999999E-2</v>
      </c>
      <c r="O3506">
        <v>5.0348540000000001E-3</v>
      </c>
      <c r="P3506">
        <v>0.98086830000000003</v>
      </c>
      <c r="Q3506">
        <v>0.19461249999999999</v>
      </c>
      <c r="R3506">
        <v>4.8670040000000003E-3</v>
      </c>
      <c r="S3506">
        <v>3.074554</v>
      </c>
      <c r="T3506">
        <v>-9.0895409999999996E-2</v>
      </c>
      <c r="U3506">
        <v>0.2015381</v>
      </c>
      <c r="V3506">
        <v>1.124416E-4</v>
      </c>
      <c r="W3506">
        <v>0.20671809999999999</v>
      </c>
      <c r="X3506">
        <v>0.97840050000000001</v>
      </c>
      <c r="Y3506">
        <v>-6.0348159999999998E-2</v>
      </c>
      <c r="Z3506">
        <v>1.1777879999999999E-3</v>
      </c>
      <c r="AA3506">
        <v>0.99817670000000003</v>
      </c>
      <c r="AB3506">
        <v>34</v>
      </c>
      <c r="AC3506">
        <v>37.578299999999899</v>
      </c>
      <c r="AD3506">
        <v>-1.12066748717</v>
      </c>
      <c r="AE3506">
        <v>2.4830999999999999</v>
      </c>
      <c r="AF3506">
        <v>-2.2918234421049699</v>
      </c>
      <c r="AG3506">
        <v>-1.12066748717</v>
      </c>
      <c r="AH3506">
        <v>37.557069945854302</v>
      </c>
      <c r="AI3506">
        <v>91.705973331843097</v>
      </c>
      <c r="AJ3506">
        <v>93.491997214449</v>
      </c>
      <c r="AK3506">
        <v>37.643616367511498</v>
      </c>
      <c r="AL3506">
        <v>78.069906030610696</v>
      </c>
      <c r="AM3506">
        <v>89.993415345665298</v>
      </c>
      <c r="AN3506">
        <v>0.99999996195548602</v>
      </c>
    </row>
    <row r="3507" spans="1:40" x14ac:dyDescent="0.25">
      <c r="A3507" t="str">
        <f>"20190303162326619"</f>
        <v>20190303162326619</v>
      </c>
      <c r="B3507" t="str">
        <f>"1551601406608391"</f>
        <v>1551601406608391</v>
      </c>
      <c r="C3507" t="s">
        <v>40</v>
      </c>
      <c r="D3507">
        <v>5.497376</v>
      </c>
      <c r="E3507">
        <v>0.47808020000000001</v>
      </c>
      <c r="F3507" t="s">
        <v>47</v>
      </c>
      <c r="G3507">
        <v>-259.46370000000002</v>
      </c>
      <c r="H3507" s="1">
        <v>3.375896E-6</v>
      </c>
      <c r="I3507">
        <v>217.43960000000001</v>
      </c>
      <c r="J3507">
        <v>-293.23329999999999</v>
      </c>
      <c r="K3507">
        <v>1.120676</v>
      </c>
      <c r="L3507">
        <v>215.24870000000001</v>
      </c>
      <c r="M3507">
        <v>0.99991019999999997</v>
      </c>
      <c r="N3507">
        <v>-1.2462000000000001E-2</v>
      </c>
      <c r="O3507">
        <v>4.9612629999999996E-3</v>
      </c>
      <c r="P3507">
        <v>0.98058270000000003</v>
      </c>
      <c r="Q3507">
        <v>0.19602849999999999</v>
      </c>
      <c r="R3507">
        <v>5.5491969999999996E-3</v>
      </c>
      <c r="S3507">
        <v>3.0776370000000002</v>
      </c>
      <c r="T3507">
        <v>-0.10114049999999999</v>
      </c>
      <c r="U3507">
        <v>0.197876</v>
      </c>
      <c r="V3507">
        <v>-6.4390599999999997E-4</v>
      </c>
      <c r="W3507">
        <v>0.20823359999999999</v>
      </c>
      <c r="X3507">
        <v>0.97807889999999997</v>
      </c>
      <c r="Y3507">
        <v>-5.9167200000000003E-2</v>
      </c>
      <c r="Z3507">
        <v>1.23908E-3</v>
      </c>
      <c r="AA3507">
        <v>0.99824729999999995</v>
      </c>
      <c r="AB3507">
        <v>34</v>
      </c>
      <c r="AC3507">
        <v>33.769599999999897</v>
      </c>
      <c r="AD3507">
        <v>-1.1206726241039999</v>
      </c>
      <c r="AE3507">
        <v>2.1908999999999899</v>
      </c>
      <c r="AF3507">
        <v>-2.02110366897131</v>
      </c>
      <c r="AG3507">
        <v>-1.1206726241039999</v>
      </c>
      <c r="AH3507">
        <v>33.743049338117501</v>
      </c>
      <c r="AI3507">
        <v>91.898805072277696</v>
      </c>
      <c r="AJ3507">
        <v>93.427743673051907</v>
      </c>
      <c r="AK3507">
        <v>33.822095526530802</v>
      </c>
      <c r="AL3507">
        <v>77.981143138410104</v>
      </c>
      <c r="AM3507">
        <v>90.037719953751406</v>
      </c>
      <c r="AN3507">
        <v>0.99999999070455303</v>
      </c>
    </row>
    <row r="3508" spans="1:40" x14ac:dyDescent="0.25">
      <c r="A3508" t="str">
        <f>"20190303162326640"</f>
        <v>20190303162326640</v>
      </c>
      <c r="B3508" t="str">
        <f>"1551601406627911"</f>
        <v>1551601406627911</v>
      </c>
      <c r="C3508" t="s">
        <v>40</v>
      </c>
      <c r="D3508">
        <v>5.4922610000000001</v>
      </c>
      <c r="E3508">
        <v>0.47833340000000002</v>
      </c>
      <c r="F3508" t="s">
        <v>47</v>
      </c>
      <c r="G3508">
        <v>-259.73719999999997</v>
      </c>
      <c r="H3508" s="1">
        <v>3.5242219999999998E-6</v>
      </c>
      <c r="I3508">
        <v>217.3768</v>
      </c>
      <c r="J3508">
        <v>-292.89780000000002</v>
      </c>
      <c r="K3508">
        <v>1.1207</v>
      </c>
      <c r="L3508">
        <v>215.25020000000001</v>
      </c>
      <c r="M3508">
        <v>0.99990900000000005</v>
      </c>
      <c r="N3508">
        <v>-1.257929E-2</v>
      </c>
      <c r="O3508">
        <v>4.8902379999999999E-3</v>
      </c>
      <c r="P3508">
        <v>0.98043029999999998</v>
      </c>
      <c r="Q3508">
        <v>0.1967923</v>
      </c>
      <c r="R3508">
        <v>5.4461580000000004E-3</v>
      </c>
      <c r="S3508">
        <v>3.0788880000000001</v>
      </c>
      <c r="T3508">
        <v>-0.1030098</v>
      </c>
      <c r="U3508">
        <v>0.19561770000000001</v>
      </c>
      <c r="V3508">
        <v>-6.1114199999999996E-4</v>
      </c>
      <c r="W3508">
        <v>0.2091103</v>
      </c>
      <c r="X3508">
        <v>0.97789190000000004</v>
      </c>
      <c r="Y3508">
        <v>-5.8481949999999998E-2</v>
      </c>
      <c r="Z3508">
        <v>1.243463E-3</v>
      </c>
      <c r="AA3508">
        <v>0.9982877</v>
      </c>
      <c r="AB3508">
        <v>34</v>
      </c>
      <c r="AC3508">
        <v>33.160600000000002</v>
      </c>
      <c r="AD3508">
        <v>-1.120696475778</v>
      </c>
      <c r="AE3508">
        <v>2.1265999999999901</v>
      </c>
      <c r="AF3508">
        <v>-1.96216657166178</v>
      </c>
      <c r="AG3508">
        <v>-1.120696475778</v>
      </c>
      <c r="AH3508">
        <v>33.1329153642126</v>
      </c>
      <c r="AI3508">
        <v>91.933863394613795</v>
      </c>
      <c r="AJ3508">
        <v>93.389158767110104</v>
      </c>
      <c r="AK3508">
        <v>33.2098801379626</v>
      </c>
      <c r="AL3508">
        <v>77.929781705535405</v>
      </c>
      <c r="AM3508">
        <v>90.0358074882555</v>
      </c>
      <c r="AN3508">
        <v>1.00000002957312</v>
      </c>
    </row>
    <row r="3509" spans="1:40" x14ac:dyDescent="0.25">
      <c r="A3509" t="str">
        <f>"20190303162326664"</f>
        <v>20190303162326664</v>
      </c>
      <c r="B3509" t="str">
        <f>"1551601406658167"</f>
        <v>1551601406658167</v>
      </c>
      <c r="C3509" t="s">
        <v>40</v>
      </c>
      <c r="D3509">
        <v>5.0706280000000001</v>
      </c>
      <c r="E3509">
        <v>0.47872930000000002</v>
      </c>
      <c r="F3509" t="s">
        <v>47</v>
      </c>
      <c r="G3509">
        <v>-258.00139999999999</v>
      </c>
      <c r="H3509" s="1">
        <v>2.5977020000000002E-6</v>
      </c>
      <c r="I3509">
        <v>217.44040000000001</v>
      </c>
      <c r="J3509">
        <v>-292.55410000000001</v>
      </c>
      <c r="K3509">
        <v>1.1207210000000001</v>
      </c>
      <c r="L3509">
        <v>215.2518</v>
      </c>
      <c r="M3509">
        <v>0.99990769999999995</v>
      </c>
      <c r="N3509">
        <v>-1.270864E-2</v>
      </c>
      <c r="O3509">
        <v>4.8194120000000003E-3</v>
      </c>
      <c r="P3509">
        <v>0.98036369999999895</v>
      </c>
      <c r="Q3509">
        <v>0.19712869999999999</v>
      </c>
      <c r="R3509">
        <v>5.2345029999999997E-3</v>
      </c>
      <c r="S3509">
        <v>3.0786739999999999</v>
      </c>
      <c r="T3509">
        <v>-9.8871589999999995E-2</v>
      </c>
      <c r="U3509">
        <v>0.193222</v>
      </c>
      <c r="V3509">
        <v>-4.6840830000000001E-4</v>
      </c>
      <c r="W3509">
        <v>0.20957239999999999</v>
      </c>
      <c r="X3509">
        <v>0.97779300000000002</v>
      </c>
      <c r="Y3509">
        <v>-5.7786579999999997E-2</v>
      </c>
      <c r="Z3509">
        <v>1.201066E-3</v>
      </c>
      <c r="AA3509">
        <v>0.9983282</v>
      </c>
      <c r="AB3509">
        <v>34</v>
      </c>
      <c r="AC3509">
        <v>34.552700000000002</v>
      </c>
      <c r="AD3509">
        <v>-1.1207184022979999</v>
      </c>
      <c r="AE3509">
        <v>2.1886000000000001</v>
      </c>
      <c r="AF3509">
        <v>-2.0199209144271202</v>
      </c>
      <c r="AG3509">
        <v>-1.1207184022979999</v>
      </c>
      <c r="AH3509">
        <v>34.526669257451097</v>
      </c>
      <c r="AI3509">
        <v>91.855968362148303</v>
      </c>
      <c r="AJ3509">
        <v>93.348170544226704</v>
      </c>
      <c r="AK3509">
        <v>34.6038578810399</v>
      </c>
      <c r="AL3509">
        <v>77.902704784161102</v>
      </c>
      <c r="AM3509">
        <v>90.027447339698597</v>
      </c>
      <c r="AN3509">
        <v>0.999999980548547</v>
      </c>
    </row>
    <row r="3510" spans="1:40" x14ac:dyDescent="0.25">
      <c r="A3510" t="str">
        <f>"20190303162326686"</f>
        <v>20190303162326686</v>
      </c>
      <c r="B3510" t="str">
        <f>"1551601406678662"</f>
        <v>1551601406678662</v>
      </c>
      <c r="C3510" t="s">
        <v>40</v>
      </c>
      <c r="D3510">
        <v>5.4882479999999996</v>
      </c>
      <c r="E3510">
        <v>0.47897279999999998</v>
      </c>
      <c r="F3510" t="s">
        <v>47</v>
      </c>
      <c r="G3510">
        <v>-257.34769999999997</v>
      </c>
      <c r="H3510" s="1">
        <v>2.2509739999999998E-6</v>
      </c>
      <c r="I3510">
        <v>217.41480000000001</v>
      </c>
      <c r="J3510">
        <v>-292.20100000000002</v>
      </c>
      <c r="K3510">
        <v>1.120744</v>
      </c>
      <c r="L3510">
        <v>215.2535</v>
      </c>
      <c r="M3510">
        <v>0.99990619999999997</v>
      </c>
      <c r="N3510">
        <v>-1.28526E-2</v>
      </c>
      <c r="O3510">
        <v>4.7466339999999996E-3</v>
      </c>
      <c r="P3510">
        <v>0.98028669999999996</v>
      </c>
      <c r="Q3510">
        <v>0.19752220000000001</v>
      </c>
      <c r="R3510">
        <v>4.791638E-3</v>
      </c>
      <c r="S3510">
        <v>3.0787960000000001</v>
      </c>
      <c r="T3510">
        <v>-9.8006839999999998E-2</v>
      </c>
      <c r="U3510">
        <v>0.18914790000000001</v>
      </c>
      <c r="V3510" s="1">
        <v>-9.6539360000000003E-5</v>
      </c>
      <c r="W3510">
        <v>0.21010529999999999</v>
      </c>
      <c r="X3510">
        <v>0.97767879999999996</v>
      </c>
      <c r="Y3510">
        <v>-5.6542050000000003E-2</v>
      </c>
      <c r="Z3510">
        <v>1.172747E-3</v>
      </c>
      <c r="AA3510">
        <v>0.99839960000000005</v>
      </c>
      <c r="AB3510">
        <v>34</v>
      </c>
      <c r="AC3510">
        <v>34.853299999999898</v>
      </c>
      <c r="AD3510">
        <v>-1.1207417490260001</v>
      </c>
      <c r="AE3510">
        <v>2.16130000000001</v>
      </c>
      <c r="AF3510">
        <v>-1.9937724576957701</v>
      </c>
      <c r="AG3510">
        <v>-1.1207417490260001</v>
      </c>
      <c r="AH3510">
        <v>34.827293347469897</v>
      </c>
      <c r="AI3510">
        <v>91.840130475558993</v>
      </c>
      <c r="AJ3510">
        <v>93.276459018718</v>
      </c>
      <c r="AK3510">
        <v>34.902314430303903</v>
      </c>
      <c r="AL3510">
        <v>77.871477344060693</v>
      </c>
      <c r="AM3510">
        <v>90.005657581883597</v>
      </c>
      <c r="AN3510">
        <v>1.00000004118868</v>
      </c>
    </row>
    <row r="3511" spans="1:40" x14ac:dyDescent="0.25">
      <c r="A3511" t="str">
        <f>"20190303162326706"</f>
        <v>20190303162326706</v>
      </c>
      <c r="B3511" t="str">
        <f>"1551601406698183"</f>
        <v>1551601406698183</v>
      </c>
      <c r="C3511" t="s">
        <v>40</v>
      </c>
      <c r="D3511">
        <v>5.3727140000000002</v>
      </c>
      <c r="E3511">
        <v>0.47890890000000003</v>
      </c>
      <c r="F3511" t="s">
        <v>47</v>
      </c>
      <c r="G3511">
        <v>-256.86340000000001</v>
      </c>
      <c r="H3511" s="1">
        <v>1.9944750000000001E-6</v>
      </c>
      <c r="I3511">
        <v>217.38659999999999</v>
      </c>
      <c r="J3511">
        <v>-291.88400000000001</v>
      </c>
      <c r="K3511">
        <v>1.120763</v>
      </c>
      <c r="L3511">
        <v>215.25489999999999</v>
      </c>
      <c r="M3511">
        <v>0.99990489999999999</v>
      </c>
      <c r="N3511">
        <v>-1.2983919999999999E-2</v>
      </c>
      <c r="O3511">
        <v>4.6796609999999999E-3</v>
      </c>
      <c r="P3511">
        <v>0.98031590000000002</v>
      </c>
      <c r="Q3511">
        <v>0.19739110000000001</v>
      </c>
      <c r="R3511">
        <v>4.2209739999999997E-3</v>
      </c>
      <c r="S3511">
        <v>3.079132</v>
      </c>
      <c r="T3511">
        <v>-9.7655530000000004E-2</v>
      </c>
      <c r="U3511">
        <v>0.18586730000000001</v>
      </c>
      <c r="V3511">
        <v>4.0888779999999998E-4</v>
      </c>
      <c r="W3511">
        <v>0.21010300000000001</v>
      </c>
      <c r="X3511">
        <v>0.97767919999999997</v>
      </c>
      <c r="Y3511">
        <v>-5.5543210000000003E-2</v>
      </c>
      <c r="Z3511">
        <v>1.15328E-3</v>
      </c>
      <c r="AA3511">
        <v>0.9984556</v>
      </c>
      <c r="AB3511">
        <v>34</v>
      </c>
      <c r="AC3511">
        <v>35.020600000000002</v>
      </c>
      <c r="AD3511">
        <v>-1.1207610055249999</v>
      </c>
      <c r="AE3511">
        <v>2.1316999999999902</v>
      </c>
      <c r="AF3511">
        <v>-1.96577244205114</v>
      </c>
      <c r="AG3511">
        <v>-1.1207610055249999</v>
      </c>
      <c r="AH3511">
        <v>34.994484386507303</v>
      </c>
      <c r="AI3511">
        <v>91.831487516745696</v>
      </c>
      <c r="AJ3511">
        <v>93.215141527136595</v>
      </c>
      <c r="AK3511">
        <v>35.067567694422998</v>
      </c>
      <c r="AL3511">
        <v>77.871611970030798</v>
      </c>
      <c r="AM3511">
        <v>89.976037596106593</v>
      </c>
      <c r="AN3511">
        <v>1.00000002795543</v>
      </c>
    </row>
    <row r="3512" spans="1:40" x14ac:dyDescent="0.25">
      <c r="A3512" t="str">
        <f>"20190303162326730"</f>
        <v>20190303162326730</v>
      </c>
      <c r="B3512" t="str">
        <f>"1551601406718703"</f>
        <v>1551601406718703</v>
      </c>
      <c r="C3512" t="s">
        <v>40</v>
      </c>
      <c r="D3512">
        <v>5.0665050000000003</v>
      </c>
      <c r="E3512">
        <v>0.47868270000000002</v>
      </c>
      <c r="F3512" t="s">
        <v>47</v>
      </c>
      <c r="G3512">
        <v>-257.0915</v>
      </c>
      <c r="H3512" s="1">
        <v>2.1177259999999999E-6</v>
      </c>
      <c r="I3512">
        <v>217.3441</v>
      </c>
      <c r="J3512">
        <v>-291.53960000000001</v>
      </c>
      <c r="K3512">
        <v>1.1207849999999999</v>
      </c>
      <c r="L3512">
        <v>215.25640000000001</v>
      </c>
      <c r="M3512">
        <v>0.99990310000000004</v>
      </c>
      <c r="N3512">
        <v>-1.313452E-2</v>
      </c>
      <c r="O3512">
        <v>4.606354E-3</v>
      </c>
      <c r="P3512">
        <v>0.9802902</v>
      </c>
      <c r="Q3512">
        <v>0.197523</v>
      </c>
      <c r="R3512">
        <v>3.987417E-3</v>
      </c>
      <c r="S3512">
        <v>3.0794069999999998</v>
      </c>
      <c r="T3512">
        <v>-9.919596E-2</v>
      </c>
      <c r="U3512">
        <v>0.18490599999999999</v>
      </c>
      <c r="V3512">
        <v>5.7070470000000002E-4</v>
      </c>
      <c r="W3512">
        <v>0.2103817</v>
      </c>
      <c r="X3512">
        <v>0.97761920000000002</v>
      </c>
      <c r="Y3512">
        <v>-5.529949E-2</v>
      </c>
      <c r="Z3512">
        <v>1.1655189999999901E-3</v>
      </c>
      <c r="AA3512">
        <v>0.9984691</v>
      </c>
      <c r="AB3512">
        <v>34</v>
      </c>
      <c r="AC3512">
        <v>34.448099999999997</v>
      </c>
      <c r="AD3512">
        <v>-1.120782882274</v>
      </c>
      <c r="AE3512">
        <v>2.0876999999999799</v>
      </c>
      <c r="AF3512">
        <v>-1.92695169500311</v>
      </c>
      <c r="AG3512">
        <v>-1.120782882274</v>
      </c>
      <c r="AH3512">
        <v>34.421048828632102</v>
      </c>
      <c r="AI3512">
        <v>91.8620340702075</v>
      </c>
      <c r="AJ3512">
        <v>93.204175450408997</v>
      </c>
      <c r="AK3512">
        <v>34.493157286151003</v>
      </c>
      <c r="AL3512">
        <v>77.855278756930005</v>
      </c>
      <c r="AM3512">
        <v>89.966552450132099</v>
      </c>
      <c r="AN3512">
        <v>1.0000000428036899</v>
      </c>
    </row>
    <row r="3513" spans="1:40" x14ac:dyDescent="0.25">
      <c r="A3513" t="str">
        <f>"20190303162326755"</f>
        <v>20190303162326755</v>
      </c>
      <c r="B3513" t="str">
        <f>"1551601406738223"</f>
        <v>1551601406738223</v>
      </c>
      <c r="C3513" t="s">
        <v>40</v>
      </c>
      <c r="D3513">
        <v>4.650455</v>
      </c>
      <c r="E3513">
        <v>0.47861090000000001</v>
      </c>
      <c r="F3513" t="s">
        <v>47</v>
      </c>
      <c r="G3513">
        <v>-258.53480000000002</v>
      </c>
      <c r="H3513" s="1">
        <v>2.8898330000000001E-6</v>
      </c>
      <c r="I3513">
        <v>217.25049999999999</v>
      </c>
      <c r="J3513">
        <v>-291.14640000000003</v>
      </c>
      <c r="K3513">
        <v>1.120814</v>
      </c>
      <c r="L3513">
        <v>215.25819999999999</v>
      </c>
      <c r="M3513">
        <v>0.99990120000000005</v>
      </c>
      <c r="N3513">
        <v>-1.331034E-2</v>
      </c>
      <c r="O3513">
        <v>4.5217190000000004E-3</v>
      </c>
      <c r="P3513">
        <v>0.98030019999999995</v>
      </c>
      <c r="Q3513">
        <v>0.19748199999999999</v>
      </c>
      <c r="R3513">
        <v>3.5119600000000002E-3</v>
      </c>
      <c r="S3513">
        <v>3.0806580000000001</v>
      </c>
      <c r="T3513">
        <v>-0.10461330000000001</v>
      </c>
      <c r="U3513">
        <v>0.18612670000000001</v>
      </c>
      <c r="V3513">
        <v>9.6360800000000002E-4</v>
      </c>
      <c r="W3513">
        <v>0.21051220000000001</v>
      </c>
      <c r="X3513">
        <v>0.97759070000000003</v>
      </c>
      <c r="Y3513">
        <v>-5.5749710000000001E-2</v>
      </c>
      <c r="Z3513">
        <v>1.223736E-3</v>
      </c>
      <c r="AA3513">
        <v>0.998444</v>
      </c>
      <c r="AB3513">
        <v>34</v>
      </c>
      <c r="AC3513">
        <v>32.611600000000003</v>
      </c>
      <c r="AD3513">
        <v>-1.120811110167</v>
      </c>
      <c r="AE3513">
        <v>1.9923</v>
      </c>
      <c r="AF3513">
        <v>-1.84263765848101</v>
      </c>
      <c r="AG3513">
        <v>-1.120811110167</v>
      </c>
      <c r="AH3513">
        <v>32.581933540282101</v>
      </c>
      <c r="AI3513">
        <v>91.967044242173799</v>
      </c>
      <c r="AJ3513">
        <v>93.236855807663403</v>
      </c>
      <c r="AK3513">
        <v>32.653237577742402</v>
      </c>
      <c r="AL3513">
        <v>77.847629177914797</v>
      </c>
      <c r="AM3513">
        <v>89.943523753218798</v>
      </c>
      <c r="AN3513">
        <v>0.99999994580785201</v>
      </c>
    </row>
    <row r="3514" spans="1:40" x14ac:dyDescent="0.25">
      <c r="A3514" t="str">
        <f>"20190303162326776"</f>
        <v>20190303162326776</v>
      </c>
      <c r="B3514" t="str">
        <f>"1551601406768479"</f>
        <v>1551601406768479</v>
      </c>
      <c r="C3514" t="s">
        <v>40</v>
      </c>
      <c r="D3514">
        <v>5.157718</v>
      </c>
      <c r="E3514">
        <v>0.47779899999999997</v>
      </c>
      <c r="F3514" t="s">
        <v>47</v>
      </c>
      <c r="G3514">
        <v>-258.5412</v>
      </c>
      <c r="H3514" s="1">
        <v>2.8945540000000002E-6</v>
      </c>
      <c r="I3514">
        <v>217.2216</v>
      </c>
      <c r="J3514">
        <v>-290.84140000000002</v>
      </c>
      <c r="K3514">
        <v>1.1208229999999999</v>
      </c>
      <c r="L3514">
        <v>215.2595</v>
      </c>
      <c r="M3514">
        <v>0.99989969999999995</v>
      </c>
      <c r="N3514">
        <v>-1.344094E-2</v>
      </c>
      <c r="O3514">
        <v>4.4562129999999997E-3</v>
      </c>
      <c r="P3514">
        <v>0.98034710000000003</v>
      </c>
      <c r="Q3514">
        <v>0.19724539999999999</v>
      </c>
      <c r="R3514">
        <v>3.702173E-3</v>
      </c>
      <c r="S3514">
        <v>3.0809630000000001</v>
      </c>
      <c r="T3514">
        <v>-0.105909</v>
      </c>
      <c r="U3514">
        <v>0.18553159999999999</v>
      </c>
      <c r="V3514">
        <v>7.0947000000000002E-4</v>
      </c>
      <c r="W3514">
        <v>0.2104046</v>
      </c>
      <c r="X3514">
        <v>0.97761419999999999</v>
      </c>
      <c r="Y3514">
        <v>-5.5616069999999997E-2</v>
      </c>
      <c r="Z3514">
        <v>1.2358789999999901E-3</v>
      </c>
      <c r="AA3514">
        <v>0.99845150000000005</v>
      </c>
      <c r="AB3514">
        <v>34</v>
      </c>
      <c r="AC3514">
        <v>32.300199999999997</v>
      </c>
      <c r="AD3514">
        <v>-1.1208201054460001</v>
      </c>
      <c r="AE3514">
        <v>1.96209999999999</v>
      </c>
      <c r="AF3514">
        <v>-1.8159523914290201</v>
      </c>
      <c r="AG3514">
        <v>-1.1208201054460001</v>
      </c>
      <c r="AH3514">
        <v>32.269910318055302</v>
      </c>
      <c r="AI3514">
        <v>91.986095953320699</v>
      </c>
      <c r="AJ3514">
        <v>93.220857617937099</v>
      </c>
      <c r="AK3514">
        <v>32.3403932062064</v>
      </c>
      <c r="AL3514">
        <v>77.853936874018501</v>
      </c>
      <c r="AM3514">
        <v>89.958419559009101</v>
      </c>
      <c r="AN3514">
        <v>1.00000006154523</v>
      </c>
    </row>
    <row r="3515" spans="1:40" x14ac:dyDescent="0.25">
      <c r="A3515" t="str">
        <f>"20190303162326797"</f>
        <v>20190303162326797</v>
      </c>
      <c r="B3515" t="str">
        <f>"1551601406788000"</f>
        <v>1551601406788000</v>
      </c>
      <c r="C3515" t="s">
        <v>40</v>
      </c>
      <c r="D3515">
        <v>4.6625540000000001</v>
      </c>
      <c r="E3515">
        <v>0.47643980000000002</v>
      </c>
      <c r="F3515" t="s">
        <v>47</v>
      </c>
      <c r="G3515">
        <v>-257.91840000000002</v>
      </c>
      <c r="H3515" s="1">
        <v>2.558993E-6</v>
      </c>
      <c r="I3515">
        <v>217.3158</v>
      </c>
      <c r="J3515">
        <v>-290.51389999999998</v>
      </c>
      <c r="K3515">
        <v>1.1208370000000001</v>
      </c>
      <c r="L3515">
        <v>215.26089999999999</v>
      </c>
      <c r="M3515">
        <v>0.99989839999999997</v>
      </c>
      <c r="N3515">
        <v>-1.357067E-2</v>
      </c>
      <c r="O3515">
        <v>4.3858760000000004E-3</v>
      </c>
      <c r="P3515">
        <v>0.9804621</v>
      </c>
      <c r="Q3515">
        <v>0.19667950000000001</v>
      </c>
      <c r="R3515">
        <v>3.3575250000000001E-3</v>
      </c>
      <c r="S3515">
        <v>3.0805359999999999</v>
      </c>
      <c r="T3515">
        <v>-0.10487290000000001</v>
      </c>
      <c r="U3515">
        <v>0.19239809999999999</v>
      </c>
      <c r="V3515">
        <v>9.8589490000000005E-4</v>
      </c>
      <c r="W3515">
        <v>0.20996679999999901</v>
      </c>
      <c r="X3515">
        <v>0.97770800000000002</v>
      </c>
      <c r="Y3515">
        <v>-5.7910360000000001E-2</v>
      </c>
      <c r="Z3515">
        <v>1.288338E-3</v>
      </c>
      <c r="AA3515">
        <v>0.99832089999999996</v>
      </c>
      <c r="AB3515">
        <v>34</v>
      </c>
      <c r="AC3515">
        <v>32.595499999999902</v>
      </c>
      <c r="AD3515">
        <v>-1.1208344410069999</v>
      </c>
      <c r="AE3515">
        <v>2.0548999999999999</v>
      </c>
      <c r="AF3515">
        <v>-1.90965820231044</v>
      </c>
      <c r="AG3515">
        <v>-1.1208344410069999</v>
      </c>
      <c r="AH3515">
        <v>32.565846093646002</v>
      </c>
      <c r="AI3515">
        <v>91.967820659206893</v>
      </c>
      <c r="AJ3515">
        <v>93.355976068113407</v>
      </c>
      <c r="AK3515">
        <v>32.641038526505803</v>
      </c>
      <c r="AL3515">
        <v>77.879593120670606</v>
      </c>
      <c r="AM3515">
        <v>89.942224470222598</v>
      </c>
      <c r="AN3515">
        <v>0.999999981177496</v>
      </c>
    </row>
    <row r="3516" spans="1:40" x14ac:dyDescent="0.25">
      <c r="A3516" t="str">
        <f>"20190303162326820"</f>
        <v>20190303162326820</v>
      </c>
      <c r="B3516" t="str">
        <f>"1551601406808715"</f>
        <v>1551601406808715</v>
      </c>
      <c r="C3516" t="s">
        <v>40</v>
      </c>
      <c r="D3516">
        <v>5.2648849999999996</v>
      </c>
      <c r="E3516">
        <v>0.47509210000000002</v>
      </c>
      <c r="F3516" t="s">
        <v>47</v>
      </c>
      <c r="G3516">
        <v>-258.428</v>
      </c>
      <c r="H3516" s="1">
        <v>2.8278409999999999E-6</v>
      </c>
      <c r="I3516">
        <v>217.3698</v>
      </c>
      <c r="J3516">
        <v>-290.16930000000002</v>
      </c>
      <c r="K3516">
        <v>1.120844</v>
      </c>
      <c r="L3516">
        <v>215.26230000000001</v>
      </c>
      <c r="M3516">
        <v>0.99989689999999998</v>
      </c>
      <c r="N3516">
        <v>-1.3694359999999999E-2</v>
      </c>
      <c r="O3516">
        <v>4.312354E-3</v>
      </c>
      <c r="P3516">
        <v>0.98058069999999997</v>
      </c>
      <c r="Q3516">
        <v>0.19609389999999999</v>
      </c>
      <c r="R3516">
        <v>2.9188159999999999E-3</v>
      </c>
      <c r="S3516">
        <v>3.080597</v>
      </c>
      <c r="T3516">
        <v>-0.1076124</v>
      </c>
      <c r="U3516">
        <v>0.2024841</v>
      </c>
      <c r="V3516">
        <v>1.3531699999999999E-3</v>
      </c>
      <c r="W3516">
        <v>0.20950379999999999</v>
      </c>
      <c r="X3516">
        <v>0.97780690000000003</v>
      </c>
      <c r="Y3516">
        <v>-6.1232389999999998E-2</v>
      </c>
      <c r="Z3516">
        <v>1.3964940000000001E-3</v>
      </c>
      <c r="AA3516">
        <v>0.99812259999999997</v>
      </c>
      <c r="AB3516">
        <v>34</v>
      </c>
      <c r="AC3516">
        <v>31.741299999999999</v>
      </c>
      <c r="AD3516">
        <v>-1.1208411721589999</v>
      </c>
      <c r="AE3516">
        <v>2.1074999999999799</v>
      </c>
      <c r="AF3516">
        <v>-1.96814448946632</v>
      </c>
      <c r="AG3516">
        <v>-1.1208411721589999</v>
      </c>
      <c r="AH3516">
        <v>31.710726741041601</v>
      </c>
      <c r="AI3516">
        <v>92.020438203723799</v>
      </c>
      <c r="AJ3516">
        <v>93.551539839094005</v>
      </c>
      <c r="AK3516">
        <v>31.791509371365699</v>
      </c>
      <c r="AL3516">
        <v>77.906724792281494</v>
      </c>
      <c r="AM3516">
        <v>89.920709415662898</v>
      </c>
      <c r="AN3516">
        <v>1.0000000034855401</v>
      </c>
    </row>
    <row r="3517" spans="1:40" x14ac:dyDescent="0.25">
      <c r="A3517" t="str">
        <f>"20190303162326841"</f>
        <v>20190303162326841</v>
      </c>
      <c r="B3517" t="str">
        <f>"1551601406837996"</f>
        <v>1551601406837996</v>
      </c>
      <c r="C3517" t="s">
        <v>40</v>
      </c>
      <c r="D3517">
        <v>5.3258070000000002</v>
      </c>
      <c r="E3517">
        <v>0.46311980000000003</v>
      </c>
      <c r="F3517" t="s">
        <v>47</v>
      </c>
      <c r="G3517">
        <v>-258.08659999999998</v>
      </c>
      <c r="H3517" s="1">
        <v>2.6419699999999999E-6</v>
      </c>
      <c r="I3517">
        <v>217.4657</v>
      </c>
      <c r="J3517">
        <v>-289.84160000000003</v>
      </c>
      <c r="K3517">
        <v>1.120857</v>
      </c>
      <c r="L3517">
        <v>215.2637</v>
      </c>
      <c r="M3517">
        <v>0.9998958</v>
      </c>
      <c r="N3517">
        <v>-1.3799479999999999E-2</v>
      </c>
      <c r="O3517">
        <v>4.2422950000000001E-3</v>
      </c>
      <c r="P3517">
        <v>0.98057470000000002</v>
      </c>
      <c r="Q3517">
        <v>0.1961291</v>
      </c>
      <c r="R3517">
        <v>2.5888170000000002E-3</v>
      </c>
      <c r="S3517">
        <v>3.0802610000000001</v>
      </c>
      <c r="T3517">
        <v>-0.1076124</v>
      </c>
      <c r="U3517">
        <v>0.21154790000000001</v>
      </c>
      <c r="V3517">
        <v>1.6145249999999999E-3</v>
      </c>
      <c r="W3517">
        <v>0.20964189999999999</v>
      </c>
      <c r="X3517">
        <v>0.97777689999999995</v>
      </c>
      <c r="Y3517">
        <v>-6.4230270000000006E-2</v>
      </c>
      <c r="Z3517">
        <v>1.474703E-3</v>
      </c>
      <c r="AA3517">
        <v>0.99793399999999999</v>
      </c>
      <c r="AB3517">
        <v>34</v>
      </c>
      <c r="AC3517">
        <v>31.754999999999999</v>
      </c>
      <c r="AD3517">
        <v>-1.1208543580300001</v>
      </c>
      <c r="AE3517">
        <v>2.2019999999999902</v>
      </c>
      <c r="AF3517">
        <v>-2.06469323982685</v>
      </c>
      <c r="AG3517">
        <v>-1.1208543580300001</v>
      </c>
      <c r="AH3517">
        <v>31.724720759775099</v>
      </c>
      <c r="AI3517">
        <v>92.019186143513096</v>
      </c>
      <c r="AJ3517">
        <v>93.723645393515994</v>
      </c>
      <c r="AK3517">
        <v>31.811588768123499</v>
      </c>
      <c r="AL3517">
        <v>77.898632492466703</v>
      </c>
      <c r="AM3517">
        <v>89.9053921356236</v>
      </c>
      <c r="AN3517">
        <v>0.999999999550097</v>
      </c>
    </row>
    <row r="3518" spans="1:40" x14ac:dyDescent="0.25">
      <c r="A3518" t="str">
        <f>"20190303162326864"</f>
        <v>20190303162326864</v>
      </c>
      <c r="B3518" t="str">
        <f>"1551601406858492"</f>
        <v>1551601406858492</v>
      </c>
      <c r="C3518" t="s">
        <v>40</v>
      </c>
      <c r="D3518">
        <v>5.083812</v>
      </c>
      <c r="E3518">
        <v>0.45923269999999999</v>
      </c>
      <c r="F3518" t="s">
        <v>42</v>
      </c>
      <c r="G3518">
        <v>-289.15570000000002</v>
      </c>
      <c r="H3518">
        <v>0.91520080000000004</v>
      </c>
      <c r="I3518">
        <v>215.32919999999999</v>
      </c>
      <c r="J3518">
        <v>-289.50729999999999</v>
      </c>
      <c r="K3518">
        <v>1.120865</v>
      </c>
      <c r="L3518">
        <v>215.26499999999999</v>
      </c>
      <c r="M3518">
        <v>0.99989479999999997</v>
      </c>
      <c r="N3518">
        <v>-1.389482E-2</v>
      </c>
      <c r="O3518">
        <v>4.1708149999999996E-3</v>
      </c>
      <c r="P3518">
        <v>0.98054439999999998</v>
      </c>
      <c r="Q3518">
        <v>0.19627639999999999</v>
      </c>
      <c r="R3518">
        <v>2.9352890000000002E-3</v>
      </c>
      <c r="S3518">
        <v>3.2537539999999998</v>
      </c>
      <c r="T3518">
        <v>-0.97565009999999996</v>
      </c>
      <c r="U3518">
        <v>0.31068420000000002</v>
      </c>
      <c r="V3518">
        <v>1.1978970000000001E-3</v>
      </c>
      <c r="W3518">
        <v>0.2098815</v>
      </c>
      <c r="X3518">
        <v>0.97772610000000004</v>
      </c>
      <c r="Y3518">
        <v>-8.7083270000000004E-2</v>
      </c>
      <c r="Z3518">
        <v>1.2203500000000001E-2</v>
      </c>
      <c r="AA3518">
        <v>0.99612630000000002</v>
      </c>
      <c r="AB3518">
        <v>34</v>
      </c>
      <c r="AC3518">
        <v>0.351599999999962</v>
      </c>
      <c r="AD3518">
        <v>-0.20566419999999999</v>
      </c>
      <c r="AE3518">
        <v>6.4199999999999494E-2</v>
      </c>
      <c r="AF3518">
        <v>-4.7128111732067601E-2</v>
      </c>
      <c r="AG3518">
        <v>-0.20566419999999999</v>
      </c>
      <c r="AH3518">
        <v>0.26433874345125702</v>
      </c>
      <c r="AI3518">
        <v>127.450475169453</v>
      </c>
      <c r="AJ3518">
        <v>100.108867457347</v>
      </c>
      <c r="AK3518">
        <v>0.33822151523293098</v>
      </c>
      <c r="AL3518">
        <v>77.884592099779795</v>
      </c>
      <c r="AM3518">
        <v>89.929802008916894</v>
      </c>
      <c r="AN3518">
        <v>1.00000000281034</v>
      </c>
    </row>
    <row r="3519" spans="1:40" x14ac:dyDescent="0.25">
      <c r="A3519" t="str">
        <f>"20190303162326886"</f>
        <v>20190303162326886</v>
      </c>
      <c r="B3519" t="str">
        <f>"1551601406878011"</f>
        <v>1551601406878011</v>
      </c>
      <c r="C3519" t="s">
        <v>40</v>
      </c>
      <c r="D3519">
        <v>5.0804400000000003</v>
      </c>
      <c r="E3519">
        <v>0.45863789999999999</v>
      </c>
      <c r="F3519" t="s">
        <v>51</v>
      </c>
      <c r="G3519">
        <v>-167.89859999999999</v>
      </c>
      <c r="H3519">
        <v>9.3129950000000008</v>
      </c>
      <c r="I3519">
        <v>228.80719999999999</v>
      </c>
      <c r="J3519">
        <v>-289.17</v>
      </c>
      <c r="K3519">
        <v>1.120878</v>
      </c>
      <c r="L3519">
        <v>215.2663</v>
      </c>
      <c r="M3519">
        <v>0.9998939</v>
      </c>
      <c r="N3519">
        <v>-1.397902E-2</v>
      </c>
      <c r="O3519">
        <v>4.0986929999999996E-3</v>
      </c>
      <c r="P3519">
        <v>0.98063999999999996</v>
      </c>
      <c r="Q3519">
        <v>0.19578809999999999</v>
      </c>
      <c r="R3519">
        <v>3.4676720000000002E-3</v>
      </c>
      <c r="S3519">
        <v>3.0178219999999998</v>
      </c>
      <c r="T3519">
        <v>0.2032958</v>
      </c>
      <c r="U3519">
        <v>0.33605960000000001</v>
      </c>
      <c r="V3519">
        <v>5.9523210000000004E-4</v>
      </c>
      <c r="W3519">
        <v>0.20947769999999999</v>
      </c>
      <c r="X3519">
        <v>0.97781320000000005</v>
      </c>
      <c r="Y3519">
        <v>-0.10642450000000001</v>
      </c>
      <c r="Z3519">
        <v>-2.490772E-3</v>
      </c>
      <c r="AA3519">
        <v>0.99431769999999997</v>
      </c>
      <c r="AB3519">
        <v>34</v>
      </c>
      <c r="AC3519">
        <v>121.2714</v>
      </c>
      <c r="AD3519">
        <v>8.1921169999999996</v>
      </c>
      <c r="AE3519">
        <v>13.540899999999899</v>
      </c>
      <c r="AF3519">
        <v>-12.9851583983548</v>
      </c>
      <c r="AG3519">
        <v>8.1921169999999996</v>
      </c>
      <c r="AH3519">
        <v>120.781515667645</v>
      </c>
      <c r="AI3519">
        <v>86.141968398741</v>
      </c>
      <c r="AJ3519">
        <v>96.136270511927904</v>
      </c>
      <c r="AK3519">
        <v>121.753437924954</v>
      </c>
      <c r="AL3519">
        <v>77.908253584286001</v>
      </c>
      <c r="AM3519">
        <v>89.965121883251101</v>
      </c>
      <c r="AN3519">
        <v>0.99999995759639004</v>
      </c>
    </row>
    <row r="3520" spans="1:40" x14ac:dyDescent="0.25">
      <c r="A3520" t="str">
        <f>"20190303162326908"</f>
        <v>20190303162326908</v>
      </c>
      <c r="B3520" t="str">
        <f>"1551601406898508"</f>
        <v>1551601406898508</v>
      </c>
      <c r="C3520" t="s">
        <v>40</v>
      </c>
      <c r="D3520">
        <v>5.12155</v>
      </c>
      <c r="E3520">
        <v>0.4590843</v>
      </c>
      <c r="F3520" t="s">
        <v>51</v>
      </c>
      <c r="G3520">
        <v>-157.25</v>
      </c>
      <c r="H3520">
        <v>4.9288460000000001</v>
      </c>
      <c r="I3520">
        <v>230.14160000000001</v>
      </c>
      <c r="J3520">
        <v>-288.8381</v>
      </c>
      <c r="K3520">
        <v>1.120884</v>
      </c>
      <c r="L3520">
        <v>215.26759999999999</v>
      </c>
      <c r="M3520">
        <v>0.99989320000000004</v>
      </c>
      <c r="N3520">
        <v>-1.4051910000000001E-2</v>
      </c>
      <c r="O3520">
        <v>4.0273690000000003E-3</v>
      </c>
      <c r="P3520">
        <v>0.98063500000000003</v>
      </c>
      <c r="Q3520">
        <v>0.19580629999999999</v>
      </c>
      <c r="R3520">
        <v>3.8786039999999999E-3</v>
      </c>
      <c r="S3520">
        <v>3.040527</v>
      </c>
      <c r="T3520">
        <v>8.7768319999999997E-2</v>
      </c>
      <c r="U3520">
        <v>0.34284969999999998</v>
      </c>
      <c r="V3520">
        <v>1.141875E-4</v>
      </c>
      <c r="W3520">
        <v>0.2095668</v>
      </c>
      <c r="X3520">
        <v>0.97779430000000001</v>
      </c>
      <c r="Y3520">
        <v>-0.1080276</v>
      </c>
      <c r="Z3520">
        <v>-6.2015490000000002E-4</v>
      </c>
      <c r="AA3520">
        <v>0.99414769999999997</v>
      </c>
      <c r="AB3520">
        <v>34</v>
      </c>
      <c r="AC3520">
        <v>131.5881</v>
      </c>
      <c r="AD3520">
        <v>3.8079619999999998</v>
      </c>
      <c r="AE3520">
        <v>14.874000000000001</v>
      </c>
      <c r="AF3520">
        <v>-14.3320224625141</v>
      </c>
      <c r="AG3520">
        <v>3.8079619999999998</v>
      </c>
      <c r="AH3520">
        <v>131.538176402494</v>
      </c>
      <c r="AI3520">
        <v>88.351530754989099</v>
      </c>
      <c r="AJ3520">
        <v>96.218254243592597</v>
      </c>
      <c r="AK3520">
        <v>132.37144440457399</v>
      </c>
      <c r="AL3520">
        <v>77.903032858087798</v>
      </c>
      <c r="AM3520">
        <v>89.993308958956405</v>
      </c>
      <c r="AN3520">
        <v>0.99999997490675696</v>
      </c>
    </row>
    <row r="3521" spans="1:40" x14ac:dyDescent="0.25">
      <c r="A3521" t="str">
        <f>"20190303162326931"</f>
        <v>20190303162326931</v>
      </c>
      <c r="B3521" t="str">
        <f>"1551601406918028"</f>
        <v>1551601406918028</v>
      </c>
      <c r="C3521" t="s">
        <v>40</v>
      </c>
      <c r="D3521">
        <v>6.0040740000000001</v>
      </c>
      <c r="E3521">
        <v>0.45918880000000001</v>
      </c>
      <c r="F3521" t="s">
        <v>51</v>
      </c>
      <c r="G3521">
        <v>-157.25</v>
      </c>
      <c r="H3521">
        <v>1.6286369999999999</v>
      </c>
      <c r="I3521">
        <v>229.94720000000001</v>
      </c>
      <c r="J3521">
        <v>-288.50170000000003</v>
      </c>
      <c r="K3521">
        <v>1.120889</v>
      </c>
      <c r="L3521">
        <v>215.2689</v>
      </c>
      <c r="M3521">
        <v>0.99989249999999996</v>
      </c>
      <c r="N3521">
        <v>-1.4116160000000001E-2</v>
      </c>
      <c r="O3521">
        <v>3.954735E-3</v>
      </c>
      <c r="P3521">
        <v>0.98065250000000004</v>
      </c>
      <c r="Q3521">
        <v>0.19571</v>
      </c>
      <c r="R3521">
        <v>4.3195799999999999E-3</v>
      </c>
      <c r="S3521">
        <v>3.055542</v>
      </c>
      <c r="T3521">
        <v>1.1791589999999999E-2</v>
      </c>
      <c r="U3521">
        <v>0.34086609999999901</v>
      </c>
      <c r="V3521">
        <v>-3.9847450000000001E-4</v>
      </c>
      <c r="W3521">
        <v>0.20953369999999999</v>
      </c>
      <c r="X3521">
        <v>0.97780129999999998</v>
      </c>
      <c r="Y3521">
        <v>-0.10693999999999999</v>
      </c>
      <c r="Z3521">
        <v>6.2232089999999997E-4</v>
      </c>
      <c r="AA3521">
        <v>0.99426530000000002</v>
      </c>
      <c r="AB3521">
        <v>34</v>
      </c>
      <c r="AC3521">
        <v>131.2517</v>
      </c>
      <c r="AD3521">
        <v>0.50774799999999998</v>
      </c>
      <c r="AE3521">
        <v>14.6783</v>
      </c>
      <c r="AF3521">
        <v>-14.158858481065501</v>
      </c>
      <c r="AG3521">
        <v>0.50774799999999998</v>
      </c>
      <c r="AH3521">
        <v>131.30678720333299</v>
      </c>
      <c r="AI3521">
        <v>89.779721936549706</v>
      </c>
      <c r="AJ3521">
        <v>96.154444825304097</v>
      </c>
      <c r="AK3521">
        <v>132.068934451595</v>
      </c>
      <c r="AL3521">
        <v>77.904972181548004</v>
      </c>
      <c r="AM3521">
        <v>90.023349228344898</v>
      </c>
      <c r="AN3521">
        <v>0.99999995624965199</v>
      </c>
    </row>
    <row r="3522" spans="1:40" x14ac:dyDescent="0.25">
      <c r="A3522" t="str">
        <f>"20190303162326954"</f>
        <v>20190303162326954</v>
      </c>
      <c r="B3522" t="str">
        <f>"1551601406948284"</f>
        <v>1551601406948284</v>
      </c>
      <c r="C3522" t="s">
        <v>40</v>
      </c>
      <c r="D3522">
        <v>5.1246900000000002</v>
      </c>
      <c r="E3522">
        <v>0.45988899999999999</v>
      </c>
      <c r="F3522" t="s">
        <v>51</v>
      </c>
      <c r="G3522">
        <v>-157.25</v>
      </c>
      <c r="H3522">
        <v>0.54884429999999995</v>
      </c>
      <c r="I3522">
        <v>229.9049</v>
      </c>
      <c r="J3522">
        <v>-288.16239999999999</v>
      </c>
      <c r="K3522">
        <v>1.120892</v>
      </c>
      <c r="L3522">
        <v>215.27019999999999</v>
      </c>
      <c r="M3522">
        <v>0.99989220000000001</v>
      </c>
      <c r="N3522">
        <v>-1.417244E-2</v>
      </c>
      <c r="O3522">
        <v>3.8814980000000002E-3</v>
      </c>
      <c r="P3522">
        <v>0.98068449999999996</v>
      </c>
      <c r="Q3522">
        <v>0.19554299999999999</v>
      </c>
      <c r="R3522">
        <v>4.6057340000000002E-3</v>
      </c>
      <c r="S3522">
        <v>3.0603639999999999</v>
      </c>
      <c r="T3522">
        <v>-1.33369E-2</v>
      </c>
      <c r="U3522">
        <v>0.34126279999999998</v>
      </c>
      <c r="V3522">
        <v>-7.5610830000000001E-4</v>
      </c>
      <c r="W3522">
        <v>0.2094222</v>
      </c>
      <c r="X3522">
        <v>0.97782500000000006</v>
      </c>
      <c r="Y3522">
        <v>-0.10696070000000001</v>
      </c>
      <c r="Z3522">
        <v>1.03067E-3</v>
      </c>
      <c r="AA3522">
        <v>0.99426270000000005</v>
      </c>
      <c r="AB3522">
        <v>34</v>
      </c>
      <c r="AC3522">
        <v>130.91239999999999</v>
      </c>
      <c r="AD3522">
        <v>-0.57204769999999905</v>
      </c>
      <c r="AE3522">
        <v>14.6347</v>
      </c>
      <c r="AF3522">
        <v>-14.1261361623301</v>
      </c>
      <c r="AG3522">
        <v>-0.57204769999999905</v>
      </c>
      <c r="AH3522">
        <v>130.96575405938901</v>
      </c>
      <c r="AI3522">
        <v>90.248818505332494</v>
      </c>
      <c r="AJ3522">
        <v>96.156196885190298</v>
      </c>
      <c r="AK3522">
        <v>131.72662486297901</v>
      </c>
      <c r="AL3522">
        <v>77.911505908682699</v>
      </c>
      <c r="AM3522">
        <v>90.044304252612093</v>
      </c>
      <c r="AN3522">
        <v>0.99999998008879998</v>
      </c>
    </row>
    <row r="3523" spans="1:40" x14ac:dyDescent="0.25">
      <c r="A3523" t="str">
        <f>"20190303162326976"</f>
        <v>20190303162326976</v>
      </c>
      <c r="B3523" t="str">
        <f>"1551601406967804"</f>
        <v>1551601406967804</v>
      </c>
      <c r="C3523" t="s">
        <v>40</v>
      </c>
      <c r="D3523">
        <v>5.2113519999999998</v>
      </c>
      <c r="E3523">
        <v>0.45996989999999999</v>
      </c>
      <c r="F3523" t="s">
        <v>47</v>
      </c>
      <c r="G3523">
        <v>-214.46250000000001</v>
      </c>
      <c r="H3523">
        <v>8.0000940000000006E-2</v>
      </c>
      <c r="I3523">
        <v>223.36359999999999</v>
      </c>
      <c r="J3523">
        <v>-287.82139999999998</v>
      </c>
      <c r="K3523">
        <v>1.120897</v>
      </c>
      <c r="L3523">
        <v>215.2714</v>
      </c>
      <c r="M3523">
        <v>0.99989159999999999</v>
      </c>
      <c r="N3523">
        <v>-1.4221309999999999E-2</v>
      </c>
      <c r="O3523">
        <v>3.8082540000000001E-3</v>
      </c>
      <c r="P3523">
        <v>0.98067000000000004</v>
      </c>
      <c r="Q3523">
        <v>0.19561429999999999</v>
      </c>
      <c r="R3523">
        <v>4.6259309999999998E-3</v>
      </c>
      <c r="S3523">
        <v>3.0661619999999998</v>
      </c>
      <c r="T3523">
        <v>-4.3304559999999999E-2</v>
      </c>
      <c r="U3523">
        <v>0.33671570000000001</v>
      </c>
      <c r="V3523">
        <v>-8.4794000000000004E-4</v>
      </c>
      <c r="W3523">
        <v>0.20954120000000001</v>
      </c>
      <c r="X3523">
        <v>0.97779950000000004</v>
      </c>
      <c r="Y3523">
        <v>-0.1053528</v>
      </c>
      <c r="Z3523">
        <v>1.4935700000000001E-3</v>
      </c>
      <c r="AA3523">
        <v>0.99443380000000003</v>
      </c>
      <c r="AB3523">
        <v>34</v>
      </c>
      <c r="AC3523">
        <v>73.358899999999906</v>
      </c>
      <c r="AD3523">
        <v>-1.0408960599999999</v>
      </c>
      <c r="AE3523">
        <v>8.0921999999999894</v>
      </c>
      <c r="AF3523">
        <v>-7.8111900002774499</v>
      </c>
      <c r="AG3523">
        <v>-1.0408960599999999</v>
      </c>
      <c r="AH3523">
        <v>73.374593273000201</v>
      </c>
      <c r="AI3523">
        <v>90.8081805742803</v>
      </c>
      <c r="AJ3523">
        <v>96.076612128165706</v>
      </c>
      <c r="AK3523">
        <v>73.796538481194105</v>
      </c>
      <c r="AL3523">
        <v>77.904533831829397</v>
      </c>
      <c r="AM3523">
        <v>90.049686434797394</v>
      </c>
      <c r="AN3523">
        <v>1.00000004784996</v>
      </c>
    </row>
    <row r="3524" spans="1:40" x14ac:dyDescent="0.25">
      <c r="A3524" t="str">
        <f>"20190303162327000"</f>
        <v>20190303162327000</v>
      </c>
      <c r="B3524" t="str">
        <f>"1551601406988300"</f>
        <v>1551601406988300</v>
      </c>
      <c r="C3524" t="s">
        <v>40</v>
      </c>
      <c r="D3524">
        <v>5.2420179999999998</v>
      </c>
      <c r="E3524">
        <v>0.45982279999999998</v>
      </c>
      <c r="F3524" t="s">
        <v>47</v>
      </c>
      <c r="G3524">
        <v>-239.03749999999999</v>
      </c>
      <c r="H3524">
        <v>8.0000940000000006E-2</v>
      </c>
      <c r="I3524">
        <v>220.61680000000001</v>
      </c>
      <c r="J3524">
        <v>-287.4581</v>
      </c>
      <c r="K3524">
        <v>1.120903</v>
      </c>
      <c r="L3524">
        <v>215.27269999999999</v>
      </c>
      <c r="M3524">
        <v>0.99989130000000004</v>
      </c>
      <c r="N3524">
        <v>-1.4265969999999999E-2</v>
      </c>
      <c r="O3524">
        <v>3.7300340000000001E-3</v>
      </c>
      <c r="P3524">
        <v>0.98071039999999998</v>
      </c>
      <c r="Q3524">
        <v>0.19541900000000001</v>
      </c>
      <c r="R3524">
        <v>4.3681800000000002E-3</v>
      </c>
      <c r="S3524">
        <v>3.0706180000000001</v>
      </c>
      <c r="T3524">
        <v>-6.5517309999999995E-2</v>
      </c>
      <c r="U3524">
        <v>0.33645629999999999</v>
      </c>
      <c r="V3524">
        <v>-6.6705669999999999E-4</v>
      </c>
      <c r="W3524">
        <v>0.2093901</v>
      </c>
      <c r="X3524">
        <v>0.97783200000000003</v>
      </c>
      <c r="Y3524">
        <v>-0.1051724</v>
      </c>
      <c r="Z3524">
        <v>1.8448819999999999E-3</v>
      </c>
      <c r="AA3524">
        <v>0.99445229999999996</v>
      </c>
      <c r="AB3524">
        <v>34</v>
      </c>
      <c r="AC3524">
        <v>48.4206</v>
      </c>
      <c r="AD3524">
        <v>-1.0409020600000001</v>
      </c>
      <c r="AE3524">
        <v>5.3441000000000196</v>
      </c>
      <c r="AF3524">
        <v>-5.1610775942491998</v>
      </c>
      <c r="AG3524">
        <v>-1.0409020600000001</v>
      </c>
      <c r="AH3524">
        <v>48.418092859636502</v>
      </c>
      <c r="AI3524">
        <v>91.224631155991403</v>
      </c>
      <c r="AJ3524">
        <v>96.084410770334003</v>
      </c>
      <c r="AK3524">
        <v>48.703510296453501</v>
      </c>
      <c r="AL3524">
        <v>77.913387535014607</v>
      </c>
      <c r="AM3524">
        <v>90.039085985810601</v>
      </c>
      <c r="AN3524">
        <v>1.00000003958332</v>
      </c>
    </row>
    <row r="3525" spans="1:40" x14ac:dyDescent="0.25">
      <c r="A3525" t="str">
        <f>"20190303162327020"</f>
        <v>20190303162327020</v>
      </c>
      <c r="B3525" t="str">
        <f>"1551601407007820"</f>
        <v>1551601407007820</v>
      </c>
      <c r="C3525" t="s">
        <v>40</v>
      </c>
      <c r="D3525">
        <v>5.4489749999999999</v>
      </c>
      <c r="E3525">
        <v>0.45948739999999999</v>
      </c>
      <c r="F3525" t="s">
        <v>47</v>
      </c>
      <c r="G3525">
        <v>-247.7852</v>
      </c>
      <c r="H3525">
        <v>5.4814439999999999E-2</v>
      </c>
      <c r="I3525">
        <v>219.62110000000001</v>
      </c>
      <c r="J3525">
        <v>-287.16039999999998</v>
      </c>
      <c r="K3525">
        <v>1.120906</v>
      </c>
      <c r="L3525">
        <v>215.27369999999999</v>
      </c>
      <c r="M3525">
        <v>0.99989119999999998</v>
      </c>
      <c r="N3525">
        <v>-1.4297020000000001E-2</v>
      </c>
      <c r="O3525">
        <v>3.6660360000000001E-3</v>
      </c>
      <c r="P3525">
        <v>0.98078690000000002</v>
      </c>
      <c r="Q3525">
        <v>0.195044</v>
      </c>
      <c r="R3525">
        <v>3.8939840000000001E-3</v>
      </c>
      <c r="S3525">
        <v>3.0739749999999999</v>
      </c>
      <c r="T3525">
        <v>-8.2603689999999994E-2</v>
      </c>
      <c r="U3525">
        <v>0.33692929999999999</v>
      </c>
      <c r="V3525">
        <v>-2.5582870000000001E-4</v>
      </c>
      <c r="W3525">
        <v>0.20904639999999999</v>
      </c>
      <c r="X3525">
        <v>0.97790569999999999</v>
      </c>
      <c r="Y3525">
        <v>-0.10525180000000001</v>
      </c>
      <c r="Z3525">
        <v>2.1186320000000001E-3</v>
      </c>
      <c r="AA3525">
        <v>0.99444339999999998</v>
      </c>
      <c r="AB3525">
        <v>33</v>
      </c>
      <c r="AC3525">
        <v>39.3751999999999</v>
      </c>
      <c r="AD3525">
        <v>-1.06609156</v>
      </c>
      <c r="AE3525">
        <v>4.3474000000000199</v>
      </c>
      <c r="AF3525">
        <v>-4.1999633693049399</v>
      </c>
      <c r="AG3525">
        <v>-1.06609156</v>
      </c>
      <c r="AH3525">
        <v>39.362366977687799</v>
      </c>
      <c r="AI3525">
        <v>91.542668953424098</v>
      </c>
      <c r="AJ3525">
        <v>96.090414812721306</v>
      </c>
      <c r="AK3525">
        <v>39.600153757327398</v>
      </c>
      <c r="AL3525">
        <v>77.933525416817602</v>
      </c>
      <c r="AM3525">
        <v>90.014989077631796</v>
      </c>
      <c r="AN3525">
        <v>1.00000001044688</v>
      </c>
    </row>
    <row r="3526" spans="1:40" x14ac:dyDescent="0.25">
      <c r="A3526" t="str">
        <f>"20190303162327043"</f>
        <v>20190303162327043</v>
      </c>
      <c r="B3526" t="str">
        <f>"1551601407038076"</f>
        <v>1551601407038076</v>
      </c>
      <c r="C3526" t="s">
        <v>40</v>
      </c>
      <c r="D3526">
        <v>5.1781169999999896</v>
      </c>
      <c r="E3526">
        <v>0.45859060000000001</v>
      </c>
      <c r="F3526" t="s">
        <v>47</v>
      </c>
      <c r="G3526">
        <v>-247.72370000000001</v>
      </c>
      <c r="H3526">
        <v>2.9448909999999998E-2</v>
      </c>
      <c r="I3526">
        <v>219.6163</v>
      </c>
      <c r="J3526">
        <v>-286.82690000000002</v>
      </c>
      <c r="K3526">
        <v>1.12090499999999</v>
      </c>
      <c r="L3526">
        <v>215.2749</v>
      </c>
      <c r="M3526">
        <v>0.99989099999999997</v>
      </c>
      <c r="N3526">
        <v>-1.4326999999999999E-2</v>
      </c>
      <c r="O3526">
        <v>3.594177E-3</v>
      </c>
      <c r="P3526">
        <v>0.98092749999999995</v>
      </c>
      <c r="Q3526">
        <v>0.19435140000000001</v>
      </c>
      <c r="R3526">
        <v>2.995447E-3</v>
      </c>
      <c r="S3526">
        <v>3.074341</v>
      </c>
      <c r="T3526">
        <v>-8.508599E-2</v>
      </c>
      <c r="U3526">
        <v>0.33853149999999999</v>
      </c>
      <c r="V3526">
        <v>5.7296430000000002E-4</v>
      </c>
      <c r="W3526">
        <v>0.20838519999999999</v>
      </c>
      <c r="X3526">
        <v>0.97804669999999905</v>
      </c>
      <c r="Y3526">
        <v>-0.1058192</v>
      </c>
      <c r="Z3526">
        <v>2.1724140000000001E-3</v>
      </c>
      <c r="AA3526">
        <v>0.99438300000000002</v>
      </c>
      <c r="AB3526">
        <v>33</v>
      </c>
      <c r="AC3526">
        <v>39.103200000000001</v>
      </c>
      <c r="AD3526">
        <v>-1.0914560900000001</v>
      </c>
      <c r="AE3526">
        <v>4.3413999999999904</v>
      </c>
      <c r="AF3526">
        <v>-4.1975832404679601</v>
      </c>
      <c r="AG3526">
        <v>-1.0914560900000001</v>
      </c>
      <c r="AH3526">
        <v>39.088470089792999</v>
      </c>
      <c r="AI3526">
        <v>91.590299374889696</v>
      </c>
      <c r="AJ3526">
        <v>96.1293178842175</v>
      </c>
      <c r="AK3526">
        <v>39.328354598402598</v>
      </c>
      <c r="AL3526">
        <v>77.9722628024888</v>
      </c>
      <c r="AM3526">
        <v>89.966434698418595</v>
      </c>
      <c r="AN3526">
        <v>1.000000033624</v>
      </c>
    </row>
    <row r="3527" spans="1:40" x14ac:dyDescent="0.25">
      <c r="A3527" t="str">
        <f>"20190303162327066"</f>
        <v>20190303162327066</v>
      </c>
      <c r="B3527" t="str">
        <f>"1551601407058572"</f>
        <v>1551601407058572</v>
      </c>
      <c r="C3527" t="s">
        <v>40</v>
      </c>
      <c r="D3527">
        <v>5.0741959999999997</v>
      </c>
      <c r="E3527">
        <v>0.45848299999999997</v>
      </c>
      <c r="F3527" t="s">
        <v>47</v>
      </c>
      <c r="G3527">
        <v>-248.77119999999999</v>
      </c>
      <c r="H3527" s="1">
        <v>2.9164499999999998E-6</v>
      </c>
      <c r="I3527">
        <v>219.52019999999999</v>
      </c>
      <c r="J3527">
        <v>-286.48509999999999</v>
      </c>
      <c r="K3527">
        <v>1.120908</v>
      </c>
      <c r="L3527">
        <v>215.27600000000001</v>
      </c>
      <c r="M3527">
        <v>0.99989090000000003</v>
      </c>
      <c r="N3527">
        <v>-1.435286E-2</v>
      </c>
      <c r="O3527">
        <v>3.5204419999999999E-3</v>
      </c>
      <c r="P3527">
        <v>0.98112310000000003</v>
      </c>
      <c r="Q3527">
        <v>0.19337280000000001</v>
      </c>
      <c r="R3527">
        <v>2.192327E-3</v>
      </c>
      <c r="S3527">
        <v>3.075256</v>
      </c>
      <c r="T3527">
        <v>-9.0579389999999996E-2</v>
      </c>
      <c r="U3527">
        <v>0.34306340000000002</v>
      </c>
      <c r="V3527">
        <v>1.3042119999999999E-3</v>
      </c>
      <c r="W3527">
        <v>0.2074346</v>
      </c>
      <c r="X3527">
        <v>0.97824800000000001</v>
      </c>
      <c r="Y3527">
        <v>-0.1073003</v>
      </c>
      <c r="Z3527">
        <v>2.2947290000000001E-3</v>
      </c>
      <c r="AA3527">
        <v>0.994224</v>
      </c>
      <c r="AB3527">
        <v>33</v>
      </c>
      <c r="AC3527">
        <v>37.713900000000002</v>
      </c>
      <c r="AD3527">
        <v>-1.1209050835500001</v>
      </c>
      <c r="AE3527">
        <v>4.2442000000000002</v>
      </c>
      <c r="AF3527">
        <v>-4.1078071653670003</v>
      </c>
      <c r="AG3527">
        <v>-1.1209050835500001</v>
      </c>
      <c r="AH3527">
        <v>37.695727010917501</v>
      </c>
      <c r="AI3527">
        <v>91.693204638507098</v>
      </c>
      <c r="AJ3527">
        <v>96.219138778132404</v>
      </c>
      <c r="AK3527">
        <v>37.9354496849027</v>
      </c>
      <c r="AL3527">
        <v>78.027944309359</v>
      </c>
      <c r="AM3527">
        <v>89.923612622855899</v>
      </c>
      <c r="AN3527">
        <v>0.99999998187505001</v>
      </c>
    </row>
    <row r="3528" spans="1:40" x14ac:dyDescent="0.25">
      <c r="A3528" t="str">
        <f>"20190303162327086"</f>
        <v>20190303162327086</v>
      </c>
      <c r="B3528" t="str">
        <f>"1551601407078091"</f>
        <v>1551601407078091</v>
      </c>
      <c r="C3528" t="s">
        <v>40</v>
      </c>
      <c r="D3528">
        <v>5.0741170000000002</v>
      </c>
      <c r="E3528">
        <v>0.45806849999999999</v>
      </c>
      <c r="F3528" t="s">
        <v>47</v>
      </c>
      <c r="G3528">
        <v>-247.386</v>
      </c>
      <c r="H3528">
        <v>3.2766700000000003E-2</v>
      </c>
      <c r="I3528">
        <v>219.6163</v>
      </c>
      <c r="J3528">
        <v>-286.17039999999997</v>
      </c>
      <c r="K3528">
        <v>1.120906</v>
      </c>
      <c r="L3528">
        <v>215.27709999999999</v>
      </c>
      <c r="M3528">
        <v>0.99989090000000003</v>
      </c>
      <c r="N3528">
        <v>-1.4373179999999999E-2</v>
      </c>
      <c r="O3528">
        <v>3.4526489999999999E-3</v>
      </c>
      <c r="P3528">
        <v>0.98120339999999995</v>
      </c>
      <c r="Q3528">
        <v>0.19297220000000001</v>
      </c>
      <c r="R3528">
        <v>1.379545E-3</v>
      </c>
      <c r="S3528">
        <v>3.0738219999999998</v>
      </c>
      <c r="T3528">
        <v>-8.5545540000000003E-2</v>
      </c>
      <c r="U3528">
        <v>0.34121699999999999</v>
      </c>
      <c r="V3528">
        <v>2.0506679999999998E-3</v>
      </c>
      <c r="W3528">
        <v>0.2070544</v>
      </c>
      <c r="X3528">
        <v>0.97832730000000001</v>
      </c>
      <c r="Y3528">
        <v>-0.10683529999999999</v>
      </c>
      <c r="Z3528">
        <v>2.205893E-3</v>
      </c>
      <c r="AA3528">
        <v>0.99427430000000006</v>
      </c>
      <c r="AB3528">
        <v>33</v>
      </c>
      <c r="AC3528">
        <v>38.784399999999899</v>
      </c>
      <c r="AD3528">
        <v>-1.0881392999999999</v>
      </c>
      <c r="AE3528">
        <v>4.3391999999999999</v>
      </c>
      <c r="AF3528">
        <v>-4.2019847162595196</v>
      </c>
      <c r="AG3528">
        <v>-1.0881392999999999</v>
      </c>
      <c r="AH3528">
        <v>38.769012481585499</v>
      </c>
      <c r="AI3528">
        <v>91.598356586330794</v>
      </c>
      <c r="AJ3528">
        <v>96.185863832031899</v>
      </c>
      <c r="AK3528">
        <v>39.011242629390999</v>
      </c>
      <c r="AL3528">
        <v>78.050212042990296</v>
      </c>
      <c r="AM3528">
        <v>89.879902718131802</v>
      </c>
      <c r="AN3528">
        <v>1.0000000178619399</v>
      </c>
    </row>
    <row r="3529" spans="1:40" x14ac:dyDescent="0.25">
      <c r="A3529" t="str">
        <f>"20190303162327109"</f>
        <v>20190303162327109</v>
      </c>
      <c r="B3529" t="str">
        <f>"1551601407098588"</f>
        <v>1551601407098588</v>
      </c>
      <c r="C3529" t="s">
        <v>40</v>
      </c>
      <c r="D3529">
        <v>5.2541549999999999</v>
      </c>
      <c r="E3529">
        <v>0.45843040000000002</v>
      </c>
      <c r="F3529" t="s">
        <v>47</v>
      </c>
      <c r="G3529">
        <v>-248.25909999999999</v>
      </c>
      <c r="H3529" s="1">
        <v>2.6448589999999998E-6</v>
      </c>
      <c r="I3529">
        <v>219.499</v>
      </c>
      <c r="J3529">
        <v>-285.83499999999998</v>
      </c>
      <c r="K3529">
        <v>1.1209070000000001</v>
      </c>
      <c r="L3529">
        <v>215.27809999999999</v>
      </c>
      <c r="M3529">
        <v>0.99989090000000003</v>
      </c>
      <c r="N3529">
        <v>-1.43915E-2</v>
      </c>
      <c r="O3529">
        <v>3.3803409999999998E-3</v>
      </c>
      <c r="P3529">
        <v>0.9813674</v>
      </c>
      <c r="Q3529">
        <v>0.19214149999999999</v>
      </c>
      <c r="R3529">
        <v>3.7428739999999998E-4</v>
      </c>
      <c r="S3529">
        <v>3.0748289999999998</v>
      </c>
      <c r="T3529">
        <v>-9.0911870000000006E-2</v>
      </c>
      <c r="U3529">
        <v>0.34242250000000002</v>
      </c>
      <c r="V3529">
        <v>2.985007E-3</v>
      </c>
      <c r="W3529">
        <v>0.2062445</v>
      </c>
      <c r="X3529">
        <v>0.97849600000000003</v>
      </c>
      <c r="Y3529">
        <v>-0.1072497</v>
      </c>
      <c r="Z3529">
        <v>2.3035659999999999E-3</v>
      </c>
      <c r="AA3529">
        <v>0.99422940000000004</v>
      </c>
      <c r="AB3529">
        <v>33</v>
      </c>
      <c r="AC3529">
        <v>37.575899999999898</v>
      </c>
      <c r="AD3529">
        <v>-1.1209043551409901</v>
      </c>
      <c r="AE3529">
        <v>4.2209000000000199</v>
      </c>
      <c r="AF3529">
        <v>-4.0902490236161899</v>
      </c>
      <c r="AG3529">
        <v>-1.1209043551409901</v>
      </c>
      <c r="AH3529">
        <v>37.556951098722699</v>
      </c>
      <c r="AI3529">
        <v>91.699468255457404</v>
      </c>
      <c r="AJ3529">
        <v>96.215467058097204</v>
      </c>
      <c r="AK3529">
        <v>37.795649742800002</v>
      </c>
      <c r="AL3529">
        <v>78.097640162897704</v>
      </c>
      <c r="AM3529">
        <v>89.825213621334598</v>
      </c>
      <c r="AN3529">
        <v>1.00000006303151</v>
      </c>
    </row>
    <row r="3530" spans="1:40" x14ac:dyDescent="0.25">
      <c r="A3530" t="str">
        <f>"20190303162327131"</f>
        <v>20190303162327131</v>
      </c>
      <c r="B3530" t="str">
        <f>"1551601407127868"</f>
        <v>1551601407127868</v>
      </c>
      <c r="C3530" t="s">
        <v>40</v>
      </c>
      <c r="D3530">
        <v>4.827585</v>
      </c>
      <c r="E3530">
        <v>0.4588795</v>
      </c>
      <c r="F3530" t="s">
        <v>47</v>
      </c>
      <c r="G3530">
        <v>-251.41030000000001</v>
      </c>
      <c r="H3530" s="1">
        <v>-9.7997470000000006E-7</v>
      </c>
      <c r="I3530">
        <v>219.0471</v>
      </c>
      <c r="J3530">
        <v>-285.50139999999999</v>
      </c>
      <c r="K3530">
        <v>1.12090499999999</v>
      </c>
      <c r="L3530">
        <v>215.2792</v>
      </c>
      <c r="M3530">
        <v>0.99989090000000003</v>
      </c>
      <c r="N3530">
        <v>-1.4406789999999999E-2</v>
      </c>
      <c r="O3530">
        <v>3.3081730000000002E-3</v>
      </c>
      <c r="P3530">
        <v>0.98145070000000001</v>
      </c>
      <c r="Q3530">
        <v>0.19171589999999999</v>
      </c>
      <c r="R3530">
        <v>2.1379250000000001E-4</v>
      </c>
      <c r="S3530">
        <v>3.0764469999999999</v>
      </c>
      <c r="T3530">
        <v>-0.1001726</v>
      </c>
      <c r="U3530">
        <v>0.33682250000000002</v>
      </c>
      <c r="V3530">
        <v>3.0748529999999998E-3</v>
      </c>
      <c r="W3530">
        <v>0.2058353</v>
      </c>
      <c r="X3530">
        <v>0.97858179999999995</v>
      </c>
      <c r="Y3530">
        <v>-0.10546510000000001</v>
      </c>
      <c r="Z3530">
        <v>2.4139180000000001E-3</v>
      </c>
      <c r="AA3530">
        <v>0.99442010000000003</v>
      </c>
      <c r="AB3530">
        <v>33</v>
      </c>
      <c r="AC3530">
        <v>34.091099999999898</v>
      </c>
      <c r="AD3530">
        <v>-1.1209059799747001</v>
      </c>
      <c r="AE3530">
        <v>3.7678999999999898</v>
      </c>
      <c r="AF3530">
        <v>-3.6511888550966898</v>
      </c>
      <c r="AG3530">
        <v>-1.1209059799747001</v>
      </c>
      <c r="AH3530">
        <v>34.066995011615298</v>
      </c>
      <c r="AI3530">
        <v>91.873798985114803</v>
      </c>
      <c r="AJ3530">
        <v>96.117421853843993</v>
      </c>
      <c r="AK3530">
        <v>34.280428226510601</v>
      </c>
      <c r="AL3530">
        <v>78.121598707608399</v>
      </c>
      <c r="AM3530">
        <v>89.819968530250605</v>
      </c>
      <c r="AN3530">
        <v>0.99999998236915</v>
      </c>
    </row>
    <row r="3531" spans="1:40" x14ac:dyDescent="0.25">
      <c r="A3531" t="str">
        <f>"20190303162327244"</f>
        <v>20190303162327244</v>
      </c>
      <c r="B3531" t="str">
        <f>"1551601407238285"</f>
        <v>1551601407238285</v>
      </c>
      <c r="C3531" t="s">
        <v>40</v>
      </c>
      <c r="D3531">
        <v>5.4978480000000003</v>
      </c>
      <c r="E3531">
        <v>0.45935969999999998</v>
      </c>
      <c r="F3531" t="s">
        <v>47</v>
      </c>
      <c r="G3531">
        <v>-253.3853</v>
      </c>
      <c r="H3531" s="1">
        <v>8.3895130000000006E-8</v>
      </c>
      <c r="I3531">
        <v>218.75219999999999</v>
      </c>
      <c r="J3531">
        <v>-283.84870000000001</v>
      </c>
      <c r="K3531">
        <v>1.12093</v>
      </c>
      <c r="L3531">
        <v>215.28399999999999</v>
      </c>
      <c r="M3531">
        <v>0.99989130000000004</v>
      </c>
      <c r="N3531">
        <v>-1.4451E-2</v>
      </c>
      <c r="O3531">
        <v>2.9536060000000001E-3</v>
      </c>
      <c r="P3531">
        <v>0.98166260000000005</v>
      </c>
      <c r="Q3531">
        <v>0.1906051</v>
      </c>
      <c r="R3531">
        <v>-2.9235699999999999E-3</v>
      </c>
      <c r="S3531">
        <v>3.0776059999999998</v>
      </c>
      <c r="T3531">
        <v>-0.10741340000000001</v>
      </c>
      <c r="U3531">
        <v>0.33280939999999998</v>
      </c>
      <c r="V3531">
        <v>5.863788E-3</v>
      </c>
      <c r="W3531">
        <v>0.20477029999999999</v>
      </c>
      <c r="X3531">
        <v>0.97879249999999995</v>
      </c>
      <c r="Y3531">
        <v>-0.10448639999999999</v>
      </c>
      <c r="Z3531">
        <v>2.5148509999999998E-3</v>
      </c>
      <c r="AA3531">
        <v>0.99452309999999999</v>
      </c>
      <c r="AB3531">
        <v>33</v>
      </c>
      <c r="AC3531">
        <v>30.4634</v>
      </c>
      <c r="AD3531">
        <v>-1.12092991610487</v>
      </c>
      <c r="AE3531">
        <v>3.46819999999996</v>
      </c>
      <c r="AF3531">
        <v>-3.3736892653502601</v>
      </c>
      <c r="AG3531">
        <v>-1.12092991610487</v>
      </c>
      <c r="AH3531">
        <v>30.432834786456599</v>
      </c>
      <c r="AI3531">
        <v>92.096584987095198</v>
      </c>
      <c r="AJ3531">
        <v>96.3258028951943</v>
      </c>
      <c r="AK3531">
        <v>30.639773110708902</v>
      </c>
      <c r="AL3531">
        <v>78.183947143730506</v>
      </c>
      <c r="AM3531">
        <v>89.6567543323997</v>
      </c>
      <c r="AN3531">
        <v>1.00000000891402</v>
      </c>
    </row>
    <row r="3532" spans="1:40" x14ac:dyDescent="0.25">
      <c r="A3532" t="str">
        <f>"20190303162327266"</f>
        <v>20190303162327266</v>
      </c>
      <c r="B3532" t="str">
        <f>"1551601407257803"</f>
        <v>1551601407257803</v>
      </c>
      <c r="C3532" t="s">
        <v>40</v>
      </c>
      <c r="D3532">
        <v>5.5983539999999996</v>
      </c>
      <c r="E3532">
        <v>0.52061239999999998</v>
      </c>
      <c r="F3532" t="s">
        <v>49</v>
      </c>
      <c r="G3532">
        <v>-281.95440000000002</v>
      </c>
      <c r="H3532" s="1">
        <v>6.1228319999999899E-6</v>
      </c>
      <c r="I3532">
        <v>215.4667</v>
      </c>
      <c r="J3532">
        <v>-283.51209999999998</v>
      </c>
      <c r="K3532">
        <v>1.120932</v>
      </c>
      <c r="L3532">
        <v>215.28489999999999</v>
      </c>
      <c r="M3532">
        <v>0.99989150000000004</v>
      </c>
      <c r="N3532">
        <v>-1.4455259999999999E-2</v>
      </c>
      <c r="O3532">
        <v>2.882361E-3</v>
      </c>
      <c r="P3532">
        <v>0.98168239999999996</v>
      </c>
      <c r="Q3532">
        <v>0.1905077</v>
      </c>
      <c r="R3532">
        <v>-2.6100680000000001E-3</v>
      </c>
      <c r="S3532">
        <v>3.4538570000000002</v>
      </c>
      <c r="T3532">
        <v>-2.0437789999999998</v>
      </c>
      <c r="U3532">
        <v>0.33297729999999998</v>
      </c>
      <c r="V3532">
        <v>5.4800400000000003E-3</v>
      </c>
      <c r="W3532">
        <v>0.20467750000000001</v>
      </c>
      <c r="X3532">
        <v>0.97881410000000002</v>
      </c>
      <c r="Y3532">
        <v>-8.0275349999999995E-2</v>
      </c>
      <c r="Z3532">
        <v>2.1020810000000001E-2</v>
      </c>
      <c r="AA3532">
        <v>0.99655099999999996</v>
      </c>
      <c r="AB3532">
        <v>33</v>
      </c>
      <c r="AC3532">
        <v>1.5576999999999499</v>
      </c>
      <c r="AD3532">
        <v>-1.120925877168</v>
      </c>
      <c r="AE3532">
        <v>0.18180000000000901</v>
      </c>
      <c r="AF3532">
        <v>-0.11735551185055899</v>
      </c>
      <c r="AG3532">
        <v>-1.120925877168</v>
      </c>
      <c r="AH3532">
        <v>1.03133796705893</v>
      </c>
      <c r="AI3532">
        <v>137.19987159100299</v>
      </c>
      <c r="AJ3532">
        <v>96.491740155459297</v>
      </c>
      <c r="AK3532">
        <v>1.5277123880376799</v>
      </c>
      <c r="AL3532">
        <v>78.189378852112</v>
      </c>
      <c r="AM3532">
        <v>89.679224192792802</v>
      </c>
      <c r="AN3532">
        <v>0.99999997610172997</v>
      </c>
    </row>
    <row r="3533" spans="1:40" x14ac:dyDescent="0.25">
      <c r="A3533" t="str">
        <f>"20190303162327289"</f>
        <v>20190303162327289</v>
      </c>
      <c r="B3533" t="str">
        <f>"1551601407278300"</f>
        <v>1551601407278300</v>
      </c>
      <c r="C3533" t="s">
        <v>40</v>
      </c>
      <c r="D3533">
        <v>5.484464</v>
      </c>
      <c r="E3533">
        <v>0.5234818</v>
      </c>
      <c r="F3533" t="s">
        <v>49</v>
      </c>
      <c r="G3533">
        <v>-281.2269</v>
      </c>
      <c r="H3533" s="1">
        <v>6.4797169999999998E-6</v>
      </c>
      <c r="I3533">
        <v>215.17930000000001</v>
      </c>
      <c r="J3533">
        <v>-283.19459999999998</v>
      </c>
      <c r="K3533">
        <v>1.12093</v>
      </c>
      <c r="L3533">
        <v>215.28579999999999</v>
      </c>
      <c r="M3533">
        <v>0.99989159999999999</v>
      </c>
      <c r="N3533">
        <v>-1.445828E-2</v>
      </c>
      <c r="O3533">
        <v>2.8155329999999998E-3</v>
      </c>
      <c r="P3533">
        <v>0.98163089999999997</v>
      </c>
      <c r="Q3533">
        <v>0.1907799</v>
      </c>
      <c r="R3533">
        <v>-1.989776E-3</v>
      </c>
      <c r="S3533">
        <v>3.377075</v>
      </c>
      <c r="T3533">
        <v>-1.6565270000000001</v>
      </c>
      <c r="U3533">
        <v>-0.156158399999999</v>
      </c>
      <c r="V3533">
        <v>4.7939810000000001E-3</v>
      </c>
      <c r="W3533">
        <v>0.20495140000000001</v>
      </c>
      <c r="X3533">
        <v>0.97876039999999997</v>
      </c>
      <c r="Y3533">
        <v>4.358807E-2</v>
      </c>
      <c r="Z3533">
        <v>-1.171053E-2</v>
      </c>
      <c r="AA3533">
        <v>0.99898089999999995</v>
      </c>
      <c r="AB3533">
        <v>33</v>
      </c>
      <c r="AC3533">
        <v>1.96769999999998</v>
      </c>
      <c r="AD3533">
        <v>-1.1209235202829999</v>
      </c>
      <c r="AE3533">
        <v>-0.106499999999982</v>
      </c>
      <c r="AF3533">
        <v>8.4650271536742594E-2</v>
      </c>
      <c r="AG3533">
        <v>-1.1209235202829999</v>
      </c>
      <c r="AH3533">
        <v>1.48643231250761</v>
      </c>
      <c r="AI3533">
        <v>126.97548505559899</v>
      </c>
      <c r="AJ3533">
        <v>86.740604846183601</v>
      </c>
      <c r="AK3533">
        <v>1.8636298523209001</v>
      </c>
      <c r="AL3533">
        <v>78.173345808904401</v>
      </c>
      <c r="AM3533">
        <v>89.719366780812095</v>
      </c>
      <c r="AN3533">
        <v>0.99999998961197401</v>
      </c>
    </row>
    <row r="3534" spans="1:40" x14ac:dyDescent="0.25">
      <c r="A3534" t="str">
        <f>"20190303162327311"</f>
        <v>20190303162327311</v>
      </c>
      <c r="B3534" t="str">
        <f>"1551601407297820"</f>
        <v>1551601407297820</v>
      </c>
      <c r="C3534" t="s">
        <v>40</v>
      </c>
      <c r="D3534">
        <v>5.4904580000000003</v>
      </c>
      <c r="E3534">
        <v>0.52396279999999995</v>
      </c>
      <c r="F3534" t="s">
        <v>42</v>
      </c>
      <c r="G3534">
        <v>-282.37479999999999</v>
      </c>
      <c r="H3534">
        <v>0.76209249999999995</v>
      </c>
      <c r="I3534">
        <v>215.2422</v>
      </c>
      <c r="J3534">
        <v>-282.86099999999999</v>
      </c>
      <c r="K3534">
        <v>1.1209359999999999</v>
      </c>
      <c r="L3534">
        <v>215.2867</v>
      </c>
      <c r="M3534">
        <v>0.9998918</v>
      </c>
      <c r="N3534">
        <v>-1.4460570000000001E-2</v>
      </c>
      <c r="O3534">
        <v>2.745132E-3</v>
      </c>
      <c r="P3534">
        <v>0.98151529999999998</v>
      </c>
      <c r="Q3534">
        <v>0.1913812</v>
      </c>
      <c r="R3534">
        <v>-1.015185E-3</v>
      </c>
      <c r="S3534">
        <v>3.3399049999999999</v>
      </c>
      <c r="T3534">
        <v>-1.461741</v>
      </c>
      <c r="U3534">
        <v>-0.1764984</v>
      </c>
      <c r="V3534">
        <v>3.7500530000000002E-3</v>
      </c>
      <c r="W3534">
        <v>0.2055534</v>
      </c>
      <c r="X3534">
        <v>0.97863869999999997</v>
      </c>
      <c r="Y3534">
        <v>5.0499229999999999E-2</v>
      </c>
      <c r="Z3534">
        <v>-1.2052490000000001E-2</v>
      </c>
      <c r="AA3534">
        <v>0.99865139999999997</v>
      </c>
      <c r="AB3534">
        <v>33</v>
      </c>
      <c r="AC3534">
        <v>0.48619999999999602</v>
      </c>
      <c r="AD3534">
        <v>-0.35884349999999998</v>
      </c>
      <c r="AE3534">
        <v>-4.4499999999999297E-2</v>
      </c>
      <c r="AF3534">
        <v>2.9758832394317699E-2</v>
      </c>
      <c r="AG3534">
        <v>-0.35884349999999998</v>
      </c>
      <c r="AH3534">
        <v>0.31559208098842401</v>
      </c>
      <c r="AI3534">
        <v>138.54354591768401</v>
      </c>
      <c r="AJ3534">
        <v>84.613208508611095</v>
      </c>
      <c r="AK3534">
        <v>0.47880330740328703</v>
      </c>
      <c r="AL3534">
        <v>78.138103339442694</v>
      </c>
      <c r="AM3534">
        <v>89.780448945851504</v>
      </c>
      <c r="AN3534">
        <v>0.99999998414337599</v>
      </c>
    </row>
    <row r="3535" spans="1:40" x14ac:dyDescent="0.25">
      <c r="A3535" t="str">
        <f>"20190303162327333"</f>
        <v>20190303162327333</v>
      </c>
      <c r="B3535" t="str">
        <f>"1551601407328764"</f>
        <v>1551601407328764</v>
      </c>
      <c r="C3535" t="s">
        <v>40</v>
      </c>
      <c r="D3535">
        <v>5.5117219999999998</v>
      </c>
      <c r="E3535">
        <v>0.52412329999999996</v>
      </c>
      <c r="F3535" t="s">
        <v>42</v>
      </c>
      <c r="G3535">
        <v>-282.06490000000002</v>
      </c>
      <c r="H3535">
        <v>0.80291800000000002</v>
      </c>
      <c r="I3535">
        <v>215.24369999999999</v>
      </c>
      <c r="J3535">
        <v>-282.52289999999999</v>
      </c>
      <c r="K3535">
        <v>1.120941</v>
      </c>
      <c r="L3535">
        <v>215.28749999999999</v>
      </c>
      <c r="M3535">
        <v>0.99989189999999994</v>
      </c>
      <c r="N3535">
        <v>-1.4462040000000001E-2</v>
      </c>
      <c r="O3535">
        <v>2.674259E-3</v>
      </c>
      <c r="P3535">
        <v>0.98149759999999997</v>
      </c>
      <c r="Q3535">
        <v>0.19147449999999999</v>
      </c>
      <c r="R3535">
        <v>-3.4304430000000003E-4</v>
      </c>
      <c r="S3535">
        <v>3.3144840000000002</v>
      </c>
      <c r="T3535">
        <v>-1.3240459999999901</v>
      </c>
      <c r="U3535">
        <v>-0.1787415</v>
      </c>
      <c r="V3535">
        <v>3.007975E-3</v>
      </c>
      <c r="W3535">
        <v>0.20564859999999999</v>
      </c>
      <c r="X3535">
        <v>0.97862119999999997</v>
      </c>
      <c r="Y3535">
        <v>5.2174970000000001E-2</v>
      </c>
      <c r="Z3535">
        <v>-1.141205E-2</v>
      </c>
      <c r="AA3535">
        <v>0.99857280000000004</v>
      </c>
      <c r="AB3535">
        <v>33</v>
      </c>
      <c r="AC3535">
        <v>0.45799999999996999</v>
      </c>
      <c r="AD3535">
        <v>-0.318022999999999</v>
      </c>
      <c r="AE3535">
        <v>-4.3800000000004502E-2</v>
      </c>
      <c r="AF3535">
        <v>3.04677551280171E-2</v>
      </c>
      <c r="AG3535">
        <v>-0.318022999999999</v>
      </c>
      <c r="AH3535">
        <v>0.309842983815658</v>
      </c>
      <c r="AI3535">
        <v>135.60862412337801</v>
      </c>
      <c r="AJ3535">
        <v>84.383995197833102</v>
      </c>
      <c r="AK3535">
        <v>0.44505009521550598</v>
      </c>
      <c r="AL3535">
        <v>78.132528979447102</v>
      </c>
      <c r="AM3535">
        <v>89.823891277196694</v>
      </c>
      <c r="AN3535">
        <v>0.99999992384249703</v>
      </c>
    </row>
    <row r="3536" spans="1:40" x14ac:dyDescent="0.25">
      <c r="A3536" t="str">
        <f>"20190303162327355"</f>
        <v>20190303162327355</v>
      </c>
      <c r="B3536" t="str">
        <f>"1551601407348283"</f>
        <v>1551601407348283</v>
      </c>
      <c r="C3536" t="s">
        <v>40</v>
      </c>
      <c r="D3536">
        <v>5.5021500000000003</v>
      </c>
      <c r="E3536">
        <v>0.5242462</v>
      </c>
      <c r="F3536" t="s">
        <v>42</v>
      </c>
      <c r="G3536">
        <v>-281.7543</v>
      </c>
      <c r="H3536">
        <v>0.84638619999999898</v>
      </c>
      <c r="I3536">
        <v>215.24539999999999</v>
      </c>
      <c r="J3536">
        <v>-282.20949999999999</v>
      </c>
      <c r="K3536">
        <v>1.120949</v>
      </c>
      <c r="L3536">
        <v>215.28829999999999</v>
      </c>
      <c r="M3536">
        <v>0.99989209999999995</v>
      </c>
      <c r="N3536">
        <v>-1.446276E-2</v>
      </c>
      <c r="O3536">
        <v>2.6084559999999999E-3</v>
      </c>
      <c r="P3536">
        <v>0.98149790000000003</v>
      </c>
      <c r="Q3536">
        <v>0.19147210000000001</v>
      </c>
      <c r="R3536">
        <v>-7.5400710000000004E-4</v>
      </c>
      <c r="S3536">
        <v>3.2854309999999902</v>
      </c>
      <c r="T3536">
        <v>-1.1736599999999999</v>
      </c>
      <c r="U3536">
        <v>-0.17942810000000001</v>
      </c>
      <c r="V3536">
        <v>3.3542070000000001E-3</v>
      </c>
      <c r="W3536">
        <v>0.2056463</v>
      </c>
      <c r="X3536">
        <v>0.97862059999999995</v>
      </c>
      <c r="Y3536">
        <v>5.3541579999999998E-2</v>
      </c>
      <c r="Z3536">
        <v>-1.0536210000000001E-2</v>
      </c>
      <c r="AA3536">
        <v>0.99851009999999996</v>
      </c>
      <c r="AB3536">
        <v>33</v>
      </c>
      <c r="AC3536">
        <v>0.45519999999999</v>
      </c>
      <c r="AD3536">
        <v>-0.2745628</v>
      </c>
      <c r="AE3536">
        <v>-4.2900000000002998E-2</v>
      </c>
      <c r="AF3536">
        <v>3.2402618754004103E-2</v>
      </c>
      <c r="AG3536">
        <v>-0.2745628</v>
      </c>
      <c r="AH3536">
        <v>0.33447227956553199</v>
      </c>
      <c r="AI3536">
        <v>129.25083012553901</v>
      </c>
      <c r="AJ3536">
        <v>84.466633054363797</v>
      </c>
      <c r="AK3536">
        <v>0.43394281494653297</v>
      </c>
      <c r="AL3536">
        <v>78.132664134376995</v>
      </c>
      <c r="AM3536">
        <v>89.803620369163895</v>
      </c>
      <c r="AN3536">
        <v>0.99999996507632305</v>
      </c>
    </row>
    <row r="3537" spans="1:40" x14ac:dyDescent="0.25">
      <c r="A3537" t="str">
        <f>"20190303162327378"</f>
        <v>20190303162327378</v>
      </c>
      <c r="B3537" t="str">
        <f>"1551601407367804"</f>
        <v>1551601407367804</v>
      </c>
      <c r="C3537" t="s">
        <v>40</v>
      </c>
      <c r="D3537">
        <v>5.4969710000000003</v>
      </c>
      <c r="E3537">
        <v>0.52434899999999995</v>
      </c>
      <c r="F3537" t="s">
        <v>42</v>
      </c>
      <c r="G3537">
        <v>-281.45359999999999</v>
      </c>
      <c r="H3537">
        <v>0.86551669999999903</v>
      </c>
      <c r="I3537">
        <v>215.24619999999999</v>
      </c>
      <c r="J3537">
        <v>-281.87569999999999</v>
      </c>
      <c r="K3537">
        <v>1.1209499999999999</v>
      </c>
      <c r="L3537">
        <v>215.28909999999999</v>
      </c>
      <c r="M3537">
        <v>0.99989220000000001</v>
      </c>
      <c r="N3537">
        <v>-1.446298E-2</v>
      </c>
      <c r="O3537">
        <v>2.5382479999999999E-3</v>
      </c>
      <c r="P3537">
        <v>0.98149390000000003</v>
      </c>
      <c r="Q3537">
        <v>0.19148960000000001</v>
      </c>
      <c r="R3537">
        <v>-1.277783E-3</v>
      </c>
      <c r="S3537">
        <v>3.272125</v>
      </c>
      <c r="T3537">
        <v>-1.1056629999999901</v>
      </c>
      <c r="U3537">
        <v>-0.1816101</v>
      </c>
      <c r="V3537">
        <v>3.8091169999999999E-3</v>
      </c>
      <c r="W3537">
        <v>0.20566400000000001</v>
      </c>
      <c r="X3537">
        <v>0.97861520000000002</v>
      </c>
      <c r="Y3537">
        <v>5.4658199999999997E-2</v>
      </c>
      <c r="Z3537">
        <v>-1.0183599999999999E-2</v>
      </c>
      <c r="AA3537">
        <v>0.99845320000000004</v>
      </c>
      <c r="AB3537">
        <v>33</v>
      </c>
      <c r="AC3537">
        <v>0.42209999999999998</v>
      </c>
      <c r="AD3537">
        <v>-0.25543329999999997</v>
      </c>
      <c r="AE3537">
        <v>-4.2900000000002998E-2</v>
      </c>
      <c r="AF3537">
        <v>3.22734885005403E-2</v>
      </c>
      <c r="AG3537">
        <v>-0.25543329999999997</v>
      </c>
      <c r="AH3537">
        <v>0.30972611204795297</v>
      </c>
      <c r="AI3537">
        <v>129.36086319577601</v>
      </c>
      <c r="AJ3537">
        <v>84.051242538606701</v>
      </c>
      <c r="AK3537">
        <v>0.40276297408429401</v>
      </c>
      <c r="AL3537">
        <v>78.131627666026205</v>
      </c>
      <c r="AM3537">
        <v>89.776985657276796</v>
      </c>
      <c r="AN3537">
        <v>0.999999949969678</v>
      </c>
    </row>
    <row r="3538" spans="1:40" x14ac:dyDescent="0.25">
      <c r="A3538" t="str">
        <f>"20190303162327400"</f>
        <v>20190303162327400</v>
      </c>
      <c r="B3538" t="str">
        <f>"1551601407388300"</f>
        <v>1551601407388300</v>
      </c>
      <c r="C3538" t="s">
        <v>40</v>
      </c>
      <c r="D3538">
        <v>5.5454160000000003</v>
      </c>
      <c r="E3538">
        <v>0.52483419999999903</v>
      </c>
      <c r="F3538" t="s">
        <v>42</v>
      </c>
      <c r="G3538">
        <v>-281.15170000000001</v>
      </c>
      <c r="H3538">
        <v>0.88728589999999996</v>
      </c>
      <c r="I3538">
        <v>215.24799999999999</v>
      </c>
      <c r="J3538">
        <v>-281.54169999999999</v>
      </c>
      <c r="K3538">
        <v>1.120954</v>
      </c>
      <c r="L3538">
        <v>215.28980000000001</v>
      </c>
      <c r="M3538">
        <v>0.99989249999999996</v>
      </c>
      <c r="N3538">
        <v>-1.446266E-2</v>
      </c>
      <c r="O3538">
        <v>2.4678640000000002E-3</v>
      </c>
      <c r="P3538">
        <v>0.98137430000000003</v>
      </c>
      <c r="Q3538">
        <v>0.19209619999999999</v>
      </c>
      <c r="R3538">
        <v>-1.927008E-3</v>
      </c>
      <c r="S3538">
        <v>3.2616879999999999</v>
      </c>
      <c r="T3538">
        <v>-1.052745</v>
      </c>
      <c r="U3538">
        <v>-0.18400569999999999</v>
      </c>
      <c r="V3538">
        <v>4.3890020000000004E-3</v>
      </c>
      <c r="W3538">
        <v>0.20626829999999999</v>
      </c>
      <c r="X3538">
        <v>0.97848559999999996</v>
      </c>
      <c r="Y3538">
        <v>5.5719669999999999E-2</v>
      </c>
      <c r="Z3538">
        <v>-9.9179769999999997E-3</v>
      </c>
      <c r="AA3538">
        <v>0.99839719999999998</v>
      </c>
      <c r="AB3538">
        <v>33</v>
      </c>
      <c r="AC3538">
        <v>0.38999999999998602</v>
      </c>
      <c r="AD3538">
        <v>-0.23366809999999999</v>
      </c>
      <c r="AE3538">
        <v>-4.1800000000023298E-2</v>
      </c>
      <c r="AF3538">
        <v>3.1561265818577502E-2</v>
      </c>
      <c r="AG3538">
        <v>-0.23366809999999999</v>
      </c>
      <c r="AH3538">
        <v>0.287766554656055</v>
      </c>
      <c r="AI3538">
        <v>128.90927496024801</v>
      </c>
      <c r="AJ3538">
        <v>83.741008408171993</v>
      </c>
      <c r="AK3538">
        <v>0.37203021978906098</v>
      </c>
      <c r="AL3538">
        <v>78.096245460633497</v>
      </c>
      <c r="AM3538">
        <v>89.743001221089699</v>
      </c>
      <c r="AN3538">
        <v>0.99999997216540204</v>
      </c>
    </row>
    <row r="3539" spans="1:40" x14ac:dyDescent="0.25">
      <c r="A3539" t="str">
        <f>"20190303162327422"</f>
        <v>20190303162327422</v>
      </c>
      <c r="B3539" t="str">
        <f>"1551601407418086"</f>
        <v>1551601407418086</v>
      </c>
      <c r="C3539" t="s">
        <v>40</v>
      </c>
      <c r="D3539">
        <v>5.5424249999999997</v>
      </c>
      <c r="E3539">
        <v>0.5261922</v>
      </c>
      <c r="F3539" t="s">
        <v>42</v>
      </c>
      <c r="G3539">
        <v>-280.85199999999998</v>
      </c>
      <c r="H3539">
        <v>0.90411439999999998</v>
      </c>
      <c r="I3539">
        <v>215.24930000000001</v>
      </c>
      <c r="J3539">
        <v>-281.22219999999999</v>
      </c>
      <c r="K3539">
        <v>1.120957</v>
      </c>
      <c r="L3539">
        <v>215.29050000000001</v>
      </c>
      <c r="M3539">
        <v>0.99989249999999996</v>
      </c>
      <c r="N3539">
        <v>-1.4461969999999999E-2</v>
      </c>
      <c r="O3539">
        <v>2.400522E-3</v>
      </c>
      <c r="P3539">
        <v>0.98121849999999999</v>
      </c>
      <c r="Q3539">
        <v>0.19288749999999999</v>
      </c>
      <c r="R3539">
        <v>-2.162307E-3</v>
      </c>
      <c r="S3539">
        <v>3.2570190000000001</v>
      </c>
      <c r="T3539">
        <v>-1.0240069999999999</v>
      </c>
      <c r="U3539">
        <v>-0.19126889999999999</v>
      </c>
      <c r="V3539">
        <v>4.5578629999999997E-3</v>
      </c>
      <c r="W3539">
        <v>0.20705670000000001</v>
      </c>
      <c r="X3539">
        <v>0.97831829999999997</v>
      </c>
      <c r="Y3539">
        <v>5.7991250000000001E-2</v>
      </c>
      <c r="Z3539">
        <v>-1.0026800000000001E-2</v>
      </c>
      <c r="AA3539">
        <v>0.99826680000000001</v>
      </c>
      <c r="AB3539">
        <v>33</v>
      </c>
      <c r="AC3539">
        <v>0.37019999999995401</v>
      </c>
      <c r="AD3539">
        <v>-0.2168426</v>
      </c>
      <c r="AE3539">
        <v>-4.1200000000003401E-2</v>
      </c>
      <c r="AF3539">
        <v>3.1435265476360899E-2</v>
      </c>
      <c r="AG3539">
        <v>-0.2168426</v>
      </c>
      <c r="AH3539">
        <v>0.27642115189563299</v>
      </c>
      <c r="AI3539">
        <v>127.934297914155</v>
      </c>
      <c r="AJ3539">
        <v>83.5120619960921</v>
      </c>
      <c r="AK3539">
        <v>0.35272870921664101</v>
      </c>
      <c r="AL3539">
        <v>78.050076807196106</v>
      </c>
      <c r="AM3539">
        <v>89.733068037141393</v>
      </c>
      <c r="AN3539">
        <v>0.99999997362245296</v>
      </c>
    </row>
    <row r="3540" spans="1:40" x14ac:dyDescent="0.25">
      <c r="A3540" t="str">
        <f>"20190303162327445"</f>
        <v>20190303162327445</v>
      </c>
      <c r="B3540" t="str">
        <f>"1551601407438582"</f>
        <v>1551601407438582</v>
      </c>
      <c r="C3540" t="s">
        <v>40</v>
      </c>
      <c r="D3540">
        <v>5.5178849999999997</v>
      </c>
      <c r="E3540">
        <v>0.52681489999999997</v>
      </c>
      <c r="F3540" t="s">
        <v>42</v>
      </c>
      <c r="G3540">
        <v>-280.55619999999999</v>
      </c>
      <c r="H3540">
        <v>0.91302879999999997</v>
      </c>
      <c r="I3540">
        <v>215.24870000000001</v>
      </c>
      <c r="J3540">
        <v>-280.89949999999999</v>
      </c>
      <c r="K3540">
        <v>1.12096</v>
      </c>
      <c r="L3540">
        <v>215.2912</v>
      </c>
      <c r="M3540">
        <v>0.99989280000000003</v>
      </c>
      <c r="N3540">
        <v>-1.446069E-2</v>
      </c>
      <c r="O3540">
        <v>2.3326459999999999E-3</v>
      </c>
      <c r="P3540">
        <v>0.98111360000000003</v>
      </c>
      <c r="Q3540">
        <v>0.19342029999999999</v>
      </c>
      <c r="R3540">
        <v>-2.309799E-3</v>
      </c>
      <c r="S3540">
        <v>3.256866</v>
      </c>
      <c r="T3540">
        <v>-1.016734</v>
      </c>
      <c r="U3540">
        <v>-0.2036133</v>
      </c>
      <c r="V3540">
        <v>4.6384260000000002E-3</v>
      </c>
      <c r="W3540">
        <v>0.20758660000000001</v>
      </c>
      <c r="X3540">
        <v>0.97820560000000001</v>
      </c>
      <c r="Y3540">
        <v>6.1562619999999998E-2</v>
      </c>
      <c r="Z3540">
        <v>-1.051153E-2</v>
      </c>
      <c r="AA3540">
        <v>0.99804789999999999</v>
      </c>
      <c r="AB3540">
        <v>33</v>
      </c>
      <c r="AC3540">
        <v>0.34329999999999899</v>
      </c>
      <c r="AD3540">
        <v>-0.20793119999999901</v>
      </c>
      <c r="AE3540">
        <v>-4.2499999999989699E-2</v>
      </c>
      <c r="AF3540">
        <v>3.1808038778867898E-2</v>
      </c>
      <c r="AG3540">
        <v>-0.20793119999999901</v>
      </c>
      <c r="AH3540">
        <v>0.25210908400180598</v>
      </c>
      <c r="AI3540">
        <v>129.29276579437899</v>
      </c>
      <c r="AJ3540">
        <v>82.809114693301396</v>
      </c>
      <c r="AK3540">
        <v>0.32833843134885599</v>
      </c>
      <c r="AL3540">
        <v>78.019041219779993</v>
      </c>
      <c r="AM3540">
        <v>89.728318625882594</v>
      </c>
      <c r="AN3540">
        <v>0.99999995368333705</v>
      </c>
    </row>
    <row r="3541" spans="1:40" x14ac:dyDescent="0.25">
      <c r="A3541" t="str">
        <f>"20190303162327466"</f>
        <v>20190303162327466</v>
      </c>
      <c r="B3541" t="str">
        <f>"1551601407458102"</f>
        <v>1551601407458102</v>
      </c>
      <c r="C3541" t="s">
        <v>40</v>
      </c>
      <c r="D3541">
        <v>5.5324169999999997</v>
      </c>
      <c r="E3541">
        <v>0.5270475</v>
      </c>
      <c r="F3541" t="s">
        <v>42</v>
      </c>
      <c r="G3541">
        <v>-280.00389999999999</v>
      </c>
      <c r="H3541">
        <v>0.84071409999999902</v>
      </c>
      <c r="I3541">
        <v>215.23419999999999</v>
      </c>
      <c r="J3541">
        <v>-280.58370000000002</v>
      </c>
      <c r="K3541">
        <v>1.120959</v>
      </c>
      <c r="L3541">
        <v>215.2919</v>
      </c>
      <c r="M3541">
        <v>0.99989289999999997</v>
      </c>
      <c r="N3541">
        <v>-1.4459319999999999E-2</v>
      </c>
      <c r="O3541">
        <v>2.2660250000000001E-3</v>
      </c>
      <c r="P3541">
        <v>0.98105900000000001</v>
      </c>
      <c r="Q3541">
        <v>0.19369449999999999</v>
      </c>
      <c r="R3541">
        <v>-2.3775179999999999E-3</v>
      </c>
      <c r="S3541">
        <v>3.25827</v>
      </c>
      <c r="T3541">
        <v>-1.0195299999999901</v>
      </c>
      <c r="U3541">
        <v>-0.2071838</v>
      </c>
      <c r="V3541">
        <v>4.6408350000000003E-3</v>
      </c>
      <c r="W3541">
        <v>0.2078586</v>
      </c>
      <c r="X3541">
        <v>0.97814789999999996</v>
      </c>
      <c r="Y3541">
        <v>6.2500920000000001E-2</v>
      </c>
      <c r="Z3541">
        <v>-1.0664359999999999E-2</v>
      </c>
      <c r="AA3541">
        <v>0.99798790000000004</v>
      </c>
      <c r="AB3541">
        <v>33</v>
      </c>
      <c r="AC3541">
        <v>0.57980000000003395</v>
      </c>
      <c r="AD3541">
        <v>-0.28024490000000002</v>
      </c>
      <c r="AE3541">
        <v>-5.7700000000011097E-2</v>
      </c>
      <c r="AF3541">
        <v>4.7926753058272001E-2</v>
      </c>
      <c r="AG3541">
        <v>-0.28024490000000002</v>
      </c>
      <c r="AH3541">
        <v>0.47076410359107301</v>
      </c>
      <c r="AI3541">
        <v>120.63557508426101</v>
      </c>
      <c r="AJ3541">
        <v>84.186956433784403</v>
      </c>
      <c r="AK3541">
        <v>0.54995728821848</v>
      </c>
      <c r="AL3541">
        <v>78.003110118877402</v>
      </c>
      <c r="AM3541">
        <v>89.728161494013406</v>
      </c>
      <c r="AN3541">
        <v>1.00000002460893</v>
      </c>
    </row>
    <row r="3542" spans="1:40" x14ac:dyDescent="0.25">
      <c r="A3542" t="str">
        <f>"20190303162327489"</f>
        <v>20190303162327489</v>
      </c>
      <c r="B3542" t="str">
        <f>"1551601407478598"</f>
        <v>1551601407478598</v>
      </c>
      <c r="C3542" t="s">
        <v>40</v>
      </c>
      <c r="D3542">
        <v>5.5484</v>
      </c>
      <c r="E3542">
        <v>0.52727990000000002</v>
      </c>
      <c r="F3542" t="s">
        <v>42</v>
      </c>
      <c r="G3542">
        <v>-279.71159999999998</v>
      </c>
      <c r="H3542">
        <v>0.84436460000000002</v>
      </c>
      <c r="I3542">
        <v>215.2355</v>
      </c>
      <c r="J3542">
        <v>-280.26310000000001</v>
      </c>
      <c r="K3542">
        <v>1.1209709999999999</v>
      </c>
      <c r="L3542">
        <v>215.29259999999999</v>
      </c>
      <c r="M3542">
        <v>0.99989309999999998</v>
      </c>
      <c r="N3542">
        <v>-1.445783E-2</v>
      </c>
      <c r="O3542">
        <v>2.1983300000000001E-3</v>
      </c>
      <c r="P3542">
        <v>0.98106599999999999</v>
      </c>
      <c r="Q3542">
        <v>0.19365589999999999</v>
      </c>
      <c r="R3542">
        <v>-2.7408340000000002E-3</v>
      </c>
      <c r="S3542">
        <v>3.2616879999999999</v>
      </c>
      <c r="T3542">
        <v>-1.034446</v>
      </c>
      <c r="U3542">
        <v>-0.21064759999999999</v>
      </c>
      <c r="V3542">
        <v>4.9374780000000004E-3</v>
      </c>
      <c r="W3542">
        <v>0.20781849999999999</v>
      </c>
      <c r="X3542">
        <v>0.978155</v>
      </c>
      <c r="Y3542">
        <v>6.3300670000000003E-2</v>
      </c>
      <c r="Z3542">
        <v>-1.0906330000000001E-2</v>
      </c>
      <c r="AA3542">
        <v>0.99793489999999996</v>
      </c>
      <c r="AB3542">
        <v>33</v>
      </c>
      <c r="AC3542">
        <v>0.55150000000003196</v>
      </c>
      <c r="AD3542">
        <v>-0.27660639999999898</v>
      </c>
      <c r="AE3542">
        <v>-5.7099999999991199E-2</v>
      </c>
      <c r="AF3542">
        <v>4.6691457791555799E-2</v>
      </c>
      <c r="AG3542">
        <v>-0.27660639999999898</v>
      </c>
      <c r="AH3542">
        <v>0.44149150893337602</v>
      </c>
      <c r="AI3542">
        <v>121.92507010688399</v>
      </c>
      <c r="AJ3542">
        <v>83.962928322864101</v>
      </c>
      <c r="AK3542">
        <v>0.5230735562155</v>
      </c>
      <c r="AL3542">
        <v>78.005459351151998</v>
      </c>
      <c r="AM3542">
        <v>89.710787913812794</v>
      </c>
      <c r="AN3542">
        <v>1.0000000558281199</v>
      </c>
    </row>
    <row r="3543" spans="1:40" x14ac:dyDescent="0.25">
      <c r="A3543" t="str">
        <f>"20190303162327512"</f>
        <v>20190303162327512</v>
      </c>
      <c r="B3543" t="str">
        <f>"1551601407507878"</f>
        <v>1551601407507878</v>
      </c>
      <c r="C3543" t="s">
        <v>40</v>
      </c>
      <c r="D3543">
        <v>5.5621989999999997</v>
      </c>
      <c r="E3543">
        <v>0.52755289999999999</v>
      </c>
      <c r="F3543" t="s">
        <v>42</v>
      </c>
      <c r="G3543">
        <v>-279.41860000000003</v>
      </c>
      <c r="H3543">
        <v>0.85038659999999999</v>
      </c>
      <c r="I3543">
        <v>215.23679999999999</v>
      </c>
      <c r="J3543">
        <v>-279.92509999999999</v>
      </c>
      <c r="K3543">
        <v>1.1209769999999999</v>
      </c>
      <c r="L3543">
        <v>215.29320000000001</v>
      </c>
      <c r="M3543">
        <v>0.99989340000000004</v>
      </c>
      <c r="N3543">
        <v>-1.445607E-2</v>
      </c>
      <c r="O3543">
        <v>2.1271200000000001E-3</v>
      </c>
      <c r="P3543">
        <v>0.98108019999999996</v>
      </c>
      <c r="Q3543">
        <v>0.1935808</v>
      </c>
      <c r="R3543">
        <v>-2.930172E-3</v>
      </c>
      <c r="S3543">
        <v>3.263763</v>
      </c>
      <c r="T3543">
        <v>-1.0457529999999999</v>
      </c>
      <c r="U3543">
        <v>-0.2142944</v>
      </c>
      <c r="V3543">
        <v>5.0569509999999996E-3</v>
      </c>
      <c r="W3543">
        <v>0.20774200000000001</v>
      </c>
      <c r="X3543">
        <v>0.9781706</v>
      </c>
      <c r="Y3543">
        <v>6.4190059999999993E-2</v>
      </c>
      <c r="Z3543">
        <v>-1.113301E-2</v>
      </c>
      <c r="AA3543">
        <v>0.99787559999999997</v>
      </c>
      <c r="AB3543">
        <v>33</v>
      </c>
      <c r="AC3543">
        <v>0.50649999999995998</v>
      </c>
      <c r="AD3543">
        <v>-0.27059040000000001</v>
      </c>
      <c r="AE3543">
        <v>-5.6400000000024798E-2</v>
      </c>
      <c r="AF3543">
        <v>4.4837210460003302E-2</v>
      </c>
      <c r="AG3543">
        <v>-0.27059040000000001</v>
      </c>
      <c r="AH3543">
        <v>0.39501834583577999</v>
      </c>
      <c r="AI3543">
        <v>124.24063724760001</v>
      </c>
      <c r="AJ3543">
        <v>83.524263518344696</v>
      </c>
      <c r="AK3543">
        <v>0.48090439128877899</v>
      </c>
      <c r="AL3543">
        <v>78.009939799410802</v>
      </c>
      <c r="AM3543">
        <v>89.703794646612394</v>
      </c>
      <c r="AN3543">
        <v>1.00000001701088</v>
      </c>
    </row>
    <row r="3544" spans="1:40" x14ac:dyDescent="0.25">
      <c r="A3544" t="str">
        <f>"20190303162327534"</f>
        <v>20190303162327534</v>
      </c>
      <c r="B3544" t="str">
        <f>"1551601407528374"</f>
        <v>1551601407528374</v>
      </c>
      <c r="C3544" t="s">
        <v>40</v>
      </c>
      <c r="D3544">
        <v>5.5897189999999997</v>
      </c>
      <c r="E3544">
        <v>0.52771330000000005</v>
      </c>
      <c r="F3544" t="s">
        <v>42</v>
      </c>
      <c r="G3544">
        <v>-279.1241</v>
      </c>
      <c r="H3544">
        <v>0.86092900000000006</v>
      </c>
      <c r="I3544">
        <v>215.24</v>
      </c>
      <c r="J3544">
        <v>-279.6046</v>
      </c>
      <c r="K3544">
        <v>1.120981</v>
      </c>
      <c r="L3544">
        <v>215.2938</v>
      </c>
      <c r="M3544">
        <v>0.99989349999999999</v>
      </c>
      <c r="N3544">
        <v>-1.445419E-2</v>
      </c>
      <c r="O3544">
        <v>2.0596070000000002E-3</v>
      </c>
      <c r="P3544">
        <v>0.98106420000000005</v>
      </c>
      <c r="Q3544">
        <v>0.1936505</v>
      </c>
      <c r="R3544">
        <v>-3.5700189999999998E-3</v>
      </c>
      <c r="S3544">
        <v>3.2664490000000002</v>
      </c>
      <c r="T3544">
        <v>-1.0604800000000001</v>
      </c>
      <c r="U3544">
        <v>-0.21664430000000001</v>
      </c>
      <c r="V3544">
        <v>5.6306510000000004E-3</v>
      </c>
      <c r="W3544">
        <v>0.20780960000000001</v>
      </c>
      <c r="X3544">
        <v>0.9781531</v>
      </c>
      <c r="Y3544">
        <v>6.4673220000000003E-2</v>
      </c>
      <c r="Z3544">
        <v>-1.132736E-2</v>
      </c>
      <c r="AA3544">
        <v>0.99784220000000001</v>
      </c>
      <c r="AB3544">
        <v>32</v>
      </c>
      <c r="AC3544">
        <v>0.48050000000000598</v>
      </c>
      <c r="AD3544">
        <v>-0.26005199999999901</v>
      </c>
      <c r="AE3544">
        <v>-5.37999999999954E-2</v>
      </c>
      <c r="AF3544">
        <v>4.2496201772657699E-2</v>
      </c>
      <c r="AG3544">
        <v>-0.26005199999999901</v>
      </c>
      <c r="AH3544">
        <v>0.37260102221928199</v>
      </c>
      <c r="AI3544">
        <v>124.73903734490899</v>
      </c>
      <c r="AJ3544">
        <v>83.493369737682499</v>
      </c>
      <c r="AK3544">
        <v>0.45636004604692998</v>
      </c>
      <c r="AL3544">
        <v>78.005980113690597</v>
      </c>
      <c r="AM3544">
        <v>89.670185602958696</v>
      </c>
      <c r="AN3544">
        <v>1.0000000105612199</v>
      </c>
    </row>
    <row r="3545" spans="1:40" x14ac:dyDescent="0.25">
      <c r="A3545" t="str">
        <f>"20190303162327556"</f>
        <v>20190303162327556</v>
      </c>
      <c r="B3545" t="str">
        <f>"1551601407547894"</f>
        <v>1551601407547894</v>
      </c>
      <c r="C3545" t="s">
        <v>40</v>
      </c>
      <c r="D3545">
        <v>5.5654059999999896</v>
      </c>
      <c r="E3545">
        <v>0.5278195</v>
      </c>
      <c r="F3545" t="s">
        <v>42</v>
      </c>
      <c r="G3545">
        <v>-278.8313</v>
      </c>
      <c r="H3545">
        <v>0.86827339999999997</v>
      </c>
      <c r="I3545">
        <v>215.24160000000001</v>
      </c>
      <c r="J3545">
        <v>-279.28250000000003</v>
      </c>
      <c r="K3545">
        <v>1.1209800000000001</v>
      </c>
      <c r="L3545">
        <v>215.2944</v>
      </c>
      <c r="M3545">
        <v>0.9998937</v>
      </c>
      <c r="N3545">
        <v>-1.4452120000000001E-2</v>
      </c>
      <c r="O3545">
        <v>1.9917379999999998E-3</v>
      </c>
      <c r="P3545">
        <v>0.98099119999999995</v>
      </c>
      <c r="Q3545">
        <v>0.19402030000000001</v>
      </c>
      <c r="R3545">
        <v>-3.5484169999999999E-3</v>
      </c>
      <c r="S3545">
        <v>3.2679140000000002</v>
      </c>
      <c r="T3545">
        <v>-1.06803</v>
      </c>
      <c r="U3545">
        <v>-0.21983340000000001</v>
      </c>
      <c r="V3545">
        <v>5.5422630000000004E-3</v>
      </c>
      <c r="W3545">
        <v>0.20817620000000001</v>
      </c>
      <c r="X3545">
        <v>0.97807560000000004</v>
      </c>
      <c r="Y3545">
        <v>6.5460580000000004E-2</v>
      </c>
      <c r="Z3545">
        <v>-1.1506580000000001E-2</v>
      </c>
      <c r="AA3545">
        <v>0.99778880000000003</v>
      </c>
      <c r="AB3545">
        <v>32</v>
      </c>
      <c r="AC3545">
        <v>0.45120000000002802</v>
      </c>
      <c r="AD3545">
        <v>-0.252706599999999</v>
      </c>
      <c r="AE3545">
        <v>-5.2799999999990598E-2</v>
      </c>
      <c r="AF3545">
        <v>4.10086145675028E-2</v>
      </c>
      <c r="AG3545">
        <v>-0.252706599999999</v>
      </c>
      <c r="AH3545">
        <v>0.34449158887385301</v>
      </c>
      <c r="AI3545">
        <v>126.070378555548</v>
      </c>
      <c r="AJ3545">
        <v>83.211400790486707</v>
      </c>
      <c r="AK3545">
        <v>0.42920483100396001</v>
      </c>
      <c r="AL3545">
        <v>77.984505267456896</v>
      </c>
      <c r="AM3545">
        <v>89.675337080101798</v>
      </c>
      <c r="AN3545">
        <v>0.99999996312048001</v>
      </c>
    </row>
    <row r="3546" spans="1:40" x14ac:dyDescent="0.25">
      <c r="A3546" t="str">
        <f>"20190303162327578"</f>
        <v>20190303162327578</v>
      </c>
      <c r="B3546" t="str">
        <f>"1551601407568390"</f>
        <v>1551601407568390</v>
      </c>
      <c r="C3546" t="s">
        <v>40</v>
      </c>
      <c r="D3546">
        <v>5.5759670000000003</v>
      </c>
      <c r="E3546">
        <v>0.52791940000000004</v>
      </c>
      <c r="F3546" t="s">
        <v>42</v>
      </c>
      <c r="G3546">
        <v>-278.5385</v>
      </c>
      <c r="H3546">
        <v>0.87642929999999997</v>
      </c>
      <c r="I3546">
        <v>215.24420000000001</v>
      </c>
      <c r="J3546">
        <v>-278.96870000000001</v>
      </c>
      <c r="K3546">
        <v>1.1209800000000001</v>
      </c>
      <c r="L3546">
        <v>215.29499999999999</v>
      </c>
      <c r="M3546">
        <v>0.9998939</v>
      </c>
      <c r="N3546">
        <v>-1.4449979999999999E-2</v>
      </c>
      <c r="O3546">
        <v>1.925597E-3</v>
      </c>
      <c r="P3546">
        <v>0.98097279999999998</v>
      </c>
      <c r="Q3546">
        <v>0.19411909999999999</v>
      </c>
      <c r="R3546">
        <v>-3.2352800000000001E-3</v>
      </c>
      <c r="S3546">
        <v>3.2698969999999998</v>
      </c>
      <c r="T3546">
        <v>-1.0747799999999901</v>
      </c>
      <c r="U3546">
        <v>-0.22061159999999999</v>
      </c>
      <c r="V3546">
        <v>5.1641530000000003E-3</v>
      </c>
      <c r="W3546">
        <v>0.20827280000000001</v>
      </c>
      <c r="X3546">
        <v>0.97805710000000001</v>
      </c>
      <c r="Y3546">
        <v>6.5548910000000002E-2</v>
      </c>
      <c r="Z3546">
        <v>-1.156109E-2</v>
      </c>
      <c r="AA3546">
        <v>0.99778239999999996</v>
      </c>
      <c r="AB3546">
        <v>32</v>
      </c>
      <c r="AC3546">
        <v>0.43020000000001302</v>
      </c>
      <c r="AD3546">
        <v>-0.24455069999999901</v>
      </c>
      <c r="AE3546">
        <v>-5.0799999999980999E-2</v>
      </c>
      <c r="AF3546">
        <v>3.9150948411797698E-2</v>
      </c>
      <c r="AG3546">
        <v>-0.24455069999999901</v>
      </c>
      <c r="AH3546">
        <v>0.32615540743181798</v>
      </c>
      <c r="AI3546">
        <v>126.66598151375401</v>
      </c>
      <c r="AJ3546">
        <v>83.155096609782902</v>
      </c>
      <c r="AK3546">
        <v>0.40953045238302899</v>
      </c>
      <c r="AL3546">
        <v>77.978846412991103</v>
      </c>
      <c r="AM3546">
        <v>89.697480421029397</v>
      </c>
      <c r="AN3546">
        <v>0.99999995927822705</v>
      </c>
    </row>
    <row r="3547" spans="1:40" x14ac:dyDescent="0.25">
      <c r="A3547" t="str">
        <f>"20190303162327601"</f>
        <v>20190303162327601</v>
      </c>
      <c r="B3547" t="str">
        <f>"1551601407598646"</f>
        <v>1551601407598646</v>
      </c>
      <c r="C3547" t="s">
        <v>40</v>
      </c>
      <c r="D3547">
        <v>5.618976</v>
      </c>
      <c r="E3547">
        <v>0.52800059999999904</v>
      </c>
      <c r="F3547" t="s">
        <v>42</v>
      </c>
      <c r="G3547">
        <v>-278.24680000000001</v>
      </c>
      <c r="H3547">
        <v>0.88239429999999996</v>
      </c>
      <c r="I3547">
        <v>215.24610000000001</v>
      </c>
      <c r="J3547">
        <v>-278.62959999999998</v>
      </c>
      <c r="K3547">
        <v>1.1209830000000001</v>
      </c>
      <c r="L3547">
        <v>215.2955</v>
      </c>
      <c r="M3547">
        <v>0.99989399999999995</v>
      </c>
      <c r="N3547">
        <v>-1.444752E-2</v>
      </c>
      <c r="O3547">
        <v>1.854215E-3</v>
      </c>
      <c r="P3547">
        <v>0.98094239999999999</v>
      </c>
      <c r="Q3547">
        <v>0.19427929999999999</v>
      </c>
      <c r="R3547">
        <v>-2.8212279999999998E-3</v>
      </c>
      <c r="S3547">
        <v>3.271423</v>
      </c>
      <c r="T3547">
        <v>-1.081148</v>
      </c>
      <c r="U3547">
        <v>-0.22068789999999999</v>
      </c>
      <c r="V3547">
        <v>4.6800189999999997E-3</v>
      </c>
      <c r="W3547">
        <v>0.2084299</v>
      </c>
      <c r="X3547">
        <v>0.97802610000000001</v>
      </c>
      <c r="Y3547">
        <v>6.5440499999999999E-2</v>
      </c>
      <c r="Z3547">
        <v>-1.157849E-2</v>
      </c>
      <c r="AA3547">
        <v>0.99778929999999999</v>
      </c>
      <c r="AB3547">
        <v>32</v>
      </c>
      <c r="AC3547">
        <v>0.38279999999997399</v>
      </c>
      <c r="AD3547">
        <v>-0.23858869999999999</v>
      </c>
      <c r="AE3547">
        <v>-4.9399999999991402E-2</v>
      </c>
      <c r="AF3547">
        <v>3.62561299492506E-2</v>
      </c>
      <c r="AG3547">
        <v>-0.23858869999999999</v>
      </c>
      <c r="AH3547">
        <v>0.27690204628679099</v>
      </c>
      <c r="AI3547">
        <v>130.50870437588301</v>
      </c>
      <c r="AJ3547">
        <v>82.540420973369706</v>
      </c>
      <c r="AK3547">
        <v>0.36730616379853898</v>
      </c>
      <c r="AL3547">
        <v>77.969643637318995</v>
      </c>
      <c r="AM3547">
        <v>89.725832173476405</v>
      </c>
      <c r="AN3547">
        <v>0.99999998903652998</v>
      </c>
    </row>
    <row r="3548" spans="1:40" x14ac:dyDescent="0.25">
      <c r="A3548" t="str">
        <f>"20190303162327624"</f>
        <v>20190303162327624</v>
      </c>
      <c r="B3548" t="str">
        <f>"1551601407618585"</f>
        <v>1551601407618585</v>
      </c>
      <c r="C3548" t="s">
        <v>40</v>
      </c>
      <c r="D3548">
        <v>5.6052429999999998</v>
      </c>
      <c r="E3548">
        <v>0.52805819999999903</v>
      </c>
      <c r="F3548" t="s">
        <v>42</v>
      </c>
      <c r="G3548">
        <v>-277.952</v>
      </c>
      <c r="H3548">
        <v>0.89552469999999995</v>
      </c>
      <c r="I3548">
        <v>215.24979999999999</v>
      </c>
      <c r="J3548">
        <v>-278.3152</v>
      </c>
      <c r="K3548">
        <v>1.1209769999999999</v>
      </c>
      <c r="L3548">
        <v>215.2961</v>
      </c>
      <c r="M3548">
        <v>0.99989410000000001</v>
      </c>
      <c r="N3548">
        <v>-1.444489E-2</v>
      </c>
      <c r="O3548">
        <v>1.78784E-3</v>
      </c>
      <c r="P3548">
        <v>0.98095160000000003</v>
      </c>
      <c r="Q3548">
        <v>0.19423000000000001</v>
      </c>
      <c r="R3548">
        <v>-3.009234E-3</v>
      </c>
      <c r="S3548">
        <v>3.2733759999999998</v>
      </c>
      <c r="T3548">
        <v>-1.0891729999999999</v>
      </c>
      <c r="U3548">
        <v>-0.22029109999999999</v>
      </c>
      <c r="V3548">
        <v>4.8027540000000002E-3</v>
      </c>
      <c r="W3548">
        <v>0.2083786</v>
      </c>
      <c r="X3548">
        <v>0.97803649999999998</v>
      </c>
      <c r="Y3548">
        <v>6.5182989999999996E-2</v>
      </c>
      <c r="Z3548">
        <v>-1.158648E-2</v>
      </c>
      <c r="AA3548">
        <v>0.99780610000000003</v>
      </c>
      <c r="AB3548">
        <v>32</v>
      </c>
      <c r="AC3548">
        <v>0.36320000000000602</v>
      </c>
      <c r="AD3548">
        <v>-0.22545229999999999</v>
      </c>
      <c r="AE3548">
        <v>-4.6300000000002201E-2</v>
      </c>
      <c r="AF3548">
        <v>3.4042102526145201E-2</v>
      </c>
      <c r="AG3548">
        <v>-0.22545229999999999</v>
      </c>
      <c r="AH3548">
        <v>0.26328920514584297</v>
      </c>
      <c r="AI3548">
        <v>130.338665442457</v>
      </c>
      <c r="AJ3548">
        <v>82.632786964088893</v>
      </c>
      <c r="AK3548">
        <v>0.34829414273860598</v>
      </c>
      <c r="AL3548">
        <v>77.972649658800194</v>
      </c>
      <c r="AM3548">
        <v>89.7186451401477</v>
      </c>
      <c r="AN3548">
        <v>1.00000005135809</v>
      </c>
    </row>
    <row r="3549" spans="1:40" x14ac:dyDescent="0.25">
      <c r="A3549" t="str">
        <f>"20190303162327645"</f>
        <v>20190303162327645</v>
      </c>
      <c r="B3549" t="str">
        <f>"1551601407638105"</f>
        <v>1551601407638105</v>
      </c>
      <c r="C3549" t="s">
        <v>40</v>
      </c>
      <c r="D3549">
        <v>5.6303400000000003</v>
      </c>
      <c r="E3549">
        <v>0.52806589999999998</v>
      </c>
      <c r="F3549" t="s">
        <v>42</v>
      </c>
      <c r="G3549">
        <v>-277.40690000000001</v>
      </c>
      <c r="H3549">
        <v>0.81781780000000004</v>
      </c>
      <c r="I3549">
        <v>215.23480000000001</v>
      </c>
      <c r="J3549">
        <v>-277.99579999999997</v>
      </c>
      <c r="K3549">
        <v>1.1209769999999999</v>
      </c>
      <c r="L3549">
        <v>215.29660000000001</v>
      </c>
      <c r="M3549">
        <v>0.99989419999999996</v>
      </c>
      <c r="N3549">
        <v>-1.4442099999999999E-2</v>
      </c>
      <c r="O3549">
        <v>1.7205129999999999E-3</v>
      </c>
      <c r="P3549">
        <v>0.98093459999999999</v>
      </c>
      <c r="Q3549">
        <v>0.1943088</v>
      </c>
      <c r="R3549">
        <v>-3.3764799999999998E-3</v>
      </c>
      <c r="S3549">
        <v>3.2739560000000001</v>
      </c>
      <c r="T3549">
        <v>-1.092787</v>
      </c>
      <c r="U3549">
        <v>-0.22085569999999999</v>
      </c>
      <c r="V3549">
        <v>5.1039960000000004E-3</v>
      </c>
      <c r="W3549">
        <v>0.2084541</v>
      </c>
      <c r="X3549">
        <v>0.97801879999999997</v>
      </c>
      <c r="Y3549">
        <v>6.5252210000000005E-2</v>
      </c>
      <c r="Z3549">
        <v>-1.161042E-2</v>
      </c>
      <c r="AA3549">
        <v>0.99780119999999894</v>
      </c>
      <c r="AB3549">
        <v>32</v>
      </c>
      <c r="AC3549">
        <v>0.58889999999996601</v>
      </c>
      <c r="AD3549">
        <v>-0.30315920000000002</v>
      </c>
      <c r="AE3549">
        <v>-6.1800000000005101E-2</v>
      </c>
      <c r="AF3549">
        <v>4.9767989973484597E-2</v>
      </c>
      <c r="AG3549">
        <v>-0.30315920000000002</v>
      </c>
      <c r="AH3549">
        <v>0.46651057884084901</v>
      </c>
      <c r="AI3549">
        <v>122.869637828371</v>
      </c>
      <c r="AJ3549">
        <v>83.910638605708002</v>
      </c>
      <c r="AK3549">
        <v>0.55858255749805297</v>
      </c>
      <c r="AL3549">
        <v>77.968225680809596</v>
      </c>
      <c r="AM3549">
        <v>89.700992685766806</v>
      </c>
      <c r="AN3549">
        <v>0.99999996786770795</v>
      </c>
    </row>
    <row r="3550" spans="1:40" x14ac:dyDescent="0.25">
      <c r="A3550" t="str">
        <f>"20190303162327667"</f>
        <v>20190303162327667</v>
      </c>
      <c r="B3550" t="str">
        <f>"1551601407658602"</f>
        <v>1551601407658602</v>
      </c>
      <c r="C3550" t="s">
        <v>40</v>
      </c>
      <c r="D3550">
        <v>5.5554220000000001</v>
      </c>
      <c r="E3550">
        <v>0.52808889999999997</v>
      </c>
      <c r="F3550" t="s">
        <v>42</v>
      </c>
      <c r="G3550">
        <v>-277.11559999999997</v>
      </c>
      <c r="H3550">
        <v>0.82629839999999999</v>
      </c>
      <c r="I3550">
        <v>215.23679999999999</v>
      </c>
      <c r="J3550">
        <v>-277.6782</v>
      </c>
      <c r="K3550">
        <v>1.1209789999999999</v>
      </c>
      <c r="L3550">
        <v>215.297</v>
      </c>
      <c r="M3550">
        <v>0.99989439999999996</v>
      </c>
      <c r="N3550">
        <v>-1.443929E-2</v>
      </c>
      <c r="O3550">
        <v>1.653484E-3</v>
      </c>
      <c r="P3550">
        <v>0.98101519999999998</v>
      </c>
      <c r="Q3550">
        <v>0.19388849999999999</v>
      </c>
      <c r="R3550">
        <v>-4.0623769999999998E-3</v>
      </c>
      <c r="S3550">
        <v>3.2747799999999998</v>
      </c>
      <c r="T3550">
        <v>-1.096314</v>
      </c>
      <c r="U3550">
        <v>-0.22151180000000001</v>
      </c>
      <c r="V3550">
        <v>5.7241970000000003E-3</v>
      </c>
      <c r="W3550">
        <v>0.2080321</v>
      </c>
      <c r="X3550">
        <v>0.97810520000000001</v>
      </c>
      <c r="Y3550">
        <v>6.534421E-2</v>
      </c>
      <c r="Z3550">
        <v>-1.1636580000000001E-2</v>
      </c>
      <c r="AA3550">
        <v>0.99779490000000004</v>
      </c>
      <c r="AB3550">
        <v>32</v>
      </c>
      <c r="AC3550">
        <v>0.56260000000003096</v>
      </c>
      <c r="AD3550">
        <v>-0.29468060000000001</v>
      </c>
      <c r="AE3550">
        <v>-6.0200000000008899E-2</v>
      </c>
      <c r="AF3550">
        <v>4.8086982858169001E-2</v>
      </c>
      <c r="AG3550">
        <v>-0.29468060000000001</v>
      </c>
      <c r="AH3550">
        <v>0.44247988467232402</v>
      </c>
      <c r="AI3550">
        <v>123.5076218504</v>
      </c>
      <c r="AJ3550">
        <v>83.797659959618798</v>
      </c>
      <c r="AK3550">
        <v>0.53379533744347696</v>
      </c>
      <c r="AL3550">
        <v>77.992946254354806</v>
      </c>
      <c r="AM3550">
        <v>89.664689866744595</v>
      </c>
      <c r="AN3550">
        <v>0.99999995166437095</v>
      </c>
    </row>
    <row r="3551" spans="1:40" x14ac:dyDescent="0.25">
      <c r="A3551" t="str">
        <f>"20190303162327702"</f>
        <v>20190303162327702</v>
      </c>
      <c r="B3551" t="str">
        <f>"1551601407698617"</f>
        <v>1551601407698617</v>
      </c>
      <c r="C3551" t="s">
        <v>40</v>
      </c>
      <c r="D3551">
        <v>5.6361470000000002</v>
      </c>
      <c r="E3551">
        <v>0.53595319999999902</v>
      </c>
      <c r="F3551" t="s">
        <v>42</v>
      </c>
      <c r="G3551">
        <v>-276.8245</v>
      </c>
      <c r="H3551">
        <v>0.83523060000000005</v>
      </c>
      <c r="I3551">
        <v>215.23859999999999</v>
      </c>
      <c r="J3551">
        <v>-277.18090000000001</v>
      </c>
      <c r="K3551">
        <v>1.120981</v>
      </c>
      <c r="L3551">
        <v>215.29769999999999</v>
      </c>
      <c r="M3551">
        <v>0.99989470000000003</v>
      </c>
      <c r="N3551">
        <v>-1.443472E-2</v>
      </c>
      <c r="O3551">
        <v>1.5486229999999901E-3</v>
      </c>
      <c r="P3551">
        <v>0.98122240000000005</v>
      </c>
      <c r="Q3551">
        <v>0.192824</v>
      </c>
      <c r="R3551">
        <v>-4.6622879999999997E-3</v>
      </c>
      <c r="S3551">
        <v>3.2737120000000002</v>
      </c>
      <c r="T3551">
        <v>-1.0958049999999999</v>
      </c>
      <c r="U3551">
        <v>-0.2238617</v>
      </c>
      <c r="V3551">
        <v>6.2211439999999996E-3</v>
      </c>
      <c r="W3551">
        <v>0.2069667</v>
      </c>
      <c r="X3551">
        <v>0.97832819999999998</v>
      </c>
      <c r="Y3551">
        <v>6.5946710000000006E-2</v>
      </c>
      <c r="Z3551">
        <v>-1.1704600000000001E-2</v>
      </c>
      <c r="AA3551">
        <v>0.99775449999999999</v>
      </c>
      <c r="AB3551">
        <v>32</v>
      </c>
      <c r="AC3551">
        <v>0.35640000000000699</v>
      </c>
      <c r="AD3551">
        <v>-0.28575040000000002</v>
      </c>
      <c r="AE3551">
        <v>-5.9100000000000798E-2</v>
      </c>
      <c r="AF3551">
        <v>3.6694651755126699E-2</v>
      </c>
      <c r="AG3551">
        <v>-0.28575040000000002</v>
      </c>
      <c r="AH3551">
        <v>0.219181550905968</v>
      </c>
      <c r="AI3551">
        <v>142.12730748457199</v>
      </c>
      <c r="AJ3551">
        <v>80.495870642797698</v>
      </c>
      <c r="AK3551">
        <v>0.36199494585578901</v>
      </c>
      <c r="AL3551">
        <v>78.055347826487704</v>
      </c>
      <c r="AM3551">
        <v>89.635663685645298</v>
      </c>
      <c r="AN3551">
        <v>0.99999999222839897</v>
      </c>
    </row>
    <row r="3552" spans="1:40" x14ac:dyDescent="0.25">
      <c r="A3552" t="str">
        <f>"20190303162327724"</f>
        <v>20190303162327724</v>
      </c>
      <c r="B3552" t="str">
        <f>"1551601407718137"</f>
        <v>1551601407718137</v>
      </c>
      <c r="C3552" t="s">
        <v>40</v>
      </c>
      <c r="D3552">
        <v>5.6479119999999998</v>
      </c>
      <c r="E3552">
        <v>0.53600839999999905</v>
      </c>
      <c r="F3552" t="s">
        <v>42</v>
      </c>
      <c r="G3552">
        <v>-276.44600000000003</v>
      </c>
      <c r="H3552">
        <v>1.0334559999999999</v>
      </c>
      <c r="I3552">
        <v>215.22829999999999</v>
      </c>
      <c r="J3552">
        <v>-276.8657</v>
      </c>
      <c r="K3552">
        <v>1.120987</v>
      </c>
      <c r="L3552">
        <v>215.29810000000001</v>
      </c>
      <c r="M3552">
        <v>0.99989479999999997</v>
      </c>
      <c r="N3552">
        <v>-1.44317E-2</v>
      </c>
      <c r="O3552">
        <v>1.4818940000000001E-3</v>
      </c>
      <c r="P3552">
        <v>0.98127589999999998</v>
      </c>
      <c r="Q3552">
        <v>0.19252820000000001</v>
      </c>
      <c r="R3552">
        <v>-5.4991519999999898E-3</v>
      </c>
      <c r="S3552">
        <v>3.1293030000000002</v>
      </c>
      <c r="T3552">
        <v>-0.37284539999999999</v>
      </c>
      <c r="U3552">
        <v>-0.29452509999999998</v>
      </c>
      <c r="V3552">
        <v>6.9926370000000003E-3</v>
      </c>
      <c r="W3552">
        <v>0.20666860000000001</v>
      </c>
      <c r="X3552">
        <v>0.97838599999999998</v>
      </c>
      <c r="Y3552">
        <v>9.4428330000000005E-2</v>
      </c>
      <c r="Z3552">
        <v>-6.4332249999999999E-3</v>
      </c>
      <c r="AA3552">
        <v>0.99551089999999998</v>
      </c>
      <c r="AB3552">
        <v>32</v>
      </c>
      <c r="AC3552">
        <v>0.41970000000003399</v>
      </c>
      <c r="AD3552">
        <v>-8.7531000000000206E-2</v>
      </c>
      <c r="AE3552">
        <v>-6.9800000000014906E-2</v>
      </c>
      <c r="AF3552">
        <v>6.7562362407788595E-2</v>
      </c>
      <c r="AG3552">
        <v>-8.7531000000000206E-2</v>
      </c>
      <c r="AH3552">
        <v>0.402557834088693</v>
      </c>
      <c r="AI3552">
        <v>102.103095236748</v>
      </c>
      <c r="AJ3552">
        <v>80.472687764898893</v>
      </c>
      <c r="AK3552">
        <v>0.41746755390245799</v>
      </c>
      <c r="AL3552">
        <v>78.072805059969099</v>
      </c>
      <c r="AM3552">
        <v>89.590507462188398</v>
      </c>
      <c r="AN3552">
        <v>0.99999998609708596</v>
      </c>
    </row>
    <row r="3553" spans="1:40" x14ac:dyDescent="0.25">
      <c r="A3553" t="str">
        <f>"20190303162327745"</f>
        <v>20190303162327745</v>
      </c>
      <c r="B3553" t="str">
        <f>"1551601407738639"</f>
        <v>1551601407738639</v>
      </c>
      <c r="C3553" t="s">
        <v>40</v>
      </c>
      <c r="D3553">
        <v>5.6707780000000003</v>
      </c>
      <c r="E3553">
        <v>0.53627360000000002</v>
      </c>
      <c r="F3553" t="s">
        <v>42</v>
      </c>
      <c r="G3553">
        <v>-275.8827</v>
      </c>
      <c r="H3553">
        <v>1.0125189999999999</v>
      </c>
      <c r="I3553">
        <v>215.20439999999999</v>
      </c>
      <c r="J3553">
        <v>-276.5575</v>
      </c>
      <c r="K3553">
        <v>1.120987</v>
      </c>
      <c r="L3553">
        <v>215.29849999999999</v>
      </c>
      <c r="M3553">
        <v>0.99989499999999998</v>
      </c>
      <c r="N3553">
        <v>-1.4428659999999999E-2</v>
      </c>
      <c r="O3553">
        <v>1.416774E-3</v>
      </c>
      <c r="P3553">
        <v>0.98130910000000005</v>
      </c>
      <c r="Q3553">
        <v>0.19234979999999999</v>
      </c>
      <c r="R3553">
        <v>-5.8674360000000002E-3</v>
      </c>
      <c r="S3553">
        <v>3.1231990000000001</v>
      </c>
      <c r="T3553">
        <v>-0.34471929999999901</v>
      </c>
      <c r="U3553">
        <v>-0.29708859999999998</v>
      </c>
      <c r="V3553">
        <v>7.2968190000000004E-3</v>
      </c>
      <c r="W3553">
        <v>0.20648710000000001</v>
      </c>
      <c r="X3553">
        <v>0.97842209999999996</v>
      </c>
      <c r="Y3553">
        <v>9.5449129999999993E-2</v>
      </c>
      <c r="Z3553">
        <v>-6.0676159999999996E-3</v>
      </c>
      <c r="AA3553">
        <v>0.99541579999999996</v>
      </c>
      <c r="AB3553">
        <v>32</v>
      </c>
      <c r="AC3553">
        <v>0.67480000000000395</v>
      </c>
      <c r="AD3553">
        <v>-0.10846799999999999</v>
      </c>
      <c r="AE3553">
        <v>-9.4099999999997394E-2</v>
      </c>
      <c r="AF3553">
        <v>9.2706418198163096E-2</v>
      </c>
      <c r="AG3553">
        <v>-0.10846799999999999</v>
      </c>
      <c r="AH3553">
        <v>0.65798937936546598</v>
      </c>
      <c r="AI3553">
        <v>99.270933671135694</v>
      </c>
      <c r="AJ3553">
        <v>81.980186827502905</v>
      </c>
      <c r="AK3553">
        <v>0.67328286058452702</v>
      </c>
      <c r="AL3553">
        <v>78.083433495376497</v>
      </c>
      <c r="AM3553">
        <v>89.572710814713901</v>
      </c>
      <c r="AN3553">
        <v>0.99999998590116901</v>
      </c>
    </row>
    <row r="3554" spans="1:40" x14ac:dyDescent="0.25">
      <c r="A3554" t="str">
        <f>"20190303162327767"</f>
        <v>20190303162327767</v>
      </c>
      <c r="B3554" t="str">
        <f>"1551601407758153"</f>
        <v>1551601407758153</v>
      </c>
      <c r="C3554" t="s">
        <v>40</v>
      </c>
      <c r="D3554">
        <v>5.6506720000000001</v>
      </c>
      <c r="E3554">
        <v>0.53560339999999995</v>
      </c>
      <c r="F3554" t="s">
        <v>42</v>
      </c>
      <c r="G3554">
        <v>-275.59390000000002</v>
      </c>
      <c r="H3554">
        <v>1.0177339999999999</v>
      </c>
      <c r="I3554">
        <v>215.20570000000001</v>
      </c>
      <c r="J3554">
        <v>-276.23270000000002</v>
      </c>
      <c r="K3554">
        <v>1.1209849999999999</v>
      </c>
      <c r="L3554">
        <v>215.2989</v>
      </c>
      <c r="M3554">
        <v>0.99989519999999998</v>
      </c>
      <c r="N3554">
        <v>-1.442541E-2</v>
      </c>
      <c r="O3554">
        <v>1.34808E-3</v>
      </c>
      <c r="P3554">
        <v>0.98140830000000001</v>
      </c>
      <c r="Q3554">
        <v>0.1918367</v>
      </c>
      <c r="R3554">
        <v>-6.0750939999999996E-3</v>
      </c>
      <c r="S3554">
        <v>3.1209410000000002</v>
      </c>
      <c r="T3554">
        <v>-0.33448339999999999</v>
      </c>
      <c r="U3554">
        <v>-0.30029299999999998</v>
      </c>
      <c r="V3554">
        <v>7.4369400000000004E-3</v>
      </c>
      <c r="W3554">
        <v>0.20597289999999999</v>
      </c>
      <c r="X3554">
        <v>0.97852950000000005</v>
      </c>
      <c r="Y3554">
        <v>9.6490400000000004E-2</v>
      </c>
      <c r="Z3554">
        <v>-5.9683039999999998E-3</v>
      </c>
      <c r="AA3554">
        <v>0.99531599999999998</v>
      </c>
      <c r="AB3554">
        <v>32</v>
      </c>
      <c r="AC3554">
        <v>0.63880000000000303</v>
      </c>
      <c r="AD3554">
        <v>-0.103251</v>
      </c>
      <c r="AE3554">
        <v>-9.3199999999995897E-2</v>
      </c>
      <c r="AF3554">
        <v>9.1715030353982097E-2</v>
      </c>
      <c r="AG3554">
        <v>-0.103251</v>
      </c>
      <c r="AH3554">
        <v>0.62274359413217995</v>
      </c>
      <c r="AI3554">
        <v>99.315317225317202</v>
      </c>
      <c r="AJ3554">
        <v>81.621948345122604</v>
      </c>
      <c r="AK3554">
        <v>0.63787302798166501</v>
      </c>
      <c r="AL3554">
        <v>78.113543146499097</v>
      </c>
      <c r="AM3554">
        <v>89.5645536791951</v>
      </c>
      <c r="AN3554">
        <v>1.0000000629906001</v>
      </c>
    </row>
    <row r="3555" spans="1:40" x14ac:dyDescent="0.25">
      <c r="A3555" t="str">
        <f>"20190303162327791"</f>
        <v>20190303162327791</v>
      </c>
      <c r="B3555" t="str">
        <f>"1551601407778649"</f>
        <v>1551601407778649</v>
      </c>
      <c r="C3555" t="s">
        <v>40</v>
      </c>
      <c r="D3555">
        <v>5.6448850000000004</v>
      </c>
      <c r="E3555">
        <v>0.53544499999999995</v>
      </c>
      <c r="F3555" t="s">
        <v>42</v>
      </c>
      <c r="G3555">
        <v>-275.30500000000001</v>
      </c>
      <c r="H3555">
        <v>1.024025</v>
      </c>
      <c r="I3555">
        <v>215.21080000000001</v>
      </c>
      <c r="J3555">
        <v>-275.90600000000001</v>
      </c>
      <c r="K3555">
        <v>1.120986</v>
      </c>
      <c r="L3555">
        <v>215.29929999999999</v>
      </c>
      <c r="M3555">
        <v>0.99989530000000004</v>
      </c>
      <c r="N3555">
        <v>-1.44221E-2</v>
      </c>
      <c r="O3555">
        <v>1.279147E-3</v>
      </c>
      <c r="P3555">
        <v>0.98135680000000003</v>
      </c>
      <c r="Q3555">
        <v>0.19209499999999999</v>
      </c>
      <c r="R3555">
        <v>-6.2194390000000002E-3</v>
      </c>
      <c r="S3555">
        <v>3.118744</v>
      </c>
      <c r="T3555">
        <v>-0.32609500000000002</v>
      </c>
      <c r="U3555">
        <v>-0.29553220000000002</v>
      </c>
      <c r="V3555">
        <v>7.5136600000000001E-3</v>
      </c>
      <c r="W3555">
        <v>0.20622670000000001</v>
      </c>
      <c r="X3555">
        <v>0.9784754</v>
      </c>
      <c r="Y3555">
        <v>9.502062E-2</v>
      </c>
      <c r="Z3555">
        <v>-5.7467739999999996E-3</v>
      </c>
      <c r="AA3555">
        <v>0.99545870000000003</v>
      </c>
      <c r="AB3555">
        <v>32</v>
      </c>
      <c r="AC3555">
        <v>0.60099999999999898</v>
      </c>
      <c r="AD3555">
        <v>-9.6961000000000006E-2</v>
      </c>
      <c r="AE3555">
        <v>-8.8499999999981996E-2</v>
      </c>
      <c r="AF3555">
        <v>8.70510747239511E-2</v>
      </c>
      <c r="AG3555">
        <v>-9.6961000000000006E-2</v>
      </c>
      <c r="AH3555">
        <v>0.58595850137569405</v>
      </c>
      <c r="AI3555">
        <v>99.295620690160305</v>
      </c>
      <c r="AJ3555">
        <v>81.549838474213004</v>
      </c>
      <c r="AK3555">
        <v>0.60027218031993101</v>
      </c>
      <c r="AL3555">
        <v>78.098681765220107</v>
      </c>
      <c r="AM3555">
        <v>89.560037436481295</v>
      </c>
      <c r="AN3555">
        <v>1.0000000076423201</v>
      </c>
    </row>
    <row r="3556" spans="1:40" x14ac:dyDescent="0.25">
      <c r="A3556" t="str">
        <f>"20190303162327815"</f>
        <v>20190303162327815</v>
      </c>
      <c r="B3556" t="str">
        <f>"1551601407807930"</f>
        <v>1551601407807930</v>
      </c>
      <c r="C3556" t="s">
        <v>40</v>
      </c>
      <c r="D3556">
        <v>5.7944899999999997</v>
      </c>
      <c r="E3556">
        <v>0.53528359999999997</v>
      </c>
      <c r="F3556" t="s">
        <v>42</v>
      </c>
      <c r="G3556">
        <v>-275.01650000000001</v>
      </c>
      <c r="H3556">
        <v>1.030084</v>
      </c>
      <c r="I3556">
        <v>215.21549999999999</v>
      </c>
      <c r="J3556">
        <v>-275.56830000000002</v>
      </c>
      <c r="K3556">
        <v>1.120989</v>
      </c>
      <c r="L3556">
        <v>215.2996</v>
      </c>
      <c r="M3556">
        <v>0.99989550000000005</v>
      </c>
      <c r="N3556">
        <v>-1.441864E-2</v>
      </c>
      <c r="O3556">
        <v>1.2077730000000001E-3</v>
      </c>
      <c r="P3556">
        <v>0.98134670000000002</v>
      </c>
      <c r="Q3556">
        <v>0.1921331</v>
      </c>
      <c r="R3556">
        <v>-6.6170700000000001E-3</v>
      </c>
      <c r="S3556">
        <v>3.1174620000000002</v>
      </c>
      <c r="T3556">
        <v>-0.31855739999999999</v>
      </c>
      <c r="U3556">
        <v>-0.29389949999999998</v>
      </c>
      <c r="V3556">
        <v>7.8410579999999997E-3</v>
      </c>
      <c r="W3556">
        <v>0.20626130000000001</v>
      </c>
      <c r="X3556">
        <v>0.97846560000000005</v>
      </c>
      <c r="Y3556">
        <v>9.4499509999999995E-2</v>
      </c>
      <c r="Z3556">
        <v>-5.5954139999999999E-3</v>
      </c>
      <c r="AA3556">
        <v>0.99550919999999998</v>
      </c>
      <c r="AB3556">
        <v>32</v>
      </c>
      <c r="AC3556">
        <v>0.55180000000001395</v>
      </c>
      <c r="AD3556">
        <v>-9.0905E-2</v>
      </c>
      <c r="AE3556">
        <v>-8.4100000000006503E-2</v>
      </c>
      <c r="AF3556">
        <v>8.2576204034525799E-2</v>
      </c>
      <c r="AG3556">
        <v>-9.0905E-2</v>
      </c>
      <c r="AH3556">
        <v>0.53744286762289595</v>
      </c>
      <c r="AI3556">
        <v>99.491032693126598</v>
      </c>
      <c r="AJ3556">
        <v>81.265014102754094</v>
      </c>
      <c r="AK3556">
        <v>0.55129609508545796</v>
      </c>
      <c r="AL3556">
        <v>78.096656505352698</v>
      </c>
      <c r="AM3556">
        <v>89.540862842999701</v>
      </c>
      <c r="AN3556">
        <v>1.0000000682257999</v>
      </c>
    </row>
    <row r="3557" spans="1:40" x14ac:dyDescent="0.25">
      <c r="A3557" t="str">
        <f>"20190303162327837"</f>
        <v>20190303162327837</v>
      </c>
      <c r="B3557" t="str">
        <f>"1551601407828425"</f>
        <v>1551601407828425</v>
      </c>
      <c r="C3557" t="s">
        <v>40</v>
      </c>
      <c r="D3557">
        <v>5.6745039999999998</v>
      </c>
      <c r="E3557">
        <v>0.53526569999999996</v>
      </c>
      <c r="F3557" t="s">
        <v>42</v>
      </c>
      <c r="G3557">
        <v>-274.72770000000003</v>
      </c>
      <c r="H3557">
        <v>1.0373559999999999</v>
      </c>
      <c r="I3557">
        <v>215.22030000000001</v>
      </c>
      <c r="J3557">
        <v>-275.25729999999999</v>
      </c>
      <c r="K3557">
        <v>1.1209849999999999</v>
      </c>
      <c r="L3557">
        <v>215.29990000000001</v>
      </c>
      <c r="M3557">
        <v>0.9998956</v>
      </c>
      <c r="N3557">
        <v>-1.44154E-2</v>
      </c>
      <c r="O3557">
        <v>1.1421179999999999E-3</v>
      </c>
      <c r="P3557">
        <v>0.98133879999999996</v>
      </c>
      <c r="Q3557">
        <v>0.19213949999999999</v>
      </c>
      <c r="R3557">
        <v>-7.5376740000000003E-3</v>
      </c>
      <c r="S3557">
        <v>3.1157840000000001</v>
      </c>
      <c r="T3557">
        <v>-0.31005929999999998</v>
      </c>
      <c r="U3557">
        <v>-0.29371639999999999</v>
      </c>
      <c r="V3557">
        <v>8.6971659999999992E-3</v>
      </c>
      <c r="W3557">
        <v>0.20626410000000001</v>
      </c>
      <c r="X3557">
        <v>0.97845769999999999</v>
      </c>
      <c r="Y3557">
        <v>9.4453999999999996E-2</v>
      </c>
      <c r="Z3557">
        <v>-5.4587819999999997E-3</v>
      </c>
      <c r="AA3557">
        <v>0.99551429999999996</v>
      </c>
      <c r="AB3557">
        <v>32</v>
      </c>
      <c r="AC3557">
        <v>0.52959999999995899</v>
      </c>
      <c r="AD3557">
        <v>-8.3629000000000106E-2</v>
      </c>
      <c r="AE3557">
        <v>-7.9599999999999199E-2</v>
      </c>
      <c r="AF3557">
        <v>7.8295666396408697E-2</v>
      </c>
      <c r="AG3557">
        <v>-8.3629000000000106E-2</v>
      </c>
      <c r="AH3557">
        <v>0.516904219155772</v>
      </c>
      <c r="AI3557">
        <v>99.088240987963403</v>
      </c>
      <c r="AJ3557">
        <v>81.386860795002306</v>
      </c>
      <c r="AK3557">
        <v>0.52944687438731397</v>
      </c>
      <c r="AL3557">
        <v>78.096491669242795</v>
      </c>
      <c r="AM3557">
        <v>89.490731400426895</v>
      </c>
      <c r="AN3557">
        <v>0.99999999516726501</v>
      </c>
    </row>
    <row r="3558" spans="1:40" x14ac:dyDescent="0.25">
      <c r="A3558" t="str">
        <f>"20190303162327856"</f>
        <v>20190303162327856</v>
      </c>
      <c r="B3558" t="str">
        <f>"1551601407847947"</f>
        <v>1551601407847947</v>
      </c>
      <c r="C3558" t="s">
        <v>40</v>
      </c>
      <c r="D3558">
        <v>5.4189949999999998</v>
      </c>
      <c r="E3558">
        <v>0.53522939999999997</v>
      </c>
      <c r="F3558" t="s">
        <v>42</v>
      </c>
      <c r="G3558">
        <v>-274.44099999999997</v>
      </c>
      <c r="H3558">
        <v>1.041123</v>
      </c>
      <c r="I3558">
        <v>215.22219999999999</v>
      </c>
      <c r="J3558">
        <v>-274.96480000000003</v>
      </c>
      <c r="K3558">
        <v>1.1209819999999999</v>
      </c>
      <c r="L3558">
        <v>215.30019999999999</v>
      </c>
      <c r="M3558">
        <v>0.9998956</v>
      </c>
      <c r="N3558">
        <v>-1.4412329999999999E-2</v>
      </c>
      <c r="O3558">
        <v>1.080098E-3</v>
      </c>
      <c r="P3558">
        <v>0.98136820000000002</v>
      </c>
      <c r="Q3558">
        <v>0.19196389999999999</v>
      </c>
      <c r="R3558">
        <v>-8.1470550000000003E-3</v>
      </c>
      <c r="S3558">
        <v>3.1144099999999999</v>
      </c>
      <c r="T3558">
        <v>-0.3046315</v>
      </c>
      <c r="U3558">
        <v>-0.29644779999999998</v>
      </c>
      <c r="V3558">
        <v>9.2456689999999998E-3</v>
      </c>
      <c r="W3558">
        <v>0.20608580000000001</v>
      </c>
      <c r="X3558">
        <v>0.97849019999999998</v>
      </c>
      <c r="Y3558">
        <v>9.5311090000000001E-2</v>
      </c>
      <c r="Z3558">
        <v>-5.4197859999999898E-3</v>
      </c>
      <c r="AA3558">
        <v>0.99543280000000001</v>
      </c>
      <c r="AB3558">
        <v>32</v>
      </c>
      <c r="AC3558">
        <v>0.523800000000051</v>
      </c>
      <c r="AD3558">
        <v>-7.9858999999999902E-2</v>
      </c>
      <c r="AE3558">
        <v>-7.80000000000029E-2</v>
      </c>
      <c r="AF3558">
        <v>7.6818902109640499E-2</v>
      </c>
      <c r="AG3558">
        <v>-7.9858999999999902E-2</v>
      </c>
      <c r="AH3558">
        <v>0.51207091459913401</v>
      </c>
      <c r="AI3558">
        <v>98.767490532510493</v>
      </c>
      <c r="AJ3558">
        <v>81.468329977000906</v>
      </c>
      <c r="AK3558">
        <v>0.52392291912143396</v>
      </c>
      <c r="AL3558">
        <v>78.106931332192701</v>
      </c>
      <c r="AM3558">
        <v>89.458633261757896</v>
      </c>
      <c r="AN3558">
        <v>0.99999995542646702</v>
      </c>
    </row>
    <row r="3559" spans="1:40" x14ac:dyDescent="0.25">
      <c r="A3559" t="str">
        <f>"20190303162327881"</f>
        <v>20190303162327881</v>
      </c>
      <c r="B3559" t="str">
        <f>"1551601407868442"</f>
        <v>1551601407868442</v>
      </c>
      <c r="C3559" t="s">
        <v>40</v>
      </c>
      <c r="D3559">
        <v>5.673305</v>
      </c>
      <c r="E3559">
        <v>0.53526439999999997</v>
      </c>
      <c r="F3559" t="s">
        <v>42</v>
      </c>
      <c r="G3559">
        <v>-274.15559999999999</v>
      </c>
      <c r="H3559">
        <v>1.042759</v>
      </c>
      <c r="I3559">
        <v>215.2226</v>
      </c>
      <c r="J3559">
        <v>-274.63279999999997</v>
      </c>
      <c r="K3559">
        <v>1.1209819999999999</v>
      </c>
      <c r="L3559">
        <v>215.3005</v>
      </c>
      <c r="M3559">
        <v>0.99989570000000005</v>
      </c>
      <c r="N3559">
        <v>-1.4408839999999999E-2</v>
      </c>
      <c r="O3559">
        <v>1.0099169999999999E-3</v>
      </c>
      <c r="P3559">
        <v>0.9815294</v>
      </c>
      <c r="Q3559">
        <v>0.1911177</v>
      </c>
      <c r="R3559">
        <v>-8.6169790000000003E-3</v>
      </c>
      <c r="S3559">
        <v>3.1134029999999999</v>
      </c>
      <c r="T3559">
        <v>-0.3010564</v>
      </c>
      <c r="U3559">
        <v>-0.29833979999999999</v>
      </c>
      <c r="V3559">
        <v>9.6465100000000005E-3</v>
      </c>
      <c r="W3559">
        <v>0.2052389</v>
      </c>
      <c r="X3559">
        <v>0.97866430000000004</v>
      </c>
      <c r="Y3559">
        <v>9.5879409999999998E-2</v>
      </c>
      <c r="Z3559">
        <v>-5.3912600000000001E-3</v>
      </c>
      <c r="AA3559">
        <v>0.9953784</v>
      </c>
      <c r="AB3559">
        <v>32</v>
      </c>
      <c r="AC3559">
        <v>0.47719999999998203</v>
      </c>
      <c r="AD3559">
        <v>-7.8222999999999904E-2</v>
      </c>
      <c r="AE3559">
        <v>-7.7899999999999595E-2</v>
      </c>
      <c r="AF3559">
        <v>7.6382808798436799E-2</v>
      </c>
      <c r="AG3559">
        <v>-7.8222999999999904E-2</v>
      </c>
      <c r="AH3559">
        <v>0.46495208802307803</v>
      </c>
      <c r="AI3559">
        <v>99.425908689779106</v>
      </c>
      <c r="AJ3559">
        <v>80.6707215886087</v>
      </c>
      <c r="AK3559">
        <v>0.47763334825570802</v>
      </c>
      <c r="AL3559">
        <v>78.156514857666707</v>
      </c>
      <c r="AM3559">
        <v>89.435264562706493</v>
      </c>
      <c r="AN3559">
        <v>0.99999993666143805</v>
      </c>
    </row>
    <row r="3560" spans="1:40" x14ac:dyDescent="0.25">
      <c r="A3560" t="str">
        <f>"20190303162327902"</f>
        <v>20190303162327902</v>
      </c>
      <c r="B3560" t="str">
        <f>"1551601407897722"</f>
        <v>1551601407897722</v>
      </c>
      <c r="C3560" t="s">
        <v>40</v>
      </c>
      <c r="D3560">
        <v>5.8051380000000004</v>
      </c>
      <c r="E3560">
        <v>0.5346516</v>
      </c>
      <c r="F3560" t="s">
        <v>42</v>
      </c>
      <c r="G3560">
        <v>-273.8682</v>
      </c>
      <c r="H3560">
        <v>1.0468959999999901</v>
      </c>
      <c r="I3560">
        <v>215.22640000000001</v>
      </c>
      <c r="J3560">
        <v>-274.32100000000003</v>
      </c>
      <c r="K3560">
        <v>1.1209800000000001</v>
      </c>
      <c r="L3560">
        <v>215.30070000000001</v>
      </c>
      <c r="M3560">
        <v>0.99989589999999995</v>
      </c>
      <c r="N3560">
        <v>-1.44055E-2</v>
      </c>
      <c r="O3560">
        <v>9.4372620000000005E-4</v>
      </c>
      <c r="P3560">
        <v>0.98158290000000004</v>
      </c>
      <c r="Q3560">
        <v>0.19078919999999999</v>
      </c>
      <c r="R3560">
        <v>-9.7255250000000005E-3</v>
      </c>
      <c r="S3560">
        <v>3.112549</v>
      </c>
      <c r="T3560">
        <v>-0.30161979999999999</v>
      </c>
      <c r="U3560">
        <v>-0.30108639999999998</v>
      </c>
      <c r="V3560">
        <v>1.069004E-2</v>
      </c>
      <c r="W3560">
        <v>0.20490710000000001</v>
      </c>
      <c r="X3560">
        <v>0.97872300000000001</v>
      </c>
      <c r="Y3560">
        <v>9.6703520000000001E-2</v>
      </c>
      <c r="Z3560">
        <v>-5.4412790000000003E-3</v>
      </c>
      <c r="AA3560">
        <v>0.99529840000000003</v>
      </c>
      <c r="AB3560">
        <v>32</v>
      </c>
      <c r="AC3560">
        <v>0.45279999999996701</v>
      </c>
      <c r="AD3560">
        <v>-7.4083999999999997E-2</v>
      </c>
      <c r="AE3560">
        <v>-7.4299999999993802E-2</v>
      </c>
      <c r="AF3560">
        <v>7.2828873972545796E-2</v>
      </c>
      <c r="AG3560">
        <v>-7.4083999999999997E-2</v>
      </c>
      <c r="AH3560">
        <v>0.441228022613534</v>
      </c>
      <c r="AI3560">
        <v>99.406337497896203</v>
      </c>
      <c r="AJ3560">
        <v>80.627296546455796</v>
      </c>
      <c r="AK3560">
        <v>0.45329311916193699</v>
      </c>
      <c r="AL3560">
        <v>78.175938617573294</v>
      </c>
      <c r="AM3560">
        <v>89.374215360429204</v>
      </c>
      <c r="AN3560">
        <v>0.99999995365730399</v>
      </c>
    </row>
    <row r="3561" spans="1:40" x14ac:dyDescent="0.25">
      <c r="A3561" t="str">
        <f>"20190303162327925"</f>
        <v>20190303162327925</v>
      </c>
      <c r="B3561" t="str">
        <f>"1551601407918217"</f>
        <v>1551601407918217</v>
      </c>
      <c r="C3561" t="s">
        <v>40</v>
      </c>
      <c r="D3561">
        <v>5.6433929999999997</v>
      </c>
      <c r="E3561">
        <v>0.5346516</v>
      </c>
      <c r="F3561" t="s">
        <v>42</v>
      </c>
      <c r="G3561">
        <v>-273.58229999999998</v>
      </c>
      <c r="H3561">
        <v>1.04924</v>
      </c>
      <c r="I3561">
        <v>215.2295</v>
      </c>
      <c r="J3561">
        <v>-274.00420000000003</v>
      </c>
      <c r="K3561">
        <v>1.120981</v>
      </c>
      <c r="L3561">
        <v>215.30090000000001</v>
      </c>
      <c r="M3561">
        <v>0.99989600000000001</v>
      </c>
      <c r="N3561">
        <v>-1.4402109999999999E-2</v>
      </c>
      <c r="O3561">
        <v>8.7634379999999997E-4</v>
      </c>
      <c r="P3561">
        <v>0.98144299999999995</v>
      </c>
      <c r="Q3561">
        <v>0.19147149999999999</v>
      </c>
      <c r="R3561">
        <v>-1.042562E-2</v>
      </c>
      <c r="S3561">
        <v>3.1120909999999999</v>
      </c>
      <c r="T3561">
        <v>-0.30235000000000001</v>
      </c>
      <c r="U3561">
        <v>-0.29939270000000001</v>
      </c>
      <c r="V3561">
        <v>1.13238E-2</v>
      </c>
      <c r="W3561">
        <v>0.20558419999999999</v>
      </c>
      <c r="X3561">
        <v>0.9785739</v>
      </c>
      <c r="Y3561">
        <v>9.6114660000000005E-2</v>
      </c>
      <c r="Z3561">
        <v>-5.4151009999999899E-3</v>
      </c>
      <c r="AA3561">
        <v>0.99535549999999995</v>
      </c>
      <c r="AB3561">
        <v>32</v>
      </c>
      <c r="AC3561">
        <v>0.42190000000005001</v>
      </c>
      <c r="AD3561">
        <v>-7.1740999999999999E-2</v>
      </c>
      <c r="AE3561">
        <v>-7.1400000000011205E-2</v>
      </c>
      <c r="AF3561">
        <v>6.98074905222935E-2</v>
      </c>
      <c r="AG3561">
        <v>-7.1740999999999999E-2</v>
      </c>
      <c r="AH3561">
        <v>0.41030384709027701</v>
      </c>
      <c r="AI3561">
        <v>99.780054277921394</v>
      </c>
      <c r="AJ3561">
        <v>80.344376721815095</v>
      </c>
      <c r="AK3561">
        <v>0.422337665560511</v>
      </c>
      <c r="AL3561">
        <v>78.136300124674506</v>
      </c>
      <c r="AM3561">
        <v>89.337017888070307</v>
      </c>
      <c r="AN3561">
        <v>0.99999998474864404</v>
      </c>
    </row>
    <row r="3562" spans="1:40" x14ac:dyDescent="0.25">
      <c r="A3562" t="str">
        <f>"20190303162327946"</f>
        <v>20190303162327946</v>
      </c>
      <c r="B3562" t="str">
        <f>"1551601407937737"</f>
        <v>1551601407937737</v>
      </c>
      <c r="C3562" t="s">
        <v>40</v>
      </c>
      <c r="D3562">
        <v>5.5964559999999999</v>
      </c>
      <c r="E3562">
        <v>0.51208350000000002</v>
      </c>
      <c r="F3562" t="s">
        <v>42</v>
      </c>
      <c r="G3562">
        <v>-273.02870000000001</v>
      </c>
      <c r="H3562">
        <v>1.026802</v>
      </c>
      <c r="I3562">
        <v>215.20660000000001</v>
      </c>
      <c r="J3562">
        <v>-273.69760000000002</v>
      </c>
      <c r="K3562">
        <v>1.1209830000000001</v>
      </c>
      <c r="L3562">
        <v>215.30109999999999</v>
      </c>
      <c r="M3562">
        <v>0.99989609999999995</v>
      </c>
      <c r="N3562">
        <v>-1.439882E-2</v>
      </c>
      <c r="O3562">
        <v>8.1146369999999905E-4</v>
      </c>
      <c r="P3562">
        <v>0.9814638</v>
      </c>
      <c r="Q3562">
        <v>0.19136629999999999</v>
      </c>
      <c r="R3562">
        <v>-1.0376929999999999E-2</v>
      </c>
      <c r="S3562">
        <v>3.1121829999999999</v>
      </c>
      <c r="T3562">
        <v>-0.30063190000000001</v>
      </c>
      <c r="U3562">
        <v>-0.30012509999999998</v>
      </c>
      <c r="V3562">
        <v>1.121159E-2</v>
      </c>
      <c r="W3562">
        <v>0.2054764</v>
      </c>
      <c r="X3562">
        <v>0.97859779999999996</v>
      </c>
      <c r="Y3562">
        <v>9.6284250000000002E-2</v>
      </c>
      <c r="Z3562">
        <v>-5.3920490000000003E-3</v>
      </c>
      <c r="AA3562">
        <v>0.99533930000000004</v>
      </c>
      <c r="AB3562">
        <v>32</v>
      </c>
      <c r="AC3562">
        <v>0.66890000000000704</v>
      </c>
      <c r="AD3562">
        <v>-9.4181000000000001E-2</v>
      </c>
      <c r="AE3562">
        <v>-9.4499999999982195E-2</v>
      </c>
      <c r="AF3562">
        <v>9.3230720185364699E-2</v>
      </c>
      <c r="AG3562">
        <v>-9.4181000000000001E-2</v>
      </c>
      <c r="AH3562">
        <v>0.656071260234386</v>
      </c>
      <c r="AI3562">
        <v>98.0889973580597</v>
      </c>
      <c r="AJ3562">
        <v>81.912159308723403</v>
      </c>
      <c r="AK3562">
        <v>0.669321691306069</v>
      </c>
      <c r="AL3562">
        <v>78.142610961003896</v>
      </c>
      <c r="AM3562">
        <v>89.3436029744433</v>
      </c>
      <c r="AN3562">
        <v>0.99999995243606199</v>
      </c>
    </row>
    <row r="3563" spans="1:40" x14ac:dyDescent="0.25">
      <c r="A3563" t="str">
        <f>"20190303162327992"</f>
        <v>20190303162327992</v>
      </c>
      <c r="B3563" t="str">
        <f>"1551601407977754"</f>
        <v>1551601407977754</v>
      </c>
      <c r="C3563" t="s">
        <v>40</v>
      </c>
      <c r="D3563">
        <v>5.3935149999999998</v>
      </c>
      <c r="E3563">
        <v>0.51243439999999996</v>
      </c>
      <c r="F3563" t="s">
        <v>42</v>
      </c>
      <c r="G3563">
        <v>-272.733</v>
      </c>
      <c r="H3563">
        <v>1.047555</v>
      </c>
      <c r="I3563">
        <v>215.26339999999999</v>
      </c>
      <c r="J3563">
        <v>-273.05599999999998</v>
      </c>
      <c r="K3563">
        <v>1.120992</v>
      </c>
      <c r="L3563">
        <v>215.3015</v>
      </c>
      <c r="M3563">
        <v>0.99989620000000001</v>
      </c>
      <c r="N3563">
        <v>-1.4391899999999999E-2</v>
      </c>
      <c r="O3563">
        <v>6.7556789999999995E-4</v>
      </c>
      <c r="P3563">
        <v>0.98143349999999996</v>
      </c>
      <c r="Q3563">
        <v>0.191549</v>
      </c>
      <c r="R3563">
        <v>-9.8725319999999998E-3</v>
      </c>
      <c r="S3563">
        <v>3.1013790000000001</v>
      </c>
      <c r="T3563">
        <v>-0.23604800000000001</v>
      </c>
      <c r="U3563">
        <v>-0.1214447</v>
      </c>
      <c r="V3563">
        <v>1.0573549999999999E-2</v>
      </c>
      <c r="W3563">
        <v>0.20565140000000001</v>
      </c>
      <c r="X3563">
        <v>0.9785682</v>
      </c>
      <c r="Y3563">
        <v>3.9665819999999997E-2</v>
      </c>
      <c r="Z3563">
        <v>-1.834404E-3</v>
      </c>
      <c r="AA3563">
        <v>0.99921130000000002</v>
      </c>
      <c r="AB3563">
        <v>32</v>
      </c>
      <c r="AC3563">
        <v>0.32299999999997903</v>
      </c>
      <c r="AD3563">
        <v>-7.3436999999999905E-2</v>
      </c>
      <c r="AE3563">
        <v>-3.8100000000014199E-2</v>
      </c>
      <c r="AF3563">
        <v>3.6459418646195202E-2</v>
      </c>
      <c r="AG3563">
        <v>-7.3436999999999905E-2</v>
      </c>
      <c r="AH3563">
        <v>0.307306818665112</v>
      </c>
      <c r="AI3563">
        <v>103.34966018632601</v>
      </c>
      <c r="AJ3563">
        <v>83.233956153750299</v>
      </c>
      <c r="AK3563">
        <v>0.31805622612219098</v>
      </c>
      <c r="AL3563">
        <v>78.132366086668597</v>
      </c>
      <c r="AM3563">
        <v>89.380936132508495</v>
      </c>
      <c r="AN3563">
        <v>1.0000000101663999</v>
      </c>
    </row>
    <row r="3564" spans="1:40" x14ac:dyDescent="0.25">
      <c r="A3564" t="str">
        <f>"20190303162328015"</f>
        <v>20190303162328015</v>
      </c>
      <c r="B3564" t="str">
        <f>"1551601408008010"</f>
        <v>1551601408008010</v>
      </c>
      <c r="C3564" t="s">
        <v>40</v>
      </c>
      <c r="D3564">
        <v>5.4962770000000001</v>
      </c>
      <c r="E3564">
        <v>0.51241669999999995</v>
      </c>
      <c r="F3564" t="s">
        <v>47</v>
      </c>
      <c r="G3564">
        <v>-256.98399999999998</v>
      </c>
      <c r="H3564" s="1">
        <v>2.1773989999999999E-6</v>
      </c>
      <c r="I3564">
        <v>214.67</v>
      </c>
      <c r="J3564">
        <v>-272.72910000000002</v>
      </c>
      <c r="K3564">
        <v>1.1209880000000001</v>
      </c>
      <c r="L3564">
        <v>215.30160000000001</v>
      </c>
      <c r="M3564">
        <v>0.99989640000000002</v>
      </c>
      <c r="N3564">
        <v>-1.4388369999999999E-2</v>
      </c>
      <c r="O3564">
        <v>6.0616040000000004E-4</v>
      </c>
      <c r="P3564">
        <v>0.9814311</v>
      </c>
      <c r="Q3564">
        <v>0.19153990000000001</v>
      </c>
      <c r="R3564">
        <v>-1.0288540000000001E-2</v>
      </c>
      <c r="S3564">
        <v>3.0977169999999998</v>
      </c>
      <c r="T3564">
        <v>-0.21606</v>
      </c>
      <c r="U3564">
        <v>-0.1217041</v>
      </c>
      <c r="V3564">
        <v>1.092138E-2</v>
      </c>
      <c r="W3564">
        <v>0.2056393</v>
      </c>
      <c r="X3564">
        <v>0.97856690000000002</v>
      </c>
      <c r="Y3564">
        <v>3.9746469999999999E-2</v>
      </c>
      <c r="Z3564">
        <v>-1.703895E-3</v>
      </c>
      <c r="AA3564">
        <v>0.99920830000000005</v>
      </c>
      <c r="AB3564">
        <v>32</v>
      </c>
      <c r="AC3564">
        <v>15.7450999999999</v>
      </c>
      <c r="AD3564">
        <v>-1.1209858226010001</v>
      </c>
      <c r="AE3564">
        <v>-0.63160000000002003</v>
      </c>
      <c r="AF3564">
        <v>0.63791661865409999</v>
      </c>
      <c r="AG3564">
        <v>-1.1209858226010001</v>
      </c>
      <c r="AH3564">
        <v>15.6654360487353</v>
      </c>
      <c r="AI3564">
        <v>94.089611678145204</v>
      </c>
      <c r="AJ3564">
        <v>87.668130829437899</v>
      </c>
      <c r="AK3564">
        <v>15.7184424617659</v>
      </c>
      <c r="AL3564">
        <v>78.1330742402087</v>
      </c>
      <c r="AM3564">
        <v>89.360572075779402</v>
      </c>
      <c r="AN3564">
        <v>0.99999998801060197</v>
      </c>
    </row>
    <row r="3565" spans="1:40" x14ac:dyDescent="0.25">
      <c r="A3565" t="str">
        <f>"20190303162328058"</f>
        <v>20190303162328058</v>
      </c>
      <c r="B3565" t="str">
        <f>"1551601408048026"</f>
        <v>1551601408048026</v>
      </c>
      <c r="C3565" t="s">
        <v>40</v>
      </c>
      <c r="D3565">
        <v>5.3817659999999998</v>
      </c>
      <c r="E3565">
        <v>0.51197139999999997</v>
      </c>
      <c r="F3565" t="s">
        <v>47</v>
      </c>
      <c r="G3565">
        <v>-255.5121</v>
      </c>
      <c r="H3565" s="1">
        <v>1.396304E-6</v>
      </c>
      <c r="I3565">
        <v>214.6207</v>
      </c>
      <c r="J3565">
        <v>-272.1207</v>
      </c>
      <c r="K3565">
        <v>1.1209849999999999</v>
      </c>
      <c r="L3565">
        <v>215.30179999999999</v>
      </c>
      <c r="M3565">
        <v>0.99989660000000002</v>
      </c>
      <c r="N3565">
        <v>-1.438182E-2</v>
      </c>
      <c r="O3565">
        <v>4.771159E-4</v>
      </c>
      <c r="P3565">
        <v>0.98146999999999995</v>
      </c>
      <c r="Q3565">
        <v>0.19127259999999999</v>
      </c>
      <c r="R3565">
        <v>-1.147248E-2</v>
      </c>
      <c r="S3565">
        <v>3.0948180000000001</v>
      </c>
      <c r="T3565">
        <v>-0.2015015</v>
      </c>
      <c r="U3565">
        <v>-0.12239070000000001</v>
      </c>
      <c r="V3565">
        <v>1.1978630000000001E-2</v>
      </c>
      <c r="W3565">
        <v>0.20536579999999999</v>
      </c>
      <c r="X3565">
        <v>0.97861189999999998</v>
      </c>
      <c r="Y3565">
        <v>3.9889260000000003E-2</v>
      </c>
      <c r="Z3565">
        <v>-1.608206E-3</v>
      </c>
      <c r="AA3565">
        <v>0.99920279999999995</v>
      </c>
      <c r="AB3565">
        <v>32</v>
      </c>
      <c r="AC3565">
        <v>16.6085999999999</v>
      </c>
      <c r="AD3565">
        <v>-1.1209836036959999</v>
      </c>
      <c r="AE3565">
        <v>-0.68109999999998605</v>
      </c>
      <c r="AF3565">
        <v>0.68590559690187103</v>
      </c>
      <c r="AG3565">
        <v>-1.1209836036959999</v>
      </c>
      <c r="AH3565">
        <v>16.533083718379402</v>
      </c>
      <c r="AI3565">
        <v>93.875534045075</v>
      </c>
      <c r="AJ3565">
        <v>87.624340813896296</v>
      </c>
      <c r="AK3565">
        <v>16.585232225282802</v>
      </c>
      <c r="AL3565">
        <v>78.1490856338811</v>
      </c>
      <c r="AM3565">
        <v>89.298710071371801</v>
      </c>
      <c r="AN3565">
        <v>0.99999992510395996</v>
      </c>
    </row>
    <row r="3566" spans="1:40" x14ac:dyDescent="0.25">
      <c r="A3566" t="str">
        <f>"20190303162328081"</f>
        <v>20190303162328081</v>
      </c>
      <c r="B3566" t="str">
        <f>"1551601408068522"</f>
        <v>1551601408068522</v>
      </c>
      <c r="C3566" t="s">
        <v>40</v>
      </c>
      <c r="D3566">
        <v>5.3609730000000004</v>
      </c>
      <c r="E3566">
        <v>0.51159140000000003</v>
      </c>
      <c r="F3566" t="s">
        <v>47</v>
      </c>
      <c r="G3566">
        <v>-253.7415</v>
      </c>
      <c r="H3566" s="1">
        <v>4.5634259999999998E-7</v>
      </c>
      <c r="I3566">
        <v>214.56809999999999</v>
      </c>
      <c r="J3566">
        <v>-271.80189999999999</v>
      </c>
      <c r="K3566">
        <v>1.1209769999999999</v>
      </c>
      <c r="L3566">
        <v>215.30189999999999</v>
      </c>
      <c r="M3566">
        <v>0.99989660000000002</v>
      </c>
      <c r="N3566">
        <v>-1.43784E-2</v>
      </c>
      <c r="O3566">
        <v>4.0919779999999998E-4</v>
      </c>
      <c r="P3566">
        <v>0.98161019999999999</v>
      </c>
      <c r="Q3566">
        <v>0.1905076</v>
      </c>
      <c r="R3566">
        <v>-1.2181630000000001E-2</v>
      </c>
      <c r="S3566">
        <v>3.0919490000000001</v>
      </c>
      <c r="T3566">
        <v>-0.18858430000000001</v>
      </c>
      <c r="U3566">
        <v>-0.1234283</v>
      </c>
      <c r="V3566">
        <v>1.2620899999999999E-2</v>
      </c>
      <c r="W3566">
        <v>0.20459949999999999</v>
      </c>
      <c r="X3566">
        <v>0.97876439999999998</v>
      </c>
      <c r="Y3566">
        <v>4.020373E-2</v>
      </c>
      <c r="Z3566">
        <v>-1.5329709999999999E-3</v>
      </c>
      <c r="AA3566">
        <v>0.99919029999999998</v>
      </c>
      <c r="AB3566">
        <v>31</v>
      </c>
      <c r="AC3566">
        <v>18.060399999999898</v>
      </c>
      <c r="AD3566">
        <v>-1.1209765436574</v>
      </c>
      <c r="AE3566">
        <v>-0.73380000000000201</v>
      </c>
      <c r="AF3566">
        <v>0.73835119644754799</v>
      </c>
      <c r="AG3566">
        <v>-1.1209765436574</v>
      </c>
      <c r="AH3566">
        <v>17.9909031521934</v>
      </c>
      <c r="AI3566">
        <v>93.562383126611806</v>
      </c>
      <c r="AJ3566">
        <v>87.649885620841403</v>
      </c>
      <c r="AK3566">
        <v>18.0409076027879</v>
      </c>
      <c r="AL3566">
        <v>78.193944789571106</v>
      </c>
      <c r="AM3566">
        <v>89.261227493834795</v>
      </c>
      <c r="AN3566">
        <v>0.99999999661220995</v>
      </c>
    </row>
    <row r="3567" spans="1:40" x14ac:dyDescent="0.25">
      <c r="A3567" t="str">
        <f>"20190303162328104"</f>
        <v>20190303162328104</v>
      </c>
      <c r="B3567" t="str">
        <f>"1551601408097803"</f>
        <v>1551601408097803</v>
      </c>
      <c r="C3567" t="s">
        <v>40</v>
      </c>
      <c r="D3567">
        <v>5.3253370000000002</v>
      </c>
      <c r="E3567">
        <v>0.51124449999999999</v>
      </c>
      <c r="F3567" t="s">
        <v>47</v>
      </c>
      <c r="G3567">
        <v>-252.99260000000001</v>
      </c>
      <c r="H3567" s="1">
        <v>5.8317079999999998E-8</v>
      </c>
      <c r="I3567">
        <v>214.5575</v>
      </c>
      <c r="J3567">
        <v>-271.48099999999999</v>
      </c>
      <c r="K3567">
        <v>1.120978</v>
      </c>
      <c r="L3567">
        <v>215.30189999999999</v>
      </c>
      <c r="M3567">
        <v>0.99989660000000002</v>
      </c>
      <c r="N3567">
        <v>-1.4374939999999999E-2</v>
      </c>
      <c r="O3567">
        <v>3.4098160000000001E-4</v>
      </c>
      <c r="P3567">
        <v>0.98160179999999997</v>
      </c>
      <c r="Q3567">
        <v>0.19051409999999999</v>
      </c>
      <c r="R3567">
        <v>-1.273149E-2</v>
      </c>
      <c r="S3567">
        <v>3.0904240000000001</v>
      </c>
      <c r="T3567">
        <v>-0.18418039999999999</v>
      </c>
      <c r="U3567">
        <v>-0.1222992</v>
      </c>
      <c r="V3567">
        <v>1.3103739999999999E-2</v>
      </c>
      <c r="W3567">
        <v>0.20460229999999999</v>
      </c>
      <c r="X3567">
        <v>0.97875749999999995</v>
      </c>
      <c r="Y3567">
        <v>3.9795490000000003E-2</v>
      </c>
      <c r="Z3567">
        <v>-1.4862040000000001E-3</v>
      </c>
      <c r="AA3567">
        <v>0.9992067</v>
      </c>
      <c r="AB3567">
        <v>31</v>
      </c>
      <c r="AC3567">
        <v>18.488399999999899</v>
      </c>
      <c r="AD3567">
        <v>-1.12097794168291</v>
      </c>
      <c r="AE3567">
        <v>-0.74439999999998396</v>
      </c>
      <c r="AF3567">
        <v>0.74795963665424903</v>
      </c>
      <c r="AG3567">
        <v>-1.12097794168291</v>
      </c>
      <c r="AH3567">
        <v>18.420537660755699</v>
      </c>
      <c r="AI3567">
        <v>93.479567793110405</v>
      </c>
      <c r="AJ3567">
        <v>87.674801772961899</v>
      </c>
      <c r="AK3567">
        <v>18.469765642127701</v>
      </c>
      <c r="AL3567">
        <v>78.193781252044801</v>
      </c>
      <c r="AM3567">
        <v>89.232962051413807</v>
      </c>
      <c r="AN3567">
        <v>1.0000000264867599</v>
      </c>
    </row>
    <row r="3568" spans="1:40" x14ac:dyDescent="0.25">
      <c r="A3568" t="str">
        <f>"20190303162328126"</f>
        <v>20190303162328126</v>
      </c>
      <c r="B3568" t="str">
        <f>"1551601408118298"</f>
        <v>1551601408118298</v>
      </c>
      <c r="C3568" t="s">
        <v>40</v>
      </c>
      <c r="D3568">
        <v>5.4133690000000003</v>
      </c>
      <c r="E3568">
        <v>0.51109349999999998</v>
      </c>
      <c r="F3568" t="s">
        <v>47</v>
      </c>
      <c r="G3568">
        <v>-251.81979999999999</v>
      </c>
      <c r="H3568" s="1">
        <v>-5.6459859999999996E-7</v>
      </c>
      <c r="I3568">
        <v>214.52950000000001</v>
      </c>
      <c r="J3568">
        <v>-271.17610000000002</v>
      </c>
      <c r="K3568">
        <v>1.1209789999999999</v>
      </c>
      <c r="L3568">
        <v>215.30199999999999</v>
      </c>
      <c r="M3568">
        <v>0.99989680000000003</v>
      </c>
      <c r="N3568">
        <v>-1.4371689999999999E-2</v>
      </c>
      <c r="O3568">
        <v>2.762803E-4</v>
      </c>
      <c r="P3568">
        <v>0.98156339999999997</v>
      </c>
      <c r="Q3568">
        <v>0.19073000000000001</v>
      </c>
      <c r="R3568">
        <v>-1.2479229999999999E-2</v>
      </c>
      <c r="S3568">
        <v>3.0888369999999998</v>
      </c>
      <c r="T3568">
        <v>-0.17610919999999999</v>
      </c>
      <c r="U3568">
        <v>-0.12135310000000001</v>
      </c>
      <c r="V3568">
        <v>1.2787740000000001E-2</v>
      </c>
      <c r="W3568">
        <v>0.20481469999999999</v>
      </c>
      <c r="X3568">
        <v>0.97871730000000001</v>
      </c>
      <c r="Y3568">
        <v>3.945307E-2</v>
      </c>
      <c r="Z3568">
        <v>-1.4190400000000001E-3</v>
      </c>
      <c r="AA3568">
        <v>0.99922040000000001</v>
      </c>
      <c r="AB3568">
        <v>31</v>
      </c>
      <c r="AC3568">
        <v>19.356300000000001</v>
      </c>
      <c r="AD3568">
        <v>-1.1209795645986</v>
      </c>
      <c r="AE3568">
        <v>-0.77250000000000696</v>
      </c>
      <c r="AF3568">
        <v>0.77525229919470195</v>
      </c>
      <c r="AG3568">
        <v>-1.1209795645986</v>
      </c>
      <c r="AH3568">
        <v>19.291486897424399</v>
      </c>
      <c r="AI3568">
        <v>93.322897417524004</v>
      </c>
      <c r="AJ3568">
        <v>87.6987363855567</v>
      </c>
      <c r="AK3568">
        <v>19.339572850121399</v>
      </c>
      <c r="AL3568">
        <v>78.181348864094304</v>
      </c>
      <c r="AM3568">
        <v>89.251426492316398</v>
      </c>
      <c r="AN3568">
        <v>1.00000007047484</v>
      </c>
    </row>
    <row r="3569" spans="1:40" x14ac:dyDescent="0.25">
      <c r="A3569" t="str">
        <f>"20190303162328147"</f>
        <v>20190303162328147</v>
      </c>
      <c r="B3569" t="str">
        <f>"1551601408137818"</f>
        <v>1551601408137818</v>
      </c>
      <c r="C3569" t="s">
        <v>40</v>
      </c>
      <c r="D3569">
        <v>5.4147489999999996</v>
      </c>
      <c r="E3569">
        <v>0.51088829999999996</v>
      </c>
      <c r="F3569" t="s">
        <v>47</v>
      </c>
      <c r="G3569">
        <v>-250.97290000000001</v>
      </c>
      <c r="H3569" s="1">
        <v>-1.014908E-6</v>
      </c>
      <c r="I3569">
        <v>214.52170000000001</v>
      </c>
      <c r="J3569">
        <v>-270.8734</v>
      </c>
      <c r="K3569">
        <v>1.120981</v>
      </c>
      <c r="L3569">
        <v>215.30199999999999</v>
      </c>
      <c r="M3569">
        <v>0.99989680000000003</v>
      </c>
      <c r="N3569">
        <v>-1.43687E-2</v>
      </c>
      <c r="O3569">
        <v>2.121131E-4</v>
      </c>
      <c r="P3569">
        <v>0.98155749999999997</v>
      </c>
      <c r="Q3569">
        <v>0.19073470000000001</v>
      </c>
      <c r="R3569">
        <v>-1.285845E-2</v>
      </c>
      <c r="S3569">
        <v>3.0881349999999999</v>
      </c>
      <c r="T3569">
        <v>-0.17134579999999999</v>
      </c>
      <c r="U3569">
        <v>-0.1192627</v>
      </c>
      <c r="V3569">
        <v>1.310415E-2</v>
      </c>
      <c r="W3569">
        <v>0.20481650000000001</v>
      </c>
      <c r="X3569">
        <v>0.97871269999999999</v>
      </c>
      <c r="Y3569">
        <v>3.8727749999999998E-2</v>
      </c>
      <c r="Z3569">
        <v>-1.360516E-3</v>
      </c>
      <c r="AA3569">
        <v>0.9992489</v>
      </c>
      <c r="AB3569">
        <v>31</v>
      </c>
      <c r="AC3569">
        <v>19.900499999999901</v>
      </c>
      <c r="AD3569">
        <v>-1.1209820149079901</v>
      </c>
      <c r="AE3569">
        <v>-0.78030000000001098</v>
      </c>
      <c r="AF3569">
        <v>0.78204396275882204</v>
      </c>
      <c r="AG3569">
        <v>-1.1209820149079901</v>
      </c>
      <c r="AH3569">
        <v>19.837486412671598</v>
      </c>
      <c r="AI3569">
        <v>93.231740742606604</v>
      </c>
      <c r="AJ3569">
        <v>87.742424283677906</v>
      </c>
      <c r="AK3569">
        <v>19.884518113607001</v>
      </c>
      <c r="AL3569">
        <v>78.181243052063294</v>
      </c>
      <c r="AM3569">
        <v>89.232902946986698</v>
      </c>
      <c r="AN3569">
        <v>1.00000003328038</v>
      </c>
    </row>
    <row r="3570" spans="1:40" x14ac:dyDescent="0.25">
      <c r="A3570" t="str">
        <f>"20190303162328170"</f>
        <v>20190303162328170</v>
      </c>
      <c r="B3570" t="str">
        <f>"1551601408158314"</f>
        <v>1551601408158314</v>
      </c>
      <c r="C3570" t="s">
        <v>40</v>
      </c>
      <c r="D3570">
        <v>5.2442169999999999</v>
      </c>
      <c r="E3570">
        <v>0.51074629999999999</v>
      </c>
      <c r="F3570" t="s">
        <v>47</v>
      </c>
      <c r="G3570">
        <v>-250.22069999999999</v>
      </c>
      <c r="H3570" s="1">
        <v>-1.414493E-6</v>
      </c>
      <c r="I3570">
        <v>214.506</v>
      </c>
      <c r="J3570">
        <v>-270.55700000000002</v>
      </c>
      <c r="K3570">
        <v>1.120987</v>
      </c>
      <c r="L3570">
        <v>215.30199999999999</v>
      </c>
      <c r="M3570">
        <v>0.99989689999999998</v>
      </c>
      <c r="N3570">
        <v>-1.4365269999999999E-2</v>
      </c>
      <c r="O3570">
        <v>1.4485029999999999E-4</v>
      </c>
      <c r="P3570">
        <v>0.9814891</v>
      </c>
      <c r="Q3570">
        <v>0.19108169999999999</v>
      </c>
      <c r="R3570">
        <v>-1.2930789999999999E-2</v>
      </c>
      <c r="S3570">
        <v>3.0873409999999999</v>
      </c>
      <c r="T3570">
        <v>-0.16757459999999999</v>
      </c>
      <c r="U3570">
        <v>-0.118988</v>
      </c>
      <c r="V3570">
        <v>1.311037E-2</v>
      </c>
      <c r="W3570">
        <v>0.20515910000000001</v>
      </c>
      <c r="X3570">
        <v>0.97864090000000004</v>
      </c>
      <c r="Y3570">
        <v>3.858491E-2</v>
      </c>
      <c r="Z3570">
        <v>-1.3292880000000001E-3</v>
      </c>
      <c r="AA3570">
        <v>0.99925450000000005</v>
      </c>
      <c r="AB3570">
        <v>31</v>
      </c>
      <c r="AC3570">
        <v>20.336300000000001</v>
      </c>
      <c r="AD3570">
        <v>-1.120988414493</v>
      </c>
      <c r="AE3570">
        <v>-0.796000000000049</v>
      </c>
      <c r="AF3570">
        <v>0.796529466934491</v>
      </c>
      <c r="AG3570">
        <v>-1.120988414493</v>
      </c>
      <c r="AH3570">
        <v>20.274674238720699</v>
      </c>
      <c r="AI3570">
        <v>93.162231727374703</v>
      </c>
      <c r="AJ3570">
        <v>87.7501824276235</v>
      </c>
      <c r="AK3570">
        <v>20.321257089643002</v>
      </c>
      <c r="AL3570">
        <v>78.161188128932196</v>
      </c>
      <c r="AM3570">
        <v>89.232482581540694</v>
      </c>
      <c r="AN3570">
        <v>1.00000007463357</v>
      </c>
    </row>
    <row r="3571" spans="1:40" x14ac:dyDescent="0.25">
      <c r="A3571" t="str">
        <f>"20190303162328193"</f>
        <v>20190303162328193</v>
      </c>
      <c r="B3571" t="str">
        <f>"1551601408177833"</f>
        <v>1551601408177833</v>
      </c>
      <c r="C3571" t="s">
        <v>40</v>
      </c>
      <c r="D3571">
        <v>5.2300649999999997</v>
      </c>
      <c r="E3571">
        <v>0.51071299999999997</v>
      </c>
      <c r="F3571" t="s">
        <v>47</v>
      </c>
      <c r="G3571">
        <v>-249.3194</v>
      </c>
      <c r="H3571" s="1">
        <v>3.4280640000000001E-6</v>
      </c>
      <c r="I3571">
        <v>214.48910000000001</v>
      </c>
      <c r="J3571">
        <v>-270.23599999999999</v>
      </c>
      <c r="K3571">
        <v>1.120989</v>
      </c>
      <c r="L3571">
        <v>215.30199999999999</v>
      </c>
      <c r="M3571">
        <v>0.99989700000000004</v>
      </c>
      <c r="N3571">
        <v>-1.4361580000000001E-2</v>
      </c>
      <c r="O3571" s="1">
        <v>7.663616E-5</v>
      </c>
      <c r="P3571">
        <v>0.9814678</v>
      </c>
      <c r="Q3571">
        <v>0.19118260000000001</v>
      </c>
      <c r="R3571">
        <v>-1.30487E-2</v>
      </c>
      <c r="S3571">
        <v>3.0867309999999999</v>
      </c>
      <c r="T3571">
        <v>-0.1629263</v>
      </c>
      <c r="U3571">
        <v>-0.1181488</v>
      </c>
      <c r="V3571">
        <v>1.3161310000000001E-2</v>
      </c>
      <c r="W3571">
        <v>0.2052561</v>
      </c>
      <c r="X3571">
        <v>0.97861980000000004</v>
      </c>
      <c r="Y3571">
        <v>3.8257199999999901E-2</v>
      </c>
      <c r="Z3571">
        <v>-1.286606E-3</v>
      </c>
      <c r="AA3571">
        <v>0.99926709999999996</v>
      </c>
      <c r="AB3571">
        <v>31</v>
      </c>
      <c r="AC3571">
        <v>20.916599999999899</v>
      </c>
      <c r="AD3571">
        <v>-1.120985571936</v>
      </c>
      <c r="AE3571">
        <v>-0.81290000000001295</v>
      </c>
      <c r="AF3571">
        <v>0.81217390569472403</v>
      </c>
      <c r="AG3571">
        <v>-1.120985571936</v>
      </c>
      <c r="AH3571">
        <v>20.856722860080001</v>
      </c>
      <c r="AI3571">
        <v>93.074188721710598</v>
      </c>
      <c r="AJ3571">
        <v>87.769993028819201</v>
      </c>
      <c r="AK3571">
        <v>20.902610448644001</v>
      </c>
      <c r="AL3571">
        <v>78.1555086916715</v>
      </c>
      <c r="AM3571">
        <v>89.229484160781496</v>
      </c>
      <c r="AN3571">
        <v>0.99999999981008303</v>
      </c>
    </row>
    <row r="3572" spans="1:40" x14ac:dyDescent="0.25">
      <c r="A3572" t="str">
        <f>"20190303162328216"</f>
        <v>20190303162328216</v>
      </c>
      <c r="B3572" t="str">
        <f>"1551601408208090"</f>
        <v>1551601408208090</v>
      </c>
      <c r="C3572" t="s">
        <v>40</v>
      </c>
      <c r="D3572">
        <v>5.1853879999999997</v>
      </c>
      <c r="E3572">
        <v>0.51064790000000004</v>
      </c>
      <c r="F3572" t="s">
        <v>47</v>
      </c>
      <c r="G3572">
        <v>-248.5667</v>
      </c>
      <c r="H3572" s="1">
        <v>3.0283220000000001E-6</v>
      </c>
      <c r="I3572">
        <v>214.47110000000001</v>
      </c>
      <c r="J3572">
        <v>-269.91660000000002</v>
      </c>
      <c r="K3572">
        <v>1.120995</v>
      </c>
      <c r="L3572">
        <v>215.30189999999999</v>
      </c>
      <c r="M3572">
        <v>0.99989689999999998</v>
      </c>
      <c r="N3572">
        <v>-1.43579E-2</v>
      </c>
      <c r="O3572" s="1">
        <v>8.8984669999999993E-6</v>
      </c>
      <c r="P3572">
        <v>0.98138550000000002</v>
      </c>
      <c r="Q3572">
        <v>0.19163759999999999</v>
      </c>
      <c r="R3572">
        <v>-1.255745E-2</v>
      </c>
      <c r="S3572">
        <v>3.0861510000000001</v>
      </c>
      <c r="T3572">
        <v>-0.1596515</v>
      </c>
      <c r="U3572">
        <v>-0.1183319</v>
      </c>
      <c r="V3572">
        <v>1.2603430000000001E-2</v>
      </c>
      <c r="W3572">
        <v>0.20570649999999999</v>
      </c>
      <c r="X3572">
        <v>0.97853259999999997</v>
      </c>
      <c r="Y3572">
        <v>3.8258309999999997E-2</v>
      </c>
      <c r="Z3572">
        <v>-1.263894E-3</v>
      </c>
      <c r="AA3572">
        <v>0.99926709999999996</v>
      </c>
      <c r="AB3572">
        <v>31</v>
      </c>
      <c r="AC3572">
        <v>21.349900000000002</v>
      </c>
      <c r="AD3572">
        <v>-1.1209919716779999</v>
      </c>
      <c r="AE3572">
        <v>-0.830799999999982</v>
      </c>
      <c r="AF3572">
        <v>0.82870882836535198</v>
      </c>
      <c r="AG3572">
        <v>-1.1209919716779999</v>
      </c>
      <c r="AH3572">
        <v>21.2912844521869</v>
      </c>
      <c r="AI3572">
        <v>93.0115795820616</v>
      </c>
      <c r="AJ3572">
        <v>87.7710333677704</v>
      </c>
      <c r="AK3572">
        <v>21.336873598226902</v>
      </c>
      <c r="AL3572">
        <v>78.129140354449603</v>
      </c>
      <c r="AM3572">
        <v>89.262075255609801</v>
      </c>
      <c r="AN3572">
        <v>1.00000002992638</v>
      </c>
    </row>
    <row r="3573" spans="1:40" x14ac:dyDescent="0.25">
      <c r="A3573" t="str">
        <f>"20190303162328237"</f>
        <v>20190303162328237</v>
      </c>
      <c r="B3573" t="str">
        <f>"1551601408228586"</f>
        <v>1551601408228586</v>
      </c>
      <c r="C3573" t="s">
        <v>40</v>
      </c>
      <c r="D3573">
        <v>5.302778</v>
      </c>
      <c r="E3573">
        <v>0.51072980000000001</v>
      </c>
      <c r="F3573" t="s">
        <v>47</v>
      </c>
      <c r="G3573">
        <v>-247.58449999999999</v>
      </c>
      <c r="H3573" s="1">
        <v>2.5062400000000001E-6</v>
      </c>
      <c r="I3573">
        <v>214.45740000000001</v>
      </c>
      <c r="J3573">
        <v>-269.61720000000003</v>
      </c>
      <c r="K3573">
        <v>1.1210009999999999</v>
      </c>
      <c r="L3573">
        <v>215.30189999999999</v>
      </c>
      <c r="M3573">
        <v>0.99989709999999998</v>
      </c>
      <c r="N3573">
        <v>-1.4354479999999999E-2</v>
      </c>
      <c r="O3573" s="1">
        <v>-5.4966699999999997E-5</v>
      </c>
      <c r="P3573">
        <v>0.98121579999999997</v>
      </c>
      <c r="Q3573">
        <v>0.19255130000000001</v>
      </c>
      <c r="R3573">
        <v>-1.1812359999999999E-2</v>
      </c>
      <c r="S3573">
        <v>3.0856629999999998</v>
      </c>
      <c r="T3573">
        <v>-0.1548891</v>
      </c>
      <c r="U3573">
        <v>-0.116684</v>
      </c>
      <c r="V3573">
        <v>1.179586E-2</v>
      </c>
      <c r="W3573">
        <v>0.20661450000000001</v>
      </c>
      <c r="X3573">
        <v>0.97835139999999998</v>
      </c>
      <c r="Y3573">
        <v>3.7672020000000001E-2</v>
      </c>
      <c r="Z3573">
        <v>-1.21331E-3</v>
      </c>
      <c r="AA3573">
        <v>0.99928939999999999</v>
      </c>
      <c r="AB3573">
        <v>31</v>
      </c>
      <c r="AC3573">
        <v>22.032699999999998</v>
      </c>
      <c r="AD3573">
        <v>-1.1209984937599999</v>
      </c>
      <c r="AE3573">
        <v>-0.84449999999998204</v>
      </c>
      <c r="AF3573">
        <v>0.84111464559160998</v>
      </c>
      <c r="AG3573">
        <v>-1.1209984937599999</v>
      </c>
      <c r="AH3573">
        <v>21.975941655992798</v>
      </c>
      <c r="AI3573">
        <v>92.918008720111999</v>
      </c>
      <c r="AJ3573">
        <v>87.808111798627195</v>
      </c>
      <c r="AK3573">
        <v>22.020584078031099</v>
      </c>
      <c r="AL3573">
        <v>78.075974250016401</v>
      </c>
      <c r="AM3573">
        <v>89.309225450691102</v>
      </c>
      <c r="AN3573">
        <v>1.0000000779026701</v>
      </c>
    </row>
    <row r="3574" spans="1:40" x14ac:dyDescent="0.25">
      <c r="A3574" t="str">
        <f>"20190303162328271"</f>
        <v>20190303162328271</v>
      </c>
      <c r="B3574" t="str">
        <f>"1551601408257867"</f>
        <v>1551601408257867</v>
      </c>
      <c r="C3574" t="s">
        <v>40</v>
      </c>
      <c r="D3574">
        <v>5.1479949999999999</v>
      </c>
      <c r="E3574">
        <v>0.54710559999999997</v>
      </c>
      <c r="F3574" t="s">
        <v>47</v>
      </c>
      <c r="G3574">
        <v>-246.65899999999999</v>
      </c>
      <c r="H3574" s="1">
        <v>2.0141579999999998E-6</v>
      </c>
      <c r="I3574">
        <v>214.44800000000001</v>
      </c>
      <c r="J3574">
        <v>-269.15469999999999</v>
      </c>
      <c r="K3574">
        <v>1.1210070000000001</v>
      </c>
      <c r="L3574">
        <v>215.30170000000001</v>
      </c>
      <c r="M3574">
        <v>0.99989709999999998</v>
      </c>
      <c r="N3574">
        <v>-1.4349229999999999E-2</v>
      </c>
      <c r="O3574">
        <v>-1.5338790000000001E-4</v>
      </c>
      <c r="P3574">
        <v>0.98116479999999995</v>
      </c>
      <c r="Q3574">
        <v>0.19283800000000001</v>
      </c>
      <c r="R3574">
        <v>-1.1381820000000001E-2</v>
      </c>
      <c r="S3574">
        <v>3.0856020000000002</v>
      </c>
      <c r="T3574">
        <v>-0.15066350000000001</v>
      </c>
      <c r="U3574">
        <v>-0.1147614</v>
      </c>
      <c r="V3574">
        <v>1.1268709999999999E-2</v>
      </c>
      <c r="W3574">
        <v>0.20689540000000001</v>
      </c>
      <c r="X3574">
        <v>0.97829820000000001</v>
      </c>
      <c r="Y3574">
        <v>3.6956709999999997E-2</v>
      </c>
      <c r="Z3574">
        <v>-1.1615880000000001E-3</v>
      </c>
      <c r="AA3574">
        <v>0.99931619999999999</v>
      </c>
      <c r="AB3574">
        <v>31</v>
      </c>
      <c r="AC3574">
        <v>22.4956999999999</v>
      </c>
      <c r="AD3574">
        <v>-1.1210049858419999</v>
      </c>
      <c r="AE3574">
        <v>-0.85370000000003099</v>
      </c>
      <c r="AF3574">
        <v>0.84814595831771999</v>
      </c>
      <c r="AG3574">
        <v>-1.1210049858419999</v>
      </c>
      <c r="AH3574">
        <v>22.440186800304701</v>
      </c>
      <c r="AI3574">
        <v>92.857810117552404</v>
      </c>
      <c r="AJ3574">
        <v>87.835487545866997</v>
      </c>
      <c r="AK3574">
        <v>22.484171929992499</v>
      </c>
      <c r="AL3574">
        <v>78.0595238420469</v>
      </c>
      <c r="AM3574">
        <v>89.3400570798606</v>
      </c>
      <c r="AN3574">
        <v>1.00000002924473</v>
      </c>
    </row>
    <row r="3575" spans="1:40" x14ac:dyDescent="0.25">
      <c r="A3575" t="str">
        <f>"20190303162328293"</f>
        <v>20190303162328293</v>
      </c>
      <c r="B3575" t="str">
        <f>"1551601408288122"</f>
        <v>1551601408288122</v>
      </c>
      <c r="C3575" t="s">
        <v>40</v>
      </c>
      <c r="D3575">
        <v>5.1027570000000004</v>
      </c>
      <c r="E3575">
        <v>0.55251359999999905</v>
      </c>
      <c r="F3575" t="s">
        <v>47</v>
      </c>
      <c r="G3575">
        <v>-249.26990000000001</v>
      </c>
      <c r="H3575" s="1">
        <v>3.4796900000000001E-6</v>
      </c>
      <c r="I3575">
        <v>212.7062</v>
      </c>
      <c r="J3575">
        <v>-268.83670000000001</v>
      </c>
      <c r="K3575">
        <v>1.1210100000000001</v>
      </c>
      <c r="L3575">
        <v>215.30160000000001</v>
      </c>
      <c r="M3575">
        <v>0.99989709999999998</v>
      </c>
      <c r="N3575">
        <v>-1.434562E-2</v>
      </c>
      <c r="O3575">
        <v>-2.2094549999999999E-4</v>
      </c>
      <c r="P3575">
        <v>0.98106649999999995</v>
      </c>
      <c r="Q3575">
        <v>0.19331999999999999</v>
      </c>
      <c r="R3575">
        <v>-1.166113E-2</v>
      </c>
      <c r="S3575">
        <v>3.0870669999999998</v>
      </c>
      <c r="T3575">
        <v>-0.1740332</v>
      </c>
      <c r="U3575">
        <v>-0.40295409999999998</v>
      </c>
      <c r="V3575">
        <v>1.148159E-2</v>
      </c>
      <c r="W3575">
        <v>0.2073721</v>
      </c>
      <c r="X3575">
        <v>0.97819480000000003</v>
      </c>
      <c r="Y3575">
        <v>0.1289595</v>
      </c>
      <c r="Z3575">
        <v>-4.53748E-3</v>
      </c>
      <c r="AA3575">
        <v>0.99163950000000001</v>
      </c>
      <c r="AB3575">
        <v>31</v>
      </c>
      <c r="AC3575">
        <v>19.566800000000001</v>
      </c>
      <c r="AD3575">
        <v>-1.1210065203099999</v>
      </c>
      <c r="AE3575">
        <v>-2.5954000000000099</v>
      </c>
      <c r="AF3575">
        <v>2.5827455536305499</v>
      </c>
      <c r="AG3575">
        <v>-1.1210065203099999</v>
      </c>
      <c r="AH3575">
        <v>19.5044606602927</v>
      </c>
      <c r="AI3575">
        <v>93.261016042003703</v>
      </c>
      <c r="AJ3575">
        <v>82.456880261863702</v>
      </c>
      <c r="AK3575">
        <v>19.706628728990701</v>
      </c>
      <c r="AL3575">
        <v>78.031605608317605</v>
      </c>
      <c r="AM3575">
        <v>89.327519997882405</v>
      </c>
      <c r="AN3575">
        <v>1.0000000407571801</v>
      </c>
    </row>
    <row r="3576" spans="1:40" x14ac:dyDescent="0.25">
      <c r="A3576" t="str">
        <f>"20190303162328317"</f>
        <v>20190303162328317</v>
      </c>
      <c r="B3576" t="str">
        <f>"1551601408308618"</f>
        <v>1551601408308618</v>
      </c>
      <c r="C3576" t="s">
        <v>40</v>
      </c>
      <c r="D3576">
        <v>5.0986989999999999</v>
      </c>
      <c r="E3576">
        <v>0.5539944</v>
      </c>
      <c r="F3576" t="s">
        <v>47</v>
      </c>
      <c r="G3576">
        <v>-249.2338</v>
      </c>
      <c r="H3576" s="1">
        <v>3.4710980000000001E-6</v>
      </c>
      <c r="I3576">
        <v>212.46279999999999</v>
      </c>
      <c r="J3576">
        <v>-268.51819999999998</v>
      </c>
      <c r="K3576">
        <v>1.1210059999999999</v>
      </c>
      <c r="L3576">
        <v>215.3015</v>
      </c>
      <c r="M3576">
        <v>0.99989720000000004</v>
      </c>
      <c r="N3576">
        <v>-1.43421E-2</v>
      </c>
      <c r="O3576">
        <v>-2.8886279999999997E-4</v>
      </c>
      <c r="P3576">
        <v>0.98103050000000003</v>
      </c>
      <c r="Q3576">
        <v>0.1934775</v>
      </c>
      <c r="R3576">
        <v>-1.2086390000000001E-2</v>
      </c>
      <c r="S3576">
        <v>3.087402</v>
      </c>
      <c r="T3576">
        <v>-0.176555399999999</v>
      </c>
      <c r="U3576">
        <v>-0.44709779999999999</v>
      </c>
      <c r="V3576">
        <v>1.1840130000000001E-2</v>
      </c>
      <c r="W3576">
        <v>0.2075256</v>
      </c>
      <c r="X3576">
        <v>0.97815790000000002</v>
      </c>
      <c r="Y3576">
        <v>0.14274619999999999</v>
      </c>
      <c r="Z3576">
        <v>-5.0748140000000004E-3</v>
      </c>
      <c r="AA3576">
        <v>0.98974629999999997</v>
      </c>
      <c r="AB3576">
        <v>31</v>
      </c>
      <c r="AC3576">
        <v>19.284399999999899</v>
      </c>
      <c r="AD3576">
        <v>-1.121002528902</v>
      </c>
      <c r="AE3576">
        <v>-2.83870000000001</v>
      </c>
      <c r="AF3576">
        <v>2.8237892714283799</v>
      </c>
      <c r="AG3576">
        <v>-1.121002528902</v>
      </c>
      <c r="AH3576">
        <v>19.221644984817999</v>
      </c>
      <c r="AI3576">
        <v>93.302333007304995</v>
      </c>
      <c r="AJ3576">
        <v>81.642643147968002</v>
      </c>
      <c r="AK3576">
        <v>19.4602689714612</v>
      </c>
      <c r="AL3576">
        <v>78.022614270377204</v>
      </c>
      <c r="AM3576">
        <v>89.306496069395607</v>
      </c>
      <c r="AN3576">
        <v>0.99999997033309296</v>
      </c>
    </row>
    <row r="3577" spans="1:40" x14ac:dyDescent="0.25">
      <c r="A3577" t="str">
        <f>"20190303162328337"</f>
        <v>20190303162328337</v>
      </c>
      <c r="B3577" t="str">
        <f>"1551601408328138"</f>
        <v>1551601408328138</v>
      </c>
      <c r="C3577" t="s">
        <v>40</v>
      </c>
      <c r="D3577">
        <v>5.1117439999999998</v>
      </c>
      <c r="E3577">
        <v>0.55486569999999902</v>
      </c>
      <c r="F3577" t="s">
        <v>47</v>
      </c>
      <c r="G3577">
        <v>-248.8775</v>
      </c>
      <c r="H3577" s="1">
        <v>3.285402E-6</v>
      </c>
      <c r="I3577">
        <v>212.3733</v>
      </c>
      <c r="J3577">
        <v>-268.22770000000003</v>
      </c>
      <c r="K3577">
        <v>1.1210020000000001</v>
      </c>
      <c r="L3577">
        <v>215.3013</v>
      </c>
      <c r="M3577">
        <v>0.99989709999999998</v>
      </c>
      <c r="N3577">
        <v>-1.433893E-2</v>
      </c>
      <c r="O3577">
        <v>-3.5070369999999997E-4</v>
      </c>
      <c r="P3577">
        <v>0.98102610000000001</v>
      </c>
      <c r="Q3577">
        <v>0.1934871</v>
      </c>
      <c r="R3577">
        <v>-1.227464E-2</v>
      </c>
      <c r="S3577">
        <v>3.0871279999999999</v>
      </c>
      <c r="T3577">
        <v>-0.17619849999999901</v>
      </c>
      <c r="U3577">
        <v>-0.46025090000000002</v>
      </c>
      <c r="V3577">
        <v>1.1967770000000001E-2</v>
      </c>
      <c r="W3577">
        <v>0.2075321</v>
      </c>
      <c r="X3577">
        <v>0.978155</v>
      </c>
      <c r="Y3577">
        <v>0.14681710000000001</v>
      </c>
      <c r="Z3577">
        <v>-5.2080499999999997E-3</v>
      </c>
      <c r="AA3577">
        <v>0.98914990000000003</v>
      </c>
      <c r="AB3577">
        <v>31</v>
      </c>
      <c r="AC3577">
        <v>19.350200000000001</v>
      </c>
      <c r="AD3577">
        <v>-1.120998714598</v>
      </c>
      <c r="AE3577">
        <v>-2.9279999999999902</v>
      </c>
      <c r="AF3577">
        <v>2.9116597500466499</v>
      </c>
      <c r="AG3577">
        <v>-1.120998714598</v>
      </c>
      <c r="AH3577">
        <v>19.287941843053101</v>
      </c>
      <c r="AI3577">
        <v>93.289058491473696</v>
      </c>
      <c r="AJ3577">
        <v>81.415587653994606</v>
      </c>
      <c r="AK3577">
        <v>19.538656585322599</v>
      </c>
      <c r="AL3577">
        <v>78.022233944672493</v>
      </c>
      <c r="AM3577">
        <v>89.299018561952707</v>
      </c>
      <c r="AN3577">
        <v>1.0000000020370901</v>
      </c>
    </row>
    <row r="3578" spans="1:40" x14ac:dyDescent="0.25">
      <c r="A3578" t="str">
        <f>"20190303162328360"</f>
        <v>20190303162328360</v>
      </c>
      <c r="B3578" t="str">
        <f>"1551601408348633"</f>
        <v>1551601408348633</v>
      </c>
      <c r="C3578" t="s">
        <v>40</v>
      </c>
      <c r="D3578">
        <v>5.1140679999999996</v>
      </c>
      <c r="E3578">
        <v>0.55552139999999905</v>
      </c>
      <c r="F3578" t="s">
        <v>47</v>
      </c>
      <c r="G3578">
        <v>-248.5334</v>
      </c>
      <c r="H3578" s="1">
        <v>3.104627E-6</v>
      </c>
      <c r="I3578">
        <v>212.32</v>
      </c>
      <c r="J3578">
        <v>-267.9151</v>
      </c>
      <c r="K3578">
        <v>1.121005</v>
      </c>
      <c r="L3578">
        <v>215.30109999999999</v>
      </c>
      <c r="M3578">
        <v>0.99989720000000004</v>
      </c>
      <c r="N3578">
        <v>-1.4335469999999999E-2</v>
      </c>
      <c r="O3578">
        <v>-4.1742999999999999E-4</v>
      </c>
      <c r="P3578">
        <v>0.98097610000000002</v>
      </c>
      <c r="Q3578">
        <v>0.19371289999999999</v>
      </c>
      <c r="R3578">
        <v>-1.270372E-2</v>
      </c>
      <c r="S3578">
        <v>3.0868229999999999</v>
      </c>
      <c r="T3578">
        <v>-0.17570139999999901</v>
      </c>
      <c r="U3578">
        <v>-0.46728520000000001</v>
      </c>
      <c r="V3578">
        <v>1.233124E-2</v>
      </c>
      <c r="W3578">
        <v>0.20775360000000001</v>
      </c>
      <c r="X3578">
        <v>0.97810350000000001</v>
      </c>
      <c r="Y3578">
        <v>0.14896670000000001</v>
      </c>
      <c r="Z3578">
        <v>-5.2694719999999999E-3</v>
      </c>
      <c r="AA3578">
        <v>0.98882820000000005</v>
      </c>
      <c r="AB3578">
        <v>31</v>
      </c>
      <c r="AC3578">
        <v>19.381699999999899</v>
      </c>
      <c r="AD3578">
        <v>-1.1210018953730001</v>
      </c>
      <c r="AE3578">
        <v>-2.9810999999999899</v>
      </c>
      <c r="AF3578">
        <v>2.9633244351682801</v>
      </c>
      <c r="AG3578">
        <v>-1.1210018953730001</v>
      </c>
      <c r="AH3578">
        <v>19.319806840648099</v>
      </c>
      <c r="AI3578">
        <v>93.282473301360397</v>
      </c>
      <c r="AJ3578">
        <v>81.279778662991305</v>
      </c>
      <c r="AK3578">
        <v>19.577866924602599</v>
      </c>
      <c r="AL3578">
        <v>78.009260590635293</v>
      </c>
      <c r="AM3578">
        <v>89.277693435347899</v>
      </c>
      <c r="AN3578">
        <v>1.0000000372525699</v>
      </c>
    </row>
    <row r="3579" spans="1:40" x14ac:dyDescent="0.25">
      <c r="A3579" t="str">
        <f>"20190303162328383"</f>
        <v>20190303162328383</v>
      </c>
      <c r="B3579" t="str">
        <f>"1551601408377914"</f>
        <v>1551601408377914</v>
      </c>
      <c r="C3579" t="s">
        <v>40</v>
      </c>
      <c r="D3579">
        <v>5.1487499999999997</v>
      </c>
      <c r="E3579">
        <v>0.55615969999999904</v>
      </c>
      <c r="F3579" t="s">
        <v>47</v>
      </c>
      <c r="G3579">
        <v>-247.9973</v>
      </c>
      <c r="H3579" s="1">
        <v>2.8225819999999998E-6</v>
      </c>
      <c r="I3579">
        <v>212.2466</v>
      </c>
      <c r="J3579">
        <v>-267.60169999999999</v>
      </c>
      <c r="K3579">
        <v>1.12101299999999</v>
      </c>
      <c r="L3579">
        <v>215.30090000000001</v>
      </c>
      <c r="M3579">
        <v>0.99989740000000005</v>
      </c>
      <c r="N3579">
        <v>-1.4331969999999999E-2</v>
      </c>
      <c r="O3579">
        <v>-4.8439419999999998E-4</v>
      </c>
      <c r="P3579">
        <v>0.98091119999999998</v>
      </c>
      <c r="Q3579">
        <v>0.19401479999999999</v>
      </c>
      <c r="R3579">
        <v>-1.309508E-2</v>
      </c>
      <c r="S3579">
        <v>3.0863649999999998</v>
      </c>
      <c r="T3579">
        <v>-0.17370569999999999</v>
      </c>
      <c r="U3579">
        <v>-0.47331240000000002</v>
      </c>
      <c r="V3579">
        <v>1.265726E-2</v>
      </c>
      <c r="W3579">
        <v>0.20805119999999999</v>
      </c>
      <c r="X3579">
        <v>0.97803600000000002</v>
      </c>
      <c r="Y3579">
        <v>0.15081159999999999</v>
      </c>
      <c r="Z3579">
        <v>-5.2839380000000002E-3</v>
      </c>
      <c r="AA3579">
        <v>0.98854839999999999</v>
      </c>
      <c r="AB3579">
        <v>31</v>
      </c>
      <c r="AC3579">
        <v>19.604399999999998</v>
      </c>
      <c r="AD3579">
        <v>-1.1210101774179999</v>
      </c>
      <c r="AE3579">
        <v>-3.0543000000000098</v>
      </c>
      <c r="AF3579">
        <v>3.03511357934716</v>
      </c>
      <c r="AG3579">
        <v>-1.1210101774179999</v>
      </c>
      <c r="AH3579">
        <v>19.543489695990001</v>
      </c>
      <c r="AI3579">
        <v>93.244072776675296</v>
      </c>
      <c r="AJ3579">
        <v>81.172454747370594</v>
      </c>
      <c r="AK3579">
        <v>19.809507004332101</v>
      </c>
      <c r="AL3579">
        <v>77.991827559062997</v>
      </c>
      <c r="AM3579">
        <v>89.258547644754302</v>
      </c>
      <c r="AN3579">
        <v>0.99999996267407298</v>
      </c>
    </row>
    <row r="3580" spans="1:40" x14ac:dyDescent="0.25">
      <c r="A3580" t="str">
        <f>"20190303162328405"</f>
        <v>20190303162328405</v>
      </c>
      <c r="B3580" t="str">
        <f>"1551601408398410"</f>
        <v>1551601408398410</v>
      </c>
      <c r="C3580" t="s">
        <v>40</v>
      </c>
      <c r="D3580">
        <v>5.1523969999999997</v>
      </c>
      <c r="E3580">
        <v>0.556421099999999</v>
      </c>
      <c r="F3580" t="s">
        <v>47</v>
      </c>
      <c r="G3580">
        <v>-247.40729999999999</v>
      </c>
      <c r="H3580" s="1">
        <v>2.5123110000000002E-6</v>
      </c>
      <c r="I3580">
        <v>212.1609</v>
      </c>
      <c r="J3580">
        <v>-267.29129999999998</v>
      </c>
      <c r="K3580">
        <v>1.1210150000000001</v>
      </c>
      <c r="L3580">
        <v>215.30070000000001</v>
      </c>
      <c r="M3580">
        <v>0.99989720000000004</v>
      </c>
      <c r="N3580">
        <v>-1.432859E-2</v>
      </c>
      <c r="O3580">
        <v>-5.5028659999999997E-4</v>
      </c>
      <c r="P3580">
        <v>0.98080829999999997</v>
      </c>
      <c r="Q3580">
        <v>0.1944755</v>
      </c>
      <c r="R3580">
        <v>-1.394044E-2</v>
      </c>
      <c r="S3580">
        <v>3.0858150000000002</v>
      </c>
      <c r="T3580">
        <v>-0.17129649999999999</v>
      </c>
      <c r="U3580">
        <v>-0.47981259999999998</v>
      </c>
      <c r="V3580">
        <v>1.343798E-2</v>
      </c>
      <c r="W3580">
        <v>0.2085069</v>
      </c>
      <c r="X3580">
        <v>0.97792860000000004</v>
      </c>
      <c r="Y3580">
        <v>0.1528099</v>
      </c>
      <c r="Z3580">
        <v>-5.292695E-3</v>
      </c>
      <c r="AA3580">
        <v>0.98824140000000005</v>
      </c>
      <c r="AB3580">
        <v>31</v>
      </c>
      <c r="AC3580">
        <v>19.883999999999901</v>
      </c>
      <c r="AD3580">
        <v>-1.121012487689</v>
      </c>
      <c r="AE3580">
        <v>-3.1398000000000001</v>
      </c>
      <c r="AF3580">
        <v>3.1191835664264702</v>
      </c>
      <c r="AG3580">
        <v>-1.121012487689</v>
      </c>
      <c r="AH3580">
        <v>19.824247753233301</v>
      </c>
      <c r="AI3580">
        <v>93.197237692556996</v>
      </c>
      <c r="AJ3580">
        <v>81.058284254388695</v>
      </c>
      <c r="AK3580">
        <v>20.099422232994499</v>
      </c>
      <c r="AL3580">
        <v>77.965133213861606</v>
      </c>
      <c r="AM3580">
        <v>89.212732827283105</v>
      </c>
      <c r="AN3580">
        <v>1.0000000266760201</v>
      </c>
    </row>
    <row r="3581" spans="1:40" x14ac:dyDescent="0.25">
      <c r="A3581" t="str">
        <f>"20190303162328430"</f>
        <v>20190303162328430</v>
      </c>
      <c r="B3581" t="str">
        <f>"1551601408417930"</f>
        <v>1551601408417930</v>
      </c>
      <c r="C3581" t="s">
        <v>40</v>
      </c>
      <c r="D3581">
        <v>5.1684549999999998</v>
      </c>
      <c r="E3581">
        <v>0.55654680000000001</v>
      </c>
      <c r="F3581" t="s">
        <v>47</v>
      </c>
      <c r="G3581">
        <v>-246.96420000000001</v>
      </c>
      <c r="H3581" s="1">
        <v>2.2788399999999999E-6</v>
      </c>
      <c r="I3581">
        <v>212.10890000000001</v>
      </c>
      <c r="J3581">
        <v>-266.95310000000001</v>
      </c>
      <c r="K3581">
        <v>1.1210169999999999</v>
      </c>
      <c r="L3581">
        <v>215.3004</v>
      </c>
      <c r="M3581">
        <v>0.99989729999999999</v>
      </c>
      <c r="N3581">
        <v>-1.4324969999999999E-2</v>
      </c>
      <c r="O3581">
        <v>-6.2237559999999998E-4</v>
      </c>
      <c r="P3581">
        <v>0.98090599999999994</v>
      </c>
      <c r="Q3581">
        <v>0.1939312</v>
      </c>
      <c r="R3581">
        <v>-1.4637610000000001E-2</v>
      </c>
      <c r="S3581">
        <v>3.0855100000000002</v>
      </c>
      <c r="T3581">
        <v>-0.17016199999999901</v>
      </c>
      <c r="U3581">
        <v>-0.48449710000000001</v>
      </c>
      <c r="V3581">
        <v>1.406407E-2</v>
      </c>
      <c r="W3581">
        <v>0.2079607</v>
      </c>
      <c r="X3581">
        <v>0.97803600000000002</v>
      </c>
      <c r="Y3581">
        <v>0.15421879999999999</v>
      </c>
      <c r="Z3581">
        <v>-5.3106169999999897E-3</v>
      </c>
      <c r="AA3581">
        <v>0.98802239999999997</v>
      </c>
      <c r="AB3581">
        <v>31</v>
      </c>
      <c r="AC3581">
        <v>19.988900000000001</v>
      </c>
      <c r="AD3581">
        <v>-1.1210147211599999</v>
      </c>
      <c r="AE3581">
        <v>-3.1914999999999898</v>
      </c>
      <c r="AF3581">
        <v>3.1693371772040102</v>
      </c>
      <c r="AG3581">
        <v>-1.1210147211599999</v>
      </c>
      <c r="AH3581">
        <v>19.929758273104898</v>
      </c>
      <c r="AI3581">
        <v>93.179527824275894</v>
      </c>
      <c r="AJ3581">
        <v>80.964179669042906</v>
      </c>
      <c r="AK3581">
        <v>20.2112997348577</v>
      </c>
      <c r="AL3581">
        <v>77.997128429247596</v>
      </c>
      <c r="AM3581">
        <v>89.176148609813595</v>
      </c>
      <c r="AN3581">
        <v>0.99999993405272503</v>
      </c>
    </row>
    <row r="3582" spans="1:40" x14ac:dyDescent="0.25">
      <c r="A3582" t="str">
        <f>"20190303162328450"</f>
        <v>20190303162328450</v>
      </c>
      <c r="B3582" t="str">
        <f>"1551601408438426"</f>
        <v>1551601408438426</v>
      </c>
      <c r="C3582" t="s">
        <v>40</v>
      </c>
      <c r="D3582">
        <v>5.180593</v>
      </c>
      <c r="E3582">
        <v>0.55657630000000002</v>
      </c>
      <c r="F3582" t="s">
        <v>47</v>
      </c>
      <c r="G3582">
        <v>-246.8509</v>
      </c>
      <c r="H3582" s="1">
        <v>2.217953E-6</v>
      </c>
      <c r="I3582">
        <v>212.1224</v>
      </c>
      <c r="J3582">
        <v>-266.68310000000002</v>
      </c>
      <c r="K3582">
        <v>1.121019</v>
      </c>
      <c r="L3582">
        <v>215.30019999999999</v>
      </c>
      <c r="M3582">
        <v>0.99989720000000004</v>
      </c>
      <c r="N3582">
        <v>-1.4322079999999999E-2</v>
      </c>
      <c r="O3582">
        <v>-6.7992750000000005E-4</v>
      </c>
      <c r="P3582">
        <v>0.98087820000000003</v>
      </c>
      <c r="Q3582">
        <v>0.19402730000000001</v>
      </c>
      <c r="R3582">
        <v>-1.521545E-2</v>
      </c>
      <c r="S3582">
        <v>3.0851440000000001</v>
      </c>
      <c r="T3582">
        <v>-0.17204559999999999</v>
      </c>
      <c r="U3582">
        <v>-0.48774719999999999</v>
      </c>
      <c r="V3582">
        <v>1.458549E-2</v>
      </c>
      <c r="W3582">
        <v>0.20805360000000001</v>
      </c>
      <c r="X3582">
        <v>0.97800869999999995</v>
      </c>
      <c r="Y3582">
        <v>0.15518789999999999</v>
      </c>
      <c r="Z3582">
        <v>-5.3884140000000002E-3</v>
      </c>
      <c r="AA3582">
        <v>0.98787029999999998</v>
      </c>
      <c r="AB3582">
        <v>31</v>
      </c>
      <c r="AC3582">
        <v>19.8322</v>
      </c>
      <c r="AD3582">
        <v>-1.1210167820469901</v>
      </c>
      <c r="AE3582">
        <v>-3.1777999999999902</v>
      </c>
      <c r="AF3582">
        <v>3.1544868670126198</v>
      </c>
      <c r="AG3582">
        <v>-1.1210167820469901</v>
      </c>
      <c r="AH3582">
        <v>19.7727620858014</v>
      </c>
      <c r="AI3582">
        <v>93.204472660544198</v>
      </c>
      <c r="AJ3582">
        <v>80.935591512963498</v>
      </c>
      <c r="AK3582">
        <v>20.054166313299898</v>
      </c>
      <c r="AL3582">
        <v>77.991687758420596</v>
      </c>
      <c r="AM3582">
        <v>89.145585236595096</v>
      </c>
      <c r="AN3582">
        <v>1.00000002713359</v>
      </c>
    </row>
    <row r="3583" spans="1:40" x14ac:dyDescent="0.25">
      <c r="A3583" t="str">
        <f>"20190303162328472"</f>
        <v>20190303162328472</v>
      </c>
      <c r="B3583" t="str">
        <f>"1551601408457946"</f>
        <v>1551601408457946</v>
      </c>
      <c r="C3583" t="s">
        <v>40</v>
      </c>
      <c r="D3583">
        <v>5.1894169999999997</v>
      </c>
      <c r="E3583">
        <v>0.55669669999999905</v>
      </c>
      <c r="F3583" t="s">
        <v>47</v>
      </c>
      <c r="G3583">
        <v>-246.64490000000001</v>
      </c>
      <c r="H3583" s="1">
        <v>2.1082539999999998E-6</v>
      </c>
      <c r="I3583">
        <v>212.12360000000001</v>
      </c>
      <c r="J3583">
        <v>-266.37419999999997</v>
      </c>
      <c r="K3583">
        <v>1.1210180000000001</v>
      </c>
      <c r="L3583">
        <v>215.29990000000001</v>
      </c>
      <c r="M3583">
        <v>0.99989720000000004</v>
      </c>
      <c r="N3583">
        <v>-1.431879E-2</v>
      </c>
      <c r="O3583">
        <v>-7.4582070000000003E-4</v>
      </c>
      <c r="P3583">
        <v>0.98086770000000001</v>
      </c>
      <c r="Q3583">
        <v>0.19407940000000001</v>
      </c>
      <c r="R3583">
        <v>-1.522124E-2</v>
      </c>
      <c r="S3583">
        <v>3.0850520000000001</v>
      </c>
      <c r="T3583">
        <v>-0.17258979999999999</v>
      </c>
      <c r="U3583">
        <v>-0.48905939999999998</v>
      </c>
      <c r="V3583">
        <v>1.4526499999999999E-2</v>
      </c>
      <c r="W3583">
        <v>0.20810200000000001</v>
      </c>
      <c r="X3583">
        <v>0.97799930000000002</v>
      </c>
      <c r="Y3583">
        <v>0.1555349</v>
      </c>
      <c r="Z3583">
        <v>-5.4110529999999999E-3</v>
      </c>
      <c r="AA3583">
        <v>0.98781560000000002</v>
      </c>
      <c r="AB3583">
        <v>31</v>
      </c>
      <c r="AC3583">
        <v>19.729299999999899</v>
      </c>
      <c r="AD3583">
        <v>-1.121015891746</v>
      </c>
      <c r="AE3583">
        <v>-3.1762999999999901</v>
      </c>
      <c r="AF3583">
        <v>3.1516650183166601</v>
      </c>
      <c r="AG3583">
        <v>-1.121015891746</v>
      </c>
      <c r="AH3583">
        <v>19.669764334326999</v>
      </c>
      <c r="AI3583">
        <v>93.220867877678501</v>
      </c>
      <c r="AJ3583">
        <v>80.896934998906502</v>
      </c>
      <c r="AK3583">
        <v>19.952175269508601</v>
      </c>
      <c r="AL3583">
        <v>77.9888528198003</v>
      </c>
      <c r="AM3583">
        <v>89.149032170749607</v>
      </c>
      <c r="AN3583">
        <v>1.00000004620336</v>
      </c>
    </row>
    <row r="3584" spans="1:40" x14ac:dyDescent="0.25">
      <c r="A3584" t="str">
        <f>"20190303162328494"</f>
        <v>20190303162328494</v>
      </c>
      <c r="B3584" t="str">
        <f>"1551601408488202"</f>
        <v>1551601408488202</v>
      </c>
      <c r="C3584" t="s">
        <v>40</v>
      </c>
      <c r="D3584">
        <v>5.2284090000000001</v>
      </c>
      <c r="E3584">
        <v>0.55678890000000003</v>
      </c>
      <c r="F3584" t="s">
        <v>47</v>
      </c>
      <c r="G3584">
        <v>-246.36969999999999</v>
      </c>
      <c r="H3584" s="1">
        <v>1.9618539999999998E-6</v>
      </c>
      <c r="I3584">
        <v>212.12209999999999</v>
      </c>
      <c r="J3584">
        <v>-266.07400000000001</v>
      </c>
      <c r="K3584">
        <v>1.1210199999999999</v>
      </c>
      <c r="L3584">
        <v>215.2996</v>
      </c>
      <c r="M3584">
        <v>0.99989720000000004</v>
      </c>
      <c r="N3584">
        <v>-1.431559E-2</v>
      </c>
      <c r="O3584">
        <v>-8.0992659999999997E-4</v>
      </c>
      <c r="P3584">
        <v>0.98079349999999998</v>
      </c>
      <c r="Q3584">
        <v>0.1944718</v>
      </c>
      <c r="R3584">
        <v>-1.4992220000000001E-2</v>
      </c>
      <c r="S3584">
        <v>3.0851440000000001</v>
      </c>
      <c r="T3584">
        <v>-0.1728857</v>
      </c>
      <c r="U3584">
        <v>-0.490097</v>
      </c>
      <c r="V3584">
        <v>1.4234810000000001E-2</v>
      </c>
      <c r="W3584">
        <v>0.20849010000000001</v>
      </c>
      <c r="X3584">
        <v>0.97792089999999998</v>
      </c>
      <c r="Y3584">
        <v>0.15578979999999901</v>
      </c>
      <c r="Z3584">
        <v>-5.4241929999999999E-3</v>
      </c>
      <c r="AA3584">
        <v>0.98777530000000002</v>
      </c>
      <c r="AB3584">
        <v>31</v>
      </c>
      <c r="AC3584">
        <v>19.7043</v>
      </c>
      <c r="AD3584">
        <v>-1.121018038146</v>
      </c>
      <c r="AE3584">
        <v>-3.1775000000000002</v>
      </c>
      <c r="AF3584">
        <v>3.1515960407297801</v>
      </c>
      <c r="AG3584">
        <v>-1.121018038146</v>
      </c>
      <c r="AH3584">
        <v>19.644894188259901</v>
      </c>
      <c r="AI3584">
        <v>93.224842739116596</v>
      </c>
      <c r="AJ3584">
        <v>80.885800100210503</v>
      </c>
      <c r="AK3584">
        <v>19.927646793179601</v>
      </c>
      <c r="AL3584">
        <v>77.9661173208804</v>
      </c>
      <c r="AM3584">
        <v>89.166050199987694</v>
      </c>
      <c r="AN3584">
        <v>1.00000001913527</v>
      </c>
    </row>
    <row r="3585" spans="1:40" x14ac:dyDescent="0.25">
      <c r="A3585" t="str">
        <f>"20190303162328518"</f>
        <v>20190303162328518</v>
      </c>
      <c r="B3585" t="str">
        <f>"1551601408507722"</f>
        <v>1551601408507722</v>
      </c>
      <c r="C3585" t="s">
        <v>40</v>
      </c>
      <c r="D3585">
        <v>5.349513</v>
      </c>
      <c r="E3585">
        <v>0.55661579999999999</v>
      </c>
      <c r="F3585" t="s">
        <v>47</v>
      </c>
      <c r="G3585">
        <v>-246.11070000000001</v>
      </c>
      <c r="H3585" s="1">
        <v>1.823854E-6</v>
      </c>
      <c r="I3585">
        <v>212.12700000000001</v>
      </c>
      <c r="J3585">
        <v>-265.7491</v>
      </c>
      <c r="K3585">
        <v>1.1210209999999901</v>
      </c>
      <c r="L3585">
        <v>215.29929999999999</v>
      </c>
      <c r="M3585">
        <v>0.99989729999999999</v>
      </c>
      <c r="N3585">
        <v>-1.4312129999999999E-2</v>
      </c>
      <c r="O3585">
        <v>-8.79275E-4</v>
      </c>
      <c r="P3585">
        <v>0.98074620000000001</v>
      </c>
      <c r="Q3585">
        <v>0.1947226</v>
      </c>
      <c r="R3585">
        <v>-1.483725E-2</v>
      </c>
      <c r="S3585">
        <v>3.0855709999999998</v>
      </c>
      <c r="T3585">
        <v>-0.173267</v>
      </c>
      <c r="U3585">
        <v>-0.49037170000000002</v>
      </c>
      <c r="V3585">
        <v>1.4011839999999999E-2</v>
      </c>
      <c r="W3585">
        <v>0.2087368</v>
      </c>
      <c r="X3585">
        <v>0.9778715</v>
      </c>
      <c r="Y3585">
        <v>0.1557849</v>
      </c>
      <c r="Z3585">
        <v>-5.4297019999999998E-3</v>
      </c>
      <c r="AA3585">
        <v>0.98777610000000005</v>
      </c>
      <c r="AB3585">
        <v>31</v>
      </c>
      <c r="AC3585">
        <v>19.638399999999901</v>
      </c>
      <c r="AD3585">
        <v>-1.12101917614599</v>
      </c>
      <c r="AE3585">
        <v>-3.1722999999999701</v>
      </c>
      <c r="AF3585">
        <v>3.1450420327965301</v>
      </c>
      <c r="AG3585">
        <v>-1.12101917614599</v>
      </c>
      <c r="AH3585">
        <v>19.579006772300499</v>
      </c>
      <c r="AI3585">
        <v>93.235571611461197</v>
      </c>
      <c r="AJ3585">
        <v>80.874342419445</v>
      </c>
      <c r="AK3585">
        <v>19.861658530221799</v>
      </c>
      <c r="AL3585">
        <v>77.9516645582937</v>
      </c>
      <c r="AM3585">
        <v>89.179069685949202</v>
      </c>
      <c r="AN3585">
        <v>1.00000002692333</v>
      </c>
    </row>
    <row r="3586" spans="1:40" x14ac:dyDescent="0.25">
      <c r="A3586" t="str">
        <f>"20190303162328561"</f>
        <v>20190303162328561</v>
      </c>
      <c r="B3586" t="str">
        <f>"1551601408547738"</f>
        <v>1551601408547738</v>
      </c>
      <c r="C3586" t="s">
        <v>40</v>
      </c>
      <c r="D3586">
        <v>5.3615059999999897</v>
      </c>
      <c r="E3586">
        <v>0.52347010000000005</v>
      </c>
      <c r="F3586" t="s">
        <v>47</v>
      </c>
      <c r="G3586">
        <v>-245.99340000000001</v>
      </c>
      <c r="H3586" s="1">
        <v>1.7594179999999999E-6</v>
      </c>
      <c r="I3586">
        <v>212.173</v>
      </c>
      <c r="J3586">
        <v>-265.15019999999998</v>
      </c>
      <c r="K3586">
        <v>1.121016</v>
      </c>
      <c r="L3586">
        <v>215.29859999999999</v>
      </c>
      <c r="M3586">
        <v>0.99989720000000004</v>
      </c>
      <c r="N3586">
        <v>-1.4305760000000001E-2</v>
      </c>
      <c r="O3586">
        <v>-1.006891E-3</v>
      </c>
      <c r="P3586">
        <v>0.98070729999999995</v>
      </c>
      <c r="Q3586">
        <v>0.19491</v>
      </c>
      <c r="R3586">
        <v>-1.49572E-2</v>
      </c>
      <c r="S3586">
        <v>3.0862729999999998</v>
      </c>
      <c r="T3586">
        <v>-0.17512820000000001</v>
      </c>
      <c r="U3586">
        <v>-0.48838809999999999</v>
      </c>
      <c r="V3586">
        <v>1.400614E-2</v>
      </c>
      <c r="W3586">
        <v>0.20891770000000001</v>
      </c>
      <c r="X3586">
        <v>0.9778329</v>
      </c>
      <c r="Y3586">
        <v>0.15500059999999999</v>
      </c>
      <c r="Z3586">
        <v>-5.4413350000000003E-3</v>
      </c>
      <c r="AA3586">
        <v>0.98789939999999998</v>
      </c>
      <c r="AB3586">
        <v>31</v>
      </c>
      <c r="AC3586">
        <v>19.156799999999901</v>
      </c>
      <c r="AD3586">
        <v>-1.1210142405820001</v>
      </c>
      <c r="AE3586">
        <v>-3.1255999999999902</v>
      </c>
      <c r="AF3586">
        <v>3.09598086151802</v>
      </c>
      <c r="AG3586">
        <v>-1.1210142405820001</v>
      </c>
      <c r="AH3586">
        <v>19.0962414523921</v>
      </c>
      <c r="AI3586">
        <v>93.316397484174203</v>
      </c>
      <c r="AJ3586">
        <v>80.791040209062402</v>
      </c>
      <c r="AK3586">
        <v>19.3780341632099</v>
      </c>
      <c r="AL3586">
        <v>77.941065493923603</v>
      </c>
      <c r="AM3586">
        <v>89.179371205106307</v>
      </c>
      <c r="AN3586">
        <v>0.999999978826699</v>
      </c>
    </row>
    <row r="3587" spans="1:40" x14ac:dyDescent="0.25">
      <c r="A3587" t="str">
        <f>"20190303162328585"</f>
        <v>20190303162328585</v>
      </c>
      <c r="B3587" t="str">
        <f>"1551601408577994"</f>
        <v>1551601408577994</v>
      </c>
      <c r="C3587" t="s">
        <v>40</v>
      </c>
      <c r="D3587">
        <v>5.4241960000000002</v>
      </c>
      <c r="E3587">
        <v>0.51737849999999996</v>
      </c>
      <c r="F3587" t="s">
        <v>47</v>
      </c>
      <c r="G3587">
        <v>-249.53479999999999</v>
      </c>
      <c r="H3587" s="1">
        <v>3.5566349999999999E-6</v>
      </c>
      <c r="I3587">
        <v>214.1704</v>
      </c>
      <c r="J3587">
        <v>-264.83359999999999</v>
      </c>
      <c r="K3587">
        <v>1.121019</v>
      </c>
      <c r="L3587">
        <v>215.29820000000001</v>
      </c>
      <c r="M3587">
        <v>0.99989729999999999</v>
      </c>
      <c r="N3587">
        <v>-1.43024E-2</v>
      </c>
      <c r="O3587">
        <v>-1.074691E-3</v>
      </c>
      <c r="P3587">
        <v>0.98062859999999996</v>
      </c>
      <c r="Q3587">
        <v>0.1953047</v>
      </c>
      <c r="R3587">
        <v>-1.4963229999999999E-2</v>
      </c>
      <c r="S3587">
        <v>3.0998230000000002</v>
      </c>
      <c r="T3587">
        <v>-0.22253249999999999</v>
      </c>
      <c r="U3587">
        <v>-0.22395319999999999</v>
      </c>
      <c r="V3587">
        <v>1.3945849999999999E-2</v>
      </c>
      <c r="W3587">
        <v>0.20930799999999999</v>
      </c>
      <c r="X3587">
        <v>0.97775029999999996</v>
      </c>
      <c r="Y3587">
        <v>7.0771479999999998E-2</v>
      </c>
      <c r="Z3587">
        <v>-2.9796929999999998E-3</v>
      </c>
      <c r="AA3587">
        <v>0.99748809999999999</v>
      </c>
      <c r="AB3587">
        <v>31</v>
      </c>
      <c r="AC3587">
        <v>15.2988</v>
      </c>
      <c r="AD3587">
        <v>-1.1210154433649999</v>
      </c>
      <c r="AE3587">
        <v>-1.1277999999999999</v>
      </c>
      <c r="AF3587">
        <v>1.1054528851799099</v>
      </c>
      <c r="AG3587">
        <v>-1.1210154433649999</v>
      </c>
      <c r="AH3587">
        <v>15.218732769864801</v>
      </c>
      <c r="AI3587">
        <v>94.201781892427903</v>
      </c>
      <c r="AJ3587">
        <v>85.845466097478194</v>
      </c>
      <c r="AK3587">
        <v>15.299951922348299</v>
      </c>
      <c r="AL3587">
        <v>77.918197475787196</v>
      </c>
      <c r="AM3587">
        <v>89.182834136520597</v>
      </c>
      <c r="AN3587">
        <v>0.99999998737315599</v>
      </c>
    </row>
    <row r="3588" spans="1:40" x14ac:dyDescent="0.25">
      <c r="A3588" t="str">
        <f>"20190303162328607"</f>
        <v>20190303162328607</v>
      </c>
      <c r="B3588" t="str">
        <f>"1551601408598491"</f>
        <v>1551601408598491</v>
      </c>
      <c r="C3588" t="s">
        <v>40</v>
      </c>
      <c r="D3588">
        <v>5.4194000000000004</v>
      </c>
      <c r="E3588">
        <v>0.51610040000000001</v>
      </c>
      <c r="F3588" t="s">
        <v>47</v>
      </c>
      <c r="G3588">
        <v>-245.46180000000001</v>
      </c>
      <c r="H3588" s="1">
        <v>1.3880140000000001E-6</v>
      </c>
      <c r="I3588">
        <v>214.19739999999999</v>
      </c>
      <c r="J3588">
        <v>-264.53250000000003</v>
      </c>
      <c r="K3588">
        <v>1.1210180000000001</v>
      </c>
      <c r="L3588">
        <v>215.2978</v>
      </c>
      <c r="M3588">
        <v>0.99989720000000004</v>
      </c>
      <c r="N3588">
        <v>-1.429918E-2</v>
      </c>
      <c r="O3588">
        <v>-1.1391509999999999E-3</v>
      </c>
      <c r="P3588">
        <v>0.98053939999999995</v>
      </c>
      <c r="Q3588">
        <v>0.1957324</v>
      </c>
      <c r="R3588">
        <v>-1.521488E-2</v>
      </c>
      <c r="S3588">
        <v>3.0922239999999999</v>
      </c>
      <c r="T3588">
        <v>-0.17894199999999999</v>
      </c>
      <c r="U3588">
        <v>-0.17572019999999999</v>
      </c>
      <c r="V3588">
        <v>1.413444E-2</v>
      </c>
      <c r="W3588">
        <v>0.20973140000000001</v>
      </c>
      <c r="X3588">
        <v>0.97765690000000005</v>
      </c>
      <c r="Y3588">
        <v>5.5483070000000002E-2</v>
      </c>
      <c r="Z3588">
        <v>-1.950614E-3</v>
      </c>
      <c r="AA3588">
        <v>0.9984577</v>
      </c>
      <c r="AB3588">
        <v>31</v>
      </c>
      <c r="AC3588">
        <v>19.070699999999999</v>
      </c>
      <c r="AD3588">
        <v>-1.1210166119860001</v>
      </c>
      <c r="AE3588">
        <v>-1.1004</v>
      </c>
      <c r="AF3588">
        <v>1.0749705959657401</v>
      </c>
      <c r="AG3588">
        <v>-1.1210166119860001</v>
      </c>
      <c r="AH3588">
        <v>19.0064853284875</v>
      </c>
      <c r="AI3588">
        <v>93.370063787403893</v>
      </c>
      <c r="AJ3588">
        <v>86.762908562697106</v>
      </c>
      <c r="AK3588">
        <v>19.069838084486999</v>
      </c>
      <c r="AL3588">
        <v>77.893388280038806</v>
      </c>
      <c r="AM3588">
        <v>89.171706003603404</v>
      </c>
      <c r="AN3588">
        <v>1.0000000283288399</v>
      </c>
    </row>
    <row r="3589" spans="1:40" x14ac:dyDescent="0.25">
      <c r="A3589" t="str">
        <f>"20190303162328652"</f>
        <v>20190303162328652</v>
      </c>
      <c r="B3589" t="str">
        <f>"1551601408638506"</f>
        <v>1551601408638506</v>
      </c>
      <c r="C3589" t="s">
        <v>40</v>
      </c>
      <c r="D3589">
        <v>5.1787939999999999</v>
      </c>
      <c r="E3589">
        <v>0.51490069999999999</v>
      </c>
      <c r="F3589" t="s">
        <v>47</v>
      </c>
      <c r="G3589">
        <v>-244.04320000000001</v>
      </c>
      <c r="H3589" s="1">
        <v>6.3319869999999997E-7</v>
      </c>
      <c r="I3589">
        <v>214.19550000000001</v>
      </c>
      <c r="J3589">
        <v>-263.92610000000002</v>
      </c>
      <c r="K3589">
        <v>1.1210279999999999</v>
      </c>
      <c r="L3589">
        <v>215.297</v>
      </c>
      <c r="M3589">
        <v>0.99989700000000004</v>
      </c>
      <c r="N3589">
        <v>-1.429273E-2</v>
      </c>
      <c r="O3589">
        <v>-1.268674E-3</v>
      </c>
      <c r="P3589">
        <v>0.9803868</v>
      </c>
      <c r="Q3589">
        <v>0.19643360000000001</v>
      </c>
      <c r="R3589">
        <v>-1.598424E-2</v>
      </c>
      <c r="S3589">
        <v>3.0907290000000001</v>
      </c>
      <c r="T3589">
        <v>-0.16910120000000001</v>
      </c>
      <c r="U3589">
        <v>-0.16627500000000001</v>
      </c>
      <c r="V3589">
        <v>1.4777E-2</v>
      </c>
      <c r="W3589">
        <v>0.21042369999999999</v>
      </c>
      <c r="X3589">
        <v>0.9774986</v>
      </c>
      <c r="Y3589">
        <v>5.2355789999999999E-2</v>
      </c>
      <c r="Z3589">
        <v>-1.7537500000000001E-3</v>
      </c>
      <c r="AA3589">
        <v>0.99862689999999998</v>
      </c>
      <c r="AB3589">
        <v>30</v>
      </c>
      <c r="AC3589">
        <v>19.882899999999999</v>
      </c>
      <c r="AD3589">
        <v>-1.1210273668013</v>
      </c>
      <c r="AE3589">
        <v>-1.1014999999999799</v>
      </c>
      <c r="AF3589">
        <v>1.0728715313944299</v>
      </c>
      <c r="AG3589">
        <v>-1.1210273668013</v>
      </c>
      <c r="AH3589">
        <v>19.821464485548699</v>
      </c>
      <c r="AI3589">
        <v>93.232263847983205</v>
      </c>
      <c r="AJ3589">
        <v>86.901788694586003</v>
      </c>
      <c r="AK3589">
        <v>19.882107786446099</v>
      </c>
      <c r="AL3589">
        <v>77.852816743270196</v>
      </c>
      <c r="AM3589">
        <v>89.133916665016002</v>
      </c>
      <c r="AN3589">
        <v>1.0000000031263201</v>
      </c>
    </row>
    <row r="3590" spans="1:40" x14ac:dyDescent="0.25">
      <c r="A3590" t="str">
        <f>"20190303162328673"</f>
        <v>20190303162328673</v>
      </c>
      <c r="B3590" t="str">
        <f>"1551601408658027"</f>
        <v>1551601408658027</v>
      </c>
      <c r="C3590" t="s">
        <v>40</v>
      </c>
      <c r="D3590">
        <v>5.2692880000000004</v>
      </c>
      <c r="E3590">
        <v>0.51415719999999998</v>
      </c>
      <c r="F3590" t="s">
        <v>47</v>
      </c>
      <c r="G3590">
        <v>-242.69409999999999</v>
      </c>
      <c r="H3590" s="1">
        <v>-8.5208509999999896E-8</v>
      </c>
      <c r="I3590">
        <v>214.20689999999999</v>
      </c>
      <c r="J3590">
        <v>-263.62490000000003</v>
      </c>
      <c r="K3590">
        <v>1.12103</v>
      </c>
      <c r="L3590">
        <v>215.29650000000001</v>
      </c>
      <c r="M3590">
        <v>0.99989720000000004</v>
      </c>
      <c r="N3590">
        <v>-1.428948E-2</v>
      </c>
      <c r="O3590">
        <v>-1.333257E-3</v>
      </c>
      <c r="P3590">
        <v>0.98037609999999997</v>
      </c>
      <c r="Q3590">
        <v>0.19645099999999999</v>
      </c>
      <c r="R3590">
        <v>-1.6436030000000001E-2</v>
      </c>
      <c r="S3590">
        <v>3.0900880000000002</v>
      </c>
      <c r="T3590">
        <v>-0.1631541</v>
      </c>
      <c r="U3590">
        <v>-0.1586456</v>
      </c>
      <c r="V3590">
        <v>1.5165430000000001E-2</v>
      </c>
      <c r="W3590">
        <v>0.21043770000000001</v>
      </c>
      <c r="X3590">
        <v>0.97748970000000002</v>
      </c>
      <c r="Y3590">
        <v>4.9853870000000002E-2</v>
      </c>
      <c r="Z3590">
        <v>-1.6198339999999999E-3</v>
      </c>
      <c r="AA3590">
        <v>0.99875519999999995</v>
      </c>
      <c r="AB3590">
        <v>30</v>
      </c>
      <c r="AC3590">
        <v>20.930800000000001</v>
      </c>
      <c r="AD3590">
        <v>-1.12103008520851</v>
      </c>
      <c r="AE3590">
        <v>-1.0896000000000099</v>
      </c>
      <c r="AF3590">
        <v>1.0586614325183801</v>
      </c>
      <c r="AG3590">
        <v>-1.12103008520851</v>
      </c>
      <c r="AH3590">
        <v>20.8725221391548</v>
      </c>
      <c r="AI3590">
        <v>93.070372493497402</v>
      </c>
      <c r="AJ3590">
        <v>87.096426706512602</v>
      </c>
      <c r="AK3590">
        <v>20.929396860161798</v>
      </c>
      <c r="AL3590">
        <v>77.851996989812093</v>
      </c>
      <c r="AM3590">
        <v>89.111146208325394</v>
      </c>
      <c r="AN3590">
        <v>1.00000006472723</v>
      </c>
    </row>
    <row r="3591" spans="1:40" x14ac:dyDescent="0.25">
      <c r="A3591" t="str">
        <f>"20190303162328696"</f>
        <v>20190303162328696</v>
      </c>
      <c r="B3591" t="str">
        <f>"1551601408688283"</f>
        <v>1551601408688283</v>
      </c>
      <c r="C3591" t="s">
        <v>40</v>
      </c>
      <c r="D3591">
        <v>5.2524220000000001</v>
      </c>
      <c r="E3591">
        <v>0.51382950000000005</v>
      </c>
      <c r="F3591" t="s">
        <v>47</v>
      </c>
      <c r="G3591">
        <v>-242.40110000000001</v>
      </c>
      <c r="H3591" s="1">
        <v>-2.4247420000000002E-7</v>
      </c>
      <c r="I3591">
        <v>214.2373</v>
      </c>
      <c r="J3591">
        <v>-263.32350000000002</v>
      </c>
      <c r="K3591">
        <v>1.121027</v>
      </c>
      <c r="L3591">
        <v>215.2961</v>
      </c>
      <c r="M3591">
        <v>0.99989709999999998</v>
      </c>
      <c r="N3591">
        <v>-1.428623E-2</v>
      </c>
      <c r="O3591">
        <v>-1.3976010000000001E-3</v>
      </c>
      <c r="P3591">
        <v>0.9804486</v>
      </c>
      <c r="Q3591">
        <v>0.19606380000000001</v>
      </c>
      <c r="R3591">
        <v>-1.6729520000000001E-2</v>
      </c>
      <c r="S3591">
        <v>3.090179</v>
      </c>
      <c r="T3591">
        <v>-0.16322159999999999</v>
      </c>
      <c r="U3591">
        <v>-0.15422060000000001</v>
      </c>
      <c r="V3591">
        <v>1.539565E-2</v>
      </c>
      <c r="W3591">
        <v>0.2100484</v>
      </c>
      <c r="X3591">
        <v>0.97756980000000004</v>
      </c>
      <c r="Y3591">
        <v>4.8364119999999997E-2</v>
      </c>
      <c r="Z3591">
        <v>-1.5678319999999999E-3</v>
      </c>
      <c r="AA3591">
        <v>0.99882850000000001</v>
      </c>
      <c r="AB3591">
        <v>30</v>
      </c>
      <c r="AC3591">
        <v>20.9224</v>
      </c>
      <c r="AD3591">
        <v>-1.1210272424742</v>
      </c>
      <c r="AE3591">
        <v>-1.05879999999999</v>
      </c>
      <c r="AF3591">
        <v>1.0266150964302001</v>
      </c>
      <c r="AG3591">
        <v>-1.1210272424742</v>
      </c>
      <c r="AH3591">
        <v>20.8641149140959</v>
      </c>
      <c r="AI3591">
        <v>93.071831125756205</v>
      </c>
      <c r="AJ3591">
        <v>87.183043195045201</v>
      </c>
      <c r="AK3591">
        <v>20.919415187408699</v>
      </c>
      <c r="AL3591">
        <v>77.874811809837595</v>
      </c>
      <c r="AM3591">
        <v>89.097729031962999</v>
      </c>
      <c r="AN3591">
        <v>1.0000000351267599</v>
      </c>
    </row>
    <row r="3592" spans="1:40" x14ac:dyDescent="0.25">
      <c r="A3592" t="str">
        <f>"20190303162328718"</f>
        <v>20190303162328718</v>
      </c>
      <c r="B3592" t="str">
        <f>"1551601408707802"</f>
        <v>1551601408707802</v>
      </c>
      <c r="C3592" t="s">
        <v>40</v>
      </c>
      <c r="D3592">
        <v>5.2648239999999999</v>
      </c>
      <c r="E3592">
        <v>0.51355010000000001</v>
      </c>
      <c r="F3592" t="s">
        <v>47</v>
      </c>
      <c r="G3592">
        <v>-241.80930000000001</v>
      </c>
      <c r="H3592" s="1">
        <v>-5.5728129999999998E-7</v>
      </c>
      <c r="I3592">
        <v>214.23439999999999</v>
      </c>
      <c r="J3592">
        <v>-263.02530000000002</v>
      </c>
      <c r="K3592">
        <v>1.1210209999999901</v>
      </c>
      <c r="L3592">
        <v>215.29560000000001</v>
      </c>
      <c r="M3592">
        <v>0.99989689999999998</v>
      </c>
      <c r="N3592">
        <v>-1.428303E-2</v>
      </c>
      <c r="O3592">
        <v>-1.46123E-3</v>
      </c>
      <c r="P3592">
        <v>0.98042739999999995</v>
      </c>
      <c r="Q3592">
        <v>0.19607759999999999</v>
      </c>
      <c r="R3592">
        <v>-1.777753E-2</v>
      </c>
      <c r="S3592">
        <v>3.0894170000000001</v>
      </c>
      <c r="T3592">
        <v>-0.16097819999999999</v>
      </c>
      <c r="U3592">
        <v>-0.15245059999999999</v>
      </c>
      <c r="V3592">
        <v>1.6381070000000001E-2</v>
      </c>
      <c r="W3592">
        <v>0.21005869999999999</v>
      </c>
      <c r="X3592">
        <v>0.97755150000000002</v>
      </c>
      <c r="Y3592">
        <v>4.7745089999999997E-2</v>
      </c>
      <c r="Z3592">
        <v>-1.5286129999999901E-3</v>
      </c>
      <c r="AA3592">
        <v>0.99885840000000004</v>
      </c>
      <c r="AB3592">
        <v>30</v>
      </c>
      <c r="AC3592">
        <v>21.216000000000001</v>
      </c>
      <c r="AD3592">
        <v>-1.12102155728129</v>
      </c>
      <c r="AE3592">
        <v>-1.0612000000000099</v>
      </c>
      <c r="AF3592">
        <v>1.02733318722783</v>
      </c>
      <c r="AG3592">
        <v>-1.12102155728129</v>
      </c>
      <c r="AH3592">
        <v>21.1586027387694</v>
      </c>
      <c r="AI3592">
        <v>93.029237849913898</v>
      </c>
      <c r="AJ3592">
        <v>87.220248116541697</v>
      </c>
      <c r="AK3592">
        <v>21.213169792997199</v>
      </c>
      <c r="AL3592">
        <v>77.874207346011403</v>
      </c>
      <c r="AM3592">
        <v>89.039970438112803</v>
      </c>
      <c r="AN3592">
        <v>0.99999996602614105</v>
      </c>
    </row>
    <row r="3593" spans="1:40" x14ac:dyDescent="0.25">
      <c r="A3593" t="str">
        <f>"20190303162328751"</f>
        <v>20190303162328751</v>
      </c>
      <c r="B3593" t="str">
        <f>"1551601408738058"</f>
        <v>1551601408738058</v>
      </c>
      <c r="C3593" t="s">
        <v>40</v>
      </c>
      <c r="D3593">
        <v>5.4760269999999904</v>
      </c>
      <c r="E3593">
        <v>0.51306589999999996</v>
      </c>
      <c r="F3593" t="s">
        <v>47</v>
      </c>
      <c r="G3593">
        <v>-241.45060000000001</v>
      </c>
      <c r="H3593" s="1">
        <v>-7.4780410000000001E-7</v>
      </c>
      <c r="I3593">
        <v>214.22579999999999</v>
      </c>
      <c r="J3593">
        <v>-262.57209999999998</v>
      </c>
      <c r="K3593">
        <v>1.1210199999999999</v>
      </c>
      <c r="L3593">
        <v>215.29480000000001</v>
      </c>
      <c r="M3593">
        <v>0.99989689999999998</v>
      </c>
      <c r="N3593">
        <v>-1.427813E-2</v>
      </c>
      <c r="O3593">
        <v>-1.5578650000000001E-3</v>
      </c>
      <c r="P3593">
        <v>0.98056779999999999</v>
      </c>
      <c r="Q3593">
        <v>0.19536220000000001</v>
      </c>
      <c r="R3593">
        <v>-1.790158E-2</v>
      </c>
      <c r="S3593">
        <v>3.089172</v>
      </c>
      <c r="T3593">
        <v>-0.16051289999999999</v>
      </c>
      <c r="U3593">
        <v>-0.15318300000000001</v>
      </c>
      <c r="V3593">
        <v>1.6410089999999999E-2</v>
      </c>
      <c r="W3593">
        <v>0.20934059999999999</v>
      </c>
      <c r="X3593">
        <v>0.97770509999999999</v>
      </c>
      <c r="Y3593">
        <v>4.7888920000000001E-2</v>
      </c>
      <c r="Z3593">
        <v>-1.526332E-3</v>
      </c>
      <c r="AA3593">
        <v>0.9988515</v>
      </c>
      <c r="AB3593">
        <v>30</v>
      </c>
      <c r="AC3593">
        <v>21.121499999999902</v>
      </c>
      <c r="AD3593">
        <v>-1.1210207478041001</v>
      </c>
      <c r="AE3593">
        <v>-1.0690000000000099</v>
      </c>
      <c r="AF3593">
        <v>1.0331879106721999</v>
      </c>
      <c r="AG3593">
        <v>-1.1210207478041001</v>
      </c>
      <c r="AH3593">
        <v>21.063955571587702</v>
      </c>
      <c r="AI3593">
        <v>93.042748123799996</v>
      </c>
      <c r="AJ3593">
        <v>87.191890167998096</v>
      </c>
      <c r="AK3593">
        <v>21.1190527509542</v>
      </c>
      <c r="AL3593">
        <v>77.916287719030706</v>
      </c>
      <c r="AM3593">
        <v>89.038421072028896</v>
      </c>
      <c r="AN3593">
        <v>1.00000002021408</v>
      </c>
    </row>
    <row r="3594" spans="1:40" x14ac:dyDescent="0.25">
      <c r="A3594" t="str">
        <f>"20190303162328774"</f>
        <v>20190303162328774</v>
      </c>
      <c r="B3594" t="str">
        <f>"1551601408768314"</f>
        <v>1551601408768314</v>
      </c>
      <c r="C3594" t="s">
        <v>40</v>
      </c>
      <c r="D3594">
        <v>5.3598119999999998</v>
      </c>
      <c r="E3594">
        <v>0.51254449999999996</v>
      </c>
      <c r="F3594" t="s">
        <v>47</v>
      </c>
      <c r="G3594">
        <v>-241.1354</v>
      </c>
      <c r="H3594" s="1">
        <v>-9.1661999999999996E-7</v>
      </c>
      <c r="I3594">
        <v>214.25110000000001</v>
      </c>
      <c r="J3594">
        <v>-262.27480000000003</v>
      </c>
      <c r="K3594">
        <v>1.1210209999999901</v>
      </c>
      <c r="L3594">
        <v>215.29429999999999</v>
      </c>
      <c r="M3594">
        <v>0.99989680000000003</v>
      </c>
      <c r="N3594">
        <v>-1.4275009999999999E-2</v>
      </c>
      <c r="O3594">
        <v>-1.6213759999999999E-3</v>
      </c>
      <c r="P3594">
        <v>0.98063699999999998</v>
      </c>
      <c r="Q3594">
        <v>0.1950528</v>
      </c>
      <c r="R3594">
        <v>-1.7491840000000002E-2</v>
      </c>
      <c r="S3594">
        <v>3.0889280000000001</v>
      </c>
      <c r="T3594">
        <v>-0.1615336</v>
      </c>
      <c r="U3594">
        <v>-0.15039060000000001</v>
      </c>
      <c r="V3594">
        <v>1.5937699999999999E-2</v>
      </c>
      <c r="W3594">
        <v>0.2090292</v>
      </c>
      <c r="X3594">
        <v>0.97777950000000002</v>
      </c>
      <c r="Y3594">
        <v>4.6929390000000001E-2</v>
      </c>
      <c r="Z3594">
        <v>-1.4994159999999999E-3</v>
      </c>
      <c r="AA3594">
        <v>0.99889709999999998</v>
      </c>
      <c r="AB3594">
        <v>30</v>
      </c>
      <c r="AC3594">
        <v>21.139399999999998</v>
      </c>
      <c r="AD3594">
        <v>-1.12102191661999</v>
      </c>
      <c r="AE3594">
        <v>-1.0431999999999799</v>
      </c>
      <c r="AF3594">
        <v>1.0060977671246001</v>
      </c>
      <c r="AG3594">
        <v>-1.12102191661999</v>
      </c>
      <c r="AH3594">
        <v>21.081921699419802</v>
      </c>
      <c r="AI3594">
        <v>93.040357468402107</v>
      </c>
      <c r="AJ3594">
        <v>87.267732329233098</v>
      </c>
      <c r="AK3594">
        <v>21.135665246095801</v>
      </c>
      <c r="AL3594">
        <v>77.934532840042806</v>
      </c>
      <c r="AM3594">
        <v>89.066167692864198</v>
      </c>
      <c r="AN3594">
        <v>0.99999998367708898</v>
      </c>
    </row>
    <row r="3595" spans="1:40" x14ac:dyDescent="0.25">
      <c r="A3595" t="str">
        <f>"20190303162328796"</f>
        <v>20190303162328796</v>
      </c>
      <c r="B3595" t="str">
        <f>"1551601408787835"</f>
        <v>1551601408787835</v>
      </c>
      <c r="C3595" t="s">
        <v>40</v>
      </c>
      <c r="D3595">
        <v>5.4188859999999996</v>
      </c>
      <c r="E3595">
        <v>0.51233050000000002</v>
      </c>
      <c r="F3595" t="s">
        <v>47</v>
      </c>
      <c r="G3595">
        <v>-240.6978</v>
      </c>
      <c r="H3595" s="1">
        <v>-1.150805E-6</v>
      </c>
      <c r="I3595">
        <v>214.2816</v>
      </c>
      <c r="J3595">
        <v>-261.96960000000001</v>
      </c>
      <c r="K3595">
        <v>1.121024</v>
      </c>
      <c r="L3595">
        <v>215.2937</v>
      </c>
      <c r="M3595">
        <v>0.99989680000000003</v>
      </c>
      <c r="N3595">
        <v>-1.427178E-2</v>
      </c>
      <c r="O3595">
        <v>-1.6864339999999999E-3</v>
      </c>
      <c r="P3595">
        <v>0.9806705</v>
      </c>
      <c r="Q3595">
        <v>0.19488710000000001</v>
      </c>
      <c r="R3595">
        <v>-1.7448479999999999E-2</v>
      </c>
      <c r="S3595">
        <v>3.088562</v>
      </c>
      <c r="T3595">
        <v>-0.1604651</v>
      </c>
      <c r="U3595">
        <v>-0.14495849999999999</v>
      </c>
      <c r="V3595">
        <v>1.583043E-2</v>
      </c>
      <c r="W3595">
        <v>0.20886080000000001</v>
      </c>
      <c r="X3595">
        <v>0.97781719999999905</v>
      </c>
      <c r="Y3595">
        <v>4.5121290000000001E-2</v>
      </c>
      <c r="Z3595">
        <v>-1.429683E-3</v>
      </c>
      <c r="AA3595">
        <v>0.99898050000000005</v>
      </c>
      <c r="AB3595">
        <v>30</v>
      </c>
      <c r="AC3595">
        <v>21.271799999999999</v>
      </c>
      <c r="AD3595">
        <v>-1.121025150805</v>
      </c>
      <c r="AE3595">
        <v>-1.0121</v>
      </c>
      <c r="AF3595">
        <v>0.97352376512765704</v>
      </c>
      <c r="AG3595">
        <v>-1.121025150805</v>
      </c>
      <c r="AH3595">
        <v>21.214690355962599</v>
      </c>
      <c r="AI3595">
        <v>93.021632298687607</v>
      </c>
      <c r="AJ3595">
        <v>87.372589548934997</v>
      </c>
      <c r="AK3595">
        <v>21.266582537149102</v>
      </c>
      <c r="AL3595">
        <v>77.944398893222896</v>
      </c>
      <c r="AM3595">
        <v>89.072487581787101</v>
      </c>
      <c r="AN3595">
        <v>0.99999995645323103</v>
      </c>
    </row>
    <row r="3596" spans="1:40" x14ac:dyDescent="0.25">
      <c r="A3596" t="str">
        <f>"20190303162328819"</f>
        <v>20190303162328819</v>
      </c>
      <c r="B3596" t="str">
        <f>"1551601408798570"</f>
        <v>1551601408798570</v>
      </c>
      <c r="C3596" t="s">
        <v>40</v>
      </c>
      <c r="D3596">
        <v>5.3235910000000004</v>
      </c>
      <c r="E3596">
        <v>0.51217849999999998</v>
      </c>
      <c r="F3596" t="s">
        <v>47</v>
      </c>
      <c r="G3596">
        <v>-240.27850000000001</v>
      </c>
      <c r="H3596" s="1">
        <v>-1.3744799999999901E-6</v>
      </c>
      <c r="I3596">
        <v>214.29329999999999</v>
      </c>
      <c r="J3596">
        <v>-261.66640000000001</v>
      </c>
      <c r="K3596">
        <v>1.121022</v>
      </c>
      <c r="L3596">
        <v>215.29320000000001</v>
      </c>
      <c r="M3596">
        <v>0.99989660000000002</v>
      </c>
      <c r="N3596">
        <v>-1.426851E-2</v>
      </c>
      <c r="O3596">
        <v>-1.7516109999999999E-3</v>
      </c>
      <c r="P3596">
        <v>0.98080460000000003</v>
      </c>
      <c r="Q3596">
        <v>0.19422790000000001</v>
      </c>
      <c r="R3596">
        <v>-1.7257100000000001E-2</v>
      </c>
      <c r="S3596">
        <v>3.0883180000000001</v>
      </c>
      <c r="T3596">
        <v>-0.15960839999999901</v>
      </c>
      <c r="U3596">
        <v>-0.14244079999999901</v>
      </c>
      <c r="V3596">
        <v>1.557478E-2</v>
      </c>
      <c r="W3596">
        <v>0.20820050000000001</v>
      </c>
      <c r="X3596">
        <v>0.97796209999999995</v>
      </c>
      <c r="Y3596">
        <v>4.4249450000000003E-2</v>
      </c>
      <c r="Z3596">
        <v>-1.39275799999999E-3</v>
      </c>
      <c r="AA3596">
        <v>0.99901960000000001</v>
      </c>
      <c r="AB3596">
        <v>30</v>
      </c>
      <c r="AC3596">
        <v>21.387899999999998</v>
      </c>
      <c r="AD3596">
        <v>-1.12102337448</v>
      </c>
      <c r="AE3596">
        <v>-0.99990000000002499</v>
      </c>
      <c r="AF3596">
        <v>0.95980033840783896</v>
      </c>
      <c r="AG3596">
        <v>-1.12102337448</v>
      </c>
      <c r="AH3596">
        <v>21.331145302515601</v>
      </c>
      <c r="AI3596">
        <v>93.0052832067568</v>
      </c>
      <c r="AJ3596">
        <v>87.423699445740198</v>
      </c>
      <c r="AK3596">
        <v>21.382134365230499</v>
      </c>
      <c r="AL3596">
        <v>77.983081574940698</v>
      </c>
      <c r="AM3596">
        <v>89.087598866454897</v>
      </c>
      <c r="AN3596">
        <v>0.99999994550435201</v>
      </c>
    </row>
    <row r="3597" spans="1:40" x14ac:dyDescent="0.25">
      <c r="A3597" t="str">
        <f>"20190303162328842"</f>
        <v>20190303162328842</v>
      </c>
      <c r="B3597" t="str">
        <f>"1551601408828826"</f>
        <v>1551601408828826</v>
      </c>
      <c r="C3597" t="s">
        <v>40</v>
      </c>
      <c r="D3597">
        <v>5.1478330000000003</v>
      </c>
      <c r="E3597">
        <v>0.51194220000000001</v>
      </c>
      <c r="F3597" t="s">
        <v>47</v>
      </c>
      <c r="G3597">
        <v>-240.16290000000001</v>
      </c>
      <c r="H3597" s="1">
        <v>-1.437207E-6</v>
      </c>
      <c r="I3597">
        <v>214.32159999999999</v>
      </c>
      <c r="J3597">
        <v>-261.3569</v>
      </c>
      <c r="K3597">
        <v>1.1210209999999901</v>
      </c>
      <c r="L3597">
        <v>215.29249999999999</v>
      </c>
      <c r="M3597">
        <v>0.99989669999999997</v>
      </c>
      <c r="N3597">
        <v>-1.4265190000000001E-2</v>
      </c>
      <c r="O3597">
        <v>-1.8179800000000001E-3</v>
      </c>
      <c r="P3597">
        <v>0.98095200000000005</v>
      </c>
      <c r="Q3597">
        <v>0.19339490000000001</v>
      </c>
      <c r="R3597">
        <v>-1.8212160000000002E-2</v>
      </c>
      <c r="S3597">
        <v>3.0881349999999999</v>
      </c>
      <c r="T3597">
        <v>-0.16099140000000001</v>
      </c>
      <c r="U3597">
        <v>-0.13952639999999999</v>
      </c>
      <c r="V3597">
        <v>1.6464139999999999E-2</v>
      </c>
      <c r="W3597">
        <v>0.20736599999999999</v>
      </c>
      <c r="X3597">
        <v>0.97812489999999996</v>
      </c>
      <c r="Y3597">
        <v>4.3245609999999997E-2</v>
      </c>
      <c r="Z3597">
        <v>-1.3660479999999999E-3</v>
      </c>
      <c r="AA3597">
        <v>0.99906360000000005</v>
      </c>
      <c r="AB3597">
        <v>30</v>
      </c>
      <c r="AC3597">
        <v>21.1939999999999</v>
      </c>
      <c r="AD3597">
        <v>-1.1210224372069999</v>
      </c>
      <c r="AE3597">
        <v>-0.97089999999999999</v>
      </c>
      <c r="AF3597">
        <v>0.92976843485451999</v>
      </c>
      <c r="AG3597">
        <v>-1.1210224372069999</v>
      </c>
      <c r="AH3597">
        <v>21.136719643784801</v>
      </c>
      <c r="AI3597">
        <v>93.033008690674393</v>
      </c>
      <c r="AJ3597">
        <v>87.481279584663298</v>
      </c>
      <c r="AK3597">
        <v>21.186837374821501</v>
      </c>
      <c r="AL3597">
        <v>78.0319626621163</v>
      </c>
      <c r="AM3597">
        <v>89.035668491557999</v>
      </c>
      <c r="AN3597">
        <v>1.00000002293097</v>
      </c>
    </row>
    <row r="3598" spans="1:40" x14ac:dyDescent="0.25">
      <c r="A3598" t="str">
        <f>"20190303162328886"</f>
        <v>20190303162328886</v>
      </c>
      <c r="B3598" t="str">
        <f>"1551601408878602"</f>
        <v>1551601408878602</v>
      </c>
      <c r="C3598" t="s">
        <v>40</v>
      </c>
      <c r="D3598">
        <v>5.3120159999999998</v>
      </c>
      <c r="E3598">
        <v>0.51194259999999903</v>
      </c>
      <c r="F3598" t="s">
        <v>47</v>
      </c>
      <c r="G3598">
        <v>-240.11320000000001</v>
      </c>
      <c r="H3598" s="1">
        <v>-1.4636000000000001E-6</v>
      </c>
      <c r="I3598">
        <v>214.31970000000001</v>
      </c>
      <c r="J3598">
        <v>-260.76639999999998</v>
      </c>
      <c r="K3598">
        <v>1.121016</v>
      </c>
      <c r="L3598">
        <v>215.29130000000001</v>
      </c>
      <c r="M3598">
        <v>0.99989660000000002</v>
      </c>
      <c r="N3598">
        <v>-1.425921E-2</v>
      </c>
      <c r="O3598">
        <v>-1.9450030000000001E-3</v>
      </c>
      <c r="P3598">
        <v>0.98109139999999995</v>
      </c>
      <c r="Q3598">
        <v>0.19260060000000001</v>
      </c>
      <c r="R3598">
        <v>-1.9104779999999998E-2</v>
      </c>
      <c r="S3598">
        <v>3.0877379999999999</v>
      </c>
      <c r="T3598">
        <v>-0.16293879999999999</v>
      </c>
      <c r="U3598">
        <v>-0.14140320000000001</v>
      </c>
      <c r="V3598">
        <v>1.7231650000000001E-2</v>
      </c>
      <c r="W3598">
        <v>0.2065678</v>
      </c>
      <c r="X3598">
        <v>0.9782805</v>
      </c>
      <c r="Y3598">
        <v>4.372815E-2</v>
      </c>
      <c r="Z3598">
        <v>-1.38977E-3</v>
      </c>
      <c r="AA3598">
        <v>0.99904250000000006</v>
      </c>
      <c r="AB3598">
        <v>30</v>
      </c>
      <c r="AC3598">
        <v>20.653199999999899</v>
      </c>
      <c r="AD3598">
        <v>-1.1210174636000001</v>
      </c>
      <c r="AE3598">
        <v>-0.97159999999999502</v>
      </c>
      <c r="AF3598">
        <v>0.92869354929631198</v>
      </c>
      <c r="AG3598">
        <v>-1.1210174636000001</v>
      </c>
      <c r="AH3598">
        <v>20.5945110153428</v>
      </c>
      <c r="AI3598">
        <v>93.1125396831209</v>
      </c>
      <c r="AJ3598">
        <v>87.418040308572898</v>
      </c>
      <c r="AK3598">
        <v>20.645896343420802</v>
      </c>
      <c r="AL3598">
        <v>78.078707546124605</v>
      </c>
      <c r="AM3598">
        <v>88.990883768888693</v>
      </c>
      <c r="AN3598">
        <v>0.99999996121940504</v>
      </c>
    </row>
    <row r="3599" spans="1:40" x14ac:dyDescent="0.25">
      <c r="A3599" t="str">
        <f>"20190303162328908"</f>
        <v>20190303162328908</v>
      </c>
      <c r="B3599" t="str">
        <f>"1551601408898123"</f>
        <v>1551601408898123</v>
      </c>
      <c r="C3599" t="s">
        <v>40</v>
      </c>
      <c r="D3599">
        <v>5.537293</v>
      </c>
      <c r="E3599">
        <v>0.51186200000000004</v>
      </c>
      <c r="F3599" t="s">
        <v>47</v>
      </c>
      <c r="G3599">
        <v>-240.34809999999999</v>
      </c>
      <c r="H3599" s="1">
        <v>-1.339444E-6</v>
      </c>
      <c r="I3599">
        <v>214.33920000000001</v>
      </c>
      <c r="J3599">
        <v>-260.46780000000001</v>
      </c>
      <c r="K3599">
        <v>1.1210169999999999</v>
      </c>
      <c r="L3599">
        <v>215.29060000000001</v>
      </c>
      <c r="M3599">
        <v>0.99989649999999997</v>
      </c>
      <c r="N3599">
        <v>-1.4255769999999999E-2</v>
      </c>
      <c r="O3599">
        <v>-2.008751E-3</v>
      </c>
      <c r="P3599">
        <v>0.98115620000000003</v>
      </c>
      <c r="Q3599">
        <v>0.1922439</v>
      </c>
      <c r="R3599">
        <v>-1.936539E-2</v>
      </c>
      <c r="S3599">
        <v>3.0882869999999998</v>
      </c>
      <c r="T3599">
        <v>-0.16955439999999999</v>
      </c>
      <c r="U3599">
        <v>-0.14401249999999999</v>
      </c>
      <c r="V3599">
        <v>1.7429409999999999E-2</v>
      </c>
      <c r="W3599">
        <v>0.206209</v>
      </c>
      <c r="X3599">
        <v>0.97835269999999996</v>
      </c>
      <c r="Y3599">
        <v>4.4491719999999998E-2</v>
      </c>
      <c r="Z3599">
        <v>-1.4558559999999999E-3</v>
      </c>
      <c r="AA3599">
        <v>0.99900869999999997</v>
      </c>
      <c r="AB3599">
        <v>30</v>
      </c>
      <c r="AC3599">
        <v>20.119700000000002</v>
      </c>
      <c r="AD3599">
        <v>-1.1210183394440001</v>
      </c>
      <c r="AE3599">
        <v>-0.95140000000000602</v>
      </c>
      <c r="AF3599">
        <v>0.9081654611519</v>
      </c>
      <c r="AG3599">
        <v>-1.1210183394440001</v>
      </c>
      <c r="AH3599">
        <v>20.0594364580678</v>
      </c>
      <c r="AI3599">
        <v>93.195371846193595</v>
      </c>
      <c r="AJ3599">
        <v>87.407776623534602</v>
      </c>
      <c r="AK3599">
        <v>20.1112515184277</v>
      </c>
      <c r="AL3599">
        <v>78.099717732254206</v>
      </c>
      <c r="AM3599">
        <v>88.979380334737201</v>
      </c>
      <c r="AN3599">
        <v>0.99999997080561798</v>
      </c>
    </row>
    <row r="3600" spans="1:40" x14ac:dyDescent="0.25">
      <c r="A3600" t="str">
        <f>"20190303162328930"</f>
        <v>20190303162328930</v>
      </c>
      <c r="B3600" t="str">
        <f>"1551601408918618"</f>
        <v>1551601408918618</v>
      </c>
      <c r="C3600" t="s">
        <v>40</v>
      </c>
      <c r="D3600">
        <v>5.3276309999999896</v>
      </c>
      <c r="E3600">
        <v>0.51185899999999995</v>
      </c>
      <c r="F3600" t="s">
        <v>47</v>
      </c>
      <c r="G3600">
        <v>-240.01679999999999</v>
      </c>
      <c r="H3600" s="1">
        <v>-1.515649E-6</v>
      </c>
      <c r="I3600">
        <v>214.3366</v>
      </c>
      <c r="J3600">
        <v>-260.17649999999998</v>
      </c>
      <c r="K3600">
        <v>1.121019</v>
      </c>
      <c r="L3600">
        <v>215.29</v>
      </c>
      <c r="M3600">
        <v>0.99989629999999996</v>
      </c>
      <c r="N3600">
        <v>-1.42524E-2</v>
      </c>
      <c r="O3600">
        <v>-2.0710680000000001E-3</v>
      </c>
      <c r="P3600">
        <v>0.98114069999999998</v>
      </c>
      <c r="Q3600">
        <v>0.19230040000000001</v>
      </c>
      <c r="R3600">
        <v>-1.958358E-2</v>
      </c>
      <c r="S3600">
        <v>3.087952</v>
      </c>
      <c r="T3600">
        <v>-0.1692652</v>
      </c>
      <c r="U3600">
        <v>-0.1440582</v>
      </c>
      <c r="V3600">
        <v>1.7586439999999998E-2</v>
      </c>
      <c r="W3600">
        <v>0.2062618</v>
      </c>
      <c r="X3600">
        <v>0.97833879999999995</v>
      </c>
      <c r="Y3600">
        <v>4.444965E-2</v>
      </c>
      <c r="Z3600">
        <v>-1.4500279999999999E-3</v>
      </c>
      <c r="AA3600">
        <v>0.99901059999999997</v>
      </c>
      <c r="AB3600">
        <v>30</v>
      </c>
      <c r="AC3600">
        <v>20.159699999999901</v>
      </c>
      <c r="AD3600">
        <v>-1.1210205156489901</v>
      </c>
      <c r="AE3600">
        <v>-0.95339999999998704</v>
      </c>
      <c r="AF3600">
        <v>0.90883762387582601</v>
      </c>
      <c r="AG3600">
        <v>-1.1210205156489901</v>
      </c>
      <c r="AH3600">
        <v>20.0996193920084</v>
      </c>
      <c r="AI3600">
        <v>93.189011271195596</v>
      </c>
      <c r="AJ3600">
        <v>87.4110397657156</v>
      </c>
      <c r="AK3600">
        <v>20.1513615551575</v>
      </c>
      <c r="AL3600">
        <v>78.096626528281405</v>
      </c>
      <c r="AM3600">
        <v>88.970172420850602</v>
      </c>
      <c r="AN3600">
        <v>1.00000001029827</v>
      </c>
    </row>
    <row r="3601" spans="1:40" x14ac:dyDescent="0.25">
      <c r="A3601" t="str">
        <f>"20190303162328952"</f>
        <v>20190303162328952</v>
      </c>
      <c r="B3601" t="str">
        <f>"1551601408938139"</f>
        <v>1551601408938139</v>
      </c>
      <c r="C3601" t="s">
        <v>40</v>
      </c>
      <c r="D3601">
        <v>5.4169029999999996</v>
      </c>
      <c r="E3601">
        <v>0.5118298</v>
      </c>
      <c r="F3601" t="s">
        <v>47</v>
      </c>
      <c r="G3601">
        <v>-239.6129</v>
      </c>
      <c r="H3601" s="1">
        <v>3.591497E-6</v>
      </c>
      <c r="I3601">
        <v>214.3245</v>
      </c>
      <c r="J3601">
        <v>-259.87430000000001</v>
      </c>
      <c r="K3601">
        <v>1.1210150000000001</v>
      </c>
      <c r="L3601">
        <v>215.2893</v>
      </c>
      <c r="M3601">
        <v>0.99989620000000001</v>
      </c>
      <c r="N3601">
        <v>-1.424892E-2</v>
      </c>
      <c r="O3601">
        <v>-2.135769E-3</v>
      </c>
      <c r="P3601">
        <v>0.98104849999999999</v>
      </c>
      <c r="Q3601">
        <v>0.19273650000000001</v>
      </c>
      <c r="R3601">
        <v>-1.9915889999999999E-2</v>
      </c>
      <c r="S3601">
        <v>3.087799</v>
      </c>
      <c r="T3601">
        <v>-0.16833020000000001</v>
      </c>
      <c r="U3601">
        <v>-0.14497380000000001</v>
      </c>
      <c r="V3601">
        <v>1.7855409999999999E-2</v>
      </c>
      <c r="W3601">
        <v>0.2066933</v>
      </c>
      <c r="X3601">
        <v>0.97824279999999997</v>
      </c>
      <c r="Y3601">
        <v>4.4683279999999999E-2</v>
      </c>
      <c r="Z3601">
        <v>-1.4493290000000001E-3</v>
      </c>
      <c r="AA3601">
        <v>0.99900009999999995</v>
      </c>
      <c r="AB3601">
        <v>30</v>
      </c>
      <c r="AC3601">
        <v>20.261399999999998</v>
      </c>
      <c r="AD3601">
        <v>-1.1210114085030001</v>
      </c>
      <c r="AE3601">
        <v>-0.96479999999999599</v>
      </c>
      <c r="AF3601">
        <v>0.91871379938126896</v>
      </c>
      <c r="AG3601">
        <v>-1.1210114085030001</v>
      </c>
      <c r="AH3601">
        <v>20.201714492160601</v>
      </c>
      <c r="AI3601">
        <v>93.172864678567194</v>
      </c>
      <c r="AJ3601">
        <v>87.396152685400395</v>
      </c>
      <c r="AK3601">
        <v>20.253640908388299</v>
      </c>
      <c r="AL3601">
        <v>78.071358257088903</v>
      </c>
      <c r="AM3601">
        <v>88.954322948327103</v>
      </c>
      <c r="AN3601">
        <v>0.99999995584149803</v>
      </c>
    </row>
    <row r="3602" spans="1:40" x14ac:dyDescent="0.25">
      <c r="A3602" t="str">
        <f>"20190303162328975"</f>
        <v>20190303162328975</v>
      </c>
      <c r="B3602" t="str">
        <f>"1551601408968394"</f>
        <v>1551601408968394</v>
      </c>
      <c r="C3602" t="s">
        <v>40</v>
      </c>
      <c r="D3602">
        <v>5.3187620000000004</v>
      </c>
      <c r="E3602">
        <v>0.51187070000000001</v>
      </c>
      <c r="F3602" t="s">
        <v>47</v>
      </c>
      <c r="G3602">
        <v>-239.1122</v>
      </c>
      <c r="H3602" s="1">
        <v>3.3257039999999999E-6</v>
      </c>
      <c r="I3602">
        <v>214.3083</v>
      </c>
      <c r="J3602">
        <v>-259.57799999999997</v>
      </c>
      <c r="K3602">
        <v>1.121019</v>
      </c>
      <c r="L3602">
        <v>215.2886</v>
      </c>
      <c r="M3602">
        <v>0.99989609999999995</v>
      </c>
      <c r="N3602">
        <v>-1.4245539999999999E-2</v>
      </c>
      <c r="O3602">
        <v>-2.1993960000000002E-3</v>
      </c>
      <c r="P3602">
        <v>0.98101139999999998</v>
      </c>
      <c r="Q3602">
        <v>0.1929041</v>
      </c>
      <c r="R3602">
        <v>-2.0118529999999999E-2</v>
      </c>
      <c r="S3602">
        <v>3.0877080000000001</v>
      </c>
      <c r="T3602">
        <v>-0.1667149</v>
      </c>
      <c r="U3602">
        <v>-0.145889299999999</v>
      </c>
      <c r="V3602">
        <v>1.7995770000000001E-2</v>
      </c>
      <c r="W3602">
        <v>0.20685709999999999</v>
      </c>
      <c r="X3602">
        <v>0.97820569999999896</v>
      </c>
      <c r="Y3602">
        <v>4.491767E-2</v>
      </c>
      <c r="Z3602">
        <v>-1.4441930000000001E-3</v>
      </c>
      <c r="AA3602">
        <v>0.99898960000000003</v>
      </c>
      <c r="AB3602">
        <v>30</v>
      </c>
      <c r="AC3602">
        <v>20.465799999999899</v>
      </c>
      <c r="AD3602">
        <v>-1.121015674296</v>
      </c>
      <c r="AE3602">
        <v>-0.98029999999999895</v>
      </c>
      <c r="AF3602">
        <v>0.93248931017094905</v>
      </c>
      <c r="AG3602">
        <v>-1.121015674296</v>
      </c>
      <c r="AH3602">
        <v>20.406820173987899</v>
      </c>
      <c r="AI3602">
        <v>93.141019749415193</v>
      </c>
      <c r="AJ3602">
        <v>87.383690269470605</v>
      </c>
      <c r="AK3602">
        <v>20.4588494805813</v>
      </c>
      <c r="AL3602">
        <v>78.061767037605406</v>
      </c>
      <c r="AM3602">
        <v>88.946064846828094</v>
      </c>
      <c r="AN3602">
        <v>1.00000004953539</v>
      </c>
    </row>
    <row r="3603" spans="1:40" x14ac:dyDescent="0.25">
      <c r="A3603" t="str">
        <f>"20190303162329019"</f>
        <v>20190303162329019</v>
      </c>
      <c r="B3603" t="str">
        <f>"1551601409008410"</f>
        <v>1551601409008410</v>
      </c>
      <c r="C3603" t="s">
        <v>40</v>
      </c>
      <c r="D3603">
        <v>5.5344740000000003</v>
      </c>
      <c r="E3603">
        <v>0.51183749999999995</v>
      </c>
      <c r="F3603" t="s">
        <v>47</v>
      </c>
      <c r="G3603">
        <v>-239.1661</v>
      </c>
      <c r="H3603" s="1">
        <v>3.3539199999999999E-6</v>
      </c>
      <c r="I3603">
        <v>214.3201</v>
      </c>
      <c r="J3603">
        <v>-258.98770000000002</v>
      </c>
      <c r="K3603">
        <v>1.121019</v>
      </c>
      <c r="L3603">
        <v>215.28710000000001</v>
      </c>
      <c r="M3603">
        <v>0.99989600000000001</v>
      </c>
      <c r="N3603">
        <v>-1.4238819999999999E-2</v>
      </c>
      <c r="O3603">
        <v>-2.3264129999999998E-3</v>
      </c>
      <c r="P3603">
        <v>0.98095600000000005</v>
      </c>
      <c r="Q3603">
        <v>0.19314700000000001</v>
      </c>
      <c r="R3603">
        <v>-2.0498800000000001E-2</v>
      </c>
      <c r="S3603">
        <v>3.088409</v>
      </c>
      <c r="T3603">
        <v>-0.1696146</v>
      </c>
      <c r="U3603">
        <v>-0.1465302</v>
      </c>
      <c r="V3603">
        <v>1.825119E-2</v>
      </c>
      <c r="W3603">
        <v>0.20709269999999999</v>
      </c>
      <c r="X3603">
        <v>0.97815110000000005</v>
      </c>
      <c r="Y3603">
        <v>4.4984389999999999E-2</v>
      </c>
      <c r="Z3603">
        <v>-1.459899E-3</v>
      </c>
      <c r="AA3603">
        <v>0.99898659999999995</v>
      </c>
      <c r="AB3603">
        <v>30</v>
      </c>
      <c r="AC3603">
        <v>19.8216</v>
      </c>
      <c r="AD3603">
        <v>-1.12101564608</v>
      </c>
      <c r="AE3603">
        <v>-0.96700000000001296</v>
      </c>
      <c r="AF3603">
        <v>0.917950393034904</v>
      </c>
      <c r="AG3603">
        <v>-1.12101564608</v>
      </c>
      <c r="AH3603">
        <v>19.760741617999901</v>
      </c>
      <c r="AI3603">
        <v>93.2433868503621</v>
      </c>
      <c r="AJ3603">
        <v>87.340337633313297</v>
      </c>
      <c r="AK3603">
        <v>19.8137885901758</v>
      </c>
      <c r="AL3603">
        <v>78.047969185728206</v>
      </c>
      <c r="AM3603">
        <v>88.931049786749796</v>
      </c>
      <c r="AN3603">
        <v>1.00000003338045</v>
      </c>
    </row>
    <row r="3604" spans="1:40" x14ac:dyDescent="0.25">
      <c r="A3604" t="str">
        <f>"20190303162329087"</f>
        <v>20190303162329087</v>
      </c>
      <c r="B3604" t="str">
        <f>"1551601409078507"</f>
        <v>1551601409078507</v>
      </c>
      <c r="C3604" t="s">
        <v>40</v>
      </c>
      <c r="D3604">
        <v>5.3776630000000001</v>
      </c>
      <c r="E3604">
        <v>0.51178369999999995</v>
      </c>
      <c r="F3604" t="s">
        <v>47</v>
      </c>
      <c r="G3604">
        <v>-238.49959999999999</v>
      </c>
      <c r="H3604" s="1">
        <v>2.9994259999999999E-6</v>
      </c>
      <c r="I3604">
        <v>214.31559999999999</v>
      </c>
      <c r="J3604">
        <v>-258.08839999999998</v>
      </c>
      <c r="K3604">
        <v>1.121022</v>
      </c>
      <c r="L3604">
        <v>215.28469999999999</v>
      </c>
      <c r="M3604">
        <v>0.9998956</v>
      </c>
      <c r="N3604">
        <v>-1.4228869999999999E-2</v>
      </c>
      <c r="O3604">
        <v>-2.5195640000000002E-3</v>
      </c>
      <c r="P3604">
        <v>0.98094510000000001</v>
      </c>
      <c r="Q3604">
        <v>0.19316469999999999</v>
      </c>
      <c r="R3604">
        <v>-2.083614E-2</v>
      </c>
      <c r="S3604">
        <v>3.0884550000000002</v>
      </c>
      <c r="T3604">
        <v>-0.16898659999999999</v>
      </c>
      <c r="U3604">
        <v>-0.1464539</v>
      </c>
      <c r="V3604">
        <v>1.8399140000000001E-2</v>
      </c>
      <c r="W3604">
        <v>0.2071006</v>
      </c>
      <c r="X3604">
        <v>0.97814659999999998</v>
      </c>
      <c r="Y3604">
        <v>4.4767229999999998E-2</v>
      </c>
      <c r="Z3604">
        <v>-1.4402550000000001E-3</v>
      </c>
      <c r="AA3604">
        <v>0.99899640000000001</v>
      </c>
      <c r="AB3604">
        <v>30</v>
      </c>
      <c r="AC3604">
        <v>19.5887999999999</v>
      </c>
      <c r="AD3604">
        <v>-1.1210190005739999</v>
      </c>
      <c r="AE3604">
        <v>-0.96909999999999696</v>
      </c>
      <c r="AF3604">
        <v>0.91674169976564701</v>
      </c>
      <c r="AG3604">
        <v>-1.1210190005739999</v>
      </c>
      <c r="AH3604">
        <v>19.527383875352498</v>
      </c>
      <c r="AI3604">
        <v>93.281996535108306</v>
      </c>
      <c r="AJ3604">
        <v>87.312139024303605</v>
      </c>
      <c r="AK3604">
        <v>19.581006612508801</v>
      </c>
      <c r="AL3604">
        <v>78.047505858898106</v>
      </c>
      <c r="AM3604">
        <v>88.922381612160507</v>
      </c>
      <c r="AN3604">
        <v>0.99999997898232895</v>
      </c>
    </row>
    <row r="3605" spans="1:40" x14ac:dyDescent="0.25">
      <c r="A3605" t="str">
        <f>"20190303162329108"</f>
        <v>20190303162329108</v>
      </c>
      <c r="B3605" t="str">
        <f>"1551601409098028"</f>
        <v>1551601409098028</v>
      </c>
      <c r="C3605" t="s">
        <v>40</v>
      </c>
      <c r="D3605">
        <v>5.5901880000000004</v>
      </c>
      <c r="E3605">
        <v>0.5118374</v>
      </c>
      <c r="F3605" t="s">
        <v>47</v>
      </c>
      <c r="G3605">
        <v>-237.4734</v>
      </c>
      <c r="H3605" s="1">
        <v>2.4534399999999999E-6</v>
      </c>
      <c r="I3605">
        <v>214.31309999999999</v>
      </c>
      <c r="J3605">
        <v>-257.80930000000001</v>
      </c>
      <c r="K3605">
        <v>1.1210260000000001</v>
      </c>
      <c r="L3605">
        <v>215.28399999999999</v>
      </c>
      <c r="M3605">
        <v>0.99989550000000005</v>
      </c>
      <c r="N3605">
        <v>-1.422584E-2</v>
      </c>
      <c r="O3605">
        <v>-2.5794989999999999E-3</v>
      </c>
      <c r="P3605">
        <v>0.98100989999999999</v>
      </c>
      <c r="Q3605">
        <v>0.1927518</v>
      </c>
      <c r="R3605">
        <v>-2.1599460000000001E-2</v>
      </c>
      <c r="S3605">
        <v>3.0882869999999998</v>
      </c>
      <c r="T3605">
        <v>-0.1679378</v>
      </c>
      <c r="U3605">
        <v>-0.14555360000000001</v>
      </c>
      <c r="V3605">
        <v>1.9103180000000001E-2</v>
      </c>
      <c r="W3605">
        <v>0.20668590000000001</v>
      </c>
      <c r="X3605">
        <v>0.9782208</v>
      </c>
      <c r="Y3605">
        <v>4.4420939999999999E-2</v>
      </c>
      <c r="Z3605">
        <v>-1.41924E-3</v>
      </c>
      <c r="AA3605">
        <v>0.99901189999999995</v>
      </c>
      <c r="AB3605">
        <v>30</v>
      </c>
      <c r="AC3605">
        <v>20.335899999999999</v>
      </c>
      <c r="AD3605">
        <v>-1.12102354656</v>
      </c>
      <c r="AE3605">
        <v>-0.97090000000002796</v>
      </c>
      <c r="AF3605">
        <v>0.91565884820690702</v>
      </c>
      <c r="AG3605">
        <v>-1.12102354656</v>
      </c>
      <c r="AH3605">
        <v>20.276859750945899</v>
      </c>
      <c r="AI3605">
        <v>93.161209755620007</v>
      </c>
      <c r="AJ3605">
        <v>87.414403903290506</v>
      </c>
      <c r="AK3605">
        <v>20.328457056003302</v>
      </c>
      <c r="AL3605">
        <v>78.071791691754001</v>
      </c>
      <c r="AM3605">
        <v>88.881241859221106</v>
      </c>
      <c r="AN3605">
        <v>0.99999996314878004</v>
      </c>
    </row>
    <row r="3606" spans="1:40" x14ac:dyDescent="0.25">
      <c r="A3606" t="str">
        <f>"20190303162329131"</f>
        <v>20190303162329131</v>
      </c>
      <c r="B3606" t="str">
        <f>"1551601409118459"</f>
        <v>1551601409118459</v>
      </c>
      <c r="C3606" t="s">
        <v>40</v>
      </c>
      <c r="D3606">
        <v>5.4123489999999999</v>
      </c>
      <c r="E3606">
        <v>0.51187039999999995</v>
      </c>
      <c r="F3606" t="s">
        <v>47</v>
      </c>
      <c r="G3606">
        <v>-237.31819999999999</v>
      </c>
      <c r="H3606" s="1">
        <v>2.37159E-6</v>
      </c>
      <c r="I3606">
        <v>214.29570000000001</v>
      </c>
      <c r="J3606">
        <v>-257.50830000000002</v>
      </c>
      <c r="K3606">
        <v>1.1210260000000001</v>
      </c>
      <c r="L3606">
        <v>215.28309999999999</v>
      </c>
      <c r="M3606">
        <v>0.99989550000000005</v>
      </c>
      <c r="N3606">
        <v>-1.422258E-2</v>
      </c>
      <c r="O3606">
        <v>-2.6443199999999999E-3</v>
      </c>
      <c r="P3606">
        <v>0.98095759999999999</v>
      </c>
      <c r="Q3606">
        <v>0.1928858</v>
      </c>
      <c r="R3606">
        <v>-2.274808E-2</v>
      </c>
      <c r="S3606">
        <v>3.088028</v>
      </c>
      <c r="T3606">
        <v>-0.1689388</v>
      </c>
      <c r="U3606">
        <v>-0.148925799999999</v>
      </c>
      <c r="V3606">
        <v>2.018849E-2</v>
      </c>
      <c r="W3606">
        <v>0.20681559999999999</v>
      </c>
      <c r="X3606">
        <v>0.97817160000000003</v>
      </c>
      <c r="Y3606">
        <v>4.5445819999999998E-2</v>
      </c>
      <c r="Z3606">
        <v>-1.4582529999999901E-3</v>
      </c>
      <c r="AA3606">
        <v>0.99896569999999996</v>
      </c>
      <c r="AB3606">
        <v>30</v>
      </c>
      <c r="AC3606">
        <v>20.190100000000001</v>
      </c>
      <c r="AD3606">
        <v>-1.1210236284099999</v>
      </c>
      <c r="AE3606">
        <v>-0.98739999999997896</v>
      </c>
      <c r="AF3606">
        <v>0.931138356859323</v>
      </c>
      <c r="AG3606">
        <v>-1.1210236284099999</v>
      </c>
      <c r="AH3606">
        <v>20.130728692368098</v>
      </c>
      <c r="AI3606">
        <v>93.1839515402838</v>
      </c>
      <c r="AJ3606">
        <v>87.351695501566894</v>
      </c>
      <c r="AK3606">
        <v>20.1834077970198</v>
      </c>
      <c r="AL3606">
        <v>78.064196443399695</v>
      </c>
      <c r="AM3606">
        <v>88.8176398985117</v>
      </c>
      <c r="AN3606">
        <v>0.99999997328919898</v>
      </c>
    </row>
    <row r="3607" spans="1:40" x14ac:dyDescent="0.25">
      <c r="A3607" t="str">
        <f>"20190303162329154"</f>
        <v>20190303162329154</v>
      </c>
      <c r="B3607" t="str">
        <f>"1551601409148714"</f>
        <v>1551601409148714</v>
      </c>
      <c r="C3607" t="s">
        <v>40</v>
      </c>
      <c r="D3607">
        <v>5.4255069999999996</v>
      </c>
      <c r="E3607">
        <v>0.51192409999999999</v>
      </c>
      <c r="F3607" t="s">
        <v>47</v>
      </c>
      <c r="G3607">
        <v>-236.92769999999999</v>
      </c>
      <c r="H3607" s="1">
        <v>2.165244E-6</v>
      </c>
      <c r="I3607">
        <v>214.26320000000001</v>
      </c>
      <c r="J3607">
        <v>-257.20830000000001</v>
      </c>
      <c r="K3607">
        <v>1.1210169999999999</v>
      </c>
      <c r="L3607">
        <v>215.28219999999999</v>
      </c>
      <c r="M3607">
        <v>0.99989519999999998</v>
      </c>
      <c r="N3607">
        <v>-1.421937E-2</v>
      </c>
      <c r="O3607">
        <v>-2.7085450000000001E-3</v>
      </c>
      <c r="P3607">
        <v>0.98097959999999995</v>
      </c>
      <c r="Q3607">
        <v>0.19269330000000001</v>
      </c>
      <c r="R3607">
        <v>-2.341913E-2</v>
      </c>
      <c r="S3607">
        <v>3.0877530000000002</v>
      </c>
      <c r="T3607">
        <v>-0.16819020000000001</v>
      </c>
      <c r="U3607">
        <v>-0.15301509999999999</v>
      </c>
      <c r="V3607">
        <v>2.0796249999999999E-2</v>
      </c>
      <c r="W3607">
        <v>0.2066201</v>
      </c>
      <c r="X3607">
        <v>0.97820019999999996</v>
      </c>
      <c r="Y3607">
        <v>4.670411E-2</v>
      </c>
      <c r="Z3607">
        <v>-1.493989E-3</v>
      </c>
      <c r="AA3607">
        <v>0.99890760000000001</v>
      </c>
      <c r="AB3607">
        <v>30</v>
      </c>
      <c r="AC3607">
        <v>20.2806</v>
      </c>
      <c r="AD3607">
        <v>-1.1210148347559901</v>
      </c>
      <c r="AE3607">
        <v>-1.0189999999999699</v>
      </c>
      <c r="AF3607">
        <v>0.96113059145895996</v>
      </c>
      <c r="AG3607">
        <v>-1.1210148347559901</v>
      </c>
      <c r="AH3607">
        <v>20.221657203390301</v>
      </c>
      <c r="AI3607">
        <v>93.169450334027999</v>
      </c>
      <c r="AJ3607">
        <v>87.278793037368104</v>
      </c>
      <c r="AK3607">
        <v>20.275499163399299</v>
      </c>
      <c r="AL3607">
        <v>78.075645260072307</v>
      </c>
      <c r="AM3607">
        <v>88.782091960039907</v>
      </c>
      <c r="AN3607">
        <v>0.99999999050905597</v>
      </c>
    </row>
    <row r="3608" spans="1:40" x14ac:dyDescent="0.25">
      <c r="A3608" t="str">
        <f>"20190303162329176"</f>
        <v>20190303162329176</v>
      </c>
      <c r="B3608" t="str">
        <f>"1551601409168235"</f>
        <v>1551601409168235</v>
      </c>
      <c r="C3608" t="s">
        <v>40</v>
      </c>
      <c r="D3608">
        <v>5.3003489999999998</v>
      </c>
      <c r="E3608">
        <v>0.51195100000000004</v>
      </c>
      <c r="F3608" t="s">
        <v>47</v>
      </c>
      <c r="G3608">
        <v>-236.6413</v>
      </c>
      <c r="H3608" s="1">
        <v>2.013483E-6</v>
      </c>
      <c r="I3608">
        <v>214.24850000000001</v>
      </c>
      <c r="J3608">
        <v>-256.92009999999999</v>
      </c>
      <c r="K3608">
        <v>1.1210199999999999</v>
      </c>
      <c r="L3608">
        <v>215.28139999999999</v>
      </c>
      <c r="M3608">
        <v>0.99989510000000004</v>
      </c>
      <c r="N3608">
        <v>-1.4216329999999999E-2</v>
      </c>
      <c r="O3608">
        <v>-2.7703900000000002E-3</v>
      </c>
      <c r="P3608">
        <v>0.98108859999999998</v>
      </c>
      <c r="Q3608">
        <v>0.19203290000000001</v>
      </c>
      <c r="R3608">
        <v>-2.426101E-2</v>
      </c>
      <c r="S3608">
        <v>3.087494</v>
      </c>
      <c r="T3608">
        <v>-0.1682855</v>
      </c>
      <c r="U3608">
        <v>-0.15518189999999901</v>
      </c>
      <c r="V3608">
        <v>2.1576919999999999E-2</v>
      </c>
      <c r="W3608">
        <v>0.205958</v>
      </c>
      <c r="X3608">
        <v>0.9783229</v>
      </c>
      <c r="Y3608">
        <v>4.7344499999999998E-2</v>
      </c>
      <c r="Z3608">
        <v>-1.5141250000000001E-3</v>
      </c>
      <c r="AA3608">
        <v>0.99887749999999997</v>
      </c>
      <c r="AB3608">
        <v>30</v>
      </c>
      <c r="AC3608">
        <v>20.278799999999901</v>
      </c>
      <c r="AD3608">
        <v>-1.121017986517</v>
      </c>
      <c r="AE3608">
        <v>-1.0328999999999799</v>
      </c>
      <c r="AF3608">
        <v>0.97374220321898397</v>
      </c>
      <c r="AG3608">
        <v>-1.121017986517</v>
      </c>
      <c r="AH3608">
        <v>20.219953508907</v>
      </c>
      <c r="AI3608">
        <v>93.169630952005306</v>
      </c>
      <c r="AJ3608">
        <v>87.242909134062998</v>
      </c>
      <c r="AK3608">
        <v>20.2744019666866</v>
      </c>
      <c r="AL3608">
        <v>78.114414545297706</v>
      </c>
      <c r="AM3608">
        <v>88.7365459198313</v>
      </c>
      <c r="AN3608">
        <v>0.999999978952548</v>
      </c>
    </row>
    <row r="3609" spans="1:40" x14ac:dyDescent="0.25">
      <c r="A3609" t="str">
        <f>"20190303162329198"</f>
        <v>20190303162329198</v>
      </c>
      <c r="B3609" t="str">
        <f>"1551601409188731"</f>
        <v>1551601409188731</v>
      </c>
      <c r="C3609" t="s">
        <v>40</v>
      </c>
      <c r="D3609">
        <v>5.424715</v>
      </c>
      <c r="E3609">
        <v>0.51216260000000002</v>
      </c>
      <c r="F3609" t="s">
        <v>47</v>
      </c>
      <c r="G3609">
        <v>-236.57149999999999</v>
      </c>
      <c r="H3609" s="1">
        <v>1.9765539999999998E-6</v>
      </c>
      <c r="I3609">
        <v>214.24299999999999</v>
      </c>
      <c r="J3609">
        <v>-256.62520000000001</v>
      </c>
      <c r="K3609">
        <v>1.1210209999999901</v>
      </c>
      <c r="L3609">
        <v>215.28049999999999</v>
      </c>
      <c r="M3609">
        <v>0.99989499999999998</v>
      </c>
      <c r="N3609">
        <v>-1.421327E-2</v>
      </c>
      <c r="O3609">
        <v>-2.8336630000000002E-3</v>
      </c>
      <c r="P3609">
        <v>0.98124230000000001</v>
      </c>
      <c r="Q3609">
        <v>0.1912208</v>
      </c>
      <c r="R3609">
        <v>-2.4457349999999999E-2</v>
      </c>
      <c r="S3609">
        <v>3.0872190000000002</v>
      </c>
      <c r="T3609">
        <v>-0.17007659999999999</v>
      </c>
      <c r="U3609">
        <v>-0.15754699999999999</v>
      </c>
      <c r="V3609">
        <v>2.171087E-2</v>
      </c>
      <c r="W3609">
        <v>0.20514560000000001</v>
      </c>
      <c r="X3609">
        <v>0.97849070000000005</v>
      </c>
      <c r="Y3609">
        <v>4.8046100000000001E-2</v>
      </c>
      <c r="Z3609">
        <v>-1.5479370000000001E-3</v>
      </c>
      <c r="AA3609">
        <v>0.99884390000000001</v>
      </c>
      <c r="AB3609">
        <v>29</v>
      </c>
      <c r="AC3609">
        <v>20.053699999999999</v>
      </c>
      <c r="AD3609">
        <v>-1.12101902344599</v>
      </c>
      <c r="AE3609">
        <v>-1.0374999999999901</v>
      </c>
      <c r="AF3609">
        <v>0.97761785837459403</v>
      </c>
      <c r="AG3609">
        <v>-1.12101902344599</v>
      </c>
      <c r="AH3609">
        <v>19.994246345664902</v>
      </c>
      <c r="AI3609">
        <v>93.205226233202893</v>
      </c>
      <c r="AJ3609">
        <v>87.200754515292601</v>
      </c>
      <c r="AK3609">
        <v>20.049496434052301</v>
      </c>
      <c r="AL3609">
        <v>78.161978310266605</v>
      </c>
      <c r="AM3609">
        <v>88.728922876006607</v>
      </c>
      <c r="AN3609">
        <v>1.0000000645310001</v>
      </c>
    </row>
    <row r="3610" spans="1:40" x14ac:dyDescent="0.25">
      <c r="A3610" t="str">
        <f>"20190303162329219"</f>
        <v>20190303162329219</v>
      </c>
      <c r="B3610" t="str">
        <f>"1551601409208250"</f>
        <v>1551601409208250</v>
      </c>
      <c r="C3610" t="s">
        <v>40</v>
      </c>
      <c r="D3610">
        <v>5.4112400000000003</v>
      </c>
      <c r="E3610">
        <v>0.51235350000000002</v>
      </c>
      <c r="F3610" t="s">
        <v>47</v>
      </c>
      <c r="G3610">
        <v>-236.7456</v>
      </c>
      <c r="H3610" s="1">
        <v>2.0688099999999998E-6</v>
      </c>
      <c r="I3610">
        <v>214.25219999999999</v>
      </c>
      <c r="J3610">
        <v>-256.33879999999999</v>
      </c>
      <c r="K3610">
        <v>1.1210150000000001</v>
      </c>
      <c r="L3610">
        <v>215.27959999999999</v>
      </c>
      <c r="M3610">
        <v>0.99989490000000003</v>
      </c>
      <c r="N3610">
        <v>-1.4210270000000001E-2</v>
      </c>
      <c r="O3610">
        <v>-2.8950289999999999E-3</v>
      </c>
      <c r="P3610">
        <v>0.98133150000000002</v>
      </c>
      <c r="Q3610">
        <v>0.19069530000000001</v>
      </c>
      <c r="R3610">
        <v>-2.4979169999999998E-2</v>
      </c>
      <c r="S3610">
        <v>3.0872959999999998</v>
      </c>
      <c r="T3610">
        <v>-0.17409359999999999</v>
      </c>
      <c r="U3610">
        <v>-0.15969849999999999</v>
      </c>
      <c r="V3610">
        <v>2.217181E-2</v>
      </c>
      <c r="W3610">
        <v>0.20461860000000001</v>
      </c>
      <c r="X3610">
        <v>0.97859059999999998</v>
      </c>
      <c r="Y3610">
        <v>4.8672840000000002E-2</v>
      </c>
      <c r="Z3610">
        <v>-1.5948339999999901E-3</v>
      </c>
      <c r="AA3610">
        <v>0.99881350000000002</v>
      </c>
      <c r="AB3610">
        <v>29</v>
      </c>
      <c r="AC3610">
        <v>19.5932</v>
      </c>
      <c r="AD3610">
        <v>-1.1210129311899999</v>
      </c>
      <c r="AE3610">
        <v>-1.0274000000000001</v>
      </c>
      <c r="AF3610">
        <v>0.96750864539903003</v>
      </c>
      <c r="AG3610">
        <v>-1.1210129311899999</v>
      </c>
      <c r="AH3610">
        <v>19.532329044969199</v>
      </c>
      <c r="AI3610">
        <v>93.280742046931806</v>
      </c>
      <c r="AJ3610">
        <v>87.164245441950996</v>
      </c>
      <c r="AK3610">
        <v>19.588379741361098</v>
      </c>
      <c r="AL3610">
        <v>78.192826367126699</v>
      </c>
      <c r="AM3610">
        <v>88.702078445754907</v>
      </c>
      <c r="AN3610">
        <v>0.99999996151649695</v>
      </c>
    </row>
    <row r="3611" spans="1:40" x14ac:dyDescent="0.25">
      <c r="A3611" t="str">
        <f>"20190303162329364"</f>
        <v>20190303162329364</v>
      </c>
      <c r="B3611" t="str">
        <f>"1551601409358085"</f>
        <v>1551601409358085</v>
      </c>
      <c r="C3611" t="s">
        <v>40</v>
      </c>
      <c r="D3611">
        <v>8.6886270000000003</v>
      </c>
      <c r="E3611">
        <v>0.51263400000000003</v>
      </c>
      <c r="F3611" t="s">
        <v>47</v>
      </c>
      <c r="G3611">
        <v>-236.89429999999999</v>
      </c>
      <c r="H3611" s="1">
        <v>2.1478500000000001E-6</v>
      </c>
      <c r="I3611">
        <v>214.2544</v>
      </c>
      <c r="J3611">
        <v>-254.4452</v>
      </c>
      <c r="K3611">
        <v>1.120954</v>
      </c>
      <c r="L3611">
        <v>215.27330000000001</v>
      </c>
      <c r="M3611">
        <v>0.99989380000000005</v>
      </c>
      <c r="N3611">
        <v>-1.419083E-2</v>
      </c>
      <c r="O3611">
        <v>-3.3031430000000001E-3</v>
      </c>
      <c r="P3611">
        <v>0.98422719999999997</v>
      </c>
      <c r="Q3611">
        <v>0.17422969999999999</v>
      </c>
      <c r="R3611">
        <v>-3.0675709999999998E-2</v>
      </c>
      <c r="S3611">
        <v>3.087555</v>
      </c>
      <c r="T3611">
        <v>-0.1780033</v>
      </c>
      <c r="U3611">
        <v>-0.162796</v>
      </c>
      <c r="V3611">
        <v>2.74551E-2</v>
      </c>
      <c r="W3611">
        <v>0.18817600000000001</v>
      </c>
      <c r="X3611">
        <v>0.9817515</v>
      </c>
      <c r="Y3611">
        <v>4.9255590000000002E-2</v>
      </c>
      <c r="Z3611">
        <v>-1.624466E-3</v>
      </c>
      <c r="AA3611">
        <v>0.99878489999999998</v>
      </c>
      <c r="AB3611">
        <v>29</v>
      </c>
      <c r="AC3611">
        <v>17.550899999999999</v>
      </c>
      <c r="AD3611">
        <v>-1.1209518521499999</v>
      </c>
      <c r="AE3611">
        <v>-1.0188999999999999</v>
      </c>
      <c r="AF3611">
        <v>0.95702468353930503</v>
      </c>
      <c r="AG3611">
        <v>-1.1209518521499999</v>
      </c>
      <c r="AH3611">
        <v>17.483092641621599</v>
      </c>
      <c r="AI3611">
        <v>93.663104810719602</v>
      </c>
      <c r="AJ3611">
        <v>86.866755458852396</v>
      </c>
      <c r="AK3611">
        <v>17.545112071892401</v>
      </c>
      <c r="AL3611">
        <v>79.153643240251199</v>
      </c>
      <c r="AM3611">
        <v>88.398116560427994</v>
      </c>
      <c r="AN3611">
        <v>0.99999999862212996</v>
      </c>
    </row>
    <row r="3612" spans="1:40" x14ac:dyDescent="0.25">
      <c r="A3612" t="str">
        <f>"20190303162329387"</f>
        <v>20190303162329387</v>
      </c>
      <c r="B3612" t="str">
        <f>"1551601409378582"</f>
        <v>1551601409378582</v>
      </c>
      <c r="C3612" t="s">
        <v>40</v>
      </c>
      <c r="D3612">
        <v>5.6214559999999896</v>
      </c>
      <c r="E3612">
        <v>0.51911719999999995</v>
      </c>
      <c r="F3612" t="s">
        <v>42</v>
      </c>
      <c r="G3612">
        <v>-253.4778</v>
      </c>
      <c r="H3612">
        <v>1.0484849999999999</v>
      </c>
      <c r="I3612">
        <v>215.21559999999999</v>
      </c>
      <c r="J3612">
        <v>-254.1559</v>
      </c>
      <c r="K3612">
        <v>1.120933</v>
      </c>
      <c r="L3612">
        <v>215.2723</v>
      </c>
      <c r="M3612">
        <v>0.9998937</v>
      </c>
      <c r="N3612">
        <v>-1.418785E-2</v>
      </c>
      <c r="O3612">
        <v>-3.3651079999999999E-3</v>
      </c>
      <c r="P3612">
        <v>0.98469879999999999</v>
      </c>
      <c r="Q3612">
        <v>0.17142079999999901</v>
      </c>
      <c r="R3612">
        <v>-3.1360930000000002E-2</v>
      </c>
      <c r="S3612">
        <v>3.0832670000000002</v>
      </c>
      <c r="T3612">
        <v>-0.23104630000000001</v>
      </c>
      <c r="U3612">
        <v>-0.18363950000000001</v>
      </c>
      <c r="V3612">
        <v>2.8077080000000001E-2</v>
      </c>
      <c r="W3612">
        <v>0.18537100000000001</v>
      </c>
      <c r="X3612">
        <v>0.98226740000000001</v>
      </c>
      <c r="Y3612">
        <v>5.5915079999999999E-2</v>
      </c>
      <c r="Z3612">
        <v>-2.2839900000000001E-3</v>
      </c>
      <c r="AA3612">
        <v>0.99843289999999996</v>
      </c>
      <c r="AB3612">
        <v>29</v>
      </c>
      <c r="AC3612">
        <v>0.67810000000000004</v>
      </c>
      <c r="AD3612">
        <v>-7.2447999999999804E-2</v>
      </c>
      <c r="AE3612">
        <v>-5.6700000000006398E-2</v>
      </c>
      <c r="AF3612">
        <v>5.3807634783977203E-2</v>
      </c>
      <c r="AG3612">
        <v>-7.2447999999999804E-2</v>
      </c>
      <c r="AH3612">
        <v>0.67068445851776004</v>
      </c>
      <c r="AI3612">
        <v>96.145646539491807</v>
      </c>
      <c r="AJ3612">
        <v>85.413101833797896</v>
      </c>
      <c r="AK3612">
        <v>0.67672861411522001</v>
      </c>
      <c r="AL3612">
        <v>79.317236597168701</v>
      </c>
      <c r="AM3612">
        <v>88.362706249836805</v>
      </c>
      <c r="AN3612">
        <v>0.99999998758254305</v>
      </c>
    </row>
    <row r="3613" spans="1:40" x14ac:dyDescent="0.25">
      <c r="A3613" t="str">
        <f>"20190303162329409"</f>
        <v>20190303162329409</v>
      </c>
      <c r="B3613" t="str">
        <f>"1551601409398102"</f>
        <v>1551601409398102</v>
      </c>
      <c r="C3613" t="s">
        <v>40</v>
      </c>
      <c r="D3613">
        <v>5.4183209999999997</v>
      </c>
      <c r="E3613">
        <v>0.51879900000000001</v>
      </c>
      <c r="F3613" t="s">
        <v>42</v>
      </c>
      <c r="G3613">
        <v>-253.2961</v>
      </c>
      <c r="H3613">
        <v>0.89241459999999995</v>
      </c>
      <c r="I3613">
        <v>215.21010000000001</v>
      </c>
      <c r="J3613">
        <v>-253.86109999999999</v>
      </c>
      <c r="K3613">
        <v>1.1209199999999999</v>
      </c>
      <c r="L3613">
        <v>215.27119999999999</v>
      </c>
      <c r="M3613">
        <v>0.99989340000000004</v>
      </c>
      <c r="N3613">
        <v>-1.4184840000000001E-2</v>
      </c>
      <c r="O3613">
        <v>-3.4282639999999999E-3</v>
      </c>
      <c r="P3613">
        <v>0.98514369999999996</v>
      </c>
      <c r="Q3613">
        <v>0.16845959999999999</v>
      </c>
      <c r="R3613">
        <v>-3.336099E-2</v>
      </c>
      <c r="S3613">
        <v>3.1867369999999999</v>
      </c>
      <c r="T3613">
        <v>-0.84706130000000002</v>
      </c>
      <c r="U3613">
        <v>-0.22988890000000001</v>
      </c>
      <c r="V3613">
        <v>3.0013120000000001E-2</v>
      </c>
      <c r="W3613">
        <v>0.18241350000000001</v>
      </c>
      <c r="X3613">
        <v>0.98276370000000002</v>
      </c>
      <c r="Y3613">
        <v>6.622364E-2</v>
      </c>
      <c r="Z3613">
        <v>-8.2724800000000005E-3</v>
      </c>
      <c r="AA3613">
        <v>0.9977705</v>
      </c>
      <c r="AB3613">
        <v>29</v>
      </c>
      <c r="AC3613">
        <v>0.56499999999999695</v>
      </c>
      <c r="AD3613">
        <v>-0.2285054</v>
      </c>
      <c r="AE3613">
        <v>-6.1099999999981898E-2</v>
      </c>
      <c r="AF3613">
        <v>5.0928534878868802E-2</v>
      </c>
      <c r="AG3613">
        <v>-0.2285054</v>
      </c>
      <c r="AH3613">
        <v>0.48654356025588702</v>
      </c>
      <c r="AI3613">
        <v>115.03720731334801</v>
      </c>
      <c r="AJ3613">
        <v>84.024373766591495</v>
      </c>
      <c r="AK3613">
        <v>0.53993802377730604</v>
      </c>
      <c r="AL3613">
        <v>79.489628777110596</v>
      </c>
      <c r="AM3613">
        <v>88.2507587575965</v>
      </c>
      <c r="AN3613">
        <v>0.99999998119603695</v>
      </c>
    </row>
    <row r="3614" spans="1:40" x14ac:dyDescent="0.25">
      <c r="A3614" t="str">
        <f>"20190303162329432"</f>
        <v>20190303162329432</v>
      </c>
      <c r="B3614" t="str">
        <f>"1551601409428864"</f>
        <v>1551601409428864</v>
      </c>
      <c r="C3614" t="s">
        <v>40</v>
      </c>
      <c r="D3614">
        <v>5.4240959999999996</v>
      </c>
      <c r="E3614">
        <v>0.51865190000000005</v>
      </c>
      <c r="F3614" t="s">
        <v>42</v>
      </c>
      <c r="G3614">
        <v>-253.0052</v>
      </c>
      <c r="H3614">
        <v>0.95885520000000002</v>
      </c>
      <c r="I3614">
        <v>215.20660000000001</v>
      </c>
      <c r="J3614">
        <v>-253.56180000000001</v>
      </c>
      <c r="K3614">
        <v>1.1209180000000001</v>
      </c>
      <c r="L3614">
        <v>215.27010000000001</v>
      </c>
      <c r="M3614">
        <v>0.99989340000000004</v>
      </c>
      <c r="N3614">
        <v>-1.418177E-2</v>
      </c>
      <c r="O3614">
        <v>-3.493084E-3</v>
      </c>
      <c r="P3614">
        <v>0.98529770000000005</v>
      </c>
      <c r="Q3614">
        <v>0.1672756</v>
      </c>
      <c r="R3614">
        <v>-3.4753220000000001E-2</v>
      </c>
      <c r="S3614">
        <v>3.1388699999999998</v>
      </c>
      <c r="T3614">
        <v>-0.59431460000000003</v>
      </c>
      <c r="U3614">
        <v>-0.23672489999999999</v>
      </c>
      <c r="V3614">
        <v>3.1340390000000003E-2</v>
      </c>
      <c r="W3614">
        <v>0.18122859999999999</v>
      </c>
      <c r="X3614">
        <v>0.98294150000000002</v>
      </c>
      <c r="Y3614">
        <v>7.0432830000000002E-2</v>
      </c>
      <c r="Z3614">
        <v>-6.4993610000000004E-3</v>
      </c>
      <c r="AA3614">
        <v>0.99749540000000003</v>
      </c>
      <c r="AB3614">
        <v>29</v>
      </c>
      <c r="AC3614">
        <v>0.55660000000000298</v>
      </c>
      <c r="AD3614">
        <v>-0.16206280000000001</v>
      </c>
      <c r="AE3614">
        <v>-6.3500000000004705E-2</v>
      </c>
      <c r="AF3614">
        <v>5.6801547782636498E-2</v>
      </c>
      <c r="AG3614">
        <v>-0.16206280000000001</v>
      </c>
      <c r="AH3614">
        <v>0.51381794269995096</v>
      </c>
      <c r="AI3614">
        <v>107.406166074201</v>
      </c>
      <c r="AJ3614">
        <v>83.691680444523996</v>
      </c>
      <c r="AK3614">
        <v>0.54175607538333503</v>
      </c>
      <c r="AL3614">
        <v>79.558669638623101</v>
      </c>
      <c r="AM3614">
        <v>88.173783538399704</v>
      </c>
      <c r="AN3614">
        <v>1.0000000089627801</v>
      </c>
    </row>
    <row r="3615" spans="1:40" x14ac:dyDescent="0.25">
      <c r="A3615" t="str">
        <f>"20190303162329455"</f>
        <v>20190303162329455</v>
      </c>
      <c r="B3615" t="str">
        <f>"1551601409448383"</f>
        <v>1551601409448383</v>
      </c>
      <c r="C3615" t="s">
        <v>40</v>
      </c>
      <c r="D3615">
        <v>5.4097970000000002</v>
      </c>
      <c r="E3615">
        <v>0.51663429999999999</v>
      </c>
      <c r="F3615" t="s">
        <v>42</v>
      </c>
      <c r="G3615">
        <v>-252.72640000000001</v>
      </c>
      <c r="H3615">
        <v>0.99847350000000001</v>
      </c>
      <c r="I3615">
        <v>215.20529999999999</v>
      </c>
      <c r="J3615">
        <v>-253.2714</v>
      </c>
      <c r="K3615">
        <v>1.1209199999999999</v>
      </c>
      <c r="L3615">
        <v>215.26900000000001</v>
      </c>
      <c r="M3615">
        <v>0.99989309999999998</v>
      </c>
      <c r="N3615">
        <v>-1.417879E-2</v>
      </c>
      <c r="O3615">
        <v>-3.5556390000000002E-3</v>
      </c>
      <c r="P3615">
        <v>0.98520540000000001</v>
      </c>
      <c r="Q3615">
        <v>0.1675922</v>
      </c>
      <c r="R3615">
        <v>-3.5826839999999999E-2</v>
      </c>
      <c r="S3615">
        <v>3.1137079999999999</v>
      </c>
      <c r="T3615">
        <v>-0.45634279999999999</v>
      </c>
      <c r="U3615">
        <v>-0.24148559999999999</v>
      </c>
      <c r="V3615">
        <v>3.2352539999999999E-2</v>
      </c>
      <c r="W3615">
        <v>0.18154090000000001</v>
      </c>
      <c r="X3615">
        <v>0.98285109999999998</v>
      </c>
      <c r="Y3615">
        <v>7.2957560000000005E-2</v>
      </c>
      <c r="Z3615">
        <v>-5.3636219999999898E-3</v>
      </c>
      <c r="AA3615">
        <v>0.99732069999999995</v>
      </c>
      <c r="AB3615">
        <v>29</v>
      </c>
      <c r="AC3615">
        <v>0.54499999999998705</v>
      </c>
      <c r="AD3615">
        <v>-0.1224465</v>
      </c>
      <c r="AE3615">
        <v>-6.37000000000114E-2</v>
      </c>
      <c r="AF3615">
        <v>5.8831901354238103E-2</v>
      </c>
      <c r="AG3615">
        <v>-0.1224465</v>
      </c>
      <c r="AH3615">
        <v>0.51936026281062297</v>
      </c>
      <c r="AI3615">
        <v>103.184682518974</v>
      </c>
      <c r="AJ3615">
        <v>83.537218831018706</v>
      </c>
      <c r="AK3615">
        <v>0.53683276778334199</v>
      </c>
      <c r="AL3615">
        <v>79.540474622409505</v>
      </c>
      <c r="AM3615">
        <v>88.114673796780494</v>
      </c>
      <c r="AN3615">
        <v>1.00000003499423</v>
      </c>
    </row>
    <row r="3616" spans="1:40" x14ac:dyDescent="0.25">
      <c r="A3616" t="str">
        <f>"20190303162329477"</f>
        <v>20190303162329477</v>
      </c>
      <c r="B3616" t="str">
        <f>"1551601409468879"</f>
        <v>1551601409468879</v>
      </c>
      <c r="C3616" t="s">
        <v>40</v>
      </c>
      <c r="D3616">
        <v>5.5789260000000001</v>
      </c>
      <c r="E3616">
        <v>0.51573879999999905</v>
      </c>
      <c r="F3616" t="s">
        <v>42</v>
      </c>
      <c r="G3616">
        <v>-252.458</v>
      </c>
      <c r="H3616">
        <v>1.017539</v>
      </c>
      <c r="I3616">
        <v>215.2089</v>
      </c>
      <c r="J3616">
        <v>-252.98230000000001</v>
      </c>
      <c r="K3616">
        <v>1.1209129999999901</v>
      </c>
      <c r="L3616">
        <v>215.2679</v>
      </c>
      <c r="M3616">
        <v>0.99989309999999998</v>
      </c>
      <c r="N3616">
        <v>-1.4175800000000001E-2</v>
      </c>
      <c r="O3616">
        <v>-3.6183159999999999E-3</v>
      </c>
      <c r="P3616">
        <v>0.98532830000000005</v>
      </c>
      <c r="Q3616">
        <v>0.16668359999999999</v>
      </c>
      <c r="R3616">
        <v>-3.6676399999999998E-2</v>
      </c>
      <c r="S3616">
        <v>3.1038670000000002</v>
      </c>
      <c r="T3616">
        <v>-0.39455519999999999</v>
      </c>
      <c r="U3616">
        <v>-0.2289581</v>
      </c>
      <c r="V3616">
        <v>3.3139929999999998E-2</v>
      </c>
      <c r="W3616">
        <v>0.18063109999999999</v>
      </c>
      <c r="X3616">
        <v>0.98299250000000005</v>
      </c>
      <c r="Y3616">
        <v>6.9361279999999997E-2</v>
      </c>
      <c r="Z3616">
        <v>-4.4730250000000003E-3</v>
      </c>
      <c r="AA3616">
        <v>0.99758159999999896</v>
      </c>
      <c r="AB3616">
        <v>29</v>
      </c>
      <c r="AC3616">
        <v>0.52430000000000998</v>
      </c>
      <c r="AD3616">
        <v>-0.10337399999999899</v>
      </c>
      <c r="AE3616">
        <v>-5.8999999999997499E-2</v>
      </c>
      <c r="AF3616">
        <v>5.4991321689158497E-2</v>
      </c>
      <c r="AG3616">
        <v>-0.10337399999999899</v>
      </c>
      <c r="AH3616">
        <v>0.50511943702543405</v>
      </c>
      <c r="AI3616">
        <v>101.499899253401</v>
      </c>
      <c r="AJ3616">
        <v>83.786795156431495</v>
      </c>
      <c r="AK3616">
        <v>0.51851313869371896</v>
      </c>
      <c r="AL3616">
        <v>79.593478804444004</v>
      </c>
      <c r="AM3616">
        <v>88.069100998331507</v>
      </c>
      <c r="AN3616">
        <v>1.0000000521519301</v>
      </c>
    </row>
    <row r="3617" spans="1:40" x14ac:dyDescent="0.25">
      <c r="A3617" t="str">
        <f>"20190303162329499"</f>
        <v>20190303162329499</v>
      </c>
      <c r="B3617" t="str">
        <f>"1551601409488400"</f>
        <v>1551601409488400</v>
      </c>
      <c r="C3617" t="s">
        <v>40</v>
      </c>
      <c r="D3617">
        <v>5.4016359999999999</v>
      </c>
      <c r="E3617">
        <v>0.51412709999999995</v>
      </c>
      <c r="F3617" t="s">
        <v>42</v>
      </c>
      <c r="G3617">
        <v>-252.19329999999999</v>
      </c>
      <c r="H3617">
        <v>1.0298849999999999</v>
      </c>
      <c r="I3617">
        <v>215.2106</v>
      </c>
      <c r="J3617">
        <v>-252.7072</v>
      </c>
      <c r="K3617">
        <v>1.1209100000000001</v>
      </c>
      <c r="L3617">
        <v>215.26689999999999</v>
      </c>
      <c r="M3617">
        <v>0.99989269999999997</v>
      </c>
      <c r="N3617">
        <v>-1.417296E-2</v>
      </c>
      <c r="O3617">
        <v>-3.6774189999999999E-3</v>
      </c>
      <c r="P3617">
        <v>0.985425</v>
      </c>
      <c r="Q3617">
        <v>0.16598750000000001</v>
      </c>
      <c r="R3617">
        <v>-3.7226269999999999E-2</v>
      </c>
      <c r="S3617">
        <v>3.0967560000000001</v>
      </c>
      <c r="T3617">
        <v>-0.35742869999999999</v>
      </c>
      <c r="U3617">
        <v>-0.2246552</v>
      </c>
      <c r="V3617">
        <v>3.3630899999999998E-2</v>
      </c>
      <c r="W3617">
        <v>0.1799337</v>
      </c>
      <c r="X3617">
        <v>0.98310370000000002</v>
      </c>
      <c r="Y3617">
        <v>6.8198930000000005E-2</v>
      </c>
      <c r="Z3617">
        <v>-4.0328170000000002E-3</v>
      </c>
      <c r="AA3617">
        <v>0.99766359999999998</v>
      </c>
      <c r="AB3617">
        <v>29</v>
      </c>
      <c r="AC3617">
        <v>0.51390000000000602</v>
      </c>
      <c r="AD3617">
        <v>-9.1025000000000106E-2</v>
      </c>
      <c r="AE3617">
        <v>-5.6299999999993099E-2</v>
      </c>
      <c r="AF3617">
        <v>5.2773544587336199E-2</v>
      </c>
      <c r="AG3617">
        <v>-9.1025000000000106E-2</v>
      </c>
      <c r="AH3617">
        <v>0.49864484607640702</v>
      </c>
      <c r="AI3617">
        <v>100.28891432901</v>
      </c>
      <c r="AJ3617">
        <v>83.9586514254311</v>
      </c>
      <c r="AK3617">
        <v>0.50962464633480498</v>
      </c>
      <c r="AL3617">
        <v>79.6341022649964</v>
      </c>
      <c r="AM3617">
        <v>88.040738221012006</v>
      </c>
      <c r="AN3617">
        <v>1.0000000293920901</v>
      </c>
    </row>
    <row r="3618" spans="1:40" x14ac:dyDescent="0.25">
      <c r="A3618" t="str">
        <f>"20190303162329524"</f>
        <v>20190303162329524</v>
      </c>
      <c r="B3618" t="str">
        <f>"1551601409518655"</f>
        <v>1551601409518655</v>
      </c>
      <c r="C3618" t="s">
        <v>40</v>
      </c>
      <c r="D3618">
        <v>5.4231559999999996</v>
      </c>
      <c r="E3618">
        <v>0.51328739999999995</v>
      </c>
      <c r="F3618" t="s">
        <v>42</v>
      </c>
      <c r="G3618">
        <v>-251.93090000000001</v>
      </c>
      <c r="H3618">
        <v>1.0383039999999999</v>
      </c>
      <c r="I3618">
        <v>215.21289999999999</v>
      </c>
      <c r="J3618">
        <v>-252.39070000000001</v>
      </c>
      <c r="K3618">
        <v>1.120903</v>
      </c>
      <c r="L3618">
        <v>215.26560000000001</v>
      </c>
      <c r="M3618">
        <v>0.99989269999999997</v>
      </c>
      <c r="N3618">
        <v>-1.4169569999999999E-2</v>
      </c>
      <c r="O3618">
        <v>-3.7459339999999998E-3</v>
      </c>
      <c r="P3618">
        <v>0.98541559999999995</v>
      </c>
      <c r="Q3618">
        <v>0.1660073</v>
      </c>
      <c r="R3618">
        <v>-3.7387440000000001E-2</v>
      </c>
      <c r="S3618">
        <v>3.0917659999999998</v>
      </c>
      <c r="T3618">
        <v>-0.32912760000000002</v>
      </c>
      <c r="U3618">
        <v>-0.21392820000000001</v>
      </c>
      <c r="V3618">
        <v>3.3724690000000002E-2</v>
      </c>
      <c r="W3618">
        <v>0.1799501</v>
      </c>
      <c r="X3618">
        <v>0.98309740000000001</v>
      </c>
      <c r="Y3618">
        <v>6.4891870000000004E-2</v>
      </c>
      <c r="Z3618">
        <v>-3.5576679999999999E-3</v>
      </c>
      <c r="AA3618">
        <v>0.99788589999999999</v>
      </c>
      <c r="AB3618">
        <v>29</v>
      </c>
      <c r="AC3618">
        <v>0.45980000000000099</v>
      </c>
      <c r="AD3618">
        <v>-8.2598999999999798E-2</v>
      </c>
      <c r="AE3618">
        <v>-5.27000000000157E-2</v>
      </c>
      <c r="AF3618">
        <v>4.9403453089505701E-2</v>
      </c>
      <c r="AG3618">
        <v>-8.2598999999999798E-2</v>
      </c>
      <c r="AH3618">
        <v>0.44579452997732699</v>
      </c>
      <c r="AI3618">
        <v>100.434537596035</v>
      </c>
      <c r="AJ3618">
        <v>83.676220911320897</v>
      </c>
      <c r="AK3618">
        <v>0.45606584934181699</v>
      </c>
      <c r="AL3618">
        <v>79.6331461432098</v>
      </c>
      <c r="AM3618">
        <v>88.035265918882402</v>
      </c>
      <c r="AN3618">
        <v>0.99999994554618099</v>
      </c>
    </row>
    <row r="3619" spans="1:40" x14ac:dyDescent="0.25">
      <c r="A3619" t="str">
        <f>"20190303162329544"</f>
        <v>20190303162329544</v>
      </c>
      <c r="B3619" t="str">
        <f>"1551601409538176"</f>
        <v>1551601409538176</v>
      </c>
      <c r="C3619" t="s">
        <v>40</v>
      </c>
      <c r="D3619">
        <v>5.5032779999999999</v>
      </c>
      <c r="E3619">
        <v>0.51295329999999995</v>
      </c>
      <c r="F3619" t="s">
        <v>42</v>
      </c>
      <c r="G3619">
        <v>-251.42089999999999</v>
      </c>
      <c r="H3619">
        <v>1.0272669999999999</v>
      </c>
      <c r="I3619">
        <v>215.20009999999999</v>
      </c>
      <c r="J3619">
        <v>-252.12880000000001</v>
      </c>
      <c r="K3619">
        <v>1.120906</v>
      </c>
      <c r="L3619">
        <v>215.2646</v>
      </c>
      <c r="M3619">
        <v>0.99989249999999996</v>
      </c>
      <c r="N3619">
        <v>-1.416682E-2</v>
      </c>
      <c r="O3619">
        <v>-3.8021790000000001E-3</v>
      </c>
      <c r="P3619">
        <v>0.98535810000000001</v>
      </c>
      <c r="Q3619">
        <v>0.1662556</v>
      </c>
      <c r="R3619">
        <v>-3.7797089999999998E-2</v>
      </c>
      <c r="S3619">
        <v>3.0867460000000002</v>
      </c>
      <c r="T3619">
        <v>-0.29824139999999999</v>
      </c>
      <c r="U3619">
        <v>-0.20768739999999999</v>
      </c>
      <c r="V3619">
        <v>3.4079150000000002E-2</v>
      </c>
      <c r="W3619">
        <v>0.18019489999999999</v>
      </c>
      <c r="X3619">
        <v>0.98304040000000004</v>
      </c>
      <c r="Y3619">
        <v>6.3014890000000004E-2</v>
      </c>
      <c r="Z3619">
        <v>-3.1694560000000002E-3</v>
      </c>
      <c r="AA3619">
        <v>0.99800750000000005</v>
      </c>
      <c r="AB3619">
        <v>29</v>
      </c>
      <c r="AC3619">
        <v>0.70790000000002296</v>
      </c>
      <c r="AD3619">
        <v>-9.3639E-2</v>
      </c>
      <c r="AE3619">
        <v>-6.4500000000009494E-2</v>
      </c>
      <c r="AF3619">
        <v>6.0753435782238401E-2</v>
      </c>
      <c r="AG3619">
        <v>-9.3639E-2</v>
      </c>
      <c r="AH3619">
        <v>0.69606126881484098</v>
      </c>
      <c r="AI3619">
        <v>97.633151683751294</v>
      </c>
      <c r="AJ3619">
        <v>85.011766234918696</v>
      </c>
      <c r="AK3619">
        <v>0.70495427669067501</v>
      </c>
      <c r="AL3619">
        <v>79.618887715527805</v>
      </c>
      <c r="AM3619">
        <v>88.014517190574097</v>
      </c>
      <c r="AN3619">
        <v>1.0000000092414401</v>
      </c>
    </row>
    <row r="3620" spans="1:40" x14ac:dyDescent="0.25">
      <c r="A3620" t="str">
        <f>"20190303162329566"</f>
        <v>20190303162329566</v>
      </c>
      <c r="B3620" t="str">
        <f>"1551601409558672"</f>
        <v>1551601409558672</v>
      </c>
      <c r="C3620" t="s">
        <v>40</v>
      </c>
      <c r="D3620">
        <v>5.3996829999999996</v>
      </c>
      <c r="E3620">
        <v>0.51250839999999998</v>
      </c>
      <c r="F3620" t="s">
        <v>42</v>
      </c>
      <c r="G3620">
        <v>-251.1611</v>
      </c>
      <c r="H3620">
        <v>1.0322450000000001</v>
      </c>
      <c r="I3620">
        <v>215.19970000000001</v>
      </c>
      <c r="J3620">
        <v>-251.8417</v>
      </c>
      <c r="K3620">
        <v>1.1209039999999999</v>
      </c>
      <c r="L3620">
        <v>215.26339999999999</v>
      </c>
      <c r="M3620">
        <v>0.99989220000000001</v>
      </c>
      <c r="N3620">
        <v>-1.4163790000000001E-2</v>
      </c>
      <c r="O3620">
        <v>-3.8639030000000001E-3</v>
      </c>
      <c r="P3620">
        <v>0.98538440000000005</v>
      </c>
      <c r="Q3620">
        <v>0.16615949999999999</v>
      </c>
      <c r="R3620">
        <v>-3.7527530000000003E-2</v>
      </c>
      <c r="S3620">
        <v>3.0843660000000002</v>
      </c>
      <c r="T3620">
        <v>-0.2827035</v>
      </c>
      <c r="U3620">
        <v>-0.2063904</v>
      </c>
      <c r="V3620">
        <v>3.3748710000000001E-2</v>
      </c>
      <c r="W3620">
        <v>0.18009639999999999</v>
      </c>
      <c r="X3620">
        <v>0.98306979999999999</v>
      </c>
      <c r="Y3620">
        <v>6.2619060000000004E-2</v>
      </c>
      <c r="Z3620">
        <v>-3.0071669999999998E-3</v>
      </c>
      <c r="AA3620">
        <v>0.99803299999999995</v>
      </c>
      <c r="AB3620">
        <v>29</v>
      </c>
      <c r="AC3620">
        <v>0.68059999999999798</v>
      </c>
      <c r="AD3620">
        <v>-8.8659000000000002E-2</v>
      </c>
      <c r="AE3620">
        <v>-6.3699999999982895E-2</v>
      </c>
      <c r="AF3620">
        <v>6.0059181037958098E-2</v>
      </c>
      <c r="AG3620">
        <v>-8.8659000000000002E-2</v>
      </c>
      <c r="AH3620">
        <v>0.669577534670036</v>
      </c>
      <c r="AI3620">
        <v>97.512862620734197</v>
      </c>
      <c r="AJ3620">
        <v>84.874449829677701</v>
      </c>
      <c r="AK3620">
        <v>0.67808671896944905</v>
      </c>
      <c r="AL3620">
        <v>79.624624701062004</v>
      </c>
      <c r="AM3620">
        <v>88.033812502370196</v>
      </c>
      <c r="AN3620">
        <v>0.99999996019583104</v>
      </c>
    </row>
    <row r="3621" spans="1:40" x14ac:dyDescent="0.25">
      <c r="A3621" t="str">
        <f>"20190303162329587"</f>
        <v>20190303162329587</v>
      </c>
      <c r="B3621" t="str">
        <f>"1551601409578191"</f>
        <v>1551601409578191</v>
      </c>
      <c r="C3621" t="s">
        <v>40</v>
      </c>
      <c r="D3621">
        <v>5.4078580000000001</v>
      </c>
      <c r="E3621">
        <v>0.51224429999999999</v>
      </c>
      <c r="F3621" t="s">
        <v>42</v>
      </c>
      <c r="G3621">
        <v>-250.90119999999999</v>
      </c>
      <c r="H3621">
        <v>1.038178</v>
      </c>
      <c r="I3621">
        <v>215.20150000000001</v>
      </c>
      <c r="J3621">
        <v>-251.55950000000001</v>
      </c>
      <c r="K3621">
        <v>1.1208990000000001</v>
      </c>
      <c r="L3621">
        <v>215.26230000000001</v>
      </c>
      <c r="M3621">
        <v>0.99989209999999995</v>
      </c>
      <c r="N3621">
        <v>-1.4160809999999999E-2</v>
      </c>
      <c r="O3621">
        <v>-3.9246719999999997E-3</v>
      </c>
      <c r="P3621">
        <v>0.98552459999999997</v>
      </c>
      <c r="Q3621">
        <v>0.1654021</v>
      </c>
      <c r="R3621">
        <v>-3.7196550000000002E-2</v>
      </c>
      <c r="S3621">
        <v>3.0825040000000001</v>
      </c>
      <c r="T3621">
        <v>-0.27121149999999999</v>
      </c>
      <c r="U3621">
        <v>-0.20252990000000001</v>
      </c>
      <c r="V3621">
        <v>3.3356980000000001E-2</v>
      </c>
      <c r="W3621">
        <v>0.17933789999999999</v>
      </c>
      <c r="X3621">
        <v>0.98322180000000003</v>
      </c>
      <c r="Y3621">
        <v>6.1380810000000001E-2</v>
      </c>
      <c r="Z3621">
        <v>-2.8394079999999999E-3</v>
      </c>
      <c r="AA3621">
        <v>0.99811039999999995</v>
      </c>
      <c r="AB3621">
        <v>29</v>
      </c>
      <c r="AC3621">
        <v>0.65830000000002498</v>
      </c>
      <c r="AD3621">
        <v>-8.2720999999999795E-2</v>
      </c>
      <c r="AE3621">
        <v>-6.0800000000000402E-2</v>
      </c>
      <c r="AF3621">
        <v>5.7318257363659302E-2</v>
      </c>
      <c r="AG3621">
        <v>-8.2720999999999795E-2</v>
      </c>
      <c r="AH3621">
        <v>0.64838217170965595</v>
      </c>
      <c r="AI3621">
        <v>97.242610312343302</v>
      </c>
      <c r="AJ3621">
        <v>84.948073364507906</v>
      </c>
      <c r="AK3621">
        <v>0.656146010472621</v>
      </c>
      <c r="AL3621">
        <v>79.668802628096401</v>
      </c>
      <c r="AM3621">
        <v>88.056917151015497</v>
      </c>
      <c r="AN3621">
        <v>0.99999993924318298</v>
      </c>
    </row>
    <row r="3622" spans="1:40" x14ac:dyDescent="0.25">
      <c r="A3622" t="str">
        <f>"20190303162329611"</f>
        <v>20190303162329611</v>
      </c>
      <c r="B3622" t="str">
        <f>"1551601409598688"</f>
        <v>1551601409598688</v>
      </c>
      <c r="C3622" t="s">
        <v>40</v>
      </c>
      <c r="D3622">
        <v>5.4983240000000002</v>
      </c>
      <c r="E3622">
        <v>0.51202609999999904</v>
      </c>
      <c r="F3622" t="s">
        <v>42</v>
      </c>
      <c r="G3622">
        <v>-250.643</v>
      </c>
      <c r="H3622">
        <v>1.0411280000000001</v>
      </c>
      <c r="I3622">
        <v>215.2028</v>
      </c>
      <c r="J3622">
        <v>-251.26429999999999</v>
      </c>
      <c r="K3622">
        <v>1.120903</v>
      </c>
      <c r="L3622">
        <v>215.261</v>
      </c>
      <c r="M3622">
        <v>0.9998918</v>
      </c>
      <c r="N3622">
        <v>-1.4157650000000001E-2</v>
      </c>
      <c r="O3622">
        <v>-3.9881819999999998E-3</v>
      </c>
      <c r="P3622">
        <v>0.98548170000000002</v>
      </c>
      <c r="Q3622">
        <v>0.1656745</v>
      </c>
      <c r="R3622">
        <v>-3.7117509999999999E-2</v>
      </c>
      <c r="S3622">
        <v>3.0815730000000001</v>
      </c>
      <c r="T3622">
        <v>-0.26830999999999999</v>
      </c>
      <c r="U3622">
        <v>-0.19975280000000001</v>
      </c>
      <c r="V3622">
        <v>3.3215359999999999E-2</v>
      </c>
      <c r="W3622">
        <v>0.17960670000000001</v>
      </c>
      <c r="X3622">
        <v>0.98317759999999998</v>
      </c>
      <c r="Y3622">
        <v>6.045068E-2</v>
      </c>
      <c r="Z3622">
        <v>-2.763415E-3</v>
      </c>
      <c r="AA3622">
        <v>0.99816729999999998</v>
      </c>
      <c r="AB3622">
        <v>29</v>
      </c>
      <c r="AC3622">
        <v>0.62129999999998997</v>
      </c>
      <c r="AD3622">
        <v>-7.9774999999999902E-2</v>
      </c>
      <c r="AE3622">
        <v>-5.8199999999999301E-2</v>
      </c>
      <c r="AF3622">
        <v>5.48254094597697E-2</v>
      </c>
      <c r="AG3622">
        <v>-7.9774999999999902E-2</v>
      </c>
      <c r="AH3622">
        <v>0.61153280095680296</v>
      </c>
      <c r="AI3622">
        <v>97.4029555810083</v>
      </c>
      <c r="AJ3622">
        <v>84.876989611015205</v>
      </c>
      <c r="AK3622">
        <v>0.61914638236325303</v>
      </c>
      <c r="AL3622">
        <v>79.653148066841098</v>
      </c>
      <c r="AM3622">
        <v>88.065073479951195</v>
      </c>
      <c r="AN3622">
        <v>1.00000000998328</v>
      </c>
    </row>
    <row r="3623" spans="1:40" x14ac:dyDescent="0.25">
      <c r="A3623" t="str">
        <f>"20190303162329634"</f>
        <v>20190303162329634</v>
      </c>
      <c r="B3623" t="str">
        <f>"1551601409627968"</f>
        <v>1551601409627968</v>
      </c>
      <c r="C3623" t="s">
        <v>40</v>
      </c>
      <c r="D3623">
        <v>5.5023910000000003</v>
      </c>
      <c r="E3623">
        <v>0.51166120000000004</v>
      </c>
      <c r="F3623" t="s">
        <v>42</v>
      </c>
      <c r="G3623">
        <v>-250.38229999999999</v>
      </c>
      <c r="H3623">
        <v>1.0467169999999999</v>
      </c>
      <c r="I3623">
        <v>215.20439999999999</v>
      </c>
      <c r="J3623">
        <v>-250.9708</v>
      </c>
      <c r="K3623">
        <v>1.12090499999999</v>
      </c>
      <c r="L3623">
        <v>215.25980000000001</v>
      </c>
      <c r="M3623">
        <v>0.9998918</v>
      </c>
      <c r="N3623">
        <v>-1.415464E-2</v>
      </c>
      <c r="O3623">
        <v>-4.0518120000000001E-3</v>
      </c>
      <c r="P3623">
        <v>0.98562289999999997</v>
      </c>
      <c r="Q3623">
        <v>0.16488220000000001</v>
      </c>
      <c r="R3623">
        <v>-3.6901150000000001E-2</v>
      </c>
      <c r="S3623">
        <v>3.0803530000000001</v>
      </c>
      <c r="T3623">
        <v>-0.25919500000000001</v>
      </c>
      <c r="U3623">
        <v>-0.196991</v>
      </c>
      <c r="V3623">
        <v>3.2935489999999998E-2</v>
      </c>
      <c r="W3623">
        <v>0.17881340000000001</v>
      </c>
      <c r="X3623">
        <v>0.98333159999999997</v>
      </c>
      <c r="Y3623">
        <v>5.9540759999999998E-2</v>
      </c>
      <c r="Z3623">
        <v>-2.6380000000000002E-3</v>
      </c>
      <c r="AA3623">
        <v>0.99822239999999995</v>
      </c>
      <c r="AB3623">
        <v>29</v>
      </c>
      <c r="AC3623">
        <v>0.58850000000001002</v>
      </c>
      <c r="AD3623">
        <v>-7.4187999999999907E-2</v>
      </c>
      <c r="AE3623">
        <v>-5.54000000000201E-2</v>
      </c>
      <c r="AF3623">
        <v>5.2192663311306897E-2</v>
      </c>
      <c r="AG3623">
        <v>-7.4187999999999907E-2</v>
      </c>
      <c r="AH3623">
        <v>0.57958981578374502</v>
      </c>
      <c r="AI3623">
        <v>97.265163461358497</v>
      </c>
      <c r="AJ3623">
        <v>84.854334808613501</v>
      </c>
      <c r="AK3623">
        <v>0.58664494202862005</v>
      </c>
      <c r="AL3623">
        <v>79.699348729638302</v>
      </c>
      <c r="AM3623">
        <v>88.081665034868394</v>
      </c>
      <c r="AN3623">
        <v>1.0000000070398301</v>
      </c>
    </row>
    <row r="3624" spans="1:40" x14ac:dyDescent="0.25">
      <c r="A3624" t="str">
        <f>"20190303162329678"</f>
        <v>20190303162329678</v>
      </c>
      <c r="B3624" t="str">
        <f>"1551601409667984"</f>
        <v>1551601409667984</v>
      </c>
      <c r="C3624" t="s">
        <v>40</v>
      </c>
      <c r="D3624">
        <v>5.5166170000000001</v>
      </c>
      <c r="E3624">
        <v>0.51151250000000004</v>
      </c>
      <c r="F3624" t="s">
        <v>42</v>
      </c>
      <c r="G3624">
        <v>-250.1216</v>
      </c>
      <c r="H3624">
        <v>1.0517000000000001</v>
      </c>
      <c r="I3624">
        <v>215.2064</v>
      </c>
      <c r="J3624">
        <v>-250.40039999999999</v>
      </c>
      <c r="K3624">
        <v>1.1209119999999999</v>
      </c>
      <c r="L3624">
        <v>215.25729999999999</v>
      </c>
      <c r="M3624">
        <v>0.99989119999999998</v>
      </c>
      <c r="N3624">
        <v>-1.4148640000000001E-2</v>
      </c>
      <c r="O3624">
        <v>-4.1747829999999996E-3</v>
      </c>
      <c r="P3624">
        <v>0.98564050000000003</v>
      </c>
      <c r="Q3624">
        <v>0.16466069999999999</v>
      </c>
      <c r="R3624">
        <v>-3.7412510000000003E-2</v>
      </c>
      <c r="S3624">
        <v>3.078522</v>
      </c>
      <c r="T3624">
        <v>-0.25093310000000002</v>
      </c>
      <c r="U3624">
        <v>-0.1929321</v>
      </c>
      <c r="V3624">
        <v>3.3325300000000002E-2</v>
      </c>
      <c r="W3624">
        <v>0.17858679999999999</v>
      </c>
      <c r="X3624">
        <v>0.9833596</v>
      </c>
      <c r="Y3624">
        <v>5.8163810000000003E-2</v>
      </c>
      <c r="Z3624">
        <v>-2.4965009999999999E-3</v>
      </c>
      <c r="AA3624">
        <v>0.99830390000000002</v>
      </c>
      <c r="AB3624">
        <v>29</v>
      </c>
      <c r="AC3624">
        <v>0.278799999999989</v>
      </c>
      <c r="AD3624">
        <v>-6.9211999999999996E-2</v>
      </c>
      <c r="AE3624">
        <v>-5.0899999999984402E-2</v>
      </c>
      <c r="AF3624">
        <v>4.6936232702876397E-2</v>
      </c>
      <c r="AG3624">
        <v>-6.9211999999999996E-2</v>
      </c>
      <c r="AH3624">
        <v>0.26330648484920499</v>
      </c>
      <c r="AI3624">
        <v>104.508610500654</v>
      </c>
      <c r="AJ3624">
        <v>79.892786184372</v>
      </c>
      <c r="AK3624">
        <v>0.27626729058645999</v>
      </c>
      <c r="AL3624">
        <v>79.712543885293201</v>
      </c>
      <c r="AM3624">
        <v>88.059032956541699</v>
      </c>
      <c r="AN3624">
        <v>0.99999996183324402</v>
      </c>
    </row>
    <row r="3625" spans="1:40" x14ac:dyDescent="0.25">
      <c r="A3625" t="str">
        <f>"20190303162329700"</f>
        <v>20190303162329700</v>
      </c>
      <c r="B3625" t="str">
        <f>"1551601409688480"</f>
        <v>1551601409688480</v>
      </c>
      <c r="C3625" t="s">
        <v>40</v>
      </c>
      <c r="D3625">
        <v>5.6362730000000001</v>
      </c>
      <c r="E3625">
        <v>0.51142900000000002</v>
      </c>
      <c r="F3625" t="s">
        <v>47</v>
      </c>
      <c r="G3625">
        <v>-236.3716</v>
      </c>
      <c r="H3625" s="1">
        <v>1.864566E-6</v>
      </c>
      <c r="I3625">
        <v>214.3708</v>
      </c>
      <c r="J3625">
        <v>-250.1233</v>
      </c>
      <c r="K3625">
        <v>1.120906</v>
      </c>
      <c r="L3625">
        <v>215.2561</v>
      </c>
      <c r="M3625">
        <v>0.99989110000000003</v>
      </c>
      <c r="N3625">
        <v>-1.414547E-2</v>
      </c>
      <c r="O3625">
        <v>-4.2347180000000002E-3</v>
      </c>
      <c r="P3625">
        <v>0.98555309999999896</v>
      </c>
      <c r="Q3625">
        <v>0.16506270000000001</v>
      </c>
      <c r="R3625">
        <v>-3.7941240000000001E-2</v>
      </c>
      <c r="S3625">
        <v>3.0773929999999998</v>
      </c>
      <c r="T3625">
        <v>-0.2458854</v>
      </c>
      <c r="U3625">
        <v>-0.19445799999999999</v>
      </c>
      <c r="V3625">
        <v>3.3795510000000001E-2</v>
      </c>
      <c r="W3625">
        <v>0.1789837</v>
      </c>
      <c r="X3625">
        <v>0.98327140000000002</v>
      </c>
      <c r="Y3625">
        <v>5.8625999999999998E-2</v>
      </c>
      <c r="Z3625">
        <v>-2.4742330000000002E-3</v>
      </c>
      <c r="AA3625">
        <v>0.99827690000000002</v>
      </c>
      <c r="AB3625">
        <v>29</v>
      </c>
      <c r="AC3625">
        <v>13.7517</v>
      </c>
      <c r="AD3625">
        <v>-1.1209041354339999</v>
      </c>
      <c r="AE3625">
        <v>-0.88529999999999998</v>
      </c>
      <c r="AF3625">
        <v>0.82161545449917806</v>
      </c>
      <c r="AG3625">
        <v>-1.1209041354339999</v>
      </c>
      <c r="AH3625">
        <v>13.664912223013999</v>
      </c>
      <c r="AI3625">
        <v>94.680938268683704</v>
      </c>
      <c r="AJ3625">
        <v>86.559180739071806</v>
      </c>
      <c r="AK3625">
        <v>13.735403310372099</v>
      </c>
      <c r="AL3625">
        <v>79.689430917799498</v>
      </c>
      <c r="AM3625">
        <v>88.031491464100597</v>
      </c>
      <c r="AN3625">
        <v>0.99999997370990401</v>
      </c>
    </row>
    <row r="3626" spans="1:40" x14ac:dyDescent="0.25">
      <c r="A3626" t="str">
        <f>"20190303162329746"</f>
        <v>20190303162329746</v>
      </c>
      <c r="B3626" t="str">
        <f>"1551601409738256"</f>
        <v>1551601409738256</v>
      </c>
      <c r="C3626" t="s">
        <v>40</v>
      </c>
      <c r="D3626">
        <v>5.9975389999999997</v>
      </c>
      <c r="E3626">
        <v>0.51145600000000002</v>
      </c>
      <c r="F3626" t="s">
        <v>47</v>
      </c>
      <c r="G3626">
        <v>-235.70609999999999</v>
      </c>
      <c r="H3626" s="1">
        <v>1.511773E-6</v>
      </c>
      <c r="I3626">
        <v>214.34100000000001</v>
      </c>
      <c r="J3626">
        <v>-249.54939999999999</v>
      </c>
      <c r="K3626">
        <v>1.120906</v>
      </c>
      <c r="L3626">
        <v>215.2535</v>
      </c>
      <c r="M3626">
        <v>0.99989059999999996</v>
      </c>
      <c r="N3626">
        <v>-1.413906E-2</v>
      </c>
      <c r="O3626">
        <v>-4.3586390000000001E-3</v>
      </c>
      <c r="P3626">
        <v>0.98541369999999895</v>
      </c>
      <c r="Q3626">
        <v>0.16557520000000001</v>
      </c>
      <c r="R3626">
        <v>-3.9306849999999997E-2</v>
      </c>
      <c r="S3626">
        <v>3.0765530000000001</v>
      </c>
      <c r="T3626">
        <v>-0.23919579999999999</v>
      </c>
      <c r="U3626">
        <v>-0.19528200000000001</v>
      </c>
      <c r="V3626">
        <v>3.5039349999999997E-2</v>
      </c>
      <c r="W3626">
        <v>0.17948800000000001</v>
      </c>
      <c r="X3626">
        <v>0.98313589999999995</v>
      </c>
      <c r="Y3626">
        <v>5.8795569999999998E-2</v>
      </c>
      <c r="Z3626">
        <v>-2.4202059999999998E-3</v>
      </c>
      <c r="AA3626">
        <v>0.99826709999999996</v>
      </c>
      <c r="AB3626">
        <v>29</v>
      </c>
      <c r="AC3626">
        <v>13.843299999999999</v>
      </c>
      <c r="AD3626">
        <v>-1.1209044882269901</v>
      </c>
      <c r="AE3626">
        <v>-0.91250000000002196</v>
      </c>
      <c r="AF3626">
        <v>0.846620679951961</v>
      </c>
      <c r="AG3626">
        <v>-1.1209044882269901</v>
      </c>
      <c r="AH3626">
        <v>13.757339276378501</v>
      </c>
      <c r="AI3626">
        <v>94.649233136862406</v>
      </c>
      <c r="AJ3626">
        <v>86.478483615818107</v>
      </c>
      <c r="AK3626">
        <v>13.8288675390588</v>
      </c>
      <c r="AL3626">
        <v>79.660060774814298</v>
      </c>
      <c r="AM3626">
        <v>87.958819860791394</v>
      </c>
      <c r="AN3626">
        <v>0.99999994803061398</v>
      </c>
    </row>
    <row r="3627" spans="1:40" x14ac:dyDescent="0.25">
      <c r="A3627" t="str">
        <f>"20190303162329767"</f>
        <v>20190303162329767</v>
      </c>
      <c r="B3627" t="str">
        <f>"1551601409758751"</f>
        <v>1551601409758751</v>
      </c>
      <c r="C3627" t="s">
        <v>40</v>
      </c>
      <c r="D3627">
        <v>5.1719679999999997</v>
      </c>
      <c r="E3627">
        <v>0.51132959999999905</v>
      </c>
      <c r="F3627" t="s">
        <v>42</v>
      </c>
      <c r="G3627">
        <v>-248.59360000000001</v>
      </c>
      <c r="H3627">
        <v>1.0498879999999999</v>
      </c>
      <c r="I3627">
        <v>215.19149999999999</v>
      </c>
      <c r="J3627">
        <v>-249.2696</v>
      </c>
      <c r="K3627">
        <v>1.1209089999999999</v>
      </c>
      <c r="L3627">
        <v>215.25219999999999</v>
      </c>
      <c r="M3627">
        <v>0.99989039999999996</v>
      </c>
      <c r="N3627">
        <v>-1.413591E-2</v>
      </c>
      <c r="O3627">
        <v>-4.4191680000000002E-3</v>
      </c>
      <c r="P3627">
        <v>0.98525430000000003</v>
      </c>
      <c r="Q3627">
        <v>0.16638229999999901</v>
      </c>
      <c r="R3627">
        <v>-3.9888699999999902E-2</v>
      </c>
      <c r="S3627">
        <v>3.0748440000000001</v>
      </c>
      <c r="T3627">
        <v>-0.22845170000000001</v>
      </c>
      <c r="U3627">
        <v>-0.1993713</v>
      </c>
      <c r="V3627">
        <v>3.5562469999999999E-2</v>
      </c>
      <c r="W3627">
        <v>0.1802897</v>
      </c>
      <c r="X3627">
        <v>0.98297049999999997</v>
      </c>
      <c r="Y3627">
        <v>6.0104049999999999E-2</v>
      </c>
      <c r="Z3627">
        <v>-2.388163E-3</v>
      </c>
      <c r="AA3627">
        <v>0.99818929999999995</v>
      </c>
      <c r="AB3627">
        <v>28</v>
      </c>
      <c r="AC3627">
        <v>0.67599999999998694</v>
      </c>
      <c r="AD3627">
        <v>-7.1021000000000001E-2</v>
      </c>
      <c r="AE3627">
        <v>-6.0699999999996999E-2</v>
      </c>
      <c r="AF3627">
        <v>5.7086683124525701E-2</v>
      </c>
      <c r="AG3627">
        <v>-7.1021000000000001E-2</v>
      </c>
      <c r="AH3627">
        <v>0.66893716903330502</v>
      </c>
      <c r="AI3627">
        <v>96.038598856207699</v>
      </c>
      <c r="AJ3627">
        <v>85.122232087493103</v>
      </c>
      <c r="AK3627">
        <v>0.67511466281325305</v>
      </c>
      <c r="AL3627">
        <v>79.613365902024199</v>
      </c>
      <c r="AM3627">
        <v>87.928024138034601</v>
      </c>
      <c r="AN3627">
        <v>1.00000003453441</v>
      </c>
    </row>
    <row r="3628" spans="1:40" x14ac:dyDescent="0.25">
      <c r="A3628" t="str">
        <f>"20190303162329789"</f>
        <v>20190303162329789</v>
      </c>
      <c r="B3628" t="str">
        <f>"1551601409778272"</f>
        <v>1551601409778272</v>
      </c>
      <c r="C3628" t="s">
        <v>40</v>
      </c>
      <c r="D3628">
        <v>5.3244610000000003</v>
      </c>
      <c r="E3628">
        <v>0.51105920000000005</v>
      </c>
      <c r="F3628" t="s">
        <v>42</v>
      </c>
      <c r="G3628">
        <v>-248.33189999999999</v>
      </c>
      <c r="H3628">
        <v>1.0527089999999999</v>
      </c>
      <c r="I3628">
        <v>215.19110000000001</v>
      </c>
      <c r="J3628">
        <v>-248.98609999999999</v>
      </c>
      <c r="K3628">
        <v>1.120922</v>
      </c>
      <c r="L3628">
        <v>215.2509</v>
      </c>
      <c r="M3628">
        <v>0.99989019999999995</v>
      </c>
      <c r="N3628">
        <v>-1.413271E-2</v>
      </c>
      <c r="O3628">
        <v>-4.4806510000000004E-3</v>
      </c>
      <c r="P3628">
        <v>0.98502089999999998</v>
      </c>
      <c r="Q3628">
        <v>0.16767580000000001</v>
      </c>
      <c r="R3628">
        <v>-4.0236510000000003E-2</v>
      </c>
      <c r="S3628">
        <v>3.0745849999999999</v>
      </c>
      <c r="T3628">
        <v>-0.22375329999999999</v>
      </c>
      <c r="U3628">
        <v>-0.1999512</v>
      </c>
      <c r="V3628">
        <v>3.5850849999999997E-2</v>
      </c>
      <c r="W3628">
        <v>0.1815765</v>
      </c>
      <c r="X3628">
        <v>0.98272309999999996</v>
      </c>
      <c r="Y3628">
        <v>6.0242179999999999E-2</v>
      </c>
      <c r="Z3628">
        <v>-2.3516040000000002E-3</v>
      </c>
      <c r="AA3628">
        <v>0.99818099999999998</v>
      </c>
      <c r="AB3628">
        <v>28</v>
      </c>
      <c r="AC3628">
        <v>0.654200000000002</v>
      </c>
      <c r="AD3628">
        <v>-6.8212999999999802E-2</v>
      </c>
      <c r="AE3628">
        <v>-5.97999999999956E-2</v>
      </c>
      <c r="AF3628">
        <v>5.6261256189628898E-2</v>
      </c>
      <c r="AG3628">
        <v>-6.8212999999999802E-2</v>
      </c>
      <c r="AH3628">
        <v>0.64748026675970805</v>
      </c>
      <c r="AI3628">
        <v>95.991598978085307</v>
      </c>
      <c r="AJ3628">
        <v>85.033893166549902</v>
      </c>
      <c r="AK3628">
        <v>0.65348989139867997</v>
      </c>
      <c r="AL3628">
        <v>79.538400049868997</v>
      </c>
      <c r="AM3628">
        <v>87.910711700806999</v>
      </c>
      <c r="AN3628">
        <v>1.00000000003579</v>
      </c>
    </row>
    <row r="3629" spans="1:40" x14ac:dyDescent="0.25">
      <c r="A3629" t="str">
        <f>"20190303162329813"</f>
        <v>20190303162329813</v>
      </c>
      <c r="B3629" t="str">
        <f>"1551601409808528"</f>
        <v>1551601409808528</v>
      </c>
      <c r="C3629" t="s">
        <v>40</v>
      </c>
      <c r="D3629">
        <v>5.282762</v>
      </c>
      <c r="E3629">
        <v>0.51056099999999904</v>
      </c>
      <c r="F3629" t="s">
        <v>47</v>
      </c>
      <c r="G3629">
        <v>-233.0411</v>
      </c>
      <c r="H3629" s="1">
        <v>9.8887059999999997E-8</v>
      </c>
      <c r="I3629">
        <v>214.21879999999999</v>
      </c>
      <c r="J3629">
        <v>-248.6891</v>
      </c>
      <c r="K3629">
        <v>1.120932</v>
      </c>
      <c r="L3629">
        <v>215.24950000000001</v>
      </c>
      <c r="M3629">
        <v>0.99988999999999995</v>
      </c>
      <c r="N3629">
        <v>-1.4129360000000001E-2</v>
      </c>
      <c r="O3629">
        <v>-4.5447580000000003E-3</v>
      </c>
      <c r="P3629">
        <v>0.98480860000000003</v>
      </c>
      <c r="Q3629">
        <v>0.168795899999999</v>
      </c>
      <c r="R3629">
        <v>-4.0749279999999999E-2</v>
      </c>
      <c r="S3629">
        <v>3.0742799999999999</v>
      </c>
      <c r="T3629">
        <v>-0.2161196</v>
      </c>
      <c r="U3629">
        <v>-0.1989899</v>
      </c>
      <c r="V3629">
        <v>3.6301479999999997E-2</v>
      </c>
      <c r="W3629">
        <v>0.18269050000000001</v>
      </c>
      <c r="X3629">
        <v>0.98250009999999999</v>
      </c>
      <c r="Y3629">
        <v>5.9885960000000002E-2</v>
      </c>
      <c r="Z3629">
        <v>-2.269685E-3</v>
      </c>
      <c r="AA3629">
        <v>0.99820260000000005</v>
      </c>
      <c r="AB3629">
        <v>28</v>
      </c>
      <c r="AC3629">
        <v>15.6479999999999</v>
      </c>
      <c r="AD3629">
        <v>-1.1209319011129399</v>
      </c>
      <c r="AE3629">
        <v>-1.0307000000000199</v>
      </c>
      <c r="AF3629">
        <v>0.95468811179052004</v>
      </c>
      <c r="AG3629">
        <v>-1.1209319011129399</v>
      </c>
      <c r="AH3629">
        <v>15.5729563464996</v>
      </c>
      <c r="AI3629">
        <v>94.109326826661302</v>
      </c>
      <c r="AJ3629">
        <v>86.491916610189406</v>
      </c>
      <c r="AK3629">
        <v>15.6424066910341</v>
      </c>
      <c r="AL3629">
        <v>79.473487130012799</v>
      </c>
      <c r="AM3629">
        <v>87.883994216858596</v>
      </c>
      <c r="AN3629">
        <v>1.00000003137022</v>
      </c>
    </row>
    <row r="3630" spans="1:40" x14ac:dyDescent="0.25">
      <c r="A3630" t="str">
        <f>"20190303162329834"</f>
        <v>20190303162329834</v>
      </c>
      <c r="B3630" t="str">
        <f>"1551601409828049"</f>
        <v>1551601409828049</v>
      </c>
      <c r="C3630" t="s">
        <v>40</v>
      </c>
      <c r="D3630">
        <v>5.2591099999999997</v>
      </c>
      <c r="E3630">
        <v>0.51032730000000004</v>
      </c>
      <c r="F3630" t="s">
        <v>47</v>
      </c>
      <c r="G3630">
        <v>-232.03960000000001</v>
      </c>
      <c r="H3630" s="1">
        <v>-4.3268739999999998E-7</v>
      </c>
      <c r="I3630">
        <v>214.1884</v>
      </c>
      <c r="J3630">
        <v>-248.41419999999999</v>
      </c>
      <c r="K3630">
        <v>1.12094</v>
      </c>
      <c r="L3630">
        <v>215.24809999999999</v>
      </c>
      <c r="M3630">
        <v>0.99988969999999999</v>
      </c>
      <c r="N3630">
        <v>-1.4126379999999999E-2</v>
      </c>
      <c r="O3630">
        <v>-4.604098E-3</v>
      </c>
      <c r="P3630">
        <v>0.98457070000000002</v>
      </c>
      <c r="Q3630">
        <v>0.1700323</v>
      </c>
      <c r="R3630">
        <v>-4.1346340000000002E-2</v>
      </c>
      <c r="S3630">
        <v>3.073639</v>
      </c>
      <c r="T3630">
        <v>-0.2069346</v>
      </c>
      <c r="U3630">
        <v>-0.1958771</v>
      </c>
      <c r="V3630">
        <v>3.6841430000000001E-2</v>
      </c>
      <c r="W3630">
        <v>0.18392049999999999</v>
      </c>
      <c r="X3630">
        <v>0.98225050000000003</v>
      </c>
      <c r="Y3630">
        <v>5.8848940000000002E-2</v>
      </c>
      <c r="Z3630">
        <v>-2.1490749999999999E-3</v>
      </c>
      <c r="AA3630">
        <v>0.99826459999999995</v>
      </c>
      <c r="AB3630">
        <v>28</v>
      </c>
      <c r="AC3630">
        <v>16.374599999999901</v>
      </c>
      <c r="AD3630">
        <v>-1.12094043268739</v>
      </c>
      <c r="AE3630">
        <v>-1.0596999999999901</v>
      </c>
      <c r="AF3630">
        <v>0.97971894525957903</v>
      </c>
      <c r="AG3630">
        <v>-1.12094043268739</v>
      </c>
      <c r="AH3630">
        <v>16.3032238372063</v>
      </c>
      <c r="AI3630">
        <v>93.926163793948007</v>
      </c>
      <c r="AJ3630">
        <v>86.561027653981796</v>
      </c>
      <c r="AK3630">
        <v>16.371055682251701</v>
      </c>
      <c r="AL3630">
        <v>79.401798753116907</v>
      </c>
      <c r="AM3630">
        <v>87.852004715773006</v>
      </c>
      <c r="AN3630">
        <v>1.00000004301747</v>
      </c>
    </row>
    <row r="3631" spans="1:40" x14ac:dyDescent="0.25">
      <c r="A3631" t="str">
        <f>"20190303162329858"</f>
        <v>20190303162329858</v>
      </c>
      <c r="B3631" t="str">
        <f>"1551601409848545"</f>
        <v>1551601409848545</v>
      </c>
      <c r="C3631" t="s">
        <v>40</v>
      </c>
      <c r="D3631">
        <v>5.2380000000000004</v>
      </c>
      <c r="E3631">
        <v>0.51013779999999997</v>
      </c>
      <c r="F3631" t="s">
        <v>47</v>
      </c>
      <c r="G3631">
        <v>-231.20760000000001</v>
      </c>
      <c r="H3631" s="1">
        <v>-8.7380809999999995E-7</v>
      </c>
      <c r="I3631">
        <v>214.15029999999999</v>
      </c>
      <c r="J3631">
        <v>-248.12739999999999</v>
      </c>
      <c r="K3631">
        <v>1.1209450000000001</v>
      </c>
      <c r="L3631">
        <v>215.2467</v>
      </c>
      <c r="M3631">
        <v>0.99988949999999999</v>
      </c>
      <c r="N3631">
        <v>-1.412336E-2</v>
      </c>
      <c r="O3631">
        <v>-4.6661790000000003E-3</v>
      </c>
      <c r="P3631">
        <v>0.98441880000000004</v>
      </c>
      <c r="Q3631">
        <v>0.1708925</v>
      </c>
      <c r="R3631">
        <v>-4.1421020000000003E-2</v>
      </c>
      <c r="S3631">
        <v>3.073334</v>
      </c>
      <c r="T3631">
        <v>-0.20021459999999999</v>
      </c>
      <c r="U3631">
        <v>-0.19609070000000001</v>
      </c>
      <c r="V3631">
        <v>3.6855659999999998E-2</v>
      </c>
      <c r="W3631">
        <v>0.18477540000000001</v>
      </c>
      <c r="X3631">
        <v>0.98208949999999995</v>
      </c>
      <c r="Y3631">
        <v>5.8871239999999998E-2</v>
      </c>
      <c r="Z3631">
        <v>-2.0927889999999998E-3</v>
      </c>
      <c r="AA3631">
        <v>0.99826340000000002</v>
      </c>
      <c r="AB3631">
        <v>28</v>
      </c>
      <c r="AC3631">
        <v>16.919799999999899</v>
      </c>
      <c r="AD3631">
        <v>-1.1209458738081</v>
      </c>
      <c r="AE3631">
        <v>-1.09640000000001</v>
      </c>
      <c r="AF3631">
        <v>1.0130017719141899</v>
      </c>
      <c r="AG3631">
        <v>-1.1209458738081</v>
      </c>
      <c r="AH3631">
        <v>16.851079892031802</v>
      </c>
      <c r="AI3631">
        <v>93.798911370525403</v>
      </c>
      <c r="AJ3631">
        <v>86.559807338286603</v>
      </c>
      <c r="AK3631">
        <v>16.9186756505806</v>
      </c>
      <c r="AL3631">
        <v>79.351962385384098</v>
      </c>
      <c r="AM3631">
        <v>87.850823890628604</v>
      </c>
      <c r="AN3631">
        <v>1.00000003706472</v>
      </c>
    </row>
    <row r="3632" spans="1:40" x14ac:dyDescent="0.25">
      <c r="A3632" t="str">
        <f>"20190303162329881"</f>
        <v>20190303162329881</v>
      </c>
      <c r="B3632" t="str">
        <f>"1551601409868064"</f>
        <v>1551601409868064</v>
      </c>
      <c r="C3632" t="s">
        <v>40</v>
      </c>
      <c r="D3632">
        <v>5.2315230000000001</v>
      </c>
      <c r="E3632">
        <v>0.51020949999999998</v>
      </c>
      <c r="F3632" t="s">
        <v>47</v>
      </c>
      <c r="G3632">
        <v>-230.44499999999999</v>
      </c>
      <c r="H3632" s="1">
        <v>-1.2784760000000001E-6</v>
      </c>
      <c r="I3632">
        <v>214.1241</v>
      </c>
      <c r="J3632">
        <v>-247.8322</v>
      </c>
      <c r="K3632">
        <v>1.120943</v>
      </c>
      <c r="L3632">
        <v>215.24529999999999</v>
      </c>
      <c r="M3632">
        <v>0.99988909999999998</v>
      </c>
      <c r="N3632">
        <v>-1.412016E-2</v>
      </c>
      <c r="O3632">
        <v>-4.7304030000000002E-3</v>
      </c>
      <c r="P3632">
        <v>0.98426279999999999</v>
      </c>
      <c r="Q3632">
        <v>0.17171</v>
      </c>
      <c r="R3632">
        <v>-4.1747659999999999E-2</v>
      </c>
      <c r="S3632">
        <v>3.0730900000000001</v>
      </c>
      <c r="T3632">
        <v>-0.1948135</v>
      </c>
      <c r="U3632">
        <v>-0.19511410000000001</v>
      </c>
      <c r="V3632">
        <v>3.7119630000000001E-2</v>
      </c>
      <c r="W3632">
        <v>0.1855879</v>
      </c>
      <c r="X3632">
        <v>0.98192630000000003</v>
      </c>
      <c r="Y3632">
        <v>5.850408E-2</v>
      </c>
      <c r="Z3632">
        <v>-2.0320709999999999E-3</v>
      </c>
      <c r="AA3632">
        <v>0.99828510000000004</v>
      </c>
      <c r="AB3632">
        <v>28</v>
      </c>
      <c r="AC3632">
        <v>17.3872</v>
      </c>
      <c r="AD3632">
        <v>-1.120944278476</v>
      </c>
      <c r="AE3632">
        <v>-1.12119999999998</v>
      </c>
      <c r="AF3632">
        <v>1.0346482687427501</v>
      </c>
      <c r="AG3632">
        <v>-1.120944278476</v>
      </c>
      <c r="AH3632">
        <v>17.3206178003711</v>
      </c>
      <c r="AI3632">
        <v>93.696295963581406</v>
      </c>
      <c r="AJ3632">
        <v>86.581494956148305</v>
      </c>
      <c r="AK3632">
        <v>17.387662698073999</v>
      </c>
      <c r="AL3632">
        <v>79.304589798109106</v>
      </c>
      <c r="AM3632">
        <v>87.835086096832796</v>
      </c>
      <c r="AN3632">
        <v>0.99999999709471799</v>
      </c>
    </row>
    <row r="3633" spans="1:40" x14ac:dyDescent="0.25">
      <c r="A3633" t="str">
        <f>"20190303162329924"</f>
        <v>20190303162329924</v>
      </c>
      <c r="B3633" t="str">
        <f>"1551601409918815"</f>
        <v>1551601409918815</v>
      </c>
      <c r="C3633" t="s">
        <v>40</v>
      </c>
      <c r="D3633">
        <v>5.406765</v>
      </c>
      <c r="E3633">
        <v>0.51001859999999999</v>
      </c>
      <c r="F3633" t="s">
        <v>47</v>
      </c>
      <c r="G3633">
        <v>-229.86770000000001</v>
      </c>
      <c r="H3633" s="1">
        <v>3.7369499999999999E-6</v>
      </c>
      <c r="I3633">
        <v>214.09870000000001</v>
      </c>
      <c r="J3633">
        <v>-247.28559999999999</v>
      </c>
      <c r="K3633">
        <v>1.120951</v>
      </c>
      <c r="L3633">
        <v>215.24260000000001</v>
      </c>
      <c r="M3633">
        <v>0.99988860000000002</v>
      </c>
      <c r="N3633">
        <v>-1.411428E-2</v>
      </c>
      <c r="O3633">
        <v>-4.8482550000000001E-3</v>
      </c>
      <c r="P3633">
        <v>0.98401209999999995</v>
      </c>
      <c r="Q3633">
        <v>0.1731212</v>
      </c>
      <c r="R3633">
        <v>-4.1825180000000003E-2</v>
      </c>
      <c r="S3633">
        <v>3.073105</v>
      </c>
      <c r="T3633">
        <v>-0.19175410000000001</v>
      </c>
      <c r="U3633">
        <v>-0.19613649999999999</v>
      </c>
      <c r="V3633">
        <v>3.7082570000000002E-2</v>
      </c>
      <c r="W3633">
        <v>0.18698970000000001</v>
      </c>
      <c r="X3633">
        <v>0.98166169999999997</v>
      </c>
      <c r="Y3633">
        <v>5.8720340000000003E-2</v>
      </c>
      <c r="Z3633">
        <v>-2.010108E-3</v>
      </c>
      <c r="AA3633">
        <v>0.99827239999999995</v>
      </c>
      <c r="AB3633">
        <v>28</v>
      </c>
      <c r="AC3633">
        <v>17.4178999999999</v>
      </c>
      <c r="AD3633">
        <v>-1.1209472630499999</v>
      </c>
      <c r="AE3633">
        <v>-1.1438999999999999</v>
      </c>
      <c r="AF3633">
        <v>1.0550806542942901</v>
      </c>
      <c r="AG3633">
        <v>-1.1209472630499999</v>
      </c>
      <c r="AH3633">
        <v>17.351684853039998</v>
      </c>
      <c r="AI3633">
        <v>93.689469529096797</v>
      </c>
      <c r="AJ3633">
        <v>86.520376512784097</v>
      </c>
      <c r="AK3633">
        <v>17.419835969171</v>
      </c>
      <c r="AL3633">
        <v>79.222841369690599</v>
      </c>
      <c r="AM3633">
        <v>87.836663077931505</v>
      </c>
      <c r="AN3633">
        <v>0.99999997907539195</v>
      </c>
    </row>
    <row r="3634" spans="1:40" x14ac:dyDescent="0.25">
      <c r="A3634" t="str">
        <f>"20190303162329946"</f>
        <v>20190303162329946</v>
      </c>
      <c r="B3634" t="str">
        <f>"1551601409938336"</f>
        <v>1551601409938336</v>
      </c>
      <c r="C3634" t="s">
        <v>40</v>
      </c>
      <c r="D3634">
        <v>5.3510989999999996</v>
      </c>
      <c r="E3634">
        <v>0.50984249999999998</v>
      </c>
      <c r="F3634" t="s">
        <v>47</v>
      </c>
      <c r="G3634">
        <v>-228.69880000000001</v>
      </c>
      <c r="H3634" s="1">
        <v>3.1164910000000001E-6</v>
      </c>
      <c r="I3634">
        <v>214.06290000000001</v>
      </c>
      <c r="J3634">
        <v>-247.0094</v>
      </c>
      <c r="K3634">
        <v>1.120954</v>
      </c>
      <c r="L3634">
        <v>215.24109999999999</v>
      </c>
      <c r="M3634">
        <v>0.99988849999999996</v>
      </c>
      <c r="N3634">
        <v>-1.411141E-2</v>
      </c>
      <c r="O3634">
        <v>-4.9080729999999998E-3</v>
      </c>
      <c r="P3634">
        <v>0.98399400000000004</v>
      </c>
      <c r="Q3634">
        <v>0.173166299999999</v>
      </c>
      <c r="R3634">
        <v>-4.2067019999999997E-2</v>
      </c>
      <c r="S3634">
        <v>3.0730590000000002</v>
      </c>
      <c r="T3634">
        <v>-0.1853331</v>
      </c>
      <c r="U3634">
        <v>-0.19503780000000001</v>
      </c>
      <c r="V3634">
        <v>3.7265739999999999E-2</v>
      </c>
      <c r="W3634">
        <v>0.1870318</v>
      </c>
      <c r="X3634">
        <v>0.98164680000000004</v>
      </c>
      <c r="Y3634">
        <v>5.8314959999999999E-2</v>
      </c>
      <c r="Z3634">
        <v>-1.9411739999999999E-3</v>
      </c>
      <c r="AA3634">
        <v>0.99829630000000003</v>
      </c>
      <c r="AB3634">
        <v>28</v>
      </c>
      <c r="AC3634">
        <v>18.310599999999901</v>
      </c>
      <c r="AD3634">
        <v>-1.1209508835089901</v>
      </c>
      <c r="AE3634">
        <v>-1.1781999999999699</v>
      </c>
      <c r="AF3634">
        <v>1.08426034827881</v>
      </c>
      <c r="AG3634">
        <v>-1.1209508835089901</v>
      </c>
      <c r="AH3634">
        <v>18.2480559183244</v>
      </c>
      <c r="AI3634">
        <v>93.509004061405193</v>
      </c>
      <c r="AJ3634">
        <v>86.599605572742107</v>
      </c>
      <c r="AK3634">
        <v>18.314576058003201</v>
      </c>
      <c r="AL3634">
        <v>79.220386505102795</v>
      </c>
      <c r="AM3634">
        <v>87.825954499116193</v>
      </c>
      <c r="AN3634">
        <v>1.0000000347696101</v>
      </c>
    </row>
    <row r="3635" spans="1:40" x14ac:dyDescent="0.25">
      <c r="A3635" t="str">
        <f>"20190303162329968"</f>
        <v>20190303162329968</v>
      </c>
      <c r="B3635" t="str">
        <f>"1551601409958832"</f>
        <v>1551601409958832</v>
      </c>
      <c r="C3635" t="s">
        <v>40</v>
      </c>
      <c r="D3635">
        <v>5.188879</v>
      </c>
      <c r="E3635">
        <v>0.50975280000000001</v>
      </c>
      <c r="F3635" t="s">
        <v>47</v>
      </c>
      <c r="G3635">
        <v>-228.24789999999999</v>
      </c>
      <c r="H3635" s="1">
        <v>2.876904E-6</v>
      </c>
      <c r="I3635">
        <v>214.0547</v>
      </c>
      <c r="J3635">
        <v>-246.73220000000001</v>
      </c>
      <c r="K3635">
        <v>1.1209579999999999</v>
      </c>
      <c r="L3635">
        <v>215.2397</v>
      </c>
      <c r="M3635">
        <v>0.99988809999999995</v>
      </c>
      <c r="N3635">
        <v>-1.4108559999999999E-2</v>
      </c>
      <c r="O3635">
        <v>-4.9681279999999996E-3</v>
      </c>
      <c r="P3635">
        <v>0.98403390000000002</v>
      </c>
      <c r="Q3635">
        <v>0.17290259999999999</v>
      </c>
      <c r="R3635">
        <v>-4.2218199999999997E-2</v>
      </c>
      <c r="S3635">
        <v>3.0728149999999999</v>
      </c>
      <c r="T3635">
        <v>-0.1835927</v>
      </c>
      <c r="U3635">
        <v>-0.19432070000000001</v>
      </c>
      <c r="V3635">
        <v>3.7357460000000002E-2</v>
      </c>
      <c r="W3635">
        <v>0.18676570000000001</v>
      </c>
      <c r="X3635">
        <v>0.98169390000000001</v>
      </c>
      <c r="Y3635">
        <v>5.8030709999999999E-2</v>
      </c>
      <c r="Z3635">
        <v>-1.9142880000000001E-3</v>
      </c>
      <c r="AA3635">
        <v>0.99831300000000001</v>
      </c>
      <c r="AB3635">
        <v>28</v>
      </c>
      <c r="AC3635">
        <v>18.484300000000001</v>
      </c>
      <c r="AD3635">
        <v>-1.120955123096</v>
      </c>
      <c r="AE3635">
        <v>-1.1850000000000001</v>
      </c>
      <c r="AF3635">
        <v>1.0891547255110701</v>
      </c>
      <c r="AG3635">
        <v>-1.120955123096</v>
      </c>
      <c r="AH3635">
        <v>18.422485505111801</v>
      </c>
      <c r="AI3635">
        <v>93.475935527150796</v>
      </c>
      <c r="AJ3635">
        <v>86.616557819119095</v>
      </c>
      <c r="AK3635">
        <v>18.488666003531801</v>
      </c>
      <c r="AL3635">
        <v>79.235905569044903</v>
      </c>
      <c r="AM3635">
        <v>87.820713263386295</v>
      </c>
      <c r="AN3635">
        <v>0.99999995990567503</v>
      </c>
    </row>
    <row r="3636" spans="1:40" x14ac:dyDescent="0.25">
      <c r="A3636" t="str">
        <f>"20190303162329991"</f>
        <v>20190303162329991</v>
      </c>
      <c r="B3636" t="str">
        <f>"1551601409978352"</f>
        <v>1551601409978352</v>
      </c>
      <c r="C3636" t="s">
        <v>40</v>
      </c>
      <c r="D3636">
        <v>5.2054939999999998</v>
      </c>
      <c r="E3636">
        <v>0.50963590000000003</v>
      </c>
      <c r="F3636" t="s">
        <v>47</v>
      </c>
      <c r="G3636">
        <v>-227.9941</v>
      </c>
      <c r="H3636" s="1">
        <v>2.7416959999999998E-6</v>
      </c>
      <c r="I3636">
        <v>214.0573</v>
      </c>
      <c r="J3636">
        <v>-246.45359999999999</v>
      </c>
      <c r="K3636">
        <v>1.1209559999999901</v>
      </c>
      <c r="L3636">
        <v>215.23830000000001</v>
      </c>
      <c r="M3636">
        <v>0.99988790000000005</v>
      </c>
      <c r="N3636">
        <v>-1.410574E-2</v>
      </c>
      <c r="O3636">
        <v>-5.0287789999999997E-3</v>
      </c>
      <c r="P3636">
        <v>0.98407639999999996</v>
      </c>
      <c r="Q3636">
        <v>0.1725564</v>
      </c>
      <c r="R3636">
        <v>-4.2637139999999997E-2</v>
      </c>
      <c r="S3636">
        <v>3.0726619999999998</v>
      </c>
      <c r="T3636">
        <v>-0.18381320000000001</v>
      </c>
      <c r="U3636">
        <v>-0.19389339999999999</v>
      </c>
      <c r="V3636">
        <v>3.7716489999999998E-2</v>
      </c>
      <c r="W3636">
        <v>0.18641720000000001</v>
      </c>
      <c r="X3636">
        <v>0.98174640000000002</v>
      </c>
      <c r="Y3636">
        <v>5.7835230000000001E-2</v>
      </c>
      <c r="Z3636">
        <v>-1.906004E-3</v>
      </c>
      <c r="AA3636">
        <v>0.99832430000000005</v>
      </c>
      <c r="AB3636">
        <v>28</v>
      </c>
      <c r="AC3636">
        <v>18.459499999999899</v>
      </c>
      <c r="AD3636">
        <v>-1.1209532583039901</v>
      </c>
      <c r="AE3636">
        <v>-1.18100000000001</v>
      </c>
      <c r="AF3636">
        <v>1.08416549335054</v>
      </c>
      <c r="AG3636">
        <v>-1.1209532583039901</v>
      </c>
      <c r="AH3636">
        <v>18.3976408923977</v>
      </c>
      <c r="AI3636">
        <v>93.4806512844862</v>
      </c>
      <c r="AJ3636">
        <v>86.627483322882298</v>
      </c>
      <c r="AK3636">
        <v>18.463616694188001</v>
      </c>
      <c r="AL3636">
        <v>79.256229988947197</v>
      </c>
      <c r="AM3636">
        <v>87.799906899965706</v>
      </c>
      <c r="AN3636">
        <v>0.99999994999335895</v>
      </c>
    </row>
    <row r="3637" spans="1:40" x14ac:dyDescent="0.25">
      <c r="A3637" t="str">
        <f>"20190303162330013"</f>
        <v>20190303162330013</v>
      </c>
      <c r="B3637" t="str">
        <f>"1551601409998848"</f>
        <v>1551601409998848</v>
      </c>
      <c r="C3637" t="s">
        <v>40</v>
      </c>
      <c r="D3637">
        <v>5.173152</v>
      </c>
      <c r="E3637">
        <v>0.50958040000000004</v>
      </c>
      <c r="F3637" t="s">
        <v>47</v>
      </c>
      <c r="G3637">
        <v>-227.75819999999999</v>
      </c>
      <c r="H3637" s="1">
        <v>2.6161179999999999E-6</v>
      </c>
      <c r="I3637">
        <v>214.05850000000001</v>
      </c>
      <c r="J3637">
        <v>-246.1678</v>
      </c>
      <c r="K3637">
        <v>1.120949</v>
      </c>
      <c r="L3637">
        <v>215.23670000000001</v>
      </c>
      <c r="M3637">
        <v>0.99988759999999999</v>
      </c>
      <c r="N3637">
        <v>-1.410288E-2</v>
      </c>
      <c r="O3637">
        <v>-5.0903859999999997E-3</v>
      </c>
      <c r="P3637">
        <v>0.98405659999999895</v>
      </c>
      <c r="Q3637">
        <v>0.1725922</v>
      </c>
      <c r="R3637">
        <v>-4.2952280000000002E-2</v>
      </c>
      <c r="S3637">
        <v>3.0724490000000002</v>
      </c>
      <c r="T3637">
        <v>-0.18422069999999999</v>
      </c>
      <c r="U3637">
        <v>-0.1938782</v>
      </c>
      <c r="V3637">
        <v>3.7970900000000002E-2</v>
      </c>
      <c r="W3637">
        <v>0.18645049999999999</v>
      </c>
      <c r="X3637">
        <v>0.98173029999999994</v>
      </c>
      <c r="Y3637">
        <v>5.7772860000000002E-2</v>
      </c>
      <c r="Z3637">
        <v>-1.904038E-3</v>
      </c>
      <c r="AA3637">
        <v>0.99832790000000005</v>
      </c>
      <c r="AB3637">
        <v>28</v>
      </c>
      <c r="AC3637">
        <v>18.409600000000001</v>
      </c>
      <c r="AD3637">
        <v>-1.120946383882</v>
      </c>
      <c r="AE3637">
        <v>-1.1781999999999999</v>
      </c>
      <c r="AF3637">
        <v>1.0804739273549799</v>
      </c>
      <c r="AG3637">
        <v>-1.120946383882</v>
      </c>
      <c r="AH3637">
        <v>18.347613259757299</v>
      </c>
      <c r="AI3637">
        <v>93.490105327259798</v>
      </c>
      <c r="AJ3637">
        <v>86.629796958392404</v>
      </c>
      <c r="AK3637">
        <v>18.413550907765099</v>
      </c>
      <c r="AL3637">
        <v>79.254288318360196</v>
      </c>
      <c r="AM3637">
        <v>87.785044999542507</v>
      </c>
      <c r="AN3637">
        <v>0.99999998006757396</v>
      </c>
    </row>
    <row r="3638" spans="1:40" x14ac:dyDescent="0.25">
      <c r="A3638" t="str">
        <f>"20190303162330036"</f>
        <v>20190303162330036</v>
      </c>
      <c r="B3638" t="str">
        <f>"1551601410028128"</f>
        <v>1551601410028128</v>
      </c>
      <c r="C3638" t="s">
        <v>40</v>
      </c>
      <c r="D3638">
        <v>5.2402829999999998</v>
      </c>
      <c r="E3638">
        <v>0.50950280000000003</v>
      </c>
      <c r="F3638" t="s">
        <v>47</v>
      </c>
      <c r="G3638">
        <v>-227.45679999999999</v>
      </c>
      <c r="H3638" s="1">
        <v>2.4560049999999998E-6</v>
      </c>
      <c r="I3638">
        <v>214.05189999999999</v>
      </c>
      <c r="J3638">
        <v>-245.87899999999999</v>
      </c>
      <c r="K3638">
        <v>1.1209469999999999</v>
      </c>
      <c r="L3638">
        <v>215.23519999999999</v>
      </c>
      <c r="M3638">
        <v>0.99988739999999998</v>
      </c>
      <c r="N3638">
        <v>-1.409997E-2</v>
      </c>
      <c r="O3638">
        <v>-5.1529449999999999E-3</v>
      </c>
      <c r="P3638">
        <v>0.98406669999999996</v>
      </c>
      <c r="Q3638">
        <v>0.17241110000000001</v>
      </c>
      <c r="R3638">
        <v>-4.3444089999999998E-2</v>
      </c>
      <c r="S3638">
        <v>3.072403</v>
      </c>
      <c r="T3638">
        <v>-0.18406210000000001</v>
      </c>
      <c r="U3638">
        <v>-0.19454959999999999</v>
      </c>
      <c r="V3638">
        <v>3.840114E-2</v>
      </c>
      <c r="W3638">
        <v>0.18626680000000001</v>
      </c>
      <c r="X3638">
        <v>0.98174850000000002</v>
      </c>
      <c r="Y3638">
        <v>5.7928529999999999E-2</v>
      </c>
      <c r="Z3638">
        <v>-1.905623E-3</v>
      </c>
      <c r="AA3638">
        <v>0.99831890000000001</v>
      </c>
      <c r="AB3638">
        <v>28</v>
      </c>
      <c r="AC3638">
        <v>18.4222</v>
      </c>
      <c r="AD3638">
        <v>-1.1209445439950001</v>
      </c>
      <c r="AE3638">
        <v>-1.1833</v>
      </c>
      <c r="AF3638">
        <v>1.0843480616053001</v>
      </c>
      <c r="AG3638">
        <v>-1.1209445439950001</v>
      </c>
      <c r="AH3638">
        <v>18.360355082378</v>
      </c>
      <c r="AI3638">
        <v>93.487648727792802</v>
      </c>
      <c r="AJ3638">
        <v>86.620082598691297</v>
      </c>
      <c r="AK3638">
        <v>18.426474598805399</v>
      </c>
      <c r="AL3638">
        <v>79.265001905662601</v>
      </c>
      <c r="AM3638">
        <v>87.760014733790399</v>
      </c>
      <c r="AN3638">
        <v>1.00000004279389</v>
      </c>
    </row>
    <row r="3639" spans="1:40" x14ac:dyDescent="0.25">
      <c r="A3639" t="str">
        <f>"20190303162330087"</f>
        <v>20190303162330087</v>
      </c>
      <c r="B3639" t="str">
        <f>"1551601410077904"</f>
        <v>1551601410077904</v>
      </c>
      <c r="C3639" t="s">
        <v>40</v>
      </c>
      <c r="D3639">
        <v>5.4110170000000002</v>
      </c>
      <c r="E3639">
        <v>0.50945320000000005</v>
      </c>
      <c r="F3639" t="s">
        <v>47</v>
      </c>
      <c r="G3639">
        <v>-227.2064</v>
      </c>
      <c r="H3639" s="1">
        <v>2.3229470000000001E-6</v>
      </c>
      <c r="I3639">
        <v>214.0478</v>
      </c>
      <c r="J3639">
        <v>-245.25319999999999</v>
      </c>
      <c r="K3639">
        <v>1.120951</v>
      </c>
      <c r="L3639">
        <v>215.23179999999999</v>
      </c>
      <c r="M3639">
        <v>0.99988690000000002</v>
      </c>
      <c r="N3639">
        <v>-1.4093710000000001E-2</v>
      </c>
      <c r="O3639">
        <v>-5.2890230000000003E-3</v>
      </c>
      <c r="P3639">
        <v>0.98422560000000003</v>
      </c>
      <c r="Q3639">
        <v>0.17115759999999999</v>
      </c>
      <c r="R3639">
        <v>-4.4783259999999998E-2</v>
      </c>
      <c r="S3639">
        <v>3.0722809999999998</v>
      </c>
      <c r="T3639">
        <v>-0.18443370000000001</v>
      </c>
      <c r="U3639">
        <v>-0.19537350000000001</v>
      </c>
      <c r="V3639">
        <v>3.9604880000000002E-2</v>
      </c>
      <c r="W3639">
        <v>0.1850087</v>
      </c>
      <c r="X3639">
        <v>0.98193850000000005</v>
      </c>
      <c r="Y3639">
        <v>5.8061260000000003E-2</v>
      </c>
      <c r="Z3639">
        <v>-1.907003E-3</v>
      </c>
      <c r="AA3639">
        <v>0.99831119999999995</v>
      </c>
      <c r="AB3639">
        <v>28</v>
      </c>
      <c r="AC3639">
        <v>18.046799999999902</v>
      </c>
      <c r="AD3639">
        <v>-1.1209486770529999</v>
      </c>
      <c r="AE3639">
        <v>-1.1839999999999899</v>
      </c>
      <c r="AF3639">
        <v>1.08435842497341</v>
      </c>
      <c r="AG3639">
        <v>-1.1209486770529999</v>
      </c>
      <c r="AH3639">
        <v>17.983725096628199</v>
      </c>
      <c r="AI3639">
        <v>93.560255737149305</v>
      </c>
      <c r="AJ3639">
        <v>86.549433964772803</v>
      </c>
      <c r="AK3639">
        <v>18.051225096416399</v>
      </c>
      <c r="AL3639">
        <v>79.338360283427605</v>
      </c>
      <c r="AM3639">
        <v>87.690320545069397</v>
      </c>
      <c r="AN3639">
        <v>0.99999999168887699</v>
      </c>
    </row>
    <row r="3640" spans="1:40" x14ac:dyDescent="0.25">
      <c r="A3640" t="str">
        <f>"20190303162330106"</f>
        <v>20190303162330106</v>
      </c>
      <c r="B3640" t="str">
        <f>"1551601410098401"</f>
        <v>1551601410098401</v>
      </c>
      <c r="C3640" t="s">
        <v>40</v>
      </c>
      <c r="D3640">
        <v>5.4143549999999996</v>
      </c>
      <c r="E3640">
        <v>0.50942419999999999</v>
      </c>
      <c r="F3640" t="s">
        <v>47</v>
      </c>
      <c r="G3640">
        <v>-226.9478</v>
      </c>
      <c r="H3640" s="1">
        <v>2.1853749999999998E-6</v>
      </c>
      <c r="I3640">
        <v>214.047</v>
      </c>
      <c r="J3640">
        <v>-245.01580000000001</v>
      </c>
      <c r="K3640">
        <v>1.120949</v>
      </c>
      <c r="L3640">
        <v>215.23050000000001</v>
      </c>
      <c r="M3640">
        <v>0.99988650000000001</v>
      </c>
      <c r="N3640">
        <v>-1.4091319999999999E-2</v>
      </c>
      <c r="O3640">
        <v>-5.3403819999999899E-3</v>
      </c>
      <c r="P3640">
        <v>0.9841413</v>
      </c>
      <c r="Q3640">
        <v>0.17138889999999901</v>
      </c>
      <c r="R3640">
        <v>-4.5738540000000001E-2</v>
      </c>
      <c r="S3640">
        <v>3.0717620000000001</v>
      </c>
      <c r="T3640">
        <v>-0.18810270000000001</v>
      </c>
      <c r="U3640">
        <v>-0.198822</v>
      </c>
      <c r="V3640">
        <v>4.0509959999999998E-2</v>
      </c>
      <c r="W3640">
        <v>0.1852365</v>
      </c>
      <c r="X3640">
        <v>0.98185860000000003</v>
      </c>
      <c r="Y3640">
        <v>5.9129979999999999E-2</v>
      </c>
      <c r="Z3640">
        <v>-1.9731750000000002E-3</v>
      </c>
      <c r="AA3640">
        <v>0.99824829999999998</v>
      </c>
      <c r="AB3640">
        <v>28</v>
      </c>
      <c r="AC3640">
        <v>18.068000000000001</v>
      </c>
      <c r="AD3640">
        <v>-1.1209468146249999</v>
      </c>
      <c r="AE3640">
        <v>-1.1835</v>
      </c>
      <c r="AF3640">
        <v>1.08283348294215</v>
      </c>
      <c r="AG3640">
        <v>-1.1209468146249999</v>
      </c>
      <c r="AH3640">
        <v>18.005057568264199</v>
      </c>
      <c r="AI3640">
        <v>93.556075696399105</v>
      </c>
      <c r="AJ3640">
        <v>86.558347515094297</v>
      </c>
      <c r="AK3640">
        <v>18.0723863435216</v>
      </c>
      <c r="AL3640">
        <v>79.325078440926006</v>
      </c>
      <c r="AM3640">
        <v>87.637405151621394</v>
      </c>
      <c r="AN3640">
        <v>0.99999996409270497</v>
      </c>
    </row>
    <row r="3641" spans="1:40" x14ac:dyDescent="0.25">
      <c r="A3641" t="str">
        <f>"20190303162330125"</f>
        <v>20190303162330125</v>
      </c>
      <c r="B3641" t="str">
        <f>"1551601410117921"</f>
        <v>1551601410117921</v>
      </c>
      <c r="C3641" t="s">
        <v>40</v>
      </c>
      <c r="D3641">
        <v>5.3180019999999999</v>
      </c>
      <c r="E3641">
        <v>0.50935489999999894</v>
      </c>
      <c r="F3641" t="s">
        <v>47</v>
      </c>
      <c r="G3641">
        <v>-226.60570000000001</v>
      </c>
      <c r="H3641" s="1">
        <v>2.0043419999999999E-6</v>
      </c>
      <c r="I3641">
        <v>214.0231</v>
      </c>
      <c r="J3641">
        <v>-244.77539999999999</v>
      </c>
      <c r="K3641">
        <v>1.1209480000000001</v>
      </c>
      <c r="L3641">
        <v>215.22909999999999</v>
      </c>
      <c r="M3641">
        <v>0.99988619999999995</v>
      </c>
      <c r="N3641">
        <v>-1.408888E-2</v>
      </c>
      <c r="O3641">
        <v>-5.392455E-3</v>
      </c>
      <c r="P3641">
        <v>0.98415779999999997</v>
      </c>
      <c r="Q3641">
        <v>0.17117760000000001</v>
      </c>
      <c r="R3641">
        <v>-4.6170379999999997E-2</v>
      </c>
      <c r="S3641">
        <v>3.0715330000000001</v>
      </c>
      <c r="T3641">
        <v>-0.18701799999999999</v>
      </c>
      <c r="U3641">
        <v>-0.20143130000000001</v>
      </c>
      <c r="V3641">
        <v>4.0890559999999999E-2</v>
      </c>
      <c r="W3641">
        <v>0.18502370000000001</v>
      </c>
      <c r="X3641">
        <v>0.98188299999999995</v>
      </c>
      <c r="Y3641">
        <v>5.9926750000000001E-2</v>
      </c>
      <c r="Z3641">
        <v>-1.992045E-3</v>
      </c>
      <c r="AA3641">
        <v>0.9982008</v>
      </c>
      <c r="AB3641">
        <v>28</v>
      </c>
      <c r="AC3641">
        <v>18.169699999999899</v>
      </c>
      <c r="AD3641">
        <v>-1.1209459956579999</v>
      </c>
      <c r="AE3641">
        <v>-1.20599999999998</v>
      </c>
      <c r="AF3641">
        <v>1.1038107204880501</v>
      </c>
      <c r="AG3641">
        <v>-1.1209459956579999</v>
      </c>
      <c r="AH3641">
        <v>18.1073247191786</v>
      </c>
      <c r="AI3641">
        <v>93.535865870465003</v>
      </c>
      <c r="AJ3641">
        <v>86.511603337234803</v>
      </c>
      <c r="AK3641">
        <v>18.175536485001501</v>
      </c>
      <c r="AL3641">
        <v>79.337486016733095</v>
      </c>
      <c r="AM3641">
        <v>87.615292754127594</v>
      </c>
      <c r="AN3641">
        <v>1.0000000165739</v>
      </c>
    </row>
    <row r="3642" spans="1:40" x14ac:dyDescent="0.25">
      <c r="A3642" t="str">
        <f>"20190303162330147"</f>
        <v>20190303162330147</v>
      </c>
      <c r="B3642" t="str">
        <f>"1551601410138416"</f>
        <v>1551601410138416</v>
      </c>
      <c r="C3642" t="s">
        <v>40</v>
      </c>
      <c r="D3642">
        <v>5.4750909999999999</v>
      </c>
      <c r="E3642">
        <v>0.50923609999999997</v>
      </c>
      <c r="F3642" t="s">
        <v>47</v>
      </c>
      <c r="G3642">
        <v>-226.37610000000001</v>
      </c>
      <c r="H3642" s="1">
        <v>1.8823989999999999E-6</v>
      </c>
      <c r="I3642">
        <v>214.0181</v>
      </c>
      <c r="J3642">
        <v>-244.50470000000001</v>
      </c>
      <c r="K3642">
        <v>1.120943</v>
      </c>
      <c r="L3642">
        <v>215.2276</v>
      </c>
      <c r="M3642">
        <v>0.99988600000000005</v>
      </c>
      <c r="N3642">
        <v>-1.4086100000000001E-2</v>
      </c>
      <c r="O3642">
        <v>-5.4514380000000003E-3</v>
      </c>
      <c r="P3642">
        <v>0.98418810000000001</v>
      </c>
      <c r="Q3642">
        <v>0.17093710000000001</v>
      </c>
      <c r="R3642">
        <v>-4.6413089999999997E-2</v>
      </c>
      <c r="S3642">
        <v>3.0713499999999998</v>
      </c>
      <c r="T3642">
        <v>-0.18711649999999999</v>
      </c>
      <c r="U3642">
        <v>-0.2021637</v>
      </c>
      <c r="V3642">
        <v>4.1075180000000003E-2</v>
      </c>
      <c r="W3642">
        <v>0.18478049999999999</v>
      </c>
      <c r="X3642">
        <v>0.98192109999999999</v>
      </c>
      <c r="Y3642">
        <v>6.0108300000000003E-2</v>
      </c>
      <c r="Z3642">
        <v>-1.9968550000000001E-3</v>
      </c>
      <c r="AA3642">
        <v>0.99818989999999996</v>
      </c>
      <c r="AB3642">
        <v>28</v>
      </c>
      <c r="AC3642">
        <v>18.128599999999999</v>
      </c>
      <c r="AD3642">
        <v>-1.120941117601</v>
      </c>
      <c r="AE3642">
        <v>-1.20949999999999</v>
      </c>
      <c r="AF3642">
        <v>1.1064338174023101</v>
      </c>
      <c r="AG3642">
        <v>-1.120941117601</v>
      </c>
      <c r="AH3642">
        <v>18.0661586976181</v>
      </c>
      <c r="AI3642">
        <v>93.543825761867495</v>
      </c>
      <c r="AJ3642">
        <v>86.495386293216399</v>
      </c>
      <c r="AK3642">
        <v>18.134684857172001</v>
      </c>
      <c r="AL3642">
        <v>79.351664928215499</v>
      </c>
      <c r="AM3642">
        <v>87.604631205618901</v>
      </c>
      <c r="AN3642">
        <v>1.00000002510874</v>
      </c>
    </row>
    <row r="3643" spans="1:40" x14ac:dyDescent="0.25">
      <c r="A3643" t="str">
        <f>"20190303162330169"</f>
        <v>20190303162330169</v>
      </c>
      <c r="B3643" t="str">
        <f>"1551601410157937"</f>
        <v>1551601410157937</v>
      </c>
      <c r="C3643" t="s">
        <v>40</v>
      </c>
      <c r="D3643">
        <v>5.4247249999999996</v>
      </c>
      <c r="E3643">
        <v>0.50915739999999998</v>
      </c>
      <c r="F3643" t="s">
        <v>47</v>
      </c>
      <c r="G3643">
        <v>-226.1183</v>
      </c>
      <c r="H3643" s="1">
        <v>1.7452240000000001E-6</v>
      </c>
      <c r="I3643">
        <v>214.01740000000001</v>
      </c>
      <c r="J3643">
        <v>-244.22919999999999</v>
      </c>
      <c r="K3643">
        <v>1.1209450000000001</v>
      </c>
      <c r="L3643">
        <v>215.226</v>
      </c>
      <c r="M3643">
        <v>0.99988560000000004</v>
      </c>
      <c r="N3643">
        <v>-1.408327E-2</v>
      </c>
      <c r="O3643">
        <v>-5.5111379999999996E-3</v>
      </c>
      <c r="P3643">
        <v>0.98415280000000005</v>
      </c>
      <c r="Q3643">
        <v>0.17102249999999999</v>
      </c>
      <c r="R3643">
        <v>-4.6849250000000002E-2</v>
      </c>
      <c r="S3643">
        <v>3.0711979999999999</v>
      </c>
      <c r="T3643">
        <v>-0.1872375</v>
      </c>
      <c r="U3643">
        <v>-0.20214840000000001</v>
      </c>
      <c r="V3643">
        <v>4.1452459999999997E-2</v>
      </c>
      <c r="W3643">
        <v>0.184863</v>
      </c>
      <c r="X3643">
        <v>0.98188969999999998</v>
      </c>
      <c r="Y3643">
        <v>6.0047070000000001E-2</v>
      </c>
      <c r="Z3643">
        <v>-1.9927069999999998E-3</v>
      </c>
      <c r="AA3643">
        <v>0.99819360000000001</v>
      </c>
      <c r="AB3643">
        <v>28</v>
      </c>
      <c r="AC3643">
        <v>18.110899999999901</v>
      </c>
      <c r="AD3643">
        <v>-1.1209432547759901</v>
      </c>
      <c r="AE3643">
        <v>-1.2085999999999899</v>
      </c>
      <c r="AF3643">
        <v>1.1045475506040301</v>
      </c>
      <c r="AG3643">
        <v>-1.1209432547759901</v>
      </c>
      <c r="AH3643">
        <v>18.048453214083999</v>
      </c>
      <c r="AI3643">
        <v>93.547309707281499</v>
      </c>
      <c r="AJ3643">
        <v>86.497922531459395</v>
      </c>
      <c r="AK3643">
        <v>18.116931376283102</v>
      </c>
      <c r="AL3643">
        <v>79.346854991528005</v>
      </c>
      <c r="AM3643">
        <v>87.582578251125994</v>
      </c>
      <c r="AN3643">
        <v>1.00000000908757</v>
      </c>
    </row>
    <row r="3644" spans="1:40" x14ac:dyDescent="0.25">
      <c r="A3644" t="str">
        <f>"20190303162330214"</f>
        <v>20190303162330214</v>
      </c>
      <c r="B3644" t="str">
        <f>"1551601410208688"</f>
        <v>1551601410208688</v>
      </c>
      <c r="C3644" t="s">
        <v>40</v>
      </c>
      <c r="D3644">
        <v>5.549893</v>
      </c>
      <c r="E3644">
        <v>0.49420900000000001</v>
      </c>
      <c r="F3644" t="s">
        <v>47</v>
      </c>
      <c r="G3644">
        <v>-225.7792</v>
      </c>
      <c r="H3644" s="1">
        <v>1.565212E-6</v>
      </c>
      <c r="I3644">
        <v>214.0078</v>
      </c>
      <c r="J3644">
        <v>-243.6688</v>
      </c>
      <c r="K3644">
        <v>1.1209519999999999</v>
      </c>
      <c r="L3644">
        <v>215.22280000000001</v>
      </c>
      <c r="M3644">
        <v>0.99988520000000003</v>
      </c>
      <c r="N3644">
        <v>-1.407748E-2</v>
      </c>
      <c r="O3644">
        <v>-5.6329219999999899E-3</v>
      </c>
      <c r="P3644">
        <v>0.98428490000000002</v>
      </c>
      <c r="Q3644">
        <v>0.17034820000000001</v>
      </c>
      <c r="R3644">
        <v>-4.6530269999999999E-2</v>
      </c>
      <c r="S3644">
        <v>3.0710600000000001</v>
      </c>
      <c r="T3644">
        <v>-0.18658440000000001</v>
      </c>
      <c r="U3644">
        <v>-0.20277400000000001</v>
      </c>
      <c r="V3644">
        <v>4.1012680000000003E-2</v>
      </c>
      <c r="W3644">
        <v>0.18418490000000001</v>
      </c>
      <c r="X3644">
        <v>0.98203560000000001</v>
      </c>
      <c r="Y3644">
        <v>6.0131619999999997E-2</v>
      </c>
      <c r="Z3644">
        <v>-1.9848520000000001E-3</v>
      </c>
      <c r="AA3644">
        <v>0.99818850000000003</v>
      </c>
      <c r="AB3644">
        <v>28</v>
      </c>
      <c r="AC3644">
        <v>17.889600000000002</v>
      </c>
      <c r="AD3644">
        <v>-1.1209504347879999</v>
      </c>
      <c r="AE3644">
        <v>-1.2150000000000001</v>
      </c>
      <c r="AF3644">
        <v>1.10986250217826</v>
      </c>
      <c r="AG3644">
        <v>-1.1209504347879999</v>
      </c>
      <c r="AH3644">
        <v>17.826491926801602</v>
      </c>
      <c r="AI3644">
        <v>93.5911525219732</v>
      </c>
      <c r="AJ3644">
        <v>86.437410968152307</v>
      </c>
      <c r="AK3644">
        <v>17.8961487216473</v>
      </c>
      <c r="AL3644">
        <v>79.386386188321296</v>
      </c>
      <c r="AM3644">
        <v>87.6085503019995</v>
      </c>
      <c r="AN3644">
        <v>1.00000001848807</v>
      </c>
    </row>
    <row r="3645" spans="1:40" x14ac:dyDescent="0.25">
      <c r="A3645" t="str">
        <f>"20190303162330236"</f>
        <v>20190303162330236</v>
      </c>
      <c r="B3645" t="str">
        <f>"1551601410228208"</f>
        <v>1551601410228208</v>
      </c>
      <c r="C3645" t="s">
        <v>40</v>
      </c>
      <c r="D3645">
        <v>5.5442299999999998</v>
      </c>
      <c r="E3645">
        <v>0.49392320000000001</v>
      </c>
      <c r="F3645" t="s">
        <v>47</v>
      </c>
      <c r="G3645">
        <v>-222.35570000000001</v>
      </c>
      <c r="H3645" s="1">
        <v>-2.8475660000000002E-7</v>
      </c>
      <c r="I3645">
        <v>214.65129999999999</v>
      </c>
      <c r="J3645">
        <v>-243.3931</v>
      </c>
      <c r="K3645">
        <v>1.120951</v>
      </c>
      <c r="L3645">
        <v>215.22110000000001</v>
      </c>
      <c r="M3645">
        <v>0.99988480000000002</v>
      </c>
      <c r="N3645">
        <v>-1.407461E-2</v>
      </c>
      <c r="O3645">
        <v>-5.6927409999999899E-3</v>
      </c>
      <c r="P3645">
        <v>0.98434169999999999</v>
      </c>
      <c r="Q3645">
        <v>0.16994200000000001</v>
      </c>
      <c r="R3645">
        <v>-4.6811529999999997E-2</v>
      </c>
      <c r="S3645">
        <v>3.0719759999999998</v>
      </c>
      <c r="T3645">
        <v>-0.1615685</v>
      </c>
      <c r="U3645">
        <v>-8.236694E-2</v>
      </c>
      <c r="V3645">
        <v>4.1234600000000003E-2</v>
      </c>
      <c r="W3645">
        <v>0.18377660000000001</v>
      </c>
      <c r="X3645">
        <v>0.98210280000000005</v>
      </c>
      <c r="Y3645">
        <v>2.1078340000000001E-2</v>
      </c>
      <c r="Z3645">
        <v>-4.8325249999999999E-4</v>
      </c>
      <c r="AA3645">
        <v>0.99977769999999999</v>
      </c>
      <c r="AB3645">
        <v>28</v>
      </c>
      <c r="AC3645">
        <v>21.037399999999899</v>
      </c>
      <c r="AD3645">
        <v>-1.1209512847566001</v>
      </c>
      <c r="AE3645">
        <v>-0.56980000000001496</v>
      </c>
      <c r="AF3645">
        <v>0.448745314669871</v>
      </c>
      <c r="AG3645">
        <v>-1.1209512847566001</v>
      </c>
      <c r="AH3645">
        <v>20.9807790415563</v>
      </c>
      <c r="AI3645">
        <v>93.057566521822807</v>
      </c>
      <c r="AJ3645">
        <v>88.774721711575296</v>
      </c>
      <c r="AK3645">
        <v>21.015494125307701</v>
      </c>
      <c r="AL3645">
        <v>79.410186346859106</v>
      </c>
      <c r="AM3645">
        <v>87.5957896159657</v>
      </c>
      <c r="AN3645">
        <v>1.00000002035628</v>
      </c>
    </row>
    <row r="3646" spans="1:40" x14ac:dyDescent="0.25">
      <c r="A3646" t="str">
        <f>"20190303162330260"</f>
        <v>20190303162330260</v>
      </c>
      <c r="B3646" t="str">
        <f>"1551601410248704"</f>
        <v>1551601410248704</v>
      </c>
      <c r="C3646" t="s">
        <v>40</v>
      </c>
      <c r="D3646">
        <v>5.6001029999999998</v>
      </c>
      <c r="E3646">
        <v>0.49444729999999998</v>
      </c>
      <c r="F3646" t="s">
        <v>47</v>
      </c>
      <c r="G3646">
        <v>-222.92920000000001</v>
      </c>
      <c r="H3646" s="1">
        <v>1.9104059999999999E-8</v>
      </c>
      <c r="I3646">
        <v>214.68199999999999</v>
      </c>
      <c r="J3646">
        <v>-243.10849999999999</v>
      </c>
      <c r="K3646">
        <v>1.1209499999999999</v>
      </c>
      <c r="L3646">
        <v>215.21940000000001</v>
      </c>
      <c r="M3646">
        <v>0.99988449999999995</v>
      </c>
      <c r="N3646">
        <v>-1.407163E-2</v>
      </c>
      <c r="O3646">
        <v>-5.7548219999999997E-3</v>
      </c>
      <c r="P3646">
        <v>0.98436950000000001</v>
      </c>
      <c r="Q3646">
        <v>0.1696713</v>
      </c>
      <c r="R3646">
        <v>-4.7209349999999997E-2</v>
      </c>
      <c r="S3646">
        <v>3.0729679999999999</v>
      </c>
      <c r="T3646">
        <v>-0.16832730000000001</v>
      </c>
      <c r="U3646">
        <v>-8.0963129999999994E-2</v>
      </c>
      <c r="V3646">
        <v>4.15711E-2</v>
      </c>
      <c r="W3646">
        <v>0.18350340000000001</v>
      </c>
      <c r="X3646">
        <v>0.98213969999999995</v>
      </c>
      <c r="Y3646">
        <v>2.0549970000000001E-2</v>
      </c>
      <c r="Z3646">
        <v>-4.730596E-4</v>
      </c>
      <c r="AA3646">
        <v>0.99978869999999997</v>
      </c>
      <c r="AB3646">
        <v>28</v>
      </c>
      <c r="AC3646">
        <v>20.179299999999898</v>
      </c>
      <c r="AD3646">
        <v>-1.12094998089594</v>
      </c>
      <c r="AE3646">
        <v>-0.537399999999991</v>
      </c>
      <c r="AF3646">
        <v>0.41995636843627798</v>
      </c>
      <c r="AG3646">
        <v>-1.12094998089594</v>
      </c>
      <c r="AH3646">
        <v>20.120017453230599</v>
      </c>
      <c r="AI3646">
        <v>93.188140006590601</v>
      </c>
      <c r="AJ3646">
        <v>88.804263754530297</v>
      </c>
      <c r="AK3646">
        <v>20.155594621081399</v>
      </c>
      <c r="AL3646">
        <v>79.426110384465602</v>
      </c>
      <c r="AM3646">
        <v>87.5762840238108</v>
      </c>
      <c r="AN3646">
        <v>1.00000002224142</v>
      </c>
    </row>
    <row r="3647" spans="1:40" x14ac:dyDescent="0.25">
      <c r="A3647" t="str">
        <f>"20190303162330281"</f>
        <v>20190303162330281</v>
      </c>
      <c r="B3647" t="str">
        <f>"1551601410268224"</f>
        <v>1551601410268224</v>
      </c>
      <c r="C3647" t="s">
        <v>40</v>
      </c>
      <c r="D3647">
        <v>5.5397119999999997</v>
      </c>
      <c r="E3647">
        <v>0.4946238</v>
      </c>
      <c r="F3647" t="s">
        <v>47</v>
      </c>
      <c r="G3647">
        <v>-222.89400000000001</v>
      </c>
      <c r="H3647" s="1">
        <v>1.6375309999999999E-9</v>
      </c>
      <c r="I3647">
        <v>214.65350000000001</v>
      </c>
      <c r="J3647">
        <v>-242.83750000000001</v>
      </c>
      <c r="K3647">
        <v>1.1209480000000001</v>
      </c>
      <c r="L3647">
        <v>215.21780000000001</v>
      </c>
      <c r="M3647">
        <v>0.9998842</v>
      </c>
      <c r="N3647">
        <v>-1.4068799999999999E-2</v>
      </c>
      <c r="O3647">
        <v>-5.8138060000000004E-3</v>
      </c>
      <c r="P3647">
        <v>0.98437830000000004</v>
      </c>
      <c r="Q3647">
        <v>0.16945660000000001</v>
      </c>
      <c r="R3647">
        <v>-4.7789869999999998E-2</v>
      </c>
      <c r="S3647">
        <v>3.0728759999999999</v>
      </c>
      <c r="T3647">
        <v>-0.17039989999999999</v>
      </c>
      <c r="U3647">
        <v>-8.6029049999999996E-2</v>
      </c>
      <c r="V3647">
        <v>4.2093529999999997E-2</v>
      </c>
      <c r="W3647">
        <v>0.1832859</v>
      </c>
      <c r="X3647">
        <v>0.98215810000000003</v>
      </c>
      <c r="Y3647">
        <v>2.2135080000000001E-2</v>
      </c>
      <c r="Z3647">
        <v>-5.2869349999999996E-4</v>
      </c>
      <c r="AA3647">
        <v>0.99975480000000005</v>
      </c>
      <c r="AB3647">
        <v>28</v>
      </c>
      <c r="AC3647">
        <v>19.9435</v>
      </c>
      <c r="AD3647">
        <v>-1.12094799836246</v>
      </c>
      <c r="AE3647">
        <v>-0.56430000000000202</v>
      </c>
      <c r="AF3647">
        <v>0.446920600151065</v>
      </c>
      <c r="AG3647">
        <v>-1.12094799836246</v>
      </c>
      <c r="AH3647">
        <v>19.883678962082499</v>
      </c>
      <c r="AI3647">
        <v>93.225837276694506</v>
      </c>
      <c r="AJ3647">
        <v>88.712393550488201</v>
      </c>
      <c r="AK3647">
        <v>19.9202648452533</v>
      </c>
      <c r="AL3647">
        <v>79.438787625729006</v>
      </c>
      <c r="AM3647">
        <v>87.545907766626001</v>
      </c>
      <c r="AN3647">
        <v>1.0000000599011301</v>
      </c>
    </row>
    <row r="3648" spans="1:40" x14ac:dyDescent="0.25">
      <c r="A3648" t="str">
        <f>"20190303162330306"</f>
        <v>20190303162330306</v>
      </c>
      <c r="B3648" t="str">
        <f>"1551601410298481"</f>
        <v>1551601410298481</v>
      </c>
      <c r="C3648" t="s">
        <v>40</v>
      </c>
      <c r="D3648">
        <v>5.5362099999999996</v>
      </c>
      <c r="E3648">
        <v>0.49503730000000001</v>
      </c>
      <c r="F3648" t="s">
        <v>47</v>
      </c>
      <c r="G3648">
        <v>-223.06540000000001</v>
      </c>
      <c r="H3648" s="1">
        <v>9.3309409999999997E-8</v>
      </c>
      <c r="I3648">
        <v>214.64320000000001</v>
      </c>
      <c r="J3648">
        <v>-242.5461</v>
      </c>
      <c r="K3648">
        <v>1.12094</v>
      </c>
      <c r="L3648">
        <v>215.21610000000001</v>
      </c>
      <c r="M3648">
        <v>0.99988390000000005</v>
      </c>
      <c r="N3648">
        <v>-1.406576E-2</v>
      </c>
      <c r="O3648">
        <v>-5.8774379999999996E-3</v>
      </c>
      <c r="P3648">
        <v>0.98436210000000002</v>
      </c>
      <c r="Q3648">
        <v>0.16931650000000001</v>
      </c>
      <c r="R3648">
        <v>-4.8615449999999998E-2</v>
      </c>
      <c r="S3648">
        <v>3.0732569999999999</v>
      </c>
      <c r="T3648">
        <v>-0.1742339</v>
      </c>
      <c r="U3648">
        <v>-8.9309689999999997E-2</v>
      </c>
      <c r="V3648">
        <v>4.2856369999999998E-2</v>
      </c>
      <c r="W3648">
        <v>0.18314240000000001</v>
      </c>
      <c r="X3648">
        <v>0.98215180000000002</v>
      </c>
      <c r="Y3648">
        <v>2.3130959999999999E-2</v>
      </c>
      <c r="Z3648">
        <v>-5.6764939999999996E-4</v>
      </c>
      <c r="AA3648">
        <v>0.99973230000000002</v>
      </c>
      <c r="AB3648">
        <v>28</v>
      </c>
      <c r="AC3648">
        <v>19.480699999999899</v>
      </c>
      <c r="AD3648">
        <v>-1.1209399066905901</v>
      </c>
      <c r="AE3648">
        <v>-0.57290000000000396</v>
      </c>
      <c r="AF3648">
        <v>0.45687080052612</v>
      </c>
      <c r="AG3648">
        <v>-1.1209399066905901</v>
      </c>
      <c r="AH3648">
        <v>19.419489144517001</v>
      </c>
      <c r="AI3648">
        <v>93.302673399473093</v>
      </c>
      <c r="AJ3648">
        <v>88.652284799101494</v>
      </c>
      <c r="AK3648">
        <v>19.457178516855901</v>
      </c>
      <c r="AL3648">
        <v>79.4471503143603</v>
      </c>
      <c r="AM3648">
        <v>87.501473332855099</v>
      </c>
      <c r="AN3648">
        <v>0.999999982685288</v>
      </c>
    </row>
    <row r="3649" spans="1:40" x14ac:dyDescent="0.25">
      <c r="A3649" t="str">
        <f>"20190303162330328"</f>
        <v>20190303162330328</v>
      </c>
      <c r="B3649" t="str">
        <f>"1551601410318002"</f>
        <v>1551601410318002</v>
      </c>
      <c r="C3649" t="s">
        <v>40</v>
      </c>
      <c r="D3649">
        <v>5.5377450000000001</v>
      </c>
      <c r="E3649">
        <v>0.4952551</v>
      </c>
      <c r="F3649" t="s">
        <v>47</v>
      </c>
      <c r="G3649">
        <v>-222.97559999999999</v>
      </c>
      <c r="H3649" s="1">
        <v>4.687676E-8</v>
      </c>
      <c r="I3649">
        <v>214.6114</v>
      </c>
      <c r="J3649">
        <v>-242.26140000000001</v>
      </c>
      <c r="K3649">
        <v>1.120935</v>
      </c>
      <c r="L3649">
        <v>215.21430000000001</v>
      </c>
      <c r="M3649">
        <v>0.99988350000000004</v>
      </c>
      <c r="N3649">
        <v>-1.406284E-2</v>
      </c>
      <c r="O3649">
        <v>-5.9392819999999997E-3</v>
      </c>
      <c r="P3649">
        <v>0.98442240000000003</v>
      </c>
      <c r="Q3649">
        <v>0.1687794</v>
      </c>
      <c r="R3649">
        <v>-4.9259669999999998E-2</v>
      </c>
      <c r="S3649">
        <v>3.073242</v>
      </c>
      <c r="T3649">
        <v>-0.17602570000000001</v>
      </c>
      <c r="U3649">
        <v>-9.4955440000000002E-2</v>
      </c>
      <c r="V3649">
        <v>4.3438959999999999E-2</v>
      </c>
      <c r="W3649">
        <v>0.18260380000000001</v>
      </c>
      <c r="X3649">
        <v>0.9822265</v>
      </c>
      <c r="Y3649">
        <v>2.4899890000000001E-2</v>
      </c>
      <c r="Z3649">
        <v>-6.3129440000000005E-4</v>
      </c>
      <c r="AA3649">
        <v>0.99968979999999996</v>
      </c>
      <c r="AB3649">
        <v>28</v>
      </c>
      <c r="AC3649">
        <v>19.285799999999998</v>
      </c>
      <c r="AD3649">
        <v>-1.12093495312324</v>
      </c>
      <c r="AE3649">
        <v>-0.60290000000000499</v>
      </c>
      <c r="AF3649">
        <v>0.48669169710531002</v>
      </c>
      <c r="AG3649">
        <v>-1.12093495312324</v>
      </c>
      <c r="AH3649">
        <v>19.2241612442842</v>
      </c>
      <c r="AI3649">
        <v>93.335994786715503</v>
      </c>
      <c r="AJ3649">
        <v>88.549771584600407</v>
      </c>
      <c r="AK3649">
        <v>19.262962895759401</v>
      </c>
      <c r="AL3649">
        <v>79.478539269058302</v>
      </c>
      <c r="AM3649">
        <v>87.467744600915594</v>
      </c>
      <c r="AN3649">
        <v>0.99999999416128504</v>
      </c>
    </row>
    <row r="3650" spans="1:40" x14ac:dyDescent="0.25">
      <c r="A3650" t="str">
        <f>"20190303162330349"</f>
        <v>20190303162330349</v>
      </c>
      <c r="B3650" t="str">
        <f>"1551601410338497"</f>
        <v>1551601410338497</v>
      </c>
      <c r="C3650" t="s">
        <v>40</v>
      </c>
      <c r="D3650">
        <v>5.5367850000000001</v>
      </c>
      <c r="E3650">
        <v>0.49530849999999998</v>
      </c>
      <c r="F3650" t="s">
        <v>47</v>
      </c>
      <c r="G3650">
        <v>-222.88069999999999</v>
      </c>
      <c r="H3650" s="1">
        <v>-2.7616579999999999E-9</v>
      </c>
      <c r="I3650">
        <v>214.5917</v>
      </c>
      <c r="J3650">
        <v>-242.011</v>
      </c>
      <c r="K3650">
        <v>1.120927</v>
      </c>
      <c r="L3650">
        <v>215.21270000000001</v>
      </c>
      <c r="M3650">
        <v>0.99988319999999997</v>
      </c>
      <c r="N3650">
        <v>-1.40602E-2</v>
      </c>
      <c r="O3650">
        <v>-5.9937369999999998E-3</v>
      </c>
      <c r="P3650">
        <v>0.98454140000000001</v>
      </c>
      <c r="Q3650">
        <v>0.16793229999999901</v>
      </c>
      <c r="R3650">
        <v>-4.9770149999999999E-2</v>
      </c>
      <c r="S3650">
        <v>3.0729980000000001</v>
      </c>
      <c r="T3650">
        <v>-0.1777347</v>
      </c>
      <c r="U3650">
        <v>-9.8724370000000006E-2</v>
      </c>
      <c r="V3650">
        <v>4.3895120000000003E-2</v>
      </c>
      <c r="W3650">
        <v>0.18175559999999999</v>
      </c>
      <c r="X3650">
        <v>0.98236349999999995</v>
      </c>
      <c r="Y3650">
        <v>2.6069620000000002E-2</v>
      </c>
      <c r="Z3650">
        <v>-6.7452709999999999E-4</v>
      </c>
      <c r="AA3650">
        <v>0.99965990000000005</v>
      </c>
      <c r="AB3650">
        <v>27</v>
      </c>
      <c r="AC3650">
        <v>19.130299999999998</v>
      </c>
      <c r="AD3650">
        <v>-1.12092700276165</v>
      </c>
      <c r="AE3650">
        <v>-0.62100000000000899</v>
      </c>
      <c r="AF3650">
        <v>0.50458495693911198</v>
      </c>
      <c r="AG3650">
        <v>-1.12092700276165</v>
      </c>
      <c r="AH3650">
        <v>19.068280664573901</v>
      </c>
      <c r="AI3650">
        <v>93.363080511927194</v>
      </c>
      <c r="AJ3650">
        <v>88.484192482512995</v>
      </c>
      <c r="AK3650">
        <v>19.107862539469298</v>
      </c>
      <c r="AL3650">
        <v>79.5279643419059</v>
      </c>
      <c r="AM3650">
        <v>87.441544487951006</v>
      </c>
      <c r="AN3650">
        <v>0.999999962911711</v>
      </c>
    </row>
    <row r="3651" spans="1:40" x14ac:dyDescent="0.25">
      <c r="A3651" t="str">
        <f>"20190303162330371"</f>
        <v>20190303162330371</v>
      </c>
      <c r="B3651" t="str">
        <f>"1551601410358017"</f>
        <v>1551601410358017</v>
      </c>
      <c r="C3651" t="s">
        <v>40</v>
      </c>
      <c r="D3651">
        <v>5.6002390000000002</v>
      </c>
      <c r="E3651">
        <v>0.49573790000000001</v>
      </c>
      <c r="F3651" t="s">
        <v>47</v>
      </c>
      <c r="G3651">
        <v>-222.84530000000001</v>
      </c>
      <c r="H3651" s="1">
        <v>-2.112763E-8</v>
      </c>
      <c r="I3651">
        <v>214.58150000000001</v>
      </c>
      <c r="J3651">
        <v>-241.73259999999999</v>
      </c>
      <c r="K3651">
        <v>1.12093</v>
      </c>
      <c r="L3651">
        <v>215.21100000000001</v>
      </c>
      <c r="M3651">
        <v>0.99988279999999996</v>
      </c>
      <c r="N3651">
        <v>-1.405726E-2</v>
      </c>
      <c r="O3651">
        <v>-6.0542699999999996E-3</v>
      </c>
      <c r="P3651">
        <v>0.98453020000000002</v>
      </c>
      <c r="Q3651">
        <v>0.1678877</v>
      </c>
      <c r="R3651">
        <v>-5.0139639999999999E-2</v>
      </c>
      <c r="S3651">
        <v>3.0726619999999998</v>
      </c>
      <c r="T3651">
        <v>-0.1797086</v>
      </c>
      <c r="U3651">
        <v>-0.1011963</v>
      </c>
      <c r="V3651">
        <v>4.4204979999999998E-2</v>
      </c>
      <c r="W3651">
        <v>0.18170819999999999</v>
      </c>
      <c r="X3651">
        <v>0.98235839999999996</v>
      </c>
      <c r="Y3651">
        <v>2.6813529999999999E-2</v>
      </c>
      <c r="Z3651">
        <v>-7.0330410000000001E-4</v>
      </c>
      <c r="AA3651">
        <v>0.99964019999999998</v>
      </c>
      <c r="AB3651">
        <v>27</v>
      </c>
      <c r="AC3651">
        <v>18.8872999999999</v>
      </c>
      <c r="AD3651">
        <v>-1.1209300211276201</v>
      </c>
      <c r="AE3651">
        <v>-0.62949999999997797</v>
      </c>
      <c r="AF3651">
        <v>0.51332230896782105</v>
      </c>
      <c r="AG3651">
        <v>-1.1209300211276201</v>
      </c>
      <c r="AH3651">
        <v>18.8245346214158</v>
      </c>
      <c r="AI3651">
        <v>93.406460392843996</v>
      </c>
      <c r="AJ3651">
        <v>88.438000420896799</v>
      </c>
      <c r="AK3651">
        <v>18.8648638377814</v>
      </c>
      <c r="AL3651">
        <v>79.530726418256506</v>
      </c>
      <c r="AM3651">
        <v>87.423494991200798</v>
      </c>
      <c r="AN3651">
        <v>0.99999998812729995</v>
      </c>
    </row>
    <row r="3652" spans="1:40" x14ac:dyDescent="0.25">
      <c r="A3652" t="str">
        <f>"20190303162330393"</f>
        <v>20190303162330393</v>
      </c>
      <c r="B3652" t="str">
        <f>"1551601410388273"</f>
        <v>1551601410388273</v>
      </c>
      <c r="C3652" t="s">
        <v>40</v>
      </c>
      <c r="D3652">
        <v>5.6022179999999997</v>
      </c>
      <c r="E3652">
        <v>0.49581819999999999</v>
      </c>
      <c r="F3652" t="s">
        <v>47</v>
      </c>
      <c r="G3652">
        <v>-222.6354</v>
      </c>
      <c r="H3652" s="1">
        <v>-1.3139159999999999E-7</v>
      </c>
      <c r="I3652">
        <v>214.5479</v>
      </c>
      <c r="J3652">
        <v>-241.47149999999999</v>
      </c>
      <c r="K3652">
        <v>1.1209290000000001</v>
      </c>
      <c r="L3652">
        <v>215.20939999999999</v>
      </c>
      <c r="M3652">
        <v>0.99988259999999995</v>
      </c>
      <c r="N3652">
        <v>-1.4054509999999999E-2</v>
      </c>
      <c r="O3652">
        <v>-6.1112290000000001E-3</v>
      </c>
      <c r="P3652">
        <v>0.98456619999999995</v>
      </c>
      <c r="Q3652">
        <v>0.16754240000000001</v>
      </c>
      <c r="R3652">
        <v>-5.0590629999999998E-2</v>
      </c>
      <c r="S3652">
        <v>3.0724640000000001</v>
      </c>
      <c r="T3652">
        <v>-0.180341</v>
      </c>
      <c r="U3652">
        <v>-0.1066742</v>
      </c>
      <c r="V3652">
        <v>4.4599529999999998E-2</v>
      </c>
      <c r="W3652">
        <v>0.18136079999999999</v>
      </c>
      <c r="X3652">
        <v>0.98240479999999997</v>
      </c>
      <c r="Y3652">
        <v>2.853497E-2</v>
      </c>
      <c r="Z3652">
        <v>-7.6481619999999896E-4</v>
      </c>
      <c r="AA3652">
        <v>0.99959249999999999</v>
      </c>
      <c r="AB3652">
        <v>27</v>
      </c>
      <c r="AC3652">
        <v>18.836099999999899</v>
      </c>
      <c r="AD3652">
        <v>-1.1209291313916001</v>
      </c>
      <c r="AE3652">
        <v>-0.66149999999998899</v>
      </c>
      <c r="AF3652">
        <v>0.54443886095542005</v>
      </c>
      <c r="AG3652">
        <v>-1.1209291313916001</v>
      </c>
      <c r="AH3652">
        <v>18.773389081486801</v>
      </c>
      <c r="AI3652">
        <v>93.415550288022899</v>
      </c>
      <c r="AJ3652">
        <v>88.338855699465896</v>
      </c>
      <c r="AK3652">
        <v>18.814702585898299</v>
      </c>
      <c r="AL3652">
        <v>79.550967666842098</v>
      </c>
      <c r="AM3652">
        <v>87.4006524980405</v>
      </c>
      <c r="AN3652">
        <v>1.0000000244579501</v>
      </c>
    </row>
    <row r="3653" spans="1:40" x14ac:dyDescent="0.25">
      <c r="A3653" t="str">
        <f>"20190303162330415"</f>
        <v>20190303162330415</v>
      </c>
      <c r="B3653" t="str">
        <f>"1551601410408768"</f>
        <v>1551601410408768</v>
      </c>
      <c r="C3653" t="s">
        <v>40</v>
      </c>
      <c r="D3653">
        <v>5.7190099999999999</v>
      </c>
      <c r="E3653">
        <v>0.49594129999999997</v>
      </c>
      <c r="F3653" t="s">
        <v>47</v>
      </c>
      <c r="G3653">
        <v>-222.34049999999999</v>
      </c>
      <c r="H3653" s="1">
        <v>-2.875325E-7</v>
      </c>
      <c r="I3653">
        <v>214.52979999999999</v>
      </c>
      <c r="J3653">
        <v>-241.1919</v>
      </c>
      <c r="K3653">
        <v>1.1209279999999999</v>
      </c>
      <c r="L3653">
        <v>215.20760000000001</v>
      </c>
      <c r="M3653">
        <v>0.9998823</v>
      </c>
      <c r="N3653">
        <v>-1.405171E-2</v>
      </c>
      <c r="O3653">
        <v>-6.1718830000000004E-3</v>
      </c>
      <c r="P3653">
        <v>0.98462470000000002</v>
      </c>
      <c r="Q3653">
        <v>0.16725370000000001</v>
      </c>
      <c r="R3653">
        <v>-5.0404450000000003E-2</v>
      </c>
      <c r="S3653">
        <v>3.0720369999999999</v>
      </c>
      <c r="T3653">
        <v>-0.1799973</v>
      </c>
      <c r="U3653">
        <v>-0.10911559999999999</v>
      </c>
      <c r="V3653">
        <v>4.4353190000000001E-2</v>
      </c>
      <c r="W3653">
        <v>0.18107010000000001</v>
      </c>
      <c r="X3653">
        <v>0.98246960000000005</v>
      </c>
      <c r="Y3653">
        <v>2.9271220000000001E-2</v>
      </c>
      <c r="Z3653">
        <v>-7.8793679999999901E-4</v>
      </c>
      <c r="AA3653">
        <v>0.99957119999999999</v>
      </c>
      <c r="AB3653">
        <v>27</v>
      </c>
      <c r="AC3653">
        <v>18.851400000000002</v>
      </c>
      <c r="AD3653">
        <v>-1.1209282875325</v>
      </c>
      <c r="AE3653">
        <v>-0.67780000000001905</v>
      </c>
      <c r="AF3653">
        <v>0.55945150641121599</v>
      </c>
      <c r="AG3653">
        <v>-1.1209282875325</v>
      </c>
      <c r="AH3653">
        <v>18.788879587693099</v>
      </c>
      <c r="AI3653">
        <v>93.412660943084703</v>
      </c>
      <c r="AJ3653">
        <v>88.294483603518501</v>
      </c>
      <c r="AK3653">
        <v>18.830599097602999</v>
      </c>
      <c r="AL3653">
        <v>79.5679042339859</v>
      </c>
      <c r="AM3653">
        <v>87.415160410380594</v>
      </c>
      <c r="AN3653">
        <v>1.0000000507506701</v>
      </c>
    </row>
    <row r="3654" spans="1:40" x14ac:dyDescent="0.25">
      <c r="A3654" t="str">
        <f>"20190303162330437"</f>
        <v>20190303162330437</v>
      </c>
      <c r="B3654" t="str">
        <f>"1551601410428289"</f>
        <v>1551601410428289</v>
      </c>
      <c r="C3654" t="s">
        <v>40</v>
      </c>
      <c r="D3654">
        <v>5.6014019999999896</v>
      </c>
      <c r="E3654">
        <v>0.49592770000000003</v>
      </c>
      <c r="F3654" t="s">
        <v>47</v>
      </c>
      <c r="G3654">
        <v>-222.08189999999999</v>
      </c>
      <c r="H3654" s="1">
        <v>-4.2497020000000001E-7</v>
      </c>
      <c r="I3654">
        <v>214.5264</v>
      </c>
      <c r="J3654">
        <v>-240.93209999999999</v>
      </c>
      <c r="K3654">
        <v>1.1209290000000001</v>
      </c>
      <c r="L3654">
        <v>215.20590000000001</v>
      </c>
      <c r="M3654">
        <v>0.99988200000000005</v>
      </c>
      <c r="N3654">
        <v>-1.404909E-2</v>
      </c>
      <c r="O3654">
        <v>-6.2284840000000003E-3</v>
      </c>
      <c r="P3654">
        <v>0.98465420000000003</v>
      </c>
      <c r="Q3654">
        <v>0.16728209999999999</v>
      </c>
      <c r="R3654">
        <v>-4.9727479999999998E-2</v>
      </c>
      <c r="S3654">
        <v>3.0718230000000002</v>
      </c>
      <c r="T3654">
        <v>-0.1801827</v>
      </c>
      <c r="U3654">
        <v>-0.1094971</v>
      </c>
      <c r="V3654">
        <v>4.3620289999999999E-2</v>
      </c>
      <c r="W3654">
        <v>0.1810968</v>
      </c>
      <c r="X3654">
        <v>0.98249750000000002</v>
      </c>
      <c r="Y3654">
        <v>2.9340890000000001E-2</v>
      </c>
      <c r="Z3654">
        <v>-7.8843489999999995E-4</v>
      </c>
      <c r="AA3654">
        <v>0.99956920000000005</v>
      </c>
      <c r="AB3654">
        <v>27</v>
      </c>
      <c r="AC3654">
        <v>18.850200000000001</v>
      </c>
      <c r="AD3654">
        <v>-1.1209294249702</v>
      </c>
      <c r="AE3654">
        <v>-0.67950000000001798</v>
      </c>
      <c r="AF3654">
        <v>0.56008910895855202</v>
      </c>
      <c r="AG3654">
        <v>-1.1209294249702</v>
      </c>
      <c r="AH3654">
        <v>18.787717912874399</v>
      </c>
      <c r="AI3654">
        <v>93.412871283422504</v>
      </c>
      <c r="AJ3654">
        <v>88.292435477221204</v>
      </c>
      <c r="AK3654">
        <v>18.829459019299598</v>
      </c>
      <c r="AL3654">
        <v>79.566348808556299</v>
      </c>
      <c r="AM3654">
        <v>87.457888350424994</v>
      </c>
      <c r="AN3654">
        <v>1.00000005908808</v>
      </c>
    </row>
    <row r="3655" spans="1:40" x14ac:dyDescent="0.25">
      <c r="A3655" t="str">
        <f>"20190303162330460"</f>
        <v>20190303162330460</v>
      </c>
      <c r="B3655" t="str">
        <f>"1551601410448785"</f>
        <v>1551601410448785</v>
      </c>
      <c r="C3655" t="s">
        <v>40</v>
      </c>
      <c r="D3655">
        <v>5.5472599999999996</v>
      </c>
      <c r="E3655">
        <v>0.49596600000000002</v>
      </c>
      <c r="F3655" t="s">
        <v>47</v>
      </c>
      <c r="G3655">
        <v>-221.8</v>
      </c>
      <c r="H3655" s="1">
        <v>-5.7545569999999996E-7</v>
      </c>
      <c r="I3655">
        <v>214.53729999999999</v>
      </c>
      <c r="J3655">
        <v>-240.65690000000001</v>
      </c>
      <c r="K3655">
        <v>1.1209279999999999</v>
      </c>
      <c r="L3655">
        <v>215.20410000000001</v>
      </c>
      <c r="M3655">
        <v>0.99988160000000004</v>
      </c>
      <c r="N3655">
        <v>-1.4046039999999999E-2</v>
      </c>
      <c r="O3655">
        <v>-6.288419E-3</v>
      </c>
      <c r="P3655">
        <v>0.98461220000000005</v>
      </c>
      <c r="Q3655">
        <v>0.16766420000000001</v>
      </c>
      <c r="R3655">
        <v>-4.9269699999999902E-2</v>
      </c>
      <c r="S3655">
        <v>3.0718990000000002</v>
      </c>
      <c r="T3655">
        <v>-0.179979799999999</v>
      </c>
      <c r="U3655">
        <v>-0.10736080000000001</v>
      </c>
      <c r="V3655">
        <v>4.310394E-2</v>
      </c>
      <c r="W3655">
        <v>0.1814752</v>
      </c>
      <c r="X3655">
        <v>0.98245039999999995</v>
      </c>
      <c r="Y3655">
        <v>2.8587609999999999E-2</v>
      </c>
      <c r="Z3655">
        <v>-7.5780159999999999E-4</v>
      </c>
      <c r="AA3655">
        <v>0.99959100000000001</v>
      </c>
      <c r="AB3655">
        <v>27</v>
      </c>
      <c r="AC3655">
        <v>18.8569</v>
      </c>
      <c r="AD3655">
        <v>-1.1209285754556999</v>
      </c>
      <c r="AE3655">
        <v>-0.66680000000002304</v>
      </c>
      <c r="AF3655">
        <v>0.54626715910512202</v>
      </c>
      <c r="AG3655">
        <v>-1.1209285754556999</v>
      </c>
      <c r="AH3655">
        <v>18.794392008763801</v>
      </c>
      <c r="AI3655">
        <v>93.411734303309103</v>
      </c>
      <c r="AJ3655">
        <v>88.335142024469306</v>
      </c>
      <c r="AK3655">
        <v>18.835712348076299</v>
      </c>
      <c r="AL3655">
        <v>79.544302096416203</v>
      </c>
      <c r="AM3655">
        <v>87.487821239034403</v>
      </c>
      <c r="AN3655">
        <v>0.99999999315936094</v>
      </c>
    </row>
    <row r="3656" spans="1:40" x14ac:dyDescent="0.25">
      <c r="A3656" t="str">
        <f>"20190303162330483"</f>
        <v>20190303162330483</v>
      </c>
      <c r="B3656" t="str">
        <f>"1551601410478065"</f>
        <v>1551601410478065</v>
      </c>
      <c r="C3656" t="s">
        <v>40</v>
      </c>
      <c r="D3656">
        <v>5.4307689999999997</v>
      </c>
      <c r="E3656">
        <v>0.49606610000000001</v>
      </c>
      <c r="F3656" t="s">
        <v>47</v>
      </c>
      <c r="G3656">
        <v>-221.47550000000001</v>
      </c>
      <c r="H3656" s="1">
        <v>-7.484007E-7</v>
      </c>
      <c r="I3656">
        <v>214.54310000000001</v>
      </c>
      <c r="J3656">
        <v>-240.36799999999999</v>
      </c>
      <c r="K3656">
        <v>1.1209340000000001</v>
      </c>
      <c r="L3656">
        <v>215.2022</v>
      </c>
      <c r="M3656">
        <v>0.99988129999999997</v>
      </c>
      <c r="N3656">
        <v>-1.404269E-2</v>
      </c>
      <c r="O3656">
        <v>-6.3515709999999899E-3</v>
      </c>
      <c r="P3656">
        <v>0.98466549999999997</v>
      </c>
      <c r="Q3656">
        <v>0.1674071</v>
      </c>
      <c r="R3656">
        <v>-4.9082439999999998E-2</v>
      </c>
      <c r="S3656">
        <v>3.0721590000000001</v>
      </c>
      <c r="T3656">
        <v>-0.17953179999999999</v>
      </c>
      <c r="U3656">
        <v>-0.1058655</v>
      </c>
      <c r="V3656">
        <v>4.2853830000000002E-2</v>
      </c>
      <c r="W3656">
        <v>0.18121590000000001</v>
      </c>
      <c r="X3656">
        <v>0.98250919999999997</v>
      </c>
      <c r="Y3656">
        <v>2.8037030000000001E-2</v>
      </c>
      <c r="Z3656">
        <v>-7.3379119999999998E-4</v>
      </c>
      <c r="AA3656">
        <v>0.99960660000000001</v>
      </c>
      <c r="AB3656">
        <v>27</v>
      </c>
      <c r="AC3656">
        <v>18.892499999999899</v>
      </c>
      <c r="AD3656">
        <v>-1.1209347484007</v>
      </c>
      <c r="AE3656">
        <v>-0.65909999999999502</v>
      </c>
      <c r="AF3656">
        <v>0.53718904616351004</v>
      </c>
      <c r="AG3656">
        <v>-1.1209347484007</v>
      </c>
      <c r="AH3656">
        <v>18.830098230108799</v>
      </c>
      <c r="AI3656">
        <v>93.405351326883206</v>
      </c>
      <c r="AJ3656">
        <v>88.365897032801499</v>
      </c>
      <c r="AK3656">
        <v>18.871080152896301</v>
      </c>
      <c r="AL3656">
        <v>79.559409352642305</v>
      </c>
      <c r="AM3656">
        <v>87.502528892786998</v>
      </c>
      <c r="AN3656">
        <v>0.99999999062155898</v>
      </c>
    </row>
    <row r="3657" spans="1:40" x14ac:dyDescent="0.25">
      <c r="A3657" t="str">
        <f>"20190303162330505"</f>
        <v>20190303162330505</v>
      </c>
      <c r="B3657" t="str">
        <f>"1551601410498560"</f>
        <v>1551601410498560</v>
      </c>
      <c r="C3657" t="s">
        <v>40</v>
      </c>
      <c r="D3657">
        <v>5.7147709999999998</v>
      </c>
      <c r="E3657">
        <v>0.49610120000000002</v>
      </c>
      <c r="F3657" t="s">
        <v>47</v>
      </c>
      <c r="G3657">
        <v>-221.28960000000001</v>
      </c>
      <c r="H3657" s="1">
        <v>-8.4736430000000002E-7</v>
      </c>
      <c r="I3657">
        <v>214.54390000000001</v>
      </c>
      <c r="J3657">
        <v>-240.1054</v>
      </c>
      <c r="K3657">
        <v>1.1209359999999999</v>
      </c>
      <c r="L3657">
        <v>215.20050000000001</v>
      </c>
      <c r="M3657">
        <v>0.99988089999999996</v>
      </c>
      <c r="N3657">
        <v>-1.4039690000000001E-2</v>
      </c>
      <c r="O3657">
        <v>-6.4085269999999998E-3</v>
      </c>
      <c r="P3657">
        <v>0.98464370000000001</v>
      </c>
      <c r="Q3657">
        <v>0.16741510000000001</v>
      </c>
      <c r="R3657">
        <v>-4.9484979999999998E-2</v>
      </c>
      <c r="S3657">
        <v>3.0721280000000002</v>
      </c>
      <c r="T3657">
        <v>-0.1805003</v>
      </c>
      <c r="U3657">
        <v>-0.1060181</v>
      </c>
      <c r="V3657">
        <v>4.320044E-2</v>
      </c>
      <c r="W3657">
        <v>0.18122060000000001</v>
      </c>
      <c r="X3657">
        <v>0.98249319999999896</v>
      </c>
      <c r="Y3657">
        <v>2.802961E-2</v>
      </c>
      <c r="Z3657">
        <v>-7.3333209999999999E-4</v>
      </c>
      <c r="AA3657">
        <v>0.99960680000000002</v>
      </c>
      <c r="AB3657">
        <v>27</v>
      </c>
      <c r="AC3657">
        <v>18.815799999999999</v>
      </c>
      <c r="AD3657">
        <v>-1.1209368473643</v>
      </c>
      <c r="AE3657">
        <v>-0.65659999999999696</v>
      </c>
      <c r="AF3657">
        <v>0.53409980344813901</v>
      </c>
      <c r="AG3657">
        <v>-1.1209368473643</v>
      </c>
      <c r="AH3657">
        <v>18.7531461602394</v>
      </c>
      <c r="AI3657">
        <v>93.419302852263897</v>
      </c>
      <c r="AJ3657">
        <v>88.368626029611505</v>
      </c>
      <c r="AK3657">
        <v>18.794207962112299</v>
      </c>
      <c r="AL3657">
        <v>79.559136007466194</v>
      </c>
      <c r="AM3657">
        <v>87.482313807666401</v>
      </c>
      <c r="AN3657">
        <v>1.00000003596339</v>
      </c>
    </row>
    <row r="3658" spans="1:40" x14ac:dyDescent="0.25">
      <c r="A3658" t="str">
        <f>"20190303162330528"</f>
        <v>20190303162330528</v>
      </c>
      <c r="B3658" t="str">
        <f>"1551601410518081"</f>
        <v>1551601410518081</v>
      </c>
      <c r="C3658" t="s">
        <v>40</v>
      </c>
      <c r="D3658">
        <v>5.4419789999999999</v>
      </c>
      <c r="E3658">
        <v>0.51104119999999997</v>
      </c>
      <c r="F3658" t="s">
        <v>47</v>
      </c>
      <c r="G3658">
        <v>-221.03919999999999</v>
      </c>
      <c r="H3658" s="1">
        <v>-9.8015329999999995E-7</v>
      </c>
      <c r="I3658">
        <v>214.53319999999999</v>
      </c>
      <c r="J3658">
        <v>-239.81829999999999</v>
      </c>
      <c r="K3658">
        <v>1.1209370000000001</v>
      </c>
      <c r="L3658">
        <v>215.1986</v>
      </c>
      <c r="M3658">
        <v>0.99988060000000001</v>
      </c>
      <c r="N3658">
        <v>-1.4036420000000001E-2</v>
      </c>
      <c r="O3658">
        <v>-6.4710849999999997E-3</v>
      </c>
      <c r="P3658">
        <v>0.98469280000000003</v>
      </c>
      <c r="Q3658">
        <v>0.16706840000000001</v>
      </c>
      <c r="R3658">
        <v>-4.9682270000000001E-2</v>
      </c>
      <c r="S3658">
        <v>3.0720830000000001</v>
      </c>
      <c r="T3658">
        <v>-0.18061340000000001</v>
      </c>
      <c r="U3658">
        <v>-0.1075134</v>
      </c>
      <c r="V3658">
        <v>4.333559E-2</v>
      </c>
      <c r="W3658">
        <v>0.18087120000000001</v>
      </c>
      <c r="X3658">
        <v>0.98255159999999997</v>
      </c>
      <c r="Y3658">
        <v>2.8452660000000001E-2</v>
      </c>
      <c r="Z3658">
        <v>-7.4614780000000001E-4</v>
      </c>
      <c r="AA3658">
        <v>0.99959489999999995</v>
      </c>
      <c r="AB3658">
        <v>27</v>
      </c>
      <c r="AC3658">
        <v>18.7791</v>
      </c>
      <c r="AD3658">
        <v>-1.1209379801532999</v>
      </c>
      <c r="AE3658">
        <v>-0.66540000000000499</v>
      </c>
      <c r="AF3658">
        <v>0.54192450077032095</v>
      </c>
      <c r="AG3658">
        <v>-1.1209379801532999</v>
      </c>
      <c r="AH3658">
        <v>18.716410402970801</v>
      </c>
      <c r="AI3658">
        <v>93.425955113169906</v>
      </c>
      <c r="AJ3658">
        <v>88.341492126838403</v>
      </c>
      <c r="AK3658">
        <v>18.7577771202325</v>
      </c>
      <c r="AL3658">
        <v>79.579491213536002</v>
      </c>
      <c r="AM3658">
        <v>87.4745974763362</v>
      </c>
      <c r="AN3658">
        <v>1.0000000055063201</v>
      </c>
    </row>
    <row r="3659" spans="1:40" x14ac:dyDescent="0.25">
      <c r="A3659" t="str">
        <f>"20190303162330550"</f>
        <v>20190303162330550</v>
      </c>
      <c r="B3659" t="str">
        <f>"1551601410538576"</f>
        <v>1551601410538576</v>
      </c>
      <c r="C3659" t="s">
        <v>40</v>
      </c>
      <c r="D3659">
        <v>5.4336399999999996</v>
      </c>
      <c r="E3659">
        <v>0.51331559999999998</v>
      </c>
      <c r="F3659" t="s">
        <v>47</v>
      </c>
      <c r="G3659">
        <v>-223.00460000000001</v>
      </c>
      <c r="H3659" s="1">
        <v>9.0972829999999996E-8</v>
      </c>
      <c r="I3659">
        <v>213.9556</v>
      </c>
      <c r="J3659">
        <v>-239.56460000000001</v>
      </c>
      <c r="K3659">
        <v>1.120924</v>
      </c>
      <c r="L3659">
        <v>215.1969</v>
      </c>
      <c r="M3659">
        <v>0.99988030000000006</v>
      </c>
      <c r="N3659">
        <v>-1.4033510000000001E-2</v>
      </c>
      <c r="O3659">
        <v>-6.5266119999999898E-3</v>
      </c>
      <c r="P3659">
        <v>0.98479119999999998</v>
      </c>
      <c r="Q3659">
        <v>0.16645399999999999</v>
      </c>
      <c r="R3659">
        <v>-4.9798040000000002E-2</v>
      </c>
      <c r="S3659">
        <v>3.069931</v>
      </c>
      <c r="T3659">
        <v>-0.20466590000000001</v>
      </c>
      <c r="U3659">
        <v>-0.2269592</v>
      </c>
      <c r="V3659">
        <v>4.3395900000000001E-2</v>
      </c>
      <c r="W3659">
        <v>0.18025540000000001</v>
      </c>
      <c r="X3659">
        <v>0.98266209999999998</v>
      </c>
      <c r="Y3659">
        <v>6.7047079999999995E-2</v>
      </c>
      <c r="Z3659">
        <v>-2.3585630000000002E-3</v>
      </c>
      <c r="AA3659">
        <v>0.99774700000000005</v>
      </c>
      <c r="AB3659">
        <v>27</v>
      </c>
      <c r="AC3659">
        <v>16.559999999999999</v>
      </c>
      <c r="AD3659">
        <v>-1.1209239090271601</v>
      </c>
      <c r="AE3659">
        <v>-1.2412999999999901</v>
      </c>
      <c r="AF3659">
        <v>1.12804269124153</v>
      </c>
      <c r="AG3659">
        <v>-1.1209239090271601</v>
      </c>
      <c r="AH3659">
        <v>16.492606671823701</v>
      </c>
      <c r="AI3659">
        <v>93.879106618196005</v>
      </c>
      <c r="AJ3659">
        <v>86.087241832269498</v>
      </c>
      <c r="AK3659">
        <v>16.569098513636099</v>
      </c>
      <c r="AL3659">
        <v>79.615363602819698</v>
      </c>
      <c r="AM3659">
        <v>87.471371447710595</v>
      </c>
      <c r="AN3659">
        <v>1.0000000080711899</v>
      </c>
    </row>
    <row r="3660" spans="1:40" x14ac:dyDescent="0.25">
      <c r="A3660" t="str">
        <f>"20190303162330572"</f>
        <v>20190303162330572</v>
      </c>
      <c r="B3660" t="str">
        <f>"1551601410558097"</f>
        <v>1551601410558097</v>
      </c>
      <c r="C3660" t="s">
        <v>40</v>
      </c>
      <c r="D3660">
        <v>5.5277129999999897</v>
      </c>
      <c r="E3660">
        <v>0.51438479999999998</v>
      </c>
      <c r="F3660" t="s">
        <v>47</v>
      </c>
      <c r="G3660">
        <v>-223.21170000000001</v>
      </c>
      <c r="H3660" s="1">
        <v>2.0406469999999999E-7</v>
      </c>
      <c r="I3660">
        <v>213.8896</v>
      </c>
      <c r="J3660">
        <v>-239.28989999999999</v>
      </c>
      <c r="K3660">
        <v>1.1209169999999999</v>
      </c>
      <c r="L3660">
        <v>215.19499999999999</v>
      </c>
      <c r="M3660">
        <v>0.99987990000000004</v>
      </c>
      <c r="N3660">
        <v>-1.403037E-2</v>
      </c>
      <c r="O3660">
        <v>-6.5864280000000001E-3</v>
      </c>
      <c r="P3660">
        <v>0.98486669999999998</v>
      </c>
      <c r="Q3660">
        <v>0.1660065</v>
      </c>
      <c r="R3660">
        <v>-4.9794980000000003E-2</v>
      </c>
      <c r="S3660">
        <v>3.0694729999999999</v>
      </c>
      <c r="T3660">
        <v>-0.21039930000000001</v>
      </c>
      <c r="U3660">
        <v>-0.2453766</v>
      </c>
      <c r="V3660">
        <v>4.3333280000000002E-2</v>
      </c>
      <c r="W3660">
        <v>0.1798061</v>
      </c>
      <c r="X3660">
        <v>0.98274720000000004</v>
      </c>
      <c r="Y3660">
        <v>7.2923500000000002E-2</v>
      </c>
      <c r="Z3660">
        <v>-2.6475309999999998E-3</v>
      </c>
      <c r="AA3660">
        <v>0.99733400000000005</v>
      </c>
      <c r="AB3660">
        <v>27</v>
      </c>
      <c r="AC3660">
        <v>16.078199999999899</v>
      </c>
      <c r="AD3660">
        <v>-1.1209167959352999</v>
      </c>
      <c r="AE3660">
        <v>-1.3053999999999899</v>
      </c>
      <c r="AF3660">
        <v>1.19369948995715</v>
      </c>
      <c r="AG3660">
        <v>-1.1209167959352999</v>
      </c>
      <c r="AH3660">
        <v>16.009148670636701</v>
      </c>
      <c r="AI3660">
        <v>93.994105649758694</v>
      </c>
      <c r="AJ3660">
        <v>85.735712450328506</v>
      </c>
      <c r="AK3660">
        <v>16.09267579038</v>
      </c>
      <c r="AL3660">
        <v>79.641534458743095</v>
      </c>
      <c r="AM3660">
        <v>87.475233881921</v>
      </c>
      <c r="AN3660">
        <v>1.0000000329303</v>
      </c>
    </row>
    <row r="3661" spans="1:40" x14ac:dyDescent="0.25">
      <c r="A3661" t="str">
        <f>"20190303162330595"</f>
        <v>20190303162330595</v>
      </c>
      <c r="B3661" t="str">
        <f>"1551601410588354"</f>
        <v>1551601410588354</v>
      </c>
      <c r="C3661" t="s">
        <v>40</v>
      </c>
      <c r="D3661">
        <v>5.4400909999999998</v>
      </c>
      <c r="E3661">
        <v>0.51519999999999999</v>
      </c>
      <c r="F3661" t="s">
        <v>47</v>
      </c>
      <c r="G3661">
        <v>-223.4796</v>
      </c>
      <c r="H3661" s="1">
        <v>3.4678739999999999E-7</v>
      </c>
      <c r="I3661">
        <v>213.887</v>
      </c>
      <c r="J3661">
        <v>-239.0138</v>
      </c>
      <c r="K3661">
        <v>1.1209199999999999</v>
      </c>
      <c r="L3661">
        <v>215.19309999999999</v>
      </c>
      <c r="M3661">
        <v>0.99987950000000003</v>
      </c>
      <c r="N3661">
        <v>-1.402722E-2</v>
      </c>
      <c r="O3661">
        <v>-6.6467189999999997E-3</v>
      </c>
      <c r="P3661">
        <v>0.9848884</v>
      </c>
      <c r="Q3661">
        <v>0.16588599999999901</v>
      </c>
      <c r="R3661">
        <v>-4.976879E-2</v>
      </c>
      <c r="S3661">
        <v>3.069931</v>
      </c>
      <c r="T3661">
        <v>-0.2176517</v>
      </c>
      <c r="U3661">
        <v>-0.2539825</v>
      </c>
      <c r="V3661">
        <v>4.3247399999999998E-2</v>
      </c>
      <c r="W3661">
        <v>0.1796827</v>
      </c>
      <c r="X3661">
        <v>0.98277349999999997</v>
      </c>
      <c r="Y3661">
        <v>7.5608659999999994E-2</v>
      </c>
      <c r="Z3661">
        <v>-2.827534E-3</v>
      </c>
      <c r="AA3661">
        <v>0.99713359999999995</v>
      </c>
      <c r="AB3661">
        <v>27</v>
      </c>
      <c r="AC3661">
        <v>15.534199999999901</v>
      </c>
      <c r="AD3661">
        <v>-1.1209196532126</v>
      </c>
      <c r="AE3661">
        <v>-1.3060999999999801</v>
      </c>
      <c r="AF3661">
        <v>1.19662267636061</v>
      </c>
      <c r="AG3661">
        <v>-1.1209196532126</v>
      </c>
      <c r="AH3661">
        <v>15.462593393752099</v>
      </c>
      <c r="AI3661">
        <v>94.133935096742206</v>
      </c>
      <c r="AJ3661">
        <v>85.574801265681302</v>
      </c>
      <c r="AK3661">
        <v>15.5492816927035</v>
      </c>
      <c r="AL3661">
        <v>79.648721275289702</v>
      </c>
      <c r="AM3661">
        <v>87.480298475091999</v>
      </c>
      <c r="AN3661">
        <v>0.99999998129414902</v>
      </c>
    </row>
    <row r="3662" spans="1:40" x14ac:dyDescent="0.25">
      <c r="A3662" t="str">
        <f>"20190303162330616"</f>
        <v>20190303162330616</v>
      </c>
      <c r="B3662" t="str">
        <f>"1551601410607873"</f>
        <v>1551601410607873</v>
      </c>
      <c r="C3662" t="s">
        <v>40</v>
      </c>
      <c r="D3662">
        <v>5.5967760000000002</v>
      </c>
      <c r="E3662">
        <v>0.51492919999999998</v>
      </c>
      <c r="F3662" t="s">
        <v>47</v>
      </c>
      <c r="G3662">
        <v>-222.99719999999999</v>
      </c>
      <c r="H3662" s="1">
        <v>9.2391720000000001E-8</v>
      </c>
      <c r="I3662">
        <v>213.8339</v>
      </c>
      <c r="J3662">
        <v>-238.75409999999999</v>
      </c>
      <c r="K3662">
        <v>1.1209199999999999</v>
      </c>
      <c r="L3662">
        <v>215.19130000000001</v>
      </c>
      <c r="M3662">
        <v>0.99987910000000002</v>
      </c>
      <c r="N3662">
        <v>-1.40243E-2</v>
      </c>
      <c r="O3662">
        <v>-6.7034369999999996E-3</v>
      </c>
      <c r="P3662">
        <v>0.984877</v>
      </c>
      <c r="Q3662">
        <v>0.1659032</v>
      </c>
      <c r="R3662">
        <v>-4.993566E-2</v>
      </c>
      <c r="S3662">
        <v>3.0690460000000002</v>
      </c>
      <c r="T3662">
        <v>-0.21478739999999999</v>
      </c>
      <c r="U3662">
        <v>-0.26045230000000003</v>
      </c>
      <c r="V3662">
        <v>4.3358349999999997E-2</v>
      </c>
      <c r="W3662">
        <v>0.1796972</v>
      </c>
      <c r="X3662">
        <v>0.98276600000000003</v>
      </c>
      <c r="Y3662">
        <v>7.7662010000000004E-2</v>
      </c>
      <c r="Z3662">
        <v>-2.881864E-3</v>
      </c>
      <c r="AA3662">
        <v>0.99697559999999996</v>
      </c>
      <c r="AB3662">
        <v>27</v>
      </c>
      <c r="AC3662">
        <v>15.7569</v>
      </c>
      <c r="AD3662">
        <v>-1.1209199076082801</v>
      </c>
      <c r="AE3662">
        <v>-1.3574000000000099</v>
      </c>
      <c r="AF3662">
        <v>1.2454771991023801</v>
      </c>
      <c r="AG3662">
        <v>-1.1209199076082801</v>
      </c>
      <c r="AH3662">
        <v>15.6868449688411</v>
      </c>
      <c r="AI3662">
        <v>94.074404439880098</v>
      </c>
      <c r="AJ3662">
        <v>85.460450790468997</v>
      </c>
      <c r="AK3662">
        <v>15.7760825292343</v>
      </c>
      <c r="AL3662">
        <v>79.647877150344698</v>
      </c>
      <c r="AM3662">
        <v>87.473823360854595</v>
      </c>
      <c r="AN3662">
        <v>1.00000002047928</v>
      </c>
    </row>
    <row r="3663" spans="1:40" x14ac:dyDescent="0.25">
      <c r="A3663" t="str">
        <f>"20190303162330661"</f>
        <v>20190303162330661</v>
      </c>
      <c r="B3663" t="str">
        <f>"1551601410647888"</f>
        <v>1551601410647888</v>
      </c>
      <c r="C3663" t="s">
        <v>40</v>
      </c>
      <c r="D3663">
        <v>5.4461459999999997</v>
      </c>
      <c r="E3663">
        <v>0.51460699999999904</v>
      </c>
      <c r="F3663" t="s">
        <v>47</v>
      </c>
      <c r="G3663">
        <v>-222.93270000000001</v>
      </c>
      <c r="H3663" s="1">
        <v>5.6981360000000001E-8</v>
      </c>
      <c r="I3663">
        <v>213.8579</v>
      </c>
      <c r="J3663">
        <v>-238.22110000000001</v>
      </c>
      <c r="K3663">
        <v>1.1209199999999999</v>
      </c>
      <c r="L3663">
        <v>215.1876</v>
      </c>
      <c r="M3663">
        <v>0.99987859999999995</v>
      </c>
      <c r="N3663">
        <v>-1.401869E-2</v>
      </c>
      <c r="O3663">
        <v>-6.8194999999999896E-3</v>
      </c>
      <c r="P3663">
        <v>0.98489789999999999</v>
      </c>
      <c r="Q3663">
        <v>0.16562379999999999</v>
      </c>
      <c r="R3663">
        <v>-5.0451200000000002E-2</v>
      </c>
      <c r="S3663">
        <v>3.0695800000000002</v>
      </c>
      <c r="T3663">
        <v>-0.2174739</v>
      </c>
      <c r="U3663">
        <v>-0.25871280000000002</v>
      </c>
      <c r="V3663">
        <v>4.375938E-2</v>
      </c>
      <c r="W3663">
        <v>0.1794125</v>
      </c>
      <c r="X3663">
        <v>0.98280020000000001</v>
      </c>
      <c r="Y3663">
        <v>7.6968159999999994E-2</v>
      </c>
      <c r="Z3663">
        <v>-2.8732850000000002E-3</v>
      </c>
      <c r="AA3663">
        <v>0.99702939999999995</v>
      </c>
      <c r="AB3663">
        <v>27</v>
      </c>
      <c r="AC3663">
        <v>15.2883999999999</v>
      </c>
      <c r="AD3663">
        <v>-1.1209199430186301</v>
      </c>
      <c r="AE3663">
        <v>-1.3297000000000001</v>
      </c>
      <c r="AF3663">
        <v>1.2188965173787101</v>
      </c>
      <c r="AG3663">
        <v>-1.1209199430186301</v>
      </c>
      <c r="AH3663">
        <v>15.2159328755617</v>
      </c>
      <c r="AI3663">
        <v>94.199821680212807</v>
      </c>
      <c r="AJ3663">
        <v>85.420010392893801</v>
      </c>
      <c r="AK3663">
        <v>15.3057761486419</v>
      </c>
      <c r="AL3663">
        <v>79.664458328600304</v>
      </c>
      <c r="AM3663">
        <v>87.450577542015495</v>
      </c>
      <c r="AN3663">
        <v>0.99999998080713703</v>
      </c>
    </row>
    <row r="3664" spans="1:40" x14ac:dyDescent="0.25">
      <c r="A3664" t="str">
        <f>"20190303162330685"</f>
        <v>20190303162330685</v>
      </c>
      <c r="B3664" t="str">
        <f>"1551601410678145"</f>
        <v>1551601410678145</v>
      </c>
      <c r="C3664" t="s">
        <v>40</v>
      </c>
      <c r="D3664">
        <v>5.4351099999999999</v>
      </c>
      <c r="E3664">
        <v>0.51463149999999902</v>
      </c>
      <c r="F3664" t="s">
        <v>47</v>
      </c>
      <c r="G3664">
        <v>-222.64150000000001</v>
      </c>
      <c r="H3664" s="1">
        <v>-9.8931610000000003E-8</v>
      </c>
      <c r="I3664">
        <v>213.87989999999999</v>
      </c>
      <c r="J3664">
        <v>-237.93039999999999</v>
      </c>
      <c r="K3664">
        <v>1.1209340000000001</v>
      </c>
      <c r="L3664">
        <v>215.18559999999999</v>
      </c>
      <c r="M3664">
        <v>0.99987820000000005</v>
      </c>
      <c r="N3664">
        <v>-1.401554E-2</v>
      </c>
      <c r="O3664">
        <v>-6.882773E-3</v>
      </c>
      <c r="P3664">
        <v>0.98487899999999995</v>
      </c>
      <c r="Q3664">
        <v>0.1657566</v>
      </c>
      <c r="R3664">
        <v>-5.0382789999999997E-2</v>
      </c>
      <c r="S3664">
        <v>3.0699459999999998</v>
      </c>
      <c r="T3664">
        <v>-0.22087560000000001</v>
      </c>
      <c r="U3664">
        <v>-0.25769039999999999</v>
      </c>
      <c r="V3664">
        <v>4.3628769999999997E-2</v>
      </c>
      <c r="W3664">
        <v>0.17954200000000001</v>
      </c>
      <c r="X3664">
        <v>0.98278239999999994</v>
      </c>
      <c r="Y3664">
        <v>7.6560619999999996E-2</v>
      </c>
      <c r="Z3664">
        <v>-2.8866790000000001E-3</v>
      </c>
      <c r="AA3664">
        <v>0.99706079999999997</v>
      </c>
      <c r="AB3664">
        <v>27</v>
      </c>
      <c r="AC3664">
        <v>15.2888999999999</v>
      </c>
      <c r="AD3664">
        <v>-1.1209340989316099</v>
      </c>
      <c r="AE3664">
        <v>-1.3057000000000001</v>
      </c>
      <c r="AF3664">
        <v>1.19405670062562</v>
      </c>
      <c r="AG3664">
        <v>-1.1209340989316099</v>
      </c>
      <c r="AH3664">
        <v>15.216324497474501</v>
      </c>
      <c r="AI3664">
        <v>94.200305807751207</v>
      </c>
      <c r="AJ3664">
        <v>85.513075640392699</v>
      </c>
      <c r="AK3664">
        <v>15.3042084366</v>
      </c>
      <c r="AL3664">
        <v>79.656916490914796</v>
      </c>
      <c r="AM3664">
        <v>87.458130911919397</v>
      </c>
      <c r="AN3664">
        <v>1.0000000225427299</v>
      </c>
    </row>
    <row r="3665" spans="1:40" x14ac:dyDescent="0.25">
      <c r="A3665" t="str">
        <f>"20190303162330707"</f>
        <v>20190303162330707</v>
      </c>
      <c r="B3665" t="str">
        <f>"1551601410698641"</f>
        <v>1551601410698641</v>
      </c>
      <c r="C3665" t="s">
        <v>40</v>
      </c>
      <c r="D3665">
        <v>5.4725390000000003</v>
      </c>
      <c r="E3665">
        <v>0.51479560000000002</v>
      </c>
      <c r="F3665" t="s">
        <v>42</v>
      </c>
      <c r="G3665">
        <v>-236.98150000000001</v>
      </c>
      <c r="H3665">
        <v>1.0528729999999999</v>
      </c>
      <c r="I3665">
        <v>215.1054</v>
      </c>
      <c r="J3665">
        <v>-237.67449999999999</v>
      </c>
      <c r="K3665">
        <v>1.120941</v>
      </c>
      <c r="L3665">
        <v>215.18369999999999</v>
      </c>
      <c r="M3665">
        <v>0.99987789999999999</v>
      </c>
      <c r="N3665">
        <v>-1.4012770000000001E-2</v>
      </c>
      <c r="O3665">
        <v>-6.9384210000000002E-3</v>
      </c>
      <c r="P3665">
        <v>0.98470849999999999</v>
      </c>
      <c r="Q3665">
        <v>0.1669504</v>
      </c>
      <c r="R3665">
        <v>-4.9773619999999998E-2</v>
      </c>
      <c r="S3665">
        <v>3.0699160000000001</v>
      </c>
      <c r="T3665">
        <v>-0.22032499999999999</v>
      </c>
      <c r="U3665">
        <v>-0.25871280000000002</v>
      </c>
      <c r="V3665">
        <v>4.2965959999999997E-2</v>
      </c>
      <c r="W3665">
        <v>0.18073049999999999</v>
      </c>
      <c r="X3665">
        <v>0.98259370000000001</v>
      </c>
      <c r="Y3665">
        <v>7.6835899999999999E-2</v>
      </c>
      <c r="Z3665">
        <v>-2.8895269999999998E-3</v>
      </c>
      <c r="AA3665">
        <v>0.99703960000000003</v>
      </c>
      <c r="AB3665">
        <v>27</v>
      </c>
      <c r="AC3665">
        <v>0.69299999999998296</v>
      </c>
      <c r="AD3665">
        <v>-6.8068000000000004E-2</v>
      </c>
      <c r="AE3665">
        <v>-7.8299999999984493E-2</v>
      </c>
      <c r="AF3665">
        <v>7.2795864642041602E-2</v>
      </c>
      <c r="AG3665">
        <v>-6.8068000000000004E-2</v>
      </c>
      <c r="AH3665">
        <v>0.68698245530888002</v>
      </c>
      <c r="AI3665">
        <v>95.627244355682905</v>
      </c>
      <c r="AJ3665">
        <v>83.951244121481807</v>
      </c>
      <c r="AK3665">
        <v>0.69417388631034005</v>
      </c>
      <c r="AL3665">
        <v>79.587687578208502</v>
      </c>
      <c r="AM3665">
        <v>87.496217456212705</v>
      </c>
      <c r="AN3665">
        <v>0.99999998331433004</v>
      </c>
    </row>
    <row r="3666" spans="1:40" x14ac:dyDescent="0.25">
      <c r="A3666" t="str">
        <f>"20190303162330727"</f>
        <v>20190303162330727</v>
      </c>
      <c r="B3666" t="str">
        <f>"1551601410718160"</f>
        <v>1551601410718160</v>
      </c>
      <c r="C3666" t="s">
        <v>40</v>
      </c>
      <c r="D3666">
        <v>5.4843699999999904</v>
      </c>
      <c r="E3666">
        <v>0.51488929999999999</v>
      </c>
      <c r="F3666" t="s">
        <v>47</v>
      </c>
      <c r="G3666">
        <v>-221.78479999999999</v>
      </c>
      <c r="H3666" s="1">
        <v>-5.5345930000000004E-7</v>
      </c>
      <c r="I3666">
        <v>213.8484</v>
      </c>
      <c r="J3666">
        <v>-237.4169</v>
      </c>
      <c r="K3666">
        <v>1.1209469999999999</v>
      </c>
      <c r="L3666">
        <v>215.18190000000001</v>
      </c>
      <c r="M3666">
        <v>0.99987749999999997</v>
      </c>
      <c r="N3666">
        <v>-1.401002E-2</v>
      </c>
      <c r="O3666">
        <v>-6.9945440000000001E-3</v>
      </c>
      <c r="P3666">
        <v>0.9845739</v>
      </c>
      <c r="Q3666">
        <v>0.16778479999999901</v>
      </c>
      <c r="R3666">
        <v>-4.9624759999999997E-2</v>
      </c>
      <c r="S3666">
        <v>3.0702820000000002</v>
      </c>
      <c r="T3666">
        <v>-0.21659339999999999</v>
      </c>
      <c r="U3666">
        <v>-0.25801089999999999</v>
      </c>
      <c r="V3666">
        <v>4.2763019999999999E-2</v>
      </c>
      <c r="W3666">
        <v>0.18156059999999999</v>
      </c>
      <c r="X3666">
        <v>0.98244949999999998</v>
      </c>
      <c r="Y3666">
        <v>7.655141E-2</v>
      </c>
      <c r="Z3666">
        <v>-2.8359129999999998E-3</v>
      </c>
      <c r="AA3666">
        <v>0.99706159999999999</v>
      </c>
      <c r="AB3666">
        <v>27</v>
      </c>
      <c r="AC3666">
        <v>15.632099999999999</v>
      </c>
      <c r="AD3666">
        <v>-1.1209475534593001</v>
      </c>
      <c r="AE3666">
        <v>-1.3335000000000099</v>
      </c>
      <c r="AF3666">
        <v>1.21789998729506</v>
      </c>
      <c r="AG3666">
        <v>-1.1209475534593001</v>
      </c>
      <c r="AH3666">
        <v>15.561605269584099</v>
      </c>
      <c r="AI3666">
        <v>94.107547784022302</v>
      </c>
      <c r="AJ3666">
        <v>85.524974581914606</v>
      </c>
      <c r="AK3666">
        <v>15.6493885619537</v>
      </c>
      <c r="AL3666">
        <v>79.539326172555107</v>
      </c>
      <c r="AM3666">
        <v>87.507663263213502</v>
      </c>
      <c r="AN3666">
        <v>0.99999997370106397</v>
      </c>
    </row>
    <row r="3667" spans="1:40" x14ac:dyDescent="0.25">
      <c r="A3667" t="str">
        <f>"20190303162330750"</f>
        <v>20190303162330750</v>
      </c>
      <c r="B3667" t="str">
        <f>"1551601410738656"</f>
        <v>1551601410738656</v>
      </c>
      <c r="C3667" t="s">
        <v>40</v>
      </c>
      <c r="D3667">
        <v>5.4736120000000001</v>
      </c>
      <c r="E3667">
        <v>0.515304599999999</v>
      </c>
      <c r="F3667" t="s">
        <v>47</v>
      </c>
      <c r="G3667">
        <v>-221.399</v>
      </c>
      <c r="H3667" s="1">
        <v>-7.5836290000000001E-7</v>
      </c>
      <c r="I3667">
        <v>213.83940000000001</v>
      </c>
      <c r="J3667">
        <v>-237.1499</v>
      </c>
      <c r="K3667">
        <v>1.120954</v>
      </c>
      <c r="L3667">
        <v>215.18</v>
      </c>
      <c r="M3667">
        <v>0.99987700000000002</v>
      </c>
      <c r="N3667">
        <v>-1.4007210000000001E-2</v>
      </c>
      <c r="O3667">
        <v>-7.0530489999999996E-3</v>
      </c>
      <c r="P3667">
        <v>0.98446420000000001</v>
      </c>
      <c r="Q3667">
        <v>0.1682806</v>
      </c>
      <c r="R3667">
        <v>-5.0121550000000001E-2</v>
      </c>
      <c r="S3667">
        <v>3.0706479999999998</v>
      </c>
      <c r="T3667">
        <v>-0.21488650000000001</v>
      </c>
      <c r="U3667">
        <v>-0.25735469999999999</v>
      </c>
      <c r="V3667">
        <v>4.3202869999999997E-2</v>
      </c>
      <c r="W3667">
        <v>0.18205189999999999</v>
      </c>
      <c r="X3667">
        <v>0.98233930000000003</v>
      </c>
      <c r="Y3667">
        <v>7.6275560000000006E-2</v>
      </c>
      <c r="Z3667">
        <v>-2.8034119999999999E-3</v>
      </c>
      <c r="AA3667">
        <v>0.99708280000000005</v>
      </c>
      <c r="AB3667">
        <v>27</v>
      </c>
      <c r="AC3667">
        <v>15.7509</v>
      </c>
      <c r="AD3667">
        <v>-1.12095475836289</v>
      </c>
      <c r="AE3667">
        <v>-1.34059999999999</v>
      </c>
      <c r="AF3667">
        <v>1.2233125603439099</v>
      </c>
      <c r="AG3667">
        <v>-1.12095475836289</v>
      </c>
      <c r="AH3667">
        <v>15.6811133311676</v>
      </c>
      <c r="AI3667">
        <v>94.076454891722705</v>
      </c>
      <c r="AJ3667">
        <v>85.539285049140005</v>
      </c>
      <c r="AK3667">
        <v>15.7686508140523</v>
      </c>
      <c r="AL3667">
        <v>79.510699332718403</v>
      </c>
      <c r="AM3667">
        <v>87.481778419144803</v>
      </c>
      <c r="AN3667">
        <v>0.99999994129716596</v>
      </c>
    </row>
    <row r="3668" spans="1:40" x14ac:dyDescent="0.25">
      <c r="A3668" t="str">
        <f>"20190303162330772"</f>
        <v>20190303162330772</v>
      </c>
      <c r="B3668" t="str">
        <f>"1551601410767937"</f>
        <v>1551601410767937</v>
      </c>
      <c r="C3668" t="s">
        <v>40</v>
      </c>
      <c r="D3668">
        <v>5.3880169999999996</v>
      </c>
      <c r="E3668">
        <v>0.51552749999999903</v>
      </c>
      <c r="F3668" t="s">
        <v>47</v>
      </c>
      <c r="G3668">
        <v>-221.0453</v>
      </c>
      <c r="H3668" s="1">
        <v>-9.450278E-7</v>
      </c>
      <c r="I3668">
        <v>213.80350000000001</v>
      </c>
      <c r="J3668">
        <v>-236.87899999999999</v>
      </c>
      <c r="K3668">
        <v>1.1209549999999999</v>
      </c>
      <c r="L3668">
        <v>215.178</v>
      </c>
      <c r="M3668">
        <v>0.99987669999999995</v>
      </c>
      <c r="N3668">
        <v>-1.400441E-2</v>
      </c>
      <c r="O3668">
        <v>-7.1119159999999898E-3</v>
      </c>
      <c r="P3668">
        <v>0.98439560000000004</v>
      </c>
      <c r="Q3668">
        <v>0.16860020000000001</v>
      </c>
      <c r="R3668">
        <v>-5.0391930000000001E-2</v>
      </c>
      <c r="S3668">
        <v>3.070541</v>
      </c>
      <c r="T3668">
        <v>-0.21372369999999999</v>
      </c>
      <c r="U3668">
        <v>-0.2624359</v>
      </c>
      <c r="V3668">
        <v>4.3415839999999997E-2</v>
      </c>
      <c r="W3668">
        <v>0.182368</v>
      </c>
      <c r="X3668">
        <v>0.98227129999999996</v>
      </c>
      <c r="Y3668">
        <v>7.7855510000000003E-2</v>
      </c>
      <c r="Z3668">
        <v>-2.8541819999999998E-3</v>
      </c>
      <c r="AA3668">
        <v>0.99696059999999997</v>
      </c>
      <c r="AB3668">
        <v>27</v>
      </c>
      <c r="AC3668">
        <v>15.8337</v>
      </c>
      <c r="AD3668">
        <v>-1.1209559450277999</v>
      </c>
      <c r="AE3668">
        <v>-1.3744999999999801</v>
      </c>
      <c r="AF3668">
        <v>1.255600232648</v>
      </c>
      <c r="AG3668">
        <v>-1.1209559450277999</v>
      </c>
      <c r="AH3668">
        <v>15.764654072851901</v>
      </c>
      <c r="AI3668">
        <v>94.054411758194206</v>
      </c>
      <c r="AJ3668">
        <v>85.446201989688603</v>
      </c>
      <c r="AK3668">
        <v>15.8542547037571</v>
      </c>
      <c r="AL3668">
        <v>79.492280034574605</v>
      </c>
      <c r="AM3668">
        <v>87.469205899436105</v>
      </c>
      <c r="AN3668">
        <v>0.99999996469529695</v>
      </c>
    </row>
    <row r="3669" spans="1:40" x14ac:dyDescent="0.25">
      <c r="A3669" t="str">
        <f>"20190303162330795"</f>
        <v>20190303162330795</v>
      </c>
      <c r="B3669" t="str">
        <f>"1551601410788433"</f>
        <v>1551601410788433</v>
      </c>
      <c r="C3669" t="s">
        <v>40</v>
      </c>
      <c r="D3669">
        <v>5.5083669999999998</v>
      </c>
      <c r="E3669">
        <v>0.51566959999999995</v>
      </c>
      <c r="F3669" t="s">
        <v>47</v>
      </c>
      <c r="G3669">
        <v>-220.65289999999999</v>
      </c>
      <c r="H3669" s="1">
        <v>-1.1526730000000001E-6</v>
      </c>
      <c r="I3669">
        <v>213.77719999999999</v>
      </c>
      <c r="J3669">
        <v>-236.614</v>
      </c>
      <c r="K3669">
        <v>1.1209559999999901</v>
      </c>
      <c r="L3669">
        <v>215.17599999999999</v>
      </c>
      <c r="M3669">
        <v>0.9998764</v>
      </c>
      <c r="N3669">
        <v>-1.4001680000000001E-2</v>
      </c>
      <c r="O3669">
        <v>-7.1697089999999998E-3</v>
      </c>
      <c r="P3669">
        <v>0.98423870000000002</v>
      </c>
      <c r="Q3669">
        <v>0.16921939999999999</v>
      </c>
      <c r="R3669">
        <v>-5.1374830000000003E-2</v>
      </c>
      <c r="S3669">
        <v>3.0703279999999999</v>
      </c>
      <c r="T3669">
        <v>-0.21210889999999999</v>
      </c>
      <c r="U3669">
        <v>-0.26506039999999997</v>
      </c>
      <c r="V3669">
        <v>4.4342939999999997E-2</v>
      </c>
      <c r="W3669">
        <v>0.18298210000000001</v>
      </c>
      <c r="X3669">
        <v>0.98211570000000004</v>
      </c>
      <c r="Y3669">
        <v>7.8650440000000002E-2</v>
      </c>
      <c r="Z3669">
        <v>-2.8672789999999999E-3</v>
      </c>
      <c r="AA3669">
        <v>0.99689810000000001</v>
      </c>
      <c r="AB3669">
        <v>27</v>
      </c>
      <c r="AC3669">
        <v>15.9611</v>
      </c>
      <c r="AD3669">
        <v>-1.12095715267299</v>
      </c>
      <c r="AE3669">
        <v>-1.3987999999999901</v>
      </c>
      <c r="AF3669">
        <v>1.2780606203753599</v>
      </c>
      <c r="AG3669">
        <v>-1.12095715267299</v>
      </c>
      <c r="AH3669">
        <v>15.8929279088792</v>
      </c>
      <c r="AI3669">
        <v>94.021554649646603</v>
      </c>
      <c r="AJ3669">
        <v>85.402342577280706</v>
      </c>
      <c r="AK3669">
        <v>15.9835897533788</v>
      </c>
      <c r="AL3669">
        <v>79.456492851616702</v>
      </c>
      <c r="AM3669">
        <v>87.414827000918706</v>
      </c>
      <c r="AN3669">
        <v>0.99999999671737105</v>
      </c>
    </row>
    <row r="3670" spans="1:40" x14ac:dyDescent="0.25">
      <c r="A3670" t="str">
        <f>"20190303162330817"</f>
        <v>20190303162330817</v>
      </c>
      <c r="B3670" t="str">
        <f>"1551601410807953"</f>
        <v>1551601410807953</v>
      </c>
      <c r="C3670" t="s">
        <v>40</v>
      </c>
      <c r="D3670">
        <v>5.476699</v>
      </c>
      <c r="E3670">
        <v>0.51593710000000004</v>
      </c>
      <c r="F3670" t="s">
        <v>47</v>
      </c>
      <c r="G3670">
        <v>-220.2406</v>
      </c>
      <c r="H3670" s="1">
        <v>-1.3704269999999999E-6</v>
      </c>
      <c r="I3670">
        <v>213.73920000000001</v>
      </c>
      <c r="J3670">
        <v>-236.34450000000001</v>
      </c>
      <c r="K3670">
        <v>1.1209559999999901</v>
      </c>
      <c r="L3670">
        <v>215.17400000000001</v>
      </c>
      <c r="M3670">
        <v>0.99987599999999999</v>
      </c>
      <c r="N3670">
        <v>-1.399888E-2</v>
      </c>
      <c r="O3670">
        <v>-7.2283360000000001E-3</v>
      </c>
      <c r="P3670">
        <v>0.98413490000000003</v>
      </c>
      <c r="Q3670">
        <v>0.16961689999999999</v>
      </c>
      <c r="R3670">
        <v>-5.2046660000000002E-2</v>
      </c>
      <c r="S3670">
        <v>3.0701290000000001</v>
      </c>
      <c r="T3670">
        <v>-0.21018719999999999</v>
      </c>
      <c r="U3670">
        <v>-0.26940920000000002</v>
      </c>
      <c r="V3670">
        <v>4.4957789999999997E-2</v>
      </c>
      <c r="W3670">
        <v>0.18337539999999999</v>
      </c>
      <c r="X3670">
        <v>0.98201439999999995</v>
      </c>
      <c r="Y3670">
        <v>7.9998650000000004E-2</v>
      </c>
      <c r="Z3670">
        <v>-2.89945E-3</v>
      </c>
      <c r="AA3670">
        <v>0.99679079999999998</v>
      </c>
      <c r="AB3670">
        <v>27</v>
      </c>
      <c r="AC3670">
        <v>16.103899999999999</v>
      </c>
      <c r="AD3670">
        <v>-1.1209573704269999</v>
      </c>
      <c r="AE3670">
        <v>-1.4347999999999901</v>
      </c>
      <c r="AF3670">
        <v>1.3120396234724101</v>
      </c>
      <c r="AG3670">
        <v>-1.1209573704269999</v>
      </c>
      <c r="AH3670">
        <v>16.036761298639998</v>
      </c>
      <c r="AI3670">
        <v>93.985155545666501</v>
      </c>
      <c r="AJ3670">
        <v>85.322791633540504</v>
      </c>
      <c r="AK3670">
        <v>16.129343022870799</v>
      </c>
      <c r="AL3670">
        <v>79.433570720335894</v>
      </c>
      <c r="AM3670">
        <v>87.378761182997096</v>
      </c>
      <c r="AN3670">
        <v>1.0000000110070999</v>
      </c>
    </row>
    <row r="3671" spans="1:40" x14ac:dyDescent="0.25">
      <c r="A3671" t="str">
        <f>"20190303162330839"</f>
        <v>20190303162330839</v>
      </c>
      <c r="B3671" t="str">
        <f>"1551601410828449"</f>
        <v>1551601410828449</v>
      </c>
      <c r="C3671" t="s">
        <v>40</v>
      </c>
      <c r="D3671">
        <v>5.4616619999999996</v>
      </c>
      <c r="E3671">
        <v>0.51621240000000002</v>
      </c>
      <c r="F3671" t="s">
        <v>47</v>
      </c>
      <c r="G3671">
        <v>-219.98830000000001</v>
      </c>
      <c r="H3671" s="1">
        <v>-1.50385E-6</v>
      </c>
      <c r="I3671">
        <v>213.7199</v>
      </c>
      <c r="J3671">
        <v>-236.08750000000001</v>
      </c>
      <c r="K3671">
        <v>1.120957</v>
      </c>
      <c r="L3671">
        <v>215.1721</v>
      </c>
      <c r="M3671">
        <v>0.99987559999999998</v>
      </c>
      <c r="N3671">
        <v>-1.39962E-2</v>
      </c>
      <c r="O3671">
        <v>-7.283866E-3</v>
      </c>
      <c r="P3671">
        <v>0.98413450000000002</v>
      </c>
      <c r="Q3671">
        <v>0.16939489999999999</v>
      </c>
      <c r="R3671">
        <v>-5.277395E-2</v>
      </c>
      <c r="S3671">
        <v>3.0701749999999999</v>
      </c>
      <c r="T3671">
        <v>-0.21041180000000001</v>
      </c>
      <c r="U3671">
        <v>-0.2729492</v>
      </c>
      <c r="V3671">
        <v>4.5630150000000001E-2</v>
      </c>
      <c r="W3671">
        <v>0.18315090000000001</v>
      </c>
      <c r="X3671">
        <v>0.98202529999999999</v>
      </c>
      <c r="Y3671">
        <v>8.1079070000000003E-2</v>
      </c>
      <c r="Z3671">
        <v>-2.9430620000000002E-3</v>
      </c>
      <c r="AA3671">
        <v>0.99670329999999996</v>
      </c>
      <c r="AB3671">
        <v>27</v>
      </c>
      <c r="AC3671">
        <v>16.0991999999999</v>
      </c>
      <c r="AD3671">
        <v>-1.1209585038500001</v>
      </c>
      <c r="AE3671">
        <v>-1.4521999999999999</v>
      </c>
      <c r="AF3671">
        <v>1.32849688839213</v>
      </c>
      <c r="AG3671">
        <v>-1.1209585038500001</v>
      </c>
      <c r="AH3671">
        <v>16.032253057038599</v>
      </c>
      <c r="AI3671">
        <v>93.985935527754194</v>
      </c>
      <c r="AJ3671">
        <v>85.263063747760796</v>
      </c>
      <c r="AK3671">
        <v>16.126208172870101</v>
      </c>
      <c r="AL3671">
        <v>79.446655386502698</v>
      </c>
      <c r="AM3671">
        <v>87.339645002310306</v>
      </c>
      <c r="AN3671">
        <v>1.00000002629996</v>
      </c>
    </row>
    <row r="3672" spans="1:40" x14ac:dyDescent="0.25">
      <c r="A3672" t="str">
        <f>"20190303162330862"</f>
        <v>20190303162330862</v>
      </c>
      <c r="B3672" t="str">
        <f>"1551601410858705"</f>
        <v>1551601410858705</v>
      </c>
      <c r="C3672" t="s">
        <v>40</v>
      </c>
      <c r="D3672">
        <v>5.4839589999999996</v>
      </c>
      <c r="E3672">
        <v>0.51642879999999902</v>
      </c>
      <c r="F3672" t="s">
        <v>47</v>
      </c>
      <c r="G3672">
        <v>-219.8562</v>
      </c>
      <c r="H3672" s="1">
        <v>3.7479289999999999E-6</v>
      </c>
      <c r="I3672">
        <v>213.70699999999999</v>
      </c>
      <c r="J3672">
        <v>-235.81630000000001</v>
      </c>
      <c r="K3672">
        <v>1.1209610000000001</v>
      </c>
      <c r="L3672">
        <v>215.17</v>
      </c>
      <c r="M3672">
        <v>0.99987510000000002</v>
      </c>
      <c r="N3672">
        <v>-1.399338E-2</v>
      </c>
      <c r="O3672">
        <v>-7.3429699999999999E-3</v>
      </c>
      <c r="P3672">
        <v>0.98410509999999995</v>
      </c>
      <c r="Q3672">
        <v>0.16934869999999999</v>
      </c>
      <c r="R3672">
        <v>-5.3462860000000001E-2</v>
      </c>
      <c r="S3672">
        <v>3.0699920000000001</v>
      </c>
      <c r="T3672">
        <v>-0.21201719999999999</v>
      </c>
      <c r="U3672">
        <v>-0.277099599999999</v>
      </c>
      <c r="V3672">
        <v>4.6261190000000001E-2</v>
      </c>
      <c r="W3672">
        <v>0.18310170000000001</v>
      </c>
      <c r="X3672">
        <v>0.98200489999999996</v>
      </c>
      <c r="Y3672">
        <v>8.2355579999999998E-2</v>
      </c>
      <c r="Z3672">
        <v>-3.0099150000000002E-3</v>
      </c>
      <c r="AA3672">
        <v>0.99659850000000005</v>
      </c>
      <c r="AB3672">
        <v>27</v>
      </c>
      <c r="AC3672">
        <v>15.960100000000001</v>
      </c>
      <c r="AD3672">
        <v>-1.1209572520710001</v>
      </c>
      <c r="AE3672">
        <v>-1.4629999999999901</v>
      </c>
      <c r="AF3672">
        <v>1.3392033570788699</v>
      </c>
      <c r="AG3672">
        <v>-1.1209572520710001</v>
      </c>
      <c r="AH3672">
        <v>15.892668938591401</v>
      </c>
      <c r="AI3672">
        <v>94.020358833447602</v>
      </c>
      <c r="AJ3672">
        <v>85.183322747238805</v>
      </c>
      <c r="AK3672">
        <v>15.988337524090801</v>
      </c>
      <c r="AL3672">
        <v>79.449522302158798</v>
      </c>
      <c r="AM3672">
        <v>87.302851758848703</v>
      </c>
      <c r="AN3672">
        <v>0.99999997693355702</v>
      </c>
    </row>
    <row r="3673" spans="1:40" x14ac:dyDescent="0.25">
      <c r="A3673" t="str">
        <f>"20190303162330886"</f>
        <v>20190303162330886</v>
      </c>
      <c r="B3673" t="str">
        <f>"1551601410878226"</f>
        <v>1551601410878226</v>
      </c>
      <c r="C3673" t="s">
        <v>40</v>
      </c>
      <c r="D3673">
        <v>5.4782669999999998</v>
      </c>
      <c r="E3673">
        <v>0.51642109999999997</v>
      </c>
      <c r="F3673" t="s">
        <v>47</v>
      </c>
      <c r="G3673">
        <v>-219.62299999999999</v>
      </c>
      <c r="H3673" s="1">
        <v>3.6245709999999998E-6</v>
      </c>
      <c r="I3673">
        <v>213.69030000000001</v>
      </c>
      <c r="J3673">
        <v>-235.54390000000001</v>
      </c>
      <c r="K3673">
        <v>1.12096</v>
      </c>
      <c r="L3673">
        <v>215.1679</v>
      </c>
      <c r="M3673">
        <v>0.99987479999999995</v>
      </c>
      <c r="N3673">
        <v>-1.399064E-2</v>
      </c>
      <c r="O3673">
        <v>-7.4027839999999999E-3</v>
      </c>
      <c r="P3673">
        <v>0.98408169999999995</v>
      </c>
      <c r="Q3673">
        <v>0.16914770000000001</v>
      </c>
      <c r="R3673">
        <v>-5.4520480000000003E-2</v>
      </c>
      <c r="S3673">
        <v>3.0697779999999999</v>
      </c>
      <c r="T3673">
        <v>-0.2125002</v>
      </c>
      <c r="U3673">
        <v>-0.28051759999999998</v>
      </c>
      <c r="V3673">
        <v>4.7259799999999998E-2</v>
      </c>
      <c r="W3673">
        <v>0.1828977</v>
      </c>
      <c r="X3673">
        <v>0.98199539999999996</v>
      </c>
      <c r="Y3673">
        <v>8.3398879999999995E-2</v>
      </c>
      <c r="Z3673">
        <v>-3.0551720000000001E-3</v>
      </c>
      <c r="AA3673">
        <v>0.99651160000000005</v>
      </c>
      <c r="AB3673">
        <v>27</v>
      </c>
      <c r="AC3673">
        <v>15.9209</v>
      </c>
      <c r="AD3673">
        <v>-1.120956375429</v>
      </c>
      <c r="AE3673">
        <v>-1.47759999999999</v>
      </c>
      <c r="AF3673">
        <v>1.35303890044478</v>
      </c>
      <c r="AG3673">
        <v>-1.120956375429</v>
      </c>
      <c r="AH3673">
        <v>15.853484308144999</v>
      </c>
      <c r="AI3673">
        <v>94.029894391055294</v>
      </c>
      <c r="AJ3673">
        <v>85.121828866431301</v>
      </c>
      <c r="AK3673">
        <v>15.950555544254</v>
      </c>
      <c r="AL3673">
        <v>79.461411781622203</v>
      </c>
      <c r="AM3673">
        <v>87.244692344978205</v>
      </c>
      <c r="AN3673">
        <v>1.00000001149124</v>
      </c>
    </row>
    <row r="3674" spans="1:40" x14ac:dyDescent="0.25">
      <c r="A3674" t="str">
        <f>"20190303162330907"</f>
        <v>20190303162330907</v>
      </c>
      <c r="B3674" t="str">
        <f>"1551601410898722"</f>
        <v>1551601410898722</v>
      </c>
      <c r="C3674" t="s">
        <v>40</v>
      </c>
      <c r="D3674">
        <v>5.4283830000000002</v>
      </c>
      <c r="E3674">
        <v>0.51652029999999904</v>
      </c>
      <c r="F3674" t="s">
        <v>47</v>
      </c>
      <c r="G3674">
        <v>-219.47819999999999</v>
      </c>
      <c r="H3674" s="1">
        <v>3.547764E-6</v>
      </c>
      <c r="I3674">
        <v>213.68469999999999</v>
      </c>
      <c r="J3674">
        <v>-235.27260000000001</v>
      </c>
      <c r="K3674">
        <v>1.120965</v>
      </c>
      <c r="L3674">
        <v>215.16589999999999</v>
      </c>
      <c r="M3674">
        <v>0.99987429999999999</v>
      </c>
      <c r="N3674">
        <v>-1.3987869999999999E-2</v>
      </c>
      <c r="O3674">
        <v>-7.4623629999999996E-3</v>
      </c>
      <c r="P3674">
        <v>0.98415819999999998</v>
      </c>
      <c r="Q3674">
        <v>0.16854949999999999</v>
      </c>
      <c r="R3674">
        <v>-5.4987649999999999E-2</v>
      </c>
      <c r="S3674">
        <v>3.0696409999999998</v>
      </c>
      <c r="T3674">
        <v>-0.2141796</v>
      </c>
      <c r="U3674">
        <v>-0.28340149999999997</v>
      </c>
      <c r="V3674">
        <v>4.7667750000000002E-2</v>
      </c>
      <c r="W3674">
        <v>0.18229809999999999</v>
      </c>
      <c r="X3674">
        <v>0.98208709999999999</v>
      </c>
      <c r="Y3674">
        <v>8.4266240000000006E-2</v>
      </c>
      <c r="Z3674">
        <v>-3.1066639999999999E-3</v>
      </c>
      <c r="AA3674">
        <v>0.99643839999999995</v>
      </c>
      <c r="AB3674">
        <v>27</v>
      </c>
      <c r="AC3674">
        <v>15.7944</v>
      </c>
      <c r="AD3674">
        <v>-1.1209614522360001</v>
      </c>
      <c r="AE3674">
        <v>-1.4812000000000001</v>
      </c>
      <c r="AF3674">
        <v>1.35651044497728</v>
      </c>
      <c r="AG3674">
        <v>-1.1209614522360001</v>
      </c>
      <c r="AH3674">
        <v>15.726490165368199</v>
      </c>
      <c r="AI3674">
        <v>94.062032533314394</v>
      </c>
      <c r="AJ3674">
        <v>85.070074581202107</v>
      </c>
      <c r="AK3674">
        <v>15.8246380080605</v>
      </c>
      <c r="AL3674">
        <v>79.496353047398003</v>
      </c>
      <c r="AM3674">
        <v>87.221204537661094</v>
      </c>
      <c r="AN3674">
        <v>0.99999994182003904</v>
      </c>
    </row>
    <row r="3675" spans="1:40" x14ac:dyDescent="0.25">
      <c r="A3675" t="str">
        <f>"20190303162330929"</f>
        <v>20190303162330929</v>
      </c>
      <c r="B3675" t="str">
        <f>"1551601410918241"</f>
        <v>1551601410918241</v>
      </c>
      <c r="C3675" t="s">
        <v>40</v>
      </c>
      <c r="D3675">
        <v>5.5164239999999998</v>
      </c>
      <c r="E3675">
        <v>0.51671060000000002</v>
      </c>
      <c r="F3675" t="s">
        <v>47</v>
      </c>
      <c r="G3675">
        <v>-219.3742</v>
      </c>
      <c r="H3675" s="1">
        <v>3.4922900000000002E-6</v>
      </c>
      <c r="I3675">
        <v>213.6876</v>
      </c>
      <c r="J3675">
        <v>-235.0129</v>
      </c>
      <c r="K3675">
        <v>1.1209639999999901</v>
      </c>
      <c r="L3675">
        <v>215.16380000000001</v>
      </c>
      <c r="M3675">
        <v>0.99987400000000004</v>
      </c>
      <c r="N3675">
        <v>-1.398517E-2</v>
      </c>
      <c r="O3675">
        <v>-7.5193209999999998E-3</v>
      </c>
      <c r="P3675">
        <v>0.98414619999999997</v>
      </c>
      <c r="Q3675">
        <v>0.1684242</v>
      </c>
      <c r="R3675">
        <v>-5.5583479999999998E-2</v>
      </c>
      <c r="S3675">
        <v>3.0694270000000001</v>
      </c>
      <c r="T3675">
        <v>-0.21641840000000001</v>
      </c>
      <c r="U3675">
        <v>-0.2854004</v>
      </c>
      <c r="V3675">
        <v>4.8207260000000002E-2</v>
      </c>
      <c r="W3675">
        <v>0.18216959999999999</v>
      </c>
      <c r="X3675">
        <v>0.98208459999999997</v>
      </c>
      <c r="Y3675">
        <v>8.485318E-2</v>
      </c>
      <c r="Z3675">
        <v>-3.1533289999999999E-3</v>
      </c>
      <c r="AA3675">
        <v>0.99638850000000001</v>
      </c>
      <c r="AB3675">
        <v>27</v>
      </c>
      <c r="AC3675">
        <v>15.6387</v>
      </c>
      <c r="AD3675">
        <v>-1.12096050770999</v>
      </c>
      <c r="AE3675">
        <v>-1.4762</v>
      </c>
      <c r="AF3675">
        <v>1.3516710429460099</v>
      </c>
      <c r="AG3675">
        <v>-1.12096050770999</v>
      </c>
      <c r="AH3675">
        <v>15.570069103077</v>
      </c>
      <c r="AI3675">
        <v>94.102503527306297</v>
      </c>
      <c r="AJ3675">
        <v>85.038469667908601</v>
      </c>
      <c r="AK3675">
        <v>15.668778476409001</v>
      </c>
      <c r="AL3675">
        <v>79.503840837764599</v>
      </c>
      <c r="AM3675">
        <v>87.189796748566593</v>
      </c>
      <c r="AN3675">
        <v>0.99999993231901096</v>
      </c>
    </row>
    <row r="3676" spans="1:40" x14ac:dyDescent="0.25">
      <c r="A3676" t="str">
        <f>"20190303162330973"</f>
        <v>20190303162330973</v>
      </c>
      <c r="B3676" t="str">
        <f>"1551601410968017"</f>
        <v>1551601410968017</v>
      </c>
      <c r="C3676" t="s">
        <v>40</v>
      </c>
      <c r="D3676">
        <v>5.5125449999999896</v>
      </c>
      <c r="E3676">
        <v>0.51700619999999997</v>
      </c>
      <c r="F3676" t="s">
        <v>47</v>
      </c>
      <c r="G3676">
        <v>-219.20230000000001</v>
      </c>
      <c r="H3676" s="1">
        <v>3.401178E-6</v>
      </c>
      <c r="I3676">
        <v>213.6788</v>
      </c>
      <c r="J3676">
        <v>-234.4966</v>
      </c>
      <c r="K3676">
        <v>1.120959</v>
      </c>
      <c r="L3676">
        <v>215.15979999999999</v>
      </c>
      <c r="M3676">
        <v>0.99987320000000002</v>
      </c>
      <c r="N3676">
        <v>-1.3979760000000001E-2</v>
      </c>
      <c r="O3676">
        <v>-7.6325209999999998E-3</v>
      </c>
      <c r="P3676">
        <v>0.98406550000000004</v>
      </c>
      <c r="Q3676">
        <v>0.1685219</v>
      </c>
      <c r="R3676">
        <v>-5.6706800000000002E-2</v>
      </c>
      <c r="S3676">
        <v>3.0693049999999999</v>
      </c>
      <c r="T3676">
        <v>-0.2176111</v>
      </c>
      <c r="U3676">
        <v>-0.28828429999999999</v>
      </c>
      <c r="V3676">
        <v>4.9219649999999997E-2</v>
      </c>
      <c r="W3676">
        <v>0.18226110000000001</v>
      </c>
      <c r="X3676">
        <v>0.98201749999999999</v>
      </c>
      <c r="Y3676">
        <v>8.5667489999999999E-2</v>
      </c>
      <c r="Z3676">
        <v>-3.1946240000000001E-3</v>
      </c>
      <c r="AA3676">
        <v>0.99631860000000005</v>
      </c>
      <c r="AB3676">
        <v>26</v>
      </c>
      <c r="AC3676">
        <v>15.2942999999999</v>
      </c>
      <c r="AD3676">
        <v>-1.1209555988219999</v>
      </c>
      <c r="AE3676">
        <v>-1.4809999999999901</v>
      </c>
      <c r="AF3676">
        <v>1.35698966082036</v>
      </c>
      <c r="AG3676">
        <v>-1.1209555988219999</v>
      </c>
      <c r="AH3676">
        <v>15.2241383888739</v>
      </c>
      <c r="AI3676">
        <v>94.194527965983596</v>
      </c>
      <c r="AJ3676">
        <v>84.906453812958503</v>
      </c>
      <c r="AK3676">
        <v>15.3255457350689</v>
      </c>
      <c r="AL3676">
        <v>79.498510010924605</v>
      </c>
      <c r="AM3676">
        <v>87.130682173664198</v>
      </c>
      <c r="AN3676">
        <v>1.00000002641279</v>
      </c>
    </row>
    <row r="3677" spans="1:40" x14ac:dyDescent="0.25">
      <c r="A3677" t="str">
        <f>"20190303162330996"</f>
        <v>20190303162330996</v>
      </c>
      <c r="B3677" t="str">
        <f>"1551601410988513"</f>
        <v>1551601410988513</v>
      </c>
      <c r="C3677" t="s">
        <v>40</v>
      </c>
      <c r="D3677">
        <v>5.5806089999999999</v>
      </c>
      <c r="E3677">
        <v>0.51714490000000002</v>
      </c>
      <c r="F3677" t="s">
        <v>47</v>
      </c>
      <c r="G3677">
        <v>-218.77279999999999</v>
      </c>
      <c r="H3677" s="1">
        <v>3.1736029999999999E-6</v>
      </c>
      <c r="I3677">
        <v>213.65700000000001</v>
      </c>
      <c r="J3677">
        <v>-234.23150000000001</v>
      </c>
      <c r="K3677">
        <v>1.1209629999999999</v>
      </c>
      <c r="L3677">
        <v>215.15770000000001</v>
      </c>
      <c r="M3677">
        <v>0.99987280000000001</v>
      </c>
      <c r="N3677">
        <v>-1.397698E-2</v>
      </c>
      <c r="O3677">
        <v>-7.6906709999999996E-3</v>
      </c>
      <c r="P3677">
        <v>0.98401419999999995</v>
      </c>
      <c r="Q3677">
        <v>0.16866020000000001</v>
      </c>
      <c r="R3677">
        <v>-5.7180710000000003E-2</v>
      </c>
      <c r="S3677">
        <v>3.069153</v>
      </c>
      <c r="T3677">
        <v>-0.21880079999999999</v>
      </c>
      <c r="U3677">
        <v>-0.29333500000000001</v>
      </c>
      <c r="V3677">
        <v>4.9636769999999997E-2</v>
      </c>
      <c r="W3677">
        <v>0.18239559999999999</v>
      </c>
      <c r="X3677">
        <v>0.9819715</v>
      </c>
      <c r="Y3677">
        <v>8.7232039999999997E-2</v>
      </c>
      <c r="Z3677">
        <v>-3.2712520000000001E-3</v>
      </c>
      <c r="AA3677">
        <v>0.99618260000000003</v>
      </c>
      <c r="AB3677">
        <v>26</v>
      </c>
      <c r="AC3677">
        <v>15.4587</v>
      </c>
      <c r="AD3677">
        <v>-1.120959826397</v>
      </c>
      <c r="AE3677">
        <v>-1.5006999999999899</v>
      </c>
      <c r="AF3677">
        <v>1.37459585638919</v>
      </c>
      <c r="AG3677">
        <v>-1.120959826397</v>
      </c>
      <c r="AH3677">
        <v>15.389619600364499</v>
      </c>
      <c r="AI3677">
        <v>94.149531187342106</v>
      </c>
      <c r="AJ3677">
        <v>84.8959042065906</v>
      </c>
      <c r="AK3677">
        <v>15.491496252613</v>
      </c>
      <c r="AL3677">
        <v>79.490672021140895</v>
      </c>
      <c r="AM3677">
        <v>87.106271502609601</v>
      </c>
      <c r="AN3677">
        <v>0.999999995323821</v>
      </c>
    </row>
    <row r="3678" spans="1:40" x14ac:dyDescent="0.25">
      <c r="A3678" t="str">
        <f>"20190303162331017"</f>
        <v>20190303162331017</v>
      </c>
      <c r="B3678" t="str">
        <f>"1551601411008033"</f>
        <v>1551601411008033</v>
      </c>
      <c r="C3678" t="s">
        <v>40</v>
      </c>
      <c r="D3678">
        <v>5.4926789999999999</v>
      </c>
      <c r="E3678">
        <v>0.51728039999999997</v>
      </c>
      <c r="F3678" t="s">
        <v>47</v>
      </c>
      <c r="G3678">
        <v>-218.54150000000001</v>
      </c>
      <c r="H3678" s="1">
        <v>3.0510320000000001E-6</v>
      </c>
      <c r="I3678">
        <v>213.64449999999999</v>
      </c>
      <c r="J3678">
        <v>-233.97030000000001</v>
      </c>
      <c r="K3678">
        <v>1.1209610000000001</v>
      </c>
      <c r="L3678">
        <v>215.15559999999999</v>
      </c>
      <c r="M3678">
        <v>0.99987239999999999</v>
      </c>
      <c r="N3678">
        <v>-1.3974179999999999E-2</v>
      </c>
      <c r="O3678">
        <v>-7.7481049999999999E-3</v>
      </c>
      <c r="P3678">
        <v>0.98392190000000002</v>
      </c>
      <c r="Q3678">
        <v>0.1692139</v>
      </c>
      <c r="R3678">
        <v>-5.7136279999999998E-2</v>
      </c>
      <c r="S3678">
        <v>3.0691380000000001</v>
      </c>
      <c r="T3678">
        <v>-0.21927150000000001</v>
      </c>
      <c r="U3678">
        <v>-0.29598999999999998</v>
      </c>
      <c r="V3678">
        <v>4.9536469999999999E-2</v>
      </c>
      <c r="W3678">
        <v>0.18294550000000001</v>
      </c>
      <c r="X3678">
        <v>0.98187429999999998</v>
      </c>
      <c r="Y3678">
        <v>8.8025889999999996E-2</v>
      </c>
      <c r="Z3678">
        <v>-3.3070550000000002E-3</v>
      </c>
      <c r="AA3678">
        <v>0.99611269999999996</v>
      </c>
      <c r="AB3678">
        <v>26</v>
      </c>
      <c r="AC3678">
        <v>15.428799999999899</v>
      </c>
      <c r="AD3678">
        <v>-1.1209579489679999</v>
      </c>
      <c r="AE3678">
        <v>-1.5110999999999899</v>
      </c>
      <c r="AF3678">
        <v>1.3842615388397901</v>
      </c>
      <c r="AG3678">
        <v>-1.1209579489679999</v>
      </c>
      <c r="AH3678">
        <v>15.359739316015499</v>
      </c>
      <c r="AI3678">
        <v>94.157272208768802</v>
      </c>
      <c r="AJ3678">
        <v>84.850260479911</v>
      </c>
      <c r="AK3678">
        <v>15.4626750139559</v>
      </c>
      <c r="AL3678">
        <v>79.458626232101295</v>
      </c>
      <c r="AM3678">
        <v>87.111823491119395</v>
      </c>
      <c r="AN3678">
        <v>1.0000000294153999</v>
      </c>
    </row>
    <row r="3679" spans="1:40" x14ac:dyDescent="0.25">
      <c r="A3679" t="str">
        <f>"20190303162331041"</f>
        <v>20190303162331041</v>
      </c>
      <c r="B3679" t="str">
        <f>"1551601411028471"</f>
        <v>1551601411028471</v>
      </c>
      <c r="C3679" t="s">
        <v>40</v>
      </c>
      <c r="D3679">
        <v>5.5276269999999998</v>
      </c>
      <c r="E3679">
        <v>0.5175168</v>
      </c>
      <c r="F3679" t="s">
        <v>47</v>
      </c>
      <c r="G3679">
        <v>-218.20140000000001</v>
      </c>
      <c r="H3679" s="1">
        <v>2.870697E-6</v>
      </c>
      <c r="I3679">
        <v>213.63050000000001</v>
      </c>
      <c r="J3679">
        <v>-233.70400000000001</v>
      </c>
      <c r="K3679">
        <v>1.120968</v>
      </c>
      <c r="L3679">
        <v>215.15350000000001</v>
      </c>
      <c r="M3679">
        <v>0.99987199999999998</v>
      </c>
      <c r="N3679">
        <v>-1.397135E-2</v>
      </c>
      <c r="O3679">
        <v>-7.8062540000000003E-3</v>
      </c>
      <c r="P3679">
        <v>0.98380509999999999</v>
      </c>
      <c r="Q3679">
        <v>0.17003450000000001</v>
      </c>
      <c r="R3679">
        <v>-5.670832E-2</v>
      </c>
      <c r="S3679">
        <v>3.069321</v>
      </c>
      <c r="T3679">
        <v>-0.21818760000000001</v>
      </c>
      <c r="U3679">
        <v>-0.29684450000000001</v>
      </c>
      <c r="V3679">
        <v>4.9052310000000002E-2</v>
      </c>
      <c r="W3679">
        <v>0.18376210000000001</v>
      </c>
      <c r="X3679">
        <v>0.98174609999999995</v>
      </c>
      <c r="Y3679">
        <v>8.8238789999999998E-2</v>
      </c>
      <c r="Z3679">
        <v>-3.2997159999999998E-3</v>
      </c>
      <c r="AA3679">
        <v>0.99609389999999998</v>
      </c>
      <c r="AB3679">
        <v>26</v>
      </c>
      <c r="AC3679">
        <v>15.502599999999999</v>
      </c>
      <c r="AD3679">
        <v>-1.1209651293030001</v>
      </c>
      <c r="AE3679">
        <v>-1.5229999999999899</v>
      </c>
      <c r="AF3679">
        <v>1.3947020897459199</v>
      </c>
      <c r="AG3679">
        <v>-1.1209651293030001</v>
      </c>
      <c r="AH3679">
        <v>15.4340922504456</v>
      </c>
      <c r="AI3679">
        <v>94.137251466321302</v>
      </c>
      <c r="AJ3679">
        <v>84.836489928401804</v>
      </c>
      <c r="AK3679">
        <v>15.5374695602443</v>
      </c>
      <c r="AL3679">
        <v>79.411031543895504</v>
      </c>
      <c r="AM3679">
        <v>87.139632030970205</v>
      </c>
      <c r="AN3679">
        <v>1.00000002168897</v>
      </c>
    </row>
    <row r="3680" spans="1:40" x14ac:dyDescent="0.25">
      <c r="A3680" t="str">
        <f>"20190303162331064"</f>
        <v>20190303162331064</v>
      </c>
      <c r="B3680" t="str">
        <f>"1551601411058727"</f>
        <v>1551601411058727</v>
      </c>
      <c r="C3680" t="s">
        <v>40</v>
      </c>
      <c r="D3680">
        <v>5.5430900000000003</v>
      </c>
      <c r="E3680">
        <v>0.52021519999999999</v>
      </c>
      <c r="F3680" t="s">
        <v>47</v>
      </c>
      <c r="G3680">
        <v>-217.80410000000001</v>
      </c>
      <c r="H3680" s="1">
        <v>2.6599149999999999E-6</v>
      </c>
      <c r="I3680">
        <v>213.61490000000001</v>
      </c>
      <c r="J3680">
        <v>-233.4365</v>
      </c>
      <c r="K3680">
        <v>1.1209709999999999</v>
      </c>
      <c r="L3680">
        <v>215.15129999999999</v>
      </c>
      <c r="M3680">
        <v>0.99987159999999997</v>
      </c>
      <c r="N3680">
        <v>-1.396852E-2</v>
      </c>
      <c r="O3680">
        <v>-7.8646440000000005E-3</v>
      </c>
      <c r="P3680">
        <v>0.98375389999999996</v>
      </c>
      <c r="Q3680">
        <v>0.17050479999999901</v>
      </c>
      <c r="R3680">
        <v>-5.618397E-2</v>
      </c>
      <c r="S3680">
        <v>3.0696720000000002</v>
      </c>
      <c r="T3680">
        <v>-0.2164153</v>
      </c>
      <c r="U3680">
        <v>-0.2970428</v>
      </c>
      <c r="V3680">
        <v>4.8470880000000001E-2</v>
      </c>
      <c r="W3680">
        <v>0.18422849999999999</v>
      </c>
      <c r="X3680">
        <v>0.98168750000000005</v>
      </c>
      <c r="Y3680">
        <v>8.8237309999999999E-2</v>
      </c>
      <c r="Z3680">
        <v>-3.2750679999999999E-3</v>
      </c>
      <c r="AA3680">
        <v>0.99609409999999998</v>
      </c>
      <c r="AB3680">
        <v>26</v>
      </c>
      <c r="AC3680">
        <v>15.632399999999899</v>
      </c>
      <c r="AD3680">
        <v>-1.1209683400849999</v>
      </c>
      <c r="AE3680">
        <v>-1.53639999999998</v>
      </c>
      <c r="AF3680">
        <v>1.4062354908232999</v>
      </c>
      <c r="AG3680">
        <v>-1.1209683400849999</v>
      </c>
      <c r="AH3680">
        <v>15.564732102750201</v>
      </c>
      <c r="AI3680">
        <v>94.102663356477095</v>
      </c>
      <c r="AJ3680">
        <v>84.837482619897997</v>
      </c>
      <c r="AK3680">
        <v>15.6682785814367</v>
      </c>
      <c r="AL3680">
        <v>79.383843939583002</v>
      </c>
      <c r="AM3680">
        <v>87.173312968408197</v>
      </c>
      <c r="AN3680">
        <v>0.99999995703823596</v>
      </c>
    </row>
    <row r="3681" spans="1:40" x14ac:dyDescent="0.25">
      <c r="A3681" t="str">
        <f>"20190303162331087"</f>
        <v>20190303162331087</v>
      </c>
      <c r="B3681" t="str">
        <f>"1551601411078247"</f>
        <v>1551601411078247</v>
      </c>
      <c r="C3681" t="s">
        <v>40</v>
      </c>
      <c r="D3681">
        <v>5.5144310000000001</v>
      </c>
      <c r="E3681">
        <v>0.51949480000000003</v>
      </c>
      <c r="F3681" t="s">
        <v>42</v>
      </c>
      <c r="G3681">
        <v>-232.5059</v>
      </c>
      <c r="H3681">
        <v>0.99386759999999996</v>
      </c>
      <c r="I3681">
        <v>215.0575</v>
      </c>
      <c r="J3681">
        <v>-233.17400000000001</v>
      </c>
      <c r="K3681">
        <v>1.120968</v>
      </c>
      <c r="L3681">
        <v>215.14920000000001</v>
      </c>
      <c r="M3681">
        <v>0.99987119999999996</v>
      </c>
      <c r="N3681">
        <v>-1.3965760000000001E-2</v>
      </c>
      <c r="O3681">
        <v>-7.9223160000000004E-3</v>
      </c>
      <c r="P3681">
        <v>0.98365009999999997</v>
      </c>
      <c r="Q3681">
        <v>0.1710411</v>
      </c>
      <c r="R3681">
        <v>-5.6370919999999998E-2</v>
      </c>
      <c r="S3681">
        <v>3.1051639999999998</v>
      </c>
      <c r="T3681">
        <v>-0.42411949999999998</v>
      </c>
      <c r="U3681">
        <v>-0.31317139999999999</v>
      </c>
      <c r="V3681">
        <v>4.8601789999999999E-2</v>
      </c>
      <c r="W3681">
        <v>0.18476090000000001</v>
      </c>
      <c r="X3681">
        <v>0.98158100000000004</v>
      </c>
      <c r="Y3681">
        <v>9.1589130000000005E-2</v>
      </c>
      <c r="Z3681">
        <v>-5.8905149999999998E-3</v>
      </c>
      <c r="AA3681">
        <v>0.99577950000000004</v>
      </c>
      <c r="AB3681">
        <v>26</v>
      </c>
      <c r="AC3681">
        <v>0.66810000000000902</v>
      </c>
      <c r="AD3681">
        <v>-0.1271004</v>
      </c>
      <c r="AE3681">
        <v>-9.1700000000003001E-2</v>
      </c>
      <c r="AF3681">
        <v>8.3439707130714399E-2</v>
      </c>
      <c r="AG3681">
        <v>-0.1271004</v>
      </c>
      <c r="AH3681">
        <v>0.64586281725730599</v>
      </c>
      <c r="AI3681">
        <v>101.043572973392</v>
      </c>
      <c r="AJ3681">
        <v>82.638670696132294</v>
      </c>
      <c r="AK3681">
        <v>0.663517501744878</v>
      </c>
      <c r="AL3681">
        <v>79.352807242252098</v>
      </c>
      <c r="AM3681">
        <v>87.165384076140995</v>
      </c>
      <c r="AN3681">
        <v>0.99999999186050703</v>
      </c>
    </row>
    <row r="3682" spans="1:40" x14ac:dyDescent="0.25">
      <c r="A3682" t="str">
        <f>"20190303162331110"</f>
        <v>20190303162331110</v>
      </c>
      <c r="B3682" t="str">
        <f>"1551601411098742"</f>
        <v>1551601411098742</v>
      </c>
      <c r="C3682" t="s">
        <v>40</v>
      </c>
      <c r="D3682">
        <v>5.5342469999999997</v>
      </c>
      <c r="E3682">
        <v>0.52002910000000002</v>
      </c>
      <c r="F3682" t="s">
        <v>42</v>
      </c>
      <c r="G3682">
        <v>-232.28749999999999</v>
      </c>
      <c r="H3682">
        <v>0.96156439999999999</v>
      </c>
      <c r="I3682">
        <v>215.0625</v>
      </c>
      <c r="J3682">
        <v>-232.88730000000001</v>
      </c>
      <c r="K3682">
        <v>1.1209769999999999</v>
      </c>
      <c r="L3682">
        <v>215.14689999999999</v>
      </c>
      <c r="M3682">
        <v>0.99987060000000005</v>
      </c>
      <c r="N3682">
        <v>-1.396274E-2</v>
      </c>
      <c r="O3682">
        <v>-7.9848760000000001E-3</v>
      </c>
      <c r="P3682">
        <v>0.98360939999999997</v>
      </c>
      <c r="Q3682">
        <v>0.1711974</v>
      </c>
      <c r="R3682">
        <v>-5.6602199999999901E-2</v>
      </c>
      <c r="S3682">
        <v>3.1302949999999998</v>
      </c>
      <c r="T3682">
        <v>-0.56294369999999905</v>
      </c>
      <c r="U3682">
        <v>-0.3053131</v>
      </c>
      <c r="V3682">
        <v>4.8772019999999999E-2</v>
      </c>
      <c r="W3682">
        <v>0.18491360000000001</v>
      </c>
      <c r="X3682">
        <v>0.98154379999999997</v>
      </c>
      <c r="Y3682">
        <v>8.7726470000000001E-2</v>
      </c>
      <c r="Z3682">
        <v>-7.1158549999999999E-3</v>
      </c>
      <c r="AA3682">
        <v>0.99611919999999998</v>
      </c>
      <c r="AB3682">
        <v>26</v>
      </c>
      <c r="AC3682">
        <v>0.59980000000001599</v>
      </c>
      <c r="AD3682">
        <v>-0.15941259999999999</v>
      </c>
      <c r="AE3682">
        <v>-8.4399999999987999E-2</v>
      </c>
      <c r="AF3682">
        <v>7.4450648691973195E-2</v>
      </c>
      <c r="AG3682">
        <v>-0.15941259999999999</v>
      </c>
      <c r="AH3682">
        <v>0.56155822976379899</v>
      </c>
      <c r="AI3682">
        <v>105.717293078795</v>
      </c>
      <c r="AJ3682">
        <v>82.447844033622403</v>
      </c>
      <c r="AK3682">
        <v>0.588475081498671</v>
      </c>
      <c r="AL3682">
        <v>79.343904763401795</v>
      </c>
      <c r="AM3682">
        <v>87.155364352343696</v>
      </c>
      <c r="AN3682">
        <v>0.99999999035914</v>
      </c>
    </row>
    <row r="3683" spans="1:40" x14ac:dyDescent="0.25">
      <c r="A3683" t="str">
        <f>"20190303162331136"</f>
        <v>20190303162331136</v>
      </c>
      <c r="B3683" t="str">
        <f>"1551601411129506"</f>
        <v>1551601411129506</v>
      </c>
      <c r="C3683" t="s">
        <v>40</v>
      </c>
      <c r="D3683">
        <v>5.5617660000000004</v>
      </c>
      <c r="E3683">
        <v>0.52060779999999995</v>
      </c>
      <c r="F3683" t="s">
        <v>42</v>
      </c>
      <c r="G3683">
        <v>-232.05850000000001</v>
      </c>
      <c r="H3683">
        <v>0.95130669999999995</v>
      </c>
      <c r="I3683">
        <v>215.06530000000001</v>
      </c>
      <c r="J3683">
        <v>-232.5907</v>
      </c>
      <c r="K3683">
        <v>1.1209819999999999</v>
      </c>
      <c r="L3683">
        <v>215.14439999999999</v>
      </c>
      <c r="M3683">
        <v>0.99987020000000004</v>
      </c>
      <c r="N3683">
        <v>-1.3959610000000001E-2</v>
      </c>
      <c r="O3683">
        <v>-8.0498180000000003E-3</v>
      </c>
      <c r="P3683">
        <v>0.98356149999999998</v>
      </c>
      <c r="Q3683">
        <v>0.17133470000000001</v>
      </c>
      <c r="R3683">
        <v>-5.7022009999999998E-2</v>
      </c>
      <c r="S3683">
        <v>3.1442570000000001</v>
      </c>
      <c r="T3683">
        <v>-0.64369639999999995</v>
      </c>
      <c r="U3683">
        <v>-0.3088379</v>
      </c>
      <c r="V3683">
        <v>4.9128070000000003E-2</v>
      </c>
      <c r="W3683">
        <v>0.1850472</v>
      </c>
      <c r="X3683">
        <v>0.98150090000000001</v>
      </c>
      <c r="Y3683">
        <v>8.7947609999999996E-2</v>
      </c>
      <c r="Z3683">
        <v>-7.9952489999999994E-3</v>
      </c>
      <c r="AA3683">
        <v>0.99609300000000001</v>
      </c>
      <c r="AB3683">
        <v>26</v>
      </c>
      <c r="AC3683">
        <v>0.53219999999998802</v>
      </c>
      <c r="AD3683">
        <v>-0.169675299999999</v>
      </c>
      <c r="AE3683">
        <v>-7.9099999999982601E-2</v>
      </c>
      <c r="AF3683">
        <v>6.8045849011027407E-2</v>
      </c>
      <c r="AG3683">
        <v>-0.169675299999999</v>
      </c>
      <c r="AH3683">
        <v>0.484624390202744</v>
      </c>
      <c r="AI3683">
        <v>109.122254113897</v>
      </c>
      <c r="AJ3683">
        <v>82.007381544544103</v>
      </c>
      <c r="AK3683">
        <v>0.51795824597847995</v>
      </c>
      <c r="AL3683">
        <v>79.336115998601898</v>
      </c>
      <c r="AM3683">
        <v>87.134507131065803</v>
      </c>
      <c r="AN3683">
        <v>1.0000000250952801</v>
      </c>
    </row>
    <row r="3684" spans="1:40" x14ac:dyDescent="0.25">
      <c r="A3684" t="str">
        <f>"20190303162331153"</f>
        <v>20190303162331153</v>
      </c>
      <c r="B3684" t="str">
        <f>"1551601411148050"</f>
        <v>1551601411148050</v>
      </c>
      <c r="C3684" t="s">
        <v>40</v>
      </c>
      <c r="D3684">
        <v>5.5489879999999996</v>
      </c>
      <c r="E3684">
        <v>0.52075830000000001</v>
      </c>
      <c r="F3684" t="s">
        <v>42</v>
      </c>
      <c r="G3684">
        <v>-231.82490000000001</v>
      </c>
      <c r="H3684">
        <v>0.95087770000000005</v>
      </c>
      <c r="I3684">
        <v>215.06809999999999</v>
      </c>
      <c r="J3684">
        <v>-232.38239999999999</v>
      </c>
      <c r="K3684">
        <v>1.1209849999999999</v>
      </c>
      <c r="L3684">
        <v>215.14269999999999</v>
      </c>
      <c r="M3684">
        <v>0.99986980000000003</v>
      </c>
      <c r="N3684">
        <v>-1.3957399999999899E-2</v>
      </c>
      <c r="O3684">
        <v>-8.0955739999999995E-3</v>
      </c>
      <c r="P3684">
        <v>0.98354549999999996</v>
      </c>
      <c r="Q3684">
        <v>0.17113299999999901</v>
      </c>
      <c r="R3684">
        <v>-5.789648E-2</v>
      </c>
      <c r="S3684">
        <v>3.1539609999999998</v>
      </c>
      <c r="T3684">
        <v>-0.70060519999999904</v>
      </c>
      <c r="U3684">
        <v>-0.31420900000000002</v>
      </c>
      <c r="V3684">
        <v>4.9957479999999999E-2</v>
      </c>
      <c r="W3684">
        <v>0.1848429</v>
      </c>
      <c r="X3684">
        <v>0.98149750000000002</v>
      </c>
      <c r="Y3684">
        <v>8.8958540000000003E-2</v>
      </c>
      <c r="Z3684">
        <v>-8.7076849999999997E-3</v>
      </c>
      <c r="AA3684">
        <v>0.99599729999999997</v>
      </c>
      <c r="AB3684">
        <v>26</v>
      </c>
      <c r="AC3684">
        <v>0.55749999999997601</v>
      </c>
      <c r="AD3684">
        <v>-0.17010729999999999</v>
      </c>
      <c r="AE3684">
        <v>-7.4600000000003705E-2</v>
      </c>
      <c r="AF3684">
        <v>6.42108701394737E-2</v>
      </c>
      <c r="AG3684">
        <v>-0.17010729999999999</v>
      </c>
      <c r="AH3684">
        <v>0.51131863208208095</v>
      </c>
      <c r="AI3684">
        <v>108.267589403562</v>
      </c>
      <c r="AJ3684">
        <v>82.842323462345107</v>
      </c>
      <c r="AK3684">
        <v>0.54268432156424895</v>
      </c>
      <c r="AL3684">
        <v>79.348026680116504</v>
      </c>
      <c r="AM3684">
        <v>87.086202735620901</v>
      </c>
      <c r="AN3684">
        <v>0.99999999499730496</v>
      </c>
    </row>
    <row r="3685" spans="1:40" x14ac:dyDescent="0.25">
      <c r="A3685" t="str">
        <f>"20190303162331175"</f>
        <v>20190303162331175</v>
      </c>
      <c r="B3685" t="str">
        <f>"1551601411168545"</f>
        <v>1551601411168545</v>
      </c>
      <c r="C3685" t="s">
        <v>40</v>
      </c>
      <c r="D3685">
        <v>5.5442349999999996</v>
      </c>
      <c r="E3685">
        <v>0.52108999999999905</v>
      </c>
      <c r="F3685" t="s">
        <v>42</v>
      </c>
      <c r="G3685">
        <v>-231.5959</v>
      </c>
      <c r="H3685">
        <v>0.94169939999999996</v>
      </c>
      <c r="I3685">
        <v>215.0633</v>
      </c>
      <c r="J3685">
        <v>-232.13040000000001</v>
      </c>
      <c r="K3685">
        <v>1.120986</v>
      </c>
      <c r="L3685">
        <v>215.14060000000001</v>
      </c>
      <c r="M3685">
        <v>0.99986940000000002</v>
      </c>
      <c r="N3685">
        <v>-1.395477E-2</v>
      </c>
      <c r="O3685">
        <v>-8.1508650000000002E-3</v>
      </c>
      <c r="P3685">
        <v>0.98359779999999997</v>
      </c>
      <c r="Q3685">
        <v>0.1705564</v>
      </c>
      <c r="R3685">
        <v>-5.8703159999999997E-2</v>
      </c>
      <c r="S3685">
        <v>3.1566770000000002</v>
      </c>
      <c r="T3685">
        <v>-0.71962760000000003</v>
      </c>
      <c r="U3685">
        <v>-0.31851200000000002</v>
      </c>
      <c r="V3685">
        <v>5.0709190000000001E-2</v>
      </c>
      <c r="W3685">
        <v>0.1842645</v>
      </c>
      <c r="X3685">
        <v>0.98156770000000004</v>
      </c>
      <c r="Y3685">
        <v>9.0028780000000003E-2</v>
      </c>
      <c r="Z3685">
        <v>-9.0276049999999993E-3</v>
      </c>
      <c r="AA3685">
        <v>0.99589819999999996</v>
      </c>
      <c r="AB3685">
        <v>26</v>
      </c>
      <c r="AC3685">
        <v>0.53450000000000797</v>
      </c>
      <c r="AD3685">
        <v>-0.17928659999999899</v>
      </c>
      <c r="AE3685">
        <v>-7.7300000000008098E-2</v>
      </c>
      <c r="AF3685">
        <v>6.5699772527749306E-2</v>
      </c>
      <c r="AG3685">
        <v>-0.17928659999999899</v>
      </c>
      <c r="AH3685">
        <v>0.48199317582867202</v>
      </c>
      <c r="AI3685">
        <v>110.23191877267701</v>
      </c>
      <c r="AJ3685">
        <v>82.237934746965706</v>
      </c>
      <c r="AK3685">
        <v>0.51843762073673505</v>
      </c>
      <c r="AL3685">
        <v>79.381745705092797</v>
      </c>
      <c r="AM3685">
        <v>87.042647250068697</v>
      </c>
      <c r="AN3685">
        <v>0.99999998879699803</v>
      </c>
    </row>
    <row r="3686" spans="1:40" x14ac:dyDescent="0.25">
      <c r="A3686" t="str">
        <f>"20190303162331197"</f>
        <v>20190303162331197</v>
      </c>
      <c r="B3686" t="str">
        <f>"1551601411188066"</f>
        <v>1551601411188066</v>
      </c>
      <c r="C3686" t="s">
        <v>40</v>
      </c>
      <c r="D3686">
        <v>5.5782249999999998</v>
      </c>
      <c r="E3686">
        <v>0.52109269999999996</v>
      </c>
      <c r="F3686" t="s">
        <v>42</v>
      </c>
      <c r="G3686">
        <v>-231.3623</v>
      </c>
      <c r="H3686">
        <v>0.94248310000000002</v>
      </c>
      <c r="I3686">
        <v>215.0617</v>
      </c>
      <c r="J3686">
        <v>-231.87459999999999</v>
      </c>
      <c r="K3686">
        <v>1.120981</v>
      </c>
      <c r="L3686">
        <v>215.13839999999999</v>
      </c>
      <c r="M3686">
        <v>0.99986900000000001</v>
      </c>
      <c r="N3686">
        <v>-1.395215E-2</v>
      </c>
      <c r="O3686">
        <v>-8.2072280000000004E-3</v>
      </c>
      <c r="P3686">
        <v>0.9835545</v>
      </c>
      <c r="Q3686">
        <v>0.17042579999999999</v>
      </c>
      <c r="R3686">
        <v>-5.9799600000000001E-2</v>
      </c>
      <c r="S3686">
        <v>3.1579899999999999</v>
      </c>
      <c r="T3686">
        <v>-0.7339717</v>
      </c>
      <c r="U3686">
        <v>-0.32344060000000002</v>
      </c>
      <c r="V3686">
        <v>5.1750360000000002E-2</v>
      </c>
      <c r="W3686">
        <v>0.18413099999999999</v>
      </c>
      <c r="X3686">
        <v>0.98153840000000003</v>
      </c>
      <c r="Y3686">
        <v>9.1350120000000007E-2</v>
      </c>
      <c r="Z3686">
        <v>-9.3329050000000007E-3</v>
      </c>
      <c r="AA3686">
        <v>0.99577510000000002</v>
      </c>
      <c r="AB3686">
        <v>26</v>
      </c>
      <c r="AC3686">
        <v>0.51229999999998199</v>
      </c>
      <c r="AD3686">
        <v>-0.17849789999999999</v>
      </c>
      <c r="AE3686">
        <v>-7.6699999999988194E-2</v>
      </c>
      <c r="AF3686">
        <v>6.4798402604528099E-2</v>
      </c>
      <c r="AG3686">
        <v>-0.17849789999999999</v>
      </c>
      <c r="AH3686">
        <v>0.45847395533270702</v>
      </c>
      <c r="AI3686">
        <v>111.08161452286799</v>
      </c>
      <c r="AJ3686">
        <v>81.955385613539505</v>
      </c>
      <c r="AK3686">
        <v>0.49624459795843201</v>
      </c>
      <c r="AL3686">
        <v>79.389527732389595</v>
      </c>
      <c r="AM3686">
        <v>86.981947565354204</v>
      </c>
      <c r="AN3686">
        <v>0.999999977797844</v>
      </c>
    </row>
    <row r="3687" spans="1:40" x14ac:dyDescent="0.25">
      <c r="A3687" t="str">
        <f>"20190303162331219"</f>
        <v>20190303162331219</v>
      </c>
      <c r="B3687" t="str">
        <f>"1551601411208563"</f>
        <v>1551601411208563</v>
      </c>
      <c r="C3687" t="s">
        <v>40</v>
      </c>
      <c r="D3687">
        <v>5.6047379999999896</v>
      </c>
      <c r="E3687">
        <v>0.52115080000000003</v>
      </c>
      <c r="F3687" t="s">
        <v>42</v>
      </c>
      <c r="G3687">
        <v>-231.12809999999999</v>
      </c>
      <c r="H3687">
        <v>0.94503899999999996</v>
      </c>
      <c r="I3687">
        <v>215.06139999999999</v>
      </c>
      <c r="J3687">
        <v>-231.6207</v>
      </c>
      <c r="K3687">
        <v>1.1209739999999999</v>
      </c>
      <c r="L3687">
        <v>215.13630000000001</v>
      </c>
      <c r="M3687">
        <v>0.9998686</v>
      </c>
      <c r="N3687">
        <v>-1.394957E-2</v>
      </c>
      <c r="O3687">
        <v>-8.2627580000000003E-3</v>
      </c>
      <c r="P3687">
        <v>0.98347470000000003</v>
      </c>
      <c r="Q3687">
        <v>0.1707391</v>
      </c>
      <c r="R3687">
        <v>-6.021431E-2</v>
      </c>
      <c r="S3687">
        <v>3.1593629999999999</v>
      </c>
      <c r="T3687">
        <v>-0.74456330000000004</v>
      </c>
      <c r="U3687">
        <v>-0.32608029999999999</v>
      </c>
      <c r="V3687">
        <v>5.2111339999999999E-2</v>
      </c>
      <c r="W3687">
        <v>0.1844403</v>
      </c>
      <c r="X3687">
        <v>0.98146120000000003</v>
      </c>
      <c r="Y3687">
        <v>9.1993850000000002E-2</v>
      </c>
      <c r="Z3687">
        <v>-9.5165070000000004E-3</v>
      </c>
      <c r="AA3687">
        <v>0.99571410000000005</v>
      </c>
      <c r="AB3687">
        <v>26</v>
      </c>
      <c r="AC3687">
        <v>0.49260000000000997</v>
      </c>
      <c r="AD3687">
        <v>-0.17593499999999901</v>
      </c>
      <c r="AE3687">
        <v>-7.4900000000013706E-2</v>
      </c>
      <c r="AF3687">
        <v>6.2975198176999203E-2</v>
      </c>
      <c r="AG3687">
        <v>-0.17593499999999901</v>
      </c>
      <c r="AH3687">
        <v>0.43852745041810898</v>
      </c>
      <c r="AI3687">
        <v>111.65906610063701</v>
      </c>
      <c r="AJ3687">
        <v>81.827850617291205</v>
      </c>
      <c r="AK3687">
        <v>0.47668157566727898</v>
      </c>
      <c r="AL3687">
        <v>79.371497053709504</v>
      </c>
      <c r="AM3687">
        <v>86.960696138877793</v>
      </c>
      <c r="AN3687">
        <v>0.99999995156306098</v>
      </c>
    </row>
    <row r="3688" spans="1:40" x14ac:dyDescent="0.25">
      <c r="A3688" t="str">
        <f>"20190303162331242"</f>
        <v>20190303162331242</v>
      </c>
      <c r="B3688" t="str">
        <f>"1551601411238349"</f>
        <v>1551601411238349</v>
      </c>
      <c r="C3688" t="s">
        <v>40</v>
      </c>
      <c r="D3688">
        <v>5.5506599999999997</v>
      </c>
      <c r="E3688">
        <v>0.52347840000000001</v>
      </c>
      <c r="F3688" t="s">
        <v>42</v>
      </c>
      <c r="G3688">
        <v>-230.8938</v>
      </c>
      <c r="H3688">
        <v>0.94822879999999998</v>
      </c>
      <c r="I3688">
        <v>215.06059999999999</v>
      </c>
      <c r="J3688">
        <v>-231.34989999999999</v>
      </c>
      <c r="K3688">
        <v>1.1209709999999999</v>
      </c>
      <c r="L3688">
        <v>215.13399999999999</v>
      </c>
      <c r="M3688">
        <v>0.99986810000000004</v>
      </c>
      <c r="N3688">
        <v>-1.394684E-2</v>
      </c>
      <c r="O3688">
        <v>-8.3216269999999998E-3</v>
      </c>
      <c r="P3688">
        <v>0.9834077</v>
      </c>
      <c r="Q3688">
        <v>0.171039</v>
      </c>
      <c r="R3688">
        <v>-6.0455540000000002E-2</v>
      </c>
      <c r="S3688">
        <v>3.1606900000000002</v>
      </c>
      <c r="T3688">
        <v>-0.75111410000000001</v>
      </c>
      <c r="U3688">
        <v>-0.32847599999999999</v>
      </c>
      <c r="V3688">
        <v>5.2295389999999997E-2</v>
      </c>
      <c r="W3688">
        <v>0.1847374</v>
      </c>
      <c r="X3688">
        <v>0.98139560000000003</v>
      </c>
      <c r="Y3688">
        <v>9.2584440000000004E-2</v>
      </c>
      <c r="Z3688">
        <v>-9.6477750000000008E-3</v>
      </c>
      <c r="AA3688">
        <v>0.99565809999999999</v>
      </c>
      <c r="AB3688">
        <v>26</v>
      </c>
      <c r="AC3688">
        <v>0.45609999999999201</v>
      </c>
      <c r="AD3688">
        <v>-0.17274219999999901</v>
      </c>
      <c r="AE3688">
        <v>-7.3400000000020699E-2</v>
      </c>
      <c r="AF3688">
        <v>6.10636182228897E-2</v>
      </c>
      <c r="AG3688">
        <v>-0.17274219999999901</v>
      </c>
      <c r="AH3688">
        <v>0.400672622348962</v>
      </c>
      <c r="AI3688">
        <v>113.084151173332</v>
      </c>
      <c r="AJ3688">
        <v>81.334642781207407</v>
      </c>
      <c r="AK3688">
        <v>0.44057596783222802</v>
      </c>
      <c r="AL3688">
        <v>79.354177572104902</v>
      </c>
      <c r="AM3688">
        <v>86.949778483411094</v>
      </c>
      <c r="AN3688">
        <v>1.00000001923668</v>
      </c>
    </row>
    <row r="3689" spans="1:40" x14ac:dyDescent="0.25">
      <c r="A3689" t="str">
        <f>"20190303162331264"</f>
        <v>20190303162331264</v>
      </c>
      <c r="B3689" t="str">
        <f>"1551601411258844"</f>
        <v>1551601411258844</v>
      </c>
      <c r="C3689" t="s">
        <v>40</v>
      </c>
      <c r="D3689">
        <v>5.5774900000000001</v>
      </c>
      <c r="E3689">
        <v>0.52404799999999996</v>
      </c>
      <c r="F3689" t="s">
        <v>42</v>
      </c>
      <c r="G3689">
        <v>-230.68600000000001</v>
      </c>
      <c r="H3689">
        <v>0.89594689999999999</v>
      </c>
      <c r="I3689">
        <v>215.06309999999999</v>
      </c>
      <c r="J3689">
        <v>-231.09639999999999</v>
      </c>
      <c r="K3689">
        <v>1.120978</v>
      </c>
      <c r="L3689">
        <v>215.1318</v>
      </c>
      <c r="M3689">
        <v>0.99986779999999997</v>
      </c>
      <c r="N3689">
        <v>-1.394451E-2</v>
      </c>
      <c r="O3689">
        <v>-8.3773949999999993E-3</v>
      </c>
      <c r="P3689">
        <v>0.98345289999999996</v>
      </c>
      <c r="Q3689">
        <v>0.17094909999999999</v>
      </c>
      <c r="R3689">
        <v>-5.9978429999999999E-2</v>
      </c>
      <c r="S3689">
        <v>3.2192539999999998</v>
      </c>
      <c r="T3689">
        <v>-1.0911709999999999</v>
      </c>
      <c r="U3689">
        <v>-0.3439026</v>
      </c>
      <c r="V3689">
        <v>5.1762660000000002E-2</v>
      </c>
      <c r="W3689">
        <v>0.18464559999999999</v>
      </c>
      <c r="X3689">
        <v>0.98144109999999996</v>
      </c>
      <c r="Y3689">
        <v>9.2952069999999998E-2</v>
      </c>
      <c r="Z3689">
        <v>-1.3311699999999999E-2</v>
      </c>
      <c r="AA3689">
        <v>0.99558159999999896</v>
      </c>
      <c r="AB3689">
        <v>26</v>
      </c>
      <c r="AC3689">
        <v>0.41040000000000898</v>
      </c>
      <c r="AD3689">
        <v>-0.22503110000000001</v>
      </c>
      <c r="AE3689">
        <v>-6.8700000000006797E-2</v>
      </c>
      <c r="AF3689">
        <v>5.0492178272777001E-2</v>
      </c>
      <c r="AG3689">
        <v>-0.22503110000000001</v>
      </c>
      <c r="AH3689">
        <v>0.31796794951611101</v>
      </c>
      <c r="AI3689">
        <v>124.95195451772</v>
      </c>
      <c r="AJ3689">
        <v>80.976973325975607</v>
      </c>
      <c r="AK3689">
        <v>0.39280029652919002</v>
      </c>
      <c r="AL3689">
        <v>79.359529205289903</v>
      </c>
      <c r="AM3689">
        <v>86.980932835921095</v>
      </c>
      <c r="AN3689">
        <v>1.0000000016694199</v>
      </c>
    </row>
    <row r="3690" spans="1:40" x14ac:dyDescent="0.25">
      <c r="A3690" t="str">
        <f>"20190303162331288"</f>
        <v>20190303162331288</v>
      </c>
      <c r="B3690" t="str">
        <f>"1551601411278364"</f>
        <v>1551601411278364</v>
      </c>
      <c r="C3690" t="s">
        <v>40</v>
      </c>
      <c r="D3690">
        <v>5.5882630000000004</v>
      </c>
      <c r="E3690">
        <v>0.52419399999999905</v>
      </c>
      <c r="F3690" t="s">
        <v>42</v>
      </c>
      <c r="G3690">
        <v>-230.24860000000001</v>
      </c>
      <c r="H3690">
        <v>0.83007399999999998</v>
      </c>
      <c r="I3690">
        <v>215.04060000000001</v>
      </c>
      <c r="J3690">
        <v>-230.82480000000001</v>
      </c>
      <c r="K3690">
        <v>1.120978</v>
      </c>
      <c r="L3690">
        <v>215.12950000000001</v>
      </c>
      <c r="M3690">
        <v>0.99986730000000001</v>
      </c>
      <c r="N3690">
        <v>-1.3941749999999999E-2</v>
      </c>
      <c r="O3690">
        <v>-8.4367379999999992E-3</v>
      </c>
      <c r="P3690">
        <v>0.98356739999999998</v>
      </c>
      <c r="Q3690">
        <v>0.17045439999999901</v>
      </c>
      <c r="R3690">
        <v>-5.9502979999999997E-2</v>
      </c>
      <c r="S3690">
        <v>3.2214809999999998</v>
      </c>
      <c r="T3690">
        <v>-1.1054120000000001</v>
      </c>
      <c r="U3690">
        <v>-0.34649659999999999</v>
      </c>
      <c r="V3690">
        <v>5.1227960000000003E-2</v>
      </c>
      <c r="W3690">
        <v>0.1841497</v>
      </c>
      <c r="X3690">
        <v>0.9815623</v>
      </c>
      <c r="Y3690">
        <v>9.3469510000000006E-2</v>
      </c>
      <c r="Z3690">
        <v>-1.352881E-2</v>
      </c>
      <c r="AA3690">
        <v>0.99553020000000003</v>
      </c>
      <c r="AB3690">
        <v>26</v>
      </c>
      <c r="AC3690">
        <v>0.57620000000000005</v>
      </c>
      <c r="AD3690">
        <v>-0.290904</v>
      </c>
      <c r="AE3690">
        <v>-8.8899999999995302E-2</v>
      </c>
      <c r="AF3690">
        <v>6.7283877208915599E-2</v>
      </c>
      <c r="AG3690">
        <v>-0.290904</v>
      </c>
      <c r="AH3690">
        <v>0.46192665530205401</v>
      </c>
      <c r="AI3690">
        <v>121.930585553523</v>
      </c>
      <c r="AJ3690">
        <v>81.712623378577007</v>
      </c>
      <c r="AK3690">
        <v>0.55002590141447605</v>
      </c>
      <c r="AL3690">
        <v>79.388437709766905</v>
      </c>
      <c r="AM3690">
        <v>87.012430783408107</v>
      </c>
      <c r="AN3690">
        <v>0.99999998233857001</v>
      </c>
    </row>
    <row r="3691" spans="1:40" x14ac:dyDescent="0.25">
      <c r="A3691" t="str">
        <f>"20190303162331312"</f>
        <v>20190303162331312</v>
      </c>
      <c r="B3691" t="str">
        <f>"1551601411308622"</f>
        <v>1551601411308622</v>
      </c>
      <c r="C3691" t="s">
        <v>40</v>
      </c>
      <c r="D3691">
        <v>5.5658810000000001</v>
      </c>
      <c r="E3691">
        <v>0.52423240000000004</v>
      </c>
      <c r="F3691" t="s">
        <v>42</v>
      </c>
      <c r="G3691">
        <v>-230.0129</v>
      </c>
      <c r="H3691">
        <v>0.84049839999999998</v>
      </c>
      <c r="I3691">
        <v>215.04239999999999</v>
      </c>
      <c r="J3691">
        <v>-230.53970000000001</v>
      </c>
      <c r="K3691">
        <v>1.1209830000000001</v>
      </c>
      <c r="L3691">
        <v>215.12700000000001</v>
      </c>
      <c r="M3691">
        <v>0.9998667</v>
      </c>
      <c r="N3691">
        <v>-1.3938590000000001E-2</v>
      </c>
      <c r="O3691">
        <v>-8.4994130000000008E-3</v>
      </c>
      <c r="P3691">
        <v>0.98378100000000002</v>
      </c>
      <c r="Q3691">
        <v>0.16936789999999999</v>
      </c>
      <c r="R3691">
        <v>-5.9073489999999999E-2</v>
      </c>
      <c r="S3691">
        <v>3.2221679999999999</v>
      </c>
      <c r="T3691">
        <v>-1.113154</v>
      </c>
      <c r="U3691">
        <v>-0.34478760000000003</v>
      </c>
      <c r="V3691">
        <v>5.0734439999999999E-2</v>
      </c>
      <c r="W3691">
        <v>0.1830637</v>
      </c>
      <c r="X3691">
        <v>0.98179110000000003</v>
      </c>
      <c r="Y3691">
        <v>9.283769E-2</v>
      </c>
      <c r="Z3691">
        <v>-1.3480509999999999E-2</v>
      </c>
      <c r="AA3691">
        <v>0.99558999999999997</v>
      </c>
      <c r="AB3691">
        <v>26</v>
      </c>
      <c r="AC3691">
        <v>0.52680000000000804</v>
      </c>
      <c r="AD3691">
        <v>-0.28048459999999997</v>
      </c>
      <c r="AE3691">
        <v>-8.4600000000023101E-2</v>
      </c>
      <c r="AF3691">
        <v>6.2771710586179905E-2</v>
      </c>
      <c r="AG3691">
        <v>-0.28048459999999997</v>
      </c>
      <c r="AH3691">
        <v>0.41328618130116301</v>
      </c>
      <c r="AI3691">
        <v>123.860584779395</v>
      </c>
      <c r="AJ3691">
        <v>81.363673125783606</v>
      </c>
      <c r="AK3691">
        <v>0.50340576689343997</v>
      </c>
      <c r="AL3691">
        <v>79.451737571882404</v>
      </c>
      <c r="AM3691">
        <v>87.041849354067594</v>
      </c>
      <c r="AN3691">
        <v>1.0000000328495</v>
      </c>
    </row>
    <row r="3692" spans="1:40" x14ac:dyDescent="0.25">
      <c r="A3692" t="str">
        <f>"20190303162331334"</f>
        <v>20190303162331334</v>
      </c>
      <c r="B3692" t="str">
        <f>"1551601411328648"</f>
        <v>1551601411328648</v>
      </c>
      <c r="C3692" t="s">
        <v>40</v>
      </c>
      <c r="D3692">
        <v>5.5146470000000001</v>
      </c>
      <c r="E3692">
        <v>0.52430359999999998</v>
      </c>
      <c r="F3692" t="s">
        <v>42</v>
      </c>
      <c r="G3692">
        <v>-229.77529999999999</v>
      </c>
      <c r="H3692">
        <v>0.85628950000000004</v>
      </c>
      <c r="I3692">
        <v>215.0454</v>
      </c>
      <c r="J3692">
        <v>-230.28870000000001</v>
      </c>
      <c r="K3692">
        <v>1.1209819999999999</v>
      </c>
      <c r="L3692">
        <v>215.12479999999999</v>
      </c>
      <c r="M3692">
        <v>0.99986620000000004</v>
      </c>
      <c r="N3692">
        <v>-1.393578E-2</v>
      </c>
      <c r="O3692">
        <v>-8.5540990000000008E-3</v>
      </c>
      <c r="P3692">
        <v>0.98372579999999998</v>
      </c>
      <c r="Q3692">
        <v>0.16975870000000001</v>
      </c>
      <c r="R3692">
        <v>-5.8867879999999997E-2</v>
      </c>
      <c r="S3692">
        <v>3.220825</v>
      </c>
      <c r="T3692">
        <v>-1.1152879999999901</v>
      </c>
      <c r="U3692">
        <v>-0.3437347</v>
      </c>
      <c r="V3692">
        <v>5.0475449999999998E-2</v>
      </c>
      <c r="W3692">
        <v>0.1834509</v>
      </c>
      <c r="X3692">
        <v>0.9817321</v>
      </c>
      <c r="Y3692">
        <v>9.2505509999999999E-2</v>
      </c>
      <c r="Z3692">
        <v>-1.3432879999999999E-2</v>
      </c>
      <c r="AA3692">
        <v>0.9956216</v>
      </c>
      <c r="AB3692">
        <v>26</v>
      </c>
      <c r="AC3692">
        <v>0.51340000000001795</v>
      </c>
      <c r="AD3692">
        <v>-0.264692499999999</v>
      </c>
      <c r="AE3692">
        <v>-7.9399999999992504E-2</v>
      </c>
      <c r="AF3692">
        <v>5.95466314890441E-2</v>
      </c>
      <c r="AG3692">
        <v>-0.264692499999999</v>
      </c>
      <c r="AH3692">
        <v>0.408113758420453</v>
      </c>
      <c r="AI3692">
        <v>122.691531688509</v>
      </c>
      <c r="AJ3692">
        <v>81.698725295362607</v>
      </c>
      <c r="AK3692">
        <v>0.49006607788134998</v>
      </c>
      <c r="AL3692">
        <v>79.429169693160802</v>
      </c>
      <c r="AM3692">
        <v>87.056746992018205</v>
      </c>
      <c r="AN3692">
        <v>0.99999995996696001</v>
      </c>
    </row>
    <row r="3693" spans="1:40" x14ac:dyDescent="0.25">
      <c r="A3693" t="str">
        <f>"20190303162331357"</f>
        <v>20190303162331357</v>
      </c>
      <c r="B3693" t="str">
        <f>"1551601411348168"</f>
        <v>1551601411348168</v>
      </c>
      <c r="C3693" t="s">
        <v>40</v>
      </c>
      <c r="D3693">
        <v>5.5083780000000004</v>
      </c>
      <c r="E3693">
        <v>0.52442959999999905</v>
      </c>
      <c r="F3693" t="s">
        <v>42</v>
      </c>
      <c r="G3693">
        <v>-229.54169999999999</v>
      </c>
      <c r="H3693">
        <v>0.86287669999999905</v>
      </c>
      <c r="I3693">
        <v>215.0445</v>
      </c>
      <c r="J3693">
        <v>-230.02250000000001</v>
      </c>
      <c r="K3693">
        <v>1.1209830000000001</v>
      </c>
      <c r="L3693">
        <v>215.1225</v>
      </c>
      <c r="M3693">
        <v>0.99986589999999997</v>
      </c>
      <c r="N3693">
        <v>-1.393288E-2</v>
      </c>
      <c r="O3693">
        <v>-8.6109240000000007E-3</v>
      </c>
      <c r="P3693">
        <v>0.98368230000000001</v>
      </c>
      <c r="Q3693">
        <v>0.16996710000000001</v>
      </c>
      <c r="R3693">
        <v>-5.8996140000000002E-2</v>
      </c>
      <c r="S3693">
        <v>3.2210390000000002</v>
      </c>
      <c r="T3693">
        <v>-1.112916</v>
      </c>
      <c r="U3693">
        <v>-0.3451843</v>
      </c>
      <c r="V3693">
        <v>5.0547769999999999E-2</v>
      </c>
      <c r="W3693">
        <v>0.18365570000000001</v>
      </c>
      <c r="X3693">
        <v>0.98169010000000001</v>
      </c>
      <c r="Y3693">
        <v>9.2886720000000006E-2</v>
      </c>
      <c r="Z3693">
        <v>-1.345447E-2</v>
      </c>
      <c r="AA3693">
        <v>0.99558579999999997</v>
      </c>
      <c r="AB3693">
        <v>26</v>
      </c>
      <c r="AC3693">
        <v>0.48080000000001599</v>
      </c>
      <c r="AD3693">
        <v>-0.25810630000000001</v>
      </c>
      <c r="AE3693">
        <v>-7.80000000000029E-2</v>
      </c>
      <c r="AF3693">
        <v>5.7664726551923701E-2</v>
      </c>
      <c r="AG3693">
        <v>-0.25810630000000001</v>
      </c>
      <c r="AH3693">
        <v>0.37590298939292199</v>
      </c>
      <c r="AI3693">
        <v>124.16437954313599</v>
      </c>
      <c r="AJ3693">
        <v>81.278631207857202</v>
      </c>
      <c r="AK3693">
        <v>0.45961629673297399</v>
      </c>
      <c r="AL3693">
        <v>79.417232842243294</v>
      </c>
      <c r="AM3693">
        <v>87.052411521184993</v>
      </c>
      <c r="AN3693">
        <v>0.99999997281623598</v>
      </c>
    </row>
    <row r="3694" spans="1:40" x14ac:dyDescent="0.25">
      <c r="A3694" t="str">
        <f>"20190303162331375"</f>
        <v>20190303162331375</v>
      </c>
      <c r="B3694" t="str">
        <f>"1551601411368664"</f>
        <v>1551601411368664</v>
      </c>
      <c r="C3694" t="s">
        <v>40</v>
      </c>
      <c r="D3694">
        <v>5.4889159999999997</v>
      </c>
      <c r="E3694">
        <v>0.52445039999999998</v>
      </c>
      <c r="F3694" t="s">
        <v>42</v>
      </c>
      <c r="G3694">
        <v>-229.30670000000001</v>
      </c>
      <c r="H3694">
        <v>0.87360879999999996</v>
      </c>
      <c r="I3694">
        <v>215.0455</v>
      </c>
      <c r="J3694">
        <v>-229.80869999999999</v>
      </c>
      <c r="K3694">
        <v>1.120981</v>
      </c>
      <c r="L3694">
        <v>215.1206</v>
      </c>
      <c r="M3694">
        <v>0.99986549999999996</v>
      </c>
      <c r="N3694">
        <v>-1.393055E-2</v>
      </c>
      <c r="O3694">
        <v>-8.6554749999999993E-3</v>
      </c>
      <c r="P3694">
        <v>0.98373849999999996</v>
      </c>
      <c r="Q3694">
        <v>0.16960529999999999</v>
      </c>
      <c r="R3694">
        <v>-5.910004E-2</v>
      </c>
      <c r="S3694">
        <v>3.2213129999999999</v>
      </c>
      <c r="T3694">
        <v>-1.113267</v>
      </c>
      <c r="U3694">
        <v>-0.3467712</v>
      </c>
      <c r="V3694">
        <v>5.060692E-2</v>
      </c>
      <c r="W3694">
        <v>0.18329290000000001</v>
      </c>
      <c r="X3694">
        <v>0.98175489999999999</v>
      </c>
      <c r="Y3694">
        <v>9.3294349999999998E-2</v>
      </c>
      <c r="Z3694">
        <v>-1.35137E-2</v>
      </c>
      <c r="AA3694">
        <v>0.99554690000000001</v>
      </c>
      <c r="AB3694">
        <v>26</v>
      </c>
      <c r="AC3694">
        <v>0.50199999999998102</v>
      </c>
      <c r="AD3694">
        <v>-0.24737219999999999</v>
      </c>
      <c r="AE3694">
        <v>-7.5099999999991895E-2</v>
      </c>
      <c r="AF3694">
        <v>5.7172646158730203E-2</v>
      </c>
      <c r="AG3694">
        <v>-0.24737219999999999</v>
      </c>
      <c r="AH3694">
        <v>0.406163439521673</v>
      </c>
      <c r="AI3694">
        <v>121.094191624885</v>
      </c>
      <c r="AJ3694">
        <v>81.987536900740693</v>
      </c>
      <c r="AK3694">
        <v>0.47898899403400402</v>
      </c>
      <c r="AL3694">
        <v>79.438379170495693</v>
      </c>
      <c r="AM3694">
        <v>87.049162841093406</v>
      </c>
      <c r="AN3694">
        <v>1.0000000156081501</v>
      </c>
    </row>
    <row r="3695" spans="1:40" x14ac:dyDescent="0.25">
      <c r="A3695" t="str">
        <f>"20190303162331396"</f>
        <v>20190303162331396</v>
      </c>
      <c r="B3695" t="str">
        <f>"1551601411388183"</f>
        <v>1551601411388183</v>
      </c>
      <c r="C3695" t="s">
        <v>40</v>
      </c>
      <c r="D3695">
        <v>5.4454979999999997</v>
      </c>
      <c r="E3695">
        <v>0.524397</v>
      </c>
      <c r="F3695" t="s">
        <v>42</v>
      </c>
      <c r="G3695">
        <v>-229.07839999999999</v>
      </c>
      <c r="H3695">
        <v>0.86848760000000003</v>
      </c>
      <c r="I3695">
        <v>215.04159999999999</v>
      </c>
      <c r="J3695">
        <v>-229.55670000000001</v>
      </c>
      <c r="K3695">
        <v>1.1209769999999999</v>
      </c>
      <c r="L3695">
        <v>215.1183</v>
      </c>
      <c r="M3695">
        <v>0.99986520000000001</v>
      </c>
      <c r="N3695">
        <v>-1.3927790000000001E-2</v>
      </c>
      <c r="O3695">
        <v>-8.707411E-3</v>
      </c>
      <c r="P3695">
        <v>0.98391079999999997</v>
      </c>
      <c r="Q3695">
        <v>0.16870160000000001</v>
      </c>
      <c r="R3695">
        <v>-5.8818460000000003E-2</v>
      </c>
      <c r="S3695">
        <v>3.2206730000000001</v>
      </c>
      <c r="T3695">
        <v>-1.113432</v>
      </c>
      <c r="U3695">
        <v>-0.34754940000000001</v>
      </c>
      <c r="V3695">
        <v>5.0272129999999998E-2</v>
      </c>
      <c r="W3695">
        <v>0.1823891</v>
      </c>
      <c r="X3695">
        <v>0.98194040000000005</v>
      </c>
      <c r="Y3695">
        <v>9.3489450000000002E-2</v>
      </c>
      <c r="Z3695">
        <v>-1.353498E-2</v>
      </c>
      <c r="AA3695">
        <v>0.99552830000000003</v>
      </c>
      <c r="AB3695">
        <v>26</v>
      </c>
      <c r="AC3695">
        <v>0.47830000000001799</v>
      </c>
      <c r="AD3695">
        <v>-0.25248939999999997</v>
      </c>
      <c r="AE3695">
        <v>-7.6700000000016602E-2</v>
      </c>
      <c r="AF3695">
        <v>5.7036278821309502E-2</v>
      </c>
      <c r="AG3695">
        <v>-0.25248939999999997</v>
      </c>
      <c r="AH3695">
        <v>0.37662740100307801</v>
      </c>
      <c r="AI3695">
        <v>123.537932767687</v>
      </c>
      <c r="AJ3695">
        <v>81.388587090496799</v>
      </c>
      <c r="AK3695">
        <v>0.45700353762358997</v>
      </c>
      <c r="AL3695">
        <v>79.491050953381404</v>
      </c>
      <c r="AM3695">
        <v>87.069202740292496</v>
      </c>
      <c r="AN3695">
        <v>1.0000000100028501</v>
      </c>
    </row>
    <row r="3696" spans="1:40" x14ac:dyDescent="0.25">
      <c r="A3696" t="str">
        <f>"20190303162331420"</f>
        <v>20190303162331420</v>
      </c>
      <c r="B3696" t="str">
        <f>"1551601411408680"</f>
        <v>1551601411408680</v>
      </c>
      <c r="C3696" t="s">
        <v>40</v>
      </c>
      <c r="D3696">
        <v>5.3658789999999996</v>
      </c>
      <c r="E3696">
        <v>0.5244489</v>
      </c>
      <c r="F3696" t="s">
        <v>42</v>
      </c>
      <c r="G3696">
        <v>-228.8458</v>
      </c>
      <c r="H3696">
        <v>0.87462870000000004</v>
      </c>
      <c r="I3696">
        <v>215.04169999999999</v>
      </c>
      <c r="J3696">
        <v>-229.29560000000001</v>
      </c>
      <c r="K3696">
        <v>1.1209769999999999</v>
      </c>
      <c r="L3696">
        <v>215.11600000000001</v>
      </c>
      <c r="M3696">
        <v>0.9998648</v>
      </c>
      <c r="N3696">
        <v>-1.3924850000000001E-2</v>
      </c>
      <c r="O3696">
        <v>-8.7598260000000001E-3</v>
      </c>
      <c r="P3696">
        <v>0.98397699999999999</v>
      </c>
      <c r="Q3696">
        <v>0.16823460000000001</v>
      </c>
      <c r="R3696">
        <v>-5.9048459999999997E-2</v>
      </c>
      <c r="S3696">
        <v>3.2196039999999999</v>
      </c>
      <c r="T3696">
        <v>-1.11571</v>
      </c>
      <c r="U3696">
        <v>-0.34695429999999999</v>
      </c>
      <c r="V3696">
        <v>5.044949E-2</v>
      </c>
      <c r="W3696">
        <v>0.1819202</v>
      </c>
      <c r="X3696">
        <v>0.98201830000000001</v>
      </c>
      <c r="Y3696">
        <v>9.3282569999999995E-2</v>
      </c>
      <c r="Z3696">
        <v>-1.3510499999999899E-2</v>
      </c>
      <c r="AA3696">
        <v>0.99554799999999999</v>
      </c>
      <c r="AB3696">
        <v>26</v>
      </c>
      <c r="AC3696">
        <v>0.44980000000001003</v>
      </c>
      <c r="AD3696">
        <v>-0.24634829999999999</v>
      </c>
      <c r="AE3696">
        <v>-7.4299999999993802E-2</v>
      </c>
      <c r="AF3696">
        <v>5.44559661682045E-2</v>
      </c>
      <c r="AG3696">
        <v>-0.24634829999999999</v>
      </c>
      <c r="AH3696">
        <v>0.34863539282728101</v>
      </c>
      <c r="AI3696">
        <v>124.920513819676</v>
      </c>
      <c r="AJ3696">
        <v>81.122278914433295</v>
      </c>
      <c r="AK3696">
        <v>0.43034820122319001</v>
      </c>
      <c r="AL3696">
        <v>79.518374231146495</v>
      </c>
      <c r="AM3696">
        <v>87.059113913029407</v>
      </c>
      <c r="AN3696">
        <v>1.00000002587209</v>
      </c>
    </row>
    <row r="3697" spans="1:40" x14ac:dyDescent="0.25">
      <c r="A3697" t="str">
        <f>"20190303162331442"</f>
        <v>20190303162331442</v>
      </c>
      <c r="B3697" t="str">
        <f>"1551601411438935"</f>
        <v>1551601411438935</v>
      </c>
      <c r="C3697" t="s">
        <v>40</v>
      </c>
      <c r="D3697">
        <v>5.3814289999999998</v>
      </c>
      <c r="E3697">
        <v>0.53845540000000003</v>
      </c>
      <c r="F3697" t="s">
        <v>42</v>
      </c>
      <c r="G3697">
        <v>-228.6121</v>
      </c>
      <c r="H3697">
        <v>0.8842778</v>
      </c>
      <c r="I3697">
        <v>215.04179999999999</v>
      </c>
      <c r="J3697">
        <v>-229.03540000000001</v>
      </c>
      <c r="K3697">
        <v>1.120981</v>
      </c>
      <c r="L3697">
        <v>215.11359999999999</v>
      </c>
      <c r="M3697">
        <v>0.99986419999999998</v>
      </c>
      <c r="N3697">
        <v>-1.392204E-2</v>
      </c>
      <c r="O3697">
        <v>-8.8111679999999994E-3</v>
      </c>
      <c r="P3697">
        <v>0.98395730000000003</v>
      </c>
      <c r="Q3697">
        <v>0.1683635</v>
      </c>
      <c r="R3697">
        <v>-5.9011260000000003E-2</v>
      </c>
      <c r="S3697">
        <v>3.2184750000000002</v>
      </c>
      <c r="T3697">
        <v>-1.114538</v>
      </c>
      <c r="U3697">
        <v>-0.34880070000000002</v>
      </c>
      <c r="V3697">
        <v>5.0361490000000002E-2</v>
      </c>
      <c r="W3697">
        <v>0.18204590000000001</v>
      </c>
      <c r="X3697">
        <v>0.98199950000000003</v>
      </c>
      <c r="Y3697">
        <v>9.3811430000000001E-2</v>
      </c>
      <c r="Z3697">
        <v>-1.3577550000000001E-2</v>
      </c>
      <c r="AA3697">
        <v>0.99549739999999998</v>
      </c>
      <c r="AB3697">
        <v>26</v>
      </c>
      <c r="AC3697">
        <v>0.423300000000011</v>
      </c>
      <c r="AD3697">
        <v>-0.2367032</v>
      </c>
      <c r="AE3697">
        <v>-7.1799999999996006E-2</v>
      </c>
      <c r="AF3697">
        <v>5.2200938946547801E-2</v>
      </c>
      <c r="AG3697">
        <v>-0.2367032</v>
      </c>
      <c r="AH3697">
        <v>0.32510321014024302</v>
      </c>
      <c r="AI3697">
        <v>125.711537624524</v>
      </c>
      <c r="AJ3697">
        <v>80.878034304951399</v>
      </c>
      <c r="AK3697">
        <v>0.40551872972851899</v>
      </c>
      <c r="AL3697">
        <v>79.511049611554995</v>
      </c>
      <c r="AM3697">
        <v>87.064178668775597</v>
      </c>
      <c r="AN3697">
        <v>1.0000000036910399</v>
      </c>
    </row>
    <row r="3698" spans="1:40" x14ac:dyDescent="0.25">
      <c r="A3698" t="str">
        <f>"20190303162331465"</f>
        <v>20190303162331465</v>
      </c>
      <c r="B3698" t="str">
        <f>"1551601411458455"</f>
        <v>1551601411458455</v>
      </c>
      <c r="C3698" t="s">
        <v>40</v>
      </c>
      <c r="D3698">
        <v>5.39419</v>
      </c>
      <c r="E3698">
        <v>0.53638240000000004</v>
      </c>
      <c r="F3698" t="s">
        <v>42</v>
      </c>
      <c r="G3698">
        <v>-228.31200000000001</v>
      </c>
      <c r="H3698">
        <v>1.031506</v>
      </c>
      <c r="I3698">
        <v>215.0034</v>
      </c>
      <c r="J3698">
        <v>-228.77950000000001</v>
      </c>
      <c r="K3698">
        <v>1.120984</v>
      </c>
      <c r="L3698">
        <v>215.1113</v>
      </c>
      <c r="M3698">
        <v>0.99986390000000003</v>
      </c>
      <c r="N3698">
        <v>-1.3919249999999999E-2</v>
      </c>
      <c r="O3698">
        <v>-8.8604909999999999E-3</v>
      </c>
      <c r="P3698">
        <v>0.98393419999999998</v>
      </c>
      <c r="Q3698">
        <v>0.1684543</v>
      </c>
      <c r="R3698">
        <v>-5.9132740000000003E-2</v>
      </c>
      <c r="S3698">
        <v>3.086014</v>
      </c>
      <c r="T3698">
        <v>-0.38168790000000002</v>
      </c>
      <c r="U3698">
        <v>-0.47039789999999998</v>
      </c>
      <c r="V3698">
        <v>5.043458E-2</v>
      </c>
      <c r="W3698">
        <v>0.18213399999999999</v>
      </c>
      <c r="X3698">
        <v>0.98197939999999995</v>
      </c>
      <c r="Y3698">
        <v>0.14080490000000001</v>
      </c>
      <c r="Z3698">
        <v>-8.6518800000000007E-3</v>
      </c>
      <c r="AA3698">
        <v>0.98999950000000003</v>
      </c>
      <c r="AB3698">
        <v>26</v>
      </c>
      <c r="AC3698">
        <v>0.46750000000000103</v>
      </c>
      <c r="AD3698">
        <v>-8.9477999999999905E-2</v>
      </c>
      <c r="AE3698">
        <v>-0.1079</v>
      </c>
      <c r="AF3698">
        <v>0.100265835736109</v>
      </c>
      <c r="AG3698">
        <v>-8.9477999999999905E-2</v>
      </c>
      <c r="AH3698">
        <v>0.45269311183747402</v>
      </c>
      <c r="AI3698">
        <v>100.922683831375</v>
      </c>
      <c r="AJ3698">
        <v>77.511317602259595</v>
      </c>
      <c r="AK3698">
        <v>0.47221880924520099</v>
      </c>
      <c r="AL3698">
        <v>79.505915899310907</v>
      </c>
      <c r="AM3698">
        <v>87.059865285445397</v>
      </c>
      <c r="AN3698">
        <v>0.99999999142006801</v>
      </c>
    </row>
    <row r="3699" spans="1:40" x14ac:dyDescent="0.25">
      <c r="A3699" t="str">
        <f>"20190303162331487"</f>
        <v>20190303162331487</v>
      </c>
      <c r="B3699" t="str">
        <f>"1551601411478951"</f>
        <v>1551601411478951</v>
      </c>
      <c r="C3699" t="s">
        <v>40</v>
      </c>
      <c r="D3699">
        <v>5.3881430000000003</v>
      </c>
      <c r="E3699">
        <v>0.53494889999999995</v>
      </c>
      <c r="F3699" t="s">
        <v>42</v>
      </c>
      <c r="G3699">
        <v>-227.85509999999999</v>
      </c>
      <c r="H3699">
        <v>1.0284770000000001</v>
      </c>
      <c r="I3699">
        <v>214.9744</v>
      </c>
      <c r="J3699">
        <v>-228.5188</v>
      </c>
      <c r="K3699">
        <v>1.120986</v>
      </c>
      <c r="L3699">
        <v>215.10900000000001</v>
      </c>
      <c r="M3699">
        <v>0.99986359999999996</v>
      </c>
      <c r="N3699">
        <v>-1.39165E-2</v>
      </c>
      <c r="O3699">
        <v>-8.9107679999999995E-3</v>
      </c>
      <c r="P3699">
        <v>0.98386189999999996</v>
      </c>
      <c r="Q3699">
        <v>0.16874729999999999</v>
      </c>
      <c r="R3699">
        <v>-5.9499839999999998E-2</v>
      </c>
      <c r="S3699">
        <v>3.0742799999999999</v>
      </c>
      <c r="T3699">
        <v>-0.3077009</v>
      </c>
      <c r="U3699">
        <v>-0.45527649999999997</v>
      </c>
      <c r="V3699">
        <v>5.0752619999999998E-2</v>
      </c>
      <c r="W3699">
        <v>0.1824238</v>
      </c>
      <c r="X3699">
        <v>0.98190920000000004</v>
      </c>
      <c r="Y3699">
        <v>0.1369408</v>
      </c>
      <c r="Z3699">
        <v>-6.9983789999999999E-3</v>
      </c>
      <c r="AA3699">
        <v>0.9905545</v>
      </c>
      <c r="AB3699">
        <v>26</v>
      </c>
      <c r="AC3699">
        <v>0.66370000000000495</v>
      </c>
      <c r="AD3699">
        <v>-9.2508999999999897E-2</v>
      </c>
      <c r="AE3699">
        <v>-0.13460000000000599</v>
      </c>
      <c r="AF3699">
        <v>0.12632277881548201</v>
      </c>
      <c r="AG3699">
        <v>-9.2508999999999897E-2</v>
      </c>
      <c r="AH3699">
        <v>0.65269365610544905</v>
      </c>
      <c r="AI3699">
        <v>97.921949879808295</v>
      </c>
      <c r="AJ3699">
        <v>79.046362591915695</v>
      </c>
      <c r="AK3699">
        <v>0.67121112047474596</v>
      </c>
      <c r="AL3699">
        <v>79.489028484521597</v>
      </c>
      <c r="AM3699">
        <v>87.041146513499598</v>
      </c>
      <c r="AN3699">
        <v>0.99999997414397102</v>
      </c>
    </row>
    <row r="3700" spans="1:40" x14ac:dyDescent="0.25">
      <c r="A3700" t="str">
        <f>"20190303162331511"</f>
        <v>20190303162331511</v>
      </c>
      <c r="B3700" t="str">
        <f>"1551601411498471"</f>
        <v>1551601411498471</v>
      </c>
      <c r="C3700" t="s">
        <v>40</v>
      </c>
      <c r="D3700">
        <v>5.3716299999999997</v>
      </c>
      <c r="E3700">
        <v>0.53442029999999996</v>
      </c>
      <c r="F3700" t="s">
        <v>42</v>
      </c>
      <c r="G3700">
        <v>-227.6234</v>
      </c>
      <c r="H3700">
        <v>1.0347280000000001</v>
      </c>
      <c r="I3700">
        <v>214.97909999999999</v>
      </c>
      <c r="J3700">
        <v>-228.25470000000001</v>
      </c>
      <c r="K3700">
        <v>1.1209899999999999</v>
      </c>
      <c r="L3700">
        <v>215.10659999999999</v>
      </c>
      <c r="M3700">
        <v>0.9998631</v>
      </c>
      <c r="N3700">
        <v>-1.3913790000000001E-2</v>
      </c>
      <c r="O3700">
        <v>-8.9615249999999997E-3</v>
      </c>
      <c r="P3700">
        <v>0.98379700000000003</v>
      </c>
      <c r="Q3700">
        <v>0.16928180000000001</v>
      </c>
      <c r="R3700">
        <v>-5.9054379999999997E-2</v>
      </c>
      <c r="S3700">
        <v>3.0730590000000002</v>
      </c>
      <c r="T3700">
        <v>-0.29612349999999998</v>
      </c>
      <c r="U3700">
        <v>-0.44512940000000001</v>
      </c>
      <c r="V3700">
        <v>5.0257690000000001E-2</v>
      </c>
      <c r="W3700">
        <v>0.18295400000000001</v>
      </c>
      <c r="X3700">
        <v>0.98183600000000004</v>
      </c>
      <c r="Y3700">
        <v>0.1338106</v>
      </c>
      <c r="Z3700">
        <v>-6.6040860000000003E-3</v>
      </c>
      <c r="AA3700">
        <v>0.99098489999999995</v>
      </c>
      <c r="AB3700">
        <v>26</v>
      </c>
      <c r="AC3700">
        <v>0.63130000000000996</v>
      </c>
      <c r="AD3700">
        <v>-8.6261999999999797E-2</v>
      </c>
      <c r="AE3700">
        <v>-0.127499999999997</v>
      </c>
      <c r="AF3700">
        <v>0.119689775006914</v>
      </c>
      <c r="AG3700">
        <v>-8.6261999999999797E-2</v>
      </c>
      <c r="AH3700">
        <v>0.62127218613438095</v>
      </c>
      <c r="AI3700">
        <v>97.763851484425103</v>
      </c>
      <c r="AJ3700">
        <v>79.095410684997802</v>
      </c>
      <c r="AK3700">
        <v>0.63854984468669196</v>
      </c>
      <c r="AL3700">
        <v>79.458130183238296</v>
      </c>
      <c r="AM3700">
        <v>87.069732102236998</v>
      </c>
      <c r="AN3700">
        <v>0.99999996620806697</v>
      </c>
    </row>
    <row r="3701" spans="1:40" x14ac:dyDescent="0.25">
      <c r="A3701" t="str">
        <f>"20190303162331534"</f>
        <v>20190303162331534</v>
      </c>
      <c r="B3701" t="str">
        <f>"1551601411528259"</f>
        <v>1551601411528259</v>
      </c>
      <c r="C3701" t="s">
        <v>40</v>
      </c>
      <c r="D3701">
        <v>5.3652259999999998</v>
      </c>
      <c r="E3701">
        <v>0.53435109999999997</v>
      </c>
      <c r="F3701" t="s">
        <v>42</v>
      </c>
      <c r="G3701">
        <v>-227.39359999999999</v>
      </c>
      <c r="H3701">
        <v>1.0375749999999999</v>
      </c>
      <c r="I3701">
        <v>214.983</v>
      </c>
      <c r="J3701">
        <v>-227.99549999999999</v>
      </c>
      <c r="K3701">
        <v>1.1209929999999999</v>
      </c>
      <c r="L3701">
        <v>215.10419999999999</v>
      </c>
      <c r="M3701">
        <v>0.99986269999999999</v>
      </c>
      <c r="N3701">
        <v>-1.3911059999999999E-2</v>
      </c>
      <c r="O3701">
        <v>-9.0116870000000009E-3</v>
      </c>
      <c r="P3701">
        <v>0.98360409999999998</v>
      </c>
      <c r="Q3701">
        <v>0.17063029999999901</v>
      </c>
      <c r="R3701">
        <v>-5.8380920000000003E-2</v>
      </c>
      <c r="S3701">
        <v>3.074249</v>
      </c>
      <c r="T3701">
        <v>-0.29791069999999997</v>
      </c>
      <c r="U3701">
        <v>-0.44055179999999999</v>
      </c>
      <c r="V3701">
        <v>4.9536759999999999E-2</v>
      </c>
      <c r="W3701">
        <v>0.1842974</v>
      </c>
      <c r="X3701">
        <v>0.98162139999999998</v>
      </c>
      <c r="Y3701">
        <v>0.13226189999999999</v>
      </c>
      <c r="Z3701">
        <v>-6.5460939999999997E-3</v>
      </c>
      <c r="AA3701">
        <v>0.9911932</v>
      </c>
      <c r="AB3701">
        <v>26</v>
      </c>
      <c r="AC3701">
        <v>0.60189999999999999</v>
      </c>
      <c r="AD3701">
        <v>-8.34180000000002E-2</v>
      </c>
      <c r="AE3701">
        <v>-0.121199999999987</v>
      </c>
      <c r="AF3701">
        <v>0.113672139469045</v>
      </c>
      <c r="AG3701">
        <v>-8.34180000000002E-2</v>
      </c>
      <c r="AH3701">
        <v>0.59203939437277098</v>
      </c>
      <c r="AI3701">
        <v>97.878105100558798</v>
      </c>
      <c r="AJ3701">
        <v>79.1314209215586</v>
      </c>
      <c r="AK3701">
        <v>0.60859720875530499</v>
      </c>
      <c r="AL3701">
        <v>79.379827922051504</v>
      </c>
      <c r="AM3701">
        <v>87.111063772315404</v>
      </c>
      <c r="AN3701">
        <v>0.99999999758800795</v>
      </c>
    </row>
    <row r="3702" spans="1:40" x14ac:dyDescent="0.25">
      <c r="A3702" t="str">
        <f>"20190303162331554"</f>
        <v>20190303162331554</v>
      </c>
      <c r="B3702" t="str">
        <f>"1551601411548754"</f>
        <v>1551601411548754</v>
      </c>
      <c r="C3702" t="s">
        <v>40</v>
      </c>
      <c r="D3702">
        <v>5.3623149999999997</v>
      </c>
      <c r="E3702">
        <v>0.53418730000000003</v>
      </c>
      <c r="F3702" t="s">
        <v>42</v>
      </c>
      <c r="G3702">
        <v>-227.16290000000001</v>
      </c>
      <c r="H3702">
        <v>1.0412399999999999</v>
      </c>
      <c r="I3702">
        <v>214.98570000000001</v>
      </c>
      <c r="J3702">
        <v>-227.7568</v>
      </c>
      <c r="K3702">
        <v>1.1209960000000001</v>
      </c>
      <c r="L3702">
        <v>215.102</v>
      </c>
      <c r="M3702">
        <v>0.99986240000000004</v>
      </c>
      <c r="N3702">
        <v>-1.3908520000000001E-2</v>
      </c>
      <c r="O3702">
        <v>-9.0580379999999992E-3</v>
      </c>
      <c r="P3702">
        <v>0.98359540000000001</v>
      </c>
      <c r="Q3702">
        <v>0.17104829999999999</v>
      </c>
      <c r="R3702">
        <v>-5.7294860000000003E-2</v>
      </c>
      <c r="S3702">
        <v>3.0751949999999999</v>
      </c>
      <c r="T3702">
        <v>-0.2947283</v>
      </c>
      <c r="U3702">
        <v>-0.43690489999999998</v>
      </c>
      <c r="V3702">
        <v>4.8405360000000001E-2</v>
      </c>
      <c r="W3702">
        <v>0.1847126</v>
      </c>
      <c r="X3702">
        <v>0.98159980000000002</v>
      </c>
      <c r="Y3702">
        <v>0.13104080000000001</v>
      </c>
      <c r="Z3702">
        <v>-6.4157459999999999E-3</v>
      </c>
      <c r="AA3702">
        <v>0.99135620000000002</v>
      </c>
      <c r="AB3702">
        <v>26</v>
      </c>
      <c r="AC3702">
        <v>0.59389999999998999</v>
      </c>
      <c r="AD3702">
        <v>-7.9755999999999896E-2</v>
      </c>
      <c r="AE3702">
        <v>-0.116299999999995</v>
      </c>
      <c r="AF3702">
        <v>0.10902161849422699</v>
      </c>
      <c r="AG3702">
        <v>-7.9755999999999896E-2</v>
      </c>
      <c r="AH3702">
        <v>0.58477267026594004</v>
      </c>
      <c r="AI3702">
        <v>97.636550525216606</v>
      </c>
      <c r="AJ3702">
        <v>79.439348613670404</v>
      </c>
      <c r="AK3702">
        <v>0.60017148276559995</v>
      </c>
      <c r="AL3702">
        <v>79.355623133071205</v>
      </c>
      <c r="AM3702">
        <v>87.176875929764805</v>
      </c>
      <c r="AN3702">
        <v>0.99999999541776396</v>
      </c>
    </row>
    <row r="3703" spans="1:40" x14ac:dyDescent="0.25">
      <c r="A3703" t="str">
        <f>"20190303162331577"</f>
        <v>20190303162331577</v>
      </c>
      <c r="B3703" t="str">
        <f>"1551601411568274"</f>
        <v>1551601411568274</v>
      </c>
      <c r="C3703" t="s">
        <v>40</v>
      </c>
      <c r="D3703">
        <v>5.3420529999999999</v>
      </c>
      <c r="E3703">
        <v>0.53432969999999902</v>
      </c>
      <c r="F3703" t="s">
        <v>42</v>
      </c>
      <c r="G3703">
        <v>-226.93459999999999</v>
      </c>
      <c r="H3703">
        <v>1.042227</v>
      </c>
      <c r="I3703">
        <v>214.9864</v>
      </c>
      <c r="J3703">
        <v>-227.50110000000001</v>
      </c>
      <c r="K3703">
        <v>1.120997</v>
      </c>
      <c r="L3703">
        <v>215.09960000000001</v>
      </c>
      <c r="M3703">
        <v>0.99986180000000002</v>
      </c>
      <c r="N3703">
        <v>-1.3905809999999999E-2</v>
      </c>
      <c r="O3703">
        <v>-9.1072470000000006E-3</v>
      </c>
      <c r="P3703">
        <v>0.98345300000000002</v>
      </c>
      <c r="Q3703">
        <v>0.17186580000000001</v>
      </c>
      <c r="R3703">
        <v>-5.7291910000000001E-2</v>
      </c>
      <c r="S3703">
        <v>3.0761409999999998</v>
      </c>
      <c r="T3703">
        <v>-0.29479369999999999</v>
      </c>
      <c r="U3703">
        <v>-0.43168640000000003</v>
      </c>
      <c r="V3703">
        <v>4.8355040000000002E-2</v>
      </c>
      <c r="W3703">
        <v>0.18552560000000001</v>
      </c>
      <c r="X3703">
        <v>0.98144889999999996</v>
      </c>
      <c r="Y3703">
        <v>0.12930949999999999</v>
      </c>
      <c r="Z3703">
        <v>-6.3171369999999996E-3</v>
      </c>
      <c r="AA3703">
        <v>0.99158420000000003</v>
      </c>
      <c r="AB3703">
        <v>26</v>
      </c>
      <c r="AC3703">
        <v>0.56650000000001899</v>
      </c>
      <c r="AD3703">
        <v>-7.8770000000000007E-2</v>
      </c>
      <c r="AE3703">
        <v>-0.113200000000006</v>
      </c>
      <c r="AF3703">
        <v>0.106063651415386</v>
      </c>
      <c r="AG3703">
        <v>-7.8770000000000007E-2</v>
      </c>
      <c r="AH3703">
        <v>0.55714921702803999</v>
      </c>
      <c r="AI3703">
        <v>97.907011839167495</v>
      </c>
      <c r="AJ3703">
        <v>79.221657358783801</v>
      </c>
      <c r="AK3703">
        <v>0.57259886577474295</v>
      </c>
      <c r="AL3703">
        <v>79.308221909215504</v>
      </c>
      <c r="AM3703">
        <v>87.1793730690801</v>
      </c>
      <c r="AN3703">
        <v>0.99999995072998404</v>
      </c>
    </row>
    <row r="3704" spans="1:40" x14ac:dyDescent="0.25">
      <c r="A3704" t="str">
        <f>"20190303162331598"</f>
        <v>20190303162331598</v>
      </c>
      <c r="B3704" t="str">
        <f>"1551601411588770"</f>
        <v>1551601411588770</v>
      </c>
      <c r="C3704" t="s">
        <v>40</v>
      </c>
      <c r="D3704">
        <v>5.4050640000000003</v>
      </c>
      <c r="E3704">
        <v>0.53439499999999995</v>
      </c>
      <c r="F3704" t="s">
        <v>42</v>
      </c>
      <c r="G3704">
        <v>-226.70519999999999</v>
      </c>
      <c r="H3704">
        <v>1.0448090000000001</v>
      </c>
      <c r="I3704">
        <v>214.9873</v>
      </c>
      <c r="J3704">
        <v>-227.2612</v>
      </c>
      <c r="K3704">
        <v>1.1210009999999999</v>
      </c>
      <c r="L3704">
        <v>215.09739999999999</v>
      </c>
      <c r="M3704">
        <v>0.99986149999999996</v>
      </c>
      <c r="N3704">
        <v>-1.390329E-2</v>
      </c>
      <c r="O3704">
        <v>-9.1528809999999999E-3</v>
      </c>
      <c r="P3704">
        <v>0.98322310000000002</v>
      </c>
      <c r="Q3704">
        <v>0.1729947</v>
      </c>
      <c r="R3704">
        <v>-5.783895E-2</v>
      </c>
      <c r="S3704">
        <v>3.0767669999999998</v>
      </c>
      <c r="T3704">
        <v>-0.2947302</v>
      </c>
      <c r="U3704">
        <v>-0.43321229999999999</v>
      </c>
      <c r="V3704">
        <v>4.8859399999999997E-2</v>
      </c>
      <c r="W3704">
        <v>0.1866486</v>
      </c>
      <c r="X3704">
        <v>0.98121100000000006</v>
      </c>
      <c r="Y3704">
        <v>0.12971740000000001</v>
      </c>
      <c r="Z3704">
        <v>-6.3331430000000003E-3</v>
      </c>
      <c r="AA3704">
        <v>0.99153080000000005</v>
      </c>
      <c r="AB3704">
        <v>25</v>
      </c>
      <c r="AC3704">
        <v>0.55600000000001104</v>
      </c>
      <c r="AD3704">
        <v>-7.6191999999999802E-2</v>
      </c>
      <c r="AE3704">
        <v>-0.110099999999988</v>
      </c>
      <c r="AF3704">
        <v>0.103142087689009</v>
      </c>
      <c r="AG3704">
        <v>-7.6191999999999802E-2</v>
      </c>
      <c r="AH3704">
        <v>0.54709831753709304</v>
      </c>
      <c r="AI3704">
        <v>97.792794095177399</v>
      </c>
      <c r="AJ3704">
        <v>79.323583476554901</v>
      </c>
      <c r="AK3704">
        <v>0.56192533326836702</v>
      </c>
      <c r="AL3704">
        <v>79.2427352552467</v>
      </c>
      <c r="AM3704">
        <v>87.149311339103093</v>
      </c>
      <c r="AN3704">
        <v>0.99999998368565901</v>
      </c>
    </row>
    <row r="3705" spans="1:40" x14ac:dyDescent="0.25">
      <c r="A3705" t="str">
        <f>"20190303162331622"</f>
        <v>20190303162331622</v>
      </c>
      <c r="B3705" t="str">
        <f>"1551601411618051"</f>
        <v>1551601411618051</v>
      </c>
      <c r="C3705" t="s">
        <v>40</v>
      </c>
      <c r="D3705">
        <v>5.4070939999999998</v>
      </c>
      <c r="E3705">
        <v>0.53446800000000005</v>
      </c>
      <c r="F3705" t="s">
        <v>42</v>
      </c>
      <c r="G3705">
        <v>-226.4768</v>
      </c>
      <c r="H3705">
        <v>1.0461180000000001</v>
      </c>
      <c r="I3705">
        <v>214.9863</v>
      </c>
      <c r="J3705">
        <v>-226.98410000000001</v>
      </c>
      <c r="K3705">
        <v>1.1210059999999999</v>
      </c>
      <c r="L3705">
        <v>215.09479999999999</v>
      </c>
      <c r="M3705">
        <v>0.99986109999999995</v>
      </c>
      <c r="N3705">
        <v>-1.390043E-2</v>
      </c>
      <c r="O3705">
        <v>-9.2048230000000009E-3</v>
      </c>
      <c r="P3705">
        <v>0.98309539999999995</v>
      </c>
      <c r="Q3705">
        <v>0.173487</v>
      </c>
      <c r="R3705">
        <v>-5.8531149999999997E-2</v>
      </c>
      <c r="S3705">
        <v>3.0773160000000002</v>
      </c>
      <c r="T3705">
        <v>-0.29382350000000002</v>
      </c>
      <c r="U3705">
        <v>-0.43501279999999998</v>
      </c>
      <c r="V3705">
        <v>4.9501419999999997E-2</v>
      </c>
      <c r="W3705">
        <v>0.18713669999999999</v>
      </c>
      <c r="X3705">
        <v>0.98108580000000001</v>
      </c>
      <c r="Y3705">
        <v>0.13021179999999999</v>
      </c>
      <c r="Z3705">
        <v>-6.33827E-3</v>
      </c>
      <c r="AA3705">
        <v>0.99146590000000001</v>
      </c>
      <c r="AB3705">
        <v>25</v>
      </c>
      <c r="AC3705">
        <v>0.50730000000001496</v>
      </c>
      <c r="AD3705">
        <v>-7.4887999999999802E-2</v>
      </c>
      <c r="AE3705">
        <v>-0.10849999999999201</v>
      </c>
      <c r="AF3705">
        <v>0.10170593082012</v>
      </c>
      <c r="AG3705">
        <v>-7.4887999999999802E-2</v>
      </c>
      <c r="AH3705">
        <v>0.49790172460373699</v>
      </c>
      <c r="AI3705">
        <v>98.383009646436506</v>
      </c>
      <c r="AJ3705">
        <v>78.455068810933497</v>
      </c>
      <c r="AK3705">
        <v>0.51367152565755803</v>
      </c>
      <c r="AL3705">
        <v>79.214267128288995</v>
      </c>
      <c r="AM3705">
        <v>87.1115479262713</v>
      </c>
      <c r="AN3705">
        <v>0.99999994101527101</v>
      </c>
    </row>
    <row r="3706" spans="1:40" x14ac:dyDescent="0.25">
      <c r="A3706" t="str">
        <f>"20190303162331644"</f>
        <v>20190303162331644</v>
      </c>
      <c r="B3706" t="str">
        <f>"1551601411638548"</f>
        <v>1551601411638548</v>
      </c>
      <c r="C3706" t="s">
        <v>40</v>
      </c>
      <c r="D3706">
        <v>5.4221120000000003</v>
      </c>
      <c r="E3706">
        <v>0.53454639999999998</v>
      </c>
      <c r="F3706" t="s">
        <v>42</v>
      </c>
      <c r="G3706">
        <v>-226.24629999999999</v>
      </c>
      <c r="H3706">
        <v>1.0501400000000001</v>
      </c>
      <c r="I3706">
        <v>214.9897</v>
      </c>
      <c r="J3706">
        <v>-226.74369999999999</v>
      </c>
      <c r="K3706">
        <v>1.1210119999999999</v>
      </c>
      <c r="L3706">
        <v>215.0925</v>
      </c>
      <c r="M3706">
        <v>0.99986079999999999</v>
      </c>
      <c r="N3706">
        <v>-1.3897959999999999E-2</v>
      </c>
      <c r="O3706">
        <v>-9.2478149999999995E-3</v>
      </c>
      <c r="P3706">
        <v>0.98293569999999997</v>
      </c>
      <c r="Q3706">
        <v>0.17394660000000001</v>
      </c>
      <c r="R3706">
        <v>-5.9837540000000002E-2</v>
      </c>
      <c r="S3706">
        <v>3.0777589999999999</v>
      </c>
      <c r="T3706">
        <v>-0.2957767</v>
      </c>
      <c r="U3706">
        <v>-0.43731690000000001</v>
      </c>
      <c r="V3706">
        <v>5.0766249999999999E-2</v>
      </c>
      <c r="W3706">
        <v>0.18759200000000001</v>
      </c>
      <c r="X3706">
        <v>0.98093430000000004</v>
      </c>
      <c r="Y3706">
        <v>0.13086619999999999</v>
      </c>
      <c r="Z3706">
        <v>-6.4044790000000002E-3</v>
      </c>
      <c r="AA3706">
        <v>0.99137940000000002</v>
      </c>
      <c r="AB3706">
        <v>25</v>
      </c>
      <c r="AC3706">
        <v>0.49739999999999901</v>
      </c>
      <c r="AD3706">
        <v>-7.0872000000000004E-2</v>
      </c>
      <c r="AE3706">
        <v>-0.102800000000001</v>
      </c>
      <c r="AF3706">
        <v>9.6319919608011104E-2</v>
      </c>
      <c r="AG3706">
        <v>-7.0872000000000004E-2</v>
      </c>
      <c r="AH3706">
        <v>0.48881217809828997</v>
      </c>
      <c r="AI3706">
        <v>98.096165080022899</v>
      </c>
      <c r="AJ3706">
        <v>78.8527397067446</v>
      </c>
      <c r="AK3706">
        <v>0.503227297306583</v>
      </c>
      <c r="AL3706">
        <v>79.187711081745505</v>
      </c>
      <c r="AM3706">
        <v>87.037417100836095</v>
      </c>
      <c r="AN3706">
        <v>1.00000003575977</v>
      </c>
    </row>
    <row r="3707" spans="1:40" x14ac:dyDescent="0.25">
      <c r="A3707" t="str">
        <f>"20190303162331665"</f>
        <v>20190303162331665</v>
      </c>
      <c r="B3707" t="str">
        <f>"1551601411658066"</f>
        <v>1551601411658066</v>
      </c>
      <c r="C3707" t="s">
        <v>40</v>
      </c>
      <c r="D3707">
        <v>5.4430370000000003</v>
      </c>
      <c r="E3707">
        <v>0.53463240000000001</v>
      </c>
      <c r="F3707" t="s">
        <v>42</v>
      </c>
      <c r="G3707">
        <v>-225.80600000000001</v>
      </c>
      <c r="H3707">
        <v>1.030686</v>
      </c>
      <c r="I3707">
        <v>214.95779999999999</v>
      </c>
      <c r="J3707">
        <v>-226.48949999999999</v>
      </c>
      <c r="K3707">
        <v>1.1210180000000001</v>
      </c>
      <c r="L3707">
        <v>215.09010000000001</v>
      </c>
      <c r="M3707">
        <v>0.99986039999999998</v>
      </c>
      <c r="N3707">
        <v>-1.3895360000000001E-2</v>
      </c>
      <c r="O3707">
        <v>-9.2905509999999993E-3</v>
      </c>
      <c r="P3707">
        <v>0.98273949999999999</v>
      </c>
      <c r="Q3707">
        <v>0.174664299999999</v>
      </c>
      <c r="R3707">
        <v>-6.0957030000000002E-2</v>
      </c>
      <c r="S3707">
        <v>3.0777130000000001</v>
      </c>
      <c r="T3707">
        <v>-0.29657139999999999</v>
      </c>
      <c r="U3707">
        <v>-0.44123839999999998</v>
      </c>
      <c r="V3707">
        <v>5.1844439999999999E-2</v>
      </c>
      <c r="W3707">
        <v>0.18830440000000001</v>
      </c>
      <c r="X3707">
        <v>0.98074139999999999</v>
      </c>
      <c r="Y3707">
        <v>0.13205449999999999</v>
      </c>
      <c r="Z3707">
        <v>-6.4799609999999898E-3</v>
      </c>
      <c r="AA3707">
        <v>0.99122120000000002</v>
      </c>
      <c r="AB3707">
        <v>25</v>
      </c>
      <c r="AC3707">
        <v>0.68350000000000899</v>
      </c>
      <c r="AD3707">
        <v>-9.0331999999999996E-2</v>
      </c>
      <c r="AE3707">
        <v>-0.13230000000001399</v>
      </c>
      <c r="AF3707">
        <v>0.123858338535777</v>
      </c>
      <c r="AG3707">
        <v>-9.0331999999999996E-2</v>
      </c>
      <c r="AH3707">
        <v>0.67336318822979002</v>
      </c>
      <c r="AI3707">
        <v>97.516027117546997</v>
      </c>
      <c r="AJ3707">
        <v>79.577523782894801</v>
      </c>
      <c r="AK3707">
        <v>0.69059303610145895</v>
      </c>
      <c r="AL3707">
        <v>79.146153042569097</v>
      </c>
      <c r="AM3707">
        <v>86.974018534941607</v>
      </c>
      <c r="AN3707">
        <v>1.00000004334611</v>
      </c>
    </row>
    <row r="3708" spans="1:40" x14ac:dyDescent="0.25">
      <c r="A3708" t="str">
        <f>"20190303162331688"</f>
        <v>20190303162331688</v>
      </c>
      <c r="B3708" t="str">
        <f>"1551601411678562"</f>
        <v>1551601411678562</v>
      </c>
      <c r="C3708" t="s">
        <v>40</v>
      </c>
      <c r="D3708">
        <v>5.4469560000000001</v>
      </c>
      <c r="E3708">
        <v>0.53472459999999999</v>
      </c>
      <c r="F3708" t="s">
        <v>42</v>
      </c>
      <c r="G3708">
        <v>-225.57859999999999</v>
      </c>
      <c r="H3708">
        <v>1.0331870000000001</v>
      </c>
      <c r="I3708">
        <v>214.95830000000001</v>
      </c>
      <c r="J3708">
        <v>-226.24539999999999</v>
      </c>
      <c r="K3708">
        <v>1.121027</v>
      </c>
      <c r="L3708">
        <v>215.08770000000001</v>
      </c>
      <c r="M3708">
        <v>0.99985999999999997</v>
      </c>
      <c r="N3708">
        <v>-1.389286E-2</v>
      </c>
      <c r="O3708">
        <v>-9.3292340000000005E-3</v>
      </c>
      <c r="P3708">
        <v>0.98262349999999998</v>
      </c>
      <c r="Q3708">
        <v>0.17494960000000001</v>
      </c>
      <c r="R3708">
        <v>-6.2000899999999998E-2</v>
      </c>
      <c r="S3708">
        <v>3.0778349999999999</v>
      </c>
      <c r="T3708">
        <v>-0.29682760000000002</v>
      </c>
      <c r="U3708">
        <v>-0.4451447</v>
      </c>
      <c r="V3708">
        <v>5.285024E-2</v>
      </c>
      <c r="W3708">
        <v>0.1885858</v>
      </c>
      <c r="X3708">
        <v>0.98063359999999999</v>
      </c>
      <c r="Y3708">
        <v>0.1332362</v>
      </c>
      <c r="Z3708">
        <v>-6.5454729999999996E-3</v>
      </c>
      <c r="AA3708">
        <v>0.99106269999999996</v>
      </c>
      <c r="AB3708">
        <v>25</v>
      </c>
      <c r="AC3708">
        <v>0.66679999999999495</v>
      </c>
      <c r="AD3708">
        <v>-8.7839999999999904E-2</v>
      </c>
      <c r="AE3708">
        <v>-0.12940000000000301</v>
      </c>
      <c r="AF3708">
        <v>0.12114697983542499</v>
      </c>
      <c r="AG3708">
        <v>-8.7839999999999904E-2</v>
      </c>
      <c r="AH3708">
        <v>0.65699082315498603</v>
      </c>
      <c r="AI3708">
        <v>97.490499702605803</v>
      </c>
      <c r="AJ3708">
        <v>79.552204729411002</v>
      </c>
      <c r="AK3708">
        <v>0.67381703602173104</v>
      </c>
      <c r="AL3708">
        <v>79.129735450550598</v>
      </c>
      <c r="AM3708">
        <v>86.915087312080402</v>
      </c>
      <c r="AN3708">
        <v>1.00000000463932</v>
      </c>
    </row>
    <row r="3709" spans="1:40" x14ac:dyDescent="0.25">
      <c r="A3709" t="str">
        <f>"20190303162331710"</f>
        <v>20190303162331710</v>
      </c>
      <c r="B3709" t="str">
        <f>"1551601411698082"</f>
        <v>1551601411698082</v>
      </c>
      <c r="C3709" t="s">
        <v>40</v>
      </c>
      <c r="D3709">
        <v>5.4449940000000003</v>
      </c>
      <c r="E3709">
        <v>0.53482819999999998</v>
      </c>
      <c r="F3709" t="s">
        <v>42</v>
      </c>
      <c r="G3709">
        <v>-225.35210000000001</v>
      </c>
      <c r="H3709">
        <v>1.0344169999999999</v>
      </c>
      <c r="I3709">
        <v>214.95740000000001</v>
      </c>
      <c r="J3709">
        <v>-225.98650000000001</v>
      </c>
      <c r="K3709">
        <v>1.1210199999999999</v>
      </c>
      <c r="L3709">
        <v>215.08529999999999</v>
      </c>
      <c r="M3709">
        <v>0.99985979999999997</v>
      </c>
      <c r="N3709">
        <v>-1.389021E-2</v>
      </c>
      <c r="O3709">
        <v>-9.3680450000000002E-3</v>
      </c>
      <c r="P3709">
        <v>0.98262669999999996</v>
      </c>
      <c r="Q3709">
        <v>0.1747233</v>
      </c>
      <c r="R3709">
        <v>-6.2586409999999995E-2</v>
      </c>
      <c r="S3709">
        <v>3.077896</v>
      </c>
      <c r="T3709">
        <v>-0.29854039999999998</v>
      </c>
      <c r="U3709">
        <v>-0.44868469999999999</v>
      </c>
      <c r="V3709">
        <v>5.339667E-2</v>
      </c>
      <c r="W3709">
        <v>0.18835730000000001</v>
      </c>
      <c r="X3709">
        <v>0.98064790000000002</v>
      </c>
      <c r="Y3709">
        <v>0.1342988</v>
      </c>
      <c r="Z3709">
        <v>-6.6316869999999998E-3</v>
      </c>
      <c r="AA3709">
        <v>0.99091870000000004</v>
      </c>
      <c r="AB3709">
        <v>25</v>
      </c>
      <c r="AC3709">
        <v>0.63439999999999896</v>
      </c>
      <c r="AD3709">
        <v>-8.6603000000000194E-2</v>
      </c>
      <c r="AE3709">
        <v>-0.127899999999982</v>
      </c>
      <c r="AF3709">
        <v>0.11980530459701701</v>
      </c>
      <c r="AG3709">
        <v>-8.6603000000000194E-2</v>
      </c>
      <c r="AH3709">
        <v>0.62438915319640098</v>
      </c>
      <c r="AI3709">
        <v>97.756835458008197</v>
      </c>
      <c r="AJ3709">
        <v>79.138325886321198</v>
      </c>
      <c r="AK3709">
        <v>0.64165037617685705</v>
      </c>
      <c r="AL3709">
        <v>79.143066288021004</v>
      </c>
      <c r="AM3709">
        <v>86.883299658766603</v>
      </c>
      <c r="AN3709">
        <v>0.99999999030239395</v>
      </c>
    </row>
    <row r="3710" spans="1:40" x14ac:dyDescent="0.25">
      <c r="A3710" t="str">
        <f>"20190303162331733"</f>
        <v>20190303162331733</v>
      </c>
      <c r="B3710" t="str">
        <f>"1551601411728340"</f>
        <v>1551601411728340</v>
      </c>
      <c r="C3710" t="s">
        <v>40</v>
      </c>
      <c r="D3710">
        <v>5.5065359999999997</v>
      </c>
      <c r="E3710">
        <v>0.53505740000000002</v>
      </c>
      <c r="F3710" t="s">
        <v>42</v>
      </c>
      <c r="G3710">
        <v>-225.12549999999999</v>
      </c>
      <c r="H3710">
        <v>1.0364739999999999</v>
      </c>
      <c r="I3710">
        <v>214.95910000000001</v>
      </c>
      <c r="J3710">
        <v>-225.73349999999999</v>
      </c>
      <c r="K3710">
        <v>1.1210180000000001</v>
      </c>
      <c r="L3710">
        <v>215.0829</v>
      </c>
      <c r="M3710">
        <v>0.99985930000000001</v>
      </c>
      <c r="N3710">
        <v>-1.388763E-2</v>
      </c>
      <c r="O3710">
        <v>-9.4031659999999993E-3</v>
      </c>
      <c r="P3710">
        <v>0.98262989999999995</v>
      </c>
      <c r="Q3710">
        <v>0.17448749999999999</v>
      </c>
      <c r="R3710">
        <v>-6.3189389999999998E-2</v>
      </c>
      <c r="S3710">
        <v>3.0780940000000001</v>
      </c>
      <c r="T3710">
        <v>-0.30235309999999999</v>
      </c>
      <c r="U3710">
        <v>-0.45088200000000001</v>
      </c>
      <c r="V3710">
        <v>5.3964249999999998E-2</v>
      </c>
      <c r="W3710">
        <v>0.18811939999999999</v>
      </c>
      <c r="X3710">
        <v>0.98066249999999999</v>
      </c>
      <c r="Y3710">
        <v>0.1349283</v>
      </c>
      <c r="Z3710">
        <v>-6.7337899999999999E-3</v>
      </c>
      <c r="AA3710">
        <v>0.9908325</v>
      </c>
      <c r="AB3710">
        <v>25</v>
      </c>
      <c r="AC3710">
        <v>0.60800000000000398</v>
      </c>
      <c r="AD3710">
        <v>-8.4544000000000105E-2</v>
      </c>
      <c r="AE3710">
        <v>-0.123799999999988</v>
      </c>
      <c r="AF3710">
        <v>0.115924606237703</v>
      </c>
      <c r="AG3710">
        <v>-8.4544000000000105E-2</v>
      </c>
      <c r="AH3710">
        <v>0.59803430332457896</v>
      </c>
      <c r="AI3710">
        <v>97.901402185672595</v>
      </c>
      <c r="AJ3710">
        <v>79.029682204006605</v>
      </c>
      <c r="AK3710">
        <v>0.61500506519888198</v>
      </c>
      <c r="AL3710">
        <v>79.1569450994443</v>
      </c>
      <c r="AM3710">
        <v>86.850283842079307</v>
      </c>
      <c r="AN3710">
        <v>0.99999999392033601</v>
      </c>
    </row>
    <row r="3711" spans="1:40" x14ac:dyDescent="0.25">
      <c r="A3711" t="str">
        <f>"20190303162331755"</f>
        <v>20190303162331755</v>
      </c>
      <c r="B3711" t="str">
        <f>"1551601411748835"</f>
        <v>1551601411748835</v>
      </c>
      <c r="C3711" t="s">
        <v>40</v>
      </c>
      <c r="D3711">
        <v>5.491123</v>
      </c>
      <c r="E3711">
        <v>0.53519589999999995</v>
      </c>
      <c r="F3711" t="s">
        <v>42</v>
      </c>
      <c r="G3711">
        <v>-224.89920000000001</v>
      </c>
      <c r="H3711">
        <v>1.038273</v>
      </c>
      <c r="I3711">
        <v>214.9597</v>
      </c>
      <c r="J3711">
        <v>-225.48400000000001</v>
      </c>
      <c r="K3711">
        <v>1.121022</v>
      </c>
      <c r="L3711">
        <v>215.0805</v>
      </c>
      <c r="M3711">
        <v>0.9998591</v>
      </c>
      <c r="N3711">
        <v>-1.3885079999999999E-2</v>
      </c>
      <c r="O3711">
        <v>-9.4353079999999999E-3</v>
      </c>
      <c r="P3711">
        <v>0.98262859999999996</v>
      </c>
      <c r="Q3711">
        <v>0.1743402</v>
      </c>
      <c r="R3711">
        <v>-6.361327E-2</v>
      </c>
      <c r="S3711">
        <v>3.078049</v>
      </c>
      <c r="T3711">
        <v>-0.30532419999999999</v>
      </c>
      <c r="U3711">
        <v>-0.45402530000000002</v>
      </c>
      <c r="V3711">
        <v>5.4356040000000001E-2</v>
      </c>
      <c r="W3711">
        <v>0.18796950000000001</v>
      </c>
      <c r="X3711">
        <v>0.98066960000000003</v>
      </c>
      <c r="Y3711">
        <v>0.1358713</v>
      </c>
      <c r="Z3711">
        <v>-6.8389949999999996E-3</v>
      </c>
      <c r="AA3711">
        <v>0.99070290000000005</v>
      </c>
      <c r="AB3711">
        <v>25</v>
      </c>
      <c r="AC3711">
        <v>0.58480000000000099</v>
      </c>
      <c r="AD3711">
        <v>-8.2748999999999906E-2</v>
      </c>
      <c r="AE3711">
        <v>-0.120800000000002</v>
      </c>
      <c r="AF3711">
        <v>0.113104403081427</v>
      </c>
      <c r="AG3711">
        <v>-8.2748999999999906E-2</v>
      </c>
      <c r="AH3711">
        <v>0.57487466831366596</v>
      </c>
      <c r="AI3711">
        <v>98.039003883327794</v>
      </c>
      <c r="AJ3711">
        <v>78.869438163677899</v>
      </c>
      <c r="AK3711">
        <v>0.59171013787677595</v>
      </c>
      <c r="AL3711">
        <v>79.165689673806099</v>
      </c>
      <c r="AM3711">
        <v>86.8274858120365</v>
      </c>
      <c r="AN3711">
        <v>0.99999998818944502</v>
      </c>
    </row>
    <row r="3712" spans="1:40" x14ac:dyDescent="0.25">
      <c r="A3712" t="str">
        <f>"20190303162331777"</f>
        <v>20190303162331777</v>
      </c>
      <c r="B3712" t="str">
        <f>"1551601411768354"</f>
        <v>1551601411768354</v>
      </c>
      <c r="C3712" t="s">
        <v>40</v>
      </c>
      <c r="D3712">
        <v>5.5188179999999996</v>
      </c>
      <c r="E3712">
        <v>0.53536240000000002</v>
      </c>
      <c r="F3712" t="s">
        <v>42</v>
      </c>
      <c r="G3712">
        <v>-224.6729</v>
      </c>
      <c r="H3712">
        <v>1.040117</v>
      </c>
      <c r="I3712">
        <v>214.96019999999999</v>
      </c>
      <c r="J3712">
        <v>-225.2371</v>
      </c>
      <c r="K3712">
        <v>1.1210230000000001</v>
      </c>
      <c r="L3712">
        <v>215.07810000000001</v>
      </c>
      <c r="M3712">
        <v>0.99985889999999999</v>
      </c>
      <c r="N3712">
        <v>-1.388256E-2</v>
      </c>
      <c r="O3712">
        <v>-9.4650659999999994E-3</v>
      </c>
      <c r="P3712">
        <v>0.98260579999999997</v>
      </c>
      <c r="Q3712">
        <v>0.17424300000000001</v>
      </c>
      <c r="R3712">
        <v>-6.4231250000000004E-2</v>
      </c>
      <c r="S3712">
        <v>3.0779879999999999</v>
      </c>
      <c r="T3712">
        <v>-0.30709609999999998</v>
      </c>
      <c r="U3712">
        <v>-0.4562988</v>
      </c>
      <c r="V3712">
        <v>5.4944090000000001E-2</v>
      </c>
      <c r="W3712">
        <v>0.18787019999999999</v>
      </c>
      <c r="X3712">
        <v>0.98065579999999997</v>
      </c>
      <c r="Y3712">
        <v>0.13654949999999999</v>
      </c>
      <c r="Z3712">
        <v>-6.9077039999999998E-3</v>
      </c>
      <c r="AA3712">
        <v>0.99060919999999997</v>
      </c>
      <c r="AB3712">
        <v>25</v>
      </c>
      <c r="AC3712">
        <v>0.56419999999999904</v>
      </c>
      <c r="AD3712">
        <v>-8.0905999999999895E-2</v>
      </c>
      <c r="AE3712">
        <v>-0.11790000000002</v>
      </c>
      <c r="AF3712">
        <v>0.11037920833781301</v>
      </c>
      <c r="AG3712">
        <v>-8.0905999999999895E-2</v>
      </c>
      <c r="AH3712">
        <v>0.55436803105244803</v>
      </c>
      <c r="AI3712">
        <v>98.1455992171487</v>
      </c>
      <c r="AJ3712">
        <v>78.739208311231295</v>
      </c>
      <c r="AK3712">
        <v>0.57101073923548096</v>
      </c>
      <c r="AL3712">
        <v>79.171481724419905</v>
      </c>
      <c r="AM3712">
        <v>86.793190231031801</v>
      </c>
      <c r="AN3712">
        <v>0.99999993157380096</v>
      </c>
    </row>
    <row r="3713" spans="1:40" x14ac:dyDescent="0.25">
      <c r="A3713" t="str">
        <f>"20190303162331799"</f>
        <v>20190303162331799</v>
      </c>
      <c r="B3713" t="str">
        <f>"1551601411788851"</f>
        <v>1551601411788851</v>
      </c>
      <c r="C3713" t="s">
        <v>40</v>
      </c>
      <c r="D3713">
        <v>5.5396330000000003</v>
      </c>
      <c r="E3713">
        <v>0.53550509999999996</v>
      </c>
      <c r="F3713" t="s">
        <v>42</v>
      </c>
      <c r="G3713">
        <v>-224.4469</v>
      </c>
      <c r="H3713">
        <v>1.0417940000000001</v>
      </c>
      <c r="I3713">
        <v>214.9599</v>
      </c>
      <c r="J3713">
        <v>-224.9853</v>
      </c>
      <c r="K3713">
        <v>1.1210230000000001</v>
      </c>
      <c r="L3713">
        <v>215.07570000000001</v>
      </c>
      <c r="M3713">
        <v>0.99985860000000004</v>
      </c>
      <c r="N3713">
        <v>-1.3879910000000001E-2</v>
      </c>
      <c r="O3713">
        <v>-9.4942269999999992E-3</v>
      </c>
      <c r="P3713">
        <v>0.98260700000000001</v>
      </c>
      <c r="Q3713">
        <v>0.1740342</v>
      </c>
      <c r="R3713">
        <v>-6.4772990000000003E-2</v>
      </c>
      <c r="S3713">
        <v>3.07782</v>
      </c>
      <c r="T3713">
        <v>-0.30874679999999999</v>
      </c>
      <c r="U3713">
        <v>-0.45942690000000003</v>
      </c>
      <c r="V3713">
        <v>5.5456739999999997E-2</v>
      </c>
      <c r="W3713">
        <v>0.18765899999999999</v>
      </c>
      <c r="X3713">
        <v>0.98066750000000003</v>
      </c>
      <c r="Y3713">
        <v>0.13750100000000001</v>
      </c>
      <c r="Z3713">
        <v>-6.9901049999999999E-3</v>
      </c>
      <c r="AA3713">
        <v>0.99047700000000005</v>
      </c>
      <c r="AB3713">
        <v>25</v>
      </c>
      <c r="AC3713">
        <v>0.53839999999999499</v>
      </c>
      <c r="AD3713">
        <v>-7.9228999999999702E-2</v>
      </c>
      <c r="AE3713">
        <v>-0.11580000000000699</v>
      </c>
      <c r="AF3713">
        <v>0.108438192542982</v>
      </c>
      <c r="AG3713">
        <v>-7.9228999999999702E-2</v>
      </c>
      <c r="AH3713">
        <v>0.528535878133227</v>
      </c>
      <c r="AI3713">
        <v>98.353840480420402</v>
      </c>
      <c r="AJ3713">
        <v>78.405684082903207</v>
      </c>
      <c r="AK3713">
        <v>0.54533132178250199</v>
      </c>
      <c r="AL3713">
        <v>79.183802990244502</v>
      </c>
      <c r="AM3713">
        <v>86.7633712876749</v>
      </c>
      <c r="AN3713">
        <v>1.0000000479243301</v>
      </c>
    </row>
    <row r="3714" spans="1:40" x14ac:dyDescent="0.25">
      <c r="A3714" t="str">
        <f>"20190303162331823"</f>
        <v>20190303162331823</v>
      </c>
      <c r="B3714" t="str">
        <f>"1551601411819107"</f>
        <v>1551601411819107</v>
      </c>
      <c r="C3714" t="s">
        <v>40</v>
      </c>
      <c r="D3714">
        <v>5.5362629999999999</v>
      </c>
      <c r="E3714">
        <v>0.53553609999999996</v>
      </c>
      <c r="F3714" t="s">
        <v>42</v>
      </c>
      <c r="G3714">
        <v>-224.221</v>
      </c>
      <c r="H3714">
        <v>1.0438510000000001</v>
      </c>
      <c r="I3714">
        <v>214.96080000000001</v>
      </c>
      <c r="J3714">
        <v>-224.7261</v>
      </c>
      <c r="K3714">
        <v>1.1210310000000001</v>
      </c>
      <c r="L3714">
        <v>215.07320000000001</v>
      </c>
      <c r="M3714">
        <v>0.99985840000000004</v>
      </c>
      <c r="N3714">
        <v>-1.3877250000000001E-2</v>
      </c>
      <c r="O3714">
        <v>-9.5231550000000002E-3</v>
      </c>
      <c r="P3714">
        <v>0.98266759999999997</v>
      </c>
      <c r="Q3714">
        <v>0.17366429999999999</v>
      </c>
      <c r="R3714">
        <v>-6.4849199999999996E-2</v>
      </c>
      <c r="S3714">
        <v>3.0776669999999999</v>
      </c>
      <c r="T3714">
        <v>-0.31081989999999998</v>
      </c>
      <c r="U3714">
        <v>-0.46229550000000003</v>
      </c>
      <c r="V3714">
        <v>5.5503169999999998E-2</v>
      </c>
      <c r="W3714">
        <v>0.1872876</v>
      </c>
      <c r="X3714">
        <v>0.98073580000000005</v>
      </c>
      <c r="Y3714">
        <v>0.13836850000000001</v>
      </c>
      <c r="Z3714">
        <v>-7.0762919999999997E-3</v>
      </c>
      <c r="AA3714">
        <v>0.9903556</v>
      </c>
      <c r="AB3714">
        <v>25</v>
      </c>
      <c r="AC3714">
        <v>0.50510000000002697</v>
      </c>
      <c r="AD3714">
        <v>-7.7179999999999804E-2</v>
      </c>
      <c r="AE3714">
        <v>-0.11240000000000799</v>
      </c>
      <c r="AF3714">
        <v>0.105242991646225</v>
      </c>
      <c r="AG3714">
        <v>-7.7179999999999804E-2</v>
      </c>
      <c r="AH3714">
        <v>0.49513256609279599</v>
      </c>
      <c r="AI3714">
        <v>98.669188438958102</v>
      </c>
      <c r="AJ3714">
        <v>78.000075748873897</v>
      </c>
      <c r="AK3714">
        <v>0.512044038825065</v>
      </c>
      <c r="AL3714">
        <v>79.205465985061096</v>
      </c>
      <c r="AM3714">
        <v>86.760892368009095</v>
      </c>
      <c r="AN3714">
        <v>0.99999997819772402</v>
      </c>
    </row>
    <row r="3715" spans="1:40" x14ac:dyDescent="0.25">
      <c r="A3715" t="str">
        <f>"20190303162331844"</f>
        <v>20190303162331844</v>
      </c>
      <c r="B3715" t="str">
        <f>"1551601411838627"</f>
        <v>1551601411838627</v>
      </c>
      <c r="C3715" t="s">
        <v>40</v>
      </c>
      <c r="D3715">
        <v>5.5217330000000002</v>
      </c>
      <c r="E3715">
        <v>0.52277569999999995</v>
      </c>
      <c r="F3715" t="s">
        <v>42</v>
      </c>
      <c r="G3715">
        <v>-223.7835</v>
      </c>
      <c r="H3715">
        <v>1.0247660000000001</v>
      </c>
      <c r="I3715">
        <v>214.93129999999999</v>
      </c>
      <c r="J3715">
        <v>-224.48269999999999</v>
      </c>
      <c r="K3715">
        <v>1.121027</v>
      </c>
      <c r="L3715">
        <v>215.07079999999999</v>
      </c>
      <c r="M3715">
        <v>0.99985820000000003</v>
      </c>
      <c r="N3715">
        <v>-1.387473E-2</v>
      </c>
      <c r="O3715">
        <v>-9.5500680000000001E-3</v>
      </c>
      <c r="P3715">
        <v>0.98255749999999997</v>
      </c>
      <c r="Q3715">
        <v>0.1744135</v>
      </c>
      <c r="R3715">
        <v>-6.4505499999999993E-2</v>
      </c>
      <c r="S3715">
        <v>3.0779570000000001</v>
      </c>
      <c r="T3715">
        <v>-0.31442680000000001</v>
      </c>
      <c r="U3715">
        <v>-0.46282960000000001</v>
      </c>
      <c r="V3715">
        <v>5.5133840000000003E-2</v>
      </c>
      <c r="W3715">
        <v>0.18803320000000001</v>
      </c>
      <c r="X3715">
        <v>0.98061399999999999</v>
      </c>
      <c r="Y3715">
        <v>0.13847960000000001</v>
      </c>
      <c r="Z3715">
        <v>-7.1485749999999999E-3</v>
      </c>
      <c r="AA3715">
        <v>0.99033950000000004</v>
      </c>
      <c r="AB3715">
        <v>25</v>
      </c>
      <c r="AC3715">
        <v>0.69919999999999005</v>
      </c>
      <c r="AD3715">
        <v>-9.6260999999999902E-2</v>
      </c>
      <c r="AE3715">
        <v>-0.13949999999999799</v>
      </c>
      <c r="AF3715">
        <v>0.13043792815288599</v>
      </c>
      <c r="AG3715">
        <v>-9.6260999999999902E-2</v>
      </c>
      <c r="AH3715">
        <v>0.68796014080592804</v>
      </c>
      <c r="AI3715">
        <v>97.827568748004694</v>
      </c>
      <c r="AJ3715">
        <v>79.264099214383805</v>
      </c>
      <c r="AK3715">
        <v>0.70680222733062303</v>
      </c>
      <c r="AL3715">
        <v>79.161974029490196</v>
      </c>
      <c r="AM3715">
        <v>86.782001835307199</v>
      </c>
      <c r="AN3715">
        <v>1.0000000208056901</v>
      </c>
    </row>
    <row r="3716" spans="1:40" x14ac:dyDescent="0.25">
      <c r="A3716" t="str">
        <f>"20190303162331866"</f>
        <v>20190303162331866</v>
      </c>
      <c r="B3716" t="str">
        <f>"1551601411858146"</f>
        <v>1551601411858146</v>
      </c>
      <c r="C3716" t="s">
        <v>40</v>
      </c>
      <c r="D3716">
        <v>5.5275809999999996</v>
      </c>
      <c r="E3716">
        <v>0.52065969999999995</v>
      </c>
      <c r="F3716" t="s">
        <v>42</v>
      </c>
      <c r="G3716">
        <v>-223.5669</v>
      </c>
      <c r="H3716">
        <v>1.0108569999999999</v>
      </c>
      <c r="I3716">
        <v>214.96449999999999</v>
      </c>
      <c r="J3716">
        <v>-224.23660000000001</v>
      </c>
      <c r="K3716">
        <v>1.1210279999999999</v>
      </c>
      <c r="L3716">
        <v>215.0684</v>
      </c>
      <c r="M3716">
        <v>0.99985800000000002</v>
      </c>
      <c r="N3716">
        <v>-1.387217E-2</v>
      </c>
      <c r="O3716">
        <v>-9.5766280000000002E-3</v>
      </c>
      <c r="P3716">
        <v>0.98253109999999999</v>
      </c>
      <c r="Q3716">
        <v>0.17461070000000001</v>
      </c>
      <c r="R3716">
        <v>-6.4371999999999999E-2</v>
      </c>
      <c r="S3716">
        <v>3.0958860000000001</v>
      </c>
      <c r="T3716">
        <v>-0.37265359999999997</v>
      </c>
      <c r="U3716">
        <v>-0.3585663</v>
      </c>
      <c r="V3716">
        <v>5.4974620000000002E-2</v>
      </c>
      <c r="W3716">
        <v>0.18822710000000001</v>
      </c>
      <c r="X3716">
        <v>0.9805857</v>
      </c>
      <c r="Y3716">
        <v>0.10475180000000001</v>
      </c>
      <c r="Z3716">
        <v>-5.9804189999999998E-3</v>
      </c>
      <c r="AA3716">
        <v>0.99448040000000004</v>
      </c>
      <c r="AB3716">
        <v>25</v>
      </c>
      <c r="AC3716">
        <v>0.66970000000000596</v>
      </c>
      <c r="AD3716">
        <v>-0.11017100000000001</v>
      </c>
      <c r="AE3716">
        <v>-0.10390000000001</v>
      </c>
      <c r="AF3716">
        <v>9.4971361563400802E-2</v>
      </c>
      <c r="AG3716">
        <v>-0.11017100000000001</v>
      </c>
      <c r="AH3716">
        <v>0.65339719811641295</v>
      </c>
      <c r="AI3716">
        <v>99.473056351612499</v>
      </c>
      <c r="AJ3716">
        <v>81.729966399996698</v>
      </c>
      <c r="AK3716">
        <v>0.66939159485654198</v>
      </c>
      <c r="AL3716">
        <v>79.150661978508694</v>
      </c>
      <c r="AM3716">
        <v>86.791183174862198</v>
      </c>
      <c r="AN3716">
        <v>0.999999982531522</v>
      </c>
    </row>
    <row r="3717" spans="1:40" x14ac:dyDescent="0.25">
      <c r="A3717" t="str">
        <f>"20190303162331889"</f>
        <v>20190303162331889</v>
      </c>
      <c r="B3717" t="str">
        <f>"1551601411878642"</f>
        <v>1551601411878642</v>
      </c>
      <c r="C3717" t="s">
        <v>40</v>
      </c>
      <c r="D3717">
        <v>5.5139089999999999</v>
      </c>
      <c r="E3717">
        <v>0.51966990000000002</v>
      </c>
      <c r="F3717" t="s">
        <v>42</v>
      </c>
      <c r="G3717">
        <v>-223.34190000000001</v>
      </c>
      <c r="H3717">
        <v>1.0140940000000001</v>
      </c>
      <c r="I3717">
        <v>214.96979999999999</v>
      </c>
      <c r="J3717">
        <v>-223.98310000000001</v>
      </c>
      <c r="K3717">
        <v>1.1210290000000001</v>
      </c>
      <c r="L3717">
        <v>215.066</v>
      </c>
      <c r="M3717">
        <v>0.99985780000000002</v>
      </c>
      <c r="N3717">
        <v>-1.386952E-2</v>
      </c>
      <c r="O3717">
        <v>-9.6040280000000006E-3</v>
      </c>
      <c r="P3717">
        <v>0.98252340000000005</v>
      </c>
      <c r="Q3717">
        <v>0.17473729999999901</v>
      </c>
      <c r="R3717">
        <v>-6.414947E-2</v>
      </c>
      <c r="S3717">
        <v>3.0967709999999999</v>
      </c>
      <c r="T3717">
        <v>-0.37018699999999999</v>
      </c>
      <c r="U3717">
        <v>-0.34143069999999998</v>
      </c>
      <c r="V3717">
        <v>5.4725099999999999E-2</v>
      </c>
      <c r="W3717">
        <v>0.1883512</v>
      </c>
      <c r="X3717">
        <v>0.98057589999999994</v>
      </c>
      <c r="Y3717">
        <v>9.9309499999999995E-2</v>
      </c>
      <c r="Z3717">
        <v>-5.5824859999999898E-3</v>
      </c>
      <c r="AA3717">
        <v>0.99504099999999995</v>
      </c>
      <c r="AB3717">
        <v>25</v>
      </c>
      <c r="AC3717">
        <v>0.64119999999999699</v>
      </c>
      <c r="AD3717">
        <v>-0.106934999999999</v>
      </c>
      <c r="AE3717">
        <v>-9.61999999999818E-2</v>
      </c>
      <c r="AF3717">
        <v>8.7652625833343906E-2</v>
      </c>
      <c r="AG3717">
        <v>-0.106934999999999</v>
      </c>
      <c r="AH3717">
        <v>0.62509128861144803</v>
      </c>
      <c r="AI3717">
        <v>99.615385266842097</v>
      </c>
      <c r="AJ3717">
        <v>82.017818187213905</v>
      </c>
      <c r="AK3717">
        <v>0.64020090295031695</v>
      </c>
      <c r="AL3717">
        <v>79.1434228552028</v>
      </c>
      <c r="AM3717">
        <v>86.805685336129997</v>
      </c>
      <c r="AN3717">
        <v>1.00000005338612</v>
      </c>
    </row>
    <row r="3718" spans="1:40" x14ac:dyDescent="0.25">
      <c r="A3718" t="str">
        <f>"20190303162331912"</f>
        <v>20190303162331912</v>
      </c>
      <c r="B3718" t="str">
        <f>"1551601411898163"</f>
        <v>1551601411898163</v>
      </c>
      <c r="C3718" t="s">
        <v>40</v>
      </c>
      <c r="D3718">
        <v>5.5309010000000001</v>
      </c>
      <c r="E3718">
        <v>0.51928450000000004</v>
      </c>
      <c r="F3718" t="s">
        <v>42</v>
      </c>
      <c r="G3718">
        <v>-223.11760000000001</v>
      </c>
      <c r="H3718">
        <v>1.0166489999999999</v>
      </c>
      <c r="I3718">
        <v>214.97280000000001</v>
      </c>
      <c r="J3718">
        <v>-223.72919999999999</v>
      </c>
      <c r="K3718">
        <v>1.1210249999999999</v>
      </c>
      <c r="L3718">
        <v>215.0635</v>
      </c>
      <c r="M3718">
        <v>0.99985740000000001</v>
      </c>
      <c r="N3718">
        <v>-1.386685E-2</v>
      </c>
      <c r="O3718">
        <v>-9.6313119999999995E-3</v>
      </c>
      <c r="P3718">
        <v>0.98247649999999997</v>
      </c>
      <c r="Q3718">
        <v>0.17492089999999999</v>
      </c>
      <c r="R3718">
        <v>-6.436364E-2</v>
      </c>
      <c r="S3718">
        <v>3.098068</v>
      </c>
      <c r="T3718">
        <v>-0.3736467</v>
      </c>
      <c r="U3718">
        <v>-0.33293149999999999</v>
      </c>
      <c r="V3718">
        <v>5.4912959999999997E-2</v>
      </c>
      <c r="W3718">
        <v>0.18853149999999999</v>
      </c>
      <c r="X3718">
        <v>0.98053069999999998</v>
      </c>
      <c r="Y3718">
        <v>9.6548629999999996E-2</v>
      </c>
      <c r="Z3718">
        <v>-5.4375519999999896E-3</v>
      </c>
      <c r="AA3718">
        <v>0.99531340000000001</v>
      </c>
      <c r="AB3718">
        <v>25</v>
      </c>
      <c r="AC3718">
        <v>0.61159999999998105</v>
      </c>
      <c r="AD3718">
        <v>-0.104376</v>
      </c>
      <c r="AE3718">
        <v>-9.0699999999998199E-2</v>
      </c>
      <c r="AF3718">
        <v>8.2454893129534898E-2</v>
      </c>
      <c r="AG3718">
        <v>-0.104376</v>
      </c>
      <c r="AH3718">
        <v>0.59547525541637303</v>
      </c>
      <c r="AI3718">
        <v>99.849799717835893</v>
      </c>
      <c r="AJ3718">
        <v>82.116438379942593</v>
      </c>
      <c r="AK3718">
        <v>0.61015075070854197</v>
      </c>
      <c r="AL3718">
        <v>79.132903461134504</v>
      </c>
      <c r="AM3718">
        <v>86.794595289947793</v>
      </c>
      <c r="AN3718">
        <v>1.00000000665535</v>
      </c>
    </row>
    <row r="3719" spans="1:40" x14ac:dyDescent="0.25">
      <c r="A3719" t="str">
        <f>"20190303162331934"</f>
        <v>20190303162331934</v>
      </c>
      <c r="B3719" t="str">
        <f>"1551601411928418"</f>
        <v>1551601411928418</v>
      </c>
      <c r="C3719" t="s">
        <v>40</v>
      </c>
      <c r="D3719">
        <v>5.5344300000000004</v>
      </c>
      <c r="E3719">
        <v>0.51934170000000002</v>
      </c>
      <c r="F3719" t="s">
        <v>42</v>
      </c>
      <c r="G3719">
        <v>-222.8931</v>
      </c>
      <c r="H3719">
        <v>1.0200129999999901</v>
      </c>
      <c r="I3719">
        <v>214.9744</v>
      </c>
      <c r="J3719">
        <v>-223.47980000000001</v>
      </c>
      <c r="K3719">
        <v>1.1210249999999999</v>
      </c>
      <c r="L3719">
        <v>215.06110000000001</v>
      </c>
      <c r="M3719">
        <v>0.99985740000000001</v>
      </c>
      <c r="N3719">
        <v>-1.386424E-2</v>
      </c>
      <c r="O3719">
        <v>-9.6588319999999991E-3</v>
      </c>
      <c r="P3719">
        <v>0.98239869999999996</v>
      </c>
      <c r="Q3719">
        <v>0.17514070000000001</v>
      </c>
      <c r="R3719">
        <v>-6.4951610000000007E-2</v>
      </c>
      <c r="S3719">
        <v>3.0985260000000001</v>
      </c>
      <c r="T3719">
        <v>-0.37428410000000001</v>
      </c>
      <c r="U3719">
        <v>-0.33032230000000001</v>
      </c>
      <c r="V3719">
        <v>5.5474639999999999E-2</v>
      </c>
      <c r="W3719">
        <v>0.18874730000000001</v>
      </c>
      <c r="X3719">
        <v>0.98045749999999998</v>
      </c>
      <c r="Y3719">
        <v>9.56819E-2</v>
      </c>
      <c r="Z3719">
        <v>-5.3837679999999997E-3</v>
      </c>
      <c r="AA3719">
        <v>0.99539739999999999</v>
      </c>
      <c r="AB3719">
        <v>25</v>
      </c>
      <c r="AC3719">
        <v>0.58670000000000699</v>
      </c>
      <c r="AD3719">
        <v>-0.101012</v>
      </c>
      <c r="AE3719">
        <v>-8.6700000000007493E-2</v>
      </c>
      <c r="AF3719">
        <v>7.8744286092623794E-2</v>
      </c>
      <c r="AG3719">
        <v>-0.101012</v>
      </c>
      <c r="AH3719">
        <v>0.57094754458487795</v>
      </c>
      <c r="AI3719">
        <v>99.940750054300693</v>
      </c>
      <c r="AJ3719">
        <v>82.147385834523504</v>
      </c>
      <c r="AK3719">
        <v>0.58513689458428297</v>
      </c>
      <c r="AL3719">
        <v>79.120312299317007</v>
      </c>
      <c r="AM3719">
        <v>86.761636822671306</v>
      </c>
      <c r="AN3719">
        <v>0.99999994412333304</v>
      </c>
    </row>
    <row r="3720" spans="1:40" x14ac:dyDescent="0.25">
      <c r="A3720" t="str">
        <f>"20190303162331955"</f>
        <v>20190303162331955</v>
      </c>
      <c r="B3720" t="str">
        <f>"1551601411948915"</f>
        <v>1551601411948915</v>
      </c>
      <c r="C3720" t="s">
        <v>40</v>
      </c>
      <c r="D3720">
        <v>5.5196449999999997</v>
      </c>
      <c r="E3720">
        <v>0.51932219999999996</v>
      </c>
      <c r="F3720" t="s">
        <v>42</v>
      </c>
      <c r="G3720">
        <v>-222.66890000000001</v>
      </c>
      <c r="H3720">
        <v>1.0232399999999999</v>
      </c>
      <c r="I3720">
        <v>214.97389999999999</v>
      </c>
      <c r="J3720">
        <v>-223.2389</v>
      </c>
      <c r="K3720">
        <v>1.121027</v>
      </c>
      <c r="L3720">
        <v>215.05869999999999</v>
      </c>
      <c r="M3720">
        <v>0.9998572</v>
      </c>
      <c r="N3720">
        <v>-1.3861719999999999E-2</v>
      </c>
      <c r="O3720">
        <v>-9.6857550000000008E-3</v>
      </c>
      <c r="P3720">
        <v>0.98231999999999997</v>
      </c>
      <c r="Q3720">
        <v>0.17551439999999999</v>
      </c>
      <c r="R3720">
        <v>-6.5134730000000002E-2</v>
      </c>
      <c r="S3720">
        <v>3.0984189999999998</v>
      </c>
      <c r="T3720">
        <v>-0.37380459999999999</v>
      </c>
      <c r="U3720">
        <v>-0.332260099999999</v>
      </c>
      <c r="V3720">
        <v>5.5632149999999998E-2</v>
      </c>
      <c r="W3720">
        <v>0.1891177</v>
      </c>
      <c r="X3720">
        <v>0.98037730000000001</v>
      </c>
      <c r="Y3720">
        <v>9.627136E-2</v>
      </c>
      <c r="Z3720">
        <v>-5.4143990000000003E-3</v>
      </c>
      <c r="AA3720">
        <v>0.99534040000000001</v>
      </c>
      <c r="AB3720">
        <v>25</v>
      </c>
      <c r="AC3720">
        <v>0.56999999999999296</v>
      </c>
      <c r="AD3720">
        <v>-9.7786999999999999E-2</v>
      </c>
      <c r="AE3720">
        <v>-8.4800000000001305E-2</v>
      </c>
      <c r="AF3720">
        <v>7.7055849745218105E-2</v>
      </c>
      <c r="AG3720">
        <v>-9.7786999999999999E-2</v>
      </c>
      <c r="AH3720">
        <v>0.55481911300129005</v>
      </c>
      <c r="AI3720">
        <v>99.902594370596603</v>
      </c>
      <c r="AJ3720">
        <v>82.093076440292506</v>
      </c>
      <c r="AK3720">
        <v>0.56861599476315805</v>
      </c>
      <c r="AL3720">
        <v>79.098701836535497</v>
      </c>
      <c r="AM3720">
        <v>86.752196643818905</v>
      </c>
      <c r="AN3720">
        <v>1.0000000454611</v>
      </c>
    </row>
    <row r="3721" spans="1:40" x14ac:dyDescent="0.25">
      <c r="A3721" t="str">
        <f>"20190303162331979"</f>
        <v>20190303162331979</v>
      </c>
      <c r="B3721" t="str">
        <f>"1551601411968435"</f>
        <v>1551601411968435</v>
      </c>
      <c r="C3721" t="s">
        <v>40</v>
      </c>
      <c r="D3721">
        <v>5.570335</v>
      </c>
      <c r="E3721">
        <v>0.51930359999999998</v>
      </c>
      <c r="F3721" t="s">
        <v>42</v>
      </c>
      <c r="G3721">
        <v>-222.44560000000001</v>
      </c>
      <c r="H3721">
        <v>1.025382</v>
      </c>
      <c r="I3721">
        <v>214.97319999999999</v>
      </c>
      <c r="J3721">
        <v>-222.99029999999999</v>
      </c>
      <c r="K3721">
        <v>1.1210359999999999</v>
      </c>
      <c r="L3721">
        <v>215.05629999999999</v>
      </c>
      <c r="M3721">
        <v>0.99985679999999999</v>
      </c>
      <c r="N3721">
        <v>-1.3859109999999999E-2</v>
      </c>
      <c r="O3721">
        <v>-9.7138699999999994E-3</v>
      </c>
      <c r="P3721">
        <v>0.98234549999999998</v>
      </c>
      <c r="Q3721">
        <v>0.1752591</v>
      </c>
      <c r="R3721">
        <v>-6.5437759999999998E-2</v>
      </c>
      <c r="S3721">
        <v>3.0986479999999998</v>
      </c>
      <c r="T3721">
        <v>-0.37362859999999998</v>
      </c>
      <c r="U3721">
        <v>-0.33329769999999997</v>
      </c>
      <c r="V3721">
        <v>5.5907159999999997E-2</v>
      </c>
      <c r="W3721">
        <v>0.18886020000000001</v>
      </c>
      <c r="X3721">
        <v>0.98041120000000004</v>
      </c>
      <c r="Y3721">
        <v>9.6563670000000004E-2</v>
      </c>
      <c r="Z3721">
        <v>-5.4282530000000001E-3</v>
      </c>
      <c r="AA3721">
        <v>0.99531199999999997</v>
      </c>
      <c r="AB3721">
        <v>25</v>
      </c>
      <c r="AC3721">
        <v>0.54469999999997698</v>
      </c>
      <c r="AD3721">
        <v>-9.56540000000001E-2</v>
      </c>
      <c r="AE3721">
        <v>-8.31000000000017E-2</v>
      </c>
      <c r="AF3721">
        <v>7.5528235261990206E-2</v>
      </c>
      <c r="AG3721">
        <v>-9.56540000000001E-2</v>
      </c>
      <c r="AH3721">
        <v>0.52952337937046401</v>
      </c>
      <c r="AI3721">
        <v>100.139124078888</v>
      </c>
      <c r="AJ3721">
        <v>81.882406526927696</v>
      </c>
      <c r="AK3721">
        <v>0.54336839376035395</v>
      </c>
      <c r="AL3721">
        <v>79.113725236255206</v>
      </c>
      <c r="AM3721">
        <v>86.7362888024238</v>
      </c>
      <c r="AN3721">
        <v>0.99999995338437098</v>
      </c>
    </row>
    <row r="3722" spans="1:40" x14ac:dyDescent="0.25">
      <c r="A3722" t="str">
        <f>"20190303162332000"</f>
        <v>20190303162332000</v>
      </c>
      <c r="B3722" t="str">
        <f>"1551601411988931"</f>
        <v>1551601411988931</v>
      </c>
      <c r="C3722" t="s">
        <v>40</v>
      </c>
      <c r="D3722">
        <v>5.7477489999999998</v>
      </c>
      <c r="E3722">
        <v>0.51756499999999905</v>
      </c>
      <c r="F3722" t="s">
        <v>42</v>
      </c>
      <c r="G3722">
        <v>-222.22239999999999</v>
      </c>
      <c r="H3722">
        <v>1.0277829999999999</v>
      </c>
      <c r="I3722">
        <v>214.97329999999999</v>
      </c>
      <c r="J3722">
        <v>-222.7422</v>
      </c>
      <c r="K3722">
        <v>1.12104</v>
      </c>
      <c r="L3722">
        <v>215.0538</v>
      </c>
      <c r="M3722">
        <v>0.99985650000000004</v>
      </c>
      <c r="N3722">
        <v>-1.3856490000000001E-2</v>
      </c>
      <c r="O3722">
        <v>-9.7416289999999999E-3</v>
      </c>
      <c r="P3722">
        <v>0.98231420000000003</v>
      </c>
      <c r="Q3722">
        <v>0.17508389999999999</v>
      </c>
      <c r="R3722">
        <v>-6.6364939999999997E-2</v>
      </c>
      <c r="S3722">
        <v>3.0988159999999998</v>
      </c>
      <c r="T3722">
        <v>-0.37649460000000001</v>
      </c>
      <c r="U3722">
        <v>-0.33396910000000002</v>
      </c>
      <c r="V3722">
        <v>5.6807589999999998E-2</v>
      </c>
      <c r="W3722">
        <v>0.18868219999999999</v>
      </c>
      <c r="X3722">
        <v>0.98039379999999998</v>
      </c>
      <c r="Y3722">
        <v>9.6732100000000001E-2</v>
      </c>
      <c r="Z3722">
        <v>-5.4713969999999898E-3</v>
      </c>
      <c r="AA3722">
        <v>0.99529540000000005</v>
      </c>
      <c r="AB3722">
        <v>25</v>
      </c>
      <c r="AC3722">
        <v>0.51980000000000304</v>
      </c>
      <c r="AD3722">
        <v>-9.3257000000000104E-2</v>
      </c>
      <c r="AE3722">
        <v>-8.0500000000000599E-2</v>
      </c>
      <c r="AF3722">
        <v>7.3133140086553305E-2</v>
      </c>
      <c r="AG3722">
        <v>-9.3257000000000104E-2</v>
      </c>
      <c r="AH3722">
        <v>0.50469510958791197</v>
      </c>
      <c r="AI3722">
        <v>100.36311384848599</v>
      </c>
      <c r="AJ3722">
        <v>81.754911030427493</v>
      </c>
      <c r="AK3722">
        <v>0.51842306841987096</v>
      </c>
      <c r="AL3722">
        <v>79.124111545279504</v>
      </c>
      <c r="AM3722">
        <v>86.683781756107706</v>
      </c>
      <c r="AN3722">
        <v>1.00000003897844</v>
      </c>
    </row>
    <row r="3723" spans="1:40" x14ac:dyDescent="0.25">
      <c r="A3723" t="str">
        <f>"20190303162332024"</f>
        <v>20190303162332024</v>
      </c>
      <c r="B3723" t="str">
        <f>"1551601412018210"</f>
        <v>1551601412018210</v>
      </c>
      <c r="C3723" t="s">
        <v>40</v>
      </c>
      <c r="D3723">
        <v>11.500780000000001</v>
      </c>
      <c r="E3723">
        <v>0.51351619999999998</v>
      </c>
      <c r="F3723" t="s">
        <v>42</v>
      </c>
      <c r="G3723">
        <v>-221.99979999999999</v>
      </c>
      <c r="H3723">
        <v>1.0295190000000001</v>
      </c>
      <c r="I3723">
        <v>214.97669999999999</v>
      </c>
      <c r="J3723">
        <v>-222.49299999999999</v>
      </c>
      <c r="K3723">
        <v>1.1210370000000001</v>
      </c>
      <c r="L3723">
        <v>215.0514</v>
      </c>
      <c r="M3723">
        <v>0.99985630000000003</v>
      </c>
      <c r="N3723">
        <v>-1.3853890000000001E-2</v>
      </c>
      <c r="O3723">
        <v>-9.769626E-3</v>
      </c>
      <c r="P3723">
        <v>0.98218439999999996</v>
      </c>
      <c r="Q3723">
        <v>0.1750987</v>
      </c>
      <c r="R3723">
        <v>-6.822193E-2</v>
      </c>
      <c r="S3723">
        <v>3.1003880000000001</v>
      </c>
      <c r="T3723">
        <v>-0.38228129999999999</v>
      </c>
      <c r="U3723">
        <v>-0.32218930000000001</v>
      </c>
      <c r="V3723">
        <v>5.8638299999999997E-2</v>
      </c>
      <c r="W3723">
        <v>0.18869250000000001</v>
      </c>
      <c r="X3723">
        <v>0.98028400000000004</v>
      </c>
      <c r="Y3723">
        <v>9.2921409999999996E-2</v>
      </c>
      <c r="Z3723">
        <v>-5.2778419999999996E-3</v>
      </c>
      <c r="AA3723">
        <v>0.99565950000000003</v>
      </c>
      <c r="AB3723">
        <v>25</v>
      </c>
      <c r="AC3723">
        <v>0.49320000000000103</v>
      </c>
      <c r="AD3723">
        <v>-9.1518000000000002E-2</v>
      </c>
      <c r="AE3723">
        <v>-7.4700000000007094E-2</v>
      </c>
      <c r="AF3723">
        <v>6.7602092296889696E-2</v>
      </c>
      <c r="AG3723">
        <v>-9.1518000000000002E-2</v>
      </c>
      <c r="AH3723">
        <v>0.47782271058331</v>
      </c>
      <c r="AI3723">
        <v>100.73820774738699</v>
      </c>
      <c r="AJ3723">
        <v>81.947270022986899</v>
      </c>
      <c r="AK3723">
        <v>0.491182379525262</v>
      </c>
      <c r="AL3723">
        <v>79.123510342633907</v>
      </c>
      <c r="AM3723">
        <v>86.576779297639007</v>
      </c>
      <c r="AN3723">
        <v>1.00000001521957</v>
      </c>
    </row>
    <row r="3724" spans="1:40" x14ac:dyDescent="0.25">
      <c r="A3724" t="str">
        <f>"20190303162332045"</f>
        <v>20190303162332045</v>
      </c>
      <c r="B3724" t="str">
        <f>"1551601412038707"</f>
        <v>1551601412038707</v>
      </c>
      <c r="C3724" t="s">
        <v>40</v>
      </c>
      <c r="D3724">
        <v>5.5666589999999996</v>
      </c>
      <c r="E3724">
        <v>0.51177450000000002</v>
      </c>
      <c r="F3724" t="s">
        <v>42</v>
      </c>
      <c r="G3724">
        <v>-221.56620000000001</v>
      </c>
      <c r="H3724">
        <v>1.0115099999999999</v>
      </c>
      <c r="I3724">
        <v>214.96250000000001</v>
      </c>
      <c r="J3724">
        <v>-222.2482</v>
      </c>
      <c r="K3724">
        <v>1.1210370000000001</v>
      </c>
      <c r="L3724">
        <v>215.0489</v>
      </c>
      <c r="M3724">
        <v>0.99985619999999997</v>
      </c>
      <c r="N3724">
        <v>-1.385137E-2</v>
      </c>
      <c r="O3724">
        <v>-9.7973839999999993E-3</v>
      </c>
      <c r="P3724">
        <v>0.98215750000000002</v>
      </c>
      <c r="Q3724">
        <v>0.17460300000000001</v>
      </c>
      <c r="R3724">
        <v>-6.9861740000000006E-2</v>
      </c>
      <c r="S3724">
        <v>3.099075</v>
      </c>
      <c r="T3724">
        <v>-0.36625649999999998</v>
      </c>
      <c r="U3724">
        <v>-0.29710389999999998</v>
      </c>
      <c r="V3724">
        <v>6.0250970000000001E-2</v>
      </c>
      <c r="W3724">
        <v>0.18819430000000001</v>
      </c>
      <c r="X3724">
        <v>0.98028190000000004</v>
      </c>
      <c r="Y3724">
        <v>8.5069199999999998E-2</v>
      </c>
      <c r="Z3724">
        <v>-4.5747849999999996E-3</v>
      </c>
      <c r="AA3724">
        <v>0.99636449999999999</v>
      </c>
      <c r="AB3724">
        <v>25</v>
      </c>
      <c r="AC3724">
        <v>0.68199999999998795</v>
      </c>
      <c r="AD3724">
        <v>-0.109526999999999</v>
      </c>
      <c r="AE3724">
        <v>-8.6399999999997507E-2</v>
      </c>
      <c r="AF3724">
        <v>7.7740048596409206E-2</v>
      </c>
      <c r="AG3724">
        <v>-0.109526999999999</v>
      </c>
      <c r="AH3724">
        <v>0.66591041442006604</v>
      </c>
      <c r="AI3724">
        <v>99.278310161246097</v>
      </c>
      <c r="AJ3724">
        <v>83.341288233404399</v>
      </c>
      <c r="AK3724">
        <v>0.67932051265796201</v>
      </c>
      <c r="AL3724">
        <v>79.1525749956743</v>
      </c>
      <c r="AM3724">
        <v>86.482859573292103</v>
      </c>
      <c r="AN3724">
        <v>0.99999993870301795</v>
      </c>
    </row>
    <row r="3725" spans="1:40" x14ac:dyDescent="0.25">
      <c r="A3725" t="str">
        <f>"20190303162332067"</f>
        <v>20190303162332067</v>
      </c>
      <c r="B3725" t="str">
        <f>"1551601412058226"</f>
        <v>1551601412058226</v>
      </c>
      <c r="C3725" t="s">
        <v>40</v>
      </c>
      <c r="D3725">
        <v>5.741733</v>
      </c>
      <c r="E3725">
        <v>0.51063789999999998</v>
      </c>
      <c r="F3725" t="s">
        <v>42</v>
      </c>
      <c r="G3725">
        <v>-221.3434</v>
      </c>
      <c r="H3725">
        <v>1.0153939999999999</v>
      </c>
      <c r="I3725">
        <v>214.96440000000001</v>
      </c>
      <c r="J3725">
        <v>-222.00309999999999</v>
      </c>
      <c r="K3725">
        <v>1.12104</v>
      </c>
      <c r="L3725">
        <v>215.04650000000001</v>
      </c>
      <c r="M3725">
        <v>0.99985599999999997</v>
      </c>
      <c r="N3725">
        <v>-1.38488E-2</v>
      </c>
      <c r="O3725">
        <v>-9.8254959999999995E-3</v>
      </c>
      <c r="P3725">
        <v>0.98197840000000003</v>
      </c>
      <c r="Q3725">
        <v>0.17514950000000001</v>
      </c>
      <c r="R3725">
        <v>-7.1003179999999999E-2</v>
      </c>
      <c r="S3725">
        <v>3.0982509999999999</v>
      </c>
      <c r="T3725">
        <v>-0.36184359999999999</v>
      </c>
      <c r="U3725">
        <v>-0.28909299999999999</v>
      </c>
      <c r="V3725">
        <v>6.1366320000000002E-2</v>
      </c>
      <c r="W3725">
        <v>0.1887356</v>
      </c>
      <c r="X3725">
        <v>0.98010870000000005</v>
      </c>
      <c r="Y3725">
        <v>8.2544919999999994E-2</v>
      </c>
      <c r="Z3725">
        <v>-4.3629200000000002E-3</v>
      </c>
      <c r="AA3725">
        <v>0.99657779999999996</v>
      </c>
      <c r="AB3725">
        <v>25</v>
      </c>
      <c r="AC3725">
        <v>0.65969999999998596</v>
      </c>
      <c r="AD3725">
        <v>-0.105645999999999</v>
      </c>
      <c r="AE3725">
        <v>-8.2099999999996898E-2</v>
      </c>
      <c r="AF3725">
        <v>7.37509931433388E-2</v>
      </c>
      <c r="AG3725">
        <v>-0.105645999999999</v>
      </c>
      <c r="AH3725">
        <v>0.64420581855742798</v>
      </c>
      <c r="AI3725">
        <v>99.253883946819798</v>
      </c>
      <c r="AJ3725">
        <v>83.469007372796298</v>
      </c>
      <c r="AK3725">
        <v>0.65696379121598103</v>
      </c>
      <c r="AL3725">
        <v>79.120995631035996</v>
      </c>
      <c r="AM3725">
        <v>86.417287831917704</v>
      </c>
      <c r="AN3725">
        <v>1.00000000787669</v>
      </c>
    </row>
    <row r="3726" spans="1:40" x14ac:dyDescent="0.25">
      <c r="A3726" t="str">
        <f>"20190303162332090"</f>
        <v>20190303162332090</v>
      </c>
      <c r="B3726" t="str">
        <f>"1551601412078723"</f>
        <v>1551601412078723</v>
      </c>
      <c r="C3726" t="s">
        <v>40</v>
      </c>
      <c r="D3726">
        <v>5.8001649999999998</v>
      </c>
      <c r="E3726">
        <v>0.50960509999999903</v>
      </c>
      <c r="F3726" t="s">
        <v>42</v>
      </c>
      <c r="G3726">
        <v>-221.1207</v>
      </c>
      <c r="H3726">
        <v>1.0195879999999999</v>
      </c>
      <c r="I3726">
        <v>214.96559999999999</v>
      </c>
      <c r="J3726">
        <v>-221.751</v>
      </c>
      <c r="K3726">
        <v>1.121043</v>
      </c>
      <c r="L3726">
        <v>215.04400000000001</v>
      </c>
      <c r="M3726">
        <v>0.99985570000000001</v>
      </c>
      <c r="N3726">
        <v>-1.384619E-2</v>
      </c>
      <c r="O3726">
        <v>-9.8538480000000001E-3</v>
      </c>
      <c r="P3726">
        <v>0.98195060000000001</v>
      </c>
      <c r="Q3726">
        <v>0.1750226</v>
      </c>
      <c r="R3726">
        <v>-7.1695419999999996E-2</v>
      </c>
      <c r="S3726">
        <v>3.0981139999999998</v>
      </c>
      <c r="T3726">
        <v>-0.3562225</v>
      </c>
      <c r="U3726">
        <v>-0.28353879999999998</v>
      </c>
      <c r="V3726">
        <v>6.2030969999999998E-2</v>
      </c>
      <c r="W3726">
        <v>0.18860589999999999</v>
      </c>
      <c r="X3726">
        <v>0.98009179999999996</v>
      </c>
      <c r="Y3726">
        <v>8.0778429999999998E-2</v>
      </c>
      <c r="Z3726">
        <v>-4.1906160000000003E-3</v>
      </c>
      <c r="AA3726">
        <v>0.99672329999999998</v>
      </c>
      <c r="AB3726">
        <v>25</v>
      </c>
      <c r="AC3726">
        <v>0.63029999999997699</v>
      </c>
      <c r="AD3726">
        <v>-0.101455</v>
      </c>
      <c r="AE3726">
        <v>-7.8400000000016207E-2</v>
      </c>
      <c r="AF3726">
        <v>7.0388793616917494E-2</v>
      </c>
      <c r="AG3726">
        <v>-0.101455</v>
      </c>
      <c r="AH3726">
        <v>0.61534195945289305</v>
      </c>
      <c r="AI3726">
        <v>99.302862199540101</v>
      </c>
      <c r="AJ3726">
        <v>83.474316134617894</v>
      </c>
      <c r="AK3726">
        <v>0.62760929435053103</v>
      </c>
      <c r="AL3726">
        <v>79.128562507604798</v>
      </c>
      <c r="AM3726">
        <v>86.378524413099399</v>
      </c>
      <c r="AN3726">
        <v>0.999999981590595</v>
      </c>
    </row>
    <row r="3727" spans="1:40" x14ac:dyDescent="0.25">
      <c r="A3727" t="str">
        <f>"20190303162332112"</f>
        <v>20190303162332112</v>
      </c>
      <c r="B3727" t="str">
        <f>"1551601412108978"</f>
        <v>1551601412108978</v>
      </c>
      <c r="C3727" t="s">
        <v>40</v>
      </c>
      <c r="D3727">
        <v>5.745609</v>
      </c>
      <c r="E3727">
        <v>0.50838399999999995</v>
      </c>
      <c r="F3727" t="s">
        <v>42</v>
      </c>
      <c r="G3727">
        <v>-220.89830000000001</v>
      </c>
      <c r="H3727">
        <v>1.0236749999999999</v>
      </c>
      <c r="I3727">
        <v>214.96780000000001</v>
      </c>
      <c r="J3727">
        <v>-221.50630000000001</v>
      </c>
      <c r="K3727">
        <v>1.121043</v>
      </c>
      <c r="L3727">
        <v>215.04150000000001</v>
      </c>
      <c r="M3727">
        <v>0.9998553</v>
      </c>
      <c r="N3727">
        <v>-1.3843609999999999E-2</v>
      </c>
      <c r="O3727">
        <v>-9.8811290000000006E-3</v>
      </c>
      <c r="P3727">
        <v>0.98204349999999996</v>
      </c>
      <c r="Q3727">
        <v>0.17438290000000001</v>
      </c>
      <c r="R3727">
        <v>-7.1981329999999996E-2</v>
      </c>
      <c r="S3727">
        <v>3.0980379999999998</v>
      </c>
      <c r="T3727">
        <v>-0.35379820000000001</v>
      </c>
      <c r="U3727">
        <v>-0.2761383</v>
      </c>
      <c r="V3727">
        <v>6.2289039999999997E-2</v>
      </c>
      <c r="W3727">
        <v>0.18796479999999999</v>
      </c>
      <c r="X3727">
        <v>0.98019860000000003</v>
      </c>
      <c r="Y3727">
        <v>7.8415449999999998E-2</v>
      </c>
      <c r="Z3727">
        <v>-4.0138580000000004E-3</v>
      </c>
      <c r="AA3727">
        <v>0.99691269999999998</v>
      </c>
      <c r="AB3727">
        <v>25</v>
      </c>
      <c r="AC3727">
        <v>0.60800000000000398</v>
      </c>
      <c r="AD3727">
        <v>-9.7368000000000093E-2</v>
      </c>
      <c r="AE3727">
        <v>-7.3700000000002305E-2</v>
      </c>
      <c r="AF3727">
        <v>6.6019459820642307E-2</v>
      </c>
      <c r="AG3727">
        <v>-9.7368000000000093E-2</v>
      </c>
      <c r="AH3727">
        <v>0.59369305464841804</v>
      </c>
      <c r="AI3727">
        <v>99.257752117031202</v>
      </c>
      <c r="AJ3727">
        <v>83.654701940284596</v>
      </c>
      <c r="AK3727">
        <v>0.60523593716564705</v>
      </c>
      <c r="AL3727">
        <v>79.1659639037631</v>
      </c>
      <c r="AM3727">
        <v>86.363893346021499</v>
      </c>
      <c r="AN3727">
        <v>0.99999999299256004</v>
      </c>
    </row>
    <row r="3728" spans="1:40" x14ac:dyDescent="0.25">
      <c r="A3728" t="str">
        <f>"20190303162332137"</f>
        <v>20190303162332137</v>
      </c>
      <c r="B3728" t="str">
        <f>"1551601412128499"</f>
        <v>1551601412128499</v>
      </c>
      <c r="C3728" t="s">
        <v>40</v>
      </c>
      <c r="D3728">
        <v>5.7998979999999998</v>
      </c>
      <c r="E3728">
        <v>0.50774719999999995</v>
      </c>
      <c r="F3728" t="s">
        <v>42</v>
      </c>
      <c r="G3728">
        <v>-220.67660000000001</v>
      </c>
      <c r="H3728">
        <v>1.026858</v>
      </c>
      <c r="I3728">
        <v>214.9699</v>
      </c>
      <c r="J3728">
        <v>-221.24379999999999</v>
      </c>
      <c r="K3728">
        <v>1.1210420000000001</v>
      </c>
      <c r="L3728">
        <v>215.03890000000001</v>
      </c>
      <c r="M3728">
        <v>0.9998551</v>
      </c>
      <c r="N3728">
        <v>-1.384081E-2</v>
      </c>
      <c r="O3728">
        <v>-9.9105519999999996E-3</v>
      </c>
      <c r="P3728">
        <v>0.98204139999999995</v>
      </c>
      <c r="Q3728">
        <v>0.1740651</v>
      </c>
      <c r="R3728">
        <v>-7.2774279999999997E-2</v>
      </c>
      <c r="S3728">
        <v>3.097702</v>
      </c>
      <c r="T3728">
        <v>-0.35160849999999999</v>
      </c>
      <c r="U3728">
        <v>-0.26724239999999999</v>
      </c>
      <c r="V3728">
        <v>6.3053029999999996E-2</v>
      </c>
      <c r="W3728">
        <v>0.1876449</v>
      </c>
      <c r="X3728">
        <v>0.9802111</v>
      </c>
      <c r="Y3728">
        <v>7.5580449999999993E-2</v>
      </c>
      <c r="Z3728">
        <v>-3.8111960000000002E-3</v>
      </c>
      <c r="AA3728">
        <v>0.99713240000000003</v>
      </c>
      <c r="AB3728">
        <v>25</v>
      </c>
      <c r="AC3728">
        <v>0.56719999999998505</v>
      </c>
      <c r="AD3728">
        <v>-9.4184000000000004E-2</v>
      </c>
      <c r="AE3728">
        <v>-6.9000000000016798E-2</v>
      </c>
      <c r="AF3728">
        <v>6.1698413959883701E-2</v>
      </c>
      <c r="AG3728">
        <v>-9.4184000000000004E-2</v>
      </c>
      <c r="AH3728">
        <v>0.552835080003789</v>
      </c>
      <c r="AI3728">
        <v>99.609855783623701</v>
      </c>
      <c r="AJ3728">
        <v>83.631933393668405</v>
      </c>
      <c r="AK3728">
        <v>0.56418431901636601</v>
      </c>
      <c r="AL3728">
        <v>79.184625459569702</v>
      </c>
      <c r="AM3728">
        <v>86.319464283131794</v>
      </c>
      <c r="AN3728">
        <v>1.00000004682569</v>
      </c>
    </row>
    <row r="3729" spans="1:40" x14ac:dyDescent="0.25">
      <c r="A3729" t="str">
        <f>"20190303162332156"</f>
        <v>20190303162332156</v>
      </c>
      <c r="B3729" t="str">
        <f>"1551601412148019"</f>
        <v>1551601412148019</v>
      </c>
      <c r="C3729" t="s">
        <v>40</v>
      </c>
      <c r="D3729">
        <v>5.7970499999999996</v>
      </c>
      <c r="E3729">
        <v>0.50721930000000004</v>
      </c>
      <c r="F3729" t="s">
        <v>42</v>
      </c>
      <c r="G3729">
        <v>-220.45429999999999</v>
      </c>
      <c r="H3729">
        <v>1.0318959999999999</v>
      </c>
      <c r="I3729">
        <v>214.97139999999999</v>
      </c>
      <c r="J3729">
        <v>-221.01750000000001</v>
      </c>
      <c r="K3729">
        <v>1.1210389999999999</v>
      </c>
      <c r="L3729">
        <v>215.03659999999999</v>
      </c>
      <c r="M3729">
        <v>0.99985489999999999</v>
      </c>
      <c r="N3729">
        <v>-1.383856E-2</v>
      </c>
      <c r="O3729">
        <v>-9.9360449999999993E-3</v>
      </c>
      <c r="P3729">
        <v>0.98193589999999997</v>
      </c>
      <c r="Q3729">
        <v>0.17434279999999999</v>
      </c>
      <c r="R3729">
        <v>-7.3528640000000006E-2</v>
      </c>
      <c r="S3729">
        <v>3.097321</v>
      </c>
      <c r="T3729">
        <v>-0.34981109999999999</v>
      </c>
      <c r="U3729">
        <v>-0.2640228</v>
      </c>
      <c r="V3729">
        <v>6.3783469999999995E-2</v>
      </c>
      <c r="W3729">
        <v>0.1879189</v>
      </c>
      <c r="X3729">
        <v>0.98011130000000002</v>
      </c>
      <c r="Y3729">
        <v>7.4548509999999998E-2</v>
      </c>
      <c r="Z3729">
        <v>-3.7279040000000002E-3</v>
      </c>
      <c r="AA3729">
        <v>0.99721040000000005</v>
      </c>
      <c r="AB3729">
        <v>25</v>
      </c>
      <c r="AC3729">
        <v>0.56320000000002302</v>
      </c>
      <c r="AD3729">
        <v>-8.9142999999999903E-2</v>
      </c>
      <c r="AE3729">
        <v>-6.5200000000004296E-2</v>
      </c>
      <c r="AF3729">
        <v>5.8162426568191102E-2</v>
      </c>
      <c r="AG3729">
        <v>-8.9142999999999903E-2</v>
      </c>
      <c r="AH3729">
        <v>0.55021809959034296</v>
      </c>
      <c r="AI3729">
        <v>99.152626955429099</v>
      </c>
      <c r="AJ3729">
        <v>83.965789866976095</v>
      </c>
      <c r="AK3729">
        <v>0.56041886070162605</v>
      </c>
      <c r="AL3729">
        <v>79.168641595294801</v>
      </c>
      <c r="AM3729">
        <v>86.276568190596507</v>
      </c>
      <c r="AN3729">
        <v>1.0000000022050699</v>
      </c>
    </row>
    <row r="3730" spans="1:40" x14ac:dyDescent="0.25">
      <c r="A3730" t="str">
        <f>"20190303162332179"</f>
        <v>20190303162332179</v>
      </c>
      <c r="B3730" t="str">
        <f>"1551601412168515"</f>
        <v>1551601412168515</v>
      </c>
      <c r="C3730" t="s">
        <v>40</v>
      </c>
      <c r="D3730">
        <v>5.7398809999999996</v>
      </c>
      <c r="E3730">
        <v>0.50681469999999995</v>
      </c>
      <c r="F3730" t="s">
        <v>42</v>
      </c>
      <c r="G3730">
        <v>-220.23400000000001</v>
      </c>
      <c r="H3730">
        <v>1.0333509999999999</v>
      </c>
      <c r="I3730">
        <v>214.97049999999999</v>
      </c>
      <c r="J3730">
        <v>-220.77610000000001</v>
      </c>
      <c r="K3730">
        <v>1.1210329999999999</v>
      </c>
      <c r="L3730">
        <v>215.0342</v>
      </c>
      <c r="M3730">
        <v>0.99985469999999999</v>
      </c>
      <c r="N3730">
        <v>-1.383612E-2</v>
      </c>
      <c r="O3730">
        <v>-9.9635620000000005E-3</v>
      </c>
      <c r="P3730">
        <v>0.98195549999999998</v>
      </c>
      <c r="Q3730">
        <v>0.1742052</v>
      </c>
      <c r="R3730">
        <v>-7.3593909999999998E-2</v>
      </c>
      <c r="S3730">
        <v>3.0971829999999998</v>
      </c>
      <c r="T3730">
        <v>-0.34666429999999998</v>
      </c>
      <c r="U3730">
        <v>-0.2611542</v>
      </c>
      <c r="V3730">
        <v>6.3821390000000006E-2</v>
      </c>
      <c r="W3730">
        <v>0.18777940000000001</v>
      </c>
      <c r="X3730">
        <v>0.9801356</v>
      </c>
      <c r="Y3730">
        <v>7.3622199999999999E-2</v>
      </c>
      <c r="Z3730">
        <v>-3.6398189999999999E-3</v>
      </c>
      <c r="AA3730">
        <v>0.99727960000000004</v>
      </c>
      <c r="AB3730">
        <v>25</v>
      </c>
      <c r="AC3730">
        <v>0.54210000000000402</v>
      </c>
      <c r="AD3730">
        <v>-8.7681999999999802E-2</v>
      </c>
      <c r="AE3730">
        <v>-6.37000000000114E-2</v>
      </c>
      <c r="AF3730">
        <v>5.6828602765497602E-2</v>
      </c>
      <c r="AG3730">
        <v>-8.7681999999999802E-2</v>
      </c>
      <c r="AH3730">
        <v>0.52905546638871104</v>
      </c>
      <c r="AI3730">
        <v>99.357402270289896</v>
      </c>
      <c r="AJ3730">
        <v>83.869069446788998</v>
      </c>
      <c r="AK3730">
        <v>0.53927479983034199</v>
      </c>
      <c r="AL3730">
        <v>79.176779567766502</v>
      </c>
      <c r="AM3730">
        <v>86.274452908321706</v>
      </c>
      <c r="AN3730">
        <v>1.0000000336366199</v>
      </c>
    </row>
    <row r="3731" spans="1:40" x14ac:dyDescent="0.25">
      <c r="A3731" t="str">
        <f>"20190303162332201"</f>
        <v>20190303162332201</v>
      </c>
      <c r="B3731" t="str">
        <f>"1551601412198771"</f>
        <v>1551601412198771</v>
      </c>
      <c r="C3731" t="s">
        <v>40</v>
      </c>
      <c r="D3731">
        <v>5.763757</v>
      </c>
      <c r="E3731">
        <v>0.5064573</v>
      </c>
      <c r="F3731" t="s">
        <v>42</v>
      </c>
      <c r="G3731">
        <v>-220.01339999999999</v>
      </c>
      <c r="H3731">
        <v>1.0360969999999901</v>
      </c>
      <c r="I3731">
        <v>214.97069999999999</v>
      </c>
      <c r="J3731">
        <v>-220.5291</v>
      </c>
      <c r="K3731">
        <v>1.1210310000000001</v>
      </c>
      <c r="L3731">
        <v>215.0317</v>
      </c>
      <c r="M3731">
        <v>0.99985440000000003</v>
      </c>
      <c r="N3731">
        <v>-1.3833369999999999E-2</v>
      </c>
      <c r="O3731">
        <v>-9.9915539999999997E-3</v>
      </c>
      <c r="P3731">
        <v>0.98203750000000001</v>
      </c>
      <c r="Q3731">
        <v>0.17416799999999999</v>
      </c>
      <c r="R3731">
        <v>-7.2579089999999999E-2</v>
      </c>
      <c r="S3731">
        <v>3.097092</v>
      </c>
      <c r="T3731">
        <v>-0.34501110000000001</v>
      </c>
      <c r="U3731">
        <v>-0.25680540000000002</v>
      </c>
      <c r="V3731">
        <v>6.2778340000000002E-2</v>
      </c>
      <c r="W3731">
        <v>0.1877404</v>
      </c>
      <c r="X3731">
        <v>0.98021040000000004</v>
      </c>
      <c r="Y3731">
        <v>7.2219920000000007E-2</v>
      </c>
      <c r="Z3731">
        <v>-3.5355400000000002E-3</v>
      </c>
      <c r="AA3731">
        <v>0.99738249999999995</v>
      </c>
      <c r="AB3731">
        <v>25</v>
      </c>
      <c r="AC3731">
        <v>0.51570000000000904</v>
      </c>
      <c r="AD3731">
        <v>-8.4933999999999996E-2</v>
      </c>
      <c r="AE3731">
        <v>-6.1000000000007E-2</v>
      </c>
      <c r="AF3731">
        <v>5.4388878448896297E-2</v>
      </c>
      <c r="AG3731">
        <v>-8.4933999999999996E-2</v>
      </c>
      <c r="AH3731">
        <v>0.50283268791313795</v>
      </c>
      <c r="AI3731">
        <v>99.532820981134506</v>
      </c>
      <c r="AJ3731">
        <v>83.826605082932403</v>
      </c>
      <c r="AK3731">
        <v>0.51284758602227998</v>
      </c>
      <c r="AL3731">
        <v>79.179054228665095</v>
      </c>
      <c r="AM3731">
        <v>86.335452109886404</v>
      </c>
      <c r="AN3731">
        <v>1.00000000301673</v>
      </c>
    </row>
    <row r="3732" spans="1:40" x14ac:dyDescent="0.25">
      <c r="A3732" t="str">
        <f>"20190303162332225"</f>
        <v>20190303162332225</v>
      </c>
      <c r="B3732" t="str">
        <f>"1551601412218290"</f>
        <v>1551601412218290</v>
      </c>
      <c r="C3732" t="s">
        <v>40</v>
      </c>
      <c r="D3732">
        <v>5.5280610000000001</v>
      </c>
      <c r="E3732">
        <v>0.53294010000000003</v>
      </c>
      <c r="F3732" t="s">
        <v>42</v>
      </c>
      <c r="G3732">
        <v>-219.7927</v>
      </c>
      <c r="H3732">
        <v>1.0394650000000001</v>
      </c>
      <c r="I3732">
        <v>214.97219999999999</v>
      </c>
      <c r="J3732">
        <v>-220.28100000000001</v>
      </c>
      <c r="K3732">
        <v>1.1210290000000001</v>
      </c>
      <c r="L3732">
        <v>215.0291</v>
      </c>
      <c r="M3732">
        <v>0.99985429999999997</v>
      </c>
      <c r="N3732">
        <v>-1.3830479999999999E-2</v>
      </c>
      <c r="O3732">
        <v>-1.0019429999999999E-2</v>
      </c>
      <c r="P3732">
        <v>0.98201419999999995</v>
      </c>
      <c r="Q3732">
        <v>0.17429620000000001</v>
      </c>
      <c r="R3732">
        <v>-7.2590769999999999E-2</v>
      </c>
      <c r="S3732">
        <v>3.0972439999999999</v>
      </c>
      <c r="T3732">
        <v>-0.34304790000000002</v>
      </c>
      <c r="U3732">
        <v>-0.24966430000000001</v>
      </c>
      <c r="V3732">
        <v>6.2762719999999994E-2</v>
      </c>
      <c r="W3732">
        <v>0.187865</v>
      </c>
      <c r="X3732">
        <v>0.98018749999999999</v>
      </c>
      <c r="Y3732">
        <v>6.9924070000000005E-2</v>
      </c>
      <c r="Z3732">
        <v>-3.3739059999999999E-3</v>
      </c>
      <c r="AA3732">
        <v>0.99754659999999995</v>
      </c>
      <c r="AB3732">
        <v>25</v>
      </c>
      <c r="AC3732">
        <v>0.48829999999998103</v>
      </c>
      <c r="AD3732">
        <v>-8.1564000000000095E-2</v>
      </c>
      <c r="AE3732">
        <v>-5.6900000000013003E-2</v>
      </c>
      <c r="AF3732">
        <v>5.0610996002813102E-2</v>
      </c>
      <c r="AG3732">
        <v>-8.1564000000000095E-2</v>
      </c>
      <c r="AH3732">
        <v>0.47574946839133903</v>
      </c>
      <c r="AI3732">
        <v>99.674840516741298</v>
      </c>
      <c r="AJ3732">
        <v>83.927620946899793</v>
      </c>
      <c r="AK3732">
        <v>0.48533670342045898</v>
      </c>
      <c r="AL3732">
        <v>79.171785552718106</v>
      </c>
      <c r="AM3732">
        <v>86.336276049524997</v>
      </c>
      <c r="AN3732">
        <v>0.99999997620152303</v>
      </c>
    </row>
    <row r="3733" spans="1:40" x14ac:dyDescent="0.25">
      <c r="A3733" t="str">
        <f>"20190303162332246"</f>
        <v>20190303162332246</v>
      </c>
      <c r="B3733" t="str">
        <f>"1551601412238787"</f>
        <v>1551601412238787</v>
      </c>
      <c r="C3733" t="s">
        <v>40</v>
      </c>
      <c r="D3733">
        <v>5.5235649999999996</v>
      </c>
      <c r="E3733">
        <v>0.54044530000000002</v>
      </c>
      <c r="F3733" t="s">
        <v>46</v>
      </c>
      <c r="G3733">
        <v>-202.93520000000001</v>
      </c>
      <c r="H3733" s="1">
        <v>3.7127259999999999E-6</v>
      </c>
      <c r="I3733">
        <v>212.3963</v>
      </c>
      <c r="J3733">
        <v>-220.0445</v>
      </c>
      <c r="K3733">
        <v>1.121038</v>
      </c>
      <c r="L3733">
        <v>215.02670000000001</v>
      </c>
      <c r="M3733">
        <v>0.99985400000000002</v>
      </c>
      <c r="N3733">
        <v>-1.382776E-2</v>
      </c>
      <c r="O3733">
        <v>-1.0045989999999999E-2</v>
      </c>
      <c r="P3733">
        <v>0.9816397</v>
      </c>
      <c r="Q3733">
        <v>0.17602010000000001</v>
      </c>
      <c r="R3733">
        <v>-7.3488369999999997E-2</v>
      </c>
      <c r="S3733">
        <v>3.0556950000000001</v>
      </c>
      <c r="T3733">
        <v>-0.1974844</v>
      </c>
      <c r="U3733">
        <v>-0.4638062</v>
      </c>
      <c r="V3733">
        <v>6.3638230000000004E-2</v>
      </c>
      <c r="W3733">
        <v>0.18958130000000001</v>
      </c>
      <c r="X3733">
        <v>0.97980049999999996</v>
      </c>
      <c r="Y3733">
        <v>0.1397901</v>
      </c>
      <c r="Z3733">
        <v>-4.953397E-3</v>
      </c>
      <c r="AA3733">
        <v>0.99016879999999996</v>
      </c>
      <c r="AB3733">
        <v>24</v>
      </c>
      <c r="AC3733">
        <v>17.109299999999902</v>
      </c>
      <c r="AD3733">
        <v>-1.121034287274</v>
      </c>
      <c r="AE3733">
        <v>-2.6303999999999998</v>
      </c>
      <c r="AF3733">
        <v>2.4481036322832401</v>
      </c>
      <c r="AG3733">
        <v>-1.121034287274</v>
      </c>
      <c r="AH3733">
        <v>17.063300605259599</v>
      </c>
      <c r="AI3733">
        <v>93.720856696934106</v>
      </c>
      <c r="AJ3733">
        <v>81.835383820740105</v>
      </c>
      <c r="AK3733">
        <v>17.274436512172901</v>
      </c>
      <c r="AL3733">
        <v>79.0716491605572</v>
      </c>
      <c r="AM3733">
        <v>86.283847852406097</v>
      </c>
      <c r="AN3733">
        <v>0.99999995671373498</v>
      </c>
    </row>
    <row r="3734" spans="1:40" x14ac:dyDescent="0.25">
      <c r="A3734" t="str">
        <f>"20190303162332270"</f>
        <v>20190303162332270</v>
      </c>
      <c r="B3734" t="str">
        <f>"1551601412258307"</f>
        <v>1551601412258307</v>
      </c>
      <c r="C3734" t="s">
        <v>40</v>
      </c>
      <c r="D3734">
        <v>5.4647139999999998</v>
      </c>
      <c r="E3734">
        <v>0.5432169</v>
      </c>
      <c r="F3734" t="s">
        <v>46</v>
      </c>
      <c r="G3734">
        <v>-202.45099999999999</v>
      </c>
      <c r="H3734" s="1">
        <v>3.5332560000000002E-6</v>
      </c>
      <c r="I3734">
        <v>211.99260000000001</v>
      </c>
      <c r="J3734">
        <v>-219.7955</v>
      </c>
      <c r="K3734">
        <v>1.121043</v>
      </c>
      <c r="L3734">
        <v>215.02420000000001</v>
      </c>
      <c r="M3734">
        <v>0.99985369999999996</v>
      </c>
      <c r="N3734">
        <v>-1.3824929999999999E-2</v>
      </c>
      <c r="O3734">
        <v>-1.007398E-2</v>
      </c>
      <c r="P3734">
        <v>0.98133919999999997</v>
      </c>
      <c r="Q3734">
        <v>0.17676629999999999</v>
      </c>
      <c r="R3734">
        <v>-7.5679090000000004E-2</v>
      </c>
      <c r="S3734">
        <v>3.0515750000000001</v>
      </c>
      <c r="T3734">
        <v>-0.19444139999999999</v>
      </c>
      <c r="U3734">
        <v>-0.52626039999999996</v>
      </c>
      <c r="V3734">
        <v>6.5804269999999998E-2</v>
      </c>
      <c r="W3734">
        <v>0.1903204</v>
      </c>
      <c r="X3734">
        <v>0.97951410000000005</v>
      </c>
      <c r="Y3734">
        <v>0.15963759999999999</v>
      </c>
      <c r="Z3734">
        <v>-5.6583830000000003E-3</v>
      </c>
      <c r="AA3734">
        <v>0.98715949999999997</v>
      </c>
      <c r="AB3734">
        <v>24</v>
      </c>
      <c r="AC3734">
        <v>17.3445</v>
      </c>
      <c r="AD3734">
        <v>-1.121039466744</v>
      </c>
      <c r="AE3734">
        <v>-3.0315999999999899</v>
      </c>
      <c r="AF3734">
        <v>2.84516790708145</v>
      </c>
      <c r="AG3734">
        <v>-1.121039466744</v>
      </c>
      <c r="AH3734">
        <v>17.3040180405916</v>
      </c>
      <c r="AI3734">
        <v>93.657745299714904</v>
      </c>
      <c r="AJ3734">
        <v>80.662835692168997</v>
      </c>
      <c r="AK3734">
        <v>17.572158383494099</v>
      </c>
      <c r="AL3734">
        <v>79.028516642365304</v>
      </c>
      <c r="AM3734">
        <v>86.156614614463095</v>
      </c>
      <c r="AN3734">
        <v>0.99999996435260097</v>
      </c>
    </row>
    <row r="3735" spans="1:40" x14ac:dyDescent="0.25">
      <c r="A3735" t="str">
        <f>"20190303162332292"</f>
        <v>20190303162332292</v>
      </c>
      <c r="B3735" t="str">
        <f>"1551601412278803"</f>
        <v>1551601412278803</v>
      </c>
      <c r="C3735" t="s">
        <v>40</v>
      </c>
      <c r="D3735">
        <v>5.4852230000000004</v>
      </c>
      <c r="E3735">
        <v>0.54444329999999996</v>
      </c>
      <c r="F3735" t="s">
        <v>46</v>
      </c>
      <c r="G3735">
        <v>-202.20650000000001</v>
      </c>
      <c r="H3735" s="1">
        <v>3.4393900000000002E-6</v>
      </c>
      <c r="I3735">
        <v>211.82599999999999</v>
      </c>
      <c r="J3735">
        <v>-219.5472</v>
      </c>
      <c r="K3735">
        <v>1.121043</v>
      </c>
      <c r="L3735">
        <v>215.02160000000001</v>
      </c>
      <c r="M3735">
        <v>0.9998534</v>
      </c>
      <c r="N3735">
        <v>-1.382212E-2</v>
      </c>
      <c r="O3735">
        <v>-1.0102099999999999E-2</v>
      </c>
      <c r="P3735">
        <v>0.98132980000000003</v>
      </c>
      <c r="Q3735">
        <v>0.17603089999999999</v>
      </c>
      <c r="R3735">
        <v>-7.7491439999999995E-2</v>
      </c>
      <c r="S3735">
        <v>3.0493009999999998</v>
      </c>
      <c r="T3735">
        <v>-0.19434770000000001</v>
      </c>
      <c r="U3735">
        <v>-0.55444340000000003</v>
      </c>
      <c r="V3735">
        <v>6.7588990000000002E-2</v>
      </c>
      <c r="W3735">
        <v>0.18958269999999999</v>
      </c>
      <c r="X3735">
        <v>0.97953570000000001</v>
      </c>
      <c r="Y3735">
        <v>0.16855139999999999</v>
      </c>
      <c r="Z3735">
        <v>-5.9987699999999996E-3</v>
      </c>
      <c r="AA3735">
        <v>0.98567459999999996</v>
      </c>
      <c r="AB3735">
        <v>24</v>
      </c>
      <c r="AC3735">
        <v>17.340699999999998</v>
      </c>
      <c r="AD3735">
        <v>-1.1210395606100001</v>
      </c>
      <c r="AE3735">
        <v>-3.19560000000001</v>
      </c>
      <c r="AF3735">
        <v>3.0080837657061199</v>
      </c>
      <c r="AG3735">
        <v>-1.1210395606100001</v>
      </c>
      <c r="AH3735">
        <v>17.302163627641001</v>
      </c>
      <c r="AI3735">
        <v>93.652481928011994</v>
      </c>
      <c r="AJ3735">
        <v>80.137369324152303</v>
      </c>
      <c r="AK3735">
        <v>17.597447651168601</v>
      </c>
      <c r="AL3735">
        <v>79.071568271696606</v>
      </c>
      <c r="AM3735">
        <v>86.052787641604695</v>
      </c>
      <c r="AN3735">
        <v>1.0000000296414899</v>
      </c>
    </row>
    <row r="3736" spans="1:40" x14ac:dyDescent="0.25">
      <c r="A3736" t="str">
        <f>"20190303162332314"</f>
        <v>20190303162332314</v>
      </c>
      <c r="B3736" t="str">
        <f>"1551601412308082"</f>
        <v>1551601412308082</v>
      </c>
      <c r="C3736" t="s">
        <v>40</v>
      </c>
      <c r="D3736">
        <v>5.463101</v>
      </c>
      <c r="E3736">
        <v>0.54553130000000005</v>
      </c>
      <c r="F3736" t="s">
        <v>46</v>
      </c>
      <c r="G3736">
        <v>-202.29990000000001</v>
      </c>
      <c r="H3736" s="1">
        <v>3.4833190000000001E-6</v>
      </c>
      <c r="I3736">
        <v>211.7978</v>
      </c>
      <c r="J3736">
        <v>-219.30699999999999</v>
      </c>
      <c r="K3736">
        <v>1.1210439999999999</v>
      </c>
      <c r="L3736">
        <v>215.01920000000001</v>
      </c>
      <c r="M3736">
        <v>0.99985329999999994</v>
      </c>
      <c r="N3736">
        <v>-1.3819410000000001E-2</v>
      </c>
      <c r="O3736">
        <v>-1.012937E-2</v>
      </c>
      <c r="P3736">
        <v>0.98140760000000005</v>
      </c>
      <c r="Q3736">
        <v>0.17484859999999999</v>
      </c>
      <c r="R3736">
        <v>-7.9165689999999997E-2</v>
      </c>
      <c r="S3736">
        <v>3.0475919999999999</v>
      </c>
      <c r="T3736">
        <v>-0.1980876</v>
      </c>
      <c r="U3736">
        <v>-0.56965639999999995</v>
      </c>
      <c r="V3736">
        <v>6.9235500000000005E-2</v>
      </c>
      <c r="W3736">
        <v>0.18839939999999999</v>
      </c>
      <c r="X3736">
        <v>0.97964890000000004</v>
      </c>
      <c r="Y3736">
        <v>0.1733527</v>
      </c>
      <c r="Z3736">
        <v>-6.2761379999999997E-3</v>
      </c>
      <c r="AA3736">
        <v>0.98483980000000004</v>
      </c>
      <c r="AB3736">
        <v>24</v>
      </c>
      <c r="AC3736">
        <v>17.007100000000001</v>
      </c>
      <c r="AD3736">
        <v>-1.121040516681</v>
      </c>
      <c r="AE3736">
        <v>-3.2214000000000098</v>
      </c>
      <c r="AF3736">
        <v>3.0362118633778001</v>
      </c>
      <c r="AG3736">
        <v>-1.121040516681</v>
      </c>
      <c r="AH3736">
        <v>16.967691300572</v>
      </c>
      <c r="AI3736">
        <v>93.7210540672354</v>
      </c>
      <c r="AJ3736">
        <v>79.854821514893899</v>
      </c>
      <c r="AK3736">
        <v>17.273617524735901</v>
      </c>
      <c r="AL3736">
        <v>79.1406094758145</v>
      </c>
      <c r="AM3736">
        <v>85.957411825290706</v>
      </c>
      <c r="AN3736">
        <v>0.99999992782590696</v>
      </c>
    </row>
    <row r="3737" spans="1:40" x14ac:dyDescent="0.25">
      <c r="A3737" t="str">
        <f>"20190303162332337"</f>
        <v>20190303162332337</v>
      </c>
      <c r="B3737" t="str">
        <f>"1551601412328579"</f>
        <v>1551601412328579</v>
      </c>
      <c r="C3737" t="s">
        <v>40</v>
      </c>
      <c r="D3737">
        <v>5.4846339999999998</v>
      </c>
      <c r="E3737">
        <v>0.5460081</v>
      </c>
      <c r="F3737" t="s">
        <v>46</v>
      </c>
      <c r="G3737">
        <v>-202.4957</v>
      </c>
      <c r="H3737" s="1">
        <v>3.5706920000000002E-6</v>
      </c>
      <c r="I3737">
        <v>211.79140000000001</v>
      </c>
      <c r="J3737">
        <v>-219.06020000000001</v>
      </c>
      <c r="K3737">
        <v>1.121043</v>
      </c>
      <c r="L3737">
        <v>215.01660000000001</v>
      </c>
      <c r="M3737">
        <v>0.99985290000000004</v>
      </c>
      <c r="N3737">
        <v>-1.381662E-2</v>
      </c>
      <c r="O3737">
        <v>-1.016097E-2</v>
      </c>
      <c r="P3737">
        <v>0.98111250000000005</v>
      </c>
      <c r="Q3737">
        <v>0.17576029999999901</v>
      </c>
      <c r="R3737">
        <v>-8.0787079999999997E-2</v>
      </c>
      <c r="S3737">
        <v>3.0458530000000001</v>
      </c>
      <c r="T3737">
        <v>-0.20310880000000001</v>
      </c>
      <c r="U3737">
        <v>-0.58480829999999995</v>
      </c>
      <c r="V3737">
        <v>7.0829569999999994E-2</v>
      </c>
      <c r="W3737">
        <v>0.18930359999999999</v>
      </c>
      <c r="X3737">
        <v>0.97936060000000003</v>
      </c>
      <c r="Y3737">
        <v>0.17811879999999999</v>
      </c>
      <c r="Z3737">
        <v>-6.5905069999999998E-3</v>
      </c>
      <c r="AA3737">
        <v>0.9839869</v>
      </c>
      <c r="AB3737">
        <v>24</v>
      </c>
      <c r="AC3737">
        <v>16.564499999999999</v>
      </c>
      <c r="AD3737">
        <v>-1.1210394293079999</v>
      </c>
      <c r="AE3737">
        <v>-3.2252000000000001</v>
      </c>
      <c r="AF3737">
        <v>3.04327630062618</v>
      </c>
      <c r="AG3737">
        <v>-1.1210394293079999</v>
      </c>
      <c r="AH3737">
        <v>16.523502231622299</v>
      </c>
      <c r="AI3737">
        <v>93.817282759104998</v>
      </c>
      <c r="AJ3737">
        <v>79.564291208762597</v>
      </c>
      <c r="AK3737">
        <v>16.838776263209901</v>
      </c>
      <c r="AL3737">
        <v>79.087853369608098</v>
      </c>
      <c r="AM3737">
        <v>85.863441920493401</v>
      </c>
      <c r="AN3737">
        <v>0.99999993289584999</v>
      </c>
    </row>
    <row r="3738" spans="1:40" x14ac:dyDescent="0.25">
      <c r="A3738" t="str">
        <f>"20190303162332361"</f>
        <v>20190303162332361</v>
      </c>
      <c r="B3738" t="str">
        <f>"1551601412348099"</f>
        <v>1551601412348099</v>
      </c>
      <c r="C3738" t="s">
        <v>40</v>
      </c>
      <c r="D3738">
        <v>5.4504149999999996</v>
      </c>
      <c r="E3738">
        <v>0.54633480000000001</v>
      </c>
      <c r="F3738" t="s">
        <v>46</v>
      </c>
      <c r="G3738">
        <v>-202.19409999999999</v>
      </c>
      <c r="H3738" s="1">
        <v>3.442443E-6</v>
      </c>
      <c r="I3738">
        <v>211.7287</v>
      </c>
      <c r="J3738">
        <v>-218.79580000000001</v>
      </c>
      <c r="K3738">
        <v>1.121041</v>
      </c>
      <c r="L3738">
        <v>215.01390000000001</v>
      </c>
      <c r="M3738">
        <v>0.99985250000000003</v>
      </c>
      <c r="N3738">
        <v>-1.3813570000000001E-2</v>
      </c>
      <c r="O3738">
        <v>-1.021212E-2</v>
      </c>
      <c r="P3738">
        <v>0.98069609999999996</v>
      </c>
      <c r="Q3738">
        <v>0.176923</v>
      </c>
      <c r="R3738">
        <v>-8.326923E-2</v>
      </c>
      <c r="S3738">
        <v>3.0451350000000001</v>
      </c>
      <c r="T3738">
        <v>-0.20240140000000001</v>
      </c>
      <c r="U3738">
        <v>-0.59362789999999999</v>
      </c>
      <c r="V3738">
        <v>7.3269749999999995E-2</v>
      </c>
      <c r="W3738">
        <v>0.19045619999999999</v>
      </c>
      <c r="X3738">
        <v>0.97895759999999998</v>
      </c>
      <c r="Y3738">
        <v>0.18085370000000001</v>
      </c>
      <c r="Z3738">
        <v>-6.6785550000000001E-3</v>
      </c>
      <c r="AA3738">
        <v>0.98348740000000001</v>
      </c>
      <c r="AB3738">
        <v>24</v>
      </c>
      <c r="AC3738">
        <v>16.601700000000001</v>
      </c>
      <c r="AD3738">
        <v>-1.121037557557</v>
      </c>
      <c r="AE3738">
        <v>-3.2852000000000001</v>
      </c>
      <c r="AF3738">
        <v>3.1018633694062099</v>
      </c>
      <c r="AG3738">
        <v>-1.121037557557</v>
      </c>
      <c r="AH3738">
        <v>16.561715549361601</v>
      </c>
      <c r="AI3738">
        <v>93.806373202954404</v>
      </c>
      <c r="AJ3738">
        <v>79.391902918330203</v>
      </c>
      <c r="AK3738">
        <v>16.8869388435525</v>
      </c>
      <c r="AL3738">
        <v>79.020591317288293</v>
      </c>
      <c r="AM3738">
        <v>85.719697241614298</v>
      </c>
      <c r="AN3738">
        <v>1.0000000014906301</v>
      </c>
    </row>
    <row r="3739" spans="1:40" x14ac:dyDescent="0.25">
      <c r="A3739" t="str">
        <f>"20190303162332381"</f>
        <v>20190303162332381</v>
      </c>
      <c r="B3739" t="str">
        <f>"1551601412368595"</f>
        <v>1551601412368595</v>
      </c>
      <c r="C3739" t="s">
        <v>40</v>
      </c>
      <c r="D3739">
        <v>5.4536509999999998</v>
      </c>
      <c r="E3739">
        <v>0.54667949999999998</v>
      </c>
      <c r="F3739" t="s">
        <v>46</v>
      </c>
      <c r="G3739">
        <v>-202.36060000000001</v>
      </c>
      <c r="H3739" s="1">
        <v>3.5134090000000001E-6</v>
      </c>
      <c r="I3739">
        <v>211.76130000000001</v>
      </c>
      <c r="J3739">
        <v>-218.5812</v>
      </c>
      <c r="K3739">
        <v>1.121022</v>
      </c>
      <c r="L3739">
        <v>215.01159999999999</v>
      </c>
      <c r="M3739">
        <v>0.99985190000000002</v>
      </c>
      <c r="N3739">
        <v>-1.381131E-2</v>
      </c>
      <c r="O3739">
        <v>-1.0280330000000001E-2</v>
      </c>
      <c r="P3739">
        <v>0.98051219999999994</v>
      </c>
      <c r="Q3739">
        <v>0.17714160000000001</v>
      </c>
      <c r="R3739">
        <v>-8.4951509999999994E-2</v>
      </c>
      <c r="S3739">
        <v>3.0453640000000002</v>
      </c>
      <c r="T3739">
        <v>-0.20772299999999999</v>
      </c>
      <c r="U3739">
        <v>-0.60269169999999905</v>
      </c>
      <c r="V3739">
        <v>7.4894520000000006E-2</v>
      </c>
      <c r="W3739">
        <v>0.19066730000000001</v>
      </c>
      <c r="X3739">
        <v>0.97879349999999998</v>
      </c>
      <c r="Y3739">
        <v>0.1835618</v>
      </c>
      <c r="Z3739">
        <v>-6.9218070000000003E-3</v>
      </c>
      <c r="AA3739">
        <v>0.98298379999999996</v>
      </c>
      <c r="AB3739">
        <v>24</v>
      </c>
      <c r="AC3739">
        <v>16.220599999999902</v>
      </c>
      <c r="AD3739">
        <v>-1.121018486591</v>
      </c>
      <c r="AE3739">
        <v>-3.2502999999999802</v>
      </c>
      <c r="AF3739">
        <v>3.0692653696774599</v>
      </c>
      <c r="AG3739">
        <v>-1.121018486591</v>
      </c>
      <c r="AH3739">
        <v>16.178867884654998</v>
      </c>
      <c r="AI3739">
        <v>93.894396195343703</v>
      </c>
      <c r="AJ3739">
        <v>79.258165150915801</v>
      </c>
      <c r="AK3739">
        <v>16.505539627225101</v>
      </c>
      <c r="AL3739">
        <v>79.008269960858996</v>
      </c>
      <c r="AM3739">
        <v>85.624414649110804</v>
      </c>
      <c r="AN3739">
        <v>0.99999996202878405</v>
      </c>
    </row>
    <row r="3740" spans="1:40" x14ac:dyDescent="0.25">
      <c r="A3740" t="str">
        <f>"20190303162332403"</f>
        <v>20190303162332403</v>
      </c>
      <c r="B3740" t="str">
        <f>"1551601412398851"</f>
        <v>1551601412398851</v>
      </c>
      <c r="C3740" t="s">
        <v>40</v>
      </c>
      <c r="D3740">
        <v>5.4777250000000004</v>
      </c>
      <c r="E3740">
        <v>0.54683609999999905</v>
      </c>
      <c r="F3740" t="s">
        <v>46</v>
      </c>
      <c r="G3740">
        <v>-202.61009999999999</v>
      </c>
      <c r="H3740" s="1">
        <v>3.6197799999999999E-6</v>
      </c>
      <c r="I3740">
        <v>211.81010000000001</v>
      </c>
      <c r="J3740">
        <v>-218.33959999999999</v>
      </c>
      <c r="K3740">
        <v>1.120992</v>
      </c>
      <c r="L3740">
        <v>215.00899999999999</v>
      </c>
      <c r="M3740">
        <v>0.99985069999999998</v>
      </c>
      <c r="N3740">
        <v>-1.3808839999999999E-2</v>
      </c>
      <c r="O3740">
        <v>-1.0396549999999999E-2</v>
      </c>
      <c r="P3740">
        <v>0.98075999999999997</v>
      </c>
      <c r="Q3740">
        <v>0.17517720000000001</v>
      </c>
      <c r="R3740">
        <v>-8.6157460000000005E-2</v>
      </c>
      <c r="S3740">
        <v>3.045334</v>
      </c>
      <c r="T3740">
        <v>-0.2137531</v>
      </c>
      <c r="U3740">
        <v>-0.61045839999999996</v>
      </c>
      <c r="V3740">
        <v>7.59967E-2</v>
      </c>
      <c r="W3740">
        <v>0.18869820000000001</v>
      </c>
      <c r="X3740">
        <v>0.97909020000000002</v>
      </c>
      <c r="Y3740">
        <v>0.18582860000000001</v>
      </c>
      <c r="Z3740">
        <v>-7.1678890000000002E-3</v>
      </c>
      <c r="AA3740">
        <v>0.98255599999999998</v>
      </c>
      <c r="AB3740">
        <v>24</v>
      </c>
      <c r="AC3740">
        <v>15.7295</v>
      </c>
      <c r="AD3740">
        <v>-1.12098838022</v>
      </c>
      <c r="AE3740">
        <v>-3.1989000000000001</v>
      </c>
      <c r="AF3740">
        <v>3.0204475988450601</v>
      </c>
      <c r="AG3740">
        <v>-1.12098838022</v>
      </c>
      <c r="AH3740">
        <v>15.685409314597299</v>
      </c>
      <c r="AI3740">
        <v>94.014302739196793</v>
      </c>
      <c r="AJ3740">
        <v>79.100303405547905</v>
      </c>
      <c r="AK3740">
        <v>16.0128630797997</v>
      </c>
      <c r="AL3740">
        <v>79.123178324089494</v>
      </c>
      <c r="AM3740">
        <v>85.561617266937105</v>
      </c>
      <c r="AN3740">
        <v>1.0000000644150799</v>
      </c>
    </row>
    <row r="3741" spans="1:40" x14ac:dyDescent="0.25">
      <c r="A3741" t="str">
        <f>"20190303162332425"</f>
        <v>20190303162332425</v>
      </c>
      <c r="B3741" t="str">
        <f>"1551601412418371"</f>
        <v>1551601412418371</v>
      </c>
      <c r="C3741" t="s">
        <v>40</v>
      </c>
      <c r="D3741">
        <v>5.469468</v>
      </c>
      <c r="E3741">
        <v>0.53896199999999905</v>
      </c>
      <c r="F3741" t="s">
        <v>46</v>
      </c>
      <c r="G3741">
        <v>-203.40299999999999</v>
      </c>
      <c r="H3741" s="1">
        <v>3.9552569999999999E-6</v>
      </c>
      <c r="I3741">
        <v>211.9949</v>
      </c>
      <c r="J3741">
        <v>-218.0993</v>
      </c>
      <c r="K3741">
        <v>1.120943</v>
      </c>
      <c r="L3741">
        <v>215.00630000000001</v>
      </c>
      <c r="M3741">
        <v>0.99984890000000004</v>
      </c>
      <c r="N3741">
        <v>-1.380639E-2</v>
      </c>
      <c r="O3741">
        <v>-1.056754E-2</v>
      </c>
      <c r="P3741">
        <v>0.98111519999999997</v>
      </c>
      <c r="Q3741">
        <v>0.17263999999999999</v>
      </c>
      <c r="R3741">
        <v>-8.7227059999999995E-2</v>
      </c>
      <c r="S3741">
        <v>3.0457000000000001</v>
      </c>
      <c r="T3741">
        <v>-0.2285788</v>
      </c>
      <c r="U3741">
        <v>-0.61459350000000001</v>
      </c>
      <c r="V3741">
        <v>7.6911729999999998E-2</v>
      </c>
      <c r="W3741">
        <v>0.18615719999999999</v>
      </c>
      <c r="X3741">
        <v>0.97950499999999996</v>
      </c>
      <c r="Y3741">
        <v>0.18685089999999999</v>
      </c>
      <c r="Z3741">
        <v>-7.5974469999999898E-3</v>
      </c>
      <c r="AA3741">
        <v>0.98235890000000003</v>
      </c>
      <c r="AB3741">
        <v>24</v>
      </c>
      <c r="AC3741">
        <v>14.696300000000001</v>
      </c>
      <c r="AD3741">
        <v>-1.1209390447429901</v>
      </c>
      <c r="AE3741">
        <v>-3.0114000000000001</v>
      </c>
      <c r="AF3741">
        <v>2.8400565981017598</v>
      </c>
      <c r="AG3741">
        <v>-1.1209390447429901</v>
      </c>
      <c r="AH3741">
        <v>14.6455359735466</v>
      </c>
      <c r="AI3741">
        <v>94.2970267490319</v>
      </c>
      <c r="AJ3741">
        <v>79.025437376339099</v>
      </c>
      <c r="AK3741">
        <v>14.9604194384682</v>
      </c>
      <c r="AL3741">
        <v>79.271392642205896</v>
      </c>
      <c r="AM3741">
        <v>85.510289107516797</v>
      </c>
      <c r="AN3741">
        <v>0.99999998117421596</v>
      </c>
    </row>
    <row r="3742" spans="1:40" x14ac:dyDescent="0.25">
      <c r="A3742" t="str">
        <f>"20190303162332447"</f>
        <v>20190303162332447</v>
      </c>
      <c r="B3742" t="str">
        <f>"1551601412438867"</f>
        <v>1551601412438867</v>
      </c>
      <c r="C3742" t="s">
        <v>40</v>
      </c>
      <c r="D3742">
        <v>5.4045230000000002</v>
      </c>
      <c r="E3742">
        <v>0.52376099999999903</v>
      </c>
      <c r="F3742" t="s">
        <v>42</v>
      </c>
      <c r="G3742">
        <v>-217.22569999999999</v>
      </c>
      <c r="H3742">
        <v>0.95835570000000003</v>
      </c>
      <c r="I3742">
        <v>214.8528</v>
      </c>
      <c r="J3742">
        <v>-217.86109999999999</v>
      </c>
      <c r="K3742">
        <v>1.1209009999999999</v>
      </c>
      <c r="L3742">
        <v>215.0035</v>
      </c>
      <c r="M3742">
        <v>0.99984660000000003</v>
      </c>
      <c r="N3742">
        <v>-1.380403E-2</v>
      </c>
      <c r="O3742">
        <v>-1.078658E-2</v>
      </c>
      <c r="P3742">
        <v>0.98113799999999995</v>
      </c>
      <c r="Q3742">
        <v>0.17181669999999999</v>
      </c>
      <c r="R3742">
        <v>-8.8587159999999998E-2</v>
      </c>
      <c r="S3742">
        <v>3.1110229999999999</v>
      </c>
      <c r="T3742">
        <v>-0.57901169999999902</v>
      </c>
      <c r="U3742">
        <v>-0.54682919999999902</v>
      </c>
      <c r="V3742">
        <v>7.807356E-2</v>
      </c>
      <c r="W3742">
        <v>0.18532460000000001</v>
      </c>
      <c r="X3742">
        <v>0.97957099999999997</v>
      </c>
      <c r="Y3742">
        <v>0.15977040000000001</v>
      </c>
      <c r="Z3742">
        <v>-1.392446E-2</v>
      </c>
      <c r="AA3742">
        <v>0.98705600000000004</v>
      </c>
      <c r="AB3742">
        <v>24</v>
      </c>
      <c r="AC3742">
        <v>0.63540000000000396</v>
      </c>
      <c r="AD3742">
        <v>-0.1625453</v>
      </c>
      <c r="AE3742">
        <v>-0.1507</v>
      </c>
      <c r="AF3742">
        <v>0.135445076697009</v>
      </c>
      <c r="AG3742">
        <v>-0.1625453</v>
      </c>
      <c r="AH3742">
        <v>0.59982559897550902</v>
      </c>
      <c r="AI3742">
        <v>104.806478318616</v>
      </c>
      <c r="AJ3742">
        <v>77.275591000010607</v>
      </c>
      <c r="AK3742">
        <v>0.63604802691296602</v>
      </c>
      <c r="AL3742">
        <v>79.319942305917195</v>
      </c>
      <c r="AM3742">
        <v>85.443056784277005</v>
      </c>
      <c r="AN3742">
        <v>1.00000001608861</v>
      </c>
    </row>
    <row r="3743" spans="1:40" x14ac:dyDescent="0.25">
      <c r="A3743" t="str">
        <f>"20190303162332470"</f>
        <v>20190303162332470</v>
      </c>
      <c r="B3743" t="str">
        <f>"1551601412458387"</f>
        <v>1551601412458387</v>
      </c>
      <c r="C3743" t="s">
        <v>40</v>
      </c>
      <c r="D3743">
        <v>5.3599809999999897</v>
      </c>
      <c r="E3743">
        <v>0.52256159999999996</v>
      </c>
      <c r="F3743" t="s">
        <v>42</v>
      </c>
      <c r="G3743">
        <v>-217.06110000000001</v>
      </c>
      <c r="H3743">
        <v>0.84553409999999996</v>
      </c>
      <c r="I3743">
        <v>214.89959999999999</v>
      </c>
      <c r="J3743">
        <v>-217.62360000000001</v>
      </c>
      <c r="K3743">
        <v>1.120862</v>
      </c>
      <c r="L3743">
        <v>215.00059999999999</v>
      </c>
      <c r="M3743">
        <v>0.9998437</v>
      </c>
      <c r="N3743">
        <v>-1.380177E-2</v>
      </c>
      <c r="O3743">
        <v>-1.106186E-2</v>
      </c>
      <c r="P3743">
        <v>0.98102210000000001</v>
      </c>
      <c r="Q3743">
        <v>0.171591299999999</v>
      </c>
      <c r="R3743">
        <v>-9.0291880000000005E-2</v>
      </c>
      <c r="S3743">
        <v>3.2137910000000001</v>
      </c>
      <c r="T3743">
        <v>-1.1061570000000001</v>
      </c>
      <c r="U3743">
        <v>-0.41641240000000002</v>
      </c>
      <c r="V3743">
        <v>7.9526219999999995E-2</v>
      </c>
      <c r="W3743">
        <v>0.185088</v>
      </c>
      <c r="X3743">
        <v>0.97949889999999995</v>
      </c>
      <c r="Y3743">
        <v>0.1115083</v>
      </c>
      <c r="Z3743">
        <v>-1.583857E-2</v>
      </c>
      <c r="AA3743">
        <v>0.99363729999999995</v>
      </c>
      <c r="AB3743">
        <v>24</v>
      </c>
      <c r="AC3743">
        <v>0.5625</v>
      </c>
      <c r="AD3743">
        <v>-0.27532790000000001</v>
      </c>
      <c r="AE3743">
        <v>-0.10099999999999899</v>
      </c>
      <c r="AF3743">
        <v>7.6918230948251995E-2</v>
      </c>
      <c r="AG3743">
        <v>-0.27532790000000001</v>
      </c>
      <c r="AH3743">
        <v>0.45741665269139098</v>
      </c>
      <c r="AI3743">
        <v>120.692747101211</v>
      </c>
      <c r="AJ3743">
        <v>80.454564920799896</v>
      </c>
      <c r="AK3743">
        <v>0.53939953738394597</v>
      </c>
      <c r="AL3743">
        <v>79.333737414080801</v>
      </c>
      <c r="AM3743">
        <v>85.358295862999995</v>
      </c>
      <c r="AN3743">
        <v>1.0000000412563399</v>
      </c>
    </row>
    <row r="3744" spans="1:40" x14ac:dyDescent="0.25">
      <c r="A3744" t="str">
        <f>"20190303162332492"</f>
        <v>20190303162332492</v>
      </c>
      <c r="B3744" t="str">
        <f>"1551601412488643"</f>
        <v>1551601412488643</v>
      </c>
      <c r="C3744" t="s">
        <v>40</v>
      </c>
      <c r="D3744">
        <v>5.4108169999999998</v>
      </c>
      <c r="E3744">
        <v>0.52328409999999903</v>
      </c>
      <c r="F3744" t="s">
        <v>42</v>
      </c>
      <c r="G3744">
        <v>-216.84630000000001</v>
      </c>
      <c r="H3744">
        <v>0.84452349999999998</v>
      </c>
      <c r="I3744">
        <v>214.90170000000001</v>
      </c>
      <c r="J3744">
        <v>-217.37909999999999</v>
      </c>
      <c r="K3744">
        <v>1.1208229999999999</v>
      </c>
      <c r="L3744">
        <v>214.99760000000001</v>
      </c>
      <c r="M3744">
        <v>0.9998397</v>
      </c>
      <c r="N3744">
        <v>-1.3799530000000001E-2</v>
      </c>
      <c r="O3744">
        <v>-1.141085E-2</v>
      </c>
      <c r="P3744">
        <v>0.9808327</v>
      </c>
      <c r="Q3744">
        <v>0.1711184</v>
      </c>
      <c r="R3744">
        <v>-9.3196290000000001E-2</v>
      </c>
      <c r="S3744">
        <v>3.2206269999999999</v>
      </c>
      <c r="T3744">
        <v>-1.144989</v>
      </c>
      <c r="U3744">
        <v>-0.40951539999999997</v>
      </c>
      <c r="V3744">
        <v>8.2107379999999994E-2</v>
      </c>
      <c r="W3744">
        <v>0.1846015</v>
      </c>
      <c r="X3744">
        <v>0.97937770000000002</v>
      </c>
      <c r="Y3744">
        <v>0.1086173</v>
      </c>
      <c r="Z3744">
        <v>-1.567151E-2</v>
      </c>
      <c r="AA3744">
        <v>0.99396010000000001</v>
      </c>
      <c r="AB3744">
        <v>24</v>
      </c>
      <c r="AC3744">
        <v>0.53279999999997996</v>
      </c>
      <c r="AD3744">
        <v>-0.27629949999999898</v>
      </c>
      <c r="AE3744">
        <v>-9.5900000000000304E-2</v>
      </c>
      <c r="AF3744">
        <v>7.1253035170120105E-2</v>
      </c>
      <c r="AG3744">
        <v>-0.27629949999999898</v>
      </c>
      <c r="AH3744">
        <v>0.42353471407187498</v>
      </c>
      <c r="AI3744">
        <v>122.75419934435401</v>
      </c>
      <c r="AJ3744">
        <v>80.450312905737306</v>
      </c>
      <c r="AK3744">
        <v>0.51068587482438599</v>
      </c>
      <c r="AL3744">
        <v>79.362100207653597</v>
      </c>
      <c r="AM3744">
        <v>85.207741696564995</v>
      </c>
      <c r="AN3744">
        <v>1.000000007455</v>
      </c>
    </row>
    <row r="3745" spans="1:40" x14ac:dyDescent="0.25">
      <c r="A3745" t="str">
        <f>"20190303162332515"</f>
        <v>20190303162332515</v>
      </c>
      <c r="B3745" t="str">
        <f>"1551601412508164"</f>
        <v>1551601412508164</v>
      </c>
      <c r="C3745" t="s">
        <v>40</v>
      </c>
      <c r="D3745">
        <v>5.3770680000000004</v>
      </c>
      <c r="E3745">
        <v>0.52358830000000001</v>
      </c>
      <c r="F3745" t="s">
        <v>42</v>
      </c>
      <c r="G3745">
        <v>-216.6276</v>
      </c>
      <c r="H3745">
        <v>0.85357169999999905</v>
      </c>
      <c r="I3745">
        <v>214.8989</v>
      </c>
      <c r="J3745">
        <v>-217.13419999999999</v>
      </c>
      <c r="K3745">
        <v>1.120773</v>
      </c>
      <c r="L3745">
        <v>214.99430000000001</v>
      </c>
      <c r="M3745">
        <v>0.99983500000000003</v>
      </c>
      <c r="N3745">
        <v>-1.3797449999999999E-2</v>
      </c>
      <c r="O3745">
        <v>-1.1828190000000001E-2</v>
      </c>
      <c r="P3745">
        <v>0.98070619999999997</v>
      </c>
      <c r="Q3745">
        <v>0.17039789999999999</v>
      </c>
      <c r="R3745">
        <v>-9.5815120000000004E-2</v>
      </c>
      <c r="S3745">
        <v>3.2182770000000001</v>
      </c>
      <c r="T3745">
        <v>-1.144396</v>
      </c>
      <c r="U3745">
        <v>-0.42102050000000002</v>
      </c>
      <c r="V3745">
        <v>8.4335709999999994E-2</v>
      </c>
      <c r="W3745">
        <v>0.183869</v>
      </c>
      <c r="X3745">
        <v>0.97932609999999998</v>
      </c>
      <c r="Y3745">
        <v>0.1116235</v>
      </c>
      <c r="Z3745">
        <v>-1.6071559999999999E-2</v>
      </c>
      <c r="AA3745">
        <v>0.99362059999999996</v>
      </c>
      <c r="AB3745">
        <v>24</v>
      </c>
      <c r="AC3745">
        <v>0.50659999999999095</v>
      </c>
      <c r="AD3745">
        <v>-0.26720129999999997</v>
      </c>
      <c r="AE3745">
        <v>-9.54000000000121E-2</v>
      </c>
      <c r="AF3745">
        <v>7.0468195721016896E-2</v>
      </c>
      <c r="AG3745">
        <v>-0.26720129999999997</v>
      </c>
      <c r="AH3745">
        <v>0.40017871128941601</v>
      </c>
      <c r="AI3745">
        <v>123.328416792583</v>
      </c>
      <c r="AJ3745">
        <v>80.013068219555095</v>
      </c>
      <c r="AK3745">
        <v>0.48631810813409299</v>
      </c>
      <c r="AL3745">
        <v>79.404799851397797</v>
      </c>
      <c r="AM3745">
        <v>85.0780559710592</v>
      </c>
      <c r="AN3745">
        <v>0.99999996564170601</v>
      </c>
    </row>
    <row r="3746" spans="1:40" x14ac:dyDescent="0.25">
      <c r="A3746" t="str">
        <f>"20190303162332537"</f>
        <v>20190303162332537</v>
      </c>
      <c r="B3746" t="str">
        <f>"1551601412528660"</f>
        <v>1551601412528660</v>
      </c>
      <c r="C3746" t="s">
        <v>40</v>
      </c>
      <c r="D3746">
        <v>5.3394870000000001</v>
      </c>
      <c r="E3746">
        <v>0.5238138</v>
      </c>
      <c r="F3746" t="s">
        <v>42</v>
      </c>
      <c r="G3746">
        <v>-216.40880000000001</v>
      </c>
      <c r="H3746">
        <v>0.86362709999999998</v>
      </c>
      <c r="I3746">
        <v>214.8974</v>
      </c>
      <c r="J3746">
        <v>-216.89519999999999</v>
      </c>
      <c r="K3746">
        <v>1.1207279999999999</v>
      </c>
      <c r="L3746">
        <v>214.99090000000001</v>
      </c>
      <c r="M3746">
        <v>0.99982910000000003</v>
      </c>
      <c r="N3746">
        <v>-1.3795480000000001E-2</v>
      </c>
      <c r="O3746">
        <v>-1.229824E-2</v>
      </c>
      <c r="P3746">
        <v>0.98060829999999999</v>
      </c>
      <c r="Q3746">
        <v>0.16956779999999999</v>
      </c>
      <c r="R3746">
        <v>-9.8256720000000006E-2</v>
      </c>
      <c r="S3746">
        <v>3.2150880000000002</v>
      </c>
      <c r="T3746">
        <v>-1.139729</v>
      </c>
      <c r="U3746">
        <v>-0.4295349</v>
      </c>
      <c r="V3746">
        <v>8.6335449999999994E-2</v>
      </c>
      <c r="W3746">
        <v>0.18302570000000001</v>
      </c>
      <c r="X3746">
        <v>0.97930989999999996</v>
      </c>
      <c r="Y3746">
        <v>0.1137994</v>
      </c>
      <c r="Z3746">
        <v>-1.6258450000000001E-2</v>
      </c>
      <c r="AA3746">
        <v>0.99337070000000005</v>
      </c>
      <c r="AB3746">
        <v>24</v>
      </c>
      <c r="AC3746">
        <v>0.48639999999997402</v>
      </c>
      <c r="AD3746">
        <v>-0.25710090000000002</v>
      </c>
      <c r="AE3746">
        <v>-9.3500000000005898E-2</v>
      </c>
      <c r="AF3746">
        <v>6.8936317762817501E-2</v>
      </c>
      <c r="AG3746">
        <v>-0.25710090000000002</v>
      </c>
      <c r="AH3746">
        <v>0.38403811550765099</v>
      </c>
      <c r="AI3746">
        <v>123.382298412068</v>
      </c>
      <c r="AJ3746">
        <v>79.823564183903201</v>
      </c>
      <c r="AK3746">
        <v>0.46726690750595001</v>
      </c>
      <c r="AL3746">
        <v>79.453952396041004</v>
      </c>
      <c r="AM3746">
        <v>84.9618593204939</v>
      </c>
      <c r="AN3746">
        <v>1.0000000485125999</v>
      </c>
    </row>
    <row r="3747" spans="1:40" x14ac:dyDescent="0.25">
      <c r="A3747" t="str">
        <f>"20190303162332559"</f>
        <v>20190303162332559</v>
      </c>
      <c r="B3747" t="str">
        <f>"1551601412548179"</f>
        <v>1551601412548179</v>
      </c>
      <c r="C3747" t="s">
        <v>40</v>
      </c>
      <c r="D3747">
        <v>5.3324170000000004</v>
      </c>
      <c r="E3747">
        <v>0.52394220000000002</v>
      </c>
      <c r="F3747" t="s">
        <v>42</v>
      </c>
      <c r="G3747">
        <v>-216.191</v>
      </c>
      <c r="H3747">
        <v>0.87199069999999901</v>
      </c>
      <c r="I3747">
        <v>214.8948</v>
      </c>
      <c r="J3747">
        <v>-216.65799999999999</v>
      </c>
      <c r="K3747">
        <v>1.120682</v>
      </c>
      <c r="L3747">
        <v>214.98740000000001</v>
      </c>
      <c r="M3747">
        <v>0.99982260000000001</v>
      </c>
      <c r="N3747">
        <v>-1.379354E-2</v>
      </c>
      <c r="O3747">
        <v>-1.2827699999999999E-2</v>
      </c>
      <c r="P3747">
        <v>0.98029909999999998</v>
      </c>
      <c r="Q3747">
        <v>0.169352799999999</v>
      </c>
      <c r="R3747">
        <v>-0.1016542</v>
      </c>
      <c r="S3747">
        <v>3.2116699999999998</v>
      </c>
      <c r="T3747">
        <v>-1.1343589999999999</v>
      </c>
      <c r="U3747">
        <v>-0.43719479999999999</v>
      </c>
      <c r="V3747">
        <v>8.9236620000000003E-2</v>
      </c>
      <c r="W3747">
        <v>0.1827937</v>
      </c>
      <c r="X3747">
        <v>0.97909310000000005</v>
      </c>
      <c r="Y3747">
        <v>0.1156976</v>
      </c>
      <c r="Z3747">
        <v>-1.6367240000000002E-2</v>
      </c>
      <c r="AA3747">
        <v>0.99314959999999997</v>
      </c>
      <c r="AB3747">
        <v>24</v>
      </c>
      <c r="AC3747">
        <v>0.46700000000001302</v>
      </c>
      <c r="AD3747">
        <v>-0.2486913</v>
      </c>
      <c r="AE3747">
        <v>-9.2600000000004401E-2</v>
      </c>
      <c r="AF3747">
        <v>6.80367888973442E-2</v>
      </c>
      <c r="AG3747">
        <v>-0.2486913</v>
      </c>
      <c r="AH3747">
        <v>0.36779355671765002</v>
      </c>
      <c r="AI3747">
        <v>123.619549237635</v>
      </c>
      <c r="AJ3747">
        <v>79.5195378701453</v>
      </c>
      <c r="AK3747">
        <v>0.44916418791147</v>
      </c>
      <c r="AL3747">
        <v>79.4674726488077</v>
      </c>
      <c r="AM3747">
        <v>84.792329273608502</v>
      </c>
      <c r="AN3747">
        <v>1.0000000047881601</v>
      </c>
    </row>
    <row r="3748" spans="1:40" x14ac:dyDescent="0.25">
      <c r="A3748" t="str">
        <f>"20190303162332582"</f>
        <v>20190303162332582</v>
      </c>
      <c r="B3748" t="str">
        <f>"1551601412578435"</f>
        <v>1551601412578435</v>
      </c>
      <c r="C3748" t="s">
        <v>40</v>
      </c>
      <c r="D3748">
        <v>5.3529660000000003</v>
      </c>
      <c r="E3748">
        <v>0.52366239999999997</v>
      </c>
      <c r="F3748" t="s">
        <v>42</v>
      </c>
      <c r="G3748">
        <v>-215.9736</v>
      </c>
      <c r="H3748">
        <v>0.87992109999999901</v>
      </c>
      <c r="I3748">
        <v>214.8922</v>
      </c>
      <c r="J3748">
        <v>-216.41919999999999</v>
      </c>
      <c r="K3748">
        <v>1.1206290000000001</v>
      </c>
      <c r="L3748">
        <v>214.9837</v>
      </c>
      <c r="M3748">
        <v>0.99981469999999995</v>
      </c>
      <c r="N3748">
        <v>-1.3789849999999999E-2</v>
      </c>
      <c r="O3748">
        <v>-1.342837E-2</v>
      </c>
      <c r="P3748">
        <v>0.97995379999999999</v>
      </c>
      <c r="Q3748">
        <v>0.1689737</v>
      </c>
      <c r="R3748">
        <v>-0.1055376</v>
      </c>
      <c r="S3748">
        <v>3.209076</v>
      </c>
      <c r="T3748">
        <v>-1.1287339999999999</v>
      </c>
      <c r="U3748">
        <v>-0.44558720000000002</v>
      </c>
      <c r="V3748">
        <v>9.2555709999999999E-2</v>
      </c>
      <c r="W3748">
        <v>0.18239420000000001</v>
      </c>
      <c r="X3748">
        <v>0.97885940000000005</v>
      </c>
      <c r="Y3748">
        <v>0.117719699999999</v>
      </c>
      <c r="Z3748">
        <v>-1.6466160000000001E-2</v>
      </c>
      <c r="AA3748">
        <v>0.99291030000000002</v>
      </c>
      <c r="AB3748">
        <v>24</v>
      </c>
      <c r="AC3748">
        <v>0.44559999999998401</v>
      </c>
      <c r="AD3748">
        <v>-0.2407079</v>
      </c>
      <c r="AE3748">
        <v>-9.1499999999996307E-2</v>
      </c>
      <c r="AF3748">
        <v>6.6802873019538397E-2</v>
      </c>
      <c r="AG3748">
        <v>-0.2407079</v>
      </c>
      <c r="AH3748">
        <v>0.34905435034523902</v>
      </c>
      <c r="AI3748">
        <v>124.11008569523</v>
      </c>
      <c r="AJ3748">
        <v>79.165604173394797</v>
      </c>
      <c r="AK3748">
        <v>0.42923403460234999</v>
      </c>
      <c r="AL3748">
        <v>79.490753274091603</v>
      </c>
      <c r="AM3748">
        <v>84.598476889350707</v>
      </c>
      <c r="AN3748">
        <v>0.99999996430780103</v>
      </c>
    </row>
    <row r="3749" spans="1:40" x14ac:dyDescent="0.25">
      <c r="A3749" t="str">
        <f>"20190303162332605"</f>
        <v>20190303162332605</v>
      </c>
      <c r="B3749" t="str">
        <f>"1551601412597956"</f>
        <v>1551601412597956</v>
      </c>
      <c r="C3749" t="s">
        <v>40</v>
      </c>
      <c r="D3749">
        <v>5.3349659999999997</v>
      </c>
      <c r="E3749">
        <v>0.52328859999999999</v>
      </c>
      <c r="F3749" t="s">
        <v>42</v>
      </c>
      <c r="G3749">
        <v>-215.75630000000001</v>
      </c>
      <c r="H3749">
        <v>0.88796280000000005</v>
      </c>
      <c r="I3749">
        <v>214.89</v>
      </c>
      <c r="J3749">
        <v>-216.16890000000001</v>
      </c>
      <c r="K3749">
        <v>1.1205700000000001</v>
      </c>
      <c r="L3749">
        <v>214.9795</v>
      </c>
      <c r="M3749">
        <v>0.9998051</v>
      </c>
      <c r="N3749">
        <v>-1.377746E-2</v>
      </c>
      <c r="O3749">
        <v>-1.414325E-2</v>
      </c>
      <c r="P3749">
        <v>0.97964689999999999</v>
      </c>
      <c r="Q3749">
        <v>0.16796529999999901</v>
      </c>
      <c r="R3749">
        <v>-0.1099077</v>
      </c>
      <c r="S3749">
        <v>3.206696</v>
      </c>
      <c r="T3749">
        <v>-1.125432</v>
      </c>
      <c r="U3749">
        <v>-0.45266719999999999</v>
      </c>
      <c r="V3749">
        <v>9.6250020000000006E-2</v>
      </c>
      <c r="W3749">
        <v>0.18135519999999999</v>
      </c>
      <c r="X3749">
        <v>0.97869620000000002</v>
      </c>
      <c r="Y3749">
        <v>0.1192363</v>
      </c>
      <c r="Z3749">
        <v>-1.6466350000000001E-2</v>
      </c>
      <c r="AA3749">
        <v>0.99272939999999998</v>
      </c>
      <c r="AB3749">
        <v>24</v>
      </c>
      <c r="AC3749">
        <v>0.41259999999999702</v>
      </c>
      <c r="AD3749">
        <v>-0.23260719999999999</v>
      </c>
      <c r="AE3749">
        <v>-8.9500000000015206E-2</v>
      </c>
      <c r="AF3749">
        <v>6.4175124673091097E-2</v>
      </c>
      <c r="AG3749">
        <v>-0.23260719999999999</v>
      </c>
      <c r="AH3749">
        <v>0.31746163775347402</v>
      </c>
      <c r="AI3749">
        <v>125.68523921507401</v>
      </c>
      <c r="AJ3749">
        <v>78.571624495609896</v>
      </c>
      <c r="AK3749">
        <v>0.39875612542475702</v>
      </c>
      <c r="AL3749">
        <v>79.551293816856401</v>
      </c>
      <c r="AM3749">
        <v>84.383299577990698</v>
      </c>
      <c r="AN3749">
        <v>1.0000000134057401</v>
      </c>
    </row>
    <row r="3750" spans="1:40" x14ac:dyDescent="0.25">
      <c r="A3750" t="str">
        <f>"20190303162332626"</f>
        <v>20190303162332626</v>
      </c>
      <c r="B3750" t="str">
        <f>"1551601412618451"</f>
        <v>1551601412618451</v>
      </c>
      <c r="C3750" t="s">
        <v>40</v>
      </c>
      <c r="D3750">
        <v>5.3184779999999998</v>
      </c>
      <c r="E3750">
        <v>0.52298270000000002</v>
      </c>
      <c r="F3750" t="s">
        <v>42</v>
      </c>
      <c r="G3750">
        <v>-215.35130000000001</v>
      </c>
      <c r="H3750">
        <v>0.83293139999999999</v>
      </c>
      <c r="I3750">
        <v>214.8614</v>
      </c>
      <c r="J3750">
        <v>-215.94669999999999</v>
      </c>
      <c r="K3750">
        <v>1.120511</v>
      </c>
      <c r="L3750">
        <v>214.97550000000001</v>
      </c>
      <c r="M3750">
        <v>0.99979530000000005</v>
      </c>
      <c r="N3750">
        <v>-1.3756839999999999E-2</v>
      </c>
      <c r="O3750">
        <v>-1.484655E-2</v>
      </c>
      <c r="P3750">
        <v>0.97921290000000005</v>
      </c>
      <c r="Q3750">
        <v>0.1672854</v>
      </c>
      <c r="R3750">
        <v>-0.1147077</v>
      </c>
      <c r="S3750">
        <v>3.2037049999999998</v>
      </c>
      <c r="T3750">
        <v>-1.127014</v>
      </c>
      <c r="U3750">
        <v>-0.46224979999999899</v>
      </c>
      <c r="V3750">
        <v>0.1003859</v>
      </c>
      <c r="W3750">
        <v>0.18063489999999999</v>
      </c>
      <c r="X3750">
        <v>0.97841389999999995</v>
      </c>
      <c r="Y3750">
        <v>0.1214538</v>
      </c>
      <c r="Z3750">
        <v>-1.66591E-2</v>
      </c>
      <c r="AA3750">
        <v>0.99245729999999999</v>
      </c>
      <c r="AB3750">
        <v>24</v>
      </c>
      <c r="AC3750">
        <v>0.59539999999998305</v>
      </c>
      <c r="AD3750">
        <v>-0.28757959999999999</v>
      </c>
      <c r="AE3750">
        <v>-0.114100000000007</v>
      </c>
      <c r="AF3750">
        <v>8.5913963676920196E-2</v>
      </c>
      <c r="AG3750">
        <v>-0.28757959999999999</v>
      </c>
      <c r="AH3750">
        <v>0.487359356496466</v>
      </c>
      <c r="AI3750">
        <v>120.161587326899</v>
      </c>
      <c r="AJ3750">
        <v>80.002353383715402</v>
      </c>
      <c r="AK3750">
        <v>0.57236559807127596</v>
      </c>
      <c r="AL3750">
        <v>79.593257183596194</v>
      </c>
      <c r="AM3750">
        <v>84.141914329100203</v>
      </c>
      <c r="AN3750">
        <v>1.0000000278650101</v>
      </c>
    </row>
    <row r="3751" spans="1:40" x14ac:dyDescent="0.25">
      <c r="A3751" t="str">
        <f>"20190303162332648"</f>
        <v>20190303162332648</v>
      </c>
      <c r="B3751" t="str">
        <f>"1551601412637971"</f>
        <v>1551601412637971</v>
      </c>
      <c r="C3751" t="s">
        <v>40</v>
      </c>
      <c r="D3751">
        <v>5.2935470000000002</v>
      </c>
      <c r="E3751">
        <v>0.5227041</v>
      </c>
      <c r="F3751" t="s">
        <v>42</v>
      </c>
      <c r="G3751">
        <v>-215.137</v>
      </c>
      <c r="H3751">
        <v>0.83521409999999996</v>
      </c>
      <c r="I3751">
        <v>214.85659999999999</v>
      </c>
      <c r="J3751">
        <v>-215.7089</v>
      </c>
      <c r="K3751">
        <v>1.1204499999999999</v>
      </c>
      <c r="L3751">
        <v>214.971</v>
      </c>
      <c r="M3751">
        <v>0.99978319999999998</v>
      </c>
      <c r="N3751">
        <v>-1.37295E-2</v>
      </c>
      <c r="O3751">
        <v>-1.5659449999999998E-2</v>
      </c>
      <c r="P3751">
        <v>0.97862380000000004</v>
      </c>
      <c r="Q3751">
        <v>0.16631170000000001</v>
      </c>
      <c r="R3751">
        <v>-0.1209802</v>
      </c>
      <c r="S3751">
        <v>3.2013240000000001</v>
      </c>
      <c r="T3751">
        <v>-1.127929</v>
      </c>
      <c r="U3751">
        <v>-0.4700317</v>
      </c>
      <c r="V3751">
        <v>0.10588789999999999</v>
      </c>
      <c r="W3751">
        <v>0.17960999999999999</v>
      </c>
      <c r="X3751">
        <v>0.97802250000000002</v>
      </c>
      <c r="Y3751">
        <v>0.12304470000000001</v>
      </c>
      <c r="Z3751">
        <v>-1.6693820000000002E-2</v>
      </c>
      <c r="AA3751">
        <v>0.9922607</v>
      </c>
      <c r="AB3751">
        <v>24</v>
      </c>
      <c r="AC3751">
        <v>0.57189999999999896</v>
      </c>
      <c r="AD3751">
        <v>-0.28523589999999999</v>
      </c>
      <c r="AE3751">
        <v>-0.114399999999989</v>
      </c>
      <c r="AF3751">
        <v>8.5079886191074899E-2</v>
      </c>
      <c r="AG3751">
        <v>-0.28523589999999999</v>
      </c>
      <c r="AH3751">
        <v>0.46290322473603901</v>
      </c>
      <c r="AI3751">
        <v>121.217445835954</v>
      </c>
      <c r="AJ3751">
        <v>79.585482483891994</v>
      </c>
      <c r="AK3751">
        <v>0.55034307586642695</v>
      </c>
      <c r="AL3751">
        <v>79.652955812952598</v>
      </c>
      <c r="AM3751">
        <v>83.820806822377705</v>
      </c>
      <c r="AN3751">
        <v>1.00000000498633</v>
      </c>
    </row>
    <row r="3752" spans="1:40" x14ac:dyDescent="0.25">
      <c r="A3752" t="str">
        <f>"20190303162332671"</f>
        <v>20190303162332671</v>
      </c>
      <c r="B3752" t="str">
        <f>"1551601412668228"</f>
        <v>1551601412668228</v>
      </c>
      <c r="C3752" t="s">
        <v>40</v>
      </c>
      <c r="D3752">
        <v>5.3283800000000001</v>
      </c>
      <c r="E3752">
        <v>0.52242559999999905</v>
      </c>
      <c r="F3752" t="s">
        <v>42</v>
      </c>
      <c r="G3752">
        <v>-214.9211</v>
      </c>
      <c r="H3752">
        <v>0.84209059999999902</v>
      </c>
      <c r="I3752">
        <v>214.8527</v>
      </c>
      <c r="J3752">
        <v>-215.4684</v>
      </c>
      <c r="K3752">
        <v>1.12039</v>
      </c>
      <c r="L3752">
        <v>214.96610000000001</v>
      </c>
      <c r="M3752">
        <v>0.99976929999999997</v>
      </c>
      <c r="N3752">
        <v>-1.3695830000000001E-2</v>
      </c>
      <c r="O3752">
        <v>-1.655297E-2</v>
      </c>
      <c r="P3752">
        <v>0.97776350000000001</v>
      </c>
      <c r="Q3752">
        <v>0.16424859999999999</v>
      </c>
      <c r="R3752">
        <v>-0.13038859999999999</v>
      </c>
      <c r="S3752">
        <v>3.1982569999999999</v>
      </c>
      <c r="T3752">
        <v>-1.1299809999999999</v>
      </c>
      <c r="U3752">
        <v>-0.47985840000000002</v>
      </c>
      <c r="V3752">
        <v>0.1144495</v>
      </c>
      <c r="W3752">
        <v>0.17748139999999901</v>
      </c>
      <c r="X3752">
        <v>0.9774465</v>
      </c>
      <c r="Y3752">
        <v>0.12516540000000001</v>
      </c>
      <c r="Z3752">
        <v>-1.6813020000000001E-2</v>
      </c>
      <c r="AA3752">
        <v>0.99199340000000003</v>
      </c>
      <c r="AB3752">
        <v>24</v>
      </c>
      <c r="AC3752">
        <v>0.547300000000007</v>
      </c>
      <c r="AD3752">
        <v>-0.27829939999999997</v>
      </c>
      <c r="AE3752">
        <v>-0.11340000000001201</v>
      </c>
      <c r="AF3752">
        <v>8.3598202475022795E-2</v>
      </c>
      <c r="AG3752">
        <v>-0.27829939999999997</v>
      </c>
      <c r="AH3752">
        <v>0.44001273555873799</v>
      </c>
      <c r="AI3752">
        <v>121.855380803654</v>
      </c>
      <c r="AJ3752">
        <v>79.242562927669198</v>
      </c>
      <c r="AK3752">
        <v>0.52730486717960301</v>
      </c>
      <c r="AL3752">
        <v>79.776907261435397</v>
      </c>
      <c r="AM3752">
        <v>83.321629885500698</v>
      </c>
      <c r="AN3752">
        <v>0.99999999787923</v>
      </c>
    </row>
    <row r="3753" spans="1:40" x14ac:dyDescent="0.25">
      <c r="A3753" t="str">
        <f>"20190303162332693"</f>
        <v>20190303162332693</v>
      </c>
      <c r="B3753" t="str">
        <f>"1551601412688723"</f>
        <v>1551601412688723</v>
      </c>
      <c r="C3753" t="s">
        <v>40</v>
      </c>
      <c r="D3753">
        <v>5.2483879999999896</v>
      </c>
      <c r="E3753">
        <v>0.52944769999999997</v>
      </c>
      <c r="F3753" t="s">
        <v>42</v>
      </c>
      <c r="G3753">
        <v>-214.70519999999999</v>
      </c>
      <c r="H3753">
        <v>0.8493444</v>
      </c>
      <c r="I3753">
        <v>214.84880000000001</v>
      </c>
      <c r="J3753">
        <v>-215.23050000000001</v>
      </c>
      <c r="K3753">
        <v>1.120322</v>
      </c>
      <c r="L3753">
        <v>214.96100000000001</v>
      </c>
      <c r="M3753">
        <v>0.99975340000000001</v>
      </c>
      <c r="N3753">
        <v>-1.3653190000000001E-2</v>
      </c>
      <c r="O3753">
        <v>-1.751993E-2</v>
      </c>
      <c r="P3753">
        <v>0.97640039999999995</v>
      </c>
      <c r="Q3753">
        <v>0.16258359999999999</v>
      </c>
      <c r="R3753">
        <v>-0.14215910000000001</v>
      </c>
      <c r="S3753">
        <v>3.19339</v>
      </c>
      <c r="T3753">
        <v>-1.134007</v>
      </c>
      <c r="U3753">
        <v>-0.49003600000000003</v>
      </c>
      <c r="V3753">
        <v>0.12531239999999999</v>
      </c>
      <c r="W3753">
        <v>0.17572979999999899</v>
      </c>
      <c r="X3753">
        <v>0.97643020000000003</v>
      </c>
      <c r="Y3753">
        <v>0.12737409999999999</v>
      </c>
      <c r="Z3753">
        <v>-1.6957440000000001E-2</v>
      </c>
      <c r="AA3753">
        <v>0.99170979999999997</v>
      </c>
      <c r="AB3753">
        <v>24</v>
      </c>
      <c r="AC3753">
        <v>0.52530000000001498</v>
      </c>
      <c r="AD3753">
        <v>-0.27097759999999999</v>
      </c>
      <c r="AE3753">
        <v>-0.112199999999973</v>
      </c>
      <c r="AF3753">
        <v>8.2087842403518907E-2</v>
      </c>
      <c r="AG3753">
        <v>-0.27097759999999999</v>
      </c>
      <c r="AH3753">
        <v>0.42023741034773598</v>
      </c>
      <c r="AI3753">
        <v>122.32806092398199</v>
      </c>
      <c r="AJ3753">
        <v>78.947200351409293</v>
      </c>
      <c r="AK3753">
        <v>0.50672157505675297</v>
      </c>
      <c r="AL3753">
        <v>79.878869743527403</v>
      </c>
      <c r="AM3753">
        <v>82.6867910594232</v>
      </c>
      <c r="AN3753">
        <v>1.00000004783691</v>
      </c>
    </row>
    <row r="3754" spans="1:40" x14ac:dyDescent="0.25">
      <c r="A3754" t="str">
        <f>"20190303162332716"</f>
        <v>20190303162332716</v>
      </c>
      <c r="B3754" t="str">
        <f>"1551601412708243"</f>
        <v>1551601412708243</v>
      </c>
      <c r="C3754" t="s">
        <v>40</v>
      </c>
      <c r="D3754">
        <v>5.2493569999999998</v>
      </c>
      <c r="E3754">
        <v>0.54896</v>
      </c>
      <c r="F3754" t="s">
        <v>42</v>
      </c>
      <c r="G3754">
        <v>-214.4701</v>
      </c>
      <c r="H3754">
        <v>0.90060769999999901</v>
      </c>
      <c r="I3754">
        <v>214.81989999999999</v>
      </c>
      <c r="J3754">
        <v>-214.98830000000001</v>
      </c>
      <c r="K3754">
        <v>1.1202430000000001</v>
      </c>
      <c r="L3754">
        <v>214.9554</v>
      </c>
      <c r="M3754">
        <v>0.99973460000000003</v>
      </c>
      <c r="N3754">
        <v>-1.359954E-2</v>
      </c>
      <c r="O3754">
        <v>-1.8602170000000001E-2</v>
      </c>
      <c r="P3754">
        <v>0.97474720000000004</v>
      </c>
      <c r="Q3754">
        <v>0.16026799999999999</v>
      </c>
      <c r="R3754">
        <v>-0.15550700000000001</v>
      </c>
      <c r="S3754">
        <v>3.1388090000000002</v>
      </c>
      <c r="T3754">
        <v>-0.90685990000000005</v>
      </c>
      <c r="U3754">
        <v>-0.58184809999999998</v>
      </c>
      <c r="V3754">
        <v>0.1376502</v>
      </c>
      <c r="W3754">
        <v>0.17330519999999999</v>
      </c>
      <c r="X3754">
        <v>0.9752014</v>
      </c>
      <c r="Y3754">
        <v>0.15804860000000001</v>
      </c>
      <c r="Z3754">
        <v>-1.8325480000000002E-2</v>
      </c>
      <c r="AA3754">
        <v>0.98726130000000001</v>
      </c>
      <c r="AB3754">
        <v>24</v>
      </c>
      <c r="AC3754">
        <v>0.51820000000000699</v>
      </c>
      <c r="AD3754">
        <v>-0.21963530000000001</v>
      </c>
      <c r="AE3754">
        <v>-0.135500000000007</v>
      </c>
      <c r="AF3754">
        <v>0.107722845769004</v>
      </c>
      <c r="AG3754">
        <v>-0.21963530000000001</v>
      </c>
      <c r="AH3754">
        <v>0.44569011930466401</v>
      </c>
      <c r="AI3754">
        <v>115.59467439944</v>
      </c>
      <c r="AJ3754">
        <v>76.412259726513895</v>
      </c>
      <c r="AK3754">
        <v>0.50841278401754197</v>
      </c>
      <c r="AL3754">
        <v>80.019953915558602</v>
      </c>
      <c r="AM3754">
        <v>81.9657462181802</v>
      </c>
      <c r="AN3754">
        <v>1.0000000202345101</v>
      </c>
    </row>
    <row r="3755" spans="1:40" x14ac:dyDescent="0.25">
      <c r="A3755" t="str">
        <f>"20190303162332738"</f>
        <v>20190303162332738</v>
      </c>
      <c r="B3755" t="str">
        <f>"1551601412728739"</f>
        <v>1551601412728739</v>
      </c>
      <c r="C3755" t="s">
        <v>40</v>
      </c>
      <c r="D3755">
        <v>5.2025709999999998</v>
      </c>
      <c r="E3755">
        <v>0.55659959999999997</v>
      </c>
      <c r="F3755" t="s">
        <v>42</v>
      </c>
      <c r="G3755">
        <v>-214.20660000000001</v>
      </c>
      <c r="H3755">
        <v>1.0025360000000001</v>
      </c>
      <c r="I3755">
        <v>214.74930000000001</v>
      </c>
      <c r="J3755">
        <v>-214.751</v>
      </c>
      <c r="K3755">
        <v>1.1201509999999999</v>
      </c>
      <c r="L3755">
        <v>214.9496</v>
      </c>
      <c r="M3755">
        <v>0.99971299999999996</v>
      </c>
      <c r="N3755">
        <v>-1.353853E-2</v>
      </c>
      <c r="O3755">
        <v>-1.97716E-2</v>
      </c>
      <c r="P3755">
        <v>0.97310600000000003</v>
      </c>
      <c r="Q3755">
        <v>0.157368799999999</v>
      </c>
      <c r="R3755">
        <v>-0.1682265</v>
      </c>
      <c r="S3755">
        <v>3.0254059999999998</v>
      </c>
      <c r="T3755">
        <v>-0.4555825</v>
      </c>
      <c r="U3755">
        <v>-0.79734799999999995</v>
      </c>
      <c r="V3755">
        <v>0.14928060000000001</v>
      </c>
      <c r="W3755">
        <v>0.17028370000000001</v>
      </c>
      <c r="X3755">
        <v>0.9740219</v>
      </c>
      <c r="Y3755">
        <v>0.23315959999999999</v>
      </c>
      <c r="Z3755">
        <v>-1.6134840000000001E-2</v>
      </c>
      <c r="AA3755">
        <v>0.97230459999999996</v>
      </c>
      <c r="AB3755">
        <v>24</v>
      </c>
      <c r="AC3755">
        <v>0.54439999999996702</v>
      </c>
      <c r="AD3755">
        <v>-0.117615</v>
      </c>
      <c r="AE3755">
        <v>-0.20029999999999801</v>
      </c>
      <c r="AF3755">
        <v>0.18201355018520399</v>
      </c>
      <c r="AG3755">
        <v>-0.117615</v>
      </c>
      <c r="AH3755">
        <v>0.526605240037611</v>
      </c>
      <c r="AI3755">
        <v>101.91970877225</v>
      </c>
      <c r="AJ3755">
        <v>70.933025221239504</v>
      </c>
      <c r="AK3755">
        <v>0.56945175345334698</v>
      </c>
      <c r="AL3755">
        <v>80.195685115446295</v>
      </c>
      <c r="AM3755">
        <v>81.286533098731496</v>
      </c>
      <c r="AN3755">
        <v>0.99999994885082799</v>
      </c>
    </row>
    <row r="3756" spans="1:40" x14ac:dyDescent="0.25">
      <c r="A3756" t="str">
        <f>"20190303162332760"</f>
        <v>20190303162332760</v>
      </c>
      <c r="B3756" t="str">
        <f>"1551601412748259"</f>
        <v>1551601412748259</v>
      </c>
      <c r="C3756" t="s">
        <v>40</v>
      </c>
      <c r="D3756">
        <v>5.2490030000000001</v>
      </c>
      <c r="E3756">
        <v>0.55623089999999997</v>
      </c>
      <c r="F3756" t="s">
        <v>46</v>
      </c>
      <c r="G3756">
        <v>-205.36529999999999</v>
      </c>
      <c r="H3756" s="1">
        <v>4.8140739999999999E-6</v>
      </c>
      <c r="I3756">
        <v>212.125</v>
      </c>
      <c r="J3756">
        <v>-214.51079999999999</v>
      </c>
      <c r="K3756">
        <v>1.1200399999999999</v>
      </c>
      <c r="L3756">
        <v>214.94329999999999</v>
      </c>
      <c r="M3756">
        <v>0.99968710000000005</v>
      </c>
      <c r="N3756">
        <v>-1.346967E-2</v>
      </c>
      <c r="O3756">
        <v>-2.1082989999999999E-2</v>
      </c>
      <c r="P3756">
        <v>0.97121009999999997</v>
      </c>
      <c r="Q3756">
        <v>0.15385399999999999</v>
      </c>
      <c r="R3756">
        <v>-0.18187990000000001</v>
      </c>
      <c r="S3756">
        <v>2.9851990000000002</v>
      </c>
      <c r="T3756">
        <v>-0.35627109999999901</v>
      </c>
      <c r="U3756">
        <v>-0.89837649999999902</v>
      </c>
      <c r="V3756">
        <v>0.1617179</v>
      </c>
      <c r="W3756">
        <v>0.16662560000000001</v>
      </c>
      <c r="X3756">
        <v>0.97266810000000004</v>
      </c>
      <c r="Y3756">
        <v>0.2660903</v>
      </c>
      <c r="Z3756">
        <v>-1.5146140000000001E-2</v>
      </c>
      <c r="AA3756">
        <v>0.96382909999999999</v>
      </c>
      <c r="AB3756">
        <v>24</v>
      </c>
      <c r="AC3756">
        <v>9.1454999999999895</v>
      </c>
      <c r="AD3756">
        <v>-1.1200351859259901</v>
      </c>
      <c r="AE3756">
        <v>-2.81829999999999</v>
      </c>
      <c r="AF3756">
        <v>2.5893729762753899</v>
      </c>
      <c r="AG3756">
        <v>-1.1200351859259901</v>
      </c>
      <c r="AH3756">
        <v>9.0785351231709797</v>
      </c>
      <c r="AI3756">
        <v>96.765969743227501</v>
      </c>
      <c r="AJ3756">
        <v>74.080830361051099</v>
      </c>
      <c r="AK3756">
        <v>9.50679395015095</v>
      </c>
      <c r="AL3756">
        <v>80.408318100383994</v>
      </c>
      <c r="AM3756">
        <v>80.560229360424799</v>
      </c>
      <c r="AN3756">
        <v>1.0000000012566901</v>
      </c>
    </row>
    <row r="3757" spans="1:40" x14ac:dyDescent="0.25">
      <c r="A3757" t="str">
        <f>"20190303162332783"</f>
        <v>20190303162332783</v>
      </c>
      <c r="B3757" t="str">
        <f>"1551601412778515"</f>
        <v>1551601412778515</v>
      </c>
      <c r="C3757" t="s">
        <v>40</v>
      </c>
      <c r="D3757">
        <v>5.2580530000000003</v>
      </c>
      <c r="E3757">
        <v>0.55462119999999904</v>
      </c>
      <c r="F3757" t="s">
        <v>46</v>
      </c>
      <c r="G3757">
        <v>-205.03989999999999</v>
      </c>
      <c r="H3757" s="1">
        <v>4.6840060000000001E-6</v>
      </c>
      <c r="I3757">
        <v>211.9622</v>
      </c>
      <c r="J3757">
        <v>-214.27760000000001</v>
      </c>
      <c r="K3757">
        <v>1.1199110000000001</v>
      </c>
      <c r="L3757">
        <v>214.9367</v>
      </c>
      <c r="M3757">
        <v>0.99965709999999997</v>
      </c>
      <c r="N3757">
        <v>-1.3391490000000001E-2</v>
      </c>
      <c r="O3757">
        <v>-2.2505750000000001E-2</v>
      </c>
      <c r="P3757">
        <v>0.96909730000000005</v>
      </c>
      <c r="Q3757">
        <v>0.15005070000000001</v>
      </c>
      <c r="R3757">
        <v>-0.19579440000000001</v>
      </c>
      <c r="S3757">
        <v>2.9694980000000002</v>
      </c>
      <c r="T3757">
        <v>-0.35117389999999998</v>
      </c>
      <c r="U3757">
        <v>-0.93470759999999997</v>
      </c>
      <c r="V3757">
        <v>0.1743189</v>
      </c>
      <c r="W3757">
        <v>0.16265739999999901</v>
      </c>
      <c r="X3757">
        <v>0.97116199999999997</v>
      </c>
      <c r="Y3757">
        <v>0.27684520000000001</v>
      </c>
      <c r="Z3757">
        <v>-1.5541610000000001E-2</v>
      </c>
      <c r="AA3757">
        <v>0.9607888</v>
      </c>
      <c r="AB3757">
        <v>24</v>
      </c>
      <c r="AC3757">
        <v>9.2377000000000091</v>
      </c>
      <c r="AD3757">
        <v>-1.1199063159939999</v>
      </c>
      <c r="AE3757">
        <v>-2.9744999999999999</v>
      </c>
      <c r="AF3757">
        <v>2.72947919939089</v>
      </c>
      <c r="AG3757">
        <v>-1.1199063159939999</v>
      </c>
      <c r="AH3757">
        <v>9.1800623073946994</v>
      </c>
      <c r="AI3757">
        <v>96.669541152056993</v>
      </c>
      <c r="AJ3757">
        <v>73.441371803209094</v>
      </c>
      <c r="AK3757">
        <v>9.6424992001119598</v>
      </c>
      <c r="AL3757">
        <v>80.638825640947502</v>
      </c>
      <c r="AM3757">
        <v>79.824044954211502</v>
      </c>
      <c r="AN3757">
        <v>1.00000006945798</v>
      </c>
    </row>
    <row r="3758" spans="1:40" x14ac:dyDescent="0.25">
      <c r="A3758" t="str">
        <f>"20190303162332804"</f>
        <v>20190303162332804</v>
      </c>
      <c r="B3758" t="str">
        <f>"1551601412798035"</f>
        <v>1551601412798035</v>
      </c>
      <c r="C3758" t="s">
        <v>40</v>
      </c>
      <c r="D3758">
        <v>5.2675390000000002</v>
      </c>
      <c r="E3758">
        <v>0.55303599999999997</v>
      </c>
      <c r="F3758" t="s">
        <v>46</v>
      </c>
      <c r="G3758">
        <v>-205.03649999999999</v>
      </c>
      <c r="H3758" s="1">
        <v>4.6854400000000003E-6</v>
      </c>
      <c r="I3758">
        <v>211.92850000000001</v>
      </c>
      <c r="J3758">
        <v>-214.0386</v>
      </c>
      <c r="K3758">
        <v>1.1197680000000001</v>
      </c>
      <c r="L3758">
        <v>214.92939999999999</v>
      </c>
      <c r="M3758">
        <v>0.99961979999999995</v>
      </c>
      <c r="N3758">
        <v>-1.3294479999999999E-2</v>
      </c>
      <c r="O3758">
        <v>-2.415521E-2</v>
      </c>
      <c r="P3758">
        <v>0.96694740000000001</v>
      </c>
      <c r="Q3758">
        <v>0.14664070000000001</v>
      </c>
      <c r="R3758">
        <v>-0.208589</v>
      </c>
      <c r="S3758">
        <v>2.956696</v>
      </c>
      <c r="T3758">
        <v>-0.35831380000000002</v>
      </c>
      <c r="U3758">
        <v>-0.96247859999999996</v>
      </c>
      <c r="V3758">
        <v>0.18559129999999999</v>
      </c>
      <c r="W3758">
        <v>0.15905469999999999</v>
      </c>
      <c r="X3758">
        <v>0.96966870000000005</v>
      </c>
      <c r="Y3758">
        <v>0.2844989</v>
      </c>
      <c r="Z3758">
        <v>-1.6165269999999999E-2</v>
      </c>
      <c r="AA3758">
        <v>0.95854010000000001</v>
      </c>
      <c r="AB3758">
        <v>24</v>
      </c>
      <c r="AC3758">
        <v>9.0021000000000093</v>
      </c>
      <c r="AD3758">
        <v>-1.1197633145599999</v>
      </c>
      <c r="AE3758">
        <v>-3.0008999999999699</v>
      </c>
      <c r="AF3758">
        <v>2.7443418878267498</v>
      </c>
      <c r="AG3758">
        <v>-1.1197633145599999</v>
      </c>
      <c r="AH3758">
        <v>8.94737270546538</v>
      </c>
      <c r="AI3758">
        <v>96.822910018506605</v>
      </c>
      <c r="AJ3758">
        <v>72.948154129102306</v>
      </c>
      <c r="AK3758">
        <v>9.4255376827224993</v>
      </c>
      <c r="AL3758">
        <v>80.847967712948702</v>
      </c>
      <c r="AM3758">
        <v>79.164821056349098</v>
      </c>
      <c r="AN3758">
        <v>0.99999995799373398</v>
      </c>
    </row>
    <row r="3759" spans="1:40" x14ac:dyDescent="0.25">
      <c r="A3759" t="str">
        <f>"20190303162332829"</f>
        <v>20190303162332829</v>
      </c>
      <c r="B3759" t="str">
        <f>"1551601412818531"</f>
        <v>1551601412818531</v>
      </c>
      <c r="C3759" t="s">
        <v>40</v>
      </c>
      <c r="D3759">
        <v>5.2466019999999904</v>
      </c>
      <c r="E3759">
        <v>0.55151660000000002</v>
      </c>
      <c r="F3759" t="s">
        <v>46</v>
      </c>
      <c r="G3759">
        <v>-205.08680000000001</v>
      </c>
      <c r="H3759" s="1">
        <v>4.7073429999999999E-6</v>
      </c>
      <c r="I3759">
        <v>211.93299999999999</v>
      </c>
      <c r="J3759">
        <v>-213.79249999999999</v>
      </c>
      <c r="K3759">
        <v>1.119629</v>
      </c>
      <c r="L3759">
        <v>214.9213</v>
      </c>
      <c r="M3759">
        <v>0.99957450000000003</v>
      </c>
      <c r="N3759">
        <v>-1.318911E-2</v>
      </c>
      <c r="O3759">
        <v>-2.6020250000000002E-2</v>
      </c>
      <c r="P3759">
        <v>0.96465100000000004</v>
      </c>
      <c r="Q3759">
        <v>0.14467550000000001</v>
      </c>
      <c r="R3759">
        <v>-0.22026760000000001</v>
      </c>
      <c r="S3759">
        <v>2.9457239999999998</v>
      </c>
      <c r="T3759">
        <v>-0.36847340000000001</v>
      </c>
      <c r="U3759">
        <v>-0.98602290000000004</v>
      </c>
      <c r="V3759">
        <v>0.19555049999999999</v>
      </c>
      <c r="W3759">
        <v>0.15688550000000001</v>
      </c>
      <c r="X3759">
        <v>0.96806349999999997</v>
      </c>
      <c r="Y3759">
        <v>0.29051389999999999</v>
      </c>
      <c r="Z3759">
        <v>-1.6778319999999999E-2</v>
      </c>
      <c r="AA3759">
        <v>0.95672360000000001</v>
      </c>
      <c r="AB3759">
        <v>24</v>
      </c>
      <c r="AC3759">
        <v>8.70569999999997</v>
      </c>
      <c r="AD3759">
        <v>-1.1196242926569999</v>
      </c>
      <c r="AE3759">
        <v>-2.9883000000000002</v>
      </c>
      <c r="AF3759">
        <v>2.7204897581943599</v>
      </c>
      <c r="AG3759">
        <v>-1.1196242926569999</v>
      </c>
      <c r="AH3759">
        <v>8.6524872279104006</v>
      </c>
      <c r="AI3759">
        <v>97.037067407094995</v>
      </c>
      <c r="AJ3759">
        <v>72.545961818090205</v>
      </c>
      <c r="AK3759">
        <v>9.1389363883496095</v>
      </c>
      <c r="AL3759">
        <v>80.973834516222198</v>
      </c>
      <c r="AM3759">
        <v>78.579830696359593</v>
      </c>
      <c r="AN3759">
        <v>0.99999999909637505</v>
      </c>
    </row>
    <row r="3760" spans="1:40" x14ac:dyDescent="0.25">
      <c r="A3760" t="str">
        <f>"20190303162332849"</f>
        <v>20190303162332849</v>
      </c>
      <c r="B3760" t="str">
        <f>"1551601412837958"</f>
        <v>1551601412837958</v>
      </c>
      <c r="C3760" t="s">
        <v>40</v>
      </c>
      <c r="D3760">
        <v>5.2353350000000001</v>
      </c>
      <c r="E3760">
        <v>0.55039879999999997</v>
      </c>
      <c r="F3760" t="s">
        <v>46</v>
      </c>
      <c r="G3760">
        <v>-204.94499999999999</v>
      </c>
      <c r="H3760" s="1">
        <v>4.648852E-6</v>
      </c>
      <c r="I3760">
        <v>211.88290000000001</v>
      </c>
      <c r="J3760">
        <v>-213.5676</v>
      </c>
      <c r="K3760">
        <v>1.1194930000000001</v>
      </c>
      <c r="L3760">
        <v>214.91329999999999</v>
      </c>
      <c r="M3760">
        <v>0.99952569999999996</v>
      </c>
      <c r="N3760">
        <v>-1.308311E-2</v>
      </c>
      <c r="O3760">
        <v>-2.7882859999999999E-2</v>
      </c>
      <c r="P3760">
        <v>0.96249459999999998</v>
      </c>
      <c r="Q3760">
        <v>0.14375160000000001</v>
      </c>
      <c r="R3760">
        <v>-0.2300874</v>
      </c>
      <c r="S3760">
        <v>2.9354550000000001</v>
      </c>
      <c r="T3760">
        <v>-0.37147249999999998</v>
      </c>
      <c r="U3760">
        <v>-1.008087</v>
      </c>
      <c r="V3760">
        <v>0.20365510000000001</v>
      </c>
      <c r="W3760">
        <v>0.1557637</v>
      </c>
      <c r="X3760">
        <v>0.96657249999999995</v>
      </c>
      <c r="Y3760">
        <v>0.29611029999999999</v>
      </c>
      <c r="Z3760">
        <v>-1.7086670000000002E-2</v>
      </c>
      <c r="AA3760">
        <v>0.95500090000000004</v>
      </c>
      <c r="AB3760">
        <v>24</v>
      </c>
      <c r="AC3760">
        <v>8.6226000000000003</v>
      </c>
      <c r="AD3760">
        <v>-1.119488351148</v>
      </c>
      <c r="AE3760">
        <v>-3.0303999999999802</v>
      </c>
      <c r="AF3760">
        <v>2.7475561864674201</v>
      </c>
      <c r="AG3760">
        <v>-1.119488351148</v>
      </c>
      <c r="AH3760">
        <v>8.5750966390398808</v>
      </c>
      <c r="AI3760">
        <v>97.086943750515303</v>
      </c>
      <c r="AJ3760">
        <v>72.233964306619598</v>
      </c>
      <c r="AK3760">
        <v>9.0738416084382205</v>
      </c>
      <c r="AL3760">
        <v>81.038909553259401</v>
      </c>
      <c r="AM3760">
        <v>78.101911210638406</v>
      </c>
      <c r="AN3760">
        <v>1.00000006387497</v>
      </c>
    </row>
    <row r="3761" spans="1:40" x14ac:dyDescent="0.25">
      <c r="A3761" t="str">
        <f>"20190303162332872"</f>
        <v>20190303162332872</v>
      </c>
      <c r="B3761" t="str">
        <f>"1551601412868214"</f>
        <v>1551601412868214</v>
      </c>
      <c r="C3761" t="s">
        <v>40</v>
      </c>
      <c r="D3761">
        <v>5.2596759999999998</v>
      </c>
      <c r="E3761">
        <v>0.54842360000000001</v>
      </c>
      <c r="F3761" t="s">
        <v>46</v>
      </c>
      <c r="G3761">
        <v>-204.7405</v>
      </c>
      <c r="H3761" s="1">
        <v>4.5639679999999998E-6</v>
      </c>
      <c r="I3761">
        <v>211.8168</v>
      </c>
      <c r="J3761">
        <v>-213.3322</v>
      </c>
      <c r="K3761">
        <v>1.119353</v>
      </c>
      <c r="L3761">
        <v>214.90430000000001</v>
      </c>
      <c r="M3761">
        <v>0.99946539999999995</v>
      </c>
      <c r="N3761">
        <v>-1.294638E-2</v>
      </c>
      <c r="O3761">
        <v>-3.0023729999999998E-2</v>
      </c>
      <c r="P3761">
        <v>0.960287</v>
      </c>
      <c r="Q3761">
        <v>0.1428845</v>
      </c>
      <c r="R3761">
        <v>-0.2396528</v>
      </c>
      <c r="S3761">
        <v>2.926895</v>
      </c>
      <c r="T3761">
        <v>-0.37120389999999998</v>
      </c>
      <c r="U3761">
        <v>-1.026764</v>
      </c>
      <c r="V3761">
        <v>0.21124879999999999</v>
      </c>
      <c r="W3761">
        <v>0.1546604</v>
      </c>
      <c r="X3761">
        <v>0.9651187</v>
      </c>
      <c r="Y3761">
        <v>0.30033649999999901</v>
      </c>
      <c r="Z3761">
        <v>-1.713141E-2</v>
      </c>
      <c r="AA3761">
        <v>0.95367950000000001</v>
      </c>
      <c r="AB3761">
        <v>24</v>
      </c>
      <c r="AC3761">
        <v>8.5916999999999994</v>
      </c>
      <c r="AD3761">
        <v>-1.1193484360320001</v>
      </c>
      <c r="AE3761">
        <v>-3.0874999999999999</v>
      </c>
      <c r="AF3761">
        <v>2.78624770700422</v>
      </c>
      <c r="AG3761">
        <v>-1.1193484360320001</v>
      </c>
      <c r="AH3761">
        <v>8.5519763286491592</v>
      </c>
      <c r="AI3761">
        <v>97.093946660304098</v>
      </c>
      <c r="AJ3761">
        <v>71.954306790031694</v>
      </c>
      <c r="AK3761">
        <v>9.0637970151481895</v>
      </c>
      <c r="AL3761">
        <v>81.102898895380406</v>
      </c>
      <c r="AM3761">
        <v>77.653599585092095</v>
      </c>
      <c r="AN3761">
        <v>0.99999999995964495</v>
      </c>
    </row>
    <row r="3762" spans="1:40" x14ac:dyDescent="0.25">
      <c r="A3762" t="str">
        <f>"20190303162332895"</f>
        <v>20190303162332895</v>
      </c>
      <c r="B3762" t="str">
        <f>"1551601412888709"</f>
        <v>1551601412888709</v>
      </c>
      <c r="C3762" t="s">
        <v>40</v>
      </c>
      <c r="D3762">
        <v>5.2867860000000002</v>
      </c>
      <c r="E3762">
        <v>0.54681109999999999</v>
      </c>
      <c r="F3762" t="s">
        <v>46</v>
      </c>
      <c r="G3762">
        <v>-204.4529</v>
      </c>
      <c r="H3762" s="1">
        <v>4.44263E-6</v>
      </c>
      <c r="I3762">
        <v>211.74549999999999</v>
      </c>
      <c r="J3762">
        <v>-213.08519999999999</v>
      </c>
      <c r="K3762">
        <v>1.1191789999999999</v>
      </c>
      <c r="L3762">
        <v>214.89410000000001</v>
      </c>
      <c r="M3762">
        <v>0.99939049999999996</v>
      </c>
      <c r="N3762">
        <v>-1.277288E-2</v>
      </c>
      <c r="O3762">
        <v>-3.2489539999999997E-2</v>
      </c>
      <c r="P3762">
        <v>0.95805899999999999</v>
      </c>
      <c r="Q3762">
        <v>0.14200079999999901</v>
      </c>
      <c r="R3762">
        <v>-0.24891650000000001</v>
      </c>
      <c r="S3762">
        <v>2.919632</v>
      </c>
      <c r="T3762">
        <v>-0.36805369999999998</v>
      </c>
      <c r="U3762">
        <v>-1.0386660000000001</v>
      </c>
      <c r="V3762">
        <v>0.21824089999999999</v>
      </c>
      <c r="W3762">
        <v>0.15349389999999999</v>
      </c>
      <c r="X3762">
        <v>0.96374820000000005</v>
      </c>
      <c r="Y3762">
        <v>0.3022127</v>
      </c>
      <c r="Z3762">
        <v>-1.6858560000000002E-2</v>
      </c>
      <c r="AA3762">
        <v>0.95309140000000003</v>
      </c>
      <c r="AB3762">
        <v>24</v>
      </c>
      <c r="AC3762">
        <v>8.6322999999999794</v>
      </c>
      <c r="AD3762">
        <v>-1.11917455737</v>
      </c>
      <c r="AE3762">
        <v>-3.1486000000000098</v>
      </c>
      <c r="AF3762">
        <v>2.8245520020160599</v>
      </c>
      <c r="AG3762">
        <v>-1.11917455737</v>
      </c>
      <c r="AH3762">
        <v>8.6024270612164599</v>
      </c>
      <c r="AI3762">
        <v>97.046437313247296</v>
      </c>
      <c r="AJ3762">
        <v>71.822735978165895</v>
      </c>
      <c r="AK3762">
        <v>9.1231791084855107</v>
      </c>
      <c r="AL3762">
        <v>81.170542437628399</v>
      </c>
      <c r="AM3762">
        <v>77.240558639410693</v>
      </c>
      <c r="AN3762">
        <v>1.0000000303866201</v>
      </c>
    </row>
    <row r="3763" spans="1:40" x14ac:dyDescent="0.25">
      <c r="A3763" t="str">
        <f>"20190303162332917"</f>
        <v>20190303162332917</v>
      </c>
      <c r="B3763" t="str">
        <f>"1551601412908230"</f>
        <v>1551601412908230</v>
      </c>
      <c r="C3763" t="s">
        <v>40</v>
      </c>
      <c r="D3763">
        <v>5.3602589999999903</v>
      </c>
      <c r="E3763">
        <v>0.52865680000000004</v>
      </c>
      <c r="F3763" t="s">
        <v>46</v>
      </c>
      <c r="G3763">
        <v>-204.21709999999999</v>
      </c>
      <c r="H3763" s="1">
        <v>4.3429590000000001E-6</v>
      </c>
      <c r="I3763">
        <v>211.68969999999999</v>
      </c>
      <c r="J3763">
        <v>-212.8441</v>
      </c>
      <c r="K3763">
        <v>1.118997</v>
      </c>
      <c r="L3763">
        <v>214.88339999999999</v>
      </c>
      <c r="M3763">
        <v>0.99930410000000003</v>
      </c>
      <c r="N3763">
        <v>-1.258485E-2</v>
      </c>
      <c r="O3763">
        <v>-3.5110969999999998E-2</v>
      </c>
      <c r="P3763">
        <v>0.95574899999999996</v>
      </c>
      <c r="Q3763">
        <v>0.1407245</v>
      </c>
      <c r="R3763">
        <v>-0.2583413</v>
      </c>
      <c r="S3763">
        <v>2.9123990000000002</v>
      </c>
      <c r="T3763">
        <v>-0.36755169999999998</v>
      </c>
      <c r="U3763">
        <v>-1.052368</v>
      </c>
      <c r="V3763">
        <v>0.22525519999999999</v>
      </c>
      <c r="W3763">
        <v>0.1519134</v>
      </c>
      <c r="X3763">
        <v>0.96238369999999995</v>
      </c>
      <c r="Y3763">
        <v>0.30443480000000001</v>
      </c>
      <c r="Z3763">
        <v>-1.6691029999999999E-2</v>
      </c>
      <c r="AA3763">
        <v>0.95238690000000004</v>
      </c>
      <c r="AB3763">
        <v>24</v>
      </c>
      <c r="AC3763">
        <v>8.6270000000000095</v>
      </c>
      <c r="AD3763">
        <v>-1.118992657041</v>
      </c>
      <c r="AE3763">
        <v>-3.1937000000000002</v>
      </c>
      <c r="AF3763">
        <v>2.8466834481468601</v>
      </c>
      <c r="AG3763">
        <v>-1.118992657041</v>
      </c>
      <c r="AH3763">
        <v>8.6064776791998199</v>
      </c>
      <c r="AI3763">
        <v>97.037013993386793</v>
      </c>
      <c r="AJ3763">
        <v>71.6978211361848</v>
      </c>
      <c r="AK3763">
        <v>9.1338496409252095</v>
      </c>
      <c r="AL3763">
        <v>81.262172676635302</v>
      </c>
      <c r="AM3763">
        <v>76.826517423618199</v>
      </c>
      <c r="AN3763">
        <v>0.99999998612614405</v>
      </c>
    </row>
    <row r="3764" spans="1:40" x14ac:dyDescent="0.25">
      <c r="A3764" t="str">
        <f>"20190303162332940"</f>
        <v>20190303162332940</v>
      </c>
      <c r="B3764" t="str">
        <f>"1551601412928726"</f>
        <v>1551601412928726</v>
      </c>
      <c r="C3764" t="s">
        <v>40</v>
      </c>
      <c r="D3764">
        <v>5.2792479999999999</v>
      </c>
      <c r="E3764">
        <v>0.52669460000000001</v>
      </c>
      <c r="F3764" t="s">
        <v>46</v>
      </c>
      <c r="G3764">
        <v>-202.03790000000001</v>
      </c>
      <c r="H3764" s="1">
        <v>3.4013669999999999E-6</v>
      </c>
      <c r="I3764">
        <v>211.40629999999999</v>
      </c>
      <c r="J3764">
        <v>-212.61070000000001</v>
      </c>
      <c r="K3764">
        <v>1.1188049999999901</v>
      </c>
      <c r="L3764">
        <v>214.87219999999999</v>
      </c>
      <c r="M3764">
        <v>0.99920659999999994</v>
      </c>
      <c r="N3764">
        <v>-1.2390419999999999E-2</v>
      </c>
      <c r="O3764">
        <v>-3.7850689999999999E-2</v>
      </c>
      <c r="P3764">
        <v>0.95395909999999995</v>
      </c>
      <c r="Q3764">
        <v>0.1377255</v>
      </c>
      <c r="R3764">
        <v>-0.26644709999999899</v>
      </c>
      <c r="S3764">
        <v>2.9288020000000001</v>
      </c>
      <c r="T3764">
        <v>-0.30328110000000003</v>
      </c>
      <c r="U3764">
        <v>-0.94241330000000001</v>
      </c>
      <c r="V3764">
        <v>0.2308163</v>
      </c>
      <c r="W3764">
        <v>0.14861429999999901</v>
      </c>
      <c r="X3764">
        <v>0.96158080000000001</v>
      </c>
      <c r="Y3764">
        <v>0.26872790000000002</v>
      </c>
      <c r="Z3764">
        <v>-1.189784E-2</v>
      </c>
      <c r="AA3764">
        <v>0.96314259999999996</v>
      </c>
      <c r="AB3764">
        <v>24</v>
      </c>
      <c r="AC3764">
        <v>10.572800000000001</v>
      </c>
      <c r="AD3764">
        <v>-1.11880159863299</v>
      </c>
      <c r="AE3764">
        <v>-3.4659</v>
      </c>
      <c r="AF3764">
        <v>3.0325352742413498</v>
      </c>
      <c r="AG3764">
        <v>-1.11880159863299</v>
      </c>
      <c r="AH3764">
        <v>10.5893494408785</v>
      </c>
      <c r="AI3764">
        <v>95.799675692050101</v>
      </c>
      <c r="AJ3764">
        <v>74.019559491130707</v>
      </c>
      <c r="AK3764">
        <v>11.071689518210601</v>
      </c>
      <c r="AL3764">
        <v>81.453368285857394</v>
      </c>
      <c r="AM3764">
        <v>76.502187347469899</v>
      </c>
      <c r="AN3764">
        <v>1.00000000471941</v>
      </c>
    </row>
    <row r="3765" spans="1:40" x14ac:dyDescent="0.25">
      <c r="A3765" t="str">
        <f>"20190303162332962"</f>
        <v>20190303162332962</v>
      </c>
      <c r="B3765" t="str">
        <f>"1551601412948246"</f>
        <v>1551601412948246</v>
      </c>
      <c r="C3765" t="s">
        <v>40</v>
      </c>
      <c r="D3765">
        <v>5.659567</v>
      </c>
      <c r="E3765">
        <v>0.52546300000000001</v>
      </c>
      <c r="F3765" t="s">
        <v>46</v>
      </c>
      <c r="G3765">
        <v>-201.63300000000001</v>
      </c>
      <c r="H3765" s="1">
        <v>3.2308399999999999E-6</v>
      </c>
      <c r="I3765">
        <v>211.30269999999999</v>
      </c>
      <c r="J3765">
        <v>-212.37219999999999</v>
      </c>
      <c r="K3765">
        <v>1.1186119999999999</v>
      </c>
      <c r="L3765">
        <v>214.85990000000001</v>
      </c>
      <c r="M3765">
        <v>0.9990909</v>
      </c>
      <c r="N3765">
        <v>-1.218E-2</v>
      </c>
      <c r="O3765">
        <v>-4.0854710000000002E-2</v>
      </c>
      <c r="P3765">
        <v>0.95233460000000003</v>
      </c>
      <c r="Q3765">
        <v>0.13517709999999999</v>
      </c>
      <c r="R3765">
        <v>-0.27347050000000001</v>
      </c>
      <c r="S3765">
        <v>2.9223789999999998</v>
      </c>
      <c r="T3765">
        <v>-0.2978364</v>
      </c>
      <c r="U3765">
        <v>-0.95024109999999995</v>
      </c>
      <c r="V3765">
        <v>0.23504120000000001</v>
      </c>
      <c r="W3765">
        <v>0.1457552</v>
      </c>
      <c r="X3765">
        <v>0.96099480000000004</v>
      </c>
      <c r="Y3765">
        <v>0.26883899999999999</v>
      </c>
      <c r="Z3765">
        <v>-1.144906E-2</v>
      </c>
      <c r="AA3765">
        <v>0.96311709999999995</v>
      </c>
      <c r="AB3765">
        <v>24</v>
      </c>
      <c r="AC3765">
        <v>10.7392</v>
      </c>
      <c r="AD3765">
        <v>-1.11860876916</v>
      </c>
      <c r="AE3765">
        <v>-3.5572000000000199</v>
      </c>
      <c r="AF3765">
        <v>3.0852857338814701</v>
      </c>
      <c r="AG3765">
        <v>-1.11860876916</v>
      </c>
      <c r="AH3765">
        <v>10.7702719387811</v>
      </c>
      <c r="AI3765">
        <v>95.701791385715893</v>
      </c>
      <c r="AJ3765">
        <v>74.014944869946603</v>
      </c>
      <c r="AK3765">
        <v>11.2591754259995</v>
      </c>
      <c r="AL3765">
        <v>81.618986201244994</v>
      </c>
      <c r="AM3765">
        <v>76.256341661864099</v>
      </c>
      <c r="AN3765">
        <v>0.99999997482575897</v>
      </c>
    </row>
    <row r="3766" spans="1:40" x14ac:dyDescent="0.25">
      <c r="A3766" t="str">
        <f>"20190303162332985"</f>
        <v>20190303162332985</v>
      </c>
      <c r="B3766" t="str">
        <f>"1551601412978502"</f>
        <v>1551601412978502</v>
      </c>
      <c r="C3766" t="s">
        <v>40</v>
      </c>
      <c r="D3766">
        <v>5.2700129999999996</v>
      </c>
      <c r="E3766">
        <v>0.52546579999999998</v>
      </c>
      <c r="F3766" t="s">
        <v>46</v>
      </c>
      <c r="G3766">
        <v>-201.4409</v>
      </c>
      <c r="H3766" s="1">
        <v>3.1499449999999999E-6</v>
      </c>
      <c r="I3766">
        <v>211.25380000000001</v>
      </c>
      <c r="J3766">
        <v>-212.12649999999999</v>
      </c>
      <c r="K3766">
        <v>1.118436</v>
      </c>
      <c r="L3766">
        <v>214.84610000000001</v>
      </c>
      <c r="M3766">
        <v>0.99895199999999995</v>
      </c>
      <c r="N3766">
        <v>-1.196089E-2</v>
      </c>
      <c r="O3766">
        <v>-4.417956E-2</v>
      </c>
      <c r="P3766">
        <v>0.95085909999999996</v>
      </c>
      <c r="Q3766">
        <v>0.13429170000000001</v>
      </c>
      <c r="R3766">
        <v>-0.27898509999999999</v>
      </c>
      <c r="S3766">
        <v>2.9162750000000002</v>
      </c>
      <c r="T3766">
        <v>-0.29842560000000001</v>
      </c>
      <c r="U3766">
        <v>-0.96203609999999995</v>
      </c>
      <c r="V3766">
        <v>0.23745479999999999</v>
      </c>
      <c r="W3766">
        <v>0.14456060000000001</v>
      </c>
      <c r="X3766">
        <v>0.96058180000000004</v>
      </c>
      <c r="Y3766">
        <v>0.2697483</v>
      </c>
      <c r="Z3766">
        <v>-1.12023E-2</v>
      </c>
      <c r="AA3766">
        <v>0.96286570000000005</v>
      </c>
      <c r="AB3766">
        <v>24</v>
      </c>
      <c r="AC3766">
        <v>10.6855999999999</v>
      </c>
      <c r="AD3766">
        <v>-1.118432850055</v>
      </c>
      <c r="AE3766">
        <v>-3.5922999999999901</v>
      </c>
      <c r="AF3766">
        <v>3.0862952502063399</v>
      </c>
      <c r="AG3766">
        <v>-1.118432850055</v>
      </c>
      <c r="AH3766">
        <v>10.728286083147999</v>
      </c>
      <c r="AI3766">
        <v>95.721231695425999</v>
      </c>
      <c r="AJ3766">
        <v>73.950620510040196</v>
      </c>
      <c r="AK3766">
        <v>11.219279508658101</v>
      </c>
      <c r="AL3766">
        <v>81.6881644215796</v>
      </c>
      <c r="AM3766">
        <v>76.114904344903294</v>
      </c>
      <c r="AN3766">
        <v>0.99999997180331901</v>
      </c>
    </row>
    <row r="3767" spans="1:40" x14ac:dyDescent="0.25">
      <c r="A3767" t="str">
        <f>"20190303162333028"</f>
        <v>20190303162333028</v>
      </c>
      <c r="B3767" t="str">
        <f>"1551601413018518"</f>
        <v>1551601413018518</v>
      </c>
      <c r="C3767" t="s">
        <v>40</v>
      </c>
      <c r="D3767">
        <v>5.3617100000000004</v>
      </c>
      <c r="E3767">
        <v>0.52535410000000005</v>
      </c>
      <c r="F3767" t="s">
        <v>46</v>
      </c>
      <c r="G3767">
        <v>-201.3586</v>
      </c>
      <c r="H3767" s="1">
        <v>3.1163309999999999E-6</v>
      </c>
      <c r="I3767">
        <v>211.2209</v>
      </c>
      <c r="J3767">
        <v>-211.66399999999999</v>
      </c>
      <c r="K3767">
        <v>1.1181730000000001</v>
      </c>
      <c r="L3767">
        <v>214.81739999999999</v>
      </c>
      <c r="M3767">
        <v>0.99863329999999995</v>
      </c>
      <c r="N3767">
        <v>-1.159104E-2</v>
      </c>
      <c r="O3767">
        <v>-5.0964919999999997E-2</v>
      </c>
      <c r="P3767">
        <v>0.94773649999999998</v>
      </c>
      <c r="Q3767">
        <v>0.13962040000000001</v>
      </c>
      <c r="R3767">
        <v>-0.28688330000000001</v>
      </c>
      <c r="S3767">
        <v>2.9102329999999998</v>
      </c>
      <c r="T3767">
        <v>-0.30227890000000002</v>
      </c>
      <c r="U3767">
        <v>-0.97979740000000004</v>
      </c>
      <c r="V3767">
        <v>0.23907139999999999</v>
      </c>
      <c r="W3767">
        <v>0.1493749</v>
      </c>
      <c r="X3767">
        <v>0.95944359999999995</v>
      </c>
      <c r="Y3767">
        <v>0.2690959</v>
      </c>
      <c r="Z3767">
        <v>-1.062079E-2</v>
      </c>
      <c r="AA3767">
        <v>0.96305479999999999</v>
      </c>
      <c r="AB3767">
        <v>24</v>
      </c>
      <c r="AC3767">
        <v>10.305400000000001</v>
      </c>
      <c r="AD3767">
        <v>-1.1181698836689999</v>
      </c>
      <c r="AE3767">
        <v>-3.59649999999999</v>
      </c>
      <c r="AF3767">
        <v>3.03472769049276</v>
      </c>
      <c r="AG3767">
        <v>-1.1181698836689999</v>
      </c>
      <c r="AH3767">
        <v>10.3665193134403</v>
      </c>
      <c r="AI3767">
        <v>95.910152138094006</v>
      </c>
      <c r="AJ3767">
        <v>73.682968476784197</v>
      </c>
      <c r="AK3767">
        <v>10.8593093113751</v>
      </c>
      <c r="AL3767">
        <v>81.409297225033697</v>
      </c>
      <c r="AM3767">
        <v>76.008138891473095</v>
      </c>
      <c r="AN3767">
        <v>1.00000000831446</v>
      </c>
    </row>
    <row r="3768" spans="1:40" x14ac:dyDescent="0.25">
      <c r="A3768" t="str">
        <f>"20190303162333051"</f>
        <v>20190303162333051</v>
      </c>
      <c r="B3768" t="str">
        <f>"1551601413038545"</f>
        <v>1551601413038545</v>
      </c>
      <c r="C3768" t="s">
        <v>40</v>
      </c>
      <c r="D3768">
        <v>5.3490669999999998</v>
      </c>
      <c r="E3768">
        <v>0.52553799999999995</v>
      </c>
      <c r="F3768" t="s">
        <v>46</v>
      </c>
      <c r="G3768">
        <v>-200.51849999999999</v>
      </c>
      <c r="H3768" s="1">
        <v>2.7663679999999999E-6</v>
      </c>
      <c r="I3768">
        <v>210.9624</v>
      </c>
      <c r="J3768">
        <v>-211.42070000000001</v>
      </c>
      <c r="K3768">
        <v>1.1180699999999999</v>
      </c>
      <c r="L3768">
        <v>214.80080000000001</v>
      </c>
      <c r="M3768">
        <v>0.99843400000000004</v>
      </c>
      <c r="N3768">
        <v>-1.142191E-2</v>
      </c>
      <c r="O3768">
        <v>-5.476425E-2</v>
      </c>
      <c r="P3768">
        <v>0.94641719999999896</v>
      </c>
      <c r="Q3768">
        <v>0.14394270000000001</v>
      </c>
      <c r="R3768">
        <v>-0.28909380000000001</v>
      </c>
      <c r="S3768">
        <v>2.9042970000000001</v>
      </c>
      <c r="T3768">
        <v>-0.29137239999999998</v>
      </c>
      <c r="U3768">
        <v>-1.0045470000000001</v>
      </c>
      <c r="V3768">
        <v>0.23775499999999999</v>
      </c>
      <c r="W3768">
        <v>0.15347930000000001</v>
      </c>
      <c r="X3768">
        <v>0.95912280000000005</v>
      </c>
      <c r="Y3768">
        <v>0.27345029999999998</v>
      </c>
      <c r="Z3768">
        <v>-1.0204360000000001E-2</v>
      </c>
      <c r="AA3768">
        <v>0.96183200000000002</v>
      </c>
      <c r="AB3768">
        <v>24</v>
      </c>
      <c r="AC3768">
        <v>10.902200000000001</v>
      </c>
      <c r="AD3768">
        <v>-1.1180672336319999</v>
      </c>
      <c r="AE3768">
        <v>-3.8384</v>
      </c>
      <c r="AF3768">
        <v>3.2055534427088999</v>
      </c>
      <c r="AG3768">
        <v>-1.1180672336319999</v>
      </c>
      <c r="AH3768">
        <v>10.993189601679999</v>
      </c>
      <c r="AI3768">
        <v>95.576632949438704</v>
      </c>
      <c r="AJ3768">
        <v>73.743606916256496</v>
      </c>
      <c r="AK3768">
        <v>11.5054710825532</v>
      </c>
      <c r="AL3768">
        <v>81.171388187209004</v>
      </c>
      <c r="AM3768">
        <v>76.077705372512796</v>
      </c>
      <c r="AN3768">
        <v>0.99999994051666297</v>
      </c>
    </row>
    <row r="3769" spans="1:40" x14ac:dyDescent="0.25">
      <c r="A3769" t="str">
        <f>"20190303162333073"</f>
        <v>20190303162333073</v>
      </c>
      <c r="B3769" t="str">
        <f>"1551601413068800"</f>
        <v>1551601413068800</v>
      </c>
      <c r="C3769" t="s">
        <v>40</v>
      </c>
      <c r="D3769">
        <v>5.3571229999999996</v>
      </c>
      <c r="E3769">
        <v>0.52526680000000003</v>
      </c>
      <c r="F3769" t="s">
        <v>46</v>
      </c>
      <c r="G3769">
        <v>-199.80250000000001</v>
      </c>
      <c r="H3769" s="1">
        <v>2.5651159999999998E-6</v>
      </c>
      <c r="I3769">
        <v>210.73500000000001</v>
      </c>
      <c r="J3769">
        <v>-211.172</v>
      </c>
      <c r="K3769">
        <v>1.1179650000000001</v>
      </c>
      <c r="L3769">
        <v>214.78270000000001</v>
      </c>
      <c r="M3769">
        <v>0.99820569999999997</v>
      </c>
      <c r="N3769">
        <v>-1.1261709999999999E-2</v>
      </c>
      <c r="O3769">
        <v>-5.881223E-2</v>
      </c>
      <c r="P3769">
        <v>0.94578810000000002</v>
      </c>
      <c r="Q3769">
        <v>0.14738180000000001</v>
      </c>
      <c r="R3769">
        <v>-0.28942059999999997</v>
      </c>
      <c r="S3769">
        <v>2.902069</v>
      </c>
      <c r="T3769">
        <v>-0.27927760000000001</v>
      </c>
      <c r="U3769">
        <v>-1.015579</v>
      </c>
      <c r="V3769">
        <v>0.23428009999999999</v>
      </c>
      <c r="W3769">
        <v>0.1567297</v>
      </c>
      <c r="X3769">
        <v>0.95945230000000004</v>
      </c>
      <c r="Y3769">
        <v>0.273146</v>
      </c>
      <c r="Z3769">
        <v>-9.4978809999999997E-3</v>
      </c>
      <c r="AA3769">
        <v>0.96192569999999999</v>
      </c>
      <c r="AB3769">
        <v>24</v>
      </c>
      <c r="AC3769">
        <v>11.369499999999899</v>
      </c>
      <c r="AD3769">
        <v>-1.1179624348839901</v>
      </c>
      <c r="AE3769">
        <v>-4.0476999999999901</v>
      </c>
      <c r="AF3769">
        <v>3.3432955169013101</v>
      </c>
      <c r="AG3769">
        <v>-1.1179624348839901</v>
      </c>
      <c r="AH3769">
        <v>11.4892955223124</v>
      </c>
      <c r="AI3769">
        <v>95.337617245977896</v>
      </c>
      <c r="AJ3769">
        <v>73.7754155143665</v>
      </c>
      <c r="AK3769">
        <v>12.017960580654799</v>
      </c>
      <c r="AL3769">
        <v>80.982873384725295</v>
      </c>
      <c r="AM3769">
        <v>76.277971348331803</v>
      </c>
      <c r="AN3769">
        <v>1.00000004004669</v>
      </c>
    </row>
    <row r="3770" spans="1:40" x14ac:dyDescent="0.25">
      <c r="A3770" t="str">
        <f>"20190303162333096"</f>
        <v>20190303162333096</v>
      </c>
      <c r="B3770" t="str">
        <f>"1551601413088321"</f>
        <v>1551601413088321</v>
      </c>
      <c r="C3770" t="s">
        <v>40</v>
      </c>
      <c r="D3770">
        <v>5.3489559999999896</v>
      </c>
      <c r="E3770">
        <v>0.52512289999999995</v>
      </c>
      <c r="F3770" t="s">
        <v>46</v>
      </c>
      <c r="G3770">
        <v>-199.06030000000001</v>
      </c>
      <c r="H3770" s="1">
        <v>2.7138039999999999E-6</v>
      </c>
      <c r="I3770">
        <v>210.5401</v>
      </c>
      <c r="J3770">
        <v>-210.92859999999999</v>
      </c>
      <c r="K3770">
        <v>1.1178549999999901</v>
      </c>
      <c r="L3770">
        <v>214.76390000000001</v>
      </c>
      <c r="M3770">
        <v>0.9979557</v>
      </c>
      <c r="N3770">
        <v>-1.1120430000000001E-2</v>
      </c>
      <c r="O3770">
        <v>-6.2935809999999995E-2</v>
      </c>
      <c r="P3770">
        <v>0.94564959999999998</v>
      </c>
      <c r="Q3770">
        <v>0.1492967</v>
      </c>
      <c r="R3770">
        <v>-0.28888979999999997</v>
      </c>
      <c r="S3770">
        <v>2.9025880000000002</v>
      </c>
      <c r="T3770">
        <v>-0.26792159999999998</v>
      </c>
      <c r="U3770">
        <v>-1.0167389999999901</v>
      </c>
      <c r="V3770">
        <v>0.22983990000000001</v>
      </c>
      <c r="W3770">
        <v>0.1584846</v>
      </c>
      <c r="X3770">
        <v>0.96023760000000002</v>
      </c>
      <c r="Y3770">
        <v>0.26956799999999997</v>
      </c>
      <c r="Z3770">
        <v>-8.6715390000000007E-3</v>
      </c>
      <c r="AA3770">
        <v>0.96294230000000003</v>
      </c>
      <c r="AB3770">
        <v>24</v>
      </c>
      <c r="AC3770">
        <v>11.8682999999999</v>
      </c>
      <c r="AD3770">
        <v>-1.1178522861960001</v>
      </c>
      <c r="AE3770">
        <v>-4.2238000000000104</v>
      </c>
      <c r="AF3770">
        <v>3.44134099499724</v>
      </c>
      <c r="AG3770">
        <v>-1.1178522861960001</v>
      </c>
      <c r="AH3770">
        <v>12.015998807951799</v>
      </c>
      <c r="AI3770">
        <v>95.110636708032402</v>
      </c>
      <c r="AJ3770">
        <v>74.018468280095604</v>
      </c>
      <c r="AK3770">
        <v>12.5489700346403</v>
      </c>
      <c r="AL3770">
        <v>80.881052057695896</v>
      </c>
      <c r="AM3770">
        <v>76.539089079826894</v>
      </c>
      <c r="AN3770">
        <v>0.99999999826146402</v>
      </c>
    </row>
    <row r="3771" spans="1:40" x14ac:dyDescent="0.25">
      <c r="A3771" t="str">
        <f>"20190303162333117"</f>
        <v>20190303162333117</v>
      </c>
      <c r="B3771" t="str">
        <f>"1551601413108816"</f>
        <v>1551601413108816</v>
      </c>
      <c r="C3771" t="s">
        <v>40</v>
      </c>
      <c r="D3771">
        <v>5.5393790000000003</v>
      </c>
      <c r="E3771">
        <v>0.52491339999999997</v>
      </c>
      <c r="F3771" t="s">
        <v>46</v>
      </c>
      <c r="G3771">
        <v>-198.79570000000001</v>
      </c>
      <c r="H3771" s="1">
        <v>2.7621389999999998E-6</v>
      </c>
      <c r="I3771">
        <v>210.5241</v>
      </c>
      <c r="J3771">
        <v>-210.69550000000001</v>
      </c>
      <c r="K3771">
        <v>1.1177349999999999</v>
      </c>
      <c r="L3771">
        <v>214.74469999999999</v>
      </c>
      <c r="M3771">
        <v>0.99768970000000001</v>
      </c>
      <c r="N3771">
        <v>-1.1002369999999999E-2</v>
      </c>
      <c r="O3771">
        <v>-6.7038269999999997E-2</v>
      </c>
      <c r="P3771">
        <v>0.94516409999999995</v>
      </c>
      <c r="Q3771">
        <v>0.15062049999999999</v>
      </c>
      <c r="R3771">
        <v>-0.28978989999999999</v>
      </c>
      <c r="S3771">
        <v>2.904617</v>
      </c>
      <c r="T3771">
        <v>-0.26761449999999998</v>
      </c>
      <c r="U3771">
        <v>-1.014999</v>
      </c>
      <c r="V3771">
        <v>0.2268655</v>
      </c>
      <c r="W3771">
        <v>0.15965779999999999</v>
      </c>
      <c r="X3771">
        <v>0.96075049999999995</v>
      </c>
      <c r="Y3771">
        <v>0.26491979999999998</v>
      </c>
      <c r="Z3771">
        <v>-8.0831510000000002E-3</v>
      </c>
      <c r="AA3771">
        <v>0.9642366</v>
      </c>
      <c r="AB3771">
        <v>24</v>
      </c>
      <c r="AC3771">
        <v>11.899800000000001</v>
      </c>
      <c r="AD3771">
        <v>-1.117732237861</v>
      </c>
      <c r="AE3771">
        <v>-4.2205999999999904</v>
      </c>
      <c r="AF3771">
        <v>3.38677257351927</v>
      </c>
      <c r="AG3771">
        <v>-1.117732237861</v>
      </c>
      <c r="AH3771">
        <v>12.061463147788899</v>
      </c>
      <c r="AI3771">
        <v>95.098384470370306</v>
      </c>
      <c r="AJ3771">
        <v>74.315637986226207</v>
      </c>
      <c r="AK3771">
        <v>12.577696414119901</v>
      </c>
      <c r="AL3771">
        <v>80.812966148820806</v>
      </c>
      <c r="AM3771">
        <v>76.713911589029806</v>
      </c>
      <c r="AN3771">
        <v>1.0000000457206599</v>
      </c>
    </row>
    <row r="3772" spans="1:40" x14ac:dyDescent="0.25">
      <c r="A3772" t="str">
        <f>"20190303162333146"</f>
        <v>20190303162333146</v>
      </c>
      <c r="B3772" t="str">
        <f>"1551601413138603"</f>
        <v>1551601413138603</v>
      </c>
      <c r="C3772" t="s">
        <v>40</v>
      </c>
      <c r="D3772">
        <v>5.3601749999999999</v>
      </c>
      <c r="E3772">
        <v>0.52475109999999903</v>
      </c>
      <c r="F3772" t="s">
        <v>46</v>
      </c>
      <c r="G3772">
        <v>-198.33269999999999</v>
      </c>
      <c r="H3772" s="1">
        <v>2.8532460000000001E-6</v>
      </c>
      <c r="I3772">
        <v>210.42150000000001</v>
      </c>
      <c r="J3772">
        <v>-210.3947</v>
      </c>
      <c r="K3772">
        <v>1.11757</v>
      </c>
      <c r="L3772">
        <v>214.7182</v>
      </c>
      <c r="M3772">
        <v>0.99730430000000003</v>
      </c>
      <c r="N3772">
        <v>-1.0866010000000001E-2</v>
      </c>
      <c r="O3772">
        <v>-7.2566820000000004E-2</v>
      </c>
      <c r="P3772">
        <v>0.94424459999999999</v>
      </c>
      <c r="Q3772">
        <v>0.15089959999999999</v>
      </c>
      <c r="R3772">
        <v>-0.29262919999999998</v>
      </c>
      <c r="S3772">
        <v>2.90448</v>
      </c>
      <c r="T3772">
        <v>-0.26259569999999999</v>
      </c>
      <c r="U3772">
        <v>-1.015671</v>
      </c>
      <c r="V3772">
        <v>0.22448870000000001</v>
      </c>
      <c r="W3772">
        <v>0.159742</v>
      </c>
      <c r="X3772">
        <v>0.9612946</v>
      </c>
      <c r="Y3772">
        <v>0.25985589999999997</v>
      </c>
      <c r="Z3772">
        <v>-7.2737779999999998E-3</v>
      </c>
      <c r="AA3772">
        <v>0.96562000000000003</v>
      </c>
      <c r="AB3772">
        <v>24</v>
      </c>
      <c r="AC3772">
        <v>12.061999999999999</v>
      </c>
      <c r="AD3772">
        <v>-1.117567146754</v>
      </c>
      <c r="AE3772">
        <v>-4.29669999999998</v>
      </c>
      <c r="AF3772">
        <v>3.3842376525583</v>
      </c>
      <c r="AG3772">
        <v>-1.117567146754</v>
      </c>
      <c r="AH3772">
        <v>12.2487041469166</v>
      </c>
      <c r="AI3772">
        <v>95.025923129627898</v>
      </c>
      <c r="AJ3772">
        <v>74.554868780118696</v>
      </c>
      <c r="AK3772">
        <v>12.7566756678685</v>
      </c>
      <c r="AL3772">
        <v>80.808078656693795</v>
      </c>
      <c r="AM3772">
        <v>76.855429029491006</v>
      </c>
      <c r="AN3772">
        <v>0.99999999549042395</v>
      </c>
    </row>
    <row r="3773" spans="1:40" x14ac:dyDescent="0.25">
      <c r="A3773" t="str">
        <f>"20190303162333185"</f>
        <v>20190303162333185</v>
      </c>
      <c r="B3773" t="str">
        <f>"1551601413178619"</f>
        <v>1551601413178619</v>
      </c>
      <c r="C3773" t="s">
        <v>40</v>
      </c>
      <c r="D3773">
        <v>5.4006919999999896</v>
      </c>
      <c r="E3773">
        <v>0.52461349999999995</v>
      </c>
      <c r="F3773" t="s">
        <v>46</v>
      </c>
      <c r="G3773">
        <v>-197.94049999999999</v>
      </c>
      <c r="H3773" s="1">
        <v>2.9307959999999998E-6</v>
      </c>
      <c r="I3773">
        <v>210.33019999999999</v>
      </c>
      <c r="J3773">
        <v>-209.96350000000001</v>
      </c>
      <c r="K3773">
        <v>1.1173439999999999</v>
      </c>
      <c r="L3773">
        <v>214.67679999999999</v>
      </c>
      <c r="M3773">
        <v>0.99666149999999998</v>
      </c>
      <c r="N3773">
        <v>-1.06715E-2</v>
      </c>
      <c r="O3773">
        <v>-8.0944650000000007E-2</v>
      </c>
      <c r="P3773">
        <v>0.94232819999999995</v>
      </c>
      <c r="Q3773">
        <v>0.15164330000000001</v>
      </c>
      <c r="R3773">
        <v>-0.29836499999999999</v>
      </c>
      <c r="S3773">
        <v>2.9019010000000001</v>
      </c>
      <c r="T3773">
        <v>-0.26040010000000002</v>
      </c>
      <c r="U3773">
        <v>-1.022446</v>
      </c>
      <c r="V3773">
        <v>0.2223504</v>
      </c>
      <c r="W3773">
        <v>0.16020090000000001</v>
      </c>
      <c r="X3773">
        <v>0.96171510000000004</v>
      </c>
      <c r="Y3773">
        <v>0.2540751</v>
      </c>
      <c r="Z3773">
        <v>-6.276818E-3</v>
      </c>
      <c r="AA3773">
        <v>0.96716409999999997</v>
      </c>
      <c r="AB3773">
        <v>24</v>
      </c>
      <c r="AC3773">
        <v>12.023</v>
      </c>
      <c r="AD3773">
        <v>-1.117341069204</v>
      </c>
      <c r="AE3773">
        <v>-4.3465999999999898</v>
      </c>
      <c r="AF3773">
        <v>3.3336192185413802</v>
      </c>
      <c r="AG3773">
        <v>-1.117341069204</v>
      </c>
      <c r="AH3773">
        <v>12.2418896005869</v>
      </c>
      <c r="AI3773">
        <v>95.032776918837996</v>
      </c>
      <c r="AJ3773">
        <v>74.767004597338996</v>
      </c>
      <c r="AK3773">
        <v>12.7367707505519</v>
      </c>
      <c r="AL3773">
        <v>80.781442461030096</v>
      </c>
      <c r="AM3773">
        <v>76.981846398826093</v>
      </c>
      <c r="AN3773">
        <v>0.99999998115448896</v>
      </c>
    </row>
    <row r="3774" spans="1:40" x14ac:dyDescent="0.25">
      <c r="A3774" t="str">
        <f>"20190303162333206"</f>
        <v>20190303162333206</v>
      </c>
      <c r="B3774" t="str">
        <f>"1551601413198138"</f>
        <v>1551601413198138</v>
      </c>
      <c r="C3774" t="s">
        <v>40</v>
      </c>
      <c r="D3774">
        <v>5.3984009999999998</v>
      </c>
      <c r="E3774">
        <v>0.52471679999999998</v>
      </c>
      <c r="F3774" t="s">
        <v>46</v>
      </c>
      <c r="G3774">
        <v>-197.4599</v>
      </c>
      <c r="H3774" s="1">
        <v>3.02852E-6</v>
      </c>
      <c r="I3774">
        <v>210.1875</v>
      </c>
      <c r="J3774">
        <v>-209.7321</v>
      </c>
      <c r="K3774">
        <v>1.1172359999999999</v>
      </c>
      <c r="L3774">
        <v>214.65280000000001</v>
      </c>
      <c r="M3774">
        <v>0.99626939999999997</v>
      </c>
      <c r="N3774">
        <v>-1.0561279999999999E-2</v>
      </c>
      <c r="O3774">
        <v>-8.5649489999999995E-2</v>
      </c>
      <c r="P3774">
        <v>0.94058869999999895</v>
      </c>
      <c r="Q3774">
        <v>0.15150050000000001</v>
      </c>
      <c r="R3774">
        <v>-0.303876599999999</v>
      </c>
      <c r="S3774">
        <v>2.896042</v>
      </c>
      <c r="T3774">
        <v>-0.25879410000000003</v>
      </c>
      <c r="U3774">
        <v>-1.039795</v>
      </c>
      <c r="V3774">
        <v>0.22347710000000001</v>
      </c>
      <c r="W3774">
        <v>0.1598861</v>
      </c>
      <c r="X3774">
        <v>0.96150639999999998</v>
      </c>
      <c r="Y3774">
        <v>0.25528260000000003</v>
      </c>
      <c r="Z3774">
        <v>-5.9380359999999998E-3</v>
      </c>
      <c r="AA3774">
        <v>0.96684829999999999</v>
      </c>
      <c r="AB3774">
        <v>24</v>
      </c>
      <c r="AC3774">
        <v>12.2721999999999</v>
      </c>
      <c r="AD3774">
        <v>-1.11723297148</v>
      </c>
      <c r="AE3774">
        <v>-4.4653000000000098</v>
      </c>
      <c r="AF3774">
        <v>3.37303646602281</v>
      </c>
      <c r="AG3774">
        <v>-1.11723297148</v>
      </c>
      <c r="AH3774">
        <v>12.517952887100099</v>
      </c>
      <c r="AI3774">
        <v>94.925396650431495</v>
      </c>
      <c r="AJ3774">
        <v>74.919484401453801</v>
      </c>
      <c r="AK3774">
        <v>13.0124835829806</v>
      </c>
      <c r="AL3774">
        <v>80.799715510709802</v>
      </c>
      <c r="AM3774">
        <v>76.9154020343356</v>
      </c>
      <c r="AN3774">
        <v>1.00000006821928</v>
      </c>
    </row>
    <row r="3775" spans="1:40" x14ac:dyDescent="0.25">
      <c r="A3775" t="str">
        <f>"20190303162333253"</f>
        <v>20190303162333253</v>
      </c>
      <c r="B3775" t="str">
        <f>"1551601413248422"</f>
        <v>1551601413248422</v>
      </c>
      <c r="C3775" t="s">
        <v>40</v>
      </c>
      <c r="D3775">
        <v>5.3509859999999998</v>
      </c>
      <c r="E3775">
        <v>0.52490319999999902</v>
      </c>
      <c r="F3775" t="s">
        <v>46</v>
      </c>
      <c r="G3775">
        <v>-197.3109</v>
      </c>
      <c r="H3775" s="1">
        <v>3.0618000000000001E-6</v>
      </c>
      <c r="I3775">
        <v>210.10910000000001</v>
      </c>
      <c r="J3775">
        <v>-209.2268</v>
      </c>
      <c r="K3775">
        <v>1.116987</v>
      </c>
      <c r="L3775">
        <v>214.5959</v>
      </c>
      <c r="M3775">
        <v>0.99528550000000005</v>
      </c>
      <c r="N3775">
        <v>-1.030525E-2</v>
      </c>
      <c r="O3775">
        <v>-9.6440159999999997E-2</v>
      </c>
      <c r="P3775">
        <v>0.93578430000000001</v>
      </c>
      <c r="Q3775">
        <v>0.15198239999999999</v>
      </c>
      <c r="R3775">
        <v>-0.31813380000000002</v>
      </c>
      <c r="S3775">
        <v>2.8898320000000002</v>
      </c>
      <c r="T3775">
        <v>-0.2599283</v>
      </c>
      <c r="U3775">
        <v>-1.0570980000000001</v>
      </c>
      <c r="V3775">
        <v>0.22776979999999999</v>
      </c>
      <c r="W3775">
        <v>0.15995429999999999</v>
      </c>
      <c r="X3775">
        <v>0.96048710000000004</v>
      </c>
      <c r="Y3775">
        <v>0.250627299999999</v>
      </c>
      <c r="Z3775">
        <v>-4.8573959999999999E-3</v>
      </c>
      <c r="AA3775">
        <v>0.96807149999999997</v>
      </c>
      <c r="AB3775">
        <v>24</v>
      </c>
      <c r="AC3775">
        <v>11.915899999999899</v>
      </c>
      <c r="AD3775">
        <v>-1.1169839382</v>
      </c>
      <c r="AE3775">
        <v>-4.4867999999999801</v>
      </c>
      <c r="AF3775">
        <v>3.2913220283438198</v>
      </c>
      <c r="AG3775">
        <v>-1.1169839382</v>
      </c>
      <c r="AH3775">
        <v>12.1991988528364</v>
      </c>
      <c r="AI3775">
        <v>95.051881831634901</v>
      </c>
      <c r="AJ3775">
        <v>74.901201496779294</v>
      </c>
      <c r="AK3775">
        <v>12.6846721070551</v>
      </c>
      <c r="AL3775">
        <v>80.795756030201701</v>
      </c>
      <c r="AM3775">
        <v>76.659314538472401</v>
      </c>
      <c r="AN3775">
        <v>0.99999996457346896</v>
      </c>
    </row>
    <row r="3776" spans="1:40" x14ac:dyDescent="0.25">
      <c r="A3776" t="str">
        <f>"20190303162333275"</f>
        <v>20190303162333275</v>
      </c>
      <c r="B3776" t="str">
        <f>"1551601413267942"</f>
        <v>1551601413267942</v>
      </c>
      <c r="C3776" t="s">
        <v>40</v>
      </c>
      <c r="D3776">
        <v>5.3575210000000002</v>
      </c>
      <c r="E3776">
        <v>0.52497419999999995</v>
      </c>
      <c r="F3776" t="s">
        <v>46</v>
      </c>
      <c r="G3776">
        <v>-196.86420000000001</v>
      </c>
      <c r="H3776" s="1">
        <v>3.1645310000000002E-6</v>
      </c>
      <c r="I3776">
        <v>209.84039999999999</v>
      </c>
      <c r="J3776">
        <v>-208.9787</v>
      </c>
      <c r="K3776">
        <v>1.116833</v>
      </c>
      <c r="L3776">
        <v>214.5658</v>
      </c>
      <c r="M3776">
        <v>0.99473109999999998</v>
      </c>
      <c r="N3776">
        <v>-1.018434E-2</v>
      </c>
      <c r="O3776">
        <v>-0.10201109999999999</v>
      </c>
      <c r="P3776">
        <v>0.93341540000000001</v>
      </c>
      <c r="Q3776">
        <v>0.151395899999999</v>
      </c>
      <c r="R3776">
        <v>-0.32529229999999998</v>
      </c>
      <c r="S3776">
        <v>2.8724059999999998</v>
      </c>
      <c r="T3776">
        <v>-0.25952760000000002</v>
      </c>
      <c r="U3776">
        <v>-1.104935</v>
      </c>
      <c r="V3776">
        <v>0.2297863</v>
      </c>
      <c r="W3776">
        <v>0.15915969999999999</v>
      </c>
      <c r="X3776">
        <v>0.96013879999999996</v>
      </c>
      <c r="Y3776">
        <v>0.26118360000000002</v>
      </c>
      <c r="Z3776">
        <v>-4.9284200000000002E-3</v>
      </c>
      <c r="AA3776">
        <v>0.96527649999999998</v>
      </c>
      <c r="AB3776">
        <v>24</v>
      </c>
      <c r="AC3776">
        <v>12.1144999999999</v>
      </c>
      <c r="AD3776">
        <v>-1.1168298354690001</v>
      </c>
      <c r="AE3776">
        <v>-4.7253999999999996</v>
      </c>
      <c r="AF3776">
        <v>3.43949694813</v>
      </c>
      <c r="AG3776">
        <v>-1.1168298354690001</v>
      </c>
      <c r="AH3776">
        <v>12.4415871974428</v>
      </c>
      <c r="AI3776">
        <v>94.944947461656</v>
      </c>
      <c r="AJ3776">
        <v>74.546453366267002</v>
      </c>
      <c r="AK3776">
        <v>12.9564864114143</v>
      </c>
      <c r="AL3776">
        <v>80.841874737172404</v>
      </c>
      <c r="AM3776">
        <v>76.540779580278297</v>
      </c>
      <c r="AN3776">
        <v>1.0000000345186</v>
      </c>
    </row>
    <row r="3777" spans="1:40" x14ac:dyDescent="0.25">
      <c r="A3777" t="str">
        <f>"20190303162333297"</f>
        <v>20190303162333297</v>
      </c>
      <c r="B3777" t="str">
        <f>"1551601413288438"</f>
        <v>1551601413288438</v>
      </c>
      <c r="C3777" t="s">
        <v>40</v>
      </c>
      <c r="D3777">
        <v>5.360201</v>
      </c>
      <c r="E3777">
        <v>0.52506580000000003</v>
      </c>
      <c r="F3777" t="s">
        <v>46</v>
      </c>
      <c r="G3777">
        <v>-196.78039999999999</v>
      </c>
      <c r="H3777" s="1">
        <v>3.186281E-6</v>
      </c>
      <c r="I3777">
        <v>209.76159999999999</v>
      </c>
      <c r="J3777">
        <v>-208.7491</v>
      </c>
      <c r="K3777">
        <v>1.116665</v>
      </c>
      <c r="L3777">
        <v>214.53639999999999</v>
      </c>
      <c r="M3777">
        <v>0.99416919999999998</v>
      </c>
      <c r="N3777">
        <v>-1.0078299999999899E-2</v>
      </c>
      <c r="O3777">
        <v>-0.10736080000000001</v>
      </c>
      <c r="P3777">
        <v>0.93129329999999999</v>
      </c>
      <c r="Q3777">
        <v>0.1486402</v>
      </c>
      <c r="R3777">
        <v>-0.33256449999999999</v>
      </c>
      <c r="S3777">
        <v>2.8635100000000002</v>
      </c>
      <c r="T3777">
        <v>-0.26217279999999998</v>
      </c>
      <c r="U3777">
        <v>-1.127777</v>
      </c>
      <c r="V3777">
        <v>0.23209659999999999</v>
      </c>
      <c r="W3777">
        <v>0.156199799999999</v>
      </c>
      <c r="X3777">
        <v>0.96006919999999996</v>
      </c>
      <c r="Y3777">
        <v>0.26367210000000002</v>
      </c>
      <c r="Z3777">
        <v>-4.6453110000000001E-3</v>
      </c>
      <c r="AA3777">
        <v>0.96460119999999905</v>
      </c>
      <c r="AB3777">
        <v>24</v>
      </c>
      <c r="AC3777">
        <v>11.9687</v>
      </c>
      <c r="AD3777">
        <v>-1.1166618137190001</v>
      </c>
      <c r="AE3777">
        <v>-4.7747999999999902</v>
      </c>
      <c r="AF3777">
        <v>3.4363599949185701</v>
      </c>
      <c r="AG3777">
        <v>-1.1166618137190001</v>
      </c>
      <c r="AH3777">
        <v>12.319653819202101</v>
      </c>
      <c r="AI3777">
        <v>94.989719024770494</v>
      </c>
      <c r="AJ3777">
        <v>74.414450713938606</v>
      </c>
      <c r="AK3777">
        <v>12.838589246715401</v>
      </c>
      <c r="AL3777">
        <v>81.013613011525194</v>
      </c>
      <c r="AM3777">
        <v>76.409504974382898</v>
      </c>
      <c r="AN3777">
        <v>1.00000003902011</v>
      </c>
    </row>
    <row r="3778" spans="1:40" x14ac:dyDescent="0.25">
      <c r="A3778" t="str">
        <f>"20190303162333319"</f>
        <v>20190303162333319</v>
      </c>
      <c r="B3778" t="str">
        <f>"1551601413307959"</f>
        <v>1551601413307959</v>
      </c>
      <c r="C3778" t="s">
        <v>40</v>
      </c>
      <c r="D3778">
        <v>5.3648939999999996</v>
      </c>
      <c r="E3778">
        <v>0.52542949999999999</v>
      </c>
      <c r="F3778" t="s">
        <v>46</v>
      </c>
      <c r="G3778">
        <v>-197.06950000000001</v>
      </c>
      <c r="H3778" s="1">
        <v>3.1303060000000001E-6</v>
      </c>
      <c r="I3778">
        <v>209.81540000000001</v>
      </c>
      <c r="J3778">
        <v>-208.49940000000001</v>
      </c>
      <c r="K3778">
        <v>1.1164529999999999</v>
      </c>
      <c r="L3778">
        <v>214.50280000000001</v>
      </c>
      <c r="M3778">
        <v>0.99349609999999999</v>
      </c>
      <c r="N3778">
        <v>-9.9712780000000001E-3</v>
      </c>
      <c r="O3778">
        <v>-0.1134294</v>
      </c>
      <c r="P3778">
        <v>0.92926249999999999</v>
      </c>
      <c r="Q3778">
        <v>0.14618999999999999</v>
      </c>
      <c r="R3778">
        <v>-0.33926420000000002</v>
      </c>
      <c r="S3778">
        <v>2.8530579999999999</v>
      </c>
      <c r="T3778">
        <v>-0.2727735</v>
      </c>
      <c r="U3778">
        <v>-1.1532290000000001</v>
      </c>
      <c r="V3778">
        <v>0.23315469999999999</v>
      </c>
      <c r="W3778">
        <v>0.15353159999999999</v>
      </c>
      <c r="X3778">
        <v>0.96024319999999996</v>
      </c>
      <c r="Y3778">
        <v>0.26635940000000002</v>
      </c>
      <c r="Z3778">
        <v>-4.3625019999999999E-3</v>
      </c>
      <c r="AA3778">
        <v>0.9638639</v>
      </c>
      <c r="AB3778">
        <v>24</v>
      </c>
      <c r="AC3778">
        <v>11.4299</v>
      </c>
      <c r="AD3778">
        <v>-1.116449869694</v>
      </c>
      <c r="AE3778">
        <v>-4.6873999999999896</v>
      </c>
      <c r="AF3778">
        <v>3.3333688151332499</v>
      </c>
      <c r="AG3778">
        <v>-1.116449869694</v>
      </c>
      <c r="AH3778">
        <v>11.7915340917212</v>
      </c>
      <c r="AI3778">
        <v>95.205942913421893</v>
      </c>
      <c r="AJ3778">
        <v>74.214842742025596</v>
      </c>
      <c r="AK3778">
        <v>12.304392882441</v>
      </c>
      <c r="AL3778">
        <v>81.168356514616306</v>
      </c>
      <c r="AM3778">
        <v>76.352241496455093</v>
      </c>
      <c r="AN3778">
        <v>1.0000000347384399</v>
      </c>
    </row>
    <row r="3779" spans="1:40" x14ac:dyDescent="0.25">
      <c r="A3779" t="str">
        <f>"20190303162333342"</f>
        <v>20190303162333342</v>
      </c>
      <c r="B3779" t="str">
        <f>"1551601413328454"</f>
        <v>1551601413328454</v>
      </c>
      <c r="C3779" t="s">
        <v>40</v>
      </c>
      <c r="D3779">
        <v>5.3316249999999998</v>
      </c>
      <c r="E3779">
        <v>0.55418059999999902</v>
      </c>
      <c r="F3779" t="s">
        <v>46</v>
      </c>
      <c r="G3779">
        <v>-197.2216</v>
      </c>
      <c r="H3779" s="1">
        <v>3.1027470000000002E-6</v>
      </c>
      <c r="I3779">
        <v>209.8219</v>
      </c>
      <c r="J3779">
        <v>-208.24979999999999</v>
      </c>
      <c r="K3779">
        <v>1.1162190000000001</v>
      </c>
      <c r="L3779">
        <v>214.4674</v>
      </c>
      <c r="M3779">
        <v>0.99274960000000001</v>
      </c>
      <c r="N3779">
        <v>-9.8789099999999994E-3</v>
      </c>
      <c r="O3779">
        <v>-0.11979529999999999</v>
      </c>
      <c r="P3779">
        <v>0.92678210000000005</v>
      </c>
      <c r="Q3779">
        <v>0.1453496</v>
      </c>
      <c r="R3779">
        <v>-0.34633639999999999</v>
      </c>
      <c r="S3779">
        <v>2.84198</v>
      </c>
      <c r="T3779">
        <v>-0.28134300000000001</v>
      </c>
      <c r="U3779">
        <v>-1.179581</v>
      </c>
      <c r="V3779">
        <v>0.23437820000000001</v>
      </c>
      <c r="W3779">
        <v>0.15246189999999901</v>
      </c>
      <c r="X3779">
        <v>0.96011570000000002</v>
      </c>
      <c r="Y3779">
        <v>0.26909929999999999</v>
      </c>
      <c r="Z3779">
        <v>-4.0158700000000004E-3</v>
      </c>
      <c r="AA3779">
        <v>0.96310410000000002</v>
      </c>
      <c r="AB3779">
        <v>24</v>
      </c>
      <c r="AC3779">
        <v>11.028199999999901</v>
      </c>
      <c r="AD3779">
        <v>-1.1162158972530001</v>
      </c>
      <c r="AE3779">
        <v>-4.6454999999999904</v>
      </c>
      <c r="AF3779">
        <v>3.2624665521585698</v>
      </c>
      <c r="AG3779">
        <v>-1.1162158972530001</v>
      </c>
      <c r="AH3779">
        <v>11.4060707314553</v>
      </c>
      <c r="AI3779">
        <v>95.375045005413796</v>
      </c>
      <c r="AJ3779">
        <v>74.037936679451505</v>
      </c>
      <c r="AK3779">
        <v>11.9158749349007</v>
      </c>
      <c r="AL3779">
        <v>81.230375364390397</v>
      </c>
      <c r="AM3779">
        <v>76.281569544341806</v>
      </c>
      <c r="AN3779">
        <v>0.99999996448666895</v>
      </c>
    </row>
    <row r="3780" spans="1:40" x14ac:dyDescent="0.25">
      <c r="A3780" t="str">
        <f>"20190303162333368"</f>
        <v>20190303162333368</v>
      </c>
      <c r="B3780" t="str">
        <f>"1551601413358240"</f>
        <v>1551601413358240</v>
      </c>
      <c r="C3780" t="s">
        <v>40</v>
      </c>
      <c r="D3780">
        <v>5.1961170000000001</v>
      </c>
      <c r="E3780">
        <v>0.55616279999999996</v>
      </c>
      <c r="F3780" t="s">
        <v>46</v>
      </c>
      <c r="G3780">
        <v>-196.67930000000001</v>
      </c>
      <c r="H3780" s="1">
        <v>3.5163390000000001E-6</v>
      </c>
      <c r="I3780">
        <v>208.48560000000001</v>
      </c>
      <c r="J3780">
        <v>-207.98</v>
      </c>
      <c r="K3780">
        <v>1.1159380000000001</v>
      </c>
      <c r="L3780">
        <v>214.42670000000001</v>
      </c>
      <c r="M3780">
        <v>0.99184050000000001</v>
      </c>
      <c r="N3780">
        <v>-9.8009680000000002E-3</v>
      </c>
      <c r="O3780">
        <v>-0.1271081</v>
      </c>
      <c r="P3780">
        <v>0.92360560000000003</v>
      </c>
      <c r="Q3780">
        <v>0.145042899999999</v>
      </c>
      <c r="R3780">
        <v>-0.3548461</v>
      </c>
      <c r="S3780">
        <v>2.7476959999999999</v>
      </c>
      <c r="T3780">
        <v>-0.26507219999999998</v>
      </c>
      <c r="U3780">
        <v>-1.4205319999999999</v>
      </c>
      <c r="V3780">
        <v>0.23622899999999999</v>
      </c>
      <c r="W3780">
        <v>0.15189830000000001</v>
      </c>
      <c r="X3780">
        <v>0.95975140000000003</v>
      </c>
      <c r="Y3780">
        <v>0.34158739999999999</v>
      </c>
      <c r="Z3780">
        <v>-7.0276280000000002E-3</v>
      </c>
      <c r="AA3780">
        <v>0.93982370000000004</v>
      </c>
      <c r="AB3780">
        <v>25</v>
      </c>
      <c r="AC3780">
        <v>11.3006999999999</v>
      </c>
      <c r="AD3780">
        <v>-1.1159344836609999</v>
      </c>
      <c r="AE3780">
        <v>-5.9410999999999996</v>
      </c>
      <c r="AF3780">
        <v>4.4226387325211203</v>
      </c>
      <c r="AG3780">
        <v>-1.1159344836609999</v>
      </c>
      <c r="AH3780">
        <v>11.8735163552982</v>
      </c>
      <c r="AI3780">
        <v>95.033271407264905</v>
      </c>
      <c r="AJ3780">
        <v>69.570680574885799</v>
      </c>
      <c r="AK3780">
        <v>12.719490310926499</v>
      </c>
      <c r="AL3780">
        <v>81.2630480518648</v>
      </c>
      <c r="AM3780">
        <v>76.172333984904498</v>
      </c>
      <c r="AN3780">
        <v>0.99999999189292499</v>
      </c>
    </row>
    <row r="3781" spans="1:40" x14ac:dyDescent="0.25">
      <c r="A3781" t="str">
        <f>"20190303162333388"</f>
        <v>20190303162333388</v>
      </c>
      <c r="B3781" t="str">
        <f>"1551601413378736"</f>
        <v>1551601413378736</v>
      </c>
      <c r="C3781" t="s">
        <v>40</v>
      </c>
      <c r="D3781">
        <v>5.2386699999999999</v>
      </c>
      <c r="E3781">
        <v>0.55575379999999996</v>
      </c>
      <c r="F3781" t="s">
        <v>46</v>
      </c>
      <c r="G3781">
        <v>-196.7295</v>
      </c>
      <c r="H3781" s="1">
        <v>3.5314300000000002E-6</v>
      </c>
      <c r="I3781">
        <v>208.39500000000001</v>
      </c>
      <c r="J3781">
        <v>-207.74799999999999</v>
      </c>
      <c r="K3781">
        <v>1.115686</v>
      </c>
      <c r="L3781">
        <v>214.3896</v>
      </c>
      <c r="M3781">
        <v>0.99097120000000005</v>
      </c>
      <c r="N3781">
        <v>-9.747492E-3</v>
      </c>
      <c r="O3781">
        <v>-0.133720899999999</v>
      </c>
      <c r="P3781">
        <v>0.92098460000000004</v>
      </c>
      <c r="Q3781">
        <v>0.14385829999999999</v>
      </c>
      <c r="R3781">
        <v>-0.36206729999999998</v>
      </c>
      <c r="S3781">
        <v>2.7286380000000001</v>
      </c>
      <c r="T3781">
        <v>-0.27065159999999899</v>
      </c>
      <c r="U3781">
        <v>-1.4628749999999999</v>
      </c>
      <c r="V3781">
        <v>0.23739759999999999</v>
      </c>
      <c r="W3781">
        <v>0.1505049</v>
      </c>
      <c r="X3781">
        <v>0.95968260000000005</v>
      </c>
      <c r="Y3781">
        <v>0.3493327</v>
      </c>
      <c r="Z3781">
        <v>-6.9749219999999997E-3</v>
      </c>
      <c r="AA3781">
        <v>0.93697280000000005</v>
      </c>
      <c r="AB3781">
        <v>25</v>
      </c>
      <c r="AC3781">
        <v>11.0184999999999</v>
      </c>
      <c r="AD3781">
        <v>-1.11568246857</v>
      </c>
      <c r="AE3781">
        <v>-5.9945999999999904</v>
      </c>
      <c r="AF3781">
        <v>4.4322203915581397</v>
      </c>
      <c r="AG3781">
        <v>-1.11568246857</v>
      </c>
      <c r="AH3781">
        <v>11.629175909988801</v>
      </c>
      <c r="AI3781">
        <v>95.122747247465</v>
      </c>
      <c r="AJ3781">
        <v>69.136687333392601</v>
      </c>
      <c r="AK3781">
        <v>12.495081324884699</v>
      </c>
      <c r="AL3781">
        <v>81.343812789632594</v>
      </c>
      <c r="AM3781">
        <v>76.105616474750903</v>
      </c>
      <c r="AN3781">
        <v>1.0000000190762599</v>
      </c>
    </row>
    <row r="3782" spans="1:40" x14ac:dyDescent="0.25">
      <c r="A3782" t="str">
        <f>"20190303162333408"</f>
        <v>20190303162333408</v>
      </c>
      <c r="B3782" t="str">
        <f>"1551601413398256"</f>
        <v>1551601413398256</v>
      </c>
      <c r="C3782" t="s">
        <v>40</v>
      </c>
      <c r="D3782">
        <v>5.1273359999999997</v>
      </c>
      <c r="E3782">
        <v>0.55644839999999995</v>
      </c>
      <c r="F3782" t="s">
        <v>46</v>
      </c>
      <c r="G3782">
        <v>-196.60730000000001</v>
      </c>
      <c r="H3782" s="1">
        <v>3.577606E-6</v>
      </c>
      <c r="I3782">
        <v>208.30240000000001</v>
      </c>
      <c r="J3782">
        <v>-207.5307</v>
      </c>
      <c r="K3782">
        <v>1.115459</v>
      </c>
      <c r="L3782">
        <v>214.35329999999999</v>
      </c>
      <c r="M3782">
        <v>0.99008169999999995</v>
      </c>
      <c r="N3782">
        <v>-9.7053739999999993E-3</v>
      </c>
      <c r="O3782">
        <v>-0.1401579</v>
      </c>
      <c r="P3782">
        <v>0.91803040000000002</v>
      </c>
      <c r="Q3782">
        <v>0.14431189999999999</v>
      </c>
      <c r="R3782">
        <v>-0.36931639999999999</v>
      </c>
      <c r="S3782">
        <v>2.7163539999999999</v>
      </c>
      <c r="T3782">
        <v>-0.27202999999999999</v>
      </c>
      <c r="U3782">
        <v>-1.4842070000000001</v>
      </c>
      <c r="V3782">
        <v>0.2388229</v>
      </c>
      <c r="W3782">
        <v>0.15077270000000001</v>
      </c>
      <c r="X3782">
        <v>0.9592868</v>
      </c>
      <c r="Y3782">
        <v>0.35069660000000002</v>
      </c>
      <c r="Z3782">
        <v>-6.5370580000000001E-3</v>
      </c>
      <c r="AA3782">
        <v>0.93646629999999997</v>
      </c>
      <c r="AB3782">
        <v>25</v>
      </c>
      <c r="AC3782">
        <v>10.9233999999999</v>
      </c>
      <c r="AD3782">
        <v>-1.1154554223940001</v>
      </c>
      <c r="AE3782">
        <v>-6.05089999999998</v>
      </c>
      <c r="AF3782">
        <v>4.4247875629492297</v>
      </c>
      <c r="AG3782">
        <v>-1.1154554223940001</v>
      </c>
      <c r="AH3782">
        <v>11.5713569846965</v>
      </c>
      <c r="AI3782">
        <v>95.145012567614899</v>
      </c>
      <c r="AJ3782">
        <v>69.073575089588701</v>
      </c>
      <c r="AK3782">
        <v>12.4386208336722</v>
      </c>
      <c r="AL3782">
        <v>81.328291480577803</v>
      </c>
      <c r="AM3782">
        <v>76.019916910924707</v>
      </c>
      <c r="AN3782">
        <v>0.99999997464196899</v>
      </c>
    </row>
    <row r="3783" spans="1:40" x14ac:dyDescent="0.25">
      <c r="A3783" t="str">
        <f>"20190303162333430"</f>
        <v>20190303162333430</v>
      </c>
      <c r="B3783" t="str">
        <f>"1551601413418752"</f>
        <v>1551601413418752</v>
      </c>
      <c r="C3783" t="s">
        <v>40</v>
      </c>
      <c r="D3783">
        <v>5.1316829999999998</v>
      </c>
      <c r="E3783">
        <v>0.55704379999999998</v>
      </c>
      <c r="F3783" t="s">
        <v>46</v>
      </c>
      <c r="G3783">
        <v>-195.8254</v>
      </c>
      <c r="H3783" s="1">
        <v>3.8533239999999998E-6</v>
      </c>
      <c r="I3783">
        <v>207.785</v>
      </c>
      <c r="J3783">
        <v>-207.2809</v>
      </c>
      <c r="K3783">
        <v>1.115227</v>
      </c>
      <c r="L3783">
        <v>214.30930000000001</v>
      </c>
      <c r="M3783">
        <v>0.98896269999999997</v>
      </c>
      <c r="N3783">
        <v>-9.6643079999999999E-3</v>
      </c>
      <c r="O3783">
        <v>-0.1478497</v>
      </c>
      <c r="P3783">
        <v>0.91324340000000004</v>
      </c>
      <c r="Q3783">
        <v>0.14632229999999999</v>
      </c>
      <c r="R3783">
        <v>-0.38023220000000002</v>
      </c>
      <c r="S3783">
        <v>2.69902</v>
      </c>
      <c r="T3783">
        <v>-0.25720369999999998</v>
      </c>
      <c r="U3783">
        <v>-1.514526</v>
      </c>
      <c r="V3783">
        <v>0.24295800000000001</v>
      </c>
      <c r="W3783">
        <v>0.15254999999999999</v>
      </c>
      <c r="X3783">
        <v>0.9579666</v>
      </c>
      <c r="Y3783">
        <v>0.35408810000000002</v>
      </c>
      <c r="Z3783">
        <v>-5.9264649999999997E-3</v>
      </c>
      <c r="AA3783">
        <v>0.93519330000000001</v>
      </c>
      <c r="AB3783">
        <v>25</v>
      </c>
      <c r="AC3783">
        <v>11.455500000000001</v>
      </c>
      <c r="AD3783">
        <v>-1.1152231466760001</v>
      </c>
      <c r="AE3783">
        <v>-6.52430000000001</v>
      </c>
      <c r="AF3783">
        <v>4.7250055899040202</v>
      </c>
      <c r="AG3783">
        <v>-1.1152231466760001</v>
      </c>
      <c r="AH3783">
        <v>12.2068954402533</v>
      </c>
      <c r="AI3783">
        <v>94.869844546237104</v>
      </c>
      <c r="AJ3783">
        <v>68.839737263449194</v>
      </c>
      <c r="AK3783">
        <v>13.136883069464499</v>
      </c>
      <c r="AL3783">
        <v>81.225268613046396</v>
      </c>
      <c r="AM3783">
        <v>75.768797005665206</v>
      </c>
      <c r="AN3783">
        <v>1.0000000494897701</v>
      </c>
    </row>
    <row r="3784" spans="1:40" x14ac:dyDescent="0.25">
      <c r="A3784" t="str">
        <f>"20190303162333452"</f>
        <v>20190303162333452</v>
      </c>
      <c r="B3784" t="str">
        <f>"1551601413449009"</f>
        <v>1551601413449009</v>
      </c>
      <c r="C3784" t="s">
        <v>40</v>
      </c>
      <c r="D3784">
        <v>5.138585</v>
      </c>
      <c r="E3784">
        <v>0.55721830000000006</v>
      </c>
      <c r="F3784" t="s">
        <v>46</v>
      </c>
      <c r="G3784">
        <v>-195.1516</v>
      </c>
      <c r="H3784" s="1">
        <v>4.1048169999999999E-6</v>
      </c>
      <c r="I3784">
        <v>207.2867</v>
      </c>
      <c r="J3784">
        <v>-207.03190000000001</v>
      </c>
      <c r="K3784">
        <v>1.1150150000000001</v>
      </c>
      <c r="L3784">
        <v>214.26320000000001</v>
      </c>
      <c r="M3784">
        <v>0.98774399999999996</v>
      </c>
      <c r="N3784">
        <v>-9.6304540000000001E-3</v>
      </c>
      <c r="O3784">
        <v>-0.15578529999999999</v>
      </c>
      <c r="P3784">
        <v>0.90716529999999995</v>
      </c>
      <c r="Q3784">
        <v>0.14806920000000001</v>
      </c>
      <c r="R3784">
        <v>-0.39386159999999998</v>
      </c>
      <c r="S3784">
        <v>2.6787109999999998</v>
      </c>
      <c r="T3784">
        <v>-0.24629200000000001</v>
      </c>
      <c r="U3784">
        <v>-1.5509189999999999</v>
      </c>
      <c r="V3784">
        <v>0.24974950000000001</v>
      </c>
      <c r="W3784">
        <v>0.15404419999999999</v>
      </c>
      <c r="X3784">
        <v>0.95597889999999996</v>
      </c>
      <c r="Y3784">
        <v>0.35923650000000001</v>
      </c>
      <c r="Z3784">
        <v>-5.4754110000000003E-3</v>
      </c>
      <c r="AA3784">
        <v>0.93323049999999996</v>
      </c>
      <c r="AB3784">
        <v>25</v>
      </c>
      <c r="AC3784">
        <v>11.8803</v>
      </c>
      <c r="AD3784">
        <v>-1.11501089518299</v>
      </c>
      <c r="AE3784">
        <v>-6.9765000000000104</v>
      </c>
      <c r="AF3784">
        <v>5.00765418543509</v>
      </c>
      <c r="AG3784">
        <v>-1.11501089518299</v>
      </c>
      <c r="AH3784">
        <v>12.738689062254499</v>
      </c>
      <c r="AI3784">
        <v>94.657105412302002</v>
      </c>
      <c r="AJ3784">
        <v>68.539916208111705</v>
      </c>
      <c r="AK3784">
        <v>13.7329548445367</v>
      </c>
      <c r="AL3784">
        <v>81.138633177335095</v>
      </c>
      <c r="AM3784">
        <v>75.358718761680294</v>
      </c>
      <c r="AN3784">
        <v>1.0000000427745399</v>
      </c>
    </row>
    <row r="3785" spans="1:40" x14ac:dyDescent="0.25">
      <c r="A3785" t="str">
        <f>"20190303162333475"</f>
        <v>20190303162333475</v>
      </c>
      <c r="B3785" t="str">
        <f>"1551601413468528"</f>
        <v>1551601413468528</v>
      </c>
      <c r="C3785" t="s">
        <v>40</v>
      </c>
      <c r="D3785">
        <v>5.1124159999999996</v>
      </c>
      <c r="E3785">
        <v>0.55710579999999998</v>
      </c>
      <c r="F3785" t="s">
        <v>46</v>
      </c>
      <c r="G3785">
        <v>-194.732</v>
      </c>
      <c r="H3785" s="1">
        <v>4.307136E-6</v>
      </c>
      <c r="I3785">
        <v>206.91050000000001</v>
      </c>
      <c r="J3785">
        <v>-206.78219999999999</v>
      </c>
      <c r="K3785">
        <v>1.114827</v>
      </c>
      <c r="L3785">
        <v>214.21469999999999</v>
      </c>
      <c r="M3785">
        <v>0.98642160000000001</v>
      </c>
      <c r="N3785">
        <v>-9.6054109999999995E-3</v>
      </c>
      <c r="O3785">
        <v>-0.16395170000000001</v>
      </c>
      <c r="P3785">
        <v>0.90085939999999998</v>
      </c>
      <c r="Q3785">
        <v>0.14613770000000001</v>
      </c>
      <c r="R3785">
        <v>-0.40877469999999999</v>
      </c>
      <c r="S3785">
        <v>2.6567989999999999</v>
      </c>
      <c r="T3785">
        <v>-0.2408431</v>
      </c>
      <c r="U3785">
        <v>-1.5881959999999999</v>
      </c>
      <c r="V3785">
        <v>0.25759609999999999</v>
      </c>
      <c r="W3785">
        <v>0.15187329999999999</v>
      </c>
      <c r="X3785">
        <v>0.95424249999999999</v>
      </c>
      <c r="Y3785">
        <v>0.36458089999999999</v>
      </c>
      <c r="Z3785">
        <v>-5.0961110000000004E-3</v>
      </c>
      <c r="AA3785">
        <v>0.93115780000000004</v>
      </c>
      <c r="AB3785">
        <v>25</v>
      </c>
      <c r="AC3785">
        <v>12.050199999999901</v>
      </c>
      <c r="AD3785">
        <v>-1.1148226928639999</v>
      </c>
      <c r="AE3785">
        <v>-7.3041999999999803</v>
      </c>
      <c r="AF3785">
        <v>5.1970812749997304</v>
      </c>
      <c r="AG3785">
        <v>-1.1148226928639999</v>
      </c>
      <c r="AH3785">
        <v>13.0033260722953</v>
      </c>
      <c r="AI3785">
        <v>94.551755424069796</v>
      </c>
      <c r="AJ3785">
        <v>68.214732671168704</v>
      </c>
      <c r="AK3785">
        <v>14.0477390479007</v>
      </c>
      <c r="AL3785">
        <v>81.264497326072103</v>
      </c>
      <c r="AM3785">
        <v>74.893188109949705</v>
      </c>
      <c r="AN3785">
        <v>0.99999999939717499</v>
      </c>
    </row>
    <row r="3786" spans="1:40" x14ac:dyDescent="0.25">
      <c r="A3786" t="str">
        <f>"20190303162333496"</f>
        <v>20190303162333496</v>
      </c>
      <c r="B3786" t="str">
        <f>"1551601413488048"</f>
        <v>1551601413488048</v>
      </c>
      <c r="C3786" t="s">
        <v>40</v>
      </c>
      <c r="D3786">
        <v>5.1668089999999998</v>
      </c>
      <c r="E3786">
        <v>0.55702700000000005</v>
      </c>
      <c r="F3786" t="s">
        <v>46</v>
      </c>
      <c r="G3786">
        <v>-194.90459999999999</v>
      </c>
      <c r="H3786" s="1">
        <v>4.2832750000000001E-6</v>
      </c>
      <c r="I3786">
        <v>206.86969999999999</v>
      </c>
      <c r="J3786">
        <v>-206.54310000000001</v>
      </c>
      <c r="K3786">
        <v>1.1146830000000001</v>
      </c>
      <c r="L3786">
        <v>214.1661</v>
      </c>
      <c r="M3786">
        <v>0.98506760000000004</v>
      </c>
      <c r="N3786">
        <v>-9.5896209999999996E-3</v>
      </c>
      <c r="O3786">
        <v>-0.171901</v>
      </c>
      <c r="P3786">
        <v>0.89534080000000005</v>
      </c>
      <c r="Q3786">
        <v>0.14169870000000001</v>
      </c>
      <c r="R3786">
        <v>-0.42224020000000001</v>
      </c>
      <c r="S3786">
        <v>2.6317439999999999</v>
      </c>
      <c r="T3786">
        <v>-0.2470136</v>
      </c>
      <c r="U3786">
        <v>-1.6274569999999999</v>
      </c>
      <c r="V3786">
        <v>0.264073</v>
      </c>
      <c r="W3786">
        <v>0.1472533</v>
      </c>
      <c r="X3786">
        <v>0.95319560000000003</v>
      </c>
      <c r="Y3786">
        <v>0.37103140000000001</v>
      </c>
      <c r="Z3786">
        <v>-4.8713130000000004E-3</v>
      </c>
      <c r="AA3786">
        <v>0.92860759999999998</v>
      </c>
      <c r="AB3786">
        <v>25</v>
      </c>
      <c r="AC3786">
        <v>11.638500000000001</v>
      </c>
      <c r="AD3786">
        <v>-1.1146787167250001</v>
      </c>
      <c r="AE3786">
        <v>-7.2964000000000002</v>
      </c>
      <c r="AF3786">
        <v>5.1530834575051001</v>
      </c>
      <c r="AG3786">
        <v>-1.1146787167250001</v>
      </c>
      <c r="AH3786">
        <v>12.636343626585299</v>
      </c>
      <c r="AI3786">
        <v>94.669633127395201</v>
      </c>
      <c r="AJ3786">
        <v>67.814432929772707</v>
      </c>
      <c r="AK3786">
        <v>13.6921129856087</v>
      </c>
      <c r="AL3786">
        <v>81.532215066501195</v>
      </c>
      <c r="AM3786">
        <v>74.515157220724603</v>
      </c>
      <c r="AN3786">
        <v>0.99999996777462397</v>
      </c>
    </row>
    <row r="3787" spans="1:40" x14ac:dyDescent="0.25">
      <c r="A3787" t="str">
        <f>"20190303162333520"</f>
        <v>20190303162333520</v>
      </c>
      <c r="B3787" t="str">
        <f>"1551601413508545"</f>
        <v>1551601413508545</v>
      </c>
      <c r="C3787" t="s">
        <v>40</v>
      </c>
      <c r="D3787">
        <v>5.1185799999999997</v>
      </c>
      <c r="E3787">
        <v>0.55651740000000005</v>
      </c>
      <c r="F3787" t="s">
        <v>46</v>
      </c>
      <c r="G3787">
        <v>-195.41290000000001</v>
      </c>
      <c r="H3787" s="1">
        <v>4.1171129999999997E-6</v>
      </c>
      <c r="I3787">
        <v>207.0652</v>
      </c>
      <c r="J3787">
        <v>-206.2901</v>
      </c>
      <c r="K3787">
        <v>1.1145780000000001</v>
      </c>
      <c r="L3787">
        <v>214.11250000000001</v>
      </c>
      <c r="M3787">
        <v>0.98355090000000001</v>
      </c>
      <c r="N3787">
        <v>-9.579822E-3</v>
      </c>
      <c r="O3787">
        <v>-0.18037729999999999</v>
      </c>
      <c r="P3787">
        <v>0.88940280000000005</v>
      </c>
      <c r="Q3787">
        <v>0.13630400000000001</v>
      </c>
      <c r="R3787">
        <v>-0.43633060000000001</v>
      </c>
      <c r="S3787">
        <v>2.6074980000000001</v>
      </c>
      <c r="T3787">
        <v>-0.2611386</v>
      </c>
      <c r="U3787">
        <v>-1.663559</v>
      </c>
      <c r="V3787">
        <v>0.27072249999999998</v>
      </c>
      <c r="W3787">
        <v>0.14170269999999999</v>
      </c>
      <c r="X3787">
        <v>0.95217110000000005</v>
      </c>
      <c r="Y3787">
        <v>0.3759924</v>
      </c>
      <c r="Z3787">
        <v>-4.5439369999999996E-3</v>
      </c>
      <c r="AA3787">
        <v>0.92661159999999998</v>
      </c>
      <c r="AB3787">
        <v>25</v>
      </c>
      <c r="AC3787">
        <v>10.877199999999901</v>
      </c>
      <c r="AD3787">
        <v>-1.114573882887</v>
      </c>
      <c r="AE3787">
        <v>-7.0472999999999999</v>
      </c>
      <c r="AF3787">
        <v>4.9331232995844898</v>
      </c>
      <c r="AG3787">
        <v>-1.114573882887</v>
      </c>
      <c r="AH3787">
        <v>11.882127506531701</v>
      </c>
      <c r="AI3787">
        <v>94.951336138298302</v>
      </c>
      <c r="AJ3787">
        <v>67.453157233476603</v>
      </c>
      <c r="AK3787">
        <v>12.913672386691401</v>
      </c>
      <c r="AL3787">
        <v>81.853614384446004</v>
      </c>
      <c r="AM3787">
        <v>74.128421249705696</v>
      </c>
      <c r="AN3787">
        <v>1.0000000654343699</v>
      </c>
    </row>
    <row r="3788" spans="1:40" x14ac:dyDescent="0.25">
      <c r="A3788" t="str">
        <f>"20190303162333543"</f>
        <v>20190303162333543</v>
      </c>
      <c r="B3788" t="str">
        <f>"1551601413529041"</f>
        <v>1551601413529041</v>
      </c>
      <c r="C3788" t="s">
        <v>40</v>
      </c>
      <c r="D3788">
        <v>5.1339240000000004</v>
      </c>
      <c r="E3788">
        <v>0.55618080000000003</v>
      </c>
      <c r="F3788" t="s">
        <v>46</v>
      </c>
      <c r="G3788">
        <v>-195.9888</v>
      </c>
      <c r="H3788" s="1">
        <v>3.9412709999999997E-6</v>
      </c>
      <c r="I3788">
        <v>207.3434</v>
      </c>
      <c r="J3788">
        <v>-206.03469999999999</v>
      </c>
      <c r="K3788">
        <v>1.114533</v>
      </c>
      <c r="L3788">
        <v>214.05600000000001</v>
      </c>
      <c r="M3788">
        <v>0.98194090000000001</v>
      </c>
      <c r="N3788">
        <v>-9.5751880000000001E-3</v>
      </c>
      <c r="O3788">
        <v>-0.18894559999999999</v>
      </c>
      <c r="P3788">
        <v>0.88275380000000003</v>
      </c>
      <c r="Q3788">
        <v>0.13306419999999999</v>
      </c>
      <c r="R3788">
        <v>-0.45059949999999999</v>
      </c>
      <c r="S3788">
        <v>2.5831599999999999</v>
      </c>
      <c r="T3788">
        <v>-0.27949210000000002</v>
      </c>
      <c r="U3788">
        <v>-1.6974180000000001</v>
      </c>
      <c r="V3788">
        <v>0.2776303</v>
      </c>
      <c r="W3788">
        <v>0.13833110000000001</v>
      </c>
      <c r="X3788">
        <v>0.95067659999999998</v>
      </c>
      <c r="Y3788">
        <v>0.38027939999999999</v>
      </c>
      <c r="Z3788">
        <v>-4.1242900000000001E-3</v>
      </c>
      <c r="AA3788">
        <v>0.92486250000000003</v>
      </c>
      <c r="AB3788">
        <v>25</v>
      </c>
      <c r="AC3788">
        <v>10.0458999999999</v>
      </c>
      <c r="AD3788">
        <v>-1.114529058729</v>
      </c>
      <c r="AE3788">
        <v>-6.7125999999999797</v>
      </c>
      <c r="AF3788">
        <v>4.6538619673635599</v>
      </c>
      <c r="AG3788">
        <v>-1.114529058729</v>
      </c>
      <c r="AH3788">
        <v>11.039369471225401</v>
      </c>
      <c r="AI3788">
        <v>95.314964283780299</v>
      </c>
      <c r="AJ3788">
        <v>67.141193471524304</v>
      </c>
      <c r="AK3788">
        <v>12.0319692717463</v>
      </c>
      <c r="AL3788">
        <v>82.048714607407902</v>
      </c>
      <c r="AM3788">
        <v>73.720377858171005</v>
      </c>
      <c r="AN3788">
        <v>1.0000000372464199</v>
      </c>
    </row>
    <row r="3789" spans="1:40" x14ac:dyDescent="0.25">
      <c r="A3789" t="str">
        <f>"20190303162333566"</f>
        <v>20190303162333566</v>
      </c>
      <c r="B3789" t="str">
        <f>"1551601413558320"</f>
        <v>1551601413558320</v>
      </c>
      <c r="C3789" t="s">
        <v>40</v>
      </c>
      <c r="D3789">
        <v>5.1765019999999904</v>
      </c>
      <c r="E3789">
        <v>0.53947040000000002</v>
      </c>
      <c r="F3789" t="s">
        <v>46</v>
      </c>
      <c r="G3789">
        <v>-196.20590000000001</v>
      </c>
      <c r="H3789" s="1">
        <v>3.8904510000000004E-6</v>
      </c>
      <c r="I3789">
        <v>207.38990000000001</v>
      </c>
      <c r="J3789">
        <v>-205.78729999999999</v>
      </c>
      <c r="K3789">
        <v>1.1145339999999999</v>
      </c>
      <c r="L3789">
        <v>213.999</v>
      </c>
      <c r="M3789">
        <v>0.98031579999999996</v>
      </c>
      <c r="N3789">
        <v>-9.5726860000000004E-3</v>
      </c>
      <c r="O3789">
        <v>-0.1972044</v>
      </c>
      <c r="P3789">
        <v>0.87696289999999999</v>
      </c>
      <c r="Q3789">
        <v>0.13233589999999901</v>
      </c>
      <c r="R3789">
        <v>-0.4619781</v>
      </c>
      <c r="S3789">
        <v>2.5569609999999998</v>
      </c>
      <c r="T3789">
        <v>-0.28994599999999998</v>
      </c>
      <c r="U3789">
        <v>-1.73419199999999</v>
      </c>
      <c r="V3789">
        <v>0.28188990000000003</v>
      </c>
      <c r="W3789">
        <v>0.13753770000000001</v>
      </c>
      <c r="X3789">
        <v>0.94953750000000003</v>
      </c>
      <c r="Y3789">
        <v>0.38592460000000001</v>
      </c>
      <c r="Z3789">
        <v>-3.7344180000000002E-3</v>
      </c>
      <c r="AA3789">
        <v>0.92252279999999998</v>
      </c>
      <c r="AB3789">
        <v>25</v>
      </c>
      <c r="AC3789">
        <v>9.5813999999999702</v>
      </c>
      <c r="AD3789">
        <v>-1.1145301095489999</v>
      </c>
      <c r="AE3789">
        <v>-6.6091000000000104</v>
      </c>
      <c r="AF3789">
        <v>4.5480221132609904</v>
      </c>
      <c r="AG3789">
        <v>-1.1145301095489999</v>
      </c>
      <c r="AH3789">
        <v>10.5994491648812</v>
      </c>
      <c r="AI3789">
        <v>95.519360251109603</v>
      </c>
      <c r="AJ3789">
        <v>66.776748815860003</v>
      </c>
      <c r="AK3789">
        <v>11.587709226016299</v>
      </c>
      <c r="AL3789">
        <v>82.094611490688294</v>
      </c>
      <c r="AM3789">
        <v>73.465386469064995</v>
      </c>
      <c r="AN3789">
        <v>0.99999999927477501</v>
      </c>
    </row>
    <row r="3790" spans="1:40" x14ac:dyDescent="0.25">
      <c r="A3790" t="str">
        <f>"20190303162333587"</f>
        <v>20190303162333587</v>
      </c>
      <c r="B3790" t="str">
        <f>"1551601413578816"</f>
        <v>1551601413578816</v>
      </c>
      <c r="C3790" t="s">
        <v>40</v>
      </c>
      <c r="D3790">
        <v>5.2022640000000004</v>
      </c>
      <c r="E3790">
        <v>0.53778669999999995</v>
      </c>
      <c r="F3790" t="s">
        <v>46</v>
      </c>
      <c r="G3790">
        <v>-196.71</v>
      </c>
      <c r="H3790" s="1">
        <v>3.5726509999999998E-6</v>
      </c>
      <c r="I3790">
        <v>208.25239999999999</v>
      </c>
      <c r="J3790">
        <v>-205.54220000000001</v>
      </c>
      <c r="K3790">
        <v>1.1145560000000001</v>
      </c>
      <c r="L3790">
        <v>213.94040000000001</v>
      </c>
      <c r="M3790">
        <v>0.97864479999999998</v>
      </c>
      <c r="N3790">
        <v>-9.5713350000000003E-3</v>
      </c>
      <c r="O3790">
        <v>-0.2053352</v>
      </c>
      <c r="P3790">
        <v>0.87215169999999997</v>
      </c>
      <c r="Q3790">
        <v>0.13299359999999999</v>
      </c>
      <c r="R3790">
        <v>-0.47081240000000002</v>
      </c>
      <c r="S3790">
        <v>2.6015009999999998</v>
      </c>
      <c r="T3790">
        <v>-0.31941770000000003</v>
      </c>
      <c r="U3790">
        <v>-1.6469419999999999</v>
      </c>
      <c r="V3790">
        <v>0.28362209999999899</v>
      </c>
      <c r="W3790">
        <v>0.13818050000000001</v>
      </c>
      <c r="X3790">
        <v>0.94892810000000005</v>
      </c>
      <c r="Y3790">
        <v>0.34888709999999901</v>
      </c>
      <c r="Z3790">
        <v>-6.4449379999999897E-4</v>
      </c>
      <c r="AA3790">
        <v>0.93716449999999996</v>
      </c>
      <c r="AB3790">
        <v>25</v>
      </c>
      <c r="AC3790">
        <v>8.8322000000000003</v>
      </c>
      <c r="AD3790">
        <v>-1.114552427349</v>
      </c>
      <c r="AE3790">
        <v>-5.6880000000000104</v>
      </c>
      <c r="AF3790">
        <v>3.71136712836645</v>
      </c>
      <c r="AG3790">
        <v>-1.114552427349</v>
      </c>
      <c r="AH3790">
        <v>9.7027690610567596</v>
      </c>
      <c r="AI3790">
        <v>96.123759582340597</v>
      </c>
      <c r="AJ3790">
        <v>69.067848870926994</v>
      </c>
      <c r="AK3790">
        <v>10.447975905745</v>
      </c>
      <c r="AL3790">
        <v>82.057426263920306</v>
      </c>
      <c r="AM3790">
        <v>73.359288036352694</v>
      </c>
      <c r="AN3790">
        <v>0.99999994257913305</v>
      </c>
    </row>
    <row r="3791" spans="1:40" x14ac:dyDescent="0.25">
      <c r="A3791" t="str">
        <f>"20190303162333609"</f>
        <v>20190303162333609</v>
      </c>
      <c r="B3791" t="str">
        <f>"1551601413598337"</f>
        <v>1551601413598337</v>
      </c>
      <c r="C3791" t="s">
        <v>40</v>
      </c>
      <c r="D3791">
        <v>5.1514089999999904</v>
      </c>
      <c r="E3791">
        <v>0.53730849999999997</v>
      </c>
      <c r="F3791" t="s">
        <v>46</v>
      </c>
      <c r="G3791">
        <v>-196.5607</v>
      </c>
      <c r="H3791" s="1">
        <v>3.6165099999999999E-6</v>
      </c>
      <c r="I3791">
        <v>208.1867</v>
      </c>
      <c r="J3791">
        <v>-205.29929999999999</v>
      </c>
      <c r="K3791">
        <v>1.114592</v>
      </c>
      <c r="L3791">
        <v>213.88030000000001</v>
      </c>
      <c r="M3791">
        <v>0.97693280000000005</v>
      </c>
      <c r="N3791">
        <v>-9.5717349999999996E-3</v>
      </c>
      <c r="O3791">
        <v>-0.21333260000000001</v>
      </c>
      <c r="P3791">
        <v>0.8666334</v>
      </c>
      <c r="Q3791">
        <v>0.1344148</v>
      </c>
      <c r="R3791">
        <v>-0.48049920000000002</v>
      </c>
      <c r="S3791">
        <v>2.5923609999999999</v>
      </c>
      <c r="T3791">
        <v>-0.32169819999999999</v>
      </c>
      <c r="U3791">
        <v>-1.660706</v>
      </c>
      <c r="V3791">
        <v>0.28649340000000001</v>
      </c>
      <c r="W3791">
        <v>0.13956830000000001</v>
      </c>
      <c r="X3791">
        <v>0.94786190000000003</v>
      </c>
      <c r="Y3791">
        <v>0.34628730000000002</v>
      </c>
      <c r="Z3791">
        <v>3.2836010000000001E-4</v>
      </c>
      <c r="AA3791">
        <v>0.93812850000000003</v>
      </c>
      <c r="AB3791">
        <v>25</v>
      </c>
      <c r="AC3791">
        <v>8.7385999999999893</v>
      </c>
      <c r="AD3791">
        <v>-1.1145883834899999</v>
      </c>
      <c r="AE3791">
        <v>-5.6936</v>
      </c>
      <c r="AF3791">
        <v>3.6564476551912599</v>
      </c>
      <c r="AG3791">
        <v>-1.1145883834899999</v>
      </c>
      <c r="AH3791">
        <v>9.6419868636080395</v>
      </c>
      <c r="AI3791">
        <v>96.168948443672306</v>
      </c>
      <c r="AJ3791">
        <v>69.2322011490281</v>
      </c>
      <c r="AK3791">
        <v>10.3720695812241</v>
      </c>
      <c r="AL3791">
        <v>81.977133431814707</v>
      </c>
      <c r="AM3791">
        <v>73.182439455872398</v>
      </c>
      <c r="AN3791">
        <v>0.99999998004002899</v>
      </c>
    </row>
    <row r="3792" spans="1:40" x14ac:dyDescent="0.25">
      <c r="A3792" t="str">
        <f>"20190303162333632"</f>
        <v>20190303162333632</v>
      </c>
      <c r="B3792" t="str">
        <f>"1551601413618833"</f>
        <v>1551601413618833</v>
      </c>
      <c r="C3792" t="s">
        <v>40</v>
      </c>
      <c r="D3792">
        <v>5.2278960000000003</v>
      </c>
      <c r="E3792">
        <v>0.56301080000000003</v>
      </c>
      <c r="F3792" t="s">
        <v>46</v>
      </c>
      <c r="G3792">
        <v>-195.8741</v>
      </c>
      <c r="H3792" s="1">
        <v>3.867083E-6</v>
      </c>
      <c r="I3792">
        <v>207.7004</v>
      </c>
      <c r="J3792">
        <v>-205.04650000000001</v>
      </c>
      <c r="K3792">
        <v>1.1146240000000001</v>
      </c>
      <c r="L3792">
        <v>213.81559999999999</v>
      </c>
      <c r="M3792">
        <v>0.97509049999999997</v>
      </c>
      <c r="N3792">
        <v>-9.5742210000000008E-3</v>
      </c>
      <c r="O3792">
        <v>-0.22160089999999999</v>
      </c>
      <c r="P3792">
        <v>0.86030720000000005</v>
      </c>
      <c r="Q3792">
        <v>0.1347767</v>
      </c>
      <c r="R3792">
        <v>-0.4916373</v>
      </c>
      <c r="S3792">
        <v>2.5733640000000002</v>
      </c>
      <c r="T3792">
        <v>-0.30431629999999998</v>
      </c>
      <c r="U3792">
        <v>-1.6873020000000001</v>
      </c>
      <c r="V3792">
        <v>0.29070499999999999</v>
      </c>
      <c r="W3792">
        <v>0.13987149999999901</v>
      </c>
      <c r="X3792">
        <v>0.94653399999999999</v>
      </c>
      <c r="Y3792">
        <v>0.34840589999999999</v>
      </c>
      <c r="Z3792">
        <v>7.6118669999999998E-4</v>
      </c>
      <c r="AA3792">
        <v>0.9373435</v>
      </c>
      <c r="AB3792">
        <v>25</v>
      </c>
      <c r="AC3792">
        <v>9.1724000000000103</v>
      </c>
      <c r="AD3792">
        <v>-1.114620132917</v>
      </c>
      <c r="AE3792">
        <v>-6.1151999999999802</v>
      </c>
      <c r="AF3792">
        <v>3.8906672552969299</v>
      </c>
      <c r="AG3792">
        <v>-1.114620132917</v>
      </c>
      <c r="AH3792">
        <v>10.195299625399899</v>
      </c>
      <c r="AI3792">
        <v>95.832086458541696</v>
      </c>
      <c r="AJ3792">
        <v>69.112454357244502</v>
      </c>
      <c r="AK3792">
        <v>10.9692207646589</v>
      </c>
      <c r="AL3792">
        <v>81.959589611959103</v>
      </c>
      <c r="AM3792">
        <v>72.926927691298204</v>
      </c>
      <c r="AN3792">
        <v>1.00000002334662</v>
      </c>
    </row>
    <row r="3793" spans="1:40" x14ac:dyDescent="0.25">
      <c r="A3793" t="str">
        <f>"20190303162333654"</f>
        <v>20190303162333654</v>
      </c>
      <c r="B3793" t="str">
        <f>"1551601413649091"</f>
        <v>1551601413649091</v>
      </c>
      <c r="C3793" t="s">
        <v>40</v>
      </c>
      <c r="D3793">
        <v>5.3956470000000003</v>
      </c>
      <c r="E3793">
        <v>0.576571099999999</v>
      </c>
      <c r="F3793" t="s">
        <v>46</v>
      </c>
      <c r="G3793">
        <v>-190.42789999999999</v>
      </c>
      <c r="H3793" s="1">
        <v>6.8456150000000004E-6</v>
      </c>
      <c r="I3793">
        <v>202.37020000000001</v>
      </c>
      <c r="J3793">
        <v>-204.79810000000001</v>
      </c>
      <c r="K3793">
        <v>1.114625</v>
      </c>
      <c r="L3793">
        <v>213.74979999999999</v>
      </c>
      <c r="M3793">
        <v>0.97321579999999996</v>
      </c>
      <c r="N3793">
        <v>-9.57883E-3</v>
      </c>
      <c r="O3793">
        <v>-0.22969410000000001</v>
      </c>
      <c r="P3793">
        <v>0.85312889999999997</v>
      </c>
      <c r="Q3793">
        <v>0.13679479999999999</v>
      </c>
      <c r="R3793">
        <v>-0.50344659999999997</v>
      </c>
      <c r="S3793">
        <v>2.4292449999999999</v>
      </c>
      <c r="T3793">
        <v>-0.18522069999999999</v>
      </c>
      <c r="U3793">
        <v>-1.901932</v>
      </c>
      <c r="V3793">
        <v>0.29599150000000002</v>
      </c>
      <c r="W3793">
        <v>0.14179939999999999</v>
      </c>
      <c r="X3793">
        <v>0.94460679999999997</v>
      </c>
      <c r="Y3793">
        <v>0.41855369999999997</v>
      </c>
      <c r="Z3793">
        <v>-3.2731679999999999E-3</v>
      </c>
      <c r="AA3793">
        <v>0.9081861</v>
      </c>
      <c r="AB3793">
        <v>25</v>
      </c>
      <c r="AC3793">
        <v>14.370200000000001</v>
      </c>
      <c r="AD3793">
        <v>-1.114618154385</v>
      </c>
      <c r="AE3793">
        <v>-11.3795999999999</v>
      </c>
      <c r="AF3793">
        <v>7.7457720616378998</v>
      </c>
      <c r="AG3793">
        <v>-1.114618154385</v>
      </c>
      <c r="AH3793">
        <v>16.538740149836901</v>
      </c>
      <c r="AI3793">
        <v>93.492568478329602</v>
      </c>
      <c r="AJ3793">
        <v>64.904375042954797</v>
      </c>
      <c r="AK3793">
        <v>18.296701456950199</v>
      </c>
      <c r="AL3793">
        <v>81.8480170117829</v>
      </c>
      <c r="AM3793">
        <v>72.601675045088299</v>
      </c>
      <c r="AN3793">
        <v>1.0000000222594201</v>
      </c>
    </row>
    <row r="3794" spans="1:40" x14ac:dyDescent="0.25">
      <c r="A3794" t="str">
        <f>"20190303162333676"</f>
        <v>20190303162333676</v>
      </c>
      <c r="B3794" t="str">
        <f>"1551601413668608"</f>
        <v>1551601413668608</v>
      </c>
      <c r="C3794" t="s">
        <v>40</v>
      </c>
      <c r="D3794">
        <v>5.401478</v>
      </c>
      <c r="E3794">
        <v>0.58219869999999996</v>
      </c>
      <c r="F3794" t="s">
        <v>46</v>
      </c>
      <c r="G3794">
        <v>-196.11859999999999</v>
      </c>
      <c r="H3794" s="1">
        <v>4.2075879999999998E-6</v>
      </c>
      <c r="I3794">
        <v>206.32239999999999</v>
      </c>
      <c r="J3794">
        <v>-204.554</v>
      </c>
      <c r="K3794">
        <v>1.1146100000000001</v>
      </c>
      <c r="L3794">
        <v>213.6831</v>
      </c>
      <c r="M3794">
        <v>0.97130110000000003</v>
      </c>
      <c r="N3794">
        <v>-9.5863200000000006E-3</v>
      </c>
      <c r="O3794">
        <v>-0.23766039999999999</v>
      </c>
      <c r="P3794">
        <v>0.84597089999999997</v>
      </c>
      <c r="Q3794">
        <v>0.14003740000000001</v>
      </c>
      <c r="R3794">
        <v>-0.51451270000000005</v>
      </c>
      <c r="S3794">
        <v>2.3689269999999998</v>
      </c>
      <c r="T3794">
        <v>-0.30421710000000002</v>
      </c>
      <c r="U3794">
        <v>-2.0272060000000001</v>
      </c>
      <c r="V3794">
        <v>0.30073610000000001</v>
      </c>
      <c r="W3794">
        <v>0.14494279999999901</v>
      </c>
      <c r="X3794">
        <v>0.94262900000000005</v>
      </c>
      <c r="Y3794">
        <v>0.449598</v>
      </c>
      <c r="Z3794">
        <v>-3.8103799999999999E-3</v>
      </c>
      <c r="AA3794">
        <v>0.89322289999999904</v>
      </c>
      <c r="AB3794">
        <v>25</v>
      </c>
      <c r="AC3794">
        <v>8.4354000000000102</v>
      </c>
      <c r="AD3794">
        <v>-1.1146057924120001</v>
      </c>
      <c r="AE3794">
        <v>-7.3606999999999996</v>
      </c>
      <c r="AF3794">
        <v>5.0944346667499101</v>
      </c>
      <c r="AG3794">
        <v>-1.1146057924120001</v>
      </c>
      <c r="AH3794">
        <v>9.8455259671322999</v>
      </c>
      <c r="AI3794">
        <v>95.741596539028293</v>
      </c>
      <c r="AJ3794">
        <v>62.641304221375897</v>
      </c>
      <c r="AK3794">
        <v>11.1413640195327</v>
      </c>
      <c r="AL3794">
        <v>81.666033326050396</v>
      </c>
      <c r="AM3794">
        <v>72.305251130007804</v>
      </c>
      <c r="AN3794">
        <v>1.00000002437802</v>
      </c>
    </row>
    <row r="3795" spans="1:40" x14ac:dyDescent="0.25">
      <c r="A3795" t="str">
        <f>"20190303162333698"</f>
        <v>20190303162333698</v>
      </c>
      <c r="B3795" t="str">
        <f>"1551601413689104"</f>
        <v>1551601413689104</v>
      </c>
      <c r="C3795" t="s">
        <v>40</v>
      </c>
      <c r="D3795">
        <v>5.418571</v>
      </c>
      <c r="E3795">
        <v>0.58405410000000002</v>
      </c>
      <c r="F3795" t="s">
        <v>46</v>
      </c>
      <c r="G3795">
        <v>-196.62889999999999</v>
      </c>
      <c r="H3795" s="1">
        <v>4.0459490000000004E-6</v>
      </c>
      <c r="I3795">
        <v>206.51939999999999</v>
      </c>
      <c r="J3795">
        <v>-204.30549999999999</v>
      </c>
      <c r="K3795">
        <v>1.114547</v>
      </c>
      <c r="L3795">
        <v>213.6129</v>
      </c>
      <c r="M3795">
        <v>0.96926239999999997</v>
      </c>
      <c r="N3795">
        <v>-9.6021370000000002E-3</v>
      </c>
      <c r="O3795">
        <v>-0.24584230000000001</v>
      </c>
      <c r="P3795">
        <v>0.8393543</v>
      </c>
      <c r="Q3795">
        <v>0.14404729999999999</v>
      </c>
      <c r="R3795">
        <v>-0.5241519</v>
      </c>
      <c r="S3795">
        <v>2.3231350000000002</v>
      </c>
      <c r="T3795">
        <v>-0.32673289999999999</v>
      </c>
      <c r="U3795">
        <v>-2.0999599999999998</v>
      </c>
      <c r="V3795">
        <v>0.30381570000000002</v>
      </c>
      <c r="W3795">
        <v>0.14885860000000001</v>
      </c>
      <c r="X3795">
        <v>0.94102980000000003</v>
      </c>
      <c r="Y3795">
        <v>0.46601320000000002</v>
      </c>
      <c r="Z3795">
        <v>-4.02003E-3</v>
      </c>
      <c r="AA3795">
        <v>0.88476860000000002</v>
      </c>
      <c r="AB3795">
        <v>25</v>
      </c>
      <c r="AC3795">
        <v>7.6765999999999996</v>
      </c>
      <c r="AD3795">
        <v>-1.1145429540509999</v>
      </c>
      <c r="AE3795">
        <v>-7.0934999999999997</v>
      </c>
      <c r="AF3795">
        <v>4.9323755326952003</v>
      </c>
      <c r="AG3795">
        <v>-1.1145429540509999</v>
      </c>
      <c r="AH3795">
        <v>9.0816809902299998</v>
      </c>
      <c r="AI3795">
        <v>96.155280582836198</v>
      </c>
      <c r="AJ3795">
        <v>61.493056745616201</v>
      </c>
      <c r="AK3795">
        <v>10.394588207344199</v>
      </c>
      <c r="AL3795">
        <v>81.439213211328905</v>
      </c>
      <c r="AM3795">
        <v>72.107092983909993</v>
      </c>
      <c r="AN3795">
        <v>0.99999997342424396</v>
      </c>
    </row>
    <row r="3796" spans="1:40" x14ac:dyDescent="0.25">
      <c r="A3796" t="str">
        <f>"20190303162333721"</f>
        <v>20190303162333721</v>
      </c>
      <c r="B3796" t="str">
        <f>"1551601413708624"</f>
        <v>1551601413708624</v>
      </c>
      <c r="C3796" t="s">
        <v>40</v>
      </c>
      <c r="D3796">
        <v>5.4464129999999997</v>
      </c>
      <c r="E3796">
        <v>0.58487979999999995</v>
      </c>
      <c r="F3796" t="s">
        <v>46</v>
      </c>
      <c r="G3796">
        <v>-196.71379999999999</v>
      </c>
      <c r="H3796" s="1">
        <v>4.03295399999999E-6</v>
      </c>
      <c r="I3796">
        <v>206.51159999999999</v>
      </c>
      <c r="J3796">
        <v>-204.06209999999999</v>
      </c>
      <c r="K3796">
        <v>1.114455</v>
      </c>
      <c r="L3796">
        <v>213.5419</v>
      </c>
      <c r="M3796">
        <v>0.96715859999999998</v>
      </c>
      <c r="N3796">
        <v>-9.6286180000000002E-3</v>
      </c>
      <c r="O3796">
        <v>-0.25399169999999999</v>
      </c>
      <c r="P3796">
        <v>0.83353009999999905</v>
      </c>
      <c r="Q3796">
        <v>0.14687320000000001</v>
      </c>
      <c r="R3796">
        <v>-0.53259369999999995</v>
      </c>
      <c r="S3796">
        <v>2.2927089999999999</v>
      </c>
      <c r="T3796">
        <v>-0.33659289999999997</v>
      </c>
      <c r="U3796">
        <v>-2.1446079999999998</v>
      </c>
      <c r="V3796">
        <v>0.30559809999999998</v>
      </c>
      <c r="W3796">
        <v>0.15159239999999999</v>
      </c>
      <c r="X3796">
        <v>0.94001570000000001</v>
      </c>
      <c r="Y3796">
        <v>0.47354489999999999</v>
      </c>
      <c r="Z3796">
        <v>-3.6723860000000001E-3</v>
      </c>
      <c r="AA3796">
        <v>0.88076200000000004</v>
      </c>
      <c r="AB3796">
        <v>25</v>
      </c>
      <c r="AC3796">
        <v>7.3482999999999903</v>
      </c>
      <c r="AD3796">
        <v>-1.1144509670460001</v>
      </c>
      <c r="AE3796">
        <v>-7.0303000000000102</v>
      </c>
      <c r="AF3796">
        <v>4.87469580708827</v>
      </c>
      <c r="AG3796">
        <v>-1.1144509670460001</v>
      </c>
      <c r="AH3796">
        <v>8.7874916505030605</v>
      </c>
      <c r="AI3796">
        <v>96.328329883804898</v>
      </c>
      <c r="AJ3796">
        <v>60.981500887057699</v>
      </c>
      <c r="AK3796">
        <v>10.1106216266486</v>
      </c>
      <c r="AL3796">
        <v>81.280780118279793</v>
      </c>
      <c r="AM3796">
        <v>71.990711689205</v>
      </c>
      <c r="AN3796">
        <v>0.99999998535392898</v>
      </c>
    </row>
    <row r="3797" spans="1:40" x14ac:dyDescent="0.25">
      <c r="A3797" t="str">
        <f>"20190303162333744"</f>
        <v>20190303162333744</v>
      </c>
      <c r="B3797" t="str">
        <f>"1551601413738880"</f>
        <v>1551601413738880</v>
      </c>
      <c r="C3797" t="s">
        <v>40</v>
      </c>
      <c r="D3797">
        <v>5.4815480000000001</v>
      </c>
      <c r="E3797">
        <v>0.58509239999999996</v>
      </c>
      <c r="F3797" t="s">
        <v>46</v>
      </c>
      <c r="G3797">
        <v>-196.6354</v>
      </c>
      <c r="H3797" s="1">
        <v>4.0758909999999998E-6</v>
      </c>
      <c r="I3797">
        <v>206.40190000000001</v>
      </c>
      <c r="J3797">
        <v>-203.804</v>
      </c>
      <c r="K3797">
        <v>1.114312</v>
      </c>
      <c r="L3797">
        <v>213.46379999999999</v>
      </c>
      <c r="M3797">
        <v>0.96478710000000001</v>
      </c>
      <c r="N3797">
        <v>-9.6660830000000007E-3</v>
      </c>
      <c r="O3797">
        <v>-0.26285510000000001</v>
      </c>
      <c r="P3797">
        <v>0.82755990000000001</v>
      </c>
      <c r="Q3797">
        <v>0.1502473</v>
      </c>
      <c r="R3797">
        <v>-0.54089809999999905</v>
      </c>
      <c r="S3797">
        <v>2.2666780000000002</v>
      </c>
      <c r="T3797">
        <v>-0.34013959999999999</v>
      </c>
      <c r="U3797">
        <v>-2.1791689999999999</v>
      </c>
      <c r="V3797">
        <v>0.30664039999999998</v>
      </c>
      <c r="W3797">
        <v>0.15485409999999999</v>
      </c>
      <c r="X3797">
        <v>0.93914430000000004</v>
      </c>
      <c r="Y3797">
        <v>0.47749900000000001</v>
      </c>
      <c r="Z3797">
        <v>-3.0112469999999999E-3</v>
      </c>
      <c r="AA3797">
        <v>0.87862719999999905</v>
      </c>
      <c r="AB3797">
        <v>25</v>
      </c>
      <c r="AC3797">
        <v>7.1685999999999899</v>
      </c>
      <c r="AD3797">
        <v>-1.1143079241089999</v>
      </c>
      <c r="AE3797">
        <v>-7.0618999999999801</v>
      </c>
      <c r="AF3797">
        <v>4.8694451665308804</v>
      </c>
      <c r="AG3797">
        <v>-1.1143079241089999</v>
      </c>
      <c r="AH3797">
        <v>8.6665644591528608</v>
      </c>
      <c r="AI3797">
        <v>96.395793757323503</v>
      </c>
      <c r="AJ3797">
        <v>60.669862163553702</v>
      </c>
      <c r="AK3797">
        <v>10.003125406803299</v>
      </c>
      <c r="AL3797">
        <v>81.091666011613896</v>
      </c>
      <c r="AM3797">
        <v>71.917600075022193</v>
      </c>
      <c r="AN3797">
        <v>1.00000007171072</v>
      </c>
    </row>
    <row r="3798" spans="1:40" x14ac:dyDescent="0.25">
      <c r="A3798" t="str">
        <f>"20190303162333768"</f>
        <v>20190303162333768</v>
      </c>
      <c r="B3798" t="str">
        <f>"1551601413758400"</f>
        <v>1551601413758400</v>
      </c>
      <c r="C3798" t="s">
        <v>40</v>
      </c>
      <c r="D3798">
        <v>5.4810319999999999</v>
      </c>
      <c r="E3798">
        <v>0.58477389999999996</v>
      </c>
      <c r="F3798" t="s">
        <v>46</v>
      </c>
      <c r="G3798">
        <v>-196.48939999999999</v>
      </c>
      <c r="H3798" s="1">
        <v>4.1462849999999901E-6</v>
      </c>
      <c r="I3798">
        <v>206.26320000000001</v>
      </c>
      <c r="J3798">
        <v>-203.54910000000001</v>
      </c>
      <c r="K3798">
        <v>1.114123</v>
      </c>
      <c r="L3798">
        <v>213.3837</v>
      </c>
      <c r="M3798">
        <v>0.96227810000000003</v>
      </c>
      <c r="N3798">
        <v>-9.7099130000000006E-3</v>
      </c>
      <c r="O3798">
        <v>-0.27189489999999999</v>
      </c>
      <c r="P3798">
        <v>0.82207809999999903</v>
      </c>
      <c r="Q3798">
        <v>0.1531004</v>
      </c>
      <c r="R3798">
        <v>-0.54840559999999905</v>
      </c>
      <c r="S3798">
        <v>2.2435909999999999</v>
      </c>
      <c r="T3798">
        <v>-0.34178890000000001</v>
      </c>
      <c r="U3798">
        <v>-2.2086329999999998</v>
      </c>
      <c r="V3798">
        <v>0.306639099999999</v>
      </c>
      <c r="W3798">
        <v>0.15759100000000001</v>
      </c>
      <c r="X3798">
        <v>0.93868929999999995</v>
      </c>
      <c r="Y3798">
        <v>0.47966520000000001</v>
      </c>
      <c r="Z3798">
        <v>-2.2094160000000001E-3</v>
      </c>
      <c r="AA3798">
        <v>0.87744889999999998</v>
      </c>
      <c r="AB3798">
        <v>25</v>
      </c>
      <c r="AC3798">
        <v>7.0597000000000198</v>
      </c>
      <c r="AD3798">
        <v>-1.114118853715</v>
      </c>
      <c r="AE3798">
        <v>-7.1204999999999901</v>
      </c>
      <c r="AF3798">
        <v>4.8724818382814403</v>
      </c>
      <c r="AG3798">
        <v>-1.114118853715</v>
      </c>
      <c r="AH3798">
        <v>8.6233700700229203</v>
      </c>
      <c r="AI3798">
        <v>96.417856840321406</v>
      </c>
      <c r="AJ3798">
        <v>60.532152869529298</v>
      </c>
      <c r="AK3798">
        <v>9.9671887435300803</v>
      </c>
      <c r="AL3798">
        <v>80.932903481305203</v>
      </c>
      <c r="AM3798">
        <v>71.909477797094596</v>
      </c>
      <c r="AN3798">
        <v>1.00000003143214</v>
      </c>
    </row>
    <row r="3799" spans="1:40" x14ac:dyDescent="0.25">
      <c r="A3799" t="str">
        <f>"20190303162333788"</f>
        <v>20190303162333788</v>
      </c>
      <c r="B3799" t="str">
        <f>"1551601413778896"</f>
        <v>1551601413778896</v>
      </c>
      <c r="C3799" t="s">
        <v>40</v>
      </c>
      <c r="D3799">
        <v>5.5071870000000001</v>
      </c>
      <c r="E3799">
        <v>0.58463390000000004</v>
      </c>
      <c r="F3799" t="s">
        <v>46</v>
      </c>
      <c r="G3799">
        <v>-196.2175</v>
      </c>
      <c r="H3799" s="1">
        <v>4.2899119999999997E-6</v>
      </c>
      <c r="I3799">
        <v>206.0274</v>
      </c>
      <c r="J3799">
        <v>-203.3201</v>
      </c>
      <c r="K3799">
        <v>1.11395</v>
      </c>
      <c r="L3799">
        <v>213.30930000000001</v>
      </c>
      <c r="M3799">
        <v>0.95988390000000001</v>
      </c>
      <c r="N3799">
        <v>-9.7510270000000007E-3</v>
      </c>
      <c r="O3799">
        <v>-0.28022799999999998</v>
      </c>
      <c r="P3799">
        <v>0.81585759999999996</v>
      </c>
      <c r="Q3799">
        <v>0.1547132</v>
      </c>
      <c r="R3799">
        <v>-0.55717150000000004</v>
      </c>
      <c r="S3799">
        <v>2.2237550000000001</v>
      </c>
      <c r="T3799">
        <v>-0.33792640000000002</v>
      </c>
      <c r="U3799">
        <v>-2.2312620000000001</v>
      </c>
      <c r="V3799">
        <v>0.3087318</v>
      </c>
      <c r="W3799">
        <v>0.15905949999999999</v>
      </c>
      <c r="X3799">
        <v>0.93775520000000001</v>
      </c>
      <c r="Y3799">
        <v>0.48049130000000001</v>
      </c>
      <c r="Z3799">
        <v>-1.4382970000000001E-3</v>
      </c>
      <c r="AA3799">
        <v>0.87699839999999996</v>
      </c>
      <c r="AB3799">
        <v>26</v>
      </c>
      <c r="AC3799">
        <v>7.10259999999999</v>
      </c>
      <c r="AD3799">
        <v>-1.1139457100879999</v>
      </c>
      <c r="AE3799">
        <v>-7.2819000000000003</v>
      </c>
      <c r="AF3799">
        <v>4.9404222569585299</v>
      </c>
      <c r="AG3799">
        <v>-1.1139457100879999</v>
      </c>
      <c r="AH3799">
        <v>8.7537084494197703</v>
      </c>
      <c r="AI3799">
        <v>96.323853291536494</v>
      </c>
      <c r="AJ3799">
        <v>60.560465080947601</v>
      </c>
      <c r="AK3799">
        <v>10.1131626477337</v>
      </c>
      <c r="AL3799">
        <v>80.847689830019704</v>
      </c>
      <c r="AM3799">
        <v>71.777198927494297</v>
      </c>
      <c r="AN3799">
        <v>1.0000000319992599</v>
      </c>
    </row>
    <row r="3800" spans="1:40" x14ac:dyDescent="0.25">
      <c r="A3800" t="str">
        <f>"20190303162333811"</f>
        <v>20190303162333811</v>
      </c>
      <c r="B3800" t="str">
        <f>"1551601413798417"</f>
        <v>1551601413798417</v>
      </c>
      <c r="C3800" t="s">
        <v>40</v>
      </c>
      <c r="D3800">
        <v>5.2067240000000004</v>
      </c>
      <c r="E3800">
        <v>0.58543259999999997</v>
      </c>
      <c r="F3800" t="s">
        <v>46</v>
      </c>
      <c r="G3800">
        <v>-195.96010000000001</v>
      </c>
      <c r="H3800" s="1">
        <v>4.4451570000000001E-6</v>
      </c>
      <c r="I3800">
        <v>205.74969999999999</v>
      </c>
      <c r="J3800">
        <v>-203.0737</v>
      </c>
      <c r="K3800">
        <v>1.1137509999999999</v>
      </c>
      <c r="L3800">
        <v>213.22640000000001</v>
      </c>
      <c r="M3800">
        <v>0.95714180000000004</v>
      </c>
      <c r="N3800">
        <v>-9.7972409999999999E-3</v>
      </c>
      <c r="O3800">
        <v>-0.28945349999999997</v>
      </c>
      <c r="P3800">
        <v>0.80636229999999998</v>
      </c>
      <c r="Q3800">
        <v>0.1570656</v>
      </c>
      <c r="R3800">
        <v>-0.57018449999999998</v>
      </c>
      <c r="S3800">
        <v>2.1982270000000002</v>
      </c>
      <c r="T3800">
        <v>-0.33270620000000001</v>
      </c>
      <c r="U3800">
        <v>-2.2578580000000001</v>
      </c>
      <c r="V3800">
        <v>0.31499840000000001</v>
      </c>
      <c r="W3800">
        <v>0.16117799999999999</v>
      </c>
      <c r="X3800">
        <v>0.93530619999999998</v>
      </c>
      <c r="Y3800">
        <v>0.48237730000000001</v>
      </c>
      <c r="Z3800">
        <v>-6.8467110000000001E-4</v>
      </c>
      <c r="AA3800">
        <v>0.8759633</v>
      </c>
      <c r="AB3800">
        <v>26</v>
      </c>
      <c r="AC3800">
        <v>7.1135999999999902</v>
      </c>
      <c r="AD3800">
        <v>-1.1137465548429999</v>
      </c>
      <c r="AE3800">
        <v>-7.4767000000000197</v>
      </c>
      <c r="AF3800">
        <v>5.0387656564532204</v>
      </c>
      <c r="AG3800">
        <v>-1.1137465548429999</v>
      </c>
      <c r="AH3800">
        <v>8.87000582863703</v>
      </c>
      <c r="AI3800">
        <v>96.230710010860506</v>
      </c>
      <c r="AJ3800">
        <v>60.400483281710002</v>
      </c>
      <c r="AK3800">
        <v>10.261900122741901</v>
      </c>
      <c r="AL3800">
        <v>80.724721970202907</v>
      </c>
      <c r="AM3800">
        <v>71.387174923332793</v>
      </c>
      <c r="AN3800">
        <v>1.00000001372249</v>
      </c>
    </row>
    <row r="3801" spans="1:40" x14ac:dyDescent="0.25">
      <c r="A3801" t="str">
        <f>"20190303162333832"</f>
        <v>20190303162333832</v>
      </c>
      <c r="B3801" t="str">
        <f>"1551601413828672"</f>
        <v>1551601413828672</v>
      </c>
      <c r="C3801" t="s">
        <v>40</v>
      </c>
      <c r="D3801">
        <v>5.2103719999999996</v>
      </c>
      <c r="E3801">
        <v>0.58702710000000002</v>
      </c>
      <c r="F3801" t="s">
        <v>46</v>
      </c>
      <c r="G3801">
        <v>-195.4066</v>
      </c>
      <c r="H3801" s="1">
        <v>4.819701E-6</v>
      </c>
      <c r="I3801">
        <v>205.03729999999999</v>
      </c>
      <c r="J3801">
        <v>-202.82560000000001</v>
      </c>
      <c r="K3801">
        <v>1.113545</v>
      </c>
      <c r="L3801">
        <v>213.14009999999999</v>
      </c>
      <c r="M3801">
        <v>0.95419810000000005</v>
      </c>
      <c r="N3801">
        <v>-9.8498089999999993E-3</v>
      </c>
      <c r="O3801">
        <v>-0.29901329999999998</v>
      </c>
      <c r="P3801">
        <v>0.79515709999999995</v>
      </c>
      <c r="Q3801">
        <v>0.15823950000000001</v>
      </c>
      <c r="R3801">
        <v>-0.58539399999999997</v>
      </c>
      <c r="S3801">
        <v>2.154312</v>
      </c>
      <c r="T3801">
        <v>-0.31294329999999998</v>
      </c>
      <c r="U3801">
        <v>-2.3009949999999999</v>
      </c>
      <c r="V3801">
        <v>0.32357340000000001</v>
      </c>
      <c r="W3801">
        <v>0.16207349999999901</v>
      </c>
      <c r="X3801">
        <v>0.93221909999999997</v>
      </c>
      <c r="Y3801">
        <v>0.49083589999999999</v>
      </c>
      <c r="Z3801">
        <v>-5.8551320000000003E-4</v>
      </c>
      <c r="AA3801">
        <v>0.87125180000000002</v>
      </c>
      <c r="AB3801">
        <v>26</v>
      </c>
      <c r="AC3801">
        <v>7.4190000000000103</v>
      </c>
      <c r="AD3801">
        <v>-1.1135401802989999</v>
      </c>
      <c r="AE3801">
        <v>-8.1028000000000002</v>
      </c>
      <c r="AF3801">
        <v>5.4574969696844002</v>
      </c>
      <c r="AG3801">
        <v>-1.1135401802989999</v>
      </c>
      <c r="AH3801">
        <v>9.4058711267978108</v>
      </c>
      <c r="AI3801">
        <v>95.846665585675694</v>
      </c>
      <c r="AJ3801">
        <v>59.876733445595697</v>
      </c>
      <c r="AK3801">
        <v>10.9313611486028</v>
      </c>
      <c r="AL3801">
        <v>80.672729956164503</v>
      </c>
      <c r="AM3801">
        <v>70.858103902045997</v>
      </c>
      <c r="AN3801">
        <v>1.0000000074972999</v>
      </c>
    </row>
    <row r="3802" spans="1:40" x14ac:dyDescent="0.25">
      <c r="A3802" t="str">
        <f>"20190303162333856"</f>
        <v>20190303162333856</v>
      </c>
      <c r="B3802" t="str">
        <f>"1551601413849168"</f>
        <v>1551601413849168</v>
      </c>
      <c r="C3802" t="s">
        <v>40</v>
      </c>
      <c r="D3802">
        <v>5.2582509999999996</v>
      </c>
      <c r="E3802">
        <v>0.58753789999999995</v>
      </c>
      <c r="F3802" t="s">
        <v>46</v>
      </c>
      <c r="G3802">
        <v>-194.68729999999999</v>
      </c>
      <c r="H3802" s="1">
        <v>5.2867830000000001E-6</v>
      </c>
      <c r="I3802">
        <v>204.01679999999999</v>
      </c>
      <c r="J3802">
        <v>-202.57579999999999</v>
      </c>
      <c r="K3802">
        <v>1.113327</v>
      </c>
      <c r="L3802">
        <v>213.05009999999999</v>
      </c>
      <c r="M3802">
        <v>0.95104599999999995</v>
      </c>
      <c r="N3802">
        <v>-9.9065070000000002E-3</v>
      </c>
      <c r="O3802">
        <v>-0.30889060000000002</v>
      </c>
      <c r="P3802">
        <v>0.78360759999999996</v>
      </c>
      <c r="Q3802">
        <v>0.15598499999999901</v>
      </c>
      <c r="R3802">
        <v>-0.60135509999999903</v>
      </c>
      <c r="S3802">
        <v>2.0982669999999999</v>
      </c>
      <c r="T3802">
        <v>-0.28710059999999998</v>
      </c>
      <c r="U3802">
        <v>-2.3522340000000002</v>
      </c>
      <c r="V3802">
        <v>0.33265879999999998</v>
      </c>
      <c r="W3802">
        <v>0.15953870000000001</v>
      </c>
      <c r="X3802">
        <v>0.92945440000000001</v>
      </c>
      <c r="Y3802">
        <v>0.50289859999999997</v>
      </c>
      <c r="Z3802">
        <v>-8.4370560000000003E-4</v>
      </c>
      <c r="AA3802">
        <v>0.86434500000000003</v>
      </c>
      <c r="AB3802">
        <v>26</v>
      </c>
      <c r="AC3802">
        <v>7.8884999999999899</v>
      </c>
      <c r="AD3802">
        <v>-1.1133217132169999</v>
      </c>
      <c r="AE3802">
        <v>-9.0332999999999899</v>
      </c>
      <c r="AF3802">
        <v>6.1021155888376004</v>
      </c>
      <c r="AG3802">
        <v>-1.1133217132169999</v>
      </c>
      <c r="AH3802">
        <v>10.2051867466771</v>
      </c>
      <c r="AI3802">
        <v>95.349121188647402</v>
      </c>
      <c r="AJ3802">
        <v>59.123000139349998</v>
      </c>
      <c r="AK3802">
        <v>11.942409155242</v>
      </c>
      <c r="AL3802">
        <v>80.819878051859305</v>
      </c>
      <c r="AM3802">
        <v>70.307325093354507</v>
      </c>
      <c r="AN3802">
        <v>0.99999997784724404</v>
      </c>
    </row>
    <row r="3803" spans="1:40" x14ac:dyDescent="0.25">
      <c r="A3803" t="str">
        <f>"20190303162333878"</f>
        <v>20190303162333878</v>
      </c>
      <c r="B3803" t="str">
        <f>"1551601413868689"</f>
        <v>1551601413868689</v>
      </c>
      <c r="C3803" t="s">
        <v>40</v>
      </c>
      <c r="D3803">
        <v>5.3262729999999996</v>
      </c>
      <c r="E3803">
        <v>0.58792639999999996</v>
      </c>
      <c r="F3803" t="s">
        <v>46</v>
      </c>
      <c r="G3803">
        <v>-194.6628</v>
      </c>
      <c r="H3803" s="1">
        <v>5.3496509999999999E-6</v>
      </c>
      <c r="I3803">
        <v>203.79990000000001</v>
      </c>
      <c r="J3803">
        <v>-202.33439999999999</v>
      </c>
      <c r="K3803">
        <v>1.113137</v>
      </c>
      <c r="L3803">
        <v>212.96010000000001</v>
      </c>
      <c r="M3803">
        <v>0.94782299999999997</v>
      </c>
      <c r="N3803">
        <v>-9.9593100000000007E-3</v>
      </c>
      <c r="O3803">
        <v>-0.31864160000000002</v>
      </c>
      <c r="P3803">
        <v>0.77312669999999994</v>
      </c>
      <c r="Q3803">
        <v>0.1503466</v>
      </c>
      <c r="R3803">
        <v>-0.61617500000000003</v>
      </c>
      <c r="S3803">
        <v>2.0483090000000002</v>
      </c>
      <c r="T3803">
        <v>-0.28818440000000001</v>
      </c>
      <c r="U3803">
        <v>-2.3944239999999999</v>
      </c>
      <c r="V3803">
        <v>0.34043099999999998</v>
      </c>
      <c r="W3803">
        <v>0.15366170000000001</v>
      </c>
      <c r="X3803">
        <v>0.92762860000000003</v>
      </c>
      <c r="Y3803">
        <v>0.51190259999999999</v>
      </c>
      <c r="Z3803">
        <v>-5.1151029999999995E-4</v>
      </c>
      <c r="AA3803">
        <v>0.85904329999999995</v>
      </c>
      <c r="AB3803">
        <v>26</v>
      </c>
      <c r="AC3803">
        <v>7.6715999999999802</v>
      </c>
      <c r="AD3803">
        <v>-1.1131316503489901</v>
      </c>
      <c r="AE3803">
        <v>-9.1601999999999997</v>
      </c>
      <c r="AF3803">
        <v>6.1843910317913</v>
      </c>
      <c r="AG3803">
        <v>-1.1131316503489901</v>
      </c>
      <c r="AH3803">
        <v>10.1029593083094</v>
      </c>
      <c r="AI3803">
        <v>95.368356475364195</v>
      </c>
      <c r="AJ3803">
        <v>58.527674652368901</v>
      </c>
      <c r="AK3803">
        <v>11.8977115988944</v>
      </c>
      <c r="AL3803">
        <v>81.160812523042296</v>
      </c>
      <c r="AM3803">
        <v>69.847336562980402</v>
      </c>
      <c r="AN3803">
        <v>1.00000000167292</v>
      </c>
    </row>
    <row r="3804" spans="1:40" x14ac:dyDescent="0.25">
      <c r="A3804" t="str">
        <f>"20190303162333900"</f>
        <v>20190303162333900</v>
      </c>
      <c r="B3804" t="str">
        <f>"1551601413888209"</f>
        <v>1551601413888209</v>
      </c>
      <c r="C3804" t="s">
        <v>40</v>
      </c>
      <c r="D3804">
        <v>5.3134480000000002</v>
      </c>
      <c r="E3804">
        <v>0.58822099999999999</v>
      </c>
      <c r="F3804" t="s">
        <v>46</v>
      </c>
      <c r="G3804">
        <v>-194.91319999999999</v>
      </c>
      <c r="H3804" s="1">
        <v>5.25380599999999E-6</v>
      </c>
      <c r="I3804">
        <v>203.9521</v>
      </c>
      <c r="J3804">
        <v>-202.08529999999999</v>
      </c>
      <c r="K3804">
        <v>1.112978</v>
      </c>
      <c r="L3804">
        <v>212.86420000000001</v>
      </c>
      <c r="M3804">
        <v>0.94433160000000005</v>
      </c>
      <c r="N3804">
        <v>-1.001117E-2</v>
      </c>
      <c r="O3804">
        <v>-0.3288432</v>
      </c>
      <c r="P3804">
        <v>0.76367659999999904</v>
      </c>
      <c r="Q3804">
        <v>0.14505390000000001</v>
      </c>
      <c r="R3804">
        <v>-0.62909309999999996</v>
      </c>
      <c r="S3804">
        <v>2.0019840000000002</v>
      </c>
      <c r="T3804">
        <v>-0.300288</v>
      </c>
      <c r="U3804">
        <v>-2.430069</v>
      </c>
      <c r="V3804">
        <v>0.34565639999999997</v>
      </c>
      <c r="W3804">
        <v>0.14819979999999999</v>
      </c>
      <c r="X3804">
        <v>0.92658430000000003</v>
      </c>
      <c r="Y3804">
        <v>0.51846400000000004</v>
      </c>
      <c r="Z3804">
        <v>2.4348499999999999E-4</v>
      </c>
      <c r="AA3804">
        <v>0.85509939999999995</v>
      </c>
      <c r="AB3804">
        <v>26</v>
      </c>
      <c r="AC3804">
        <v>7.1721000000000004</v>
      </c>
      <c r="AD3804">
        <v>-1.112972746194</v>
      </c>
      <c r="AE3804">
        <v>-8.9121000000000095</v>
      </c>
      <c r="AF3804">
        <v>6.0009814234485299</v>
      </c>
      <c r="AG3804">
        <v>-1.112972746194</v>
      </c>
      <c r="AH3804">
        <v>9.6130165207082499</v>
      </c>
      <c r="AI3804">
        <v>95.609151008707499</v>
      </c>
      <c r="AJ3804">
        <v>58.025288724236397</v>
      </c>
      <c r="AK3804">
        <v>11.386859663917599</v>
      </c>
      <c r="AL3804">
        <v>81.477383248015798</v>
      </c>
      <c r="AM3804">
        <v>69.542288559840102</v>
      </c>
      <c r="AN3804">
        <v>0.99999999629374403</v>
      </c>
    </row>
    <row r="3805" spans="1:40" x14ac:dyDescent="0.25">
      <c r="A3805" t="str">
        <f>"20190303162333923"</f>
        <v>20190303162333923</v>
      </c>
      <c r="B3805" t="str">
        <f>"1551601413918465"</f>
        <v>1551601413918465</v>
      </c>
      <c r="C3805" t="s">
        <v>40</v>
      </c>
      <c r="D3805">
        <v>5.3139820000000002</v>
      </c>
      <c r="E3805">
        <v>0.58899619999999997</v>
      </c>
      <c r="F3805" t="s">
        <v>46</v>
      </c>
      <c r="G3805">
        <v>-195.20820000000001</v>
      </c>
      <c r="H3805" s="1">
        <v>5.1173990000000001E-6</v>
      </c>
      <c r="I3805">
        <v>204.22030000000001</v>
      </c>
      <c r="J3805">
        <v>-201.8408</v>
      </c>
      <c r="K3805">
        <v>1.112887</v>
      </c>
      <c r="L3805">
        <v>212.767</v>
      </c>
      <c r="M3805">
        <v>0.940747</v>
      </c>
      <c r="N3805">
        <v>-1.0059800000000001E-2</v>
      </c>
      <c r="O3805">
        <v>-0.33896009999999999</v>
      </c>
      <c r="P3805">
        <v>0.75610169999999999</v>
      </c>
      <c r="Q3805">
        <v>0.14336979999999999</v>
      </c>
      <c r="R3805">
        <v>-0.63855729999999999</v>
      </c>
      <c r="S3805">
        <v>1.9596100000000001</v>
      </c>
      <c r="T3805">
        <v>-0.31713639999999998</v>
      </c>
      <c r="U3805">
        <v>-2.4630580000000002</v>
      </c>
      <c r="V3805">
        <v>0.34715159999999901</v>
      </c>
      <c r="W3805">
        <v>0.1464501</v>
      </c>
      <c r="X3805">
        <v>0.92630349999999995</v>
      </c>
      <c r="Y3805">
        <v>0.52374399999999999</v>
      </c>
      <c r="Z3805">
        <v>1.2408740000000001E-3</v>
      </c>
      <c r="AA3805">
        <v>0.85187479999999904</v>
      </c>
      <c r="AB3805">
        <v>26</v>
      </c>
      <c r="AC3805">
        <v>6.6325999999999903</v>
      </c>
      <c r="AD3805">
        <v>-1.1128818826010001</v>
      </c>
      <c r="AE3805">
        <v>-8.54669999999998</v>
      </c>
      <c r="AF3805">
        <v>5.7317345515198799</v>
      </c>
      <c r="AG3805">
        <v>-1.1128818826010001</v>
      </c>
      <c r="AH3805">
        <v>9.0413738507633301</v>
      </c>
      <c r="AI3805">
        <v>95.935039781834107</v>
      </c>
      <c r="AJ3805">
        <v>57.627546826562202</v>
      </c>
      <c r="AK3805">
        <v>10.7627936969439</v>
      </c>
      <c r="AL3805">
        <v>81.578739872405194</v>
      </c>
      <c r="AM3805">
        <v>69.455463582167894</v>
      </c>
      <c r="AN3805">
        <v>1.0000000196423999</v>
      </c>
    </row>
    <row r="3806" spans="1:40" x14ac:dyDescent="0.25">
      <c r="A3806" t="str">
        <f>"20190303162333945"</f>
        <v>20190303162333945</v>
      </c>
      <c r="B3806" t="str">
        <f>"1551601413938966"</f>
        <v>1551601413938966</v>
      </c>
      <c r="C3806" t="s">
        <v>40</v>
      </c>
      <c r="D3806">
        <v>5.2964789999999997</v>
      </c>
      <c r="E3806">
        <v>0.58959619999999902</v>
      </c>
      <c r="F3806" t="s">
        <v>46</v>
      </c>
      <c r="G3806">
        <v>-195.14080000000001</v>
      </c>
      <c r="H3806" s="1">
        <v>5.16886999999999E-6</v>
      </c>
      <c r="I3806">
        <v>204.0823</v>
      </c>
      <c r="J3806">
        <v>-201.59880000000001</v>
      </c>
      <c r="K3806">
        <v>1.1128450000000001</v>
      </c>
      <c r="L3806">
        <v>212.66739999999999</v>
      </c>
      <c r="M3806">
        <v>0.93705499999999997</v>
      </c>
      <c r="N3806">
        <v>-1.0102969999999999E-2</v>
      </c>
      <c r="O3806">
        <v>-0.34903590000000001</v>
      </c>
      <c r="P3806">
        <v>0.74839009999999995</v>
      </c>
      <c r="Q3806">
        <v>0.14533460000000001</v>
      </c>
      <c r="R3806">
        <v>-0.6471403</v>
      </c>
      <c r="S3806">
        <v>1.9230959999999999</v>
      </c>
      <c r="T3806">
        <v>-0.31942930000000003</v>
      </c>
      <c r="U3806">
        <v>-2.4927519999999999</v>
      </c>
      <c r="V3806">
        <v>0.34796670000000002</v>
      </c>
      <c r="W3806">
        <v>0.14838660000000001</v>
      </c>
      <c r="X3806">
        <v>0.92568919999999999</v>
      </c>
      <c r="Y3806">
        <v>0.52733319999999995</v>
      </c>
      <c r="Z3806">
        <v>2.0622050000000001E-3</v>
      </c>
      <c r="AA3806">
        <v>0.84965609999999903</v>
      </c>
      <c r="AB3806">
        <v>26</v>
      </c>
      <c r="AC3806">
        <v>6.4579999999999904</v>
      </c>
      <c r="AD3806">
        <v>-1.1128398311299901</v>
      </c>
      <c r="AE3806">
        <v>-8.5850999999999793</v>
      </c>
      <c r="AF3806">
        <v>5.72945168940279</v>
      </c>
      <c r="AG3806">
        <v>-1.1128398311299901</v>
      </c>
      <c r="AH3806">
        <v>8.9524057195449291</v>
      </c>
      <c r="AI3806">
        <v>95.977094077247898</v>
      </c>
      <c r="AJ3806">
        <v>57.3811563480415</v>
      </c>
      <c r="AK3806">
        <v>10.6869358245612</v>
      </c>
      <c r="AL3806">
        <v>81.466560348768994</v>
      </c>
      <c r="AM3806">
        <v>69.398752403002504</v>
      </c>
      <c r="AN3806">
        <v>0.99999995118254303</v>
      </c>
    </row>
    <row r="3807" spans="1:40" x14ac:dyDescent="0.25">
      <c r="A3807" t="str">
        <f>"20190303162333968"</f>
        <v>20190303162333968</v>
      </c>
      <c r="B3807" t="str">
        <f>"1551601413958480"</f>
        <v>1551601413958480</v>
      </c>
      <c r="C3807" t="s">
        <v>40</v>
      </c>
      <c r="D3807">
        <v>5.3250630000000001</v>
      </c>
      <c r="E3807">
        <v>0.59002699999999997</v>
      </c>
      <c r="F3807" t="s">
        <v>46</v>
      </c>
      <c r="G3807">
        <v>-194.7587</v>
      </c>
      <c r="H3807" s="1">
        <v>5.3951619999999998E-6</v>
      </c>
      <c r="I3807">
        <v>203.54769999999999</v>
      </c>
      <c r="J3807">
        <v>-201.35079999999999</v>
      </c>
      <c r="K3807">
        <v>1.112825</v>
      </c>
      <c r="L3807">
        <v>212.56219999999999</v>
      </c>
      <c r="M3807">
        <v>0.93313380000000001</v>
      </c>
      <c r="N3807">
        <v>-1.0141870000000001E-2</v>
      </c>
      <c r="O3807">
        <v>-0.35938629999999999</v>
      </c>
      <c r="P3807">
        <v>0.740286</v>
      </c>
      <c r="Q3807">
        <v>0.149726</v>
      </c>
      <c r="R3807">
        <v>-0.65540739999999997</v>
      </c>
      <c r="S3807">
        <v>1.8897090000000001</v>
      </c>
      <c r="T3807">
        <v>-0.30744250000000001</v>
      </c>
      <c r="U3807">
        <v>-2.519485</v>
      </c>
      <c r="V3807">
        <v>0.34840270000000001</v>
      </c>
      <c r="W3807">
        <v>0.15277060000000001</v>
      </c>
      <c r="X3807">
        <v>0.92481170000000001</v>
      </c>
      <c r="Y3807">
        <v>0.52957460000000001</v>
      </c>
      <c r="Z3807">
        <v>2.6061740000000002E-3</v>
      </c>
      <c r="AA3807">
        <v>0.8482594</v>
      </c>
      <c r="AB3807">
        <v>26</v>
      </c>
      <c r="AC3807">
        <v>6.5920999999999799</v>
      </c>
      <c r="AD3807">
        <v>-1.1128196048379999</v>
      </c>
      <c r="AE3807">
        <v>-9.0144999999999893</v>
      </c>
      <c r="AF3807">
        <v>5.9835219170524097</v>
      </c>
      <c r="AG3807">
        <v>-1.1128196048379999</v>
      </c>
      <c r="AH3807">
        <v>9.29914671395046</v>
      </c>
      <c r="AI3807">
        <v>95.746665065655705</v>
      </c>
      <c r="AJ3807">
        <v>57.240806099878199</v>
      </c>
      <c r="AK3807">
        <v>11.113731669081</v>
      </c>
      <c r="AL3807">
        <v>81.212478721556806</v>
      </c>
      <c r="AM3807">
        <v>69.357190473626602</v>
      </c>
      <c r="AN3807">
        <v>0.99999998902426901</v>
      </c>
    </row>
    <row r="3808" spans="1:40" x14ac:dyDescent="0.25">
      <c r="A3808" t="str">
        <f>"20190303162333990"</f>
        <v>20190303162333990</v>
      </c>
      <c r="B3808" t="str">
        <f>"1551601413978977"</f>
        <v>1551601413978977</v>
      </c>
      <c r="C3808" t="s">
        <v>40</v>
      </c>
      <c r="D3808">
        <v>5.3230570000000004</v>
      </c>
      <c r="E3808">
        <v>0.59030119999999997</v>
      </c>
      <c r="F3808" t="s">
        <v>46</v>
      </c>
      <c r="G3808">
        <v>-194.21209999999999</v>
      </c>
      <c r="H3808" s="1">
        <v>5.7180070000000001E-6</v>
      </c>
      <c r="I3808">
        <v>202.78620000000001</v>
      </c>
      <c r="J3808">
        <v>-201.11340000000001</v>
      </c>
      <c r="K3808">
        <v>1.1128209999999901</v>
      </c>
      <c r="L3808">
        <v>212.45849999999999</v>
      </c>
      <c r="M3808">
        <v>0.92925990000000003</v>
      </c>
      <c r="N3808">
        <v>-1.0175200000000001E-2</v>
      </c>
      <c r="O3808">
        <v>-0.36928660000000002</v>
      </c>
      <c r="P3808">
        <v>0.73248599999999997</v>
      </c>
      <c r="Q3808">
        <v>0.15231159999999999</v>
      </c>
      <c r="R3808">
        <v>-0.66352519999999904</v>
      </c>
      <c r="S3808">
        <v>1.8581700000000001</v>
      </c>
      <c r="T3808">
        <v>-0.28966530000000001</v>
      </c>
      <c r="U3808">
        <v>-2.5446780000000002</v>
      </c>
      <c r="V3808">
        <v>0.34901290000000001</v>
      </c>
      <c r="W3808">
        <v>0.15535479999999999</v>
      </c>
      <c r="X3808">
        <v>0.9241509</v>
      </c>
      <c r="Y3808">
        <v>0.53155769999999902</v>
      </c>
      <c r="Z3808">
        <v>2.8660109999999999E-3</v>
      </c>
      <c r="AA3808">
        <v>0.84701729999999997</v>
      </c>
      <c r="AB3808">
        <v>26</v>
      </c>
      <c r="AC3808">
        <v>6.9013000000000098</v>
      </c>
      <c r="AD3808">
        <v>-1.11281528199299</v>
      </c>
      <c r="AE3808">
        <v>-9.6722999999999804</v>
      </c>
      <c r="AF3808">
        <v>6.3838606207992896</v>
      </c>
      <c r="AG3808">
        <v>-1.11281528199299</v>
      </c>
      <c r="AH3808">
        <v>9.8986436583915705</v>
      </c>
      <c r="AI3808">
        <v>95.397127137559494</v>
      </c>
      <c r="AJ3808">
        <v>57.181109217682</v>
      </c>
      <c r="AK3808">
        <v>11.831110706668399</v>
      </c>
      <c r="AL3808">
        <v>81.0626259565135</v>
      </c>
      <c r="AM3808">
        <v>69.310559534071501</v>
      </c>
      <c r="AN3808">
        <v>1.0000000021101201</v>
      </c>
    </row>
    <row r="3809" spans="1:40" x14ac:dyDescent="0.25">
      <c r="A3809" t="str">
        <f>"20190303162334016"</f>
        <v>20190303162334016</v>
      </c>
      <c r="B3809" t="str">
        <f>"1551601414008257"</f>
        <v>1551601414008257</v>
      </c>
      <c r="C3809" t="s">
        <v>40</v>
      </c>
      <c r="D3809">
        <v>5.3104909999999999</v>
      </c>
      <c r="E3809">
        <v>0.59050029999999998</v>
      </c>
      <c r="F3809" t="s">
        <v>46</v>
      </c>
      <c r="G3809">
        <v>-193.78120000000001</v>
      </c>
      <c r="H3809" s="1">
        <v>6.0289339999999997E-6</v>
      </c>
      <c r="I3809">
        <v>202.15649999999999</v>
      </c>
      <c r="J3809">
        <v>-200.83349999999999</v>
      </c>
      <c r="K3809">
        <v>1.112822</v>
      </c>
      <c r="L3809">
        <v>212.33240000000001</v>
      </c>
      <c r="M3809">
        <v>0.92454320000000001</v>
      </c>
      <c r="N3809">
        <v>-1.021057E-2</v>
      </c>
      <c r="O3809">
        <v>-0.38094050000000002</v>
      </c>
      <c r="P3809">
        <v>0.72301979999999999</v>
      </c>
      <c r="Q3809">
        <v>0.15619949999999999</v>
      </c>
      <c r="R3809">
        <v>-0.67293729999999996</v>
      </c>
      <c r="S3809">
        <v>1.8274539999999999</v>
      </c>
      <c r="T3809">
        <v>-0.2773525</v>
      </c>
      <c r="U3809">
        <v>-2.5676269999999999</v>
      </c>
      <c r="V3809">
        <v>0.34973219999999999</v>
      </c>
      <c r="W3809">
        <v>0.15924160000000001</v>
      </c>
      <c r="X3809">
        <v>0.92321690000000001</v>
      </c>
      <c r="Y3809">
        <v>0.53132409999999997</v>
      </c>
      <c r="Z3809">
        <v>3.497329E-3</v>
      </c>
      <c r="AA3809">
        <v>0.84716150000000001</v>
      </c>
      <c r="AB3809">
        <v>26</v>
      </c>
      <c r="AC3809">
        <v>7.0522999999999696</v>
      </c>
      <c r="AD3809">
        <v>-1.1128159710659999</v>
      </c>
      <c r="AE3809">
        <v>-10.1759</v>
      </c>
      <c r="AF3809">
        <v>6.6680325842508399</v>
      </c>
      <c r="AG3809">
        <v>-1.1128159710659999</v>
      </c>
      <c r="AH3809">
        <v>10.313786517237901</v>
      </c>
      <c r="AI3809">
        <v>95.177355095420694</v>
      </c>
      <c r="AJ3809">
        <v>57.116667323409203</v>
      </c>
      <c r="AK3809">
        <v>12.3318778072623</v>
      </c>
      <c r="AL3809">
        <v>80.837121011698102</v>
      </c>
      <c r="AM3809">
        <v>69.252355092684596</v>
      </c>
      <c r="AN3809">
        <v>0.99999997166650401</v>
      </c>
    </row>
    <row r="3810" spans="1:40" x14ac:dyDescent="0.25">
      <c r="A3810" t="str">
        <f>"20190303162334034"</f>
        <v>20190303162334034</v>
      </c>
      <c r="B3810" t="str">
        <f>"1551601414018993"</f>
        <v>1551601414018993</v>
      </c>
      <c r="C3810" t="s">
        <v>40</v>
      </c>
      <c r="D3810">
        <v>5.3564920000000003</v>
      </c>
      <c r="E3810">
        <v>0.59047839999999996</v>
      </c>
      <c r="F3810" t="s">
        <v>46</v>
      </c>
      <c r="G3810">
        <v>-193.2182</v>
      </c>
      <c r="H3810" s="1">
        <v>6.4769970000000001E-6</v>
      </c>
      <c r="I3810">
        <v>201.31270000000001</v>
      </c>
      <c r="J3810">
        <v>-200.63390000000001</v>
      </c>
      <c r="K3810">
        <v>1.1128209999999901</v>
      </c>
      <c r="L3810">
        <v>212.23990000000001</v>
      </c>
      <c r="M3810">
        <v>0.9210817</v>
      </c>
      <c r="N3810">
        <v>-1.023338E-2</v>
      </c>
      <c r="O3810">
        <v>-0.3892352</v>
      </c>
      <c r="P3810">
        <v>0.715661199999999</v>
      </c>
      <c r="Q3810">
        <v>0.15895190000000001</v>
      </c>
      <c r="R3810">
        <v>-0.68012050000000002</v>
      </c>
      <c r="S3810">
        <v>1.79215999999999</v>
      </c>
      <c r="T3810">
        <v>-0.26188420000000001</v>
      </c>
      <c r="U3810">
        <v>-2.5933229999999998</v>
      </c>
      <c r="V3810">
        <v>0.3509408</v>
      </c>
      <c r="W3810">
        <v>0.16197520000000001</v>
      </c>
      <c r="X3810">
        <v>0.9222823</v>
      </c>
      <c r="Y3810">
        <v>0.53552809999999995</v>
      </c>
      <c r="Z3810">
        <v>3.3834630000000002E-3</v>
      </c>
      <c r="AA3810">
        <v>0.8445106</v>
      </c>
      <c r="AB3810">
        <v>26</v>
      </c>
      <c r="AC3810">
        <v>7.41570000000001</v>
      </c>
      <c r="AD3810">
        <v>-1.11281452300299</v>
      </c>
      <c r="AE3810">
        <v>-10.927199999999999</v>
      </c>
      <c r="AF3810">
        <v>7.1281517428000898</v>
      </c>
      <c r="AG3810">
        <v>-1.11281452300299</v>
      </c>
      <c r="AH3810">
        <v>11.006142793660301</v>
      </c>
      <c r="AI3810">
        <v>94.850766446058003</v>
      </c>
      <c r="AJ3810">
        <v>57.070802262502298</v>
      </c>
      <c r="AK3810">
        <v>13.159942348864201</v>
      </c>
      <c r="AL3810">
        <v>80.678437718268299</v>
      </c>
      <c r="AM3810">
        <v>69.167507948575306</v>
      </c>
      <c r="AN3810">
        <v>1.0000000257064801</v>
      </c>
    </row>
    <row r="3811" spans="1:40" x14ac:dyDescent="0.25">
      <c r="A3811" t="str">
        <f>"20190303162334056"</f>
        <v>20190303162334056</v>
      </c>
      <c r="B3811" t="str">
        <f>"1551601414048273"</f>
        <v>1551601414048273</v>
      </c>
      <c r="C3811" t="s">
        <v>40</v>
      </c>
      <c r="D3811">
        <v>5.3976100000000002</v>
      </c>
      <c r="E3811">
        <v>0.59039399999999997</v>
      </c>
      <c r="F3811" t="s">
        <v>46</v>
      </c>
      <c r="G3811">
        <v>-192.82480000000001</v>
      </c>
      <c r="H3811" s="1">
        <v>6.8064399999999898E-6</v>
      </c>
      <c r="I3811">
        <v>200.67679999999999</v>
      </c>
      <c r="J3811">
        <v>-200.3954</v>
      </c>
      <c r="K3811">
        <v>1.112811</v>
      </c>
      <c r="L3811">
        <v>212.1266</v>
      </c>
      <c r="M3811">
        <v>0.91684109999999996</v>
      </c>
      <c r="N3811">
        <v>-1.025827E-2</v>
      </c>
      <c r="O3811">
        <v>-0.39912059999999999</v>
      </c>
      <c r="P3811">
        <v>0.70773920000000001</v>
      </c>
      <c r="Q3811">
        <v>0.1589206</v>
      </c>
      <c r="R3811">
        <v>-0.68836769999999903</v>
      </c>
      <c r="S3811">
        <v>1.7646029999999999</v>
      </c>
      <c r="T3811">
        <v>-0.25146279999999999</v>
      </c>
      <c r="U3811">
        <v>-2.6129150000000001</v>
      </c>
      <c r="V3811">
        <v>0.35171029999999998</v>
      </c>
      <c r="W3811">
        <v>0.16193840000000001</v>
      </c>
      <c r="X3811">
        <v>0.92199560000000003</v>
      </c>
      <c r="Y3811">
        <v>0.53557909999999997</v>
      </c>
      <c r="Z3811">
        <v>3.758164E-3</v>
      </c>
      <c r="AA3811">
        <v>0.84447669999999997</v>
      </c>
      <c r="AB3811">
        <v>26</v>
      </c>
      <c r="AC3811">
        <v>7.5705999999999802</v>
      </c>
      <c r="AD3811">
        <v>-1.1128041935599999</v>
      </c>
      <c r="AE3811">
        <v>-11.4498</v>
      </c>
      <c r="AF3811">
        <v>7.42763987244654</v>
      </c>
      <c r="AG3811">
        <v>-1.1128041935599999</v>
      </c>
      <c r="AH3811">
        <v>11.436328453907199</v>
      </c>
      <c r="AI3811">
        <v>94.665208163376207</v>
      </c>
      <c r="AJ3811">
        <v>56.997176292758603</v>
      </c>
      <c r="AK3811">
        <v>13.682023817900999</v>
      </c>
      <c r="AL3811">
        <v>80.680574484846403</v>
      </c>
      <c r="AM3811">
        <v>69.119829954042103</v>
      </c>
      <c r="AN3811">
        <v>1.0000000334700001</v>
      </c>
    </row>
    <row r="3812" spans="1:40" x14ac:dyDescent="0.25">
      <c r="A3812" t="str">
        <f>"20190303162334078"</f>
        <v>20190303162334078</v>
      </c>
      <c r="B3812" t="str">
        <f>"1551601414068769"</f>
        <v>1551601414068769</v>
      </c>
      <c r="C3812" t="s">
        <v>40</v>
      </c>
      <c r="D3812">
        <v>5.3888740000000004</v>
      </c>
      <c r="E3812">
        <v>0.59032369999999901</v>
      </c>
      <c r="F3812" t="s">
        <v>46</v>
      </c>
      <c r="G3812">
        <v>-192.52029999999999</v>
      </c>
      <c r="H3812" s="1">
        <v>7.0810560000000003E-6</v>
      </c>
      <c r="I3812">
        <v>200.1292</v>
      </c>
      <c r="J3812">
        <v>-200.1566</v>
      </c>
      <c r="K3812">
        <v>1.112789</v>
      </c>
      <c r="L3812">
        <v>212.01</v>
      </c>
      <c r="M3812">
        <v>0.91247650000000002</v>
      </c>
      <c r="N3812">
        <v>-1.0280940000000001E-2</v>
      </c>
      <c r="O3812">
        <v>-0.40899990000000003</v>
      </c>
      <c r="P3812">
        <v>0.69907900000000001</v>
      </c>
      <c r="Q3812">
        <v>0.1577404</v>
      </c>
      <c r="R3812">
        <v>-0.69742859999999995</v>
      </c>
      <c r="S3812">
        <v>1.7301029999999999</v>
      </c>
      <c r="T3812">
        <v>-0.2444762</v>
      </c>
      <c r="U3812">
        <v>-2.6357569999999999</v>
      </c>
      <c r="V3812">
        <v>0.35350880000000001</v>
      </c>
      <c r="W3812">
        <v>0.1607267</v>
      </c>
      <c r="X3812">
        <v>0.92151959999999999</v>
      </c>
      <c r="Y3812">
        <v>0.53758879999999998</v>
      </c>
      <c r="Z3812">
        <v>4.1214299999999997E-3</v>
      </c>
      <c r="AA3812">
        <v>0.84319699999999997</v>
      </c>
      <c r="AB3812">
        <v>26</v>
      </c>
      <c r="AC3812">
        <v>7.6363000000000003</v>
      </c>
      <c r="AD3812">
        <v>-1.112781918944</v>
      </c>
      <c r="AE3812">
        <v>-11.880799999999899</v>
      </c>
      <c r="AF3812">
        <v>7.6704945870324996</v>
      </c>
      <c r="AG3812">
        <v>-1.112781918944</v>
      </c>
      <c r="AH3812">
        <v>11.754841735061399</v>
      </c>
      <c r="AI3812">
        <v>94.5329200538348</v>
      </c>
      <c r="AJ3812">
        <v>56.873978090485302</v>
      </c>
      <c r="AK3812">
        <v>14.0801660155399</v>
      </c>
      <c r="AL3812">
        <v>80.750920619973002</v>
      </c>
      <c r="AM3812">
        <v>69.012434024835002</v>
      </c>
      <c r="AN3812">
        <v>0.99999995847724399</v>
      </c>
    </row>
    <row r="3813" spans="1:40" x14ac:dyDescent="0.25">
      <c r="A3813" t="str">
        <f>"20190303162334100"</f>
        <v>20190303162334100</v>
      </c>
      <c r="B3813" t="str">
        <f>"1551601414088289"</f>
        <v>1551601414088289</v>
      </c>
      <c r="C3813" t="s">
        <v>40</v>
      </c>
      <c r="D3813">
        <v>5.3933010000000001</v>
      </c>
      <c r="E3813">
        <v>0.59010719999999905</v>
      </c>
      <c r="F3813" t="s">
        <v>46</v>
      </c>
      <c r="G3813">
        <v>-192.52889999999999</v>
      </c>
      <c r="H3813" s="1">
        <v>7.0993239999999998E-6</v>
      </c>
      <c r="I3813">
        <v>200.0711</v>
      </c>
      <c r="J3813">
        <v>-199.91720000000001</v>
      </c>
      <c r="K3813">
        <v>1.1127720000000001</v>
      </c>
      <c r="L3813">
        <v>211.89</v>
      </c>
      <c r="M3813">
        <v>0.90797589999999995</v>
      </c>
      <c r="N3813">
        <v>-1.030207E-2</v>
      </c>
      <c r="O3813">
        <v>-0.41889589999999999</v>
      </c>
      <c r="P3813">
        <v>0.68893909999999903</v>
      </c>
      <c r="Q3813">
        <v>0.15658069999999999</v>
      </c>
      <c r="R3813">
        <v>-0.70770469999999996</v>
      </c>
      <c r="S3813">
        <v>1.6971130000000001</v>
      </c>
      <c r="T3813">
        <v>-0.2475878</v>
      </c>
      <c r="U3813">
        <v>-2.6563569999999999</v>
      </c>
      <c r="V3813">
        <v>0.357016099999999</v>
      </c>
      <c r="W3813">
        <v>0.15949250000000001</v>
      </c>
      <c r="X3813">
        <v>0.92038120000000001</v>
      </c>
      <c r="Y3813">
        <v>0.53882319999999995</v>
      </c>
      <c r="Z3813">
        <v>4.976533E-3</v>
      </c>
      <c r="AA3813">
        <v>0.84240409999999899</v>
      </c>
      <c r="AB3813">
        <v>26</v>
      </c>
      <c r="AC3813">
        <v>7.3883000000000099</v>
      </c>
      <c r="AD3813">
        <v>-1.1127649006760001</v>
      </c>
      <c r="AE3813">
        <v>-11.8188999999999</v>
      </c>
      <c r="AF3813">
        <v>7.5883861942096704</v>
      </c>
      <c r="AG3813">
        <v>-1.1127649006760001</v>
      </c>
      <c r="AH3813">
        <v>11.586058636306101</v>
      </c>
      <c r="AI3813">
        <v>94.593532705894802</v>
      </c>
      <c r="AJ3813">
        <v>56.776869958846603</v>
      </c>
      <c r="AK3813">
        <v>13.894553086752101</v>
      </c>
      <c r="AL3813">
        <v>80.822559223601004</v>
      </c>
      <c r="AM3813">
        <v>68.798714344353201</v>
      </c>
      <c r="AN3813">
        <v>0.99999995326444802</v>
      </c>
    </row>
    <row r="3814" spans="1:40" x14ac:dyDescent="0.25">
      <c r="A3814" t="str">
        <f>"20190303162334124"</f>
        <v>20190303162334124</v>
      </c>
      <c r="B3814" t="str">
        <f>"1551601414108785"</f>
        <v>1551601414108785</v>
      </c>
      <c r="C3814" t="s">
        <v>40</v>
      </c>
      <c r="D3814">
        <v>5.398415</v>
      </c>
      <c r="E3814">
        <v>0.58983479999999999</v>
      </c>
      <c r="F3814" t="s">
        <v>46</v>
      </c>
      <c r="G3814">
        <v>-192.6807</v>
      </c>
      <c r="H3814" s="1">
        <v>6.99700399999999E-6</v>
      </c>
      <c r="I3814">
        <v>200.24629999999999</v>
      </c>
      <c r="J3814">
        <v>-199.6833</v>
      </c>
      <c r="K3814">
        <v>1.112724</v>
      </c>
      <c r="L3814">
        <v>211.76949999999999</v>
      </c>
      <c r="M3814">
        <v>0.90344069999999999</v>
      </c>
      <c r="N3814">
        <v>-1.032281E-2</v>
      </c>
      <c r="O3814">
        <v>-0.42858930000000001</v>
      </c>
      <c r="P3814">
        <v>0.67792919999999901</v>
      </c>
      <c r="Q3814">
        <v>0.15510779999999999</v>
      </c>
      <c r="R3814">
        <v>-0.71857769999999899</v>
      </c>
      <c r="S3814">
        <v>1.66337599999999</v>
      </c>
      <c r="T3814">
        <v>-0.25577879999999997</v>
      </c>
      <c r="U3814">
        <v>-2.6764220000000001</v>
      </c>
      <c r="V3814">
        <v>0.36165550000000002</v>
      </c>
      <c r="W3814">
        <v>0.15790689999999999</v>
      </c>
      <c r="X3814">
        <v>0.91884200000000005</v>
      </c>
      <c r="Y3814">
        <v>0.5402709</v>
      </c>
      <c r="Z3814">
        <v>6.0927159999999998E-3</v>
      </c>
      <c r="AA3814">
        <v>0.84146909999999897</v>
      </c>
      <c r="AB3814">
        <v>26</v>
      </c>
      <c r="AC3814">
        <v>7.0026000000000002</v>
      </c>
      <c r="AD3814">
        <v>-1.1127170029960001</v>
      </c>
      <c r="AE3814">
        <v>-11.523199999999999</v>
      </c>
      <c r="AF3814">
        <v>7.35956532563109</v>
      </c>
      <c r="AG3814">
        <v>-1.1127170029960001</v>
      </c>
      <c r="AH3814">
        <v>11.189554558710499</v>
      </c>
      <c r="AI3814">
        <v>94.749380483270699</v>
      </c>
      <c r="AJ3814">
        <v>56.666382447367099</v>
      </c>
      <c r="AK3814">
        <v>13.4390279459992</v>
      </c>
      <c r="AL3814">
        <v>80.914573552285304</v>
      </c>
      <c r="AM3814">
        <v>68.515439504921602</v>
      </c>
      <c r="AN3814">
        <v>0.999999955355929</v>
      </c>
    </row>
    <row r="3815" spans="1:40" x14ac:dyDescent="0.25">
      <c r="A3815" t="str">
        <f>"20190303162334145"</f>
        <v>20190303162334145</v>
      </c>
      <c r="B3815" t="str">
        <f>"1551601414139041"</f>
        <v>1551601414139041</v>
      </c>
      <c r="C3815" t="s">
        <v>40</v>
      </c>
      <c r="D3815">
        <v>5.4658620000000004</v>
      </c>
      <c r="E3815">
        <v>0.58932739999999995</v>
      </c>
      <c r="F3815" t="s">
        <v>46</v>
      </c>
      <c r="G3815">
        <v>-192.7732</v>
      </c>
      <c r="H3815" s="1">
        <v>6.9631939999999999E-6</v>
      </c>
      <c r="I3815">
        <v>200.2723</v>
      </c>
      <c r="J3815">
        <v>-199.44319999999999</v>
      </c>
      <c r="K3815">
        <v>1.112636</v>
      </c>
      <c r="L3815">
        <v>211.64230000000001</v>
      </c>
      <c r="M3815">
        <v>0.89861119999999906</v>
      </c>
      <c r="N3815">
        <v>-1.034796E-2</v>
      </c>
      <c r="O3815">
        <v>-0.43862380000000001</v>
      </c>
      <c r="P3815">
        <v>0.66566749999999997</v>
      </c>
      <c r="Q3815">
        <v>0.1475581</v>
      </c>
      <c r="R3815">
        <v>-0.73151489999999997</v>
      </c>
      <c r="S3815">
        <v>1.6229100000000001</v>
      </c>
      <c r="T3815">
        <v>-0.26133279999999998</v>
      </c>
      <c r="U3815">
        <v>-2.7002410000000001</v>
      </c>
      <c r="V3815">
        <v>0.36827019999999999</v>
      </c>
      <c r="W3815">
        <v>0.1501816</v>
      </c>
      <c r="X3815">
        <v>0.91750889999999996</v>
      </c>
      <c r="Y3815">
        <v>0.54341839999999997</v>
      </c>
      <c r="Z3815">
        <v>7.0543309999999996E-3</v>
      </c>
      <c r="AA3815">
        <v>0.83943239999999997</v>
      </c>
      <c r="AB3815">
        <v>26</v>
      </c>
      <c r="AC3815">
        <v>6.6699999999999804</v>
      </c>
      <c r="AD3815">
        <v>-1.1126290368059999</v>
      </c>
      <c r="AE3815">
        <v>-11.37</v>
      </c>
      <c r="AF3815">
        <v>7.2403969166768203</v>
      </c>
      <c r="AG3815">
        <v>-1.1126290368059999</v>
      </c>
      <c r="AH3815">
        <v>10.903796344777399</v>
      </c>
      <c r="AI3815">
        <v>94.858823058565704</v>
      </c>
      <c r="AJ3815">
        <v>56.414832494411897</v>
      </c>
      <c r="AK3815">
        <v>13.1359836180222</v>
      </c>
      <c r="AL3815">
        <v>81.362549463987705</v>
      </c>
      <c r="AM3815">
        <v>68.130435052855105</v>
      </c>
      <c r="AN3815">
        <v>1.0000000173829</v>
      </c>
    </row>
    <row r="3816" spans="1:40" x14ac:dyDescent="0.25">
      <c r="A3816" t="str">
        <f>"20190303162334169"</f>
        <v>20190303162334169</v>
      </c>
      <c r="B3816" t="str">
        <f>"1551601414158561"</f>
        <v>1551601414158561</v>
      </c>
      <c r="C3816" t="s">
        <v>40</v>
      </c>
      <c r="D3816">
        <v>5.4279149999999996</v>
      </c>
      <c r="E3816">
        <v>0.58899579999999996</v>
      </c>
      <c r="F3816" t="s">
        <v>46</v>
      </c>
      <c r="G3816">
        <v>-193.35149999999999</v>
      </c>
      <c r="H3816" s="1">
        <v>6.505214E-6</v>
      </c>
      <c r="I3816">
        <v>201.1326</v>
      </c>
      <c r="J3816">
        <v>-199.19970000000001</v>
      </c>
      <c r="K3816">
        <v>1.1124940000000001</v>
      </c>
      <c r="L3816">
        <v>211.50960000000001</v>
      </c>
      <c r="M3816">
        <v>0.89352149999999997</v>
      </c>
      <c r="N3816">
        <v>-1.037772E-2</v>
      </c>
      <c r="O3816">
        <v>-0.44890069999999999</v>
      </c>
      <c r="P3816">
        <v>0.65087010000000001</v>
      </c>
      <c r="Q3816">
        <v>0.13891210000000001</v>
      </c>
      <c r="R3816">
        <v>-0.74637259999999905</v>
      </c>
      <c r="S3816">
        <v>1.5783389999999999</v>
      </c>
      <c r="T3816">
        <v>-0.28827639999999999</v>
      </c>
      <c r="U3816">
        <v>-2.723007</v>
      </c>
      <c r="V3816">
        <v>0.3774942</v>
      </c>
      <c r="W3816">
        <v>0.1412764</v>
      </c>
      <c r="X3816">
        <v>0.91517159999999997</v>
      </c>
      <c r="Y3816">
        <v>0.5469813</v>
      </c>
      <c r="Z3816">
        <v>9.2970169999999994E-3</v>
      </c>
      <c r="AA3816">
        <v>0.83709319999999898</v>
      </c>
      <c r="AB3816">
        <v>26</v>
      </c>
      <c r="AC3816">
        <v>5.8482000000000101</v>
      </c>
      <c r="AD3816">
        <v>-1.112487494786</v>
      </c>
      <c r="AE3816">
        <v>-10.377000000000001</v>
      </c>
      <c r="AF3816">
        <v>6.5896879678184597</v>
      </c>
      <c r="AG3816">
        <v>-1.112487494786</v>
      </c>
      <c r="AH3816">
        <v>9.7987928944148006</v>
      </c>
      <c r="AI3816">
        <v>95.381998816606199</v>
      </c>
      <c r="AJ3816">
        <v>56.079169233065002</v>
      </c>
      <c r="AK3816">
        <v>11.8607739261357</v>
      </c>
      <c r="AL3816">
        <v>81.878287053751706</v>
      </c>
      <c r="AM3816">
        <v>67.584606111215194</v>
      </c>
      <c r="AN3816">
        <v>0.99999997483857905</v>
      </c>
    </row>
    <row r="3817" spans="1:40" x14ac:dyDescent="0.25">
      <c r="A3817" t="str">
        <f>"20190303162334191"</f>
        <v>20190303162334191</v>
      </c>
      <c r="B3817" t="str">
        <f>"1551601414179057"</f>
        <v>1551601414179057</v>
      </c>
      <c r="C3817" t="s">
        <v>40</v>
      </c>
      <c r="D3817">
        <v>5.3651970000000002</v>
      </c>
      <c r="E3817">
        <v>0.58867029999999998</v>
      </c>
      <c r="F3817" t="s">
        <v>46</v>
      </c>
      <c r="G3817">
        <v>-193.9265</v>
      </c>
      <c r="H3817" s="1">
        <v>6.038819E-6</v>
      </c>
      <c r="I3817">
        <v>202.01910000000001</v>
      </c>
      <c r="J3817">
        <v>-198.97020000000001</v>
      </c>
      <c r="K3817">
        <v>1.1123350000000001</v>
      </c>
      <c r="L3817">
        <v>211.38120000000001</v>
      </c>
      <c r="M3817">
        <v>0.88850949999999995</v>
      </c>
      <c r="N3817">
        <v>-1.041097E-2</v>
      </c>
      <c r="O3817">
        <v>-0.45873999999999998</v>
      </c>
      <c r="P3817">
        <v>0.63788159999999905</v>
      </c>
      <c r="Q3817">
        <v>0.13677600000000001</v>
      </c>
      <c r="R3817">
        <v>-0.75789130000000005</v>
      </c>
      <c r="S3817">
        <v>1.52684</v>
      </c>
      <c r="T3817">
        <v>-0.32211889999999999</v>
      </c>
      <c r="U3817">
        <v>-2.7479710000000002</v>
      </c>
      <c r="V3817">
        <v>0.38354510000000003</v>
      </c>
      <c r="W3817">
        <v>0.13891199999999901</v>
      </c>
      <c r="X3817">
        <v>0.91301509999999997</v>
      </c>
      <c r="Y3817">
        <v>0.55274749999999995</v>
      </c>
      <c r="Z3817">
        <v>1.1942899999999999E-2</v>
      </c>
      <c r="AA3817">
        <v>0.83326319999999998</v>
      </c>
      <c r="AB3817">
        <v>26</v>
      </c>
      <c r="AC3817">
        <v>5.0437000000000003</v>
      </c>
      <c r="AD3817">
        <v>-1.1123289611810001</v>
      </c>
      <c r="AE3817">
        <v>-9.3620999999999892</v>
      </c>
      <c r="AF3817">
        <v>5.9399060122541902</v>
      </c>
      <c r="AG3817">
        <v>-1.1123289611810001</v>
      </c>
      <c r="AH3817">
        <v>8.6816367876874203</v>
      </c>
      <c r="AI3817">
        <v>96.036188378958201</v>
      </c>
      <c r="AJ3817">
        <v>55.620380199823103</v>
      </c>
      <c r="AK3817">
        <v>10.5778342048655</v>
      </c>
      <c r="AL3817">
        <v>82.015106564129596</v>
      </c>
      <c r="AM3817">
        <v>67.213393092706397</v>
      </c>
      <c r="AN3817">
        <v>0.99999998015300895</v>
      </c>
    </row>
    <row r="3818" spans="1:40" x14ac:dyDescent="0.25">
      <c r="A3818" t="str">
        <f>"20190303162334213"</f>
        <v>20190303162334213</v>
      </c>
      <c r="B3818" t="str">
        <f>"1551601414198577"</f>
        <v>1551601414198577</v>
      </c>
      <c r="C3818" t="s">
        <v>40</v>
      </c>
      <c r="D3818">
        <v>5.4389149999999997</v>
      </c>
      <c r="E3818">
        <v>0.58833069999999998</v>
      </c>
      <c r="F3818" t="s">
        <v>46</v>
      </c>
      <c r="G3818">
        <v>-193.9401</v>
      </c>
      <c r="H3818" s="1">
        <v>6.0596920000000004E-6</v>
      </c>
      <c r="I3818">
        <v>201.94980000000001</v>
      </c>
      <c r="J3818">
        <v>-198.74109999999999</v>
      </c>
      <c r="K3818">
        <v>1.1121589999999999</v>
      </c>
      <c r="L3818">
        <v>211.24940000000001</v>
      </c>
      <c r="M3818">
        <v>0.88324179999999997</v>
      </c>
      <c r="N3818">
        <v>-1.0454140000000001E-2</v>
      </c>
      <c r="O3818">
        <v>-0.46880129999999998</v>
      </c>
      <c r="P3818">
        <v>0.62753389999999998</v>
      </c>
      <c r="Q3818">
        <v>0.14034739999999901</v>
      </c>
      <c r="R3818">
        <v>-0.76583570000000001</v>
      </c>
      <c r="S3818">
        <v>1.478775</v>
      </c>
      <c r="T3818">
        <v>-0.3270111</v>
      </c>
      <c r="U3818">
        <v>-2.7727050000000002</v>
      </c>
      <c r="V3818">
        <v>0.38513799999999998</v>
      </c>
      <c r="W3818">
        <v>0.1423036</v>
      </c>
      <c r="X3818">
        <v>0.91182149999999995</v>
      </c>
      <c r="Y3818">
        <v>0.55758260000000004</v>
      </c>
      <c r="Z3818">
        <v>1.301423E-2</v>
      </c>
      <c r="AA3818">
        <v>0.83001939999999996</v>
      </c>
      <c r="AB3818">
        <v>26</v>
      </c>
      <c r="AC3818">
        <v>4.8009999999999797</v>
      </c>
      <c r="AD3818">
        <v>-1.1121529403079999</v>
      </c>
      <c r="AE3818">
        <v>-9.2995999999999892</v>
      </c>
      <c r="AF3818">
        <v>5.8968168174933799</v>
      </c>
      <c r="AG3818">
        <v>-1.1121529403079999</v>
      </c>
      <c r="AH3818">
        <v>8.5045413995987396</v>
      </c>
      <c r="AI3818">
        <v>96.133798529227093</v>
      </c>
      <c r="AJ3818">
        <v>55.263617272366702</v>
      </c>
      <c r="AK3818">
        <v>10.408484863763601</v>
      </c>
      <c r="AL3818">
        <v>81.818832515543306</v>
      </c>
      <c r="AM3818">
        <v>67.1016253593165</v>
      </c>
      <c r="AN3818">
        <v>1.0000000207396</v>
      </c>
    </row>
    <row r="3819" spans="1:40" x14ac:dyDescent="0.25">
      <c r="A3819" t="str">
        <f>"20190303162334235"</f>
        <v>20190303162334235</v>
      </c>
      <c r="B3819" t="str">
        <f>"1551601414228833"</f>
        <v>1551601414228833</v>
      </c>
      <c r="C3819" t="s">
        <v>40</v>
      </c>
      <c r="D3819">
        <v>5.3923290000000001</v>
      </c>
      <c r="E3819">
        <v>0.58787040000000002</v>
      </c>
      <c r="F3819" t="s">
        <v>46</v>
      </c>
      <c r="G3819">
        <v>-193.53039999999999</v>
      </c>
      <c r="H3819" s="1">
        <v>6.465676E-6</v>
      </c>
      <c r="I3819">
        <v>201.1097</v>
      </c>
      <c r="J3819">
        <v>-198.5034</v>
      </c>
      <c r="K3819">
        <v>1.1118969999999999</v>
      </c>
      <c r="L3819">
        <v>211.1087</v>
      </c>
      <c r="M3819">
        <v>0.87743259999999901</v>
      </c>
      <c r="N3819">
        <v>-1.0515500000000001E-2</v>
      </c>
      <c r="O3819">
        <v>-0.47958469999999997</v>
      </c>
      <c r="P3819">
        <v>0.61677320000000002</v>
      </c>
      <c r="Q3819">
        <v>0.14542639999999901</v>
      </c>
      <c r="R3819">
        <v>-0.77359049999999996</v>
      </c>
      <c r="S3819">
        <v>1.436874</v>
      </c>
      <c r="T3819">
        <v>-0.30668390000000001</v>
      </c>
      <c r="U3819">
        <v>-2.7960970000000001</v>
      </c>
      <c r="V3819">
        <v>0.38608680000000001</v>
      </c>
      <c r="W3819">
        <v>0.1471529</v>
      </c>
      <c r="X3819">
        <v>0.91064979999999995</v>
      </c>
      <c r="Y3819">
        <v>0.56020499999999995</v>
      </c>
      <c r="Z3819">
        <v>1.264202E-2</v>
      </c>
      <c r="AA3819">
        <v>0.82825749999999998</v>
      </c>
      <c r="AB3819">
        <v>26</v>
      </c>
      <c r="AC3819">
        <v>4.9730000000000096</v>
      </c>
      <c r="AD3819">
        <v>-1.111890534324</v>
      </c>
      <c r="AE3819">
        <v>-9.9989999999999899</v>
      </c>
      <c r="AF3819">
        <v>6.3261140455062499</v>
      </c>
      <c r="AG3819">
        <v>-1.111890534324</v>
      </c>
      <c r="AH3819">
        <v>9.0694375542851198</v>
      </c>
      <c r="AI3819">
        <v>95.741951784695303</v>
      </c>
      <c r="AJ3819">
        <v>55.103455898395801</v>
      </c>
      <c r="AK3819">
        <v>11.1135375568784</v>
      </c>
      <c r="AL3819">
        <v>81.538031412741603</v>
      </c>
      <c r="AM3819">
        <v>67.024586896116602</v>
      </c>
      <c r="AN3819">
        <v>1.0000000256763399</v>
      </c>
    </row>
    <row r="3820" spans="1:40" x14ac:dyDescent="0.25">
      <c r="A3820" t="str">
        <f>"20190303162334258"</f>
        <v>20190303162334258</v>
      </c>
      <c r="B3820" t="str">
        <f>"1551601414248353"</f>
        <v>1551601414248353</v>
      </c>
      <c r="C3820" t="s">
        <v>40</v>
      </c>
      <c r="D3820">
        <v>5.4641279999999997</v>
      </c>
      <c r="E3820">
        <v>0.58769550000000004</v>
      </c>
      <c r="F3820" t="s">
        <v>46</v>
      </c>
      <c r="G3820">
        <v>-193.01480000000001</v>
      </c>
      <c r="H3820" s="1">
        <v>6.9739409999999999E-6</v>
      </c>
      <c r="I3820">
        <v>200.06</v>
      </c>
      <c r="J3820">
        <v>-198.28389999999999</v>
      </c>
      <c r="K3820">
        <v>1.111602</v>
      </c>
      <c r="L3820">
        <v>210.97470000000001</v>
      </c>
      <c r="M3820">
        <v>0.87169490000000005</v>
      </c>
      <c r="N3820">
        <v>-1.0589380000000001E-2</v>
      </c>
      <c r="O3820">
        <v>-0.48993500000000001</v>
      </c>
      <c r="P3820">
        <v>0.60548570000000002</v>
      </c>
      <c r="Q3820">
        <v>0.14946199999999901</v>
      </c>
      <c r="R3820">
        <v>-0.78169619999999995</v>
      </c>
      <c r="S3820">
        <v>1.3988799999999999</v>
      </c>
      <c r="T3820">
        <v>-0.28338839999999998</v>
      </c>
      <c r="U3820">
        <v>-2.8160099999999999</v>
      </c>
      <c r="V3820">
        <v>0.38806089999999999</v>
      </c>
      <c r="W3820">
        <v>0.15090329999999999</v>
      </c>
      <c r="X3820">
        <v>0.9091958</v>
      </c>
      <c r="Y3820">
        <v>0.5618303</v>
      </c>
      <c r="Z3820">
        <v>1.193517E-2</v>
      </c>
      <c r="AA3820">
        <v>0.82716639999999997</v>
      </c>
      <c r="AB3820">
        <v>26</v>
      </c>
      <c r="AC3820">
        <v>5.2690999999999804</v>
      </c>
      <c r="AD3820">
        <v>-1.111595026059</v>
      </c>
      <c r="AE3820">
        <v>-10.9147</v>
      </c>
      <c r="AF3820">
        <v>6.8753251837201397</v>
      </c>
      <c r="AG3820">
        <v>-1.111595026059</v>
      </c>
      <c r="AH3820">
        <v>9.8581714013811599</v>
      </c>
      <c r="AI3820">
        <v>95.284102621737802</v>
      </c>
      <c r="AJ3820">
        <v>55.107156630868303</v>
      </c>
      <c r="AK3820">
        <v>12.070181575389199</v>
      </c>
      <c r="AL3820">
        <v>81.320722577242094</v>
      </c>
      <c r="AM3820">
        <v>66.886350567427101</v>
      </c>
      <c r="AN3820">
        <v>1.00000003539866</v>
      </c>
    </row>
    <row r="3821" spans="1:40" x14ac:dyDescent="0.25">
      <c r="A3821" t="str">
        <f>"20190303162334281"</f>
        <v>20190303162334281</v>
      </c>
      <c r="B3821" t="str">
        <f>"1551601414268849"</f>
        <v>1551601414268849</v>
      </c>
      <c r="C3821" t="s">
        <v>40</v>
      </c>
      <c r="D3821">
        <v>5.4209180000000003</v>
      </c>
      <c r="E3821">
        <v>0.57046580000000002</v>
      </c>
      <c r="F3821" t="s">
        <v>41</v>
      </c>
      <c r="G3821">
        <v>-192.62389999999999</v>
      </c>
      <c r="H3821" s="1">
        <v>-4.6020250000000002E-6</v>
      </c>
      <c r="I3821">
        <v>199.14230000000001</v>
      </c>
      <c r="J3821">
        <v>-198.0506</v>
      </c>
      <c r="K3821">
        <v>1.1112390000000001</v>
      </c>
      <c r="L3821">
        <v>210.8279</v>
      </c>
      <c r="M3821">
        <v>0.86515560000000002</v>
      </c>
      <c r="N3821">
        <v>-1.06835E-2</v>
      </c>
      <c r="O3821">
        <v>-0.50138969999999905</v>
      </c>
      <c r="P3821">
        <v>0.5956224</v>
      </c>
      <c r="Q3821">
        <v>0.15061250000000001</v>
      </c>
      <c r="R3821">
        <v>-0.78901860000000001</v>
      </c>
      <c r="S3821">
        <v>1.3572690000000001</v>
      </c>
      <c r="T3821">
        <v>-0.26656390000000002</v>
      </c>
      <c r="U3821">
        <v>-2.837418</v>
      </c>
      <c r="V3821">
        <v>0.38746580000000003</v>
      </c>
      <c r="W3821">
        <v>0.15178659999999999</v>
      </c>
      <c r="X3821">
        <v>0.90930250000000001</v>
      </c>
      <c r="Y3821">
        <v>0.56331569999999997</v>
      </c>
      <c r="Z3821">
        <v>1.163411E-2</v>
      </c>
      <c r="AA3821">
        <v>0.8261598</v>
      </c>
      <c r="AB3821">
        <v>26</v>
      </c>
      <c r="AC3821">
        <v>5.4267000000000101</v>
      </c>
      <c r="AD3821">
        <v>-1.1112436020249901</v>
      </c>
      <c r="AE3821">
        <v>-11.6855999999999</v>
      </c>
      <c r="AF3821">
        <v>7.3348300570078804</v>
      </c>
      <c r="AG3821">
        <v>-1.1112436020249901</v>
      </c>
      <c r="AH3821">
        <v>10.476647868730399</v>
      </c>
      <c r="AI3821">
        <v>94.965970197697402</v>
      </c>
      <c r="AJ3821">
        <v>55.003661618031998</v>
      </c>
      <c r="AK3821">
        <v>12.837240547469699</v>
      </c>
      <c r="AL3821">
        <v>81.269522941879302</v>
      </c>
      <c r="AM3821">
        <v>66.920505901730195</v>
      </c>
      <c r="AN3821">
        <v>0.99999997730772405</v>
      </c>
    </row>
    <row r="3822" spans="1:40" x14ac:dyDescent="0.25">
      <c r="A3822" t="str">
        <f>"20190303162334304"</f>
        <v>20190303162334304</v>
      </c>
      <c r="B3822" t="str">
        <f>"1551601414298130"</f>
        <v>1551601414298130</v>
      </c>
      <c r="C3822" t="s">
        <v>40</v>
      </c>
      <c r="D3822">
        <v>5.4808629999999896</v>
      </c>
      <c r="E3822">
        <v>0.56900869999999903</v>
      </c>
      <c r="F3822" t="s">
        <v>41</v>
      </c>
      <c r="G3822">
        <v>-191.76300000000001</v>
      </c>
      <c r="H3822" s="1">
        <v>-4.2678580000000004E-6</v>
      </c>
      <c r="I3822">
        <v>198.60910000000001</v>
      </c>
      <c r="J3822">
        <v>-197.81200000000001</v>
      </c>
      <c r="K3822">
        <v>1.1108340000000001</v>
      </c>
      <c r="L3822">
        <v>210.67240000000001</v>
      </c>
      <c r="M3822">
        <v>0.85792549999999901</v>
      </c>
      <c r="N3822">
        <v>-1.079508E-2</v>
      </c>
      <c r="O3822">
        <v>-0.51366069999999997</v>
      </c>
      <c r="P3822">
        <v>0.5879664</v>
      </c>
      <c r="Q3822">
        <v>0.1491411</v>
      </c>
      <c r="R3822">
        <v>-0.79501750000000004</v>
      </c>
      <c r="S3822">
        <v>1.4270020000000001</v>
      </c>
      <c r="T3822">
        <v>-0.25220019999999999</v>
      </c>
      <c r="U3822">
        <v>-2.7730869999999999</v>
      </c>
      <c r="V3822">
        <v>0.38366319999999998</v>
      </c>
      <c r="W3822">
        <v>0.15011459999999999</v>
      </c>
      <c r="X3822">
        <v>0.91119050000000001</v>
      </c>
      <c r="Y3822">
        <v>0.52720610000000001</v>
      </c>
      <c r="Z3822">
        <v>1.3544509999999999E-2</v>
      </c>
      <c r="AA3822">
        <v>0.84962950000000004</v>
      </c>
      <c r="AB3822">
        <v>26</v>
      </c>
      <c r="AC3822">
        <v>6.0490000000000004</v>
      </c>
      <c r="AD3822">
        <v>-1.110838267858</v>
      </c>
      <c r="AE3822">
        <v>-12.0632999999999</v>
      </c>
      <c r="AF3822">
        <v>7.1939564254346902</v>
      </c>
      <c r="AG3822">
        <v>-1.110838267858</v>
      </c>
      <c r="AH3822">
        <v>11.310063393896799</v>
      </c>
      <c r="AI3822">
        <v>94.7374401793912</v>
      </c>
      <c r="AJ3822">
        <v>57.540912509382999</v>
      </c>
      <c r="AK3822">
        <v>13.4500745233012</v>
      </c>
      <c r="AL3822">
        <v>81.366432023467397</v>
      </c>
      <c r="AM3822">
        <v>67.166129929037695</v>
      </c>
      <c r="AN3822">
        <v>0.99999998572882398</v>
      </c>
    </row>
    <row r="3823" spans="1:40" x14ac:dyDescent="0.25">
      <c r="A3823" t="str">
        <f>"20190303162334326"</f>
        <v>20190303162334326</v>
      </c>
      <c r="B3823" t="str">
        <f>"1551601414308865"</f>
        <v>1551601414308865</v>
      </c>
      <c r="C3823" t="s">
        <v>40</v>
      </c>
      <c r="D3823">
        <v>5.4824199999999896</v>
      </c>
      <c r="E3823">
        <v>0.56952269999999905</v>
      </c>
      <c r="F3823" t="s">
        <v>41</v>
      </c>
      <c r="G3823">
        <v>-191.73089999999999</v>
      </c>
      <c r="H3823" s="1">
        <v>-4.277004E-6</v>
      </c>
      <c r="I3823">
        <v>198.65280000000001</v>
      </c>
      <c r="J3823">
        <v>-197.5915</v>
      </c>
      <c r="K3823">
        <v>1.11043</v>
      </c>
      <c r="L3823">
        <v>210.52330000000001</v>
      </c>
      <c r="M3823">
        <v>0.85069300000000003</v>
      </c>
      <c r="N3823">
        <v>-1.09149E-2</v>
      </c>
      <c r="O3823">
        <v>-0.52554959999999995</v>
      </c>
      <c r="P3823">
        <v>0.57922489999999904</v>
      </c>
      <c r="Q3823">
        <v>0.14838779999999999</v>
      </c>
      <c r="R3823">
        <v>-0.80154840000000005</v>
      </c>
      <c r="S3823">
        <v>1.4070590000000001</v>
      </c>
      <c r="T3823">
        <v>-0.2570268</v>
      </c>
      <c r="U3823">
        <v>-2.7811129999999999</v>
      </c>
      <c r="V3823">
        <v>0.38121240000000001</v>
      </c>
      <c r="W3823">
        <v>0.149153799999999</v>
      </c>
      <c r="X3823">
        <v>0.91237619999999997</v>
      </c>
      <c r="Y3823">
        <v>0.52122709999999906</v>
      </c>
      <c r="Z3823">
        <v>1.522306E-2</v>
      </c>
      <c r="AA3823">
        <v>0.85328219999999999</v>
      </c>
      <c r="AB3823">
        <v>26</v>
      </c>
      <c r="AC3823">
        <v>5.8605999999999998</v>
      </c>
      <c r="AD3823">
        <v>-1.1104342770039899</v>
      </c>
      <c r="AE3823">
        <v>-11.8704999999999</v>
      </c>
      <c r="AF3823">
        <v>6.9694969392538502</v>
      </c>
      <c r="AG3823">
        <v>-1.1104342770039899</v>
      </c>
      <c r="AH3823">
        <v>11.146352374484</v>
      </c>
      <c r="AI3823">
        <v>94.828307913727599</v>
      </c>
      <c r="AJ3823">
        <v>57.983430221773297</v>
      </c>
      <c r="AK3823">
        <v>13.1927299345503</v>
      </c>
      <c r="AL3823">
        <v>81.422109121324795</v>
      </c>
      <c r="AM3823">
        <v>67.323671795748396</v>
      </c>
      <c r="AN3823">
        <v>1.0000000401473099</v>
      </c>
    </row>
    <row r="3824" spans="1:40" x14ac:dyDescent="0.25">
      <c r="A3824" t="str">
        <f>"20190303162334347"</f>
        <v>20190303162334347</v>
      </c>
      <c r="B3824" t="str">
        <f>"1551601414338145"</f>
        <v>1551601414338145</v>
      </c>
      <c r="C3824" t="s">
        <v>40</v>
      </c>
      <c r="D3824">
        <v>5.4486059999999998</v>
      </c>
      <c r="E3824">
        <v>0.59613709999999998</v>
      </c>
      <c r="F3824" t="s">
        <v>41</v>
      </c>
      <c r="G3824">
        <v>-191.66839999999999</v>
      </c>
      <c r="H3824" s="1">
        <v>-4.2058200000000002E-6</v>
      </c>
      <c r="I3824">
        <v>198.4761</v>
      </c>
      <c r="J3824">
        <v>-197.3734</v>
      </c>
      <c r="K3824">
        <v>1.110042</v>
      </c>
      <c r="L3824">
        <v>210.3708</v>
      </c>
      <c r="M3824">
        <v>0.84302770000000005</v>
      </c>
      <c r="N3824">
        <v>-1.1040309999999999E-2</v>
      </c>
      <c r="O3824">
        <v>-0.53775689999999998</v>
      </c>
      <c r="P3824">
        <v>0.56811149999999999</v>
      </c>
      <c r="Q3824">
        <v>0.149815899999999</v>
      </c>
      <c r="R3824">
        <v>-0.80920019999999904</v>
      </c>
      <c r="S3824">
        <v>1.3750610000000001</v>
      </c>
      <c r="T3824">
        <v>-0.25779079999999999</v>
      </c>
      <c r="U3824">
        <v>-2.796799</v>
      </c>
      <c r="V3824">
        <v>0.3806078</v>
      </c>
      <c r="W3824">
        <v>0.15034800000000001</v>
      </c>
      <c r="X3824">
        <v>0.91243260000000004</v>
      </c>
      <c r="Y3824">
        <v>0.51870490000000002</v>
      </c>
      <c r="Z3824">
        <v>1.639904E-2</v>
      </c>
      <c r="AA3824">
        <v>0.85479609999999995</v>
      </c>
      <c r="AB3824">
        <v>27</v>
      </c>
      <c r="AC3824">
        <v>5.7050000000000098</v>
      </c>
      <c r="AD3824">
        <v>-1.11004620582</v>
      </c>
      <c r="AE3824">
        <v>-11.8947</v>
      </c>
      <c r="AF3824">
        <v>6.9111489330376896</v>
      </c>
      <c r="AG3824">
        <v>-1.11004620582</v>
      </c>
      <c r="AH3824">
        <v>11.127823541589599</v>
      </c>
      <c r="AI3824">
        <v>94.843711697174101</v>
      </c>
      <c r="AJ3824">
        <v>58.156855938782599</v>
      </c>
      <c r="AK3824">
        <v>13.146278520039001</v>
      </c>
      <c r="AL3824">
        <v>81.352906097018305</v>
      </c>
      <c r="AM3824">
        <v>67.357262623892197</v>
      </c>
      <c r="AN3824">
        <v>1.00000003403379</v>
      </c>
    </row>
    <row r="3825" spans="1:40" x14ac:dyDescent="0.25">
      <c r="A3825" t="str">
        <f>"20190303162334372"</f>
        <v>20190303162334372</v>
      </c>
      <c r="B3825" t="str">
        <f>"1551601414358641"</f>
        <v>1551601414358641</v>
      </c>
      <c r="C3825" t="s">
        <v>40</v>
      </c>
      <c r="D3825">
        <v>5.7966410000000002</v>
      </c>
      <c r="E3825">
        <v>0.58099679999999998</v>
      </c>
      <c r="F3825" t="s">
        <v>41</v>
      </c>
      <c r="G3825">
        <v>-192.36349999999999</v>
      </c>
      <c r="H3825" s="1">
        <v>-4.0890220000000003E-6</v>
      </c>
      <c r="I3825">
        <v>197.7706</v>
      </c>
      <c r="J3825">
        <v>-197.13229999999999</v>
      </c>
      <c r="K3825">
        <v>1.109639</v>
      </c>
      <c r="L3825">
        <v>210.196</v>
      </c>
      <c r="M3825">
        <v>0.83391109999999902</v>
      </c>
      <c r="N3825">
        <v>-1.118251E-2</v>
      </c>
      <c r="O3825">
        <v>-0.55178549999999904</v>
      </c>
      <c r="P3825">
        <v>0.55425809999999998</v>
      </c>
      <c r="Q3825">
        <v>0.1538658</v>
      </c>
      <c r="R3825">
        <v>-0.81799949999999999</v>
      </c>
      <c r="S3825">
        <v>1.1672670000000001</v>
      </c>
      <c r="T3825">
        <v>-0.25863150000000001</v>
      </c>
      <c r="U3825">
        <v>-2.9357449999999998</v>
      </c>
      <c r="V3825">
        <v>0.38050800000000001</v>
      </c>
      <c r="W3825">
        <v>0.154138</v>
      </c>
      <c r="X3825">
        <v>0.91184160000000003</v>
      </c>
      <c r="Y3825">
        <v>0.57035069999999999</v>
      </c>
      <c r="Z3825">
        <v>1.466435E-2</v>
      </c>
      <c r="AA3825">
        <v>0.82127039999999996</v>
      </c>
      <c r="AB3825">
        <v>27</v>
      </c>
      <c r="AC3825">
        <v>4.7687999999999899</v>
      </c>
      <c r="AD3825">
        <v>-1.1096430890219999</v>
      </c>
      <c r="AE3825">
        <v>-12.4253999999999</v>
      </c>
      <c r="AF3825">
        <v>7.6774390174012899</v>
      </c>
      <c r="AG3825">
        <v>-1.1096430890219999</v>
      </c>
      <c r="AH3825">
        <v>10.7587998865441</v>
      </c>
      <c r="AI3825">
        <v>94.7989768222333</v>
      </c>
      <c r="AJ3825">
        <v>54.488489224769999</v>
      </c>
      <c r="AK3825">
        <v>13.2637156426708</v>
      </c>
      <c r="AL3825">
        <v>81.133193329323106</v>
      </c>
      <c r="AM3825">
        <v>67.349409915557402</v>
      </c>
      <c r="AN3825">
        <v>0.999999982299279</v>
      </c>
    </row>
    <row r="3826" spans="1:40" x14ac:dyDescent="0.25">
      <c r="A3826" t="str">
        <f>"20190303162334393"</f>
        <v>20190303162334393</v>
      </c>
      <c r="B3826" t="str">
        <f>"1551601414378161"</f>
        <v>1551601414378161</v>
      </c>
      <c r="C3826" t="s">
        <v>40</v>
      </c>
      <c r="D3826">
        <v>5.4692689999999997</v>
      </c>
      <c r="E3826">
        <v>0.58647729999999998</v>
      </c>
      <c r="F3826" t="s">
        <v>46</v>
      </c>
      <c r="G3826">
        <v>-194.22540000000001</v>
      </c>
      <c r="H3826" s="1">
        <v>5.5470240000000002E-6</v>
      </c>
      <c r="I3826">
        <v>203.42080000000001</v>
      </c>
      <c r="J3826">
        <v>-196.929</v>
      </c>
      <c r="K3826">
        <v>1.1092930000000001</v>
      </c>
      <c r="L3826">
        <v>210.04320000000001</v>
      </c>
      <c r="M3826">
        <v>0.82566260000000002</v>
      </c>
      <c r="N3826">
        <v>-1.1306780000000001E-2</v>
      </c>
      <c r="O3826">
        <v>-0.56405090000000002</v>
      </c>
      <c r="P3826">
        <v>0.5431494</v>
      </c>
      <c r="Q3826">
        <v>0.15757060000000001</v>
      </c>
      <c r="R3826">
        <v>-0.82471839999999996</v>
      </c>
      <c r="S3826">
        <v>1.2489170000000001</v>
      </c>
      <c r="T3826">
        <v>-0.4767383</v>
      </c>
      <c r="U3826">
        <v>-2.9108890000000001</v>
      </c>
      <c r="V3826">
        <v>0.37901190000000001</v>
      </c>
      <c r="W3826">
        <v>0.1576776</v>
      </c>
      <c r="X3826">
        <v>0.91185950000000005</v>
      </c>
      <c r="Y3826">
        <v>0.53515190000000001</v>
      </c>
      <c r="Z3826">
        <v>3.9451199999999902E-2</v>
      </c>
      <c r="AA3826">
        <v>0.84383419999999898</v>
      </c>
      <c r="AB3826">
        <v>27</v>
      </c>
      <c r="AC3826">
        <v>2.70359999999999</v>
      </c>
      <c r="AD3826">
        <v>-1.109287452976</v>
      </c>
      <c r="AE3826">
        <v>-6.6223999999999901</v>
      </c>
      <c r="AF3826">
        <v>3.8505475198897399</v>
      </c>
      <c r="AG3826">
        <v>-1.109287452976</v>
      </c>
      <c r="AH3826">
        <v>5.8278553832508697</v>
      </c>
      <c r="AI3826">
        <v>99.023745909889399</v>
      </c>
      <c r="AJ3826">
        <v>56.546689087527803</v>
      </c>
      <c r="AK3826">
        <v>7.07256199862152</v>
      </c>
      <c r="AL3826">
        <v>80.927878530025296</v>
      </c>
      <c r="AM3826">
        <v>67.429920708728304</v>
      </c>
      <c r="AN3826">
        <v>0.99999999681180995</v>
      </c>
    </row>
    <row r="3827" spans="1:40" x14ac:dyDescent="0.25">
      <c r="A3827" t="str">
        <f>"20190303162334416"</f>
        <v>20190303162334416</v>
      </c>
      <c r="B3827" t="str">
        <f>"1551601414408418"</f>
        <v>1551601414408418</v>
      </c>
      <c r="C3827" t="s">
        <v>40</v>
      </c>
      <c r="D3827">
        <v>5.5092160000000003</v>
      </c>
      <c r="E3827">
        <v>0.59194969999999902</v>
      </c>
      <c r="F3827" t="s">
        <v>46</v>
      </c>
      <c r="G3827">
        <v>-193.70820000000001</v>
      </c>
      <c r="H3827" s="1">
        <v>6.1382659999999997E-6</v>
      </c>
      <c r="I3827">
        <v>201.90209999999999</v>
      </c>
      <c r="J3827">
        <v>-196.70689999999999</v>
      </c>
      <c r="K3827">
        <v>1.1089</v>
      </c>
      <c r="L3827">
        <v>209.87029999999999</v>
      </c>
      <c r="M3827">
        <v>0.8160307</v>
      </c>
      <c r="N3827">
        <v>-1.1449279999999999E-2</v>
      </c>
      <c r="O3827">
        <v>-0.57789550000000001</v>
      </c>
      <c r="P3827">
        <v>0.53199849999999904</v>
      </c>
      <c r="Q3827">
        <v>0.15576999999999999</v>
      </c>
      <c r="R3827">
        <v>-0.83229449999999905</v>
      </c>
      <c r="S3827">
        <v>1.1657409999999999</v>
      </c>
      <c r="T3827">
        <v>-0.40149580000000001</v>
      </c>
      <c r="U3827">
        <v>-2.9465940000000002</v>
      </c>
      <c r="V3827">
        <v>0.37627470000000002</v>
      </c>
      <c r="W3827">
        <v>0.1557547</v>
      </c>
      <c r="X3827">
        <v>0.91332239999999998</v>
      </c>
      <c r="Y3827">
        <v>0.54521039999999998</v>
      </c>
      <c r="Z3827">
        <v>3.298032E-2</v>
      </c>
      <c r="AA3827">
        <v>0.83765020000000001</v>
      </c>
      <c r="AB3827">
        <v>27</v>
      </c>
      <c r="AC3827">
        <v>2.9986999999999799</v>
      </c>
      <c r="AD3827">
        <v>-1.1088938617340001</v>
      </c>
      <c r="AE3827">
        <v>-7.9681999999999897</v>
      </c>
      <c r="AF3827">
        <v>4.6901079800248198</v>
      </c>
      <c r="AG3827">
        <v>-1.1088938617340001</v>
      </c>
      <c r="AH3827">
        <v>6.9346379090400401</v>
      </c>
      <c r="AI3827">
        <v>97.545277918621906</v>
      </c>
      <c r="AJ3827">
        <v>55.928306810386701</v>
      </c>
      <c r="AK3827">
        <v>8.4448778197425192</v>
      </c>
      <c r="AL3827">
        <v>81.039430931748001</v>
      </c>
      <c r="AM3827">
        <v>67.609096672952205</v>
      </c>
      <c r="AN3827">
        <v>0.99999999138696904</v>
      </c>
    </row>
    <row r="3828" spans="1:40" x14ac:dyDescent="0.25">
      <c r="A3828" t="str">
        <f>"20190303162334436"</f>
        <v>20190303162334436</v>
      </c>
      <c r="B3828" t="str">
        <f>"1551601414428913"</f>
        <v>1551601414428913</v>
      </c>
      <c r="C3828" t="s">
        <v>40</v>
      </c>
      <c r="D3828">
        <v>5.4944649999999999</v>
      </c>
      <c r="E3828">
        <v>0.5934431</v>
      </c>
      <c r="F3828" t="s">
        <v>46</v>
      </c>
      <c r="G3828">
        <v>-193.251</v>
      </c>
      <c r="H3828" s="1">
        <v>6.8120939999999998E-6</v>
      </c>
      <c r="I3828">
        <v>200.34</v>
      </c>
      <c r="J3828">
        <v>-196.5111</v>
      </c>
      <c r="K3828">
        <v>1.108541</v>
      </c>
      <c r="L3828">
        <v>209.7123</v>
      </c>
      <c r="M3828">
        <v>0.80697229999999998</v>
      </c>
      <c r="N3828">
        <v>-1.15788E-2</v>
      </c>
      <c r="O3828">
        <v>-0.5904758</v>
      </c>
      <c r="P3828">
        <v>0.52368549999999903</v>
      </c>
      <c r="Q3828">
        <v>0.14991589999999999</v>
      </c>
      <c r="R3828">
        <v>-0.83861730000000001</v>
      </c>
      <c r="S3828">
        <v>1.0802309999999999</v>
      </c>
      <c r="T3828">
        <v>-0.34661330000000001</v>
      </c>
      <c r="U3828">
        <v>-2.9789279999999998</v>
      </c>
      <c r="V3828">
        <v>0.37201459999999997</v>
      </c>
      <c r="W3828">
        <v>0.1498775</v>
      </c>
      <c r="X3828">
        <v>0.9160469</v>
      </c>
      <c r="Y3828">
        <v>0.55648430000000004</v>
      </c>
      <c r="Z3828">
        <v>2.7959950000000001E-2</v>
      </c>
      <c r="AA3828">
        <v>0.8303876</v>
      </c>
      <c r="AB3828">
        <v>27</v>
      </c>
      <c r="AC3828">
        <v>3.26010000000002</v>
      </c>
      <c r="AD3828">
        <v>-1.108534187906</v>
      </c>
      <c r="AE3828">
        <v>-9.3722999999999903</v>
      </c>
      <c r="AF3828">
        <v>5.5690544576430998</v>
      </c>
      <c r="AG3828">
        <v>-1.108534187906</v>
      </c>
      <c r="AH3828">
        <v>8.0648278730340497</v>
      </c>
      <c r="AI3828">
        <v>96.453095499217497</v>
      </c>
      <c r="AJ3828">
        <v>55.373522175800098</v>
      </c>
      <c r="AK3828">
        <v>9.8632988507708603</v>
      </c>
      <c r="AL3828">
        <v>81.380172646126297</v>
      </c>
      <c r="AM3828">
        <v>67.897501873403996</v>
      </c>
      <c r="AN3828">
        <v>1.0000000253095001</v>
      </c>
    </row>
    <row r="3829" spans="1:40" x14ac:dyDescent="0.25">
      <c r="A3829" t="str">
        <f>"20190303162334459"</f>
        <v>20190303162334459</v>
      </c>
      <c r="B3829" t="str">
        <f>"1551601414448433"</f>
        <v>1551601414448433</v>
      </c>
      <c r="C3829" t="s">
        <v>40</v>
      </c>
      <c r="D3829">
        <v>5.4942630000000001</v>
      </c>
      <c r="E3829">
        <v>0.59477939999999996</v>
      </c>
      <c r="F3829" t="s">
        <v>46</v>
      </c>
      <c r="G3829">
        <v>-193.1857</v>
      </c>
      <c r="H3829" s="1">
        <v>6.9305160000000004E-6</v>
      </c>
      <c r="I3829">
        <v>200.05420000000001</v>
      </c>
      <c r="J3829">
        <v>-196.30420000000001</v>
      </c>
      <c r="K3829">
        <v>1.108177</v>
      </c>
      <c r="L3829">
        <v>209.53919999999999</v>
      </c>
      <c r="M3829">
        <v>0.79680819999999997</v>
      </c>
      <c r="N3829">
        <v>-1.171494E-2</v>
      </c>
      <c r="O3829">
        <v>-0.60411879999999996</v>
      </c>
      <c r="P3829">
        <v>0.51409899999999997</v>
      </c>
      <c r="Q3829">
        <v>0.14247319999999999</v>
      </c>
      <c r="R3829">
        <v>-0.84581550000000005</v>
      </c>
      <c r="S3829">
        <v>1.031174</v>
      </c>
      <c r="T3829">
        <v>-0.34374450000000001</v>
      </c>
      <c r="U3829">
        <v>-2.9948579999999998</v>
      </c>
      <c r="V3829">
        <v>0.36777939999999998</v>
      </c>
      <c r="W3829">
        <v>0.14242109999999999</v>
      </c>
      <c r="X3829">
        <v>0.91894209999999998</v>
      </c>
      <c r="Y3829">
        <v>0.5559113</v>
      </c>
      <c r="Z3829">
        <v>2.927283E-2</v>
      </c>
      <c r="AA3829">
        <v>0.83072599999999996</v>
      </c>
      <c r="AB3829">
        <v>27</v>
      </c>
      <c r="AC3829">
        <v>3.1185000000000098</v>
      </c>
      <c r="AD3829">
        <v>-1.108170069484</v>
      </c>
      <c r="AE3829">
        <v>-9.4849999999999799</v>
      </c>
      <c r="AF3829">
        <v>5.6051234001687602</v>
      </c>
      <c r="AG3829">
        <v>-1.108170069484</v>
      </c>
      <c r="AH3829">
        <v>8.1155052903493097</v>
      </c>
      <c r="AI3829">
        <v>96.410653286477896</v>
      </c>
      <c r="AJ3829">
        <v>55.368386519631301</v>
      </c>
      <c r="AK3829">
        <v>9.9250629898105593</v>
      </c>
      <c r="AL3829">
        <v>81.812030979011695</v>
      </c>
      <c r="AM3829">
        <v>68.187703790759201</v>
      </c>
      <c r="AN3829">
        <v>1.00000001997098</v>
      </c>
    </row>
    <row r="3830" spans="1:40" x14ac:dyDescent="0.25">
      <c r="A3830" t="str">
        <f>"20190303162334482"</f>
        <v>20190303162334482</v>
      </c>
      <c r="B3830" t="str">
        <f>"1551601414468929"</f>
        <v>1551601414468929</v>
      </c>
      <c r="C3830" t="s">
        <v>40</v>
      </c>
      <c r="D3830">
        <v>5.5474350000000001</v>
      </c>
      <c r="E3830">
        <v>0.59541099999999902</v>
      </c>
      <c r="F3830" t="s">
        <v>46</v>
      </c>
      <c r="G3830">
        <v>-193.2106</v>
      </c>
      <c r="H3830" s="1">
        <v>6.928221E-6</v>
      </c>
      <c r="I3830">
        <v>200.0419</v>
      </c>
      <c r="J3830">
        <v>-196.08799999999999</v>
      </c>
      <c r="K3830">
        <v>1.107826</v>
      </c>
      <c r="L3830">
        <v>209.35169999999999</v>
      </c>
      <c r="M3830">
        <v>0.78553379999999995</v>
      </c>
      <c r="N3830">
        <v>-1.185168E-2</v>
      </c>
      <c r="O3830">
        <v>-0.61870530000000001</v>
      </c>
      <c r="P3830">
        <v>0.50087760000000003</v>
      </c>
      <c r="Q3830">
        <v>0.1356851</v>
      </c>
      <c r="R3830">
        <v>-0.85481659999999904</v>
      </c>
      <c r="S3830">
        <v>0.98046880000000003</v>
      </c>
      <c r="T3830">
        <v>-0.35122490000000001</v>
      </c>
      <c r="U3830">
        <v>-3.0100859999999998</v>
      </c>
      <c r="V3830">
        <v>0.36590489999999998</v>
      </c>
      <c r="W3830">
        <v>0.13555139999999999</v>
      </c>
      <c r="X3830">
        <v>0.92072770000000004</v>
      </c>
      <c r="Y3830">
        <v>0.55449130000000002</v>
      </c>
      <c r="Z3830">
        <v>3.1970599999999898E-2</v>
      </c>
      <c r="AA3830">
        <v>0.83157519999999996</v>
      </c>
      <c r="AB3830">
        <v>27</v>
      </c>
      <c r="AC3830">
        <v>2.87739999999999</v>
      </c>
      <c r="AD3830">
        <v>-1.107819071779</v>
      </c>
      <c r="AE3830">
        <v>-9.3097999999999903</v>
      </c>
      <c r="AF3830">
        <v>5.4626825888450501</v>
      </c>
      <c r="AG3830">
        <v>-1.107819071779</v>
      </c>
      <c r="AH3830">
        <v>7.9185326950528001</v>
      </c>
      <c r="AI3830">
        <v>96.569137515522797</v>
      </c>
      <c r="AJ3830">
        <v>55.399741228950802</v>
      </c>
      <c r="AK3830">
        <v>9.6835594801131002</v>
      </c>
      <c r="AL3830">
        <v>82.209494417673795</v>
      </c>
      <c r="AM3830">
        <v>68.326712657833895</v>
      </c>
      <c r="AN3830">
        <v>1.00000003771662</v>
      </c>
    </row>
    <row r="3831" spans="1:40" x14ac:dyDescent="0.25">
      <c r="A3831" t="str">
        <f>"20190303162334505"</f>
        <v>20190303162334505</v>
      </c>
      <c r="B3831" t="str">
        <f>"1551601414498209"</f>
        <v>1551601414498209</v>
      </c>
      <c r="C3831" t="s">
        <v>40</v>
      </c>
      <c r="D3831">
        <v>5.522799</v>
      </c>
      <c r="E3831">
        <v>0.59567700000000001</v>
      </c>
      <c r="F3831" t="s">
        <v>46</v>
      </c>
      <c r="G3831">
        <v>-193.25559999999999</v>
      </c>
      <c r="H3831" s="1">
        <v>6.9044460000000003E-6</v>
      </c>
      <c r="I3831">
        <v>200.0753</v>
      </c>
      <c r="J3831">
        <v>-195.88310000000001</v>
      </c>
      <c r="K3831">
        <v>1.1075250000000001</v>
      </c>
      <c r="L3831">
        <v>209.16630000000001</v>
      </c>
      <c r="M3831">
        <v>0.77416770000000001</v>
      </c>
      <c r="N3831">
        <v>-1.1973289999999999E-2</v>
      </c>
      <c r="O3831">
        <v>-0.63286739999999997</v>
      </c>
      <c r="P3831">
        <v>0.48656070000000001</v>
      </c>
      <c r="Q3831">
        <v>0.1315279</v>
      </c>
      <c r="R3831">
        <v>-0.86368940000000005</v>
      </c>
      <c r="S3831">
        <v>0.92381290000000005</v>
      </c>
      <c r="T3831">
        <v>-0.36132589999999998</v>
      </c>
      <c r="U3831">
        <v>-3.0255740000000002</v>
      </c>
      <c r="V3831">
        <v>0.36498960000000003</v>
      </c>
      <c r="W3831">
        <v>0.13130720000000001</v>
      </c>
      <c r="X3831">
        <v>0.92170549999999996</v>
      </c>
      <c r="Y3831">
        <v>0.55481059999999904</v>
      </c>
      <c r="Z3831">
        <v>3.4950790000000002E-2</v>
      </c>
      <c r="AA3831">
        <v>0.83124219999999904</v>
      </c>
      <c r="AB3831">
        <v>27</v>
      </c>
      <c r="AC3831">
        <v>2.6275000000000199</v>
      </c>
      <c r="AD3831">
        <v>-1.107518095554</v>
      </c>
      <c r="AE3831">
        <v>-9.0909999999999993</v>
      </c>
      <c r="AF3831">
        <v>5.3028495606910502</v>
      </c>
      <c r="AG3831">
        <v>-1.107518095554</v>
      </c>
      <c r="AH3831">
        <v>7.68284643794681</v>
      </c>
      <c r="AI3831">
        <v>96.765869508398595</v>
      </c>
      <c r="AJ3831">
        <v>55.385809663363197</v>
      </c>
      <c r="AK3831">
        <v>9.4006882292932605</v>
      </c>
      <c r="AL3831">
        <v>82.454863139317297</v>
      </c>
      <c r="AM3831">
        <v>68.396744757708404</v>
      </c>
      <c r="AN3831">
        <v>1.00000000880512</v>
      </c>
    </row>
    <row r="3832" spans="1:40" x14ac:dyDescent="0.25">
      <c r="A3832" t="str">
        <f>"20190303162334526"</f>
        <v>20190303162334526</v>
      </c>
      <c r="B3832" t="str">
        <f>"1551601414518705"</f>
        <v>1551601414518705</v>
      </c>
      <c r="C3832" t="s">
        <v>40</v>
      </c>
      <c r="D3832">
        <v>5.5436809999999896</v>
      </c>
      <c r="E3832">
        <v>0.59579859999999996</v>
      </c>
      <c r="F3832" t="s">
        <v>46</v>
      </c>
      <c r="G3832">
        <v>-193.21</v>
      </c>
      <c r="H3832" s="1">
        <v>7.0275299999999996E-6</v>
      </c>
      <c r="I3832">
        <v>199.76150000000001</v>
      </c>
      <c r="J3832">
        <v>-195.6901</v>
      </c>
      <c r="K3832">
        <v>1.1072839999999999</v>
      </c>
      <c r="L3832">
        <v>208.98509999999999</v>
      </c>
      <c r="M3832">
        <v>0.76287539999999998</v>
      </c>
      <c r="N3832">
        <v>-1.207885E-2</v>
      </c>
      <c r="O3832">
        <v>-0.64643289999999998</v>
      </c>
      <c r="P3832">
        <v>0.47250180000000003</v>
      </c>
      <c r="Q3832">
        <v>0.13067860000000001</v>
      </c>
      <c r="R3832">
        <v>-0.87158789999999997</v>
      </c>
      <c r="S3832">
        <v>0.86433409999999999</v>
      </c>
      <c r="T3832">
        <v>-0.3581203</v>
      </c>
      <c r="U3832">
        <v>-3.0410919999999999</v>
      </c>
      <c r="V3832">
        <v>0.3637978</v>
      </c>
      <c r="W3832">
        <v>0.1304061</v>
      </c>
      <c r="X3832">
        <v>0.92230440000000002</v>
      </c>
      <c r="Y3832">
        <v>0.55631129999999995</v>
      </c>
      <c r="Z3832">
        <v>3.6185309999999998E-2</v>
      </c>
      <c r="AA3832">
        <v>0.83018570000000003</v>
      </c>
      <c r="AB3832">
        <v>27</v>
      </c>
      <c r="AC3832">
        <v>2.48009999999999</v>
      </c>
      <c r="AD3832">
        <v>-1.10727697247</v>
      </c>
      <c r="AE3832">
        <v>-9.2235999999999692</v>
      </c>
      <c r="AF3832">
        <v>5.3615760341011596</v>
      </c>
      <c r="AG3832">
        <v>-1.10727697247</v>
      </c>
      <c r="AH3832">
        <v>7.7508473078804903</v>
      </c>
      <c r="AI3832">
        <v>96.700880708292203</v>
      </c>
      <c r="AJ3832">
        <v>55.326815553660701</v>
      </c>
      <c r="AK3832">
        <v>9.48937267965003</v>
      </c>
      <c r="AL3832">
        <v>82.506940082665395</v>
      </c>
      <c r="AM3832">
        <v>68.473522675773495</v>
      </c>
      <c r="AN3832">
        <v>0.99999999823070496</v>
      </c>
    </row>
    <row r="3833" spans="1:40" x14ac:dyDescent="0.25">
      <c r="A3833" t="str">
        <f>"20190303162334547"</f>
        <v>20190303162334547</v>
      </c>
      <c r="B3833" t="str">
        <f>"1551601414538225"</f>
        <v>1551601414538225</v>
      </c>
      <c r="C3833" t="s">
        <v>40</v>
      </c>
      <c r="D3833">
        <v>5.5680949999999996</v>
      </c>
      <c r="E3833">
        <v>0.595916</v>
      </c>
      <c r="F3833" t="s">
        <v>41</v>
      </c>
      <c r="G3833">
        <v>-193.12870000000001</v>
      </c>
      <c r="H3833" s="1">
        <v>-4.7539390000000004E-6</v>
      </c>
      <c r="I3833">
        <v>199.32560000000001</v>
      </c>
      <c r="J3833">
        <v>-195.49770000000001</v>
      </c>
      <c r="K3833">
        <v>1.1070690000000001</v>
      </c>
      <c r="L3833">
        <v>208.79750000000001</v>
      </c>
      <c r="M3833">
        <v>0.75103850000000005</v>
      </c>
      <c r="N3833">
        <v>-1.2174819999999999E-2</v>
      </c>
      <c r="O3833">
        <v>-0.66014629999999996</v>
      </c>
      <c r="P3833">
        <v>0.45638099999999998</v>
      </c>
      <c r="Q3833">
        <v>0.1299931</v>
      </c>
      <c r="R3833">
        <v>-0.88023779999999996</v>
      </c>
      <c r="S3833">
        <v>0.81018069999999998</v>
      </c>
      <c r="T3833">
        <v>-0.35024060000000001</v>
      </c>
      <c r="U3833">
        <v>-3.0553279999999998</v>
      </c>
      <c r="V3833">
        <v>0.36417959999999999</v>
      </c>
      <c r="W3833">
        <v>0.1296341</v>
      </c>
      <c r="X3833">
        <v>0.92226249999999999</v>
      </c>
      <c r="Y3833">
        <v>0.55601809999999996</v>
      </c>
      <c r="Z3833">
        <v>3.6891269999999997E-2</v>
      </c>
      <c r="AA3833">
        <v>0.83035110000000001</v>
      </c>
      <c r="AB3833">
        <v>27</v>
      </c>
      <c r="AC3833">
        <v>2.3690000000000002</v>
      </c>
      <c r="AD3833">
        <v>-1.1070737539390001</v>
      </c>
      <c r="AE3833">
        <v>-9.4718999999999998</v>
      </c>
      <c r="AF3833">
        <v>5.4798335096428996</v>
      </c>
      <c r="AG3833">
        <v>-1.1070737539390001</v>
      </c>
      <c r="AH3833">
        <v>7.9306825061041399</v>
      </c>
      <c r="AI3833">
        <v>96.551428518729097</v>
      </c>
      <c r="AJ3833">
        <v>55.356837924534403</v>
      </c>
      <c r="AK3833">
        <v>9.7030877870238896</v>
      </c>
      <c r="AL3833">
        <v>82.551550750894094</v>
      </c>
      <c r="AM3833">
        <v>68.452111445999293</v>
      </c>
      <c r="AN3833">
        <v>0.99999994992260799</v>
      </c>
    </row>
    <row r="3834" spans="1:40" x14ac:dyDescent="0.25">
      <c r="A3834" t="str">
        <f>"20190303162334571"</f>
        <v>20190303162334571</v>
      </c>
      <c r="B3834" t="str">
        <f>"1551601414558721"</f>
        <v>1551601414558721</v>
      </c>
      <c r="C3834" t="s">
        <v>40</v>
      </c>
      <c r="D3834">
        <v>5.569083</v>
      </c>
      <c r="E3834">
        <v>0.5958909</v>
      </c>
      <c r="F3834" t="s">
        <v>41</v>
      </c>
      <c r="G3834">
        <v>-193.09829999999999</v>
      </c>
      <c r="H3834" s="1">
        <v>-4.6554200000000001E-6</v>
      </c>
      <c r="I3834">
        <v>199.05199999999999</v>
      </c>
      <c r="J3834">
        <v>-195.2945</v>
      </c>
      <c r="K3834">
        <v>1.106894</v>
      </c>
      <c r="L3834">
        <v>208.5917</v>
      </c>
      <c r="M3834">
        <v>0.73789380000000004</v>
      </c>
      <c r="N3834">
        <v>-1.226997E-2</v>
      </c>
      <c r="O3834">
        <v>-0.67480560000000001</v>
      </c>
      <c r="P3834">
        <v>0.4378495</v>
      </c>
      <c r="Q3834">
        <v>0.1273514</v>
      </c>
      <c r="R3834">
        <v>-0.88998339999999998</v>
      </c>
      <c r="S3834">
        <v>0.75535580000000002</v>
      </c>
      <c r="T3834">
        <v>-0.3485183</v>
      </c>
      <c r="U3834">
        <v>-3.0680079999999998</v>
      </c>
      <c r="V3834">
        <v>0.36558279999999999</v>
      </c>
      <c r="W3834">
        <v>0.1268908</v>
      </c>
      <c r="X3834">
        <v>0.92208889999999999</v>
      </c>
      <c r="Y3834">
        <v>0.55447939999999996</v>
      </c>
      <c r="Z3834">
        <v>3.8600019999999999E-2</v>
      </c>
      <c r="AA3834">
        <v>0.83130170000000003</v>
      </c>
      <c r="AB3834">
        <v>27</v>
      </c>
      <c r="AC3834">
        <v>2.1962000000000002</v>
      </c>
      <c r="AD3834">
        <v>-1.10689865542</v>
      </c>
      <c r="AE3834">
        <v>-9.5396999999999803</v>
      </c>
      <c r="AF3834">
        <v>5.4875337557288999</v>
      </c>
      <c r="AG3834">
        <v>-1.10689865542</v>
      </c>
      <c r="AH3834">
        <v>7.9568776140857498</v>
      </c>
      <c r="AI3834">
        <v>96.532979356818302</v>
      </c>
      <c r="AJ3834">
        <v>55.4075553881964</v>
      </c>
      <c r="AK3834">
        <v>9.7288310047596998</v>
      </c>
      <c r="AL3834">
        <v>82.710039759188504</v>
      </c>
      <c r="AM3834">
        <v>68.373040576808194</v>
      </c>
      <c r="AN3834">
        <v>0.99999999914184401</v>
      </c>
    </row>
    <row r="3835" spans="1:40" x14ac:dyDescent="0.25">
      <c r="A3835" t="str">
        <f>"20190303162334594"</f>
        <v>20190303162334594</v>
      </c>
      <c r="B3835" t="str">
        <f>"1551601414578241"</f>
        <v>1551601414578241</v>
      </c>
      <c r="C3835" t="s">
        <v>40</v>
      </c>
      <c r="D3835">
        <v>5.9855280000000004</v>
      </c>
      <c r="E3835">
        <v>0.59584550000000003</v>
      </c>
      <c r="F3835" t="s">
        <v>41</v>
      </c>
      <c r="G3835">
        <v>-193.12450000000001</v>
      </c>
      <c r="H3835" s="1">
        <v>-4.6133109999999996E-6</v>
      </c>
      <c r="I3835">
        <v>198.91460000000001</v>
      </c>
      <c r="J3835">
        <v>-195.10059999999999</v>
      </c>
      <c r="K3835">
        <v>1.106754</v>
      </c>
      <c r="L3835">
        <v>208.38749999999999</v>
      </c>
      <c r="M3835">
        <v>0.72472579999999998</v>
      </c>
      <c r="N3835">
        <v>-1.2355130000000001E-2</v>
      </c>
      <c r="O3835">
        <v>-0.68892679999999995</v>
      </c>
      <c r="P3835">
        <v>0.42077949999999997</v>
      </c>
      <c r="Q3835">
        <v>0.12672030000000001</v>
      </c>
      <c r="R3835">
        <v>-0.89826890000000004</v>
      </c>
      <c r="S3835">
        <v>0.69096369999999996</v>
      </c>
      <c r="T3835">
        <v>-0.35244920000000002</v>
      </c>
      <c r="U3835">
        <v>-3.081299</v>
      </c>
      <c r="V3835">
        <v>0.36546650000000003</v>
      </c>
      <c r="W3835">
        <v>0.12623329999999999</v>
      </c>
      <c r="X3835">
        <v>0.92222519999999997</v>
      </c>
      <c r="Y3835">
        <v>0.55572619999999995</v>
      </c>
      <c r="Z3835">
        <v>4.0918650000000001E-2</v>
      </c>
      <c r="AA3835">
        <v>0.83035780000000003</v>
      </c>
      <c r="AB3835">
        <v>27</v>
      </c>
      <c r="AC3835">
        <v>1.97609999999997</v>
      </c>
      <c r="AD3835">
        <v>-1.1067586133109999</v>
      </c>
      <c r="AE3835">
        <v>-9.4728999999999797</v>
      </c>
      <c r="AF3835">
        <v>5.4332143331174603</v>
      </c>
      <c r="AG3835">
        <v>-1.1067586133109999</v>
      </c>
      <c r="AH3835">
        <v>7.85610608215997</v>
      </c>
      <c r="AI3835">
        <v>96.609290184767502</v>
      </c>
      <c r="AJ3835">
        <v>55.332604448379698</v>
      </c>
      <c r="AK3835">
        <v>9.6157753401315507</v>
      </c>
      <c r="AL3835">
        <v>82.7480168670225</v>
      </c>
      <c r="AM3835">
        <v>68.382186401913401</v>
      </c>
      <c r="AN3835">
        <v>0.999999964083089</v>
      </c>
    </row>
    <row r="3836" spans="1:40" x14ac:dyDescent="0.25">
      <c r="A3836" t="str">
        <f>"20190303162334616"</f>
        <v>20190303162334616</v>
      </c>
      <c r="B3836" t="str">
        <f>"1551601414608497"</f>
        <v>1551601414608497</v>
      </c>
      <c r="C3836" t="s">
        <v>40</v>
      </c>
      <c r="D3836">
        <v>5.6199070000000004</v>
      </c>
      <c r="E3836">
        <v>0.59536489999999997</v>
      </c>
      <c r="F3836" t="s">
        <v>41</v>
      </c>
      <c r="G3836">
        <v>-193.0994</v>
      </c>
      <c r="H3836" s="1">
        <v>-4.4770139999999996E-6</v>
      </c>
      <c r="I3836">
        <v>198.52709999999999</v>
      </c>
      <c r="J3836">
        <v>-194.91919999999999</v>
      </c>
      <c r="K3836">
        <v>1.106646</v>
      </c>
      <c r="L3836">
        <v>208.1891</v>
      </c>
      <c r="M3836">
        <v>0.71182900000000005</v>
      </c>
      <c r="N3836">
        <v>-1.2428949999999999E-2</v>
      </c>
      <c r="O3836">
        <v>-0.7022429</v>
      </c>
      <c r="P3836">
        <v>0.40447850000000002</v>
      </c>
      <c r="Q3836">
        <v>0.126994</v>
      </c>
      <c r="R3836">
        <v>-0.90568749999999998</v>
      </c>
      <c r="S3836">
        <v>0.62805180000000005</v>
      </c>
      <c r="T3836">
        <v>-0.34734330000000002</v>
      </c>
      <c r="U3836">
        <v>-3.0945589999999998</v>
      </c>
      <c r="V3836">
        <v>0.36504829999999999</v>
      </c>
      <c r="W3836">
        <v>0.12650529999999999</v>
      </c>
      <c r="X3836">
        <v>0.9223536</v>
      </c>
      <c r="Y3836">
        <v>0.55725599999999997</v>
      </c>
      <c r="Z3836">
        <v>4.1786049999999998E-2</v>
      </c>
      <c r="AA3836">
        <v>0.82928869999999899</v>
      </c>
      <c r="AB3836">
        <v>27</v>
      </c>
      <c r="AC3836">
        <v>1.8197999999999801</v>
      </c>
      <c r="AD3836">
        <v>-1.106650477014</v>
      </c>
      <c r="AE3836">
        <v>-9.6620000000000008</v>
      </c>
      <c r="AF3836">
        <v>5.5301205319774596</v>
      </c>
      <c r="AG3836">
        <v>-1.106650477014</v>
      </c>
      <c r="AH3836">
        <v>7.9799815267919803</v>
      </c>
      <c r="AI3836">
        <v>96.502699652106401</v>
      </c>
      <c r="AJ3836">
        <v>55.278073064808403</v>
      </c>
      <c r="AK3836">
        <v>9.7717456753854997</v>
      </c>
      <c r="AL3836">
        <v>82.732306788066595</v>
      </c>
      <c r="AM3836">
        <v>68.407374824417204</v>
      </c>
      <c r="AN3836">
        <v>1.00000000784696</v>
      </c>
    </row>
    <row r="3837" spans="1:40" x14ac:dyDescent="0.25">
      <c r="A3837" t="str">
        <f>"20190303162334638"</f>
        <v>20190303162334638</v>
      </c>
      <c r="B3837" t="str">
        <f>"1551601414628994"</f>
        <v>1551601414628994</v>
      </c>
      <c r="C3837" t="s">
        <v>40</v>
      </c>
      <c r="D3837">
        <v>6.007911</v>
      </c>
      <c r="E3837">
        <v>0.59439909999999996</v>
      </c>
      <c r="F3837" t="s">
        <v>41</v>
      </c>
      <c r="G3837">
        <v>-192.47989999999999</v>
      </c>
      <c r="H3837" s="1">
        <v>-2.937644E-6</v>
      </c>
      <c r="I3837">
        <v>194.89869999999999</v>
      </c>
      <c r="J3837">
        <v>-194.73660000000001</v>
      </c>
      <c r="K3837">
        <v>1.106541</v>
      </c>
      <c r="L3837">
        <v>207.98169999999999</v>
      </c>
      <c r="M3837">
        <v>0.69826060000000001</v>
      </c>
      <c r="N3837">
        <v>-1.249722E-2</v>
      </c>
      <c r="O3837">
        <v>-0.71573439999999999</v>
      </c>
      <c r="P3837">
        <v>0.38662590000000002</v>
      </c>
      <c r="Q3837">
        <v>0.12641140000000001</v>
      </c>
      <c r="R3837">
        <v>-0.91353200000000001</v>
      </c>
      <c r="S3837">
        <v>0.56800839999999997</v>
      </c>
      <c r="T3837">
        <v>-0.25769720000000002</v>
      </c>
      <c r="U3837">
        <v>-3.0948329999999999</v>
      </c>
      <c r="V3837">
        <v>0.36556630000000001</v>
      </c>
      <c r="W3837">
        <v>0.1258937</v>
      </c>
      <c r="X3837">
        <v>0.92223219999999995</v>
      </c>
      <c r="Y3837">
        <v>0.55710740000000003</v>
      </c>
      <c r="Z3837">
        <v>2.9530290000000001E-2</v>
      </c>
      <c r="AA3837">
        <v>0.82991519999999996</v>
      </c>
      <c r="AB3837">
        <v>27</v>
      </c>
      <c r="AC3837">
        <v>2.2567000000000199</v>
      </c>
      <c r="AD3837">
        <v>-1.1065439376440001</v>
      </c>
      <c r="AE3837">
        <v>-13.082999999999901</v>
      </c>
      <c r="AF3837">
        <v>7.4688486043631501</v>
      </c>
      <c r="AG3837">
        <v>-1.1065439376440001</v>
      </c>
      <c r="AH3837">
        <v>10.8650949928348</v>
      </c>
      <c r="AI3837">
        <v>94.797415817755805</v>
      </c>
      <c r="AJ3837">
        <v>55.494714966053799</v>
      </c>
      <c r="AK3837">
        <v>13.230964748050599</v>
      </c>
      <c r="AL3837">
        <v>82.767631886773799</v>
      </c>
      <c r="AM3837">
        <v>68.376976795487195</v>
      </c>
      <c r="AN3837">
        <v>1.0000000870561001</v>
      </c>
    </row>
    <row r="3838" spans="1:40" x14ac:dyDescent="0.25">
      <c r="A3838" t="str">
        <f>"20190303162334661"</f>
        <v>20190303162334661</v>
      </c>
      <c r="B3838" t="str">
        <f>"1551601414648514"</f>
        <v>1551601414648514</v>
      </c>
      <c r="C3838" t="s">
        <v>40</v>
      </c>
      <c r="D3838">
        <v>5.6252570000000004</v>
      </c>
      <c r="E3838">
        <v>0.59300710000000001</v>
      </c>
      <c r="F3838" t="s">
        <v>41</v>
      </c>
      <c r="G3838">
        <v>-192.5616</v>
      </c>
      <c r="H3838" s="1">
        <v>-2.967562E-6</v>
      </c>
      <c r="I3838">
        <v>194.9178</v>
      </c>
      <c r="J3838">
        <v>-194.55619999999999</v>
      </c>
      <c r="K3838">
        <v>1.106452</v>
      </c>
      <c r="L3838">
        <v>207.7688</v>
      </c>
      <c r="M3838">
        <v>0.68425950000000002</v>
      </c>
      <c r="N3838">
        <v>-1.255887E-2</v>
      </c>
      <c r="O3838">
        <v>-0.72913059999999996</v>
      </c>
      <c r="P3838">
        <v>0.36893049999999999</v>
      </c>
      <c r="Q3838">
        <v>0.12655759999999999</v>
      </c>
      <c r="R3838">
        <v>-0.92080090000000003</v>
      </c>
      <c r="S3838">
        <v>0.51638790000000001</v>
      </c>
      <c r="T3838">
        <v>-0.26272279999999998</v>
      </c>
      <c r="U3838">
        <v>-3.101715</v>
      </c>
      <c r="V3838">
        <v>0.36550179999999999</v>
      </c>
      <c r="W3838">
        <v>0.12603519999999999</v>
      </c>
      <c r="X3838">
        <v>0.92223829999999996</v>
      </c>
      <c r="Y3838">
        <v>0.55475189999999996</v>
      </c>
      <c r="Z3838">
        <v>3.1757229999999997E-2</v>
      </c>
      <c r="AA3838">
        <v>0.83140949999999902</v>
      </c>
      <c r="AB3838">
        <v>27</v>
      </c>
      <c r="AC3838">
        <v>1.9945999999999899</v>
      </c>
      <c r="AD3838">
        <v>-1.1064549675619999</v>
      </c>
      <c r="AE3838">
        <v>-12.851000000000001</v>
      </c>
      <c r="AF3838">
        <v>7.2869257280642996</v>
      </c>
      <c r="AG3838">
        <v>-1.1064549675619999</v>
      </c>
      <c r="AH3838">
        <v>10.658573524575999</v>
      </c>
      <c r="AI3838">
        <v>94.898047476424296</v>
      </c>
      <c r="AJ3838">
        <v>55.640832951613604</v>
      </c>
      <c r="AK3838">
        <v>12.9587313707924</v>
      </c>
      <c r="AL3838">
        <v>82.759458512183002</v>
      </c>
      <c r="AM3838">
        <v>68.380569752748599</v>
      </c>
      <c r="AN3838">
        <v>0.999999959714584</v>
      </c>
    </row>
    <row r="3839" spans="1:40" x14ac:dyDescent="0.25">
      <c r="A3839" t="str">
        <f>"20190303162334684"</f>
        <v>20190303162334684</v>
      </c>
      <c r="B3839" t="str">
        <f>"1551601414669009"</f>
        <v>1551601414669009</v>
      </c>
      <c r="C3839" t="s">
        <v>40</v>
      </c>
      <c r="D3839">
        <v>5.6242369999999999</v>
      </c>
      <c r="E3839">
        <v>0.59177270000000004</v>
      </c>
      <c r="F3839" t="s">
        <v>41</v>
      </c>
      <c r="G3839">
        <v>-192.6103</v>
      </c>
      <c r="H3839" s="1">
        <v>-2.956631E-6</v>
      </c>
      <c r="I3839">
        <v>194.8621</v>
      </c>
      <c r="J3839">
        <v>-194.38149999999999</v>
      </c>
      <c r="K3839">
        <v>1.1063769999999999</v>
      </c>
      <c r="L3839">
        <v>207.55439999999999</v>
      </c>
      <c r="M3839">
        <v>0.67009560000000001</v>
      </c>
      <c r="N3839">
        <v>-1.261353E-2</v>
      </c>
      <c r="O3839">
        <v>-0.74216789999999999</v>
      </c>
      <c r="P3839">
        <v>0.35296689999999997</v>
      </c>
      <c r="Q3839">
        <v>0.1277703</v>
      </c>
      <c r="R3839">
        <v>-0.92687090000000005</v>
      </c>
      <c r="S3839">
        <v>0.4684296</v>
      </c>
      <c r="T3839">
        <v>-0.26635039999999999</v>
      </c>
      <c r="U3839">
        <v>-3.1069490000000002</v>
      </c>
      <c r="V3839">
        <v>0.36362840000000002</v>
      </c>
      <c r="W3839">
        <v>0.12731219999999999</v>
      </c>
      <c r="X3839">
        <v>0.92280329999999999</v>
      </c>
      <c r="Y3839">
        <v>0.55149099999999995</v>
      </c>
      <c r="Z3839">
        <v>3.3829289999999998E-2</v>
      </c>
      <c r="AA3839">
        <v>0.83349470000000003</v>
      </c>
      <c r="AB3839">
        <v>27</v>
      </c>
      <c r="AC3839">
        <v>1.7711999999999899</v>
      </c>
      <c r="AD3839">
        <v>-1.106379956631</v>
      </c>
      <c r="AE3839">
        <v>-12.6922999999999</v>
      </c>
      <c r="AF3839">
        <v>7.1378959464241101</v>
      </c>
      <c r="AG3839">
        <v>-1.106379956631</v>
      </c>
      <c r="AH3839">
        <v>10.529055888958201</v>
      </c>
      <c r="AI3839">
        <v>94.970864500946803</v>
      </c>
      <c r="AJ3839">
        <v>55.865726526122202</v>
      </c>
      <c r="AK3839">
        <v>12.7685023813765</v>
      </c>
      <c r="AL3839">
        <v>82.6856976839358</v>
      </c>
      <c r="AM3839">
        <v>68.493200377117802</v>
      </c>
      <c r="AN3839">
        <v>0.999999970023144</v>
      </c>
    </row>
    <row r="3840" spans="1:40" x14ac:dyDescent="0.25">
      <c r="A3840" t="str">
        <f>"20190303162334735"</f>
        <v>20190303162334735</v>
      </c>
      <c r="B3840" t="str">
        <f>"1551601414728546"</f>
        <v>1551601414728546</v>
      </c>
      <c r="C3840" t="s">
        <v>40</v>
      </c>
      <c r="D3840">
        <v>5.6751420000000001</v>
      </c>
      <c r="E3840">
        <v>0.57815179999999999</v>
      </c>
      <c r="F3840" t="s">
        <v>41</v>
      </c>
      <c r="G3840">
        <v>-192.5951</v>
      </c>
      <c r="H3840" s="1">
        <v>-2.7442010000000002E-6</v>
      </c>
      <c r="I3840">
        <v>194.37639999999999</v>
      </c>
      <c r="J3840">
        <v>-194.0804</v>
      </c>
      <c r="K3840">
        <v>1.106252</v>
      </c>
      <c r="L3840">
        <v>207.1635</v>
      </c>
      <c r="M3840">
        <v>0.6441424</v>
      </c>
      <c r="N3840">
        <v>-1.269869E-2</v>
      </c>
      <c r="O3840">
        <v>-0.76480029999999999</v>
      </c>
      <c r="P3840">
        <v>0.32247930000000002</v>
      </c>
      <c r="Q3840">
        <v>0.12759669999999901</v>
      </c>
      <c r="R3840">
        <v>-0.93793740000000003</v>
      </c>
      <c r="S3840">
        <v>0.421875</v>
      </c>
      <c r="T3840">
        <v>-0.26127529999999999</v>
      </c>
      <c r="U3840">
        <v>-3.1120450000000002</v>
      </c>
      <c r="V3840">
        <v>0.36206159999999998</v>
      </c>
      <c r="W3840">
        <v>0.12718450000000001</v>
      </c>
      <c r="X3840">
        <v>0.92343679999999995</v>
      </c>
      <c r="Y3840">
        <v>0.53514949999999994</v>
      </c>
      <c r="Z3840">
        <v>3.5891180000000002E-2</v>
      </c>
      <c r="AA3840">
        <v>0.84399460000000004</v>
      </c>
      <c r="AB3840">
        <v>27</v>
      </c>
      <c r="AC3840">
        <v>1.4852999999999901</v>
      </c>
      <c r="AD3840">
        <v>-1.106254744201</v>
      </c>
      <c r="AE3840">
        <v>-12.787100000000001</v>
      </c>
      <c r="AF3840">
        <v>7.0492690433630001</v>
      </c>
      <c r="AG3840">
        <v>-1.106254744201</v>
      </c>
      <c r="AH3840">
        <v>10.658475397137799</v>
      </c>
      <c r="AI3840">
        <v>94.947770300011499</v>
      </c>
      <c r="AJ3840">
        <v>56.520271972792798</v>
      </c>
      <c r="AK3840">
        <v>12.826499576898399</v>
      </c>
      <c r="AL3840">
        <v>82.693074624812496</v>
      </c>
      <c r="AM3840">
        <v>68.590820683055696</v>
      </c>
      <c r="AN3840">
        <v>1.00000001141452</v>
      </c>
    </row>
    <row r="3841" spans="1:40" x14ac:dyDescent="0.25">
      <c r="A3841" t="str">
        <f>"20190303162334750"</f>
        <v>20190303162334750</v>
      </c>
      <c r="B3841" t="str">
        <f>"1551601414738305"</f>
        <v>1551601414738305</v>
      </c>
      <c r="C3841" t="s">
        <v>40</v>
      </c>
      <c r="D3841">
        <v>5.640199</v>
      </c>
      <c r="E3841">
        <v>0.57918510000000001</v>
      </c>
      <c r="F3841" t="s">
        <v>41</v>
      </c>
      <c r="G3841">
        <v>-192.2911</v>
      </c>
      <c r="H3841" s="1">
        <v>-2.5217259999999998E-6</v>
      </c>
      <c r="I3841">
        <v>194.0463</v>
      </c>
      <c r="J3841">
        <v>-193.88509999999999</v>
      </c>
      <c r="K3841">
        <v>1.106203</v>
      </c>
      <c r="L3841">
        <v>206.89349999999999</v>
      </c>
      <c r="M3841">
        <v>0.62614320000000001</v>
      </c>
      <c r="N3841">
        <v>-1.2749E-2</v>
      </c>
      <c r="O3841">
        <v>-0.77960410000000002</v>
      </c>
      <c r="P3841">
        <v>0.30298920000000001</v>
      </c>
      <c r="Q3841">
        <v>0.1311734</v>
      </c>
      <c r="R3841">
        <v>-0.94392359999999997</v>
      </c>
      <c r="S3841">
        <v>0.4213867</v>
      </c>
      <c r="T3841">
        <v>-0.26052110000000001</v>
      </c>
      <c r="U3841">
        <v>-3.0890659999999999</v>
      </c>
      <c r="V3841">
        <v>0.3594946</v>
      </c>
      <c r="W3841">
        <v>0.1308425</v>
      </c>
      <c r="X3841">
        <v>0.92392850000000004</v>
      </c>
      <c r="Y3841">
        <v>0.51465919999999998</v>
      </c>
      <c r="Z3841">
        <v>3.8381609999999997E-2</v>
      </c>
      <c r="AA3841">
        <v>0.8565353</v>
      </c>
      <c r="AB3841">
        <v>27</v>
      </c>
      <c r="AC3841">
        <v>1.5939999999999901</v>
      </c>
      <c r="AD3841">
        <v>-1.1062055217260001</v>
      </c>
      <c r="AE3841">
        <v>-12.8471999999999</v>
      </c>
      <c r="AF3841">
        <v>6.7527434002401998</v>
      </c>
      <c r="AG3841">
        <v>-1.1062055217260001</v>
      </c>
      <c r="AH3841">
        <v>10.934852779895699</v>
      </c>
      <c r="AI3841">
        <v>94.919523781910002</v>
      </c>
      <c r="AJ3841">
        <v>58.302880156262397</v>
      </c>
      <c r="AK3841">
        <v>12.8993891097128</v>
      </c>
      <c r="AL3841">
        <v>82.481720132759605</v>
      </c>
      <c r="AM3841">
        <v>68.7393104985006</v>
      </c>
      <c r="AN3841">
        <v>1.0000000001738201</v>
      </c>
    </row>
    <row r="3842" spans="1:40" x14ac:dyDescent="0.25">
      <c r="A3842" t="str">
        <f>"20190303162334773"</f>
        <v>20190303162334773</v>
      </c>
      <c r="B3842" t="str">
        <f>"1551601414758802"</f>
        <v>1551601414758802</v>
      </c>
      <c r="C3842" t="s">
        <v>40</v>
      </c>
      <c r="D3842">
        <v>5.6772650000000002</v>
      </c>
      <c r="E3842">
        <v>0.57900560000000001</v>
      </c>
      <c r="F3842" t="s">
        <v>41</v>
      </c>
      <c r="G3842">
        <v>-192.25970000000001</v>
      </c>
      <c r="H3842" s="1">
        <v>-1.894545E-6</v>
      </c>
      <c r="I3842">
        <v>192.60380000000001</v>
      </c>
      <c r="J3842">
        <v>-193.7174</v>
      </c>
      <c r="K3842">
        <v>1.106169</v>
      </c>
      <c r="L3842">
        <v>206.65110000000001</v>
      </c>
      <c r="M3842">
        <v>0.60991309999999999</v>
      </c>
      <c r="N3842">
        <v>-1.279045E-2</v>
      </c>
      <c r="O3842">
        <v>-0.7923654</v>
      </c>
      <c r="P3842">
        <v>0.28799669999999999</v>
      </c>
      <c r="Q3842">
        <v>0.13627210000000001</v>
      </c>
      <c r="R3842">
        <v>-0.94788620000000001</v>
      </c>
      <c r="S3842">
        <v>0.35244750000000002</v>
      </c>
      <c r="T3842">
        <v>-0.23985899999999999</v>
      </c>
      <c r="U3842">
        <v>-3.0984340000000001</v>
      </c>
      <c r="V3842">
        <v>0.35480289999999998</v>
      </c>
      <c r="W3842">
        <v>0.13610169999999999</v>
      </c>
      <c r="X3842">
        <v>0.92498179999999997</v>
      </c>
      <c r="Y3842">
        <v>0.51610549999999999</v>
      </c>
      <c r="Z3842">
        <v>3.5509550000000001E-2</v>
      </c>
      <c r="AA3842">
        <v>0.85578860000000001</v>
      </c>
      <c r="AB3842">
        <v>27</v>
      </c>
      <c r="AC3842">
        <v>1.45769999999998</v>
      </c>
      <c r="AD3842">
        <v>-1.1061708945449999</v>
      </c>
      <c r="AE3842">
        <v>-14.0473</v>
      </c>
      <c r="AF3842">
        <v>7.3680038306076598</v>
      </c>
      <c r="AG3842">
        <v>-1.1061708945449999</v>
      </c>
      <c r="AH3842">
        <v>11.94734930665</v>
      </c>
      <c r="AI3842">
        <v>94.505943600432403</v>
      </c>
      <c r="AJ3842">
        <v>58.337609837721402</v>
      </c>
      <c r="AK3842">
        <v>14.0801367163425</v>
      </c>
      <c r="AL3842">
        <v>82.177669719189197</v>
      </c>
      <c r="AM3842">
        <v>69.014272738738896</v>
      </c>
      <c r="AN3842">
        <v>1.0000000504612601</v>
      </c>
    </row>
    <row r="3843" spans="1:40" x14ac:dyDescent="0.25">
      <c r="A3843" t="str">
        <f>"20190303162334795"</f>
        <v>20190303162334795</v>
      </c>
      <c r="B3843" t="str">
        <f>"1551601414789058"</f>
        <v>1551601414789058</v>
      </c>
      <c r="C3843" t="s">
        <v>40</v>
      </c>
      <c r="D3843">
        <v>5.6824180000000002</v>
      </c>
      <c r="E3843">
        <v>0.5818025</v>
      </c>
      <c r="F3843" t="s">
        <v>41</v>
      </c>
      <c r="G3843">
        <v>-192.18369999999999</v>
      </c>
      <c r="H3843" s="1">
        <v>-1.1663740000000001E-6</v>
      </c>
      <c r="I3843">
        <v>190.95359999999999</v>
      </c>
      <c r="J3843">
        <v>-193.56649999999999</v>
      </c>
      <c r="K3843">
        <v>1.106125</v>
      </c>
      <c r="L3843">
        <v>206.4237</v>
      </c>
      <c r="M3843">
        <v>0.59460999999999997</v>
      </c>
      <c r="N3843">
        <v>-1.282929E-2</v>
      </c>
      <c r="O3843">
        <v>-0.80391210000000002</v>
      </c>
      <c r="P3843">
        <v>0.27538790000000002</v>
      </c>
      <c r="Q3843">
        <v>0.14162949999999999</v>
      </c>
      <c r="R3843">
        <v>-0.95084349999999995</v>
      </c>
      <c r="S3843">
        <v>0.30329899999999999</v>
      </c>
      <c r="T3843">
        <v>-0.2187501</v>
      </c>
      <c r="U3843">
        <v>-3.104263</v>
      </c>
      <c r="V3843">
        <v>0.34907739999999998</v>
      </c>
      <c r="W3843">
        <v>0.141655</v>
      </c>
      <c r="X3843">
        <v>0.92632539999999997</v>
      </c>
      <c r="Y3843">
        <v>0.51330589999999998</v>
      </c>
      <c r="Z3843">
        <v>3.2369870000000002E-2</v>
      </c>
      <c r="AA3843">
        <v>0.857595</v>
      </c>
      <c r="AB3843">
        <v>27</v>
      </c>
      <c r="AC3843">
        <v>1.3828</v>
      </c>
      <c r="AD3843">
        <v>-1.1061261663740001</v>
      </c>
      <c r="AE3843">
        <v>-15.4701</v>
      </c>
      <c r="AF3843">
        <v>8.0468782590824102</v>
      </c>
      <c r="AG3843">
        <v>-1.1061261663740001</v>
      </c>
      <c r="AH3843">
        <v>13.193003498877101</v>
      </c>
      <c r="AI3843">
        <v>94.094144653461996</v>
      </c>
      <c r="AJ3843">
        <v>58.619511657715101</v>
      </c>
      <c r="AK3843">
        <v>15.4929372984535</v>
      </c>
      <c r="AL3843">
        <v>81.856374365469705</v>
      </c>
      <c r="AM3843">
        <v>69.351533303175998</v>
      </c>
      <c r="AN3843">
        <v>0.99999995845045897</v>
      </c>
    </row>
    <row r="3844" spans="1:40" x14ac:dyDescent="0.25">
      <c r="A3844" t="str">
        <f>"20190303162334818"</f>
        <v>20190303162334818</v>
      </c>
      <c r="B3844" t="str">
        <f>"1551601414808578"</f>
        <v>1551601414808578</v>
      </c>
      <c r="C3844" t="s">
        <v>40</v>
      </c>
      <c r="D3844">
        <v>5.6964579999999998</v>
      </c>
      <c r="E3844">
        <v>0.58348449999999996</v>
      </c>
      <c r="F3844" t="s">
        <v>41</v>
      </c>
      <c r="G3844">
        <v>-192.25290000000001</v>
      </c>
      <c r="H3844" s="1">
        <v>-4.5886569999999997E-6</v>
      </c>
      <c r="I3844">
        <v>189.29640000000001</v>
      </c>
      <c r="J3844">
        <v>-193.41329999999999</v>
      </c>
      <c r="K3844">
        <v>1.106079</v>
      </c>
      <c r="L3844">
        <v>206.18270000000001</v>
      </c>
      <c r="M3844">
        <v>0.57830300000000001</v>
      </c>
      <c r="N3844">
        <v>-1.2872689999999999E-2</v>
      </c>
      <c r="O3844">
        <v>-0.81572069999999997</v>
      </c>
      <c r="P3844">
        <v>0.26080530000000002</v>
      </c>
      <c r="Q3844">
        <v>0.1475417</v>
      </c>
      <c r="R3844">
        <v>-0.95405079999999998</v>
      </c>
      <c r="S3844">
        <v>0.23898320000000001</v>
      </c>
      <c r="T3844">
        <v>-0.2012314</v>
      </c>
      <c r="U3844">
        <v>-3.1158600000000001</v>
      </c>
      <c r="V3844">
        <v>0.34430640000000001</v>
      </c>
      <c r="W3844">
        <v>0.1477183</v>
      </c>
      <c r="X3844">
        <v>0.92716359999999998</v>
      </c>
      <c r="Y3844">
        <v>0.51393679999999997</v>
      </c>
      <c r="Z3844">
        <v>2.9610290000000001E-2</v>
      </c>
      <c r="AA3844">
        <v>0.85731689999999905</v>
      </c>
      <c r="AB3844">
        <v>27</v>
      </c>
      <c r="AC3844">
        <v>1.1603999999999799</v>
      </c>
      <c r="AD3844">
        <v>-1.106083588657</v>
      </c>
      <c r="AE3844">
        <v>-16.886299999999999</v>
      </c>
      <c r="AF3844">
        <v>8.7820627092544505</v>
      </c>
      <c r="AG3844">
        <v>-1.106083588657</v>
      </c>
      <c r="AH3844">
        <v>14.385331871666599</v>
      </c>
      <c r="AI3844">
        <v>93.754753085621999</v>
      </c>
      <c r="AJ3844">
        <v>58.596463953811302</v>
      </c>
      <c r="AK3844">
        <v>16.890406134618601</v>
      </c>
      <c r="AL3844">
        <v>81.505277943315605</v>
      </c>
      <c r="AM3844">
        <v>69.627292989997699</v>
      </c>
      <c r="AN3844">
        <v>0.99999996720040396</v>
      </c>
    </row>
    <row r="3845" spans="1:40" x14ac:dyDescent="0.25">
      <c r="A3845" t="str">
        <f>"20190303162334838"</f>
        <v>20190303162334838</v>
      </c>
      <c r="B3845" t="str">
        <f>"1551601414828098"</f>
        <v>1551601414828098</v>
      </c>
      <c r="C3845" t="s">
        <v>40</v>
      </c>
      <c r="D3845">
        <v>5.719462</v>
      </c>
      <c r="E3845">
        <v>0.5841499</v>
      </c>
      <c r="F3845" t="s">
        <v>41</v>
      </c>
      <c r="G3845">
        <v>-192.2876</v>
      </c>
      <c r="H3845" s="1">
        <v>-3.4308709999999999E-6</v>
      </c>
      <c r="I3845">
        <v>186.1678</v>
      </c>
      <c r="J3845">
        <v>-193.28020000000001</v>
      </c>
      <c r="K3845">
        <v>1.1060299999999901</v>
      </c>
      <c r="L3845">
        <v>205.964</v>
      </c>
      <c r="M3845">
        <v>0.56343449999999995</v>
      </c>
      <c r="N3845">
        <v>-1.291405E-2</v>
      </c>
      <c r="O3845">
        <v>-0.82605980000000001</v>
      </c>
      <c r="P3845">
        <v>0.24735309999999999</v>
      </c>
      <c r="Q3845">
        <v>0.15357979999999999</v>
      </c>
      <c r="R3845">
        <v>-0.95667639999999998</v>
      </c>
      <c r="S3845">
        <v>0.17565919999999999</v>
      </c>
      <c r="T3845">
        <v>-0.17259440000000001</v>
      </c>
      <c r="U3845">
        <v>-3.123154</v>
      </c>
      <c r="V3845">
        <v>0.34025850000000002</v>
      </c>
      <c r="W3845">
        <v>0.1538793</v>
      </c>
      <c r="X3845">
        <v>0.92765580000000003</v>
      </c>
      <c r="Y3845">
        <v>0.51590689999999995</v>
      </c>
      <c r="Z3845">
        <v>2.421591E-2</v>
      </c>
      <c r="AA3845">
        <v>0.85630229999999996</v>
      </c>
      <c r="AB3845">
        <v>27</v>
      </c>
      <c r="AC3845">
        <v>0.99260000000001003</v>
      </c>
      <c r="AD3845">
        <v>-1.10603343087099</v>
      </c>
      <c r="AE3845">
        <v>-19.796199999999999</v>
      </c>
      <c r="AF3845">
        <v>10.3026969782696</v>
      </c>
      <c r="AG3845">
        <v>-1.10603343087099</v>
      </c>
      <c r="AH3845">
        <v>16.861019667360399</v>
      </c>
      <c r="AI3845">
        <v>93.203767771771695</v>
      </c>
      <c r="AJ3845">
        <v>58.573550627838003</v>
      </c>
      <c r="AK3845">
        <v>19.790473950852402</v>
      </c>
      <c r="AL3845">
        <v>81.148194741844094</v>
      </c>
      <c r="AM3845">
        <v>69.857270229172002</v>
      </c>
      <c r="AN3845">
        <v>0.99999998453218997</v>
      </c>
    </row>
    <row r="3846" spans="1:40" x14ac:dyDescent="0.25">
      <c r="A3846" t="str">
        <f>"20190303162334862"</f>
        <v>20190303162334862</v>
      </c>
      <c r="B3846" t="str">
        <f>"1551601414848598"</f>
        <v>1551601414848598</v>
      </c>
      <c r="C3846" t="s">
        <v>40</v>
      </c>
      <c r="D3846">
        <v>5.7168269999999897</v>
      </c>
      <c r="E3846">
        <v>0.58425499999999997</v>
      </c>
      <c r="F3846" t="s">
        <v>41</v>
      </c>
      <c r="G3846">
        <v>-192.3546</v>
      </c>
      <c r="H3846" s="1">
        <v>-2.1844670000000002E-6</v>
      </c>
      <c r="I3846">
        <v>183.22069999999999</v>
      </c>
      <c r="J3846">
        <v>-193.1353</v>
      </c>
      <c r="K3846">
        <v>1.1059540000000001</v>
      </c>
      <c r="L3846">
        <v>205.71559999999999</v>
      </c>
      <c r="M3846">
        <v>0.54644589999999904</v>
      </c>
      <c r="N3846">
        <v>-1.296048E-2</v>
      </c>
      <c r="O3846">
        <v>-0.83739419999999898</v>
      </c>
      <c r="P3846">
        <v>0.2316906</v>
      </c>
      <c r="Q3846">
        <v>0.15651419999999999</v>
      </c>
      <c r="R3846">
        <v>-0.96011639999999998</v>
      </c>
      <c r="S3846">
        <v>0.12727359999999999</v>
      </c>
      <c r="T3846">
        <v>-0.152086</v>
      </c>
      <c r="U3846">
        <v>-3.127335</v>
      </c>
      <c r="V3846">
        <v>0.33633879999999999</v>
      </c>
      <c r="W3846">
        <v>0.15693219999999999</v>
      </c>
      <c r="X3846">
        <v>0.92857339999999999</v>
      </c>
      <c r="Y3846">
        <v>0.51172669999999998</v>
      </c>
      <c r="Z3846">
        <v>2.0555449999999999E-2</v>
      </c>
      <c r="AA3846">
        <v>0.85890230000000001</v>
      </c>
      <c r="AB3846">
        <v>27</v>
      </c>
      <c r="AC3846">
        <v>0.78069999999999595</v>
      </c>
      <c r="AD3846">
        <v>-1.1059561844670001</v>
      </c>
      <c r="AE3846">
        <v>-22.494900000000001</v>
      </c>
      <c r="AF3846">
        <v>11.6114359212457</v>
      </c>
      <c r="AG3846">
        <v>-1.1059561844670001</v>
      </c>
      <c r="AH3846">
        <v>19.218926262851198</v>
      </c>
      <c r="AI3846">
        <v>92.819755881768103</v>
      </c>
      <c r="AJ3846">
        <v>58.861024714834997</v>
      </c>
      <c r="AK3846">
        <v>22.481452576114101</v>
      </c>
      <c r="AL3846">
        <v>80.971125538675693</v>
      </c>
      <c r="AM3846">
        <v>70.089094177040295</v>
      </c>
      <c r="AN3846">
        <v>1.00000003148491</v>
      </c>
    </row>
    <row r="3847" spans="1:40" x14ac:dyDescent="0.25">
      <c r="A3847" t="str">
        <f>"20190303162334884"</f>
        <v>20190303162334884</v>
      </c>
      <c r="B3847" t="str">
        <f>"1551601414868117"</f>
        <v>1551601414868117</v>
      </c>
      <c r="C3847" t="s">
        <v>40</v>
      </c>
      <c r="D3847">
        <v>5.7383230000000003</v>
      </c>
      <c r="E3847">
        <v>0.58374510000000002</v>
      </c>
      <c r="F3847" t="s">
        <v>41</v>
      </c>
      <c r="G3847">
        <v>-192.5532</v>
      </c>
      <c r="H3847" s="1">
        <v>-1.63421699999999E-6</v>
      </c>
      <c r="I3847">
        <v>181.81489999999999</v>
      </c>
      <c r="J3847">
        <v>-192.99950000000001</v>
      </c>
      <c r="K3847">
        <v>1.1058709999999901</v>
      </c>
      <c r="L3847">
        <v>205.4709</v>
      </c>
      <c r="M3847">
        <v>0.52964630000000001</v>
      </c>
      <c r="N3847">
        <v>-1.300304E-2</v>
      </c>
      <c r="O3847">
        <v>-0.84811909999999902</v>
      </c>
      <c r="P3847">
        <v>0.2181052</v>
      </c>
      <c r="Q3847">
        <v>0.156266299999999</v>
      </c>
      <c r="R3847">
        <v>-0.96333369999999996</v>
      </c>
      <c r="S3847">
        <v>7.6217649999999998E-2</v>
      </c>
      <c r="T3847">
        <v>-0.14482709999999999</v>
      </c>
      <c r="U3847">
        <v>-3.1298370000000002</v>
      </c>
      <c r="V3847">
        <v>0.33097910000000003</v>
      </c>
      <c r="W3847">
        <v>0.1568695</v>
      </c>
      <c r="X3847">
        <v>0.9305078</v>
      </c>
      <c r="Y3847">
        <v>0.50863879999999995</v>
      </c>
      <c r="Z3847">
        <v>1.9605729999999998E-2</v>
      </c>
      <c r="AA3847">
        <v>0.86075679999999999</v>
      </c>
      <c r="AB3847">
        <v>27</v>
      </c>
      <c r="AC3847">
        <v>0.44630000000000702</v>
      </c>
      <c r="AD3847">
        <v>-1.10587263421699</v>
      </c>
      <c r="AE3847">
        <v>-23.655999999999999</v>
      </c>
      <c r="AF3847">
        <v>12.125333837028601</v>
      </c>
      <c r="AG3847">
        <v>-1.10587263421699</v>
      </c>
      <c r="AH3847">
        <v>20.256946517186599</v>
      </c>
      <c r="AI3847">
        <v>92.681881268971793</v>
      </c>
      <c r="AJ3847">
        <v>59.096248599823397</v>
      </c>
      <c r="AK3847">
        <v>23.6345204551025</v>
      </c>
      <c r="AL3847">
        <v>80.974762616038106</v>
      </c>
      <c r="AM3847">
        <v>70.419665266588495</v>
      </c>
      <c r="AN3847">
        <v>0.99999998526394995</v>
      </c>
    </row>
    <row r="3848" spans="1:40" x14ac:dyDescent="0.25">
      <c r="A3848" t="str">
        <f>"20190303162334907"</f>
        <v>20190303162334907</v>
      </c>
      <c r="B3848" t="str">
        <f>"1551601414898373"</f>
        <v>1551601414898373</v>
      </c>
      <c r="C3848" t="s">
        <v>40</v>
      </c>
      <c r="D3848">
        <v>5.7684660000000001</v>
      </c>
      <c r="E3848">
        <v>0.58288099999999998</v>
      </c>
      <c r="F3848" t="s">
        <v>41</v>
      </c>
      <c r="G3848">
        <v>-192.74359999999999</v>
      </c>
      <c r="H3848" s="1">
        <v>-1.7780899999999999E-6</v>
      </c>
      <c r="I3848">
        <v>182.03219999999999</v>
      </c>
      <c r="J3848">
        <v>-192.8689</v>
      </c>
      <c r="K3848">
        <v>1.105793</v>
      </c>
      <c r="L3848">
        <v>205.22380000000001</v>
      </c>
      <c r="M3848">
        <v>0.51261129999999999</v>
      </c>
      <c r="N3848">
        <v>-1.304103E-2</v>
      </c>
      <c r="O3848">
        <v>-0.85852169999999906</v>
      </c>
      <c r="P3848">
        <v>0.2026587</v>
      </c>
      <c r="Q3848">
        <v>0.15493319999999999</v>
      </c>
      <c r="R3848">
        <v>-0.96691530000000003</v>
      </c>
      <c r="S3848">
        <v>3.4179689999999999E-2</v>
      </c>
      <c r="T3848">
        <v>-0.1476973</v>
      </c>
      <c r="U3848">
        <v>-3.1304020000000001</v>
      </c>
      <c r="V3848">
        <v>0.32738200000000001</v>
      </c>
      <c r="W3848">
        <v>0.15565909999999999</v>
      </c>
      <c r="X3848">
        <v>0.93198250000000005</v>
      </c>
      <c r="Y3848">
        <v>0.50300199999999995</v>
      </c>
      <c r="Z3848">
        <v>2.0956289999999999E-2</v>
      </c>
      <c r="AA3848">
        <v>0.8640312</v>
      </c>
      <c r="AB3848">
        <v>27</v>
      </c>
      <c r="AC3848">
        <v>0.12530000000000899</v>
      </c>
      <c r="AD3848">
        <v>-1.1057947780899999</v>
      </c>
      <c r="AE3848">
        <v>-23.191600000000001</v>
      </c>
      <c r="AF3848">
        <v>11.75498208056</v>
      </c>
      <c r="AG3848">
        <v>-1.1057947780899999</v>
      </c>
      <c r="AH3848">
        <v>19.9311102838575</v>
      </c>
      <c r="AI3848">
        <v>92.735999666823005</v>
      </c>
      <c r="AJ3848">
        <v>59.468721010714702</v>
      </c>
      <c r="AK3848">
        <v>23.165740716688202</v>
      </c>
      <c r="AL3848">
        <v>81.044976613070205</v>
      </c>
      <c r="AM3848">
        <v>70.644908188101596</v>
      </c>
      <c r="AN3848">
        <v>1.00000005482152</v>
      </c>
    </row>
    <row r="3849" spans="1:40" x14ac:dyDescent="0.25">
      <c r="A3849" t="str">
        <f>"20190303162334929"</f>
        <v>20190303162334929</v>
      </c>
      <c r="B3849" t="str">
        <f>"1551601414918870"</f>
        <v>1551601414918870</v>
      </c>
      <c r="C3849" t="s">
        <v>40</v>
      </c>
      <c r="D3849">
        <v>5.700539</v>
      </c>
      <c r="E3849">
        <v>0.58213340000000002</v>
      </c>
      <c r="F3849" t="s">
        <v>41</v>
      </c>
      <c r="G3849">
        <v>-192.95419999999999</v>
      </c>
      <c r="H3849" s="1">
        <v>-2.1100530000000001E-6</v>
      </c>
      <c r="I3849">
        <v>182.6754</v>
      </c>
      <c r="J3849">
        <v>-192.7432</v>
      </c>
      <c r="K3849">
        <v>1.105726</v>
      </c>
      <c r="L3849">
        <v>204.97389999999999</v>
      </c>
      <c r="M3849">
        <v>0.49532480000000001</v>
      </c>
      <c r="N3849">
        <v>-1.3074280000000001E-2</v>
      </c>
      <c r="O3849">
        <v>-0.86860969999999904</v>
      </c>
      <c r="P3849">
        <v>0.18681739999999999</v>
      </c>
      <c r="Q3849">
        <v>0.15522710000000001</v>
      </c>
      <c r="R3849">
        <v>-0.97005390000000002</v>
      </c>
      <c r="S3849">
        <v>-1.184082E-2</v>
      </c>
      <c r="T3849">
        <v>-0.15348510000000001</v>
      </c>
      <c r="U3849">
        <v>-3.1297299999999999</v>
      </c>
      <c r="V3849">
        <v>0.32397429999999999</v>
      </c>
      <c r="W3849">
        <v>0.15607270000000001</v>
      </c>
      <c r="X3849">
        <v>0.93310340000000003</v>
      </c>
      <c r="Y3849">
        <v>0.49839309999999998</v>
      </c>
      <c r="Z3849">
        <v>2.3000349999999999E-2</v>
      </c>
      <c r="AA3849">
        <v>0.86664609999999997</v>
      </c>
      <c r="AB3849">
        <v>27</v>
      </c>
      <c r="AC3849">
        <v>-0.21099999999998401</v>
      </c>
      <c r="AD3849">
        <v>-1.1057281100530001</v>
      </c>
      <c r="AE3849">
        <v>-22.298499999999901</v>
      </c>
      <c r="AF3849">
        <v>11.201692546429401</v>
      </c>
      <c r="AG3849">
        <v>-1.1057281100530001</v>
      </c>
      <c r="AH3849">
        <v>19.218569844305001</v>
      </c>
      <c r="AI3849">
        <v>92.845673559554896</v>
      </c>
      <c r="AJ3849">
        <v>59.7638974679911</v>
      </c>
      <c r="AK3849">
        <v>22.272269247172002</v>
      </c>
      <c r="AL3849">
        <v>81.020985328026896</v>
      </c>
      <c r="AM3849">
        <v>70.852954987604207</v>
      </c>
      <c r="AN3849">
        <v>0.99999999491866998</v>
      </c>
    </row>
    <row r="3850" spans="1:40" x14ac:dyDescent="0.25">
      <c r="A3850" t="str">
        <f>"20190303162334952"</f>
        <v>20190303162334952</v>
      </c>
      <c r="B3850" t="str">
        <f>"1551601414938390"</f>
        <v>1551601414938390</v>
      </c>
      <c r="C3850" t="s">
        <v>40</v>
      </c>
      <c r="D3850">
        <v>5.7148070000000004</v>
      </c>
      <c r="E3850">
        <v>0.58150539999999995</v>
      </c>
      <c r="F3850" t="s">
        <v>41</v>
      </c>
      <c r="G3850">
        <v>-193.16829999999999</v>
      </c>
      <c r="H3850" s="1">
        <v>-2.055714E-6</v>
      </c>
      <c r="I3850">
        <v>182.41589999999999</v>
      </c>
      <c r="J3850">
        <v>-192.62100000000001</v>
      </c>
      <c r="K3850">
        <v>1.105672</v>
      </c>
      <c r="L3850">
        <v>204.7184</v>
      </c>
      <c r="M3850">
        <v>0.47759299999999999</v>
      </c>
      <c r="N3850">
        <v>-1.310331E-2</v>
      </c>
      <c r="O3850">
        <v>-0.87848359999999903</v>
      </c>
      <c r="P3850">
        <v>0.1743073</v>
      </c>
      <c r="Q3850">
        <v>0.15571299999999999</v>
      </c>
      <c r="R3850">
        <v>-0.97230179999999999</v>
      </c>
      <c r="S3850">
        <v>-5.8959959999999999E-2</v>
      </c>
      <c r="T3850">
        <v>-0.1533505</v>
      </c>
      <c r="U3850">
        <v>-3.1285099999999999</v>
      </c>
      <c r="V3850">
        <v>0.31703389999999998</v>
      </c>
      <c r="W3850">
        <v>0.15682479999999999</v>
      </c>
      <c r="X3850">
        <v>0.93535849999999998</v>
      </c>
      <c r="Y3850">
        <v>0.49384719999999999</v>
      </c>
      <c r="Z3850">
        <v>2.3678379999999999E-2</v>
      </c>
      <c r="AA3850">
        <v>0.86922630000000001</v>
      </c>
      <c r="AB3850">
        <v>27</v>
      </c>
      <c r="AC3850">
        <v>-0.547300000000007</v>
      </c>
      <c r="AD3850">
        <v>-1.1056740557139999</v>
      </c>
      <c r="AE3850">
        <v>-22.302499999999998</v>
      </c>
      <c r="AF3850">
        <v>11.1059867206239</v>
      </c>
      <c r="AG3850">
        <v>-1.1056740557139999</v>
      </c>
      <c r="AH3850">
        <v>19.2852806962402</v>
      </c>
      <c r="AI3850">
        <v>92.844290686116295</v>
      </c>
      <c r="AJ3850">
        <v>60.063266630322701</v>
      </c>
      <c r="AK3850">
        <v>22.2819996339854</v>
      </c>
      <c r="AL3850">
        <v>80.977356128006704</v>
      </c>
      <c r="AM3850">
        <v>71.276232835996396</v>
      </c>
      <c r="AN3850">
        <v>1.00000001758324</v>
      </c>
    </row>
    <row r="3851" spans="1:40" x14ac:dyDescent="0.25">
      <c r="A3851" t="str">
        <f>"20190303162334974"</f>
        <v>20190303162334974</v>
      </c>
      <c r="B3851" t="str">
        <f>"1551601414968646"</f>
        <v>1551601414968646</v>
      </c>
      <c r="C3851" t="s">
        <v>40</v>
      </c>
      <c r="D3851">
        <v>5.7395639999999997</v>
      </c>
      <c r="E3851">
        <v>0.58048849999999996</v>
      </c>
      <c r="F3851" t="s">
        <v>41</v>
      </c>
      <c r="G3851">
        <v>-193.3108</v>
      </c>
      <c r="H3851" s="1">
        <v>-1.9297579999999998E-6</v>
      </c>
      <c r="I3851">
        <v>182.03399999999999</v>
      </c>
      <c r="J3851">
        <v>-192.5043</v>
      </c>
      <c r="K3851">
        <v>1.1056440000000001</v>
      </c>
      <c r="L3851">
        <v>204.46170000000001</v>
      </c>
      <c r="M3851">
        <v>0.45973770000000003</v>
      </c>
      <c r="N3851">
        <v>-1.312748E-2</v>
      </c>
      <c r="O3851">
        <v>-0.88795769999999996</v>
      </c>
      <c r="P3851">
        <v>0.16656580000000001</v>
      </c>
      <c r="Q3851">
        <v>0.15543379999999901</v>
      </c>
      <c r="R3851">
        <v>-0.97370239999999997</v>
      </c>
      <c r="S3851">
        <v>-9.5092769999999993E-2</v>
      </c>
      <c r="T3851">
        <v>-0.15240960000000001</v>
      </c>
      <c r="U3851">
        <v>-3.1268919999999998</v>
      </c>
      <c r="V3851">
        <v>0.30555179999999998</v>
      </c>
      <c r="W3851">
        <v>0.1570009</v>
      </c>
      <c r="X3851">
        <v>0.93914260000000005</v>
      </c>
      <c r="Y3851">
        <v>0.48630630000000002</v>
      </c>
      <c r="Z3851">
        <v>2.4196309999999999E-2</v>
      </c>
      <c r="AA3851">
        <v>0.87345329999999999</v>
      </c>
      <c r="AB3851">
        <v>27</v>
      </c>
      <c r="AC3851">
        <v>-0.806499999999999</v>
      </c>
      <c r="AD3851">
        <v>-1.1056459297579999</v>
      </c>
      <c r="AE3851">
        <v>-22.427699999999898</v>
      </c>
      <c r="AF3851">
        <v>11.001245615660199</v>
      </c>
      <c r="AG3851">
        <v>-1.1056459297579999</v>
      </c>
      <c r="AH3851">
        <v>19.498428942067001</v>
      </c>
      <c r="AI3851">
        <v>92.827310309031205</v>
      </c>
      <c r="AJ3851">
        <v>60.567791613794697</v>
      </c>
      <c r="AK3851">
        <v>22.415141963121901</v>
      </c>
      <c r="AL3851">
        <v>80.967139663260099</v>
      </c>
      <c r="AM3851">
        <v>71.977605708773794</v>
      </c>
      <c r="AN3851">
        <v>1.0000000041093999</v>
      </c>
    </row>
    <row r="3852" spans="1:40" x14ac:dyDescent="0.25">
      <c r="A3852" t="str">
        <f>"20190303162334997"</f>
        <v>20190303162334997</v>
      </c>
      <c r="B3852" t="str">
        <f>"1551601414988166"</f>
        <v>1551601414988166</v>
      </c>
      <c r="C3852" t="s">
        <v>40</v>
      </c>
      <c r="D3852">
        <v>5.7864000000000004</v>
      </c>
      <c r="E3852">
        <v>0.57975909999999997</v>
      </c>
      <c r="F3852" t="s">
        <v>41</v>
      </c>
      <c r="G3852">
        <v>-193.30539999999999</v>
      </c>
      <c r="H3852" s="1">
        <v>-2.035812E-6</v>
      </c>
      <c r="I3852">
        <v>182.28450000000001</v>
      </c>
      <c r="J3852">
        <v>-192.39009999999999</v>
      </c>
      <c r="K3852">
        <v>1.105629</v>
      </c>
      <c r="L3852">
        <v>204.196</v>
      </c>
      <c r="M3852">
        <v>0.44124039999999998</v>
      </c>
      <c r="N3852">
        <v>-1.3146700000000001E-2</v>
      </c>
      <c r="O3852">
        <v>-0.89729269999999905</v>
      </c>
      <c r="P3852">
        <v>0.16050539999999999</v>
      </c>
      <c r="Q3852">
        <v>0.15460670000000001</v>
      </c>
      <c r="R3852">
        <v>-0.97485120000000003</v>
      </c>
      <c r="S3852">
        <v>-0.1128845</v>
      </c>
      <c r="T3852">
        <v>-0.15580829999999901</v>
      </c>
      <c r="U3852">
        <v>-3.1252140000000002</v>
      </c>
      <c r="V3852">
        <v>0.29191990000000001</v>
      </c>
      <c r="W3852">
        <v>0.15671979999999999</v>
      </c>
      <c r="X3852">
        <v>0.94351560000000001</v>
      </c>
      <c r="Y3852">
        <v>0.4731321</v>
      </c>
      <c r="Z3852">
        <v>2.588888E-2</v>
      </c>
      <c r="AA3852">
        <v>0.88061100000000003</v>
      </c>
      <c r="AB3852">
        <v>27</v>
      </c>
      <c r="AC3852">
        <v>-0.915300000000002</v>
      </c>
      <c r="AD3852">
        <v>-1.1056310358120001</v>
      </c>
      <c r="AE3852">
        <v>-21.911499999999901</v>
      </c>
      <c r="AF3852">
        <v>10.463841400192999</v>
      </c>
      <c r="AG3852">
        <v>-1.1056310358120001</v>
      </c>
      <c r="AH3852">
        <v>19.209999453193401</v>
      </c>
      <c r="AI3852">
        <v>92.893444710151897</v>
      </c>
      <c r="AJ3852">
        <v>61.422514212702502</v>
      </c>
      <c r="AK3852">
        <v>21.9029330416599</v>
      </c>
      <c r="AL3852">
        <v>80.983447396940093</v>
      </c>
      <c r="AM3852">
        <v>72.808144644450294</v>
      </c>
      <c r="AN3852">
        <v>1.0000000055856999</v>
      </c>
    </row>
    <row r="3853" spans="1:40" x14ac:dyDescent="0.25">
      <c r="A3853" t="str">
        <f>"20190303162335020"</f>
        <v>20190303162335020</v>
      </c>
      <c r="B3853" t="str">
        <f>"1551601415008662"</f>
        <v>1551601415008662</v>
      </c>
      <c r="C3853" t="s">
        <v>40</v>
      </c>
      <c r="D3853">
        <v>5.8305550000000004</v>
      </c>
      <c r="E3853">
        <v>0.56295660000000003</v>
      </c>
      <c r="F3853" t="s">
        <v>41</v>
      </c>
      <c r="G3853">
        <v>-193.2927</v>
      </c>
      <c r="H3853" s="1">
        <v>-2.0772199999999999E-6</v>
      </c>
      <c r="I3853">
        <v>182.38890000000001</v>
      </c>
      <c r="J3853">
        <v>-192.28299999999999</v>
      </c>
      <c r="K3853">
        <v>1.1056189999999999</v>
      </c>
      <c r="L3853">
        <v>203.93279999999999</v>
      </c>
      <c r="M3853">
        <v>0.42290810000000001</v>
      </c>
      <c r="N3853">
        <v>-1.315885E-2</v>
      </c>
      <c r="O3853">
        <v>-0.90607700000000002</v>
      </c>
      <c r="P3853">
        <v>0.1545686</v>
      </c>
      <c r="Q3853">
        <v>0.1556786</v>
      </c>
      <c r="R3853">
        <v>-0.9756399</v>
      </c>
      <c r="S3853">
        <v>-0.129303</v>
      </c>
      <c r="T3853">
        <v>-0.15837609999999999</v>
      </c>
      <c r="U3853">
        <v>-3.123764</v>
      </c>
      <c r="V3853">
        <v>0.27840110000000001</v>
      </c>
      <c r="W3853">
        <v>0.158333</v>
      </c>
      <c r="X3853">
        <v>0.94732439999999996</v>
      </c>
      <c r="Y3853">
        <v>0.45981090000000002</v>
      </c>
      <c r="Z3853">
        <v>2.7368989999999999E-2</v>
      </c>
      <c r="AA3853">
        <v>0.88759500000000002</v>
      </c>
      <c r="AB3853">
        <v>27</v>
      </c>
      <c r="AC3853">
        <v>-1.0097</v>
      </c>
      <c r="AD3853">
        <v>-1.1056210772199999</v>
      </c>
      <c r="AE3853">
        <v>-21.543899999999901</v>
      </c>
      <c r="AF3853">
        <v>10.0005436040866</v>
      </c>
      <c r="AG3853">
        <v>-1.1056210772199999</v>
      </c>
      <c r="AH3853">
        <v>19.045027078005798</v>
      </c>
      <c r="AI3853">
        <v>92.942293334785504</v>
      </c>
      <c r="AJ3853">
        <v>62.296036062122397</v>
      </c>
      <c r="AK3853">
        <v>21.5394133333665</v>
      </c>
      <c r="AL3853">
        <v>80.889849328416901</v>
      </c>
      <c r="AM3853">
        <v>73.622914315864307</v>
      </c>
      <c r="AN3853">
        <v>1.0000000151027799</v>
      </c>
    </row>
    <row r="3854" spans="1:40" x14ac:dyDescent="0.25">
      <c r="A3854" t="str">
        <f>"20190303162335040"</f>
        <v>20190303162335040</v>
      </c>
      <c r="B3854" t="str">
        <f>"1551601415028182"</f>
        <v>1551601415028182</v>
      </c>
      <c r="C3854" t="s">
        <v>40</v>
      </c>
      <c r="D3854">
        <v>5.898714</v>
      </c>
      <c r="E3854">
        <v>0.56230869999999999</v>
      </c>
      <c r="F3854" t="s">
        <v>41</v>
      </c>
      <c r="G3854">
        <v>-192.3792</v>
      </c>
      <c r="H3854" s="1">
        <v>-3.5267480000000001E-6</v>
      </c>
      <c r="I3854">
        <v>186.33439999999999</v>
      </c>
      <c r="J3854">
        <v>-192.18860000000001</v>
      </c>
      <c r="K3854">
        <v>1.1056319999999999</v>
      </c>
      <c r="L3854">
        <v>203.68680000000001</v>
      </c>
      <c r="M3854">
        <v>0.4058157</v>
      </c>
      <c r="N3854">
        <v>-1.316225E-2</v>
      </c>
      <c r="O3854">
        <v>-0.91386029999999996</v>
      </c>
      <c r="P3854">
        <v>0.1480707</v>
      </c>
      <c r="Q3854">
        <v>0.1571399</v>
      </c>
      <c r="R3854">
        <v>-0.97641310000000003</v>
      </c>
      <c r="S3854">
        <v>-1.6998289999999999E-2</v>
      </c>
      <c r="T3854">
        <v>-0.1953088</v>
      </c>
      <c r="U3854">
        <v>-3.108765</v>
      </c>
      <c r="V3854">
        <v>0.26682879999999998</v>
      </c>
      <c r="W3854">
        <v>0.16025929999999999</v>
      </c>
      <c r="X3854">
        <v>0.95032589999999995</v>
      </c>
      <c r="Y3854">
        <v>0.4105878</v>
      </c>
      <c r="Z3854">
        <v>3.8687979999999997E-2</v>
      </c>
      <c r="AA3854">
        <v>0.91100000000000003</v>
      </c>
      <c r="AB3854">
        <v>27</v>
      </c>
      <c r="AC3854">
        <v>-0.190599999999989</v>
      </c>
      <c r="AD3854">
        <v>-1.105635526748</v>
      </c>
      <c r="AE3854">
        <v>-17.352399999999999</v>
      </c>
      <c r="AF3854">
        <v>7.18750595455296</v>
      </c>
      <c r="AG3854">
        <v>-1.105635526748</v>
      </c>
      <c r="AH3854">
        <v>15.717882139334</v>
      </c>
      <c r="AI3854">
        <v>93.660301504202394</v>
      </c>
      <c r="AJ3854">
        <v>65.426230646202896</v>
      </c>
      <c r="AK3854">
        <v>17.3186168821513</v>
      </c>
      <c r="AL3854">
        <v>80.778052615516998</v>
      </c>
      <c r="AM3854">
        <v>74.3165273816346</v>
      </c>
      <c r="AN3854">
        <v>0.99999998397836898</v>
      </c>
    </row>
    <row r="3855" spans="1:40" x14ac:dyDescent="0.25">
      <c r="A3855" t="str">
        <f>"20190303162335064"</f>
        <v>20190303162335064</v>
      </c>
      <c r="B3855" t="str">
        <f>"1551601415058438"</f>
        <v>1551601415058438</v>
      </c>
      <c r="C3855" t="s">
        <v>40</v>
      </c>
      <c r="D3855">
        <v>5.8738349999999997</v>
      </c>
      <c r="E3855">
        <v>0.56256439999999996</v>
      </c>
      <c r="F3855" t="s">
        <v>41</v>
      </c>
      <c r="G3855">
        <v>-192.3802</v>
      </c>
      <c r="H3855" s="1">
        <v>-3.2539159999999999E-6</v>
      </c>
      <c r="I3855">
        <v>185.6978</v>
      </c>
      <c r="J3855">
        <v>-192.09010000000001</v>
      </c>
      <c r="K3855">
        <v>1.105656</v>
      </c>
      <c r="L3855">
        <v>203.4153</v>
      </c>
      <c r="M3855">
        <v>0.38702379999999997</v>
      </c>
      <c r="N3855">
        <v>-1.315859E-2</v>
      </c>
      <c r="O3855">
        <v>-0.92197609999999997</v>
      </c>
      <c r="P3855">
        <v>0.1380458</v>
      </c>
      <c r="Q3855">
        <v>0.1570261</v>
      </c>
      <c r="R3855">
        <v>-0.97789919999999997</v>
      </c>
      <c r="S3855">
        <v>-3.311157E-2</v>
      </c>
      <c r="T3855">
        <v>-0.19103609999999999</v>
      </c>
      <c r="U3855">
        <v>-3.108215</v>
      </c>
      <c r="V3855">
        <v>0.25708209999999998</v>
      </c>
      <c r="W3855">
        <v>0.1605502</v>
      </c>
      <c r="X3855">
        <v>0.95295980000000002</v>
      </c>
      <c r="Y3855">
        <v>0.39661659999999999</v>
      </c>
      <c r="Z3855">
        <v>3.8488799999999997E-2</v>
      </c>
      <c r="AA3855">
        <v>0.91717709999999997</v>
      </c>
      <c r="AB3855">
        <v>27</v>
      </c>
      <c r="AC3855">
        <v>-0.29009999999999497</v>
      </c>
      <c r="AD3855">
        <v>-1.105659253916</v>
      </c>
      <c r="AE3855">
        <v>-17.717500000000001</v>
      </c>
      <c r="AF3855">
        <v>7.0975414706038498</v>
      </c>
      <c r="AG3855">
        <v>-1.105659253916</v>
      </c>
      <c r="AH3855">
        <v>16.1613152120743</v>
      </c>
      <c r="AI3855">
        <v>93.584295487882201</v>
      </c>
      <c r="AJ3855">
        <v>66.2904291072402</v>
      </c>
      <c r="AK3855">
        <v>17.685748123750301</v>
      </c>
      <c r="AL3855">
        <v>80.761166553245602</v>
      </c>
      <c r="AM3855">
        <v>74.902588571476201</v>
      </c>
      <c r="AN3855">
        <v>0.99999997663824403</v>
      </c>
    </row>
    <row r="3856" spans="1:40" x14ac:dyDescent="0.25">
      <c r="A3856" t="str">
        <f>"20190303162335085"</f>
        <v>20190303162335085</v>
      </c>
      <c r="B3856" t="str">
        <f>"1551601415078936"</f>
        <v>1551601415078936</v>
      </c>
      <c r="C3856" t="s">
        <v>40</v>
      </c>
      <c r="D3856">
        <v>5.8787690000000001</v>
      </c>
      <c r="E3856">
        <v>0.56146079999999998</v>
      </c>
      <c r="F3856" t="s">
        <v>41</v>
      </c>
      <c r="G3856">
        <v>-192.46360000000001</v>
      </c>
      <c r="H3856" s="1">
        <v>-3.5079470000000001E-6</v>
      </c>
      <c r="I3856">
        <v>186.23820000000001</v>
      </c>
      <c r="J3856">
        <v>-192.001</v>
      </c>
      <c r="K3856">
        <v>1.1056999999999999</v>
      </c>
      <c r="L3856">
        <v>203.1524</v>
      </c>
      <c r="M3856">
        <v>0.36897459999999999</v>
      </c>
      <c r="N3856">
        <v>-1.3144960000000001E-2</v>
      </c>
      <c r="O3856">
        <v>-0.92934680000000003</v>
      </c>
      <c r="P3856">
        <v>0.12856509999999999</v>
      </c>
      <c r="Q3856">
        <v>0.15237809999999999</v>
      </c>
      <c r="R3856">
        <v>-0.97992469999999998</v>
      </c>
      <c r="S3856">
        <v>-6.7611690000000002E-2</v>
      </c>
      <c r="T3856">
        <v>-0.2001539</v>
      </c>
      <c r="U3856">
        <v>-3.1095120000000001</v>
      </c>
      <c r="V3856">
        <v>0.2477839</v>
      </c>
      <c r="W3856">
        <v>0.15630350000000001</v>
      </c>
      <c r="X3856">
        <v>0.95612359999999996</v>
      </c>
      <c r="Y3856">
        <v>0.3888683</v>
      </c>
      <c r="Z3856">
        <v>4.171855E-2</v>
      </c>
      <c r="AA3856">
        <v>0.92034830000000001</v>
      </c>
      <c r="AB3856">
        <v>27</v>
      </c>
      <c r="AC3856">
        <v>-0.46260000000003698</v>
      </c>
      <c r="AD3856">
        <v>-1.1057035079469999</v>
      </c>
      <c r="AE3856">
        <v>-16.914199999999902</v>
      </c>
      <c r="AF3856">
        <v>6.6430334948768497</v>
      </c>
      <c r="AG3856">
        <v>-1.1057035079469999</v>
      </c>
      <c r="AH3856">
        <v>15.483690749670499</v>
      </c>
      <c r="AI3856">
        <v>93.754704520196299</v>
      </c>
      <c r="AJ3856">
        <v>66.779010822821704</v>
      </c>
      <c r="AK3856">
        <v>16.884820209080502</v>
      </c>
      <c r="AL3856">
        <v>81.007597125481595</v>
      </c>
      <c r="AM3856">
        <v>75.471159941603204</v>
      </c>
      <c r="AN3856">
        <v>0.99999999184420996</v>
      </c>
    </row>
    <row r="3857" spans="1:40" x14ac:dyDescent="0.25">
      <c r="A3857" t="str">
        <f>"20190303162335107"</f>
        <v>20190303162335107</v>
      </c>
      <c r="B3857" t="str">
        <f>"1551601415098454"</f>
        <v>1551601415098454</v>
      </c>
      <c r="C3857" t="s">
        <v>40</v>
      </c>
      <c r="D3857">
        <v>5.8826929999999997</v>
      </c>
      <c r="E3857">
        <v>0.56047369999999996</v>
      </c>
      <c r="F3857" t="s">
        <v>41</v>
      </c>
      <c r="G3857">
        <v>-192.4607</v>
      </c>
      <c r="H3857" s="1">
        <v>-3.9965569999999999E-6</v>
      </c>
      <c r="I3857">
        <v>187.44820000000001</v>
      </c>
      <c r="J3857">
        <v>-191.9187</v>
      </c>
      <c r="K3857">
        <v>1.10575</v>
      </c>
      <c r="L3857">
        <v>202.89429999999999</v>
      </c>
      <c r="M3857">
        <v>0.35138229999999998</v>
      </c>
      <c r="N3857">
        <v>-1.312353E-2</v>
      </c>
      <c r="O3857">
        <v>-0.93614010000000003</v>
      </c>
      <c r="P3857">
        <v>0.1179813</v>
      </c>
      <c r="Q3857">
        <v>0.14541129999999999</v>
      </c>
      <c r="R3857">
        <v>-0.98231159999999995</v>
      </c>
      <c r="S3857">
        <v>-9.0957640000000006E-2</v>
      </c>
      <c r="T3857">
        <v>-0.21878919999999999</v>
      </c>
      <c r="U3857">
        <v>-3.107437</v>
      </c>
      <c r="V3857">
        <v>0.24014179999999999</v>
      </c>
      <c r="W3857">
        <v>0.14967520000000001</v>
      </c>
      <c r="X3857">
        <v>0.95912949999999997</v>
      </c>
      <c r="Y3857">
        <v>0.37837290000000001</v>
      </c>
      <c r="Z3857">
        <v>4.7718190000000001E-2</v>
      </c>
      <c r="AA3857">
        <v>0.92442239999999998</v>
      </c>
      <c r="AB3857">
        <v>27</v>
      </c>
      <c r="AC3857">
        <v>-0.54200000000000104</v>
      </c>
      <c r="AD3857">
        <v>-1.105753996557</v>
      </c>
      <c r="AE3857">
        <v>-15.4460999999999</v>
      </c>
      <c r="AF3857">
        <v>5.9051594008446102</v>
      </c>
      <c r="AG3857">
        <v>-1.105753996557</v>
      </c>
      <c r="AH3857">
        <v>14.1978211596269</v>
      </c>
      <c r="AI3857">
        <v>94.113063964177897</v>
      </c>
      <c r="AJ3857">
        <v>67.416591445850202</v>
      </c>
      <c r="AK3857">
        <v>15.4166054996239</v>
      </c>
      <c r="AL3857">
        <v>81.391896240191898</v>
      </c>
      <c r="AM3857">
        <v>75.943550249765906</v>
      </c>
      <c r="AN3857">
        <v>1.00000007368626</v>
      </c>
    </row>
    <row r="3858" spans="1:40" x14ac:dyDescent="0.25">
      <c r="A3858" t="str">
        <f>"20190303162335130"</f>
        <v>20190303162335130</v>
      </c>
      <c r="B3858" t="str">
        <f>"1551601415118950"</f>
        <v>1551601415118950</v>
      </c>
      <c r="C3858" t="s">
        <v>40</v>
      </c>
      <c r="D3858">
        <v>5.9071480000000003</v>
      </c>
      <c r="E3858">
        <v>0.55991579999999996</v>
      </c>
      <c r="F3858" t="s">
        <v>41</v>
      </c>
      <c r="G3858">
        <v>-192.45779999999999</v>
      </c>
      <c r="H3858" s="1">
        <v>-4.4567430000000002E-6</v>
      </c>
      <c r="I3858">
        <v>188.80199999999999</v>
      </c>
      <c r="J3858">
        <v>-191.8364</v>
      </c>
      <c r="K3858">
        <v>1.1058520000000001</v>
      </c>
      <c r="L3858">
        <v>202.6183</v>
      </c>
      <c r="M3858">
        <v>0.33276319999999998</v>
      </c>
      <c r="N3858">
        <v>-1.3090289999999999E-2</v>
      </c>
      <c r="O3858">
        <v>-0.94291959999999997</v>
      </c>
      <c r="P3858">
        <v>0.1022774</v>
      </c>
      <c r="Q3858">
        <v>0.14149419999999999</v>
      </c>
      <c r="R3858">
        <v>-0.98464169999999995</v>
      </c>
      <c r="S3858">
        <v>-0.1187439</v>
      </c>
      <c r="T3858">
        <v>-0.24358199999999999</v>
      </c>
      <c r="U3858">
        <v>-3.1043400000000001</v>
      </c>
      <c r="V3858">
        <v>0.23645140000000001</v>
      </c>
      <c r="W3858">
        <v>0.14594770000000001</v>
      </c>
      <c r="X3858">
        <v>0.96061960000000002</v>
      </c>
      <c r="Y3858">
        <v>0.36826779999999998</v>
      </c>
      <c r="Z3858">
        <v>5.5612149999999999E-2</v>
      </c>
      <c r="AA3858">
        <v>0.92805499999999996</v>
      </c>
      <c r="AB3858">
        <v>27</v>
      </c>
      <c r="AC3858">
        <v>-0.62139999999999396</v>
      </c>
      <c r="AD3858">
        <v>-1.105856456743</v>
      </c>
      <c r="AE3858">
        <v>-13.816299999999901</v>
      </c>
      <c r="AF3858">
        <v>5.1509976812485503</v>
      </c>
      <c r="AG3858">
        <v>-1.105856456743</v>
      </c>
      <c r="AH3858">
        <v>12.7405230359253</v>
      </c>
      <c r="AI3858">
        <v>94.600699149701697</v>
      </c>
      <c r="AJ3858">
        <v>67.986500107580397</v>
      </c>
      <c r="AK3858">
        <v>13.7868278746089</v>
      </c>
      <c r="AL3858">
        <v>81.607837807075697</v>
      </c>
      <c r="AM3858">
        <v>76.171844434412805</v>
      </c>
      <c r="AN3858">
        <v>1.0000000058006999</v>
      </c>
    </row>
    <row r="3859" spans="1:40" x14ac:dyDescent="0.25">
      <c r="A3859" t="str">
        <f>"20190303162335153"</f>
        <v>20190303162335153</v>
      </c>
      <c r="B3859" t="str">
        <f>"1551601415138471"</f>
        <v>1551601415138471</v>
      </c>
      <c r="C3859" t="s">
        <v>40</v>
      </c>
      <c r="D3859">
        <v>5.903219</v>
      </c>
      <c r="E3859">
        <v>0.55925009999999997</v>
      </c>
      <c r="F3859" t="s">
        <v>41</v>
      </c>
      <c r="G3859">
        <v>-192.5017</v>
      </c>
      <c r="H3859" s="1">
        <v>-4.7225119999999996E-6</v>
      </c>
      <c r="I3859">
        <v>189.56010000000001</v>
      </c>
      <c r="J3859">
        <v>-191.75890000000001</v>
      </c>
      <c r="K3859">
        <v>1.1060140000000001</v>
      </c>
      <c r="L3859">
        <v>202.3399</v>
      </c>
      <c r="M3859">
        <v>0.31427139999999998</v>
      </c>
      <c r="N3859">
        <v>-1.304254E-2</v>
      </c>
      <c r="O3859">
        <v>-0.94924379999999997</v>
      </c>
      <c r="P3859">
        <v>8.2510920000000001E-2</v>
      </c>
      <c r="Q3859">
        <v>0.139072</v>
      </c>
      <c r="R3859">
        <v>-0.98683929999999997</v>
      </c>
      <c r="S3859">
        <v>-0.158004799999999</v>
      </c>
      <c r="T3859">
        <v>-0.26261129999999999</v>
      </c>
      <c r="U3859">
        <v>-3.1009669999999998</v>
      </c>
      <c r="V3859">
        <v>0.236902</v>
      </c>
      <c r="W3859">
        <v>0.143566</v>
      </c>
      <c r="X3859">
        <v>0.96086749999999999</v>
      </c>
      <c r="Y3859">
        <v>0.36182300000000001</v>
      </c>
      <c r="Z3859">
        <v>6.1942860000000002E-2</v>
      </c>
      <c r="AA3859">
        <v>0.93018659999999997</v>
      </c>
      <c r="AB3859">
        <v>27</v>
      </c>
      <c r="AC3859">
        <v>-0.74279999999998803</v>
      </c>
      <c r="AD3859">
        <v>-1.106018722512</v>
      </c>
      <c r="AE3859">
        <v>-12.7797999999999</v>
      </c>
      <c r="AF3859">
        <v>4.6868387568534002</v>
      </c>
      <c r="AG3859">
        <v>-1.106018722512</v>
      </c>
      <c r="AH3859">
        <v>11.8105525514565</v>
      </c>
      <c r="AI3859">
        <v>94.974681814371493</v>
      </c>
      <c r="AJ3859">
        <v>68.355097311661893</v>
      </c>
      <c r="AK3859">
        <v>12.754563360539001</v>
      </c>
      <c r="AL3859">
        <v>81.745752206502004</v>
      </c>
      <c r="AM3859">
        <v>76.149943162688501</v>
      </c>
      <c r="AN3859">
        <v>1.0000000532581199</v>
      </c>
    </row>
    <row r="3860" spans="1:40" x14ac:dyDescent="0.25">
      <c r="A3860" t="str">
        <f>"20190303162335174"</f>
        <v>20190303162335174</v>
      </c>
      <c r="B3860" t="str">
        <f>"1551601415168726"</f>
        <v>1551601415168726</v>
      </c>
      <c r="C3860" t="s">
        <v>40</v>
      </c>
      <c r="D3860">
        <v>5.8809969999999998</v>
      </c>
      <c r="E3860">
        <v>0.55864429999999998</v>
      </c>
      <c r="F3860" t="s">
        <v>41</v>
      </c>
      <c r="G3860">
        <v>-192.5856</v>
      </c>
      <c r="H3860" s="1">
        <v>-8.4797999999999899E-7</v>
      </c>
      <c r="I3860">
        <v>189.96209999999999</v>
      </c>
      <c r="J3860">
        <v>-191.68889999999999</v>
      </c>
      <c r="K3860">
        <v>1.106212</v>
      </c>
      <c r="L3860">
        <v>202.07050000000001</v>
      </c>
      <c r="M3860">
        <v>0.29670960000000002</v>
      </c>
      <c r="N3860">
        <v>-1.2978989999999999E-2</v>
      </c>
      <c r="O3860">
        <v>-0.95487960000000005</v>
      </c>
      <c r="P3860">
        <v>6.6280249999999999E-2</v>
      </c>
      <c r="Q3860">
        <v>0.13416900000000001</v>
      </c>
      <c r="R3860">
        <v>-0.98873940000000005</v>
      </c>
      <c r="S3860">
        <v>-0.2068024</v>
      </c>
      <c r="T3860">
        <v>-0.27666740000000001</v>
      </c>
      <c r="U3860">
        <v>-3.0962830000000001</v>
      </c>
      <c r="V3860">
        <v>0.23492389999999999</v>
      </c>
      <c r="W3860">
        <v>0.13880709999999999</v>
      </c>
      <c r="X3860">
        <v>0.96205160000000001</v>
      </c>
      <c r="Y3860">
        <v>0.35927750000000003</v>
      </c>
      <c r="Z3860">
        <v>6.6848080000000004E-2</v>
      </c>
      <c r="AA3860">
        <v>0.93083349999999998</v>
      </c>
      <c r="AB3860">
        <v>27</v>
      </c>
      <c r="AC3860">
        <v>-0.89670000000000905</v>
      </c>
      <c r="AD3860">
        <v>-1.10621284798</v>
      </c>
      <c r="AE3860">
        <v>-12.1084</v>
      </c>
      <c r="AF3860">
        <v>4.4126642496611197</v>
      </c>
      <c r="AG3860">
        <v>-1.10621284798</v>
      </c>
      <c r="AH3860">
        <v>11.203952069051301</v>
      </c>
      <c r="AI3860">
        <v>95.248797673675696</v>
      </c>
      <c r="AJ3860">
        <v>68.503053963346105</v>
      </c>
      <c r="AK3860">
        <v>12.092305595330901</v>
      </c>
      <c r="AL3860">
        <v>82.021175570468202</v>
      </c>
      <c r="AM3860">
        <v>76.277459880556094</v>
      </c>
      <c r="AN3860">
        <v>0.99999996543208902</v>
      </c>
    </row>
    <row r="3861" spans="1:40" x14ac:dyDescent="0.25">
      <c r="A3861" t="str">
        <f>"20190303162335198"</f>
        <v>20190303162335198</v>
      </c>
      <c r="B3861" t="str">
        <f>"1551601415188246"</f>
        <v>1551601415188246</v>
      </c>
      <c r="C3861" t="s">
        <v>40</v>
      </c>
      <c r="D3861">
        <v>5.8899410000000003</v>
      </c>
      <c r="E3861">
        <v>0.55848350000000002</v>
      </c>
      <c r="F3861" t="s">
        <v>41</v>
      </c>
      <c r="G3861">
        <v>-192.6592</v>
      </c>
      <c r="H3861" s="1">
        <v>-9.9318069999999995E-7</v>
      </c>
      <c r="I3861">
        <v>190.25489999999999</v>
      </c>
      <c r="J3861">
        <v>-191.62</v>
      </c>
      <c r="K3861">
        <v>1.106482</v>
      </c>
      <c r="L3861">
        <v>201.7852</v>
      </c>
      <c r="M3861">
        <v>0.27855249999999998</v>
      </c>
      <c r="N3861">
        <v>-1.2893180000000001E-2</v>
      </c>
      <c r="O3861">
        <v>-0.96033449999999998</v>
      </c>
      <c r="P3861">
        <v>5.4608860000000002E-2</v>
      </c>
      <c r="Q3861">
        <v>0.1301359</v>
      </c>
      <c r="R3861">
        <v>-0.98999139999999997</v>
      </c>
      <c r="S3861">
        <v>-0.25376890000000002</v>
      </c>
      <c r="T3861">
        <v>-0.28933750000000003</v>
      </c>
      <c r="U3861">
        <v>-3.0904389999999999</v>
      </c>
      <c r="V3861">
        <v>0.22793479999999999</v>
      </c>
      <c r="W3861">
        <v>0.13511389999999901</v>
      </c>
      <c r="X3861">
        <v>0.96425620000000001</v>
      </c>
      <c r="Y3861">
        <v>0.35573559999999999</v>
      </c>
      <c r="Z3861">
        <v>7.1481290000000003E-2</v>
      </c>
      <c r="AA3861">
        <v>0.93184900000000004</v>
      </c>
      <c r="AB3861">
        <v>27</v>
      </c>
      <c r="AC3861">
        <v>-1.0391999999999899</v>
      </c>
      <c r="AD3861">
        <v>-1.1064829931807001</v>
      </c>
      <c r="AE3861">
        <v>-11.5303</v>
      </c>
      <c r="AF3861">
        <v>4.1720131512063698</v>
      </c>
      <c r="AG3861">
        <v>-1.1064829931807001</v>
      </c>
      <c r="AH3861">
        <v>10.6867487453473</v>
      </c>
      <c r="AI3861">
        <v>95.509064942981794</v>
      </c>
      <c r="AJ3861">
        <v>68.674761702285295</v>
      </c>
      <c r="AK3861">
        <v>11.5254760029345</v>
      </c>
      <c r="AL3861">
        <v>82.234794004663399</v>
      </c>
      <c r="AM3861">
        <v>76.700321146232994</v>
      </c>
      <c r="AN3861">
        <v>1.00000002913134</v>
      </c>
    </row>
    <row r="3862" spans="1:40" x14ac:dyDescent="0.25">
      <c r="A3862" t="str">
        <f>"20190303162335242"</f>
        <v>20190303162335242</v>
      </c>
      <c r="B3862" t="str">
        <f>"1551601415228263"</f>
        <v>1551601415228263</v>
      </c>
      <c r="C3862" t="s">
        <v>40</v>
      </c>
      <c r="D3862">
        <v>5.973903</v>
      </c>
      <c r="E3862">
        <v>0.53857349999999904</v>
      </c>
      <c r="F3862" t="s">
        <v>41</v>
      </c>
      <c r="G3862">
        <v>-192.71549999999999</v>
      </c>
      <c r="H3862" s="1">
        <v>-1.00959E-6</v>
      </c>
      <c r="I3862">
        <v>190.25829999999999</v>
      </c>
      <c r="J3862">
        <v>-191.50120000000001</v>
      </c>
      <c r="K3862">
        <v>1.107178</v>
      </c>
      <c r="L3862">
        <v>201.2346</v>
      </c>
      <c r="M3862">
        <v>0.24492549999999999</v>
      </c>
      <c r="N3862">
        <v>-1.269444E-2</v>
      </c>
      <c r="O3862">
        <v>-0.96945899999999996</v>
      </c>
      <c r="P3862">
        <v>3.7384029999999999E-2</v>
      </c>
      <c r="Q3862">
        <v>0.13666149999999999</v>
      </c>
      <c r="R3862">
        <v>-0.98991249999999997</v>
      </c>
      <c r="S3862">
        <v>-0.29322809999999999</v>
      </c>
      <c r="T3862">
        <v>-0.29617349999999998</v>
      </c>
      <c r="U3862">
        <v>-3.0854339999999998</v>
      </c>
      <c r="V3862">
        <v>0.21080930000000001</v>
      </c>
      <c r="W3862">
        <v>0.1423941</v>
      </c>
      <c r="X3862">
        <v>0.96710050000000003</v>
      </c>
      <c r="Y3862">
        <v>0.33503179999999999</v>
      </c>
      <c r="Z3862">
        <v>7.5421559999999999E-2</v>
      </c>
      <c r="AA3862">
        <v>0.93918330000000005</v>
      </c>
      <c r="AB3862">
        <v>28</v>
      </c>
      <c r="AC3862">
        <v>-1.21429999999998</v>
      </c>
      <c r="AD3862">
        <v>-1.10717900958999</v>
      </c>
      <c r="AE3862">
        <v>-10.9763</v>
      </c>
      <c r="AF3862">
        <v>3.8274282868473599</v>
      </c>
      <c r="AG3862">
        <v>-1.10717900958999</v>
      </c>
      <c r="AH3862">
        <v>10.2415460010505</v>
      </c>
      <c r="AI3862">
        <v>95.782406845840498</v>
      </c>
      <c r="AJ3862">
        <v>69.508486244282295</v>
      </c>
      <c r="AK3862">
        <v>10.9892819211206</v>
      </c>
      <c r="AL3862">
        <v>81.813593802771294</v>
      </c>
      <c r="AM3862">
        <v>77.702981079146298</v>
      </c>
      <c r="AN3862">
        <v>1.0000000088907699</v>
      </c>
    </row>
    <row r="3863" spans="1:40" x14ac:dyDescent="0.25">
      <c r="A3863" t="str">
        <f>"20190303162335267"</f>
        <v>20190303162335267</v>
      </c>
      <c r="B3863" t="str">
        <f>"1551601415258519"</f>
        <v>1551601415258519</v>
      </c>
      <c r="C3863" t="s">
        <v>40</v>
      </c>
      <c r="D3863">
        <v>5.9325049999999999</v>
      </c>
      <c r="E3863">
        <v>0.52388650000000003</v>
      </c>
      <c r="F3863" t="s">
        <v>41</v>
      </c>
      <c r="G3863">
        <v>-192.30330000000001</v>
      </c>
      <c r="H3863" s="1">
        <v>-4.2574579999999996E-6</v>
      </c>
      <c r="I3863">
        <v>188.297</v>
      </c>
      <c r="J3863">
        <v>-191.44499999999999</v>
      </c>
      <c r="K3863">
        <v>1.1075660000000001</v>
      </c>
      <c r="L3863">
        <v>200.93899999999999</v>
      </c>
      <c r="M3863">
        <v>0.22768330000000001</v>
      </c>
      <c r="N3863">
        <v>-1.2585270000000001E-2</v>
      </c>
      <c r="O3863">
        <v>-0.97365389999999996</v>
      </c>
      <c r="P3863">
        <v>2.5848050000000001E-2</v>
      </c>
      <c r="Q3863">
        <v>0.14180390000000001</v>
      </c>
      <c r="R3863">
        <v>-0.98955729999999997</v>
      </c>
      <c r="S3863">
        <v>-0.19058230000000001</v>
      </c>
      <c r="T3863">
        <v>-0.26307259999999999</v>
      </c>
      <c r="U3863">
        <v>-3.0740660000000002</v>
      </c>
      <c r="V3863">
        <v>0.2047678</v>
      </c>
      <c r="W3863">
        <v>0.14780370000000001</v>
      </c>
      <c r="X3863">
        <v>0.96758679999999997</v>
      </c>
      <c r="Y3863">
        <v>0.28717680000000001</v>
      </c>
      <c r="Z3863">
        <v>6.7394060000000006E-2</v>
      </c>
      <c r="AA3863">
        <v>0.95550380000000001</v>
      </c>
      <c r="AB3863">
        <v>28</v>
      </c>
      <c r="AC3863">
        <v>-0.85830000000001405</v>
      </c>
      <c r="AD3863">
        <v>-1.107570257458</v>
      </c>
      <c r="AE3863">
        <v>-12.641999999999999</v>
      </c>
      <c r="AF3863">
        <v>3.6861897932117</v>
      </c>
      <c r="AG3863">
        <v>-1.107570257458</v>
      </c>
      <c r="AH3863">
        <v>12.0226144318724</v>
      </c>
      <c r="AI3863">
        <v>95.033450445228297</v>
      </c>
      <c r="AJ3863">
        <v>72.954215614297794</v>
      </c>
      <c r="AK3863">
        <v>12.6237064622182</v>
      </c>
      <c r="AL3863">
        <v>81.500330862739901</v>
      </c>
      <c r="AM3863">
        <v>78.050949827204605</v>
      </c>
      <c r="AN3863">
        <v>1.0000000005923799</v>
      </c>
    </row>
    <row r="3864" spans="1:40" x14ac:dyDescent="0.25">
      <c r="A3864" t="str">
        <f>"20190303162335288"</f>
        <v>20190303162335288</v>
      </c>
      <c r="B3864" t="str">
        <f>"1551601415279014"</f>
        <v>1551601415279014</v>
      </c>
      <c r="C3864" t="s">
        <v>40</v>
      </c>
      <c r="D3864">
        <v>6.0845089999999997</v>
      </c>
      <c r="E3864">
        <v>0.52334060000000004</v>
      </c>
      <c r="F3864" t="s">
        <v>41</v>
      </c>
      <c r="G3864">
        <v>-191.9496</v>
      </c>
      <c r="H3864" s="1">
        <v>-3.6825899999999998E-6</v>
      </c>
      <c r="I3864">
        <v>186.9641</v>
      </c>
      <c r="J3864">
        <v>-191.39570000000001</v>
      </c>
      <c r="K3864">
        <v>1.1078840000000001</v>
      </c>
      <c r="L3864">
        <v>200.6559</v>
      </c>
      <c r="M3864">
        <v>0.2116142</v>
      </c>
      <c r="N3864">
        <v>-1.2487669999999999E-2</v>
      </c>
      <c r="O3864">
        <v>-0.97727370000000002</v>
      </c>
      <c r="P3864">
        <v>1.9892670000000001E-2</v>
      </c>
      <c r="Q3864">
        <v>0.1452946</v>
      </c>
      <c r="R3864">
        <v>-0.98918879999999998</v>
      </c>
      <c r="S3864">
        <v>-0.1108246</v>
      </c>
      <c r="T3864">
        <v>-0.2432638</v>
      </c>
      <c r="U3864">
        <v>-3.0694119999999998</v>
      </c>
      <c r="V3864">
        <v>0.1945133</v>
      </c>
      <c r="W3864">
        <v>0.15167159999999999</v>
      </c>
      <c r="X3864">
        <v>0.96910289999999999</v>
      </c>
      <c r="Y3864">
        <v>0.24653320000000001</v>
      </c>
      <c r="Z3864">
        <v>6.2574870000000005E-2</v>
      </c>
      <c r="AA3864">
        <v>0.96711210000000003</v>
      </c>
      <c r="AB3864">
        <v>28</v>
      </c>
      <c r="AC3864">
        <v>-0.55389999999999795</v>
      </c>
      <c r="AD3864">
        <v>-1.1078876825899999</v>
      </c>
      <c r="AE3864">
        <v>-13.691800000000001</v>
      </c>
      <c r="AF3864">
        <v>3.4166251362006799</v>
      </c>
      <c r="AG3864">
        <v>-1.1078876825899999</v>
      </c>
      <c r="AH3864">
        <v>13.1783116003214</v>
      </c>
      <c r="AI3864">
        <v>94.652392999975802</v>
      </c>
      <c r="AJ3864">
        <v>75.465439680736495</v>
      </c>
      <c r="AK3864">
        <v>13.6590131076048</v>
      </c>
      <c r="AL3864">
        <v>81.276189903307198</v>
      </c>
      <c r="AM3864">
        <v>78.650692816443197</v>
      </c>
      <c r="AN3864">
        <v>1.0000000644559199</v>
      </c>
    </row>
    <row r="3865" spans="1:40" x14ac:dyDescent="0.25">
      <c r="A3865" t="str">
        <f>"20190303162335331"</f>
        <v>20190303162335331</v>
      </c>
      <c r="B3865" t="str">
        <f>"1551601415319030"</f>
        <v>1551601415319030</v>
      </c>
      <c r="C3865" t="s">
        <v>40</v>
      </c>
      <c r="D3865">
        <v>5.867864</v>
      </c>
      <c r="E3865">
        <v>0.52215789999999995</v>
      </c>
      <c r="F3865" t="s">
        <v>41</v>
      </c>
      <c r="G3865">
        <v>-192.035</v>
      </c>
      <c r="H3865" s="1">
        <v>-2.987701E-6</v>
      </c>
      <c r="I3865">
        <v>185.29130000000001</v>
      </c>
      <c r="J3865">
        <v>-191.3135</v>
      </c>
      <c r="K3865">
        <v>1.1083289999999999</v>
      </c>
      <c r="L3865">
        <v>200.114</v>
      </c>
      <c r="M3865">
        <v>0.18183270000000001</v>
      </c>
      <c r="N3865">
        <v>-1.2328250000000001E-2</v>
      </c>
      <c r="O3865">
        <v>-0.98325220000000002</v>
      </c>
      <c r="P3865">
        <v>1.553069E-2</v>
      </c>
      <c r="Q3865">
        <v>0.15127969999999999</v>
      </c>
      <c r="R3865">
        <v>-0.9883691</v>
      </c>
      <c r="S3865">
        <v>-0.12765499999999999</v>
      </c>
      <c r="T3865">
        <v>-0.22121109999999999</v>
      </c>
      <c r="U3865">
        <v>-3.067841</v>
      </c>
      <c r="V3865">
        <v>0.16910430000000001</v>
      </c>
      <c r="W3865">
        <v>0.15846950000000001</v>
      </c>
      <c r="X3865">
        <v>0.97277499999999995</v>
      </c>
      <c r="Y3865">
        <v>0.2223802</v>
      </c>
      <c r="Z3865">
        <v>5.6841250000000003E-2</v>
      </c>
      <c r="AA3865">
        <v>0.97330159999999999</v>
      </c>
      <c r="AB3865">
        <v>28</v>
      </c>
      <c r="AC3865">
        <v>-0.72149999999999104</v>
      </c>
      <c r="AD3865">
        <v>-1.1083319877010001</v>
      </c>
      <c r="AE3865">
        <v>-14.8226999999999</v>
      </c>
      <c r="AF3865">
        <v>3.3860403627725701</v>
      </c>
      <c r="AG3865">
        <v>-1.1083319877010001</v>
      </c>
      <c r="AH3865">
        <v>14.364237948588601</v>
      </c>
      <c r="AI3865">
        <v>94.294893984364506</v>
      </c>
      <c r="AJ3865">
        <v>76.735974916290601</v>
      </c>
      <c r="AK3865">
        <v>14.7994932675737</v>
      </c>
      <c r="AL3865">
        <v>80.881928530928803</v>
      </c>
      <c r="AM3865">
        <v>80.138421465862805</v>
      </c>
      <c r="AN3865">
        <v>1.00000002366686</v>
      </c>
    </row>
    <row r="3866" spans="1:40" x14ac:dyDescent="0.25">
      <c r="A3866" t="str">
        <f>"20190303162335355"</f>
        <v>20190303162335355</v>
      </c>
      <c r="B3866" t="str">
        <f>"1551601415348311"</f>
        <v>1551601415348311</v>
      </c>
      <c r="C3866" t="s">
        <v>40</v>
      </c>
      <c r="D3866">
        <v>5.9016999999999999</v>
      </c>
      <c r="E3866">
        <v>0.52121949999999995</v>
      </c>
      <c r="F3866" t="s">
        <v>41</v>
      </c>
      <c r="G3866">
        <v>-192.1147</v>
      </c>
      <c r="H3866" s="1">
        <v>-1.775393E-6</v>
      </c>
      <c r="I3866">
        <v>182.416</v>
      </c>
      <c r="J3866">
        <v>-191.27629999999999</v>
      </c>
      <c r="K3866">
        <v>1.1085160000000001</v>
      </c>
      <c r="L3866">
        <v>199.8261</v>
      </c>
      <c r="M3866">
        <v>0.1664745</v>
      </c>
      <c r="N3866">
        <v>-1.225361E-2</v>
      </c>
      <c r="O3866">
        <v>-0.98596980000000001</v>
      </c>
      <c r="P3866">
        <v>1.7149350000000001E-2</v>
      </c>
      <c r="Q3866">
        <v>0.15121850000000001</v>
      </c>
      <c r="R3866">
        <v>-0.98835220000000001</v>
      </c>
      <c r="S3866">
        <v>-0.13883970000000001</v>
      </c>
      <c r="T3866">
        <v>-0.1920617</v>
      </c>
      <c r="U3866">
        <v>-3.0668790000000001</v>
      </c>
      <c r="V3866">
        <v>0.152225</v>
      </c>
      <c r="W3866">
        <v>0.15891350000000001</v>
      </c>
      <c r="X3866">
        <v>0.97548659999999998</v>
      </c>
      <c r="Y3866">
        <v>0.21075579999999999</v>
      </c>
      <c r="Z3866">
        <v>4.8179149999999997E-2</v>
      </c>
      <c r="AA3866">
        <v>0.97635070000000002</v>
      </c>
      <c r="AB3866">
        <v>28</v>
      </c>
      <c r="AC3866">
        <v>-0.83840000000000703</v>
      </c>
      <c r="AD3866">
        <v>-1.108517775393</v>
      </c>
      <c r="AE3866">
        <v>-17.4101</v>
      </c>
      <c r="AF3866">
        <v>3.7102472847152099</v>
      </c>
      <c r="AG3866">
        <v>-1.108517775393</v>
      </c>
      <c r="AH3866">
        <v>16.958943614921001</v>
      </c>
      <c r="AI3866">
        <v>93.653632269322998</v>
      </c>
      <c r="AJ3866">
        <v>77.659370366135903</v>
      </c>
      <c r="AK3866">
        <v>17.3954164970595</v>
      </c>
      <c r="AL3866">
        <v>80.856162754931006</v>
      </c>
      <c r="AM3866">
        <v>81.130509126119307</v>
      </c>
      <c r="AN3866">
        <v>1.0000000289433999</v>
      </c>
    </row>
    <row r="3867" spans="1:40" x14ac:dyDescent="0.25">
      <c r="A3867" t="str">
        <f>"20190303162335376"</f>
        <v>20190303162335376</v>
      </c>
      <c r="B3867" t="str">
        <f>"1551601415368806"</f>
        <v>1551601415368806</v>
      </c>
      <c r="C3867" t="s">
        <v>40</v>
      </c>
      <c r="D3867">
        <v>5.885364</v>
      </c>
      <c r="E3867">
        <v>0.52104740000000005</v>
      </c>
      <c r="F3867" t="s">
        <v>41</v>
      </c>
      <c r="G3867">
        <v>-191.9915</v>
      </c>
      <c r="H3867" s="1">
        <v>-1.8635119999999999E-6</v>
      </c>
      <c r="I3867">
        <v>182.6978</v>
      </c>
      <c r="J3867">
        <v>-191.24449999999999</v>
      </c>
      <c r="K3867">
        <v>1.1086929999999999</v>
      </c>
      <c r="L3867">
        <v>199.54810000000001</v>
      </c>
      <c r="M3867">
        <v>0.15191589999999999</v>
      </c>
      <c r="N3867">
        <v>-1.2182760000000001E-2</v>
      </c>
      <c r="O3867">
        <v>-0.98831860000000005</v>
      </c>
      <c r="P3867">
        <v>2.070433E-2</v>
      </c>
      <c r="Q3867">
        <v>0.151586</v>
      </c>
      <c r="R3867">
        <v>-0.98822779999999999</v>
      </c>
      <c r="S3867">
        <v>-0.1280975</v>
      </c>
      <c r="T3867">
        <v>-0.19855390000000001</v>
      </c>
      <c r="U3867">
        <v>-3.0679630000000002</v>
      </c>
      <c r="V3867">
        <v>0.1342198</v>
      </c>
      <c r="W3867">
        <v>0.15980269999999999</v>
      </c>
      <c r="X3867">
        <v>0.97798169999999995</v>
      </c>
      <c r="Y3867">
        <v>0.19287989999999999</v>
      </c>
      <c r="Z3867">
        <v>5.0623840000000003E-2</v>
      </c>
      <c r="AA3867">
        <v>0.9799156</v>
      </c>
      <c r="AB3867">
        <v>28</v>
      </c>
      <c r="AC3867">
        <v>-0.74700000000001399</v>
      </c>
      <c r="AD3867">
        <v>-1.108694863512</v>
      </c>
      <c r="AE3867">
        <v>-16.850300000000001</v>
      </c>
      <c r="AF3867">
        <v>3.2841564921147</v>
      </c>
      <c r="AG3867">
        <v>-1.108694863512</v>
      </c>
      <c r="AH3867">
        <v>16.470044580093202</v>
      </c>
      <c r="AI3867">
        <v>93.776968811063497</v>
      </c>
      <c r="AJ3867">
        <v>78.723027550295001</v>
      </c>
      <c r="AK3867">
        <v>16.8308424220339</v>
      </c>
      <c r="AL3867">
        <v>80.804555879367896</v>
      </c>
      <c r="AM3867">
        <v>82.185452971726207</v>
      </c>
      <c r="AN3867">
        <v>1.0000000315871</v>
      </c>
    </row>
    <row r="3868" spans="1:40" x14ac:dyDescent="0.25">
      <c r="A3868" t="str">
        <f>"20190303162335400"</f>
        <v>20190303162335400</v>
      </c>
      <c r="B3868" t="str">
        <f>"1551601415388326"</f>
        <v>1551601415388326</v>
      </c>
      <c r="C3868" t="s">
        <v>40</v>
      </c>
      <c r="D3868">
        <v>5.856122</v>
      </c>
      <c r="E3868">
        <v>0.52028980000000002</v>
      </c>
      <c r="F3868" t="s">
        <v>41</v>
      </c>
      <c r="G3868">
        <v>-191.86439999999999</v>
      </c>
      <c r="H3868" s="1">
        <v>-1.9453630000000001E-6</v>
      </c>
      <c r="I3868">
        <v>182.9675</v>
      </c>
      <c r="J3868">
        <v>-191.21520000000001</v>
      </c>
      <c r="K3868">
        <v>1.108897</v>
      </c>
      <c r="L3868">
        <v>199.25559999999999</v>
      </c>
      <c r="M3868">
        <v>0.13688739999999999</v>
      </c>
      <c r="N3868">
        <v>-1.2107329999999999E-2</v>
      </c>
      <c r="O3868">
        <v>-0.99051270000000002</v>
      </c>
      <c r="P3868">
        <v>2.1616860000000002E-2</v>
      </c>
      <c r="Q3868">
        <v>0.15451379999999901</v>
      </c>
      <c r="R3868">
        <v>-0.98775429999999997</v>
      </c>
      <c r="S3868">
        <v>-0.1147614</v>
      </c>
      <c r="T3868">
        <v>-0.20525550000000001</v>
      </c>
      <c r="U3868">
        <v>-3.0696110000000001</v>
      </c>
      <c r="V3868">
        <v>0.118367899999999</v>
      </c>
      <c r="W3868">
        <v>0.16317209999999999</v>
      </c>
      <c r="X3868">
        <v>0.97947130000000004</v>
      </c>
      <c r="Y3868">
        <v>0.17367149999999901</v>
      </c>
      <c r="Z3868">
        <v>5.3129669999999997E-2</v>
      </c>
      <c r="AA3868">
        <v>0.98336950000000001</v>
      </c>
      <c r="AB3868">
        <v>28</v>
      </c>
      <c r="AC3868">
        <v>-0.64919999999997902</v>
      </c>
      <c r="AD3868">
        <v>-1.108898945363</v>
      </c>
      <c r="AE3868">
        <v>-16.288099999999901</v>
      </c>
      <c r="AF3868">
        <v>2.8596535832202798</v>
      </c>
      <c r="AG3868">
        <v>-1.108898945363</v>
      </c>
      <c r="AH3868">
        <v>15.971965945550901</v>
      </c>
      <c r="AI3868">
        <v>93.909577470546907</v>
      </c>
      <c r="AJ3868">
        <v>79.849198922074507</v>
      </c>
      <c r="AK3868">
        <v>16.2637932737996</v>
      </c>
      <c r="AL3868">
        <v>80.608936103770603</v>
      </c>
      <c r="AM3868">
        <v>83.109290924365794</v>
      </c>
      <c r="AN3868">
        <v>1.00000006074625</v>
      </c>
    </row>
    <row r="3869" spans="1:40" x14ac:dyDescent="0.25">
      <c r="A3869" t="str">
        <f>"20190303162335422"</f>
        <v>20190303162335422</v>
      </c>
      <c r="B3869" t="str">
        <f>"1551601415408823"</f>
        <v>1551601415408823</v>
      </c>
      <c r="C3869" t="s">
        <v>40</v>
      </c>
      <c r="D3869">
        <v>5.8843959999999997</v>
      </c>
      <c r="E3869">
        <v>0.51987109999999903</v>
      </c>
      <c r="F3869" t="s">
        <v>41</v>
      </c>
      <c r="G3869">
        <v>-191.76859999999999</v>
      </c>
      <c r="H3869" s="1">
        <v>-1.7468829999999999E-6</v>
      </c>
      <c r="I3869">
        <v>182.5642</v>
      </c>
      <c r="J3869">
        <v>-191.191</v>
      </c>
      <c r="K3869">
        <v>1.1091279999999999</v>
      </c>
      <c r="L3869">
        <v>198.97399999999999</v>
      </c>
      <c r="M3869">
        <v>0.1227275</v>
      </c>
      <c r="N3869">
        <v>-1.2031790000000001E-2</v>
      </c>
      <c r="O3869">
        <v>-0.99236760000000002</v>
      </c>
      <c r="P3869">
        <v>2.0474829999999999E-2</v>
      </c>
      <c r="Q3869">
        <v>0.1575231</v>
      </c>
      <c r="R3869">
        <v>-0.98730320000000005</v>
      </c>
      <c r="S3869">
        <v>-0.10182190000000001</v>
      </c>
      <c r="T3869">
        <v>-0.2040458</v>
      </c>
      <c r="U3869">
        <v>-3.0713349999999999</v>
      </c>
      <c r="V3869">
        <v>0.10541639999999999</v>
      </c>
      <c r="W3869">
        <v>0.1665315</v>
      </c>
      <c r="X3869">
        <v>0.9803849</v>
      </c>
      <c r="Y3869">
        <v>0.1554304</v>
      </c>
      <c r="Z3869">
        <v>5.3082360000000002E-2</v>
      </c>
      <c r="AA3869">
        <v>0.98641959999999995</v>
      </c>
      <c r="AB3869">
        <v>28</v>
      </c>
      <c r="AC3869">
        <v>-0.57760000000001799</v>
      </c>
      <c r="AD3869">
        <v>-1.1091297468829999</v>
      </c>
      <c r="AE3869">
        <v>-16.409800000000001</v>
      </c>
      <c r="AF3869">
        <v>2.5755607346236302</v>
      </c>
      <c r="AG3869">
        <v>-1.1091297468829999</v>
      </c>
      <c r="AH3869">
        <v>16.1411909061346</v>
      </c>
      <c r="AI3869">
        <v>93.881902683970196</v>
      </c>
      <c r="AJ3869">
        <v>80.9340553217843</v>
      </c>
      <c r="AK3869">
        <v>16.3829706024712</v>
      </c>
      <c r="AL3869">
        <v>80.413785582650405</v>
      </c>
      <c r="AM3869">
        <v>83.862820958691998</v>
      </c>
      <c r="AN3869">
        <v>0.99999995501460903</v>
      </c>
    </row>
    <row r="3870" spans="1:40" x14ac:dyDescent="0.25">
      <c r="A3870" t="str">
        <f>"20190303162335444"</f>
        <v>20190303162335444</v>
      </c>
      <c r="B3870" t="str">
        <f>"1551601415438102"</f>
        <v>1551601415438102</v>
      </c>
      <c r="C3870" t="s">
        <v>40</v>
      </c>
      <c r="D3870">
        <v>5.8979239999999997</v>
      </c>
      <c r="E3870">
        <v>0.51958479999999996</v>
      </c>
      <c r="F3870" t="s">
        <v>41</v>
      </c>
      <c r="G3870">
        <v>-191.73060000000001</v>
      </c>
      <c r="H3870" s="1">
        <v>-1.448333E-6</v>
      </c>
      <c r="I3870">
        <v>181.89179999999999</v>
      </c>
      <c r="J3870">
        <v>-191.1712</v>
      </c>
      <c r="K3870">
        <v>1.1094090000000001</v>
      </c>
      <c r="L3870">
        <v>198.70089999999999</v>
      </c>
      <c r="M3870">
        <v>0.1093706</v>
      </c>
      <c r="N3870">
        <v>-1.195192E-2</v>
      </c>
      <c r="O3870">
        <v>-0.99392930000000002</v>
      </c>
      <c r="P3870">
        <v>2.095472E-2</v>
      </c>
      <c r="Q3870">
        <v>0.15614539999999999</v>
      </c>
      <c r="R3870">
        <v>-0.9875121</v>
      </c>
      <c r="S3870">
        <v>-9.7061159999999994E-2</v>
      </c>
      <c r="T3870">
        <v>-0.19948859999999999</v>
      </c>
      <c r="U3870">
        <v>-3.072403</v>
      </c>
      <c r="V3870">
        <v>9.1597209999999998E-2</v>
      </c>
      <c r="W3870">
        <v>0.1655267</v>
      </c>
      <c r="X3870">
        <v>0.98194239999999999</v>
      </c>
      <c r="Y3870">
        <v>0.14060129999999901</v>
      </c>
      <c r="Z3870">
        <v>5.191991E-2</v>
      </c>
      <c r="AA3870">
        <v>0.98870400000000003</v>
      </c>
      <c r="AB3870">
        <v>28</v>
      </c>
      <c r="AC3870">
        <v>-0.55940000000001</v>
      </c>
      <c r="AD3870">
        <v>-1.1094104483329901</v>
      </c>
      <c r="AE3870">
        <v>-16.809100000000001</v>
      </c>
      <c r="AF3870">
        <v>2.3842218011501499</v>
      </c>
      <c r="AG3870">
        <v>-1.1094104483329901</v>
      </c>
      <c r="AH3870">
        <v>16.574940369556199</v>
      </c>
      <c r="AI3870">
        <v>93.790368981517901</v>
      </c>
      <c r="AJ3870">
        <v>81.814438970034999</v>
      </c>
      <c r="AK3870">
        <v>16.7822511420338</v>
      </c>
      <c r="AL3870">
        <v>80.472167167820999</v>
      </c>
      <c r="AM3870">
        <v>84.670776638835505</v>
      </c>
      <c r="AN3870">
        <v>1.00000000710521</v>
      </c>
    </row>
    <row r="3871" spans="1:40" x14ac:dyDescent="0.25">
      <c r="A3871" t="str">
        <f>"20190303162335466"</f>
        <v>20190303162335466</v>
      </c>
      <c r="B3871" t="str">
        <f>"1551601415458598"</f>
        <v>1551601415458598</v>
      </c>
      <c r="C3871" t="s">
        <v>40</v>
      </c>
      <c r="D3871">
        <v>5.8167839999999904</v>
      </c>
      <c r="E3871">
        <v>0.51960470000000003</v>
      </c>
      <c r="F3871" t="s">
        <v>42</v>
      </c>
      <c r="G3871">
        <v>-191.20060000000001</v>
      </c>
      <c r="H3871">
        <v>1.041353</v>
      </c>
      <c r="I3871">
        <v>197.71119999999999</v>
      </c>
      <c r="J3871">
        <v>-191.15350000000001</v>
      </c>
      <c r="K3871">
        <v>1.1098030000000001</v>
      </c>
      <c r="L3871">
        <v>198.40260000000001</v>
      </c>
      <c r="M3871">
        <v>9.5299090000000003E-2</v>
      </c>
      <c r="N3871">
        <v>-1.185458E-2</v>
      </c>
      <c r="O3871">
        <v>-0.99537819999999999</v>
      </c>
      <c r="P3871">
        <v>2.2215439999999999E-2</v>
      </c>
      <c r="Q3871">
        <v>0.155698</v>
      </c>
      <c r="R3871">
        <v>-0.98755479999999995</v>
      </c>
      <c r="S3871">
        <v>-9.0972899999999995E-2</v>
      </c>
      <c r="T3871">
        <v>-0.2110274</v>
      </c>
      <c r="U3871">
        <v>-3.073242</v>
      </c>
      <c r="V3871">
        <v>7.6258640000000003E-2</v>
      </c>
      <c r="W3871">
        <v>0.16547120000000001</v>
      </c>
      <c r="X3871">
        <v>0.98326190000000002</v>
      </c>
      <c r="Y3871">
        <v>0.1246111</v>
      </c>
      <c r="Z3871">
        <v>5.5907079999999998E-2</v>
      </c>
      <c r="AA3871">
        <v>0.99062930000000005</v>
      </c>
      <c r="AB3871">
        <v>28</v>
      </c>
      <c r="AC3871">
        <v>-4.7100000000000301E-2</v>
      </c>
      <c r="AD3871">
        <v>-6.8450000000000094E-2</v>
      </c>
      <c r="AE3871">
        <v>-0.691400000000015</v>
      </c>
      <c r="AF3871">
        <v>0.11169035198956</v>
      </c>
      <c r="AG3871">
        <v>-6.8450000000000094E-2</v>
      </c>
      <c r="AH3871">
        <v>0.67715744257814403</v>
      </c>
      <c r="AI3871">
        <v>95.695658690000499</v>
      </c>
      <c r="AJ3871">
        <v>80.633961289459805</v>
      </c>
      <c r="AK3871">
        <v>0.68971177985193499</v>
      </c>
      <c r="AL3871">
        <v>80.475391778519906</v>
      </c>
      <c r="AM3871">
        <v>85.565200705485495</v>
      </c>
      <c r="AN3871">
        <v>1.0000000310978401</v>
      </c>
    </row>
    <row r="3872" spans="1:40" x14ac:dyDescent="0.25">
      <c r="A3872" t="str">
        <f>"20190303162335487"</f>
        <v>20190303162335487</v>
      </c>
      <c r="B3872" t="str">
        <f>"1551601415478118"</f>
        <v>1551601415478118</v>
      </c>
      <c r="C3872" t="s">
        <v>40</v>
      </c>
      <c r="D3872">
        <v>5.8005440000000004</v>
      </c>
      <c r="E3872">
        <v>0.52013529999999997</v>
      </c>
      <c r="F3872" t="s">
        <v>42</v>
      </c>
      <c r="G3872">
        <v>-191.18029999999999</v>
      </c>
      <c r="H3872">
        <v>1.042583</v>
      </c>
      <c r="I3872">
        <v>197.45840000000001</v>
      </c>
      <c r="J3872">
        <v>-191.1404</v>
      </c>
      <c r="K3872">
        <v>1.1101840000000001</v>
      </c>
      <c r="L3872">
        <v>198.1309</v>
      </c>
      <c r="M3872">
        <v>8.2882040000000004E-2</v>
      </c>
      <c r="N3872">
        <v>-1.1765029999999999E-2</v>
      </c>
      <c r="O3872">
        <v>-0.99648990000000004</v>
      </c>
      <c r="P3872">
        <v>2.5125370000000001E-2</v>
      </c>
      <c r="Q3872">
        <v>0.1600077</v>
      </c>
      <c r="R3872">
        <v>-0.98679609999999995</v>
      </c>
      <c r="S3872">
        <v>-8.7493899999999999E-2</v>
      </c>
      <c r="T3872">
        <v>-0.2188301</v>
      </c>
      <c r="U3872">
        <v>-3.074265</v>
      </c>
      <c r="V3872">
        <v>6.0972039999999998E-2</v>
      </c>
      <c r="W3872">
        <v>0.17013809999999999</v>
      </c>
      <c r="X3872">
        <v>0.98353210000000002</v>
      </c>
      <c r="Y3872">
        <v>0.1111009</v>
      </c>
      <c r="Z3872">
        <v>5.8647199999999997E-2</v>
      </c>
      <c r="AA3872">
        <v>0.99207719999999999</v>
      </c>
      <c r="AB3872">
        <v>28</v>
      </c>
      <c r="AC3872">
        <v>-3.9899999999988701E-2</v>
      </c>
      <c r="AD3872">
        <v>-6.7600999999999994E-2</v>
      </c>
      <c r="AE3872">
        <v>-0.672499999999985</v>
      </c>
      <c r="AF3872">
        <v>9.4552659343231399E-2</v>
      </c>
      <c r="AG3872">
        <v>-6.7600999999999994E-2</v>
      </c>
      <c r="AH3872">
        <v>0.660230626118394</v>
      </c>
      <c r="AI3872">
        <v>95.787499383669697</v>
      </c>
      <c r="AJ3872">
        <v>81.849998039180093</v>
      </c>
      <c r="AK3872">
        <v>0.67038390512792301</v>
      </c>
      <c r="AL3872">
        <v>80.204151198036797</v>
      </c>
      <c r="AM3872">
        <v>86.452606264818996</v>
      </c>
      <c r="AN3872">
        <v>0.99999997723189005</v>
      </c>
    </row>
    <row r="3873" spans="1:40" x14ac:dyDescent="0.25">
      <c r="A3873" t="str">
        <f>"20190303162335510"</f>
        <v>20190303162335510</v>
      </c>
      <c r="B3873" t="str">
        <f>"1551601415498614"</f>
        <v>1551601415498614</v>
      </c>
      <c r="C3873" t="s">
        <v>40</v>
      </c>
      <c r="D3873">
        <v>5.8168759999999997</v>
      </c>
      <c r="E3873">
        <v>0.52019740000000003</v>
      </c>
      <c r="F3873" t="s">
        <v>42</v>
      </c>
      <c r="G3873">
        <v>-191.16499999999999</v>
      </c>
      <c r="H3873">
        <v>1.0468299999999999</v>
      </c>
      <c r="I3873">
        <v>197.20140000000001</v>
      </c>
      <c r="J3873">
        <v>-191.13</v>
      </c>
      <c r="K3873">
        <v>1.110603</v>
      </c>
      <c r="L3873">
        <v>197.8519</v>
      </c>
      <c r="M3873">
        <v>7.0635879999999998E-2</v>
      </c>
      <c r="N3873">
        <v>-1.1674169999999999E-2</v>
      </c>
      <c r="O3873">
        <v>-0.99743380000000004</v>
      </c>
      <c r="P3873">
        <v>2.4797329999999999E-2</v>
      </c>
      <c r="Q3873">
        <v>0.1633146</v>
      </c>
      <c r="R3873">
        <v>-0.98626210000000003</v>
      </c>
      <c r="S3873">
        <v>-8.1024170000000006E-2</v>
      </c>
      <c r="T3873">
        <v>-0.20942060000000001</v>
      </c>
      <c r="U3873">
        <v>-3.0761569999999998</v>
      </c>
      <c r="V3873">
        <v>4.9068750000000001E-2</v>
      </c>
      <c r="W3873">
        <v>0.17369399999999999</v>
      </c>
      <c r="X3873">
        <v>0.98357649999999996</v>
      </c>
      <c r="Y3873">
        <v>9.6794110000000003E-2</v>
      </c>
      <c r="Z3873">
        <v>5.5833199999999999E-2</v>
      </c>
      <c r="AA3873">
        <v>0.99373719999999999</v>
      </c>
      <c r="AB3873">
        <v>28</v>
      </c>
      <c r="AC3873">
        <v>-3.4999999999996499E-2</v>
      </c>
      <c r="AD3873">
        <v>-6.3772999999999996E-2</v>
      </c>
      <c r="AE3873">
        <v>-0.65049999999999297</v>
      </c>
      <c r="AF3873">
        <v>8.0096731410945504E-2</v>
      </c>
      <c r="AG3873">
        <v>-6.3772999999999996E-2</v>
      </c>
      <c r="AH3873">
        <v>0.64026652588592303</v>
      </c>
      <c r="AI3873">
        <v>95.644410285314294</v>
      </c>
      <c r="AJ3873">
        <v>82.869396122251302</v>
      </c>
      <c r="AK3873">
        <v>0.64840088377619198</v>
      </c>
      <c r="AL3873">
        <v>79.997334461592203</v>
      </c>
      <c r="AM3873">
        <v>87.143990961938698</v>
      </c>
      <c r="AN3873">
        <v>1.0000000396074</v>
      </c>
    </row>
    <row r="3874" spans="1:40" x14ac:dyDescent="0.25">
      <c r="A3874" t="str">
        <f>"20190303162335532"</f>
        <v>20190303162335532</v>
      </c>
      <c r="B3874" t="str">
        <f>"1551601415518134"</f>
        <v>1551601415518134</v>
      </c>
      <c r="C3874" t="s">
        <v>40</v>
      </c>
      <c r="D3874">
        <v>5.8589099999999998</v>
      </c>
      <c r="E3874">
        <v>0.52034780000000003</v>
      </c>
      <c r="F3874" t="s">
        <v>42</v>
      </c>
      <c r="G3874">
        <v>-191.15309999999999</v>
      </c>
      <c r="H3874">
        <v>1.049153</v>
      </c>
      <c r="I3874">
        <v>196.9453</v>
      </c>
      <c r="J3874">
        <v>-191.12219999999999</v>
      </c>
      <c r="K3874">
        <v>1.111075</v>
      </c>
      <c r="L3874">
        <v>197.56540000000001</v>
      </c>
      <c r="M3874">
        <v>5.872521E-2</v>
      </c>
      <c r="N3874">
        <v>-1.157476E-2</v>
      </c>
      <c r="O3874">
        <v>-0.99820710000000001</v>
      </c>
      <c r="P3874">
        <v>2.416973E-2</v>
      </c>
      <c r="Q3874">
        <v>0.1615057</v>
      </c>
      <c r="R3874">
        <v>-0.98657589999999995</v>
      </c>
      <c r="S3874">
        <v>-7.8338619999999998E-2</v>
      </c>
      <c r="T3874">
        <v>-0.20861589999999999</v>
      </c>
      <c r="U3874">
        <v>-3.0783390000000002</v>
      </c>
      <c r="V3874">
        <v>3.7710390000000003E-2</v>
      </c>
      <c r="W3874">
        <v>0.17210329999999999</v>
      </c>
      <c r="X3874">
        <v>0.98435680000000003</v>
      </c>
      <c r="Y3874">
        <v>8.4027889999999994E-2</v>
      </c>
      <c r="Z3874">
        <v>5.5747079999999997E-2</v>
      </c>
      <c r="AA3874">
        <v>0.99490279999999998</v>
      </c>
      <c r="AB3874">
        <v>28</v>
      </c>
      <c r="AC3874">
        <v>-3.0900000000002498E-2</v>
      </c>
      <c r="AD3874">
        <v>-6.1921999999999998E-2</v>
      </c>
      <c r="AE3874">
        <v>-0.62010000000000698</v>
      </c>
      <c r="AF3874">
        <v>6.6602119629335793E-2</v>
      </c>
      <c r="AG3874">
        <v>-6.1921999999999998E-2</v>
      </c>
      <c r="AH3874">
        <v>0.61113601619691305</v>
      </c>
      <c r="AI3874">
        <v>95.751797208934804</v>
      </c>
      <c r="AJ3874">
        <v>83.780403034794105</v>
      </c>
      <c r="AK3874">
        <v>0.61786520108851795</v>
      </c>
      <c r="AL3874">
        <v>80.089867710912202</v>
      </c>
      <c r="AM3874">
        <v>87.806090118987598</v>
      </c>
      <c r="AN3874">
        <v>0.99999996454553997</v>
      </c>
    </row>
    <row r="3875" spans="1:40" x14ac:dyDescent="0.25">
      <c r="A3875" t="str">
        <f>"20190303162335555"</f>
        <v>20190303162335555</v>
      </c>
      <c r="B3875" t="str">
        <f>"1551601415548391"</f>
        <v>1551601415548391</v>
      </c>
      <c r="C3875" t="s">
        <v>40</v>
      </c>
      <c r="D3875">
        <v>6.0248280000000003</v>
      </c>
      <c r="E3875">
        <v>0.51881369999999905</v>
      </c>
      <c r="F3875" t="s">
        <v>42</v>
      </c>
      <c r="G3875">
        <v>-191.14519999999999</v>
      </c>
      <c r="H3875">
        <v>1.049113</v>
      </c>
      <c r="I3875">
        <v>196.69040000000001</v>
      </c>
      <c r="J3875">
        <v>-191.11689999999999</v>
      </c>
      <c r="K3875">
        <v>1.1116469999999901</v>
      </c>
      <c r="L3875">
        <v>197.26669999999999</v>
      </c>
      <c r="M3875">
        <v>4.7177740000000003E-2</v>
      </c>
      <c r="N3875">
        <v>-1.145818E-2</v>
      </c>
      <c r="O3875">
        <v>-0.99882079999999995</v>
      </c>
      <c r="P3875">
        <v>2.5392870000000001E-2</v>
      </c>
      <c r="Q3875">
        <v>0.1587191</v>
      </c>
      <c r="R3875">
        <v>-0.98699729999999997</v>
      </c>
      <c r="S3875">
        <v>-8.042908E-2</v>
      </c>
      <c r="T3875">
        <v>-0.21775159999999999</v>
      </c>
      <c r="U3875">
        <v>-3.0784150000000001</v>
      </c>
      <c r="V3875">
        <v>2.4798649999999998E-2</v>
      </c>
      <c r="W3875">
        <v>0.16953190000000001</v>
      </c>
      <c r="X3875">
        <v>0.98521259999999999</v>
      </c>
      <c r="Y3875">
        <v>7.3173539999999995E-2</v>
      </c>
      <c r="Z3875">
        <v>5.8893040000000001E-2</v>
      </c>
      <c r="AA3875">
        <v>0.99557879999999999</v>
      </c>
      <c r="AB3875">
        <v>28</v>
      </c>
      <c r="AC3875">
        <v>-2.8300000000001501E-2</v>
      </c>
      <c r="AD3875">
        <v>-6.2533999999999798E-2</v>
      </c>
      <c r="AE3875">
        <v>-0.57629999999997406</v>
      </c>
      <c r="AF3875">
        <v>5.4814945251913098E-2</v>
      </c>
      <c r="AG3875">
        <v>-6.2533999999999798E-2</v>
      </c>
      <c r="AH3875">
        <v>0.56765532728164603</v>
      </c>
      <c r="AI3875">
        <v>96.257590222770602</v>
      </c>
      <c r="AJ3875">
        <v>84.484403928141106</v>
      </c>
      <c r="AK3875">
        <v>0.57371399666576295</v>
      </c>
      <c r="AL3875">
        <v>80.239395676226707</v>
      </c>
      <c r="AM3875">
        <v>88.558120323910998</v>
      </c>
      <c r="AN3875">
        <v>0.99999995267909503</v>
      </c>
    </row>
    <row r="3876" spans="1:40" x14ac:dyDescent="0.25">
      <c r="A3876" t="str">
        <f>"20190303162335577"</f>
        <v>20190303162335577</v>
      </c>
      <c r="B3876" t="str">
        <f>"1551601415568886"</f>
        <v>1551601415568886</v>
      </c>
      <c r="C3876" t="s">
        <v>40</v>
      </c>
      <c r="D3876">
        <v>6.008356</v>
      </c>
      <c r="E3876">
        <v>0.51766780000000001</v>
      </c>
      <c r="F3876" t="s">
        <v>41</v>
      </c>
      <c r="G3876">
        <v>-191.44069999999999</v>
      </c>
      <c r="H3876" s="1">
        <v>-1.4711059999999999E-6</v>
      </c>
      <c r="I3876">
        <v>182.12469999999999</v>
      </c>
      <c r="J3876">
        <v>-191.11410000000001</v>
      </c>
      <c r="K3876">
        <v>1.1123050000000001</v>
      </c>
      <c r="L3876">
        <v>196.98349999999999</v>
      </c>
      <c r="M3876">
        <v>3.718896E-2</v>
      </c>
      <c r="N3876">
        <v>-1.133793E-2</v>
      </c>
      <c r="O3876">
        <v>-0.99924409999999997</v>
      </c>
      <c r="P3876">
        <v>2.597234E-2</v>
      </c>
      <c r="Q3876">
        <v>0.16020379999999901</v>
      </c>
      <c r="R3876">
        <v>-0.98674240000000002</v>
      </c>
      <c r="S3876">
        <v>-6.5811159999999994E-2</v>
      </c>
      <c r="T3876">
        <v>-0.2259372</v>
      </c>
      <c r="U3876">
        <v>-3.0775299999999999</v>
      </c>
      <c r="V3876">
        <v>1.4095140000000001E-2</v>
      </c>
      <c r="W3876">
        <v>0.17114119999999999</v>
      </c>
      <c r="X3876">
        <v>0.98514570000000001</v>
      </c>
      <c r="Y3876">
        <v>5.8478570000000001E-2</v>
      </c>
      <c r="Z3876">
        <v>6.175448E-2</v>
      </c>
      <c r="AA3876">
        <v>0.99637679999999995</v>
      </c>
      <c r="AB3876">
        <v>28</v>
      </c>
      <c r="AC3876">
        <v>-0.32659999999998401</v>
      </c>
      <c r="AD3876">
        <v>-1.11230647110599</v>
      </c>
      <c r="AE3876">
        <v>-14.8588</v>
      </c>
      <c r="AF3876">
        <v>0.87409690583773103</v>
      </c>
      <c r="AG3876">
        <v>-1.11230647110599</v>
      </c>
      <c r="AH3876">
        <v>14.7537365926713</v>
      </c>
      <c r="AI3876">
        <v>94.303940534093798</v>
      </c>
      <c r="AJ3876">
        <v>86.6094291245237</v>
      </c>
      <c r="AK3876">
        <v>14.821403932569501</v>
      </c>
      <c r="AL3876">
        <v>80.145822710620706</v>
      </c>
      <c r="AM3876">
        <v>89.180286801050997</v>
      </c>
      <c r="AN3876">
        <v>1.0000000167687699</v>
      </c>
    </row>
    <row r="3877" spans="1:40" x14ac:dyDescent="0.25">
      <c r="A3877" t="str">
        <f>"20190303162335600"</f>
        <v>20190303162335600</v>
      </c>
      <c r="B3877" t="str">
        <f>"1551601415588406"</f>
        <v>1551601415588406</v>
      </c>
      <c r="C3877" t="s">
        <v>40</v>
      </c>
      <c r="D3877">
        <v>6.010656</v>
      </c>
      <c r="E3877">
        <v>0.51684649999999999</v>
      </c>
      <c r="F3877" t="s">
        <v>41</v>
      </c>
      <c r="G3877">
        <v>-191.37870000000001</v>
      </c>
      <c r="H3877" s="1">
        <v>-1.123088E-6</v>
      </c>
      <c r="I3877">
        <v>181.352</v>
      </c>
      <c r="J3877">
        <v>-191.113</v>
      </c>
      <c r="K3877">
        <v>1.1130719999999901</v>
      </c>
      <c r="L3877">
        <v>196.70410000000001</v>
      </c>
      <c r="M3877">
        <v>2.837371E-2</v>
      </c>
      <c r="N3877">
        <v>-1.12166E-2</v>
      </c>
      <c r="O3877">
        <v>-0.9995347</v>
      </c>
      <c r="P3877">
        <v>2.2664409999999999E-2</v>
      </c>
      <c r="Q3877">
        <v>0.16375609999999999</v>
      </c>
      <c r="R3877">
        <v>-0.98624100000000003</v>
      </c>
      <c r="S3877">
        <v>-5.2093510000000003E-2</v>
      </c>
      <c r="T3877">
        <v>-0.21896699999999999</v>
      </c>
      <c r="U3877">
        <v>-3.0772089999999999</v>
      </c>
      <c r="V3877">
        <v>8.4239919999999999E-3</v>
      </c>
      <c r="W3877">
        <v>0.17468900000000001</v>
      </c>
      <c r="X3877">
        <v>0.98458760000000001</v>
      </c>
      <c r="Y3877">
        <v>4.523986E-2</v>
      </c>
      <c r="Z3877">
        <v>5.9698469999999997E-2</v>
      </c>
      <c r="AA3877">
        <v>0.99719080000000004</v>
      </c>
      <c r="AB3877">
        <v>28</v>
      </c>
      <c r="AC3877">
        <v>-0.26570000000000898</v>
      </c>
      <c r="AD3877">
        <v>-1.11307312308799</v>
      </c>
      <c r="AE3877">
        <v>-15.3521</v>
      </c>
      <c r="AF3877">
        <v>0.69755063653777305</v>
      </c>
      <c r="AG3877">
        <v>-1.11307312308799</v>
      </c>
      <c r="AH3877">
        <v>15.2581953931402</v>
      </c>
      <c r="AI3877">
        <v>94.167952733648093</v>
      </c>
      <c r="AJ3877">
        <v>87.382462479626994</v>
      </c>
      <c r="AK3877">
        <v>15.3146346780822</v>
      </c>
      <c r="AL3877">
        <v>79.939439414853794</v>
      </c>
      <c r="AM3877">
        <v>89.509797389842404</v>
      </c>
      <c r="AN3877">
        <v>0.99999997621798697</v>
      </c>
    </row>
    <row r="3878" spans="1:40" x14ac:dyDescent="0.25">
      <c r="A3878" t="str">
        <f>"20190303162335624"</f>
        <v>20190303162335624</v>
      </c>
      <c r="B3878" t="str">
        <f>"1551601415608903"</f>
        <v>1551601415608903</v>
      </c>
      <c r="C3878" t="s">
        <v>40</v>
      </c>
      <c r="D3878">
        <v>5.9518589999999998</v>
      </c>
      <c r="E3878">
        <v>0.51623819999999998</v>
      </c>
      <c r="F3878" t="s">
        <v>41</v>
      </c>
      <c r="G3878">
        <v>-191.37559999999999</v>
      </c>
      <c r="H3878" s="1">
        <v>-5.9814559999999997E-7</v>
      </c>
      <c r="I3878">
        <v>180.1302</v>
      </c>
      <c r="J3878">
        <v>-191.11330000000001</v>
      </c>
      <c r="K3878">
        <v>1.113996</v>
      </c>
      <c r="L3878">
        <v>196.40539999999999</v>
      </c>
      <c r="M3878">
        <v>2.0175849999999999E-2</v>
      </c>
      <c r="N3878">
        <v>-1.1090849999999999E-2</v>
      </c>
      <c r="O3878">
        <v>-0.99973520000000005</v>
      </c>
      <c r="P3878">
        <v>1.7931929999999999E-2</v>
      </c>
      <c r="Q3878">
        <v>0.16281119999999999</v>
      </c>
      <c r="R3878">
        <v>-0.98649480000000001</v>
      </c>
      <c r="S3878">
        <v>-4.8767089999999999E-2</v>
      </c>
      <c r="T3878">
        <v>-0.2066635</v>
      </c>
      <c r="U3878">
        <v>-3.0772710000000001</v>
      </c>
      <c r="V3878">
        <v>4.6665550000000002E-3</v>
      </c>
      <c r="W3878">
        <v>0.1736926</v>
      </c>
      <c r="X3878">
        <v>0.98478880000000002</v>
      </c>
      <c r="Y3878">
        <v>3.5976460000000002E-2</v>
      </c>
      <c r="Z3878">
        <v>5.5888979999999998E-2</v>
      </c>
      <c r="AA3878">
        <v>0.99778860000000003</v>
      </c>
      <c r="AB3878">
        <v>28</v>
      </c>
      <c r="AC3878">
        <v>-0.26229999999998199</v>
      </c>
      <c r="AD3878">
        <v>-1.1139965981455999</v>
      </c>
      <c r="AE3878">
        <v>-16.275199999999899</v>
      </c>
      <c r="AF3878">
        <v>0.58787917052645899</v>
      </c>
      <c r="AG3878">
        <v>-1.1139965981455999</v>
      </c>
      <c r="AH3878">
        <v>16.190759311559599</v>
      </c>
      <c r="AI3878">
        <v>93.933418548235196</v>
      </c>
      <c r="AJ3878">
        <v>87.920529604682798</v>
      </c>
      <c r="AK3878">
        <v>16.239682183610402</v>
      </c>
      <c r="AL3878">
        <v>79.997414890193099</v>
      </c>
      <c r="AM3878">
        <v>89.728498227103302</v>
      </c>
      <c r="AN3878">
        <v>0.99999993831788203</v>
      </c>
    </row>
    <row r="3879" spans="1:40" x14ac:dyDescent="0.25">
      <c r="A3879" t="str">
        <f>"20190303162335645"</f>
        <v>20190303162335645</v>
      </c>
      <c r="B3879" t="str">
        <f>"1551601415638183"</f>
        <v>1551601415638183</v>
      </c>
      <c r="C3879" t="s">
        <v>40</v>
      </c>
      <c r="D3879">
        <v>5.9464889999999997</v>
      </c>
      <c r="E3879">
        <v>0.51543430000000001</v>
      </c>
      <c r="F3879" t="s">
        <v>42</v>
      </c>
      <c r="G3879">
        <v>-191.13130000000001</v>
      </c>
      <c r="H3879">
        <v>1.0468230000000001</v>
      </c>
      <c r="I3879">
        <v>195.40899999999999</v>
      </c>
      <c r="J3879">
        <v>-191.1147</v>
      </c>
      <c r="K3879">
        <v>1.114927</v>
      </c>
      <c r="L3879">
        <v>196.11359999999999</v>
      </c>
      <c r="M3879">
        <v>1.3581589999999999E-2</v>
      </c>
      <c r="N3879">
        <v>-1.0976659999999999E-2</v>
      </c>
      <c r="O3879">
        <v>-0.9998475</v>
      </c>
      <c r="P3879">
        <v>1.7084289999999999E-2</v>
      </c>
      <c r="Q3879">
        <v>0.16005</v>
      </c>
      <c r="R3879">
        <v>-0.98696139999999999</v>
      </c>
      <c r="S3879">
        <v>-5.5267330000000003E-2</v>
      </c>
      <c r="T3879">
        <v>-0.20735690000000001</v>
      </c>
      <c r="U3879">
        <v>-3.0762939999999999</v>
      </c>
      <c r="V3879">
        <v>-1.4158689999999999E-3</v>
      </c>
      <c r="W3879">
        <v>0.17090959999999999</v>
      </c>
      <c r="X3879">
        <v>0.98528570000000004</v>
      </c>
      <c r="Y3879">
        <v>3.149921E-2</v>
      </c>
      <c r="Z3879">
        <v>5.6263599999999997E-2</v>
      </c>
      <c r="AA3879">
        <v>0.997919</v>
      </c>
      <c r="AB3879">
        <v>28</v>
      </c>
      <c r="AC3879">
        <v>-1.6600000000010998E-2</v>
      </c>
      <c r="AD3879">
        <v>-6.8103999999999901E-2</v>
      </c>
      <c r="AE3879">
        <v>-0.70459999999997003</v>
      </c>
      <c r="AF3879">
        <v>2.5926551063683401E-2</v>
      </c>
      <c r="AG3879">
        <v>-6.8103999999999901E-2</v>
      </c>
      <c r="AH3879">
        <v>0.69779405867433497</v>
      </c>
      <c r="AI3879">
        <v>95.570536179739307</v>
      </c>
      <c r="AJ3879">
        <v>87.872153060828097</v>
      </c>
      <c r="AK3879">
        <v>0.70158883200009603</v>
      </c>
      <c r="AL3879">
        <v>80.159290710632504</v>
      </c>
      <c r="AM3879">
        <v>90.082334760570802</v>
      </c>
      <c r="AN3879">
        <v>1.0000000033408301</v>
      </c>
    </row>
    <row r="3880" spans="1:40" x14ac:dyDescent="0.25">
      <c r="A3880" t="str">
        <f>"20190303162335667"</f>
        <v>20190303162335667</v>
      </c>
      <c r="B3880" t="str">
        <f>"1551601415658678"</f>
        <v>1551601415658678</v>
      </c>
      <c r="C3880" t="s">
        <v>40</v>
      </c>
      <c r="D3880">
        <v>5.6816389999999997</v>
      </c>
      <c r="E3880">
        <v>0.51520619999999995</v>
      </c>
      <c r="F3880" t="s">
        <v>41</v>
      </c>
      <c r="G3880">
        <v>-191.38069999999999</v>
      </c>
      <c r="H3880" s="1">
        <v>-5.4833919999999895E-7</v>
      </c>
      <c r="I3880">
        <v>180.01089999999999</v>
      </c>
      <c r="J3880">
        <v>-191.11660000000001</v>
      </c>
      <c r="K3880">
        <v>1.1157079999999999</v>
      </c>
      <c r="L3880">
        <v>195.83940000000001</v>
      </c>
      <c r="M3880">
        <v>8.3442680000000002E-3</v>
      </c>
      <c r="N3880">
        <v>-1.087923E-2</v>
      </c>
      <c r="O3880">
        <v>-0.99990619999999997</v>
      </c>
      <c r="P3880">
        <v>1.6380530000000001E-2</v>
      </c>
      <c r="Q3880">
        <v>0.15838729999999901</v>
      </c>
      <c r="R3880">
        <v>-0.98724160000000005</v>
      </c>
      <c r="S3880">
        <v>-5.0811769999999999E-2</v>
      </c>
      <c r="T3880">
        <v>-0.2129132</v>
      </c>
      <c r="U3880">
        <v>-3.0750579999999998</v>
      </c>
      <c r="V3880">
        <v>-6.2211430000000002E-3</v>
      </c>
      <c r="W3880">
        <v>0.16920109999999999</v>
      </c>
      <c r="X3880">
        <v>0.98556189999999999</v>
      </c>
      <c r="Y3880">
        <v>2.482581E-2</v>
      </c>
      <c r="Z3880">
        <v>5.8196360000000003E-2</v>
      </c>
      <c r="AA3880">
        <v>0.99799640000000001</v>
      </c>
      <c r="AB3880">
        <v>28</v>
      </c>
      <c r="AC3880">
        <v>-0.26409999999998401</v>
      </c>
      <c r="AD3880">
        <v>-1.1157085483392</v>
      </c>
      <c r="AE3880">
        <v>-15.8285</v>
      </c>
      <c r="AF3880">
        <v>0.39421773065333099</v>
      </c>
      <c r="AG3880">
        <v>-1.1157085483392</v>
      </c>
      <c r="AH3880">
        <v>15.747525817323901</v>
      </c>
      <c r="AI3880">
        <v>94.051355734358495</v>
      </c>
      <c r="AJ3880">
        <v>88.565978178732394</v>
      </c>
      <c r="AK3880">
        <v>15.7919214331658</v>
      </c>
      <c r="AL3880">
        <v>80.258627288289205</v>
      </c>
      <c r="AM3880">
        <v>90.361662218869796</v>
      </c>
      <c r="AN3880">
        <v>0.99999998679652302</v>
      </c>
    </row>
    <row r="3881" spans="1:40" x14ac:dyDescent="0.25">
      <c r="A3881" t="str">
        <f>"20190303162335710"</f>
        <v>20190303162335710</v>
      </c>
      <c r="B3881" t="str">
        <f>"1551601415698695"</f>
        <v>1551601415698695</v>
      </c>
      <c r="C3881" t="s">
        <v>40</v>
      </c>
      <c r="D3881">
        <v>5.6606699999999996</v>
      </c>
      <c r="E3881">
        <v>0.51447399999999999</v>
      </c>
      <c r="F3881" t="s">
        <v>41</v>
      </c>
      <c r="G3881">
        <v>-191.3837</v>
      </c>
      <c r="H3881" s="1">
        <v>-5.6412099999999997E-7</v>
      </c>
      <c r="I3881">
        <v>180.04589999999999</v>
      </c>
      <c r="J3881">
        <v>-191.12200000000001</v>
      </c>
      <c r="K3881">
        <v>1.117059</v>
      </c>
      <c r="L3881">
        <v>195.28450000000001</v>
      </c>
      <c r="M3881">
        <v>6.1025320000000001E-4</v>
      </c>
      <c r="N3881">
        <v>-1.0699139999999999E-2</v>
      </c>
      <c r="O3881">
        <v>-0.99994249999999996</v>
      </c>
      <c r="P3881">
        <v>1.332673E-2</v>
      </c>
      <c r="Q3881">
        <v>0.1587162</v>
      </c>
      <c r="R3881">
        <v>-0.98723439999999996</v>
      </c>
      <c r="S3881">
        <v>-5.1986690000000002E-2</v>
      </c>
      <c r="T3881">
        <v>-0.21719340000000001</v>
      </c>
      <c r="U3881">
        <v>-3.0744929999999999</v>
      </c>
      <c r="V3881">
        <v>-1.134695E-2</v>
      </c>
      <c r="W3881">
        <v>0.16936789999999999</v>
      </c>
      <c r="X3881">
        <v>0.98548760000000002</v>
      </c>
      <c r="Y3881">
        <v>1.7478960000000002E-2</v>
      </c>
      <c r="Z3881">
        <v>5.9780960000000001E-2</v>
      </c>
      <c r="AA3881">
        <v>0.99805849999999996</v>
      </c>
      <c r="AB3881">
        <v>28</v>
      </c>
      <c r="AC3881">
        <v>-0.26169999999999</v>
      </c>
      <c r="AD3881">
        <v>-1.1170595641209999</v>
      </c>
      <c r="AE3881">
        <v>-15.2386</v>
      </c>
      <c r="AF3881">
        <v>0.269551861252949</v>
      </c>
      <c r="AG3881">
        <v>-1.1170595641209999</v>
      </c>
      <c r="AH3881">
        <v>15.1570142592424</v>
      </c>
      <c r="AI3881">
        <v>94.214367751847902</v>
      </c>
      <c r="AJ3881">
        <v>88.981161073050004</v>
      </c>
      <c r="AK3881">
        <v>15.200511883833901</v>
      </c>
      <c r="AL3881">
        <v>80.248930768284794</v>
      </c>
      <c r="AM3881">
        <v>90.659677115749602</v>
      </c>
      <c r="AN3881">
        <v>1.00000002428923</v>
      </c>
    </row>
    <row r="3882" spans="1:40" x14ac:dyDescent="0.25">
      <c r="A3882" t="str">
        <f>"20190303162335734"</f>
        <v>20190303162335734</v>
      </c>
      <c r="B3882" t="str">
        <f>"1551601415728951"</f>
        <v>1551601415728951</v>
      </c>
      <c r="C3882" t="s">
        <v>40</v>
      </c>
      <c r="D3882">
        <v>5.9066489999999998</v>
      </c>
      <c r="E3882">
        <v>0.51386999999999905</v>
      </c>
      <c r="F3882" t="s">
        <v>41</v>
      </c>
      <c r="G3882">
        <v>-191.4391</v>
      </c>
      <c r="H3882" s="1">
        <v>-4.3871480000000004E-6</v>
      </c>
      <c r="I3882">
        <v>179.1285</v>
      </c>
      <c r="J3882">
        <v>-191.12549999999999</v>
      </c>
      <c r="K3882">
        <v>1.117737</v>
      </c>
      <c r="L3882">
        <v>194.96780000000001</v>
      </c>
      <c r="M3882">
        <v>-2.2774470000000002E-3</v>
      </c>
      <c r="N3882">
        <v>-1.060755E-2</v>
      </c>
      <c r="O3882">
        <v>-0.99994130000000003</v>
      </c>
      <c r="P3882">
        <v>1.21756E-2</v>
      </c>
      <c r="Q3882">
        <v>0.156226799999999</v>
      </c>
      <c r="R3882">
        <v>-0.98764649999999998</v>
      </c>
      <c r="S3882">
        <v>-6.0333249999999998E-2</v>
      </c>
      <c r="T3882">
        <v>-0.21252860000000001</v>
      </c>
      <c r="U3882">
        <v>-3.0737920000000001</v>
      </c>
      <c r="V3882">
        <v>-1.3344389999999999E-2</v>
      </c>
      <c r="W3882">
        <v>0.16678399999999999</v>
      </c>
      <c r="X3882">
        <v>0.98590310000000003</v>
      </c>
      <c r="Y3882">
        <v>1.7306530000000001E-2</v>
      </c>
      <c r="Z3882">
        <v>5.8379510000000003E-2</v>
      </c>
      <c r="AA3882">
        <v>0.99814440000000004</v>
      </c>
      <c r="AB3882">
        <v>28</v>
      </c>
      <c r="AC3882">
        <v>-0.31360000000000798</v>
      </c>
      <c r="AD3882">
        <v>-1.117741387148</v>
      </c>
      <c r="AE3882">
        <v>-15.8393</v>
      </c>
      <c r="AF3882">
        <v>0.27614937033401699</v>
      </c>
      <c r="AG3882">
        <v>-1.117741387148</v>
      </c>
      <c r="AH3882">
        <v>15.761514946419499</v>
      </c>
      <c r="AI3882">
        <v>94.055768264892095</v>
      </c>
      <c r="AJ3882">
        <v>88.996252909597402</v>
      </c>
      <c r="AK3882">
        <v>15.803510929204499</v>
      </c>
      <c r="AL3882">
        <v>80.399113143149407</v>
      </c>
      <c r="AM3882">
        <v>90.775462154188602</v>
      </c>
      <c r="AN3882">
        <v>0.99999994899503897</v>
      </c>
    </row>
    <row r="3883" spans="1:40" x14ac:dyDescent="0.25">
      <c r="A3883" t="str">
        <f>"20190303162335757"</f>
        <v>20190303162335757</v>
      </c>
      <c r="B3883" t="str">
        <f>"1551601415748470"</f>
        <v>1551601415748470</v>
      </c>
      <c r="C3883" t="s">
        <v>40</v>
      </c>
      <c r="D3883">
        <v>5.8404189999999998</v>
      </c>
      <c r="E3883">
        <v>0.51333209999999996</v>
      </c>
      <c r="F3883" t="s">
        <v>41</v>
      </c>
      <c r="G3883">
        <v>-191.43029999999999</v>
      </c>
      <c r="H3883" s="1">
        <v>-4.4189360000000003E-6</v>
      </c>
      <c r="I3883">
        <v>179.22649999999999</v>
      </c>
      <c r="J3883">
        <v>-191.12870000000001</v>
      </c>
      <c r="K3883">
        <v>1.1182639999999999</v>
      </c>
      <c r="L3883">
        <v>194.6902</v>
      </c>
      <c r="M3883">
        <v>-4.1498749999999999E-3</v>
      </c>
      <c r="N3883">
        <v>-1.0536429999999999E-2</v>
      </c>
      <c r="O3883">
        <v>-0.99993600000000005</v>
      </c>
      <c r="P3883">
        <v>9.7956239999999993E-3</v>
      </c>
      <c r="Q3883">
        <v>0.15329489999999901</v>
      </c>
      <c r="R3883">
        <v>-0.98813209999999996</v>
      </c>
      <c r="S3883">
        <v>-5.9494020000000002E-2</v>
      </c>
      <c r="T3883">
        <v>-0.21818599999999999</v>
      </c>
      <c r="U3883">
        <v>-3.0727540000000002</v>
      </c>
      <c r="V3883">
        <v>-1.305068E-2</v>
      </c>
      <c r="W3883">
        <v>0.16376669999999999</v>
      </c>
      <c r="X3883">
        <v>0.98641279999999998</v>
      </c>
      <c r="Y3883">
        <v>1.516692E-2</v>
      </c>
      <c r="Z3883">
        <v>6.0303259999999997E-2</v>
      </c>
      <c r="AA3883">
        <v>0.99806490000000003</v>
      </c>
      <c r="AB3883">
        <v>28</v>
      </c>
      <c r="AC3883">
        <v>-0.301599999999979</v>
      </c>
      <c r="AD3883">
        <v>-1.1182684189359999</v>
      </c>
      <c r="AE3883">
        <v>-15.463699999999999</v>
      </c>
      <c r="AF3883">
        <v>0.23618674257186201</v>
      </c>
      <c r="AG3883">
        <v>-1.1182684189359999</v>
      </c>
      <c r="AH3883">
        <v>15.384395450351301</v>
      </c>
      <c r="AI3883">
        <v>94.156943546328904</v>
      </c>
      <c r="AJ3883">
        <v>89.120443793864297</v>
      </c>
      <c r="AK3883">
        <v>15.426792661047401</v>
      </c>
      <c r="AL3883">
        <v>80.574403244374693</v>
      </c>
      <c r="AM3883">
        <v>90.758004416142398</v>
      </c>
      <c r="AN3883">
        <v>1.00000003214059</v>
      </c>
    </row>
    <row r="3884" spans="1:40" x14ac:dyDescent="0.25">
      <c r="A3884" t="str">
        <f>"20190303162335778"</f>
        <v>20190303162335778</v>
      </c>
      <c r="B3884" t="str">
        <f>"1551601415768967"</f>
        <v>1551601415768967</v>
      </c>
      <c r="C3884" t="s">
        <v>40</v>
      </c>
      <c r="D3884">
        <v>5.8979419999999996</v>
      </c>
      <c r="E3884">
        <v>0.51275269999999995</v>
      </c>
      <c r="F3884" t="s">
        <v>41</v>
      </c>
      <c r="G3884">
        <v>-191.43340000000001</v>
      </c>
      <c r="H3884" s="1">
        <v>-4.4916259999999998E-6</v>
      </c>
      <c r="I3884">
        <v>179.4385</v>
      </c>
      <c r="J3884">
        <v>-191.1318</v>
      </c>
      <c r="K3884">
        <v>1.1187290000000001</v>
      </c>
      <c r="L3884">
        <v>194.41380000000001</v>
      </c>
      <c r="M3884">
        <v>-5.5522339999999996E-3</v>
      </c>
      <c r="N3884">
        <v>-1.0473039999999999E-2</v>
      </c>
      <c r="O3884">
        <v>-0.99992979999999998</v>
      </c>
      <c r="P3884">
        <v>7.1028990000000002E-3</v>
      </c>
      <c r="Q3884">
        <v>0.152267299999999</v>
      </c>
      <c r="R3884">
        <v>-0.98831389999999997</v>
      </c>
      <c r="S3884">
        <v>-6.1370849999999998E-2</v>
      </c>
      <c r="T3884">
        <v>-0.2252111</v>
      </c>
      <c r="U3884">
        <v>-3.0715789999999998</v>
      </c>
      <c r="V3884">
        <v>-1.19325E-2</v>
      </c>
      <c r="W3884">
        <v>0.16265839999999901</v>
      </c>
      <c r="X3884">
        <v>0.98661030000000005</v>
      </c>
      <c r="Y3884">
        <v>1.437893E-2</v>
      </c>
      <c r="Z3884">
        <v>6.2663529999999995E-2</v>
      </c>
      <c r="AA3884">
        <v>0.99793109999999996</v>
      </c>
      <c r="AB3884">
        <v>29</v>
      </c>
      <c r="AC3884">
        <v>-0.30160000000000697</v>
      </c>
      <c r="AD3884">
        <v>-1.1187334916259899</v>
      </c>
      <c r="AE3884">
        <v>-14.975300000000001</v>
      </c>
      <c r="AF3884">
        <v>0.21723256936965399</v>
      </c>
      <c r="AG3884">
        <v>-1.1187334916259899</v>
      </c>
      <c r="AH3884">
        <v>14.89365786728</v>
      </c>
      <c r="AI3884">
        <v>94.295236439047201</v>
      </c>
      <c r="AJ3884">
        <v>89.164367343344693</v>
      </c>
      <c r="AK3884">
        <v>14.937195161142901</v>
      </c>
      <c r="AL3884">
        <v>80.638767027767003</v>
      </c>
      <c r="AM3884">
        <v>90.692926636445506</v>
      </c>
      <c r="AN3884">
        <v>1.00000001185645</v>
      </c>
    </row>
    <row r="3885" spans="1:40" x14ac:dyDescent="0.25">
      <c r="A3885" t="str">
        <f>"20190303162335802"</f>
        <v>20190303162335802</v>
      </c>
      <c r="B3885" t="str">
        <f>"1551601415788487"</f>
        <v>1551601415788487</v>
      </c>
      <c r="C3885" t="s">
        <v>40</v>
      </c>
      <c r="D3885">
        <v>5.9757559999999996</v>
      </c>
      <c r="E3885">
        <v>0.51211329999999999</v>
      </c>
      <c r="F3885" t="s">
        <v>41</v>
      </c>
      <c r="G3885">
        <v>-191.45419999999999</v>
      </c>
      <c r="H3885" s="1">
        <v>-4.4180519999999996E-6</v>
      </c>
      <c r="I3885">
        <v>179.2114</v>
      </c>
      <c r="J3885">
        <v>-191.1352</v>
      </c>
      <c r="K3885">
        <v>1.1191310000000001</v>
      </c>
      <c r="L3885">
        <v>194.11070000000001</v>
      </c>
      <c r="M3885">
        <v>-6.6963880000000002E-3</v>
      </c>
      <c r="N3885">
        <v>-1.0410290000000001E-2</v>
      </c>
      <c r="O3885">
        <v>-0.99992349999999997</v>
      </c>
      <c r="P3885">
        <v>6.8247050000000004E-3</v>
      </c>
      <c r="Q3885">
        <v>0.15173229999999999</v>
      </c>
      <c r="R3885">
        <v>-0.98839829999999995</v>
      </c>
      <c r="S3885">
        <v>-6.5124509999999997E-2</v>
      </c>
      <c r="T3885">
        <v>-0.22597629999999999</v>
      </c>
      <c r="U3885">
        <v>-3.07077</v>
      </c>
      <c r="V3885">
        <v>-1.2948090000000001E-2</v>
      </c>
      <c r="W3885">
        <v>0.16205329999999901</v>
      </c>
      <c r="X3885">
        <v>0.98669709999999999</v>
      </c>
      <c r="Y3885">
        <v>1.445895E-2</v>
      </c>
      <c r="Z3885">
        <v>6.2991060000000001E-2</v>
      </c>
      <c r="AA3885">
        <v>0.99790939999999995</v>
      </c>
      <c r="AB3885">
        <v>29</v>
      </c>
      <c r="AC3885">
        <v>-0.31899999999998802</v>
      </c>
      <c r="AD3885">
        <v>-1.1191354180519999</v>
      </c>
      <c r="AE3885">
        <v>-14.8993</v>
      </c>
      <c r="AF3885">
        <v>0.21798663905259599</v>
      </c>
      <c r="AG3885">
        <v>-1.1191354180519999</v>
      </c>
      <c r="AH3885">
        <v>14.8175398245025</v>
      </c>
      <c r="AI3885">
        <v>94.318755206192293</v>
      </c>
      <c r="AJ3885">
        <v>89.157160119439695</v>
      </c>
      <c r="AK3885">
        <v>14.861341416893</v>
      </c>
      <c r="AL3885">
        <v>80.673903199303695</v>
      </c>
      <c r="AM3885">
        <v>90.751829847000096</v>
      </c>
      <c r="AN3885">
        <v>1.00000004611197</v>
      </c>
    </row>
    <row r="3886" spans="1:40" x14ac:dyDescent="0.25">
      <c r="A3886" t="str">
        <f>"20190303162335837"</f>
        <v>20190303162335837</v>
      </c>
      <c r="B3886" t="str">
        <f>"1551601415828503"</f>
        <v>1551601415828503</v>
      </c>
      <c r="C3886" t="s">
        <v>40</v>
      </c>
      <c r="D3886">
        <v>5.8551080000000004</v>
      </c>
      <c r="E3886">
        <v>0.4937899</v>
      </c>
      <c r="F3886" t="s">
        <v>41</v>
      </c>
      <c r="G3886">
        <v>-191.43790000000001</v>
      </c>
      <c r="H3886" s="1">
        <v>-4.2957140000000002E-6</v>
      </c>
      <c r="I3886">
        <v>178.8604</v>
      </c>
      <c r="J3886">
        <v>-191.13990000000001</v>
      </c>
      <c r="K3886">
        <v>1.119499</v>
      </c>
      <c r="L3886">
        <v>193.67590000000001</v>
      </c>
      <c r="M3886">
        <v>-7.8044580000000002E-3</v>
      </c>
      <c r="N3886">
        <v>-1.033448E-2</v>
      </c>
      <c r="O3886">
        <v>-0.99991609999999997</v>
      </c>
      <c r="P3886">
        <v>8.9052479999999993E-3</v>
      </c>
      <c r="Q3886">
        <v>0.14558670000000001</v>
      </c>
      <c r="R3886">
        <v>-0.9893054</v>
      </c>
      <c r="S3886">
        <v>-6.0943600000000001E-2</v>
      </c>
      <c r="T3886">
        <v>-0.2253076</v>
      </c>
      <c r="U3886">
        <v>-3.070236</v>
      </c>
      <c r="V3886">
        <v>-1.6295150000000001E-2</v>
      </c>
      <c r="W3886">
        <v>0.15583669999999999</v>
      </c>
      <c r="X3886">
        <v>0.98764839999999998</v>
      </c>
      <c r="Y3886">
        <v>1.1997499999999999E-2</v>
      </c>
      <c r="Z3886">
        <v>6.2864619999999996E-2</v>
      </c>
      <c r="AA3886">
        <v>0.99795</v>
      </c>
      <c r="AB3886">
        <v>29</v>
      </c>
      <c r="AC3886">
        <v>-0.29800000000000099</v>
      </c>
      <c r="AD3886">
        <v>-1.1195032957140001</v>
      </c>
      <c r="AE3886">
        <v>-14.8155</v>
      </c>
      <c r="AF3886">
        <v>0.181322903848749</v>
      </c>
      <c r="AG3886">
        <v>-1.1195032957140001</v>
      </c>
      <c r="AH3886">
        <v>14.733285040893801</v>
      </c>
      <c r="AI3886">
        <v>94.344921321979001</v>
      </c>
      <c r="AJ3886">
        <v>89.294895020311898</v>
      </c>
      <c r="AK3886">
        <v>14.7768688740477</v>
      </c>
      <c r="AL3886">
        <v>81.034674546437103</v>
      </c>
      <c r="AM3886">
        <v>90.945233767541893</v>
      </c>
      <c r="AN3886">
        <v>0.99999998550148606</v>
      </c>
    </row>
    <row r="3887" spans="1:40" x14ac:dyDescent="0.25">
      <c r="A3887" t="str">
        <f>"20190303162335856"</f>
        <v>20190303162335856</v>
      </c>
      <c r="B3887" t="str">
        <f>"1551601415849002"</f>
        <v>1551601415849002</v>
      </c>
      <c r="C3887" t="s">
        <v>40</v>
      </c>
      <c r="D3887">
        <v>5.8528520000000004</v>
      </c>
      <c r="E3887">
        <v>0.49221039999999999</v>
      </c>
      <c r="F3887" t="s">
        <v>41</v>
      </c>
      <c r="G3887">
        <v>-190.6267</v>
      </c>
      <c r="H3887" s="1">
        <v>-2.8459609999999999E-6</v>
      </c>
      <c r="I3887">
        <v>175.83439999999999</v>
      </c>
      <c r="J3887">
        <v>-191.14279999999999</v>
      </c>
      <c r="K3887">
        <v>1.1196159999999999</v>
      </c>
      <c r="L3887">
        <v>193.41229999999999</v>
      </c>
      <c r="M3887">
        <v>-8.3353560000000004E-3</v>
      </c>
      <c r="N3887">
        <v>-1.02957E-2</v>
      </c>
      <c r="O3887">
        <v>-0.99991260000000004</v>
      </c>
      <c r="P3887">
        <v>1.198873E-2</v>
      </c>
      <c r="Q3887">
        <v>0.13941219999999999</v>
      </c>
      <c r="R3887">
        <v>-0.99016210000000004</v>
      </c>
      <c r="S3887">
        <v>8.8012699999999999E-2</v>
      </c>
      <c r="T3887">
        <v>-0.191998</v>
      </c>
      <c r="U3887">
        <v>-3.0598749999999999</v>
      </c>
      <c r="V3887">
        <v>-1.9978840000000001E-2</v>
      </c>
      <c r="W3887">
        <v>0.14963319999999999</v>
      </c>
      <c r="X3887">
        <v>0.98853970000000002</v>
      </c>
      <c r="Y3887">
        <v>-3.7029659999999999E-2</v>
      </c>
      <c r="Z3887">
        <v>5.2306180000000001E-2</v>
      </c>
      <c r="AA3887">
        <v>0.99794430000000001</v>
      </c>
      <c r="AB3887">
        <v>29</v>
      </c>
      <c r="AC3887">
        <v>0.51609999999999401</v>
      </c>
      <c r="AD3887">
        <v>-1.1196188459609999</v>
      </c>
      <c r="AE3887">
        <v>-17.5779</v>
      </c>
      <c r="AF3887">
        <v>-0.65993278901290797</v>
      </c>
      <c r="AG3887">
        <v>-1.1196188459609999</v>
      </c>
      <c r="AH3887">
        <v>17.5020423226043</v>
      </c>
      <c r="AI3887">
        <v>93.657674587605499</v>
      </c>
      <c r="AJ3887">
        <v>92.159374246971595</v>
      </c>
      <c r="AK3887">
        <v>17.550229146893699</v>
      </c>
      <c r="AL3887">
        <v>81.394329376583499</v>
      </c>
      <c r="AM3887">
        <v>91.157816315924805</v>
      </c>
      <c r="AN3887">
        <v>0.99999999353303703</v>
      </c>
    </row>
    <row r="3888" spans="1:40" x14ac:dyDescent="0.25">
      <c r="A3888" t="str">
        <f>"20190303162335878"</f>
        <v>20190303162335878</v>
      </c>
      <c r="B3888" t="str">
        <f>"1551601415868522"</f>
        <v>1551601415868522</v>
      </c>
      <c r="C3888" t="s">
        <v>40</v>
      </c>
      <c r="D3888">
        <v>5.8500519999999998</v>
      </c>
      <c r="E3888">
        <v>0.4921374</v>
      </c>
      <c r="F3888" t="s">
        <v>41</v>
      </c>
      <c r="G3888">
        <v>-190.54929999999999</v>
      </c>
      <c r="H3888" s="1">
        <v>-3.1554030000000002E-6</v>
      </c>
      <c r="I3888">
        <v>176.6037</v>
      </c>
      <c r="J3888">
        <v>-191.14580000000001</v>
      </c>
      <c r="K3888">
        <v>1.1197079999999999</v>
      </c>
      <c r="L3888">
        <v>193.1396</v>
      </c>
      <c r="M3888">
        <v>-8.8297380000000002E-3</v>
      </c>
      <c r="N3888">
        <v>-1.026112E-2</v>
      </c>
      <c r="O3888">
        <v>-0.99990860000000004</v>
      </c>
      <c r="P3888">
        <v>1.391188E-2</v>
      </c>
      <c r="Q3888">
        <v>0.1364329</v>
      </c>
      <c r="R3888">
        <v>-0.99055179999999998</v>
      </c>
      <c r="S3888">
        <v>0.1079407</v>
      </c>
      <c r="T3888">
        <v>-0.20363800000000001</v>
      </c>
      <c r="U3888">
        <v>-3.057175</v>
      </c>
      <c r="V3888">
        <v>-2.243873E-2</v>
      </c>
      <c r="W3888">
        <v>0.1466218</v>
      </c>
      <c r="X3888">
        <v>0.98893810000000004</v>
      </c>
      <c r="Y3888">
        <v>-4.4035610000000003E-2</v>
      </c>
      <c r="Z3888">
        <v>5.6162320000000002E-2</v>
      </c>
      <c r="AA3888">
        <v>0.99745010000000001</v>
      </c>
      <c r="AB3888">
        <v>29</v>
      </c>
      <c r="AC3888">
        <v>0.59650000000002001</v>
      </c>
      <c r="AD3888">
        <v>-1.1197111554029999</v>
      </c>
      <c r="AE3888">
        <v>-16.535899999999899</v>
      </c>
      <c r="AF3888">
        <v>-0.73910752580928096</v>
      </c>
      <c r="AG3888">
        <v>-1.1197111554029999</v>
      </c>
      <c r="AH3888">
        <v>16.454638678976501</v>
      </c>
      <c r="AI3888">
        <v>93.888973192502903</v>
      </c>
      <c r="AJ3888">
        <v>92.571876331820107</v>
      </c>
      <c r="AK3888">
        <v>16.509244896781599</v>
      </c>
      <c r="AL3888">
        <v>81.568794728624994</v>
      </c>
      <c r="AM3888">
        <v>91.299802250620999</v>
      </c>
      <c r="AN3888">
        <v>1.00000000723543</v>
      </c>
    </row>
    <row r="3889" spans="1:40" x14ac:dyDescent="0.25">
      <c r="A3889" t="str">
        <f>"20190303162335900"</f>
        <v>20190303162335900</v>
      </c>
      <c r="B3889" t="str">
        <f>"1551601415889015"</f>
        <v>1551601415889015</v>
      </c>
      <c r="C3889" t="s">
        <v>40</v>
      </c>
      <c r="D3889">
        <v>5.8709930000000004</v>
      </c>
      <c r="E3889">
        <v>0.4917647</v>
      </c>
      <c r="F3889" t="s">
        <v>41</v>
      </c>
      <c r="G3889">
        <v>-190.53989999999999</v>
      </c>
      <c r="H3889" s="1">
        <v>-3.1931750000000001E-6</v>
      </c>
      <c r="I3889">
        <v>176.69759999999999</v>
      </c>
      <c r="J3889">
        <v>-191.1491</v>
      </c>
      <c r="K3889">
        <v>1.11981</v>
      </c>
      <c r="L3889">
        <v>192.8434</v>
      </c>
      <c r="M3889">
        <v>-9.3319270000000003E-3</v>
      </c>
      <c r="N3889">
        <v>-1.0228950000000001E-2</v>
      </c>
      <c r="O3889">
        <v>-0.99990449999999997</v>
      </c>
      <c r="P3889">
        <v>1.5203080000000001E-2</v>
      </c>
      <c r="Q3889">
        <v>0.13691029999999901</v>
      </c>
      <c r="R3889">
        <v>-0.99046699999999999</v>
      </c>
      <c r="S3889">
        <v>0.1125946</v>
      </c>
      <c r="T3889">
        <v>-0.20809440000000001</v>
      </c>
      <c r="U3889">
        <v>-3.0556950000000001</v>
      </c>
      <c r="V3889">
        <v>-2.4257790000000001E-2</v>
      </c>
      <c r="W3889">
        <v>0.14706420000000001</v>
      </c>
      <c r="X3889">
        <v>0.98882939999999997</v>
      </c>
      <c r="Y3889">
        <v>-4.6067219999999999E-2</v>
      </c>
      <c r="Z3889">
        <v>5.7669079999999998E-2</v>
      </c>
      <c r="AA3889">
        <v>0.9972723</v>
      </c>
      <c r="AB3889">
        <v>29</v>
      </c>
      <c r="AC3889">
        <v>0.60920000000001495</v>
      </c>
      <c r="AD3889">
        <v>-1.1198131931749999</v>
      </c>
      <c r="AE3889">
        <v>-16.145800000000001</v>
      </c>
      <c r="AF3889">
        <v>-0.75622025224996203</v>
      </c>
      <c r="AG3889">
        <v>-1.1198131931749999</v>
      </c>
      <c r="AH3889">
        <v>16.062257168391302</v>
      </c>
      <c r="AI3889">
        <v>93.983641501742696</v>
      </c>
      <c r="AJ3889">
        <v>92.695527620599407</v>
      </c>
      <c r="AK3889">
        <v>16.118993641076301</v>
      </c>
      <c r="AL3889">
        <v>81.543168810412695</v>
      </c>
      <c r="AM3889">
        <v>91.405288187615994</v>
      </c>
      <c r="AN3889">
        <v>0.99999995080084003</v>
      </c>
    </row>
    <row r="3890" spans="1:40" x14ac:dyDescent="0.25">
      <c r="A3890" t="str">
        <f>"20190303162335924"</f>
        <v>20190303162335924</v>
      </c>
      <c r="B3890" t="str">
        <f>"1551601415919270"</f>
        <v>1551601415919270</v>
      </c>
      <c r="C3890" t="s">
        <v>40</v>
      </c>
      <c r="D3890">
        <v>5.8796710000000001</v>
      </c>
      <c r="E3890">
        <v>0.49135030000000002</v>
      </c>
      <c r="F3890" t="s">
        <v>41</v>
      </c>
      <c r="G3890">
        <v>-190.4795</v>
      </c>
      <c r="H3890" s="1">
        <v>-2.6668660000000002E-6</v>
      </c>
      <c r="I3890">
        <v>175.50819999999999</v>
      </c>
      <c r="J3890">
        <v>-191.1524</v>
      </c>
      <c r="K3890">
        <v>1.119904</v>
      </c>
      <c r="L3890">
        <v>192.55430000000001</v>
      </c>
      <c r="M3890">
        <v>-9.7887270000000005E-3</v>
      </c>
      <c r="N3890">
        <v>-1.0202630000000001E-2</v>
      </c>
      <c r="O3890">
        <v>-0.99990020000000002</v>
      </c>
      <c r="P3890">
        <v>1.6216000000000001E-2</v>
      </c>
      <c r="Q3890">
        <v>0.13763449999999999</v>
      </c>
      <c r="R3890">
        <v>-0.99035050000000002</v>
      </c>
      <c r="S3890">
        <v>0.117981</v>
      </c>
      <c r="T3890">
        <v>-0.1973047</v>
      </c>
      <c r="U3890">
        <v>-3.0543520000000002</v>
      </c>
      <c r="V3890">
        <v>-2.574692E-2</v>
      </c>
      <c r="W3890">
        <v>0.147758</v>
      </c>
      <c r="X3890">
        <v>0.98868829999999996</v>
      </c>
      <c r="Y3890">
        <v>-4.8303279999999997E-2</v>
      </c>
      <c r="Z3890">
        <v>5.4210670000000002E-2</v>
      </c>
      <c r="AA3890">
        <v>0.99736049999999998</v>
      </c>
      <c r="AB3890">
        <v>29</v>
      </c>
      <c r="AC3890">
        <v>0.67289999999999806</v>
      </c>
      <c r="AD3890">
        <v>-1.119906666866</v>
      </c>
      <c r="AE3890">
        <v>-17.046099999999999</v>
      </c>
      <c r="AF3890">
        <v>-0.83613263457480003</v>
      </c>
      <c r="AG3890">
        <v>-1.119906666866</v>
      </c>
      <c r="AH3890">
        <v>16.9655811122331</v>
      </c>
      <c r="AI3890">
        <v>93.772079552615594</v>
      </c>
      <c r="AJ3890">
        <v>92.821485447380596</v>
      </c>
      <c r="AK3890">
        <v>17.023050584453198</v>
      </c>
      <c r="AL3890">
        <v>81.502977851693799</v>
      </c>
      <c r="AM3890">
        <v>91.491730523969494</v>
      </c>
      <c r="AN3890">
        <v>0.99999994250518598</v>
      </c>
    </row>
    <row r="3891" spans="1:40" x14ac:dyDescent="0.25">
      <c r="A3891" t="str">
        <f>"20190303162335945"</f>
        <v>20190303162335945</v>
      </c>
      <c r="B3891" t="str">
        <f>"1551601415938791"</f>
        <v>1551601415938791</v>
      </c>
      <c r="C3891" t="s">
        <v>40</v>
      </c>
      <c r="D3891">
        <v>5.6081750000000001</v>
      </c>
      <c r="E3891">
        <v>0.49116739999999998</v>
      </c>
      <c r="F3891" t="s">
        <v>41</v>
      </c>
      <c r="G3891">
        <v>-190.3946</v>
      </c>
      <c r="H3891" s="1">
        <v>-1.9363239999999998E-6</v>
      </c>
      <c r="I3891">
        <v>173.858</v>
      </c>
      <c r="J3891">
        <v>-191.1558</v>
      </c>
      <c r="K3891">
        <v>1.11999</v>
      </c>
      <c r="L3891">
        <v>192.26560000000001</v>
      </c>
      <c r="M3891">
        <v>-1.019579E-2</v>
      </c>
      <c r="N3891">
        <v>-1.018053E-2</v>
      </c>
      <c r="O3891">
        <v>-0.99989620000000001</v>
      </c>
      <c r="P3891">
        <v>1.7032229999999999E-2</v>
      </c>
      <c r="Q3891">
        <v>0.13871629999999999</v>
      </c>
      <c r="R3891">
        <v>-0.99018589999999995</v>
      </c>
      <c r="S3891">
        <v>0.1237335</v>
      </c>
      <c r="T3891">
        <v>-0.18285180000000001</v>
      </c>
      <c r="U3891">
        <v>-3.0526279999999999</v>
      </c>
      <c r="V3891">
        <v>-2.698909E-2</v>
      </c>
      <c r="W3891">
        <v>0.14881240000000001</v>
      </c>
      <c r="X3891">
        <v>0.98849710000000002</v>
      </c>
      <c r="Y3891">
        <v>-5.0618209999999997E-2</v>
      </c>
      <c r="Z3891">
        <v>4.955768E-2</v>
      </c>
      <c r="AA3891">
        <v>0.99748780000000004</v>
      </c>
      <c r="AB3891">
        <v>29</v>
      </c>
      <c r="AC3891">
        <v>0.76120000000000199</v>
      </c>
      <c r="AD3891">
        <v>-1.1199919363240001</v>
      </c>
      <c r="AE3891">
        <v>-18.407599999999999</v>
      </c>
      <c r="AF3891">
        <v>-0.94535645232415999</v>
      </c>
      <c r="AG3891">
        <v>-1.1199919363240001</v>
      </c>
      <c r="AH3891">
        <v>18.331135797927502</v>
      </c>
      <c r="AI3891">
        <v>93.491670896831707</v>
      </c>
      <c r="AJ3891">
        <v>92.952189833736995</v>
      </c>
      <c r="AK3891">
        <v>18.389633503728199</v>
      </c>
      <c r="AL3891">
        <v>81.441890571132106</v>
      </c>
      <c r="AM3891">
        <v>91.563967026723205</v>
      </c>
      <c r="AN3891">
        <v>1.0000000290405899</v>
      </c>
    </row>
    <row r="3892" spans="1:40" x14ac:dyDescent="0.25">
      <c r="A3892" t="str">
        <f>"20190303162335968"</f>
        <v>20190303162335968</v>
      </c>
      <c r="B3892" t="str">
        <f>"1551601415958437"</f>
        <v>1551601415958437</v>
      </c>
      <c r="C3892" t="s">
        <v>40</v>
      </c>
      <c r="D3892">
        <v>6.050897</v>
      </c>
      <c r="E3892">
        <v>0.4906161</v>
      </c>
      <c r="F3892" t="s">
        <v>41</v>
      </c>
      <c r="G3892">
        <v>-190.34639999999999</v>
      </c>
      <c r="H3892" s="1">
        <v>-1.4787619999999999E-6</v>
      </c>
      <c r="I3892">
        <v>172.82130000000001</v>
      </c>
      <c r="J3892">
        <v>-191.1592</v>
      </c>
      <c r="K3892">
        <v>1.1200779999999999</v>
      </c>
      <c r="L3892">
        <v>191.97819999999999</v>
      </c>
      <c r="M3892">
        <v>-1.055378E-2</v>
      </c>
      <c r="N3892">
        <v>-1.0162030000000001E-2</v>
      </c>
      <c r="O3892">
        <v>-0.99989300000000003</v>
      </c>
      <c r="P3892">
        <v>1.6474320000000001E-2</v>
      </c>
      <c r="Q3892">
        <v>0.14329500000000001</v>
      </c>
      <c r="R3892">
        <v>-0.98954339999999996</v>
      </c>
      <c r="S3892">
        <v>0.12704469999999901</v>
      </c>
      <c r="T3892">
        <v>-0.17580599999999999</v>
      </c>
      <c r="U3892">
        <v>-3.0522</v>
      </c>
      <c r="V3892">
        <v>-2.679865E-2</v>
      </c>
      <c r="W3892">
        <v>0.153362</v>
      </c>
      <c r="X3892">
        <v>0.98780659999999998</v>
      </c>
      <c r="Y3892">
        <v>-5.2066389999999997E-2</v>
      </c>
      <c r="Z3892">
        <v>4.7285460000000001E-2</v>
      </c>
      <c r="AA3892">
        <v>0.99752350000000001</v>
      </c>
      <c r="AB3892">
        <v>29</v>
      </c>
      <c r="AC3892">
        <v>0.81280000000000996</v>
      </c>
      <c r="AD3892">
        <v>-1.1200794787620001</v>
      </c>
      <c r="AE3892">
        <v>-19.156899999999901</v>
      </c>
      <c r="AF3892">
        <v>-1.01149114809049</v>
      </c>
      <c r="AG3892">
        <v>-1.1200794787620001</v>
      </c>
      <c r="AH3892">
        <v>19.0821376263189</v>
      </c>
      <c r="AI3892">
        <v>93.354582916378504</v>
      </c>
      <c r="AJ3892">
        <v>93.034250514236703</v>
      </c>
      <c r="AK3892">
        <v>19.141725856651099</v>
      </c>
      <c r="AL3892">
        <v>81.178189808793803</v>
      </c>
      <c r="AM3892">
        <v>91.554021816963498</v>
      </c>
      <c r="AN3892">
        <v>0.99999997484469005</v>
      </c>
    </row>
    <row r="3893" spans="1:40" x14ac:dyDescent="0.25">
      <c r="A3893" t="str">
        <f>"20190303162335990"</f>
        <v>20190303162335990</v>
      </c>
      <c r="B3893" t="str">
        <f>"1551601415978933"</f>
        <v>1551601415978933</v>
      </c>
      <c r="C3893" t="s">
        <v>40</v>
      </c>
      <c r="D3893">
        <v>5.929932</v>
      </c>
      <c r="E3893">
        <v>0.49027110000000002</v>
      </c>
      <c r="F3893" t="s">
        <v>41</v>
      </c>
      <c r="G3893">
        <v>-190.22020000000001</v>
      </c>
      <c r="H3893" s="1">
        <v>-1.4657560000000001E-7</v>
      </c>
      <c r="I3893">
        <v>169.79419999999999</v>
      </c>
      <c r="J3893">
        <v>-191.16249999999999</v>
      </c>
      <c r="K3893">
        <v>1.120177</v>
      </c>
      <c r="L3893">
        <v>191.69239999999999</v>
      </c>
      <c r="M3893">
        <v>-1.0839E-2</v>
      </c>
      <c r="N3893">
        <v>-1.01466E-2</v>
      </c>
      <c r="O3893">
        <v>-0.99988999999999995</v>
      </c>
      <c r="P3893">
        <v>1.4293480000000001E-2</v>
      </c>
      <c r="Q3893">
        <v>0.14877170000000001</v>
      </c>
      <c r="R3893">
        <v>-0.9887686</v>
      </c>
      <c r="S3893">
        <v>0.12918089999999999</v>
      </c>
      <c r="T3893">
        <v>-0.15409</v>
      </c>
      <c r="U3893">
        <v>-3.0518649999999998</v>
      </c>
      <c r="V3893">
        <v>-2.4911630000000001E-2</v>
      </c>
      <c r="W3893">
        <v>0.15881039999999999</v>
      </c>
      <c r="X3893">
        <v>0.9869947</v>
      </c>
      <c r="Y3893">
        <v>-5.3067469999999999E-2</v>
      </c>
      <c r="Z3893">
        <v>4.0225150000000001E-2</v>
      </c>
      <c r="AA3893">
        <v>0.99778040000000001</v>
      </c>
      <c r="AB3893">
        <v>29</v>
      </c>
      <c r="AC3893">
        <v>0.94229999999998804</v>
      </c>
      <c r="AD3893">
        <v>-1.1201771465756001</v>
      </c>
      <c r="AE3893">
        <v>-21.898199999999999</v>
      </c>
      <c r="AF3893">
        <v>-1.17653841905431</v>
      </c>
      <c r="AG3893">
        <v>-1.1201771465756001</v>
      </c>
      <c r="AH3893">
        <v>21.829682870003801</v>
      </c>
      <c r="AI3893">
        <v>92.933272448831502</v>
      </c>
      <c r="AJ3893">
        <v>93.085043794832103</v>
      </c>
      <c r="AK3893">
        <v>21.8900455389238</v>
      </c>
      <c r="AL3893">
        <v>80.862145066665093</v>
      </c>
      <c r="AM3893">
        <v>91.445831756756405</v>
      </c>
      <c r="AN3893">
        <v>0.99999993514275098</v>
      </c>
    </row>
    <row r="3894" spans="1:40" x14ac:dyDescent="0.25">
      <c r="A3894" t="str">
        <f>"20190303162336013"</f>
        <v>20190303162336013</v>
      </c>
      <c r="B3894" t="str">
        <f>"1551601415998453"</f>
        <v>1551601415998453</v>
      </c>
      <c r="C3894" t="s">
        <v>40</v>
      </c>
      <c r="D3894">
        <v>5.9318850000000003</v>
      </c>
      <c r="E3894">
        <v>0.49016110000000002</v>
      </c>
      <c r="F3894" t="s">
        <v>41</v>
      </c>
      <c r="G3894">
        <v>-190.11269999999999</v>
      </c>
      <c r="H3894" s="1">
        <v>-3.1664840000000001E-6</v>
      </c>
      <c r="I3894">
        <v>166.2268</v>
      </c>
      <c r="J3894">
        <v>-191.1661</v>
      </c>
      <c r="K3894">
        <v>1.120285</v>
      </c>
      <c r="L3894">
        <v>191.39160000000001</v>
      </c>
      <c r="M3894">
        <v>-1.1045859999999999E-2</v>
      </c>
      <c r="N3894">
        <v>-1.013318E-2</v>
      </c>
      <c r="O3894">
        <v>-0.99988779999999999</v>
      </c>
      <c r="P3894">
        <v>8.1219380000000004E-3</v>
      </c>
      <c r="Q3894">
        <v>0.15564900000000001</v>
      </c>
      <c r="R3894">
        <v>-0.98777930000000003</v>
      </c>
      <c r="S3894">
        <v>0.12583920000000001</v>
      </c>
      <c r="T3894">
        <v>-0.134272799999999</v>
      </c>
      <c r="U3894">
        <v>-3.0524900000000001</v>
      </c>
      <c r="V3894">
        <v>-1.8957209999999999E-2</v>
      </c>
      <c r="W3894">
        <v>0.16565739999999901</v>
      </c>
      <c r="X3894">
        <v>0.98600109999999996</v>
      </c>
      <c r="Y3894">
        <v>-5.2186870000000003E-2</v>
      </c>
      <c r="Z3894">
        <v>3.376494E-2</v>
      </c>
      <c r="AA3894">
        <v>0.99806640000000002</v>
      </c>
      <c r="AB3894">
        <v>29</v>
      </c>
      <c r="AC3894">
        <v>1.0534000000000101</v>
      </c>
      <c r="AD3894">
        <v>-1.1202881664840001</v>
      </c>
      <c r="AE3894">
        <v>-25.1648</v>
      </c>
      <c r="AF3894">
        <v>-1.3286881505910599</v>
      </c>
      <c r="AG3894">
        <v>-1.1202881664840001</v>
      </c>
      <c r="AH3894">
        <v>25.101966786682102</v>
      </c>
      <c r="AI3894">
        <v>92.551818598586706</v>
      </c>
      <c r="AJ3894">
        <v>93.029931703148407</v>
      </c>
      <c r="AK3894">
        <v>25.162058626773302</v>
      </c>
      <c r="AL3894">
        <v>80.464573320438504</v>
      </c>
      <c r="AM3894">
        <v>91.101453455757905</v>
      </c>
      <c r="AN3894">
        <v>0.99999995959347598</v>
      </c>
    </row>
    <row r="3895" spans="1:40" x14ac:dyDescent="0.25">
      <c r="A3895" t="str">
        <f>"20190303162336035"</f>
        <v>20190303162336035</v>
      </c>
      <c r="B3895" t="str">
        <f>"1551601416028709"</f>
        <v>1551601416028709</v>
      </c>
      <c r="C3895" t="s">
        <v>40</v>
      </c>
      <c r="D3895">
        <v>6.0405579999999999</v>
      </c>
      <c r="E3895">
        <v>0.48984749999999999</v>
      </c>
      <c r="F3895" t="s">
        <v>41</v>
      </c>
      <c r="G3895">
        <v>-190.0341</v>
      </c>
      <c r="H3895" s="1">
        <v>-3.591782E-7</v>
      </c>
      <c r="I3895">
        <v>160.3322</v>
      </c>
      <c r="J3895">
        <v>-191.1694</v>
      </c>
      <c r="K3895">
        <v>1.1203650000000001</v>
      </c>
      <c r="L3895">
        <v>191.10149999999999</v>
      </c>
      <c r="M3895">
        <v>-1.114944E-2</v>
      </c>
      <c r="N3895">
        <v>-1.0122529999999999E-2</v>
      </c>
      <c r="O3895">
        <v>-0.99988650000000001</v>
      </c>
      <c r="P3895">
        <v>4.575666E-4</v>
      </c>
      <c r="Q3895">
        <v>0.16013620000000001</v>
      </c>
      <c r="R3895">
        <v>-0.9870949</v>
      </c>
      <c r="S3895">
        <v>0.1112823</v>
      </c>
      <c r="T3895">
        <v>-0.1101394</v>
      </c>
      <c r="U3895">
        <v>-3.0535580000000002</v>
      </c>
      <c r="V3895">
        <v>-1.1413110000000001E-2</v>
      </c>
      <c r="W3895">
        <v>0.17012260000000001</v>
      </c>
      <c r="X3895">
        <v>0.98535680000000003</v>
      </c>
      <c r="Y3895">
        <v>-4.753636E-2</v>
      </c>
      <c r="Z3895">
        <v>2.589023E-2</v>
      </c>
      <c r="AA3895">
        <v>0.99853389999999997</v>
      </c>
      <c r="AB3895">
        <v>29</v>
      </c>
      <c r="AC3895">
        <v>1.1353</v>
      </c>
      <c r="AD3895">
        <v>-1.1203653591781999</v>
      </c>
      <c r="AE3895">
        <v>-30.769299999999902</v>
      </c>
      <c r="AF3895">
        <v>-1.47635278889932</v>
      </c>
      <c r="AG3895">
        <v>-1.1203653591781999</v>
      </c>
      <c r="AH3895">
        <v>30.714062755489099</v>
      </c>
      <c r="AI3895">
        <v>92.086660664677495</v>
      </c>
      <c r="AJ3895">
        <v>92.751955261796596</v>
      </c>
      <c r="AK3895">
        <v>30.7699282911654</v>
      </c>
      <c r="AL3895">
        <v>80.205052554363107</v>
      </c>
      <c r="AM3895">
        <v>90.663611184470597</v>
      </c>
      <c r="AN3895">
        <v>0.99999999070843604</v>
      </c>
    </row>
    <row r="3896" spans="1:40" x14ac:dyDescent="0.25">
      <c r="A3896" t="str">
        <f>"20190303162336079"</f>
        <v>20190303162336079</v>
      </c>
      <c r="B3896" t="str">
        <f>"1551601416068725"</f>
        <v>1551601416068725</v>
      </c>
      <c r="C3896" t="s">
        <v>40</v>
      </c>
      <c r="D3896">
        <v>5.9238819999999999</v>
      </c>
      <c r="E3896">
        <v>0.48939359999999998</v>
      </c>
      <c r="F3896" t="s">
        <v>55</v>
      </c>
      <c r="G3896">
        <v>-190.0625</v>
      </c>
      <c r="H3896" s="1">
        <v>-1.3206830000000001E-5</v>
      </c>
      <c r="I3896">
        <v>155.46719999999999</v>
      </c>
      <c r="J3896">
        <v>-191.17570000000001</v>
      </c>
      <c r="K3896">
        <v>1.120474</v>
      </c>
      <c r="L3896">
        <v>190.53469999999999</v>
      </c>
      <c r="M3896">
        <v>-1.100157E-2</v>
      </c>
      <c r="N3896">
        <v>-1.010729E-2</v>
      </c>
      <c r="O3896">
        <v>-0.99988869999999996</v>
      </c>
      <c r="P3896">
        <v>-1.2576230000000001E-2</v>
      </c>
      <c r="Q3896">
        <v>0.151697</v>
      </c>
      <c r="R3896">
        <v>-0.98834739999999999</v>
      </c>
      <c r="S3896">
        <v>9.4894409999999998E-2</v>
      </c>
      <c r="T3896">
        <v>-9.6044299999999999E-2</v>
      </c>
      <c r="U3896">
        <v>-3.0547490000000002</v>
      </c>
      <c r="V3896">
        <v>1.6849479999999999E-3</v>
      </c>
      <c r="W3896">
        <v>0.16168009999999999</v>
      </c>
      <c r="X3896">
        <v>0.98684179999999999</v>
      </c>
      <c r="Y3896">
        <v>-4.2028669999999997E-2</v>
      </c>
      <c r="Z3896">
        <v>2.129553E-2</v>
      </c>
      <c r="AA3896">
        <v>0.99888940000000004</v>
      </c>
      <c r="AB3896">
        <v>29</v>
      </c>
      <c r="AC3896">
        <v>1.1132</v>
      </c>
      <c r="AD3896">
        <v>-1.12048720683</v>
      </c>
      <c r="AE3896">
        <v>-35.067499999999903</v>
      </c>
      <c r="AF3896">
        <v>-1.4974225167233399</v>
      </c>
      <c r="AG3896">
        <v>-1.12048720683</v>
      </c>
      <c r="AH3896">
        <v>35.017414944944697</v>
      </c>
      <c r="AI3896">
        <v>91.831052738521095</v>
      </c>
      <c r="AJ3896">
        <v>92.448603132348893</v>
      </c>
      <c r="AK3896">
        <v>35.0673226123794</v>
      </c>
      <c r="AL3896">
        <v>80.695571451676798</v>
      </c>
      <c r="AM3896">
        <v>89.902172450249296</v>
      </c>
      <c r="AN3896">
        <v>1.0000000160064999</v>
      </c>
    </row>
    <row r="3897" spans="1:40" x14ac:dyDescent="0.25">
      <c r="A3897" t="str">
        <f>"20190303162336101"</f>
        <v>20190303162336101</v>
      </c>
      <c r="B3897" t="str">
        <f>"1551601416089222"</f>
        <v>1551601416089222</v>
      </c>
      <c r="C3897" t="s">
        <v>40</v>
      </c>
      <c r="D3897">
        <v>5.9767700000000001</v>
      </c>
      <c r="E3897">
        <v>0.48083749999999997</v>
      </c>
      <c r="F3897" t="s">
        <v>41</v>
      </c>
      <c r="G3897">
        <v>-190.63030000000001</v>
      </c>
      <c r="H3897" s="1">
        <v>-1.8530610000000001E-6</v>
      </c>
      <c r="I3897">
        <v>163.15690000000001</v>
      </c>
      <c r="J3897">
        <v>-191.17859999999999</v>
      </c>
      <c r="K3897">
        <v>1.1205419999999999</v>
      </c>
      <c r="L3897">
        <v>190.24770000000001</v>
      </c>
      <c r="M3897">
        <v>-1.074057E-2</v>
      </c>
      <c r="N3897">
        <v>-1.0102389999999999E-2</v>
      </c>
      <c r="O3897">
        <v>-0.99989130000000004</v>
      </c>
      <c r="P3897">
        <v>-1.6556789999999998E-2</v>
      </c>
      <c r="Q3897">
        <v>0.145531299999999</v>
      </c>
      <c r="R3897">
        <v>-0.98921519999999996</v>
      </c>
      <c r="S3897">
        <v>6.0867310000000001E-2</v>
      </c>
      <c r="T3897">
        <v>-0.1250443</v>
      </c>
      <c r="U3897">
        <v>-3.0553439999999998</v>
      </c>
      <c r="V3897">
        <v>5.8776119999999999E-3</v>
      </c>
      <c r="W3897">
        <v>0.15552060000000001</v>
      </c>
      <c r="X3897">
        <v>0.98781509999999995</v>
      </c>
      <c r="Y3897">
        <v>-3.0638140000000001E-2</v>
      </c>
      <c r="Z3897">
        <v>3.077792E-2</v>
      </c>
      <c r="AA3897">
        <v>0.99905659999999996</v>
      </c>
      <c r="AB3897">
        <v>29</v>
      </c>
      <c r="AC3897">
        <v>0.54829999999998302</v>
      </c>
      <c r="AD3897">
        <v>-1.1205438530609999</v>
      </c>
      <c r="AE3897">
        <v>-27.090800000000002</v>
      </c>
      <c r="AF3897">
        <v>-0.83782104226875298</v>
      </c>
      <c r="AG3897">
        <v>-1.1205438530609999</v>
      </c>
      <c r="AH3897">
        <v>27.037110119940799</v>
      </c>
      <c r="AI3897">
        <v>92.372108621236194</v>
      </c>
      <c r="AJ3897">
        <v>91.774903207842996</v>
      </c>
      <c r="AK3897">
        <v>27.073287319114101</v>
      </c>
      <c r="AL3897">
        <v>81.053008851952498</v>
      </c>
      <c r="AM3897">
        <v>89.659087629788502</v>
      </c>
      <c r="AN3897">
        <v>0.99999993756759398</v>
      </c>
    </row>
    <row r="3898" spans="1:40" x14ac:dyDescent="0.25">
      <c r="A3898" t="str">
        <f>"20190303162336125"</f>
        <v>20190303162336125</v>
      </c>
      <c r="B3898" t="str">
        <f>"1551601416118502"</f>
        <v>1551601416118502</v>
      </c>
      <c r="C3898" t="s">
        <v>40</v>
      </c>
      <c r="D3898">
        <v>5.6742100000000004</v>
      </c>
      <c r="E3898">
        <v>0.47891980000000001</v>
      </c>
      <c r="F3898" t="s">
        <v>41</v>
      </c>
      <c r="G3898">
        <v>-190.5479</v>
      </c>
      <c r="H3898" s="1">
        <v>-1.950775E-6</v>
      </c>
      <c r="I3898">
        <v>173.79660000000001</v>
      </c>
      <c r="J3898">
        <v>-191.1815</v>
      </c>
      <c r="K3898">
        <v>1.1206160000000001</v>
      </c>
      <c r="L3898">
        <v>189.95150000000001</v>
      </c>
      <c r="M3898">
        <v>-1.036956E-2</v>
      </c>
      <c r="N3898">
        <v>-1.009876E-2</v>
      </c>
      <c r="O3898">
        <v>-0.99989530000000004</v>
      </c>
      <c r="P3898">
        <v>-2.105158E-2</v>
      </c>
      <c r="Q3898">
        <v>0.14424779999999901</v>
      </c>
      <c r="R3898">
        <v>-0.98931780000000002</v>
      </c>
      <c r="S3898">
        <v>0.1175385</v>
      </c>
      <c r="T3898">
        <v>-0.20879300000000001</v>
      </c>
      <c r="U3898">
        <v>-3.065353</v>
      </c>
      <c r="V3898">
        <v>1.070539E-2</v>
      </c>
      <c r="W3898">
        <v>0.15423879999999901</v>
      </c>
      <c r="X3898">
        <v>0.98797559999999995</v>
      </c>
      <c r="Y3898">
        <v>-4.8593160000000003E-2</v>
      </c>
      <c r="Z3898">
        <v>5.780507E-2</v>
      </c>
      <c r="AA3898">
        <v>0.99714460000000005</v>
      </c>
      <c r="AB3898">
        <v>29</v>
      </c>
      <c r="AC3898">
        <v>0.63360000000000105</v>
      </c>
      <c r="AD3898">
        <v>-1.120617950775</v>
      </c>
      <c r="AE3898">
        <v>-16.154899999999898</v>
      </c>
      <c r="AF3898">
        <v>-0.79726329716712196</v>
      </c>
      <c r="AG3898">
        <v>-1.120617950775</v>
      </c>
      <c r="AH3898">
        <v>16.070252942612601</v>
      </c>
      <c r="AI3898">
        <v>93.9840332978644</v>
      </c>
      <c r="AJ3898">
        <v>92.840179355282402</v>
      </c>
      <c r="AK3898">
        <v>16.1289938618675</v>
      </c>
      <c r="AL3898">
        <v>81.127348167055104</v>
      </c>
      <c r="AM3898">
        <v>89.379185416198993</v>
      </c>
      <c r="AN3898">
        <v>0.99999999949792595</v>
      </c>
    </row>
    <row r="3899" spans="1:40" x14ac:dyDescent="0.25">
      <c r="A3899" t="str">
        <f>"20190303162336147"</f>
        <v>20190303162336147</v>
      </c>
      <c r="B3899" t="str">
        <f>"1551601416138997"</f>
        <v>1551601416138997</v>
      </c>
      <c r="C3899" t="s">
        <v>40</v>
      </c>
      <c r="D3899">
        <v>5.975848</v>
      </c>
      <c r="E3899">
        <v>0.48015439999999998</v>
      </c>
      <c r="F3899" t="s">
        <v>41</v>
      </c>
      <c r="G3899">
        <v>-190.56780000000001</v>
      </c>
      <c r="H3899" s="1">
        <v>-2.1024189999999999E-6</v>
      </c>
      <c r="I3899">
        <v>174.1377</v>
      </c>
      <c r="J3899">
        <v>-191.1841</v>
      </c>
      <c r="K3899">
        <v>1.1206780000000001</v>
      </c>
      <c r="L3899">
        <v>189.6507</v>
      </c>
      <c r="M3899">
        <v>-9.9303080000000005E-3</v>
      </c>
      <c r="N3899">
        <v>-1.009589E-2</v>
      </c>
      <c r="O3899">
        <v>-0.99989989999999995</v>
      </c>
      <c r="P3899">
        <v>-2.4484760000000001E-2</v>
      </c>
      <c r="Q3899">
        <v>0.14584430000000001</v>
      </c>
      <c r="R3899">
        <v>-0.98900469999999896</v>
      </c>
      <c r="S3899">
        <v>0.11900330000000001</v>
      </c>
      <c r="T3899">
        <v>-0.21731139999999999</v>
      </c>
      <c r="U3899">
        <v>-3.0666199999999999</v>
      </c>
      <c r="V3899">
        <v>1.455364E-2</v>
      </c>
      <c r="W3899">
        <v>0.15583379999999999</v>
      </c>
      <c r="X3899">
        <v>0.98767609999999995</v>
      </c>
      <c r="Y3899">
        <v>-4.8607270000000001E-2</v>
      </c>
      <c r="Z3899">
        <v>6.0536590000000001E-2</v>
      </c>
      <c r="AA3899">
        <v>0.99698180000000003</v>
      </c>
      <c r="AB3899">
        <v>29</v>
      </c>
      <c r="AC3899">
        <v>0.61629999999999496</v>
      </c>
      <c r="AD3899">
        <v>-1.1206801024190001</v>
      </c>
      <c r="AE3899">
        <v>-15.513</v>
      </c>
      <c r="AF3899">
        <v>-0.76633325414929099</v>
      </c>
      <c r="AG3899">
        <v>-1.1206801024190001</v>
      </c>
      <c r="AH3899">
        <v>15.4257374879765</v>
      </c>
      <c r="AI3899">
        <v>94.150138994727996</v>
      </c>
      <c r="AJ3899">
        <v>92.844051596388496</v>
      </c>
      <c r="AK3899">
        <v>15.4853662403036</v>
      </c>
      <c r="AL3899">
        <v>81.034843162242396</v>
      </c>
      <c r="AM3899">
        <v>89.155794288189696</v>
      </c>
      <c r="AN3899">
        <v>1.0000000300854399</v>
      </c>
    </row>
    <row r="3900" spans="1:40" x14ac:dyDescent="0.25">
      <c r="A3900" t="str">
        <f>"20190303162336168"</f>
        <v>20190303162336168</v>
      </c>
      <c r="B3900" t="str">
        <f>"1551601416158517"</f>
        <v>1551601416158517</v>
      </c>
      <c r="C3900" t="s">
        <v>40</v>
      </c>
      <c r="D3900">
        <v>5.9147210000000001</v>
      </c>
      <c r="E3900">
        <v>0.51324119999999995</v>
      </c>
      <c r="F3900" t="s">
        <v>41</v>
      </c>
      <c r="G3900">
        <v>-190.65280000000001</v>
      </c>
      <c r="H3900" s="1">
        <v>-1.6108929999999999E-6</v>
      </c>
      <c r="I3900">
        <v>172.9393</v>
      </c>
      <c r="J3900">
        <v>-191.18639999999999</v>
      </c>
      <c r="K3900">
        <v>1.1207210000000001</v>
      </c>
      <c r="L3900">
        <v>189.3767</v>
      </c>
      <c r="M3900">
        <v>-9.5053489999999997E-3</v>
      </c>
      <c r="N3900">
        <v>-1.0093799999999899E-2</v>
      </c>
      <c r="O3900">
        <v>-0.99990400000000002</v>
      </c>
      <c r="P3900">
        <v>-2.6472969999999998E-2</v>
      </c>
      <c r="Q3900">
        <v>0.14910119999999999</v>
      </c>
      <c r="R3900">
        <v>-0.98846750000000005</v>
      </c>
      <c r="S3900">
        <v>9.7488400000000003E-2</v>
      </c>
      <c r="T3900">
        <v>-0.20561409999999999</v>
      </c>
      <c r="U3900">
        <v>-3.0660859999999999</v>
      </c>
      <c r="V3900">
        <v>1.6956099999999901E-2</v>
      </c>
      <c r="W3900">
        <v>0.1590858</v>
      </c>
      <c r="X3900">
        <v>0.98711910000000003</v>
      </c>
      <c r="Y3900">
        <v>-4.1211930000000001E-2</v>
      </c>
      <c r="Z3900">
        <v>5.6784599999999998E-2</v>
      </c>
      <c r="AA3900">
        <v>0.99753550000000002</v>
      </c>
      <c r="AB3900">
        <v>29</v>
      </c>
      <c r="AC3900">
        <v>0.53359999999997798</v>
      </c>
      <c r="AD3900">
        <v>-1.120722610893</v>
      </c>
      <c r="AE3900">
        <v>-16.437399999999901</v>
      </c>
      <c r="AF3900">
        <v>-0.68663845071616503</v>
      </c>
      <c r="AG3900">
        <v>-1.120722610893</v>
      </c>
      <c r="AH3900">
        <v>16.355632894138701</v>
      </c>
      <c r="AI3900">
        <v>93.916461776815396</v>
      </c>
      <c r="AJ3900">
        <v>92.403966708231806</v>
      </c>
      <c r="AK3900">
        <v>16.408358202464999</v>
      </c>
      <c r="AL3900">
        <v>80.846162845474694</v>
      </c>
      <c r="AM3900">
        <v>89.015906558967401</v>
      </c>
      <c r="AN3900">
        <v>0.99999995933682895</v>
      </c>
    </row>
    <row r="3901" spans="1:40" x14ac:dyDescent="0.25">
      <c r="A3901" t="str">
        <f>"20190303162336216"</f>
        <v>20190303162336216</v>
      </c>
      <c r="B3901" t="str">
        <f>"1551601416209269"</f>
        <v>1551601416209269</v>
      </c>
      <c r="C3901" t="s">
        <v>40</v>
      </c>
      <c r="D3901">
        <v>5.5982949999999896</v>
      </c>
      <c r="E3901">
        <v>0.51416989999999996</v>
      </c>
      <c r="F3901" t="s">
        <v>41</v>
      </c>
      <c r="G3901">
        <v>-192.47300000000001</v>
      </c>
      <c r="H3901" s="1">
        <v>-4.1499900000000002E-6</v>
      </c>
      <c r="I3901">
        <v>166.97890000000001</v>
      </c>
      <c r="J3901">
        <v>-191.19130000000001</v>
      </c>
      <c r="K3901">
        <v>1.120703</v>
      </c>
      <c r="L3901">
        <v>188.75960000000001</v>
      </c>
      <c r="M3901">
        <v>-8.6776579999999996E-3</v>
      </c>
      <c r="N3901">
        <v>-1.0091279999999999E-2</v>
      </c>
      <c r="O3901">
        <v>-0.99991149999999995</v>
      </c>
      <c r="P3901">
        <v>-2.941291E-2</v>
      </c>
      <c r="Q3901">
        <v>0.15516740000000001</v>
      </c>
      <c r="R3901">
        <v>-0.98745050000000001</v>
      </c>
      <c r="S3901">
        <v>-0.1753845</v>
      </c>
      <c r="T3901">
        <v>-0.1527821</v>
      </c>
      <c r="U3901">
        <v>-3.053375</v>
      </c>
      <c r="V3901">
        <v>2.0742770000000001E-2</v>
      </c>
      <c r="W3901">
        <v>0.16513920000000001</v>
      </c>
      <c r="X3901">
        <v>0.98605220000000005</v>
      </c>
      <c r="Y3901">
        <v>4.8618849999999998E-2</v>
      </c>
      <c r="Z3901">
        <v>3.9822490000000002E-2</v>
      </c>
      <c r="AA3901">
        <v>0.9980232</v>
      </c>
      <c r="AB3901">
        <v>29</v>
      </c>
      <c r="AC3901">
        <v>-1.2816999999999701</v>
      </c>
      <c r="AD3901">
        <v>-1.1207071499899901</v>
      </c>
      <c r="AE3901">
        <v>-21.7807</v>
      </c>
      <c r="AF3901">
        <v>1.08976144273354</v>
      </c>
      <c r="AG3901">
        <v>-1.1207071499899901</v>
      </c>
      <c r="AH3901">
        <v>21.733660640293799</v>
      </c>
      <c r="AI3901">
        <v>92.9481739651347</v>
      </c>
      <c r="AJ3901">
        <v>87.129499550060203</v>
      </c>
      <c r="AK3901">
        <v>21.789804252116699</v>
      </c>
      <c r="AL3901">
        <v>80.494679790391899</v>
      </c>
      <c r="AM3901">
        <v>88.794893500660606</v>
      </c>
      <c r="AN3901">
        <v>1.00000007950437</v>
      </c>
    </row>
    <row r="3902" spans="1:40" x14ac:dyDescent="0.25">
      <c r="A3902" t="str">
        <f>"20190303162336238"</f>
        <v>20190303162336238</v>
      </c>
      <c r="B3902" t="str">
        <f>"1551601416228789"</f>
        <v>1551601416228789</v>
      </c>
      <c r="C3902" t="s">
        <v>40</v>
      </c>
      <c r="D3902">
        <v>5.719983</v>
      </c>
      <c r="E3902">
        <v>0.51400369999999995</v>
      </c>
      <c r="F3902" t="s">
        <v>41</v>
      </c>
      <c r="G3902">
        <v>-192.8399</v>
      </c>
      <c r="H3902" s="1">
        <v>-2.3491129999999998E-6</v>
      </c>
      <c r="I3902">
        <v>162.96260000000001</v>
      </c>
      <c r="J3902">
        <v>-191.19370000000001</v>
      </c>
      <c r="K3902">
        <v>1.1206400000000001</v>
      </c>
      <c r="L3902">
        <v>188.46520000000001</v>
      </c>
      <c r="M3902">
        <v>-8.4256319999999902E-3</v>
      </c>
      <c r="N3902">
        <v>-1.009114E-2</v>
      </c>
      <c r="O3902">
        <v>-0.99991359999999996</v>
      </c>
      <c r="P3902">
        <v>-3.1912389999999999E-2</v>
      </c>
      <c r="Q3902">
        <v>0.1577897</v>
      </c>
      <c r="R3902">
        <v>-0.98695690000000003</v>
      </c>
      <c r="S3902">
        <v>-0.19511410000000001</v>
      </c>
      <c r="T3902">
        <v>-0.13263820000000001</v>
      </c>
      <c r="U3902">
        <v>-3.0531459999999999</v>
      </c>
      <c r="V3902">
        <v>2.352131E-2</v>
      </c>
      <c r="W3902">
        <v>0.16775390000000001</v>
      </c>
      <c r="X3902">
        <v>0.98554830000000004</v>
      </c>
      <c r="Y3902">
        <v>5.5314500000000003E-2</v>
      </c>
      <c r="Z3902">
        <v>3.3241409999999999E-2</v>
      </c>
      <c r="AA3902">
        <v>0.99791549999999996</v>
      </c>
      <c r="AB3902">
        <v>29</v>
      </c>
      <c r="AC3902">
        <v>-1.6461999999999899</v>
      </c>
      <c r="AD3902">
        <v>-1.12064234911299</v>
      </c>
      <c r="AE3902">
        <v>-25.502600000000001</v>
      </c>
      <c r="AF3902">
        <v>1.4285082043767301</v>
      </c>
      <c r="AG3902">
        <v>-1.12064234911299</v>
      </c>
      <c r="AH3902">
        <v>25.466595631033801</v>
      </c>
      <c r="AI3902">
        <v>92.5156915299453</v>
      </c>
      <c r="AJ3902">
        <v>86.789448797293502</v>
      </c>
      <c r="AK3902">
        <v>25.531235144410601</v>
      </c>
      <c r="AL3902">
        <v>80.342748708768596</v>
      </c>
      <c r="AM3902">
        <v>88.632826008905695</v>
      </c>
      <c r="AN3902">
        <v>1.0000000373111</v>
      </c>
    </row>
    <row r="3903" spans="1:40" x14ac:dyDescent="0.25">
      <c r="A3903" t="str">
        <f>"20190303162336259"</f>
        <v>20190303162336259</v>
      </c>
      <c r="B3903" t="str">
        <f>"1551601416249286"</f>
        <v>1551601416249286</v>
      </c>
      <c r="C3903" t="s">
        <v>40</v>
      </c>
      <c r="D3903">
        <v>6.0336160000000003</v>
      </c>
      <c r="E3903">
        <v>0.51293440000000001</v>
      </c>
      <c r="F3903" t="s">
        <v>41</v>
      </c>
      <c r="G3903">
        <v>-192.93600000000001</v>
      </c>
      <c r="H3903" s="1">
        <v>-1.8178129999999999E-6</v>
      </c>
      <c r="I3903">
        <v>161.78450000000001</v>
      </c>
      <c r="J3903">
        <v>-191.19589999999999</v>
      </c>
      <c r="K3903">
        <v>1.120576</v>
      </c>
      <c r="L3903">
        <v>188.19390000000001</v>
      </c>
      <c r="M3903">
        <v>-8.2885909999999997E-3</v>
      </c>
      <c r="N3903">
        <v>-1.009145E-2</v>
      </c>
      <c r="O3903">
        <v>-0.99991490000000005</v>
      </c>
      <c r="P3903">
        <v>-3.4245350000000001E-2</v>
      </c>
      <c r="Q3903">
        <v>0.15815029999999999</v>
      </c>
      <c r="R3903">
        <v>-0.98682119999999995</v>
      </c>
      <c r="S3903">
        <v>-0.19941710000000001</v>
      </c>
      <c r="T3903">
        <v>-0.12826070000000001</v>
      </c>
      <c r="U3903">
        <v>-3.0536799999999999</v>
      </c>
      <c r="V3903">
        <v>2.601792E-2</v>
      </c>
      <c r="W3903">
        <v>0.1681106</v>
      </c>
      <c r="X3903">
        <v>0.98542470000000004</v>
      </c>
      <c r="Y3903">
        <v>5.6843560000000001E-2</v>
      </c>
      <c r="Z3903">
        <v>3.1802419999999998E-2</v>
      </c>
      <c r="AA3903">
        <v>0.99787650000000006</v>
      </c>
      <c r="AB3903">
        <v>29</v>
      </c>
      <c r="AC3903">
        <v>-1.74009999999998</v>
      </c>
      <c r="AD3903">
        <v>-1.1205778178129999</v>
      </c>
      <c r="AE3903">
        <v>-26.409400000000002</v>
      </c>
      <c r="AF3903">
        <v>1.51841047921768</v>
      </c>
      <c r="AG3903">
        <v>-1.1205778178129999</v>
      </c>
      <c r="AH3903">
        <v>26.3756352245728</v>
      </c>
      <c r="AI3903">
        <v>92.428751161806701</v>
      </c>
      <c r="AJ3903">
        <v>86.705194276448395</v>
      </c>
      <c r="AK3903">
        <v>26.443059553102</v>
      </c>
      <c r="AL3903">
        <v>80.322016251160093</v>
      </c>
      <c r="AM3903">
        <v>88.487585345643495</v>
      </c>
      <c r="AN3903">
        <v>0.99999997268178697</v>
      </c>
    </row>
    <row r="3904" spans="1:40" x14ac:dyDescent="0.25">
      <c r="A3904" t="str">
        <f>"20190303162336282"</f>
        <v>20190303162336282</v>
      </c>
      <c r="B3904" t="str">
        <f>"1551601416268806"</f>
        <v>1551601416268806</v>
      </c>
      <c r="C3904" t="s">
        <v>40</v>
      </c>
      <c r="D3904">
        <v>5.9741140000000001</v>
      </c>
      <c r="E3904">
        <v>0.51252169999999997</v>
      </c>
      <c r="F3904" t="s">
        <v>41</v>
      </c>
      <c r="G3904">
        <v>-192.83750000000001</v>
      </c>
      <c r="H3904" s="1">
        <v>-2.0971560000000001E-6</v>
      </c>
      <c r="I3904">
        <v>162.43100000000001</v>
      </c>
      <c r="J3904">
        <v>-191.19829999999999</v>
      </c>
      <c r="K3904">
        <v>1.120509</v>
      </c>
      <c r="L3904">
        <v>187.89150000000001</v>
      </c>
      <c r="M3904">
        <v>-8.237477E-3</v>
      </c>
      <c r="N3904">
        <v>-1.009226E-2</v>
      </c>
      <c r="O3904">
        <v>-0.99991509999999995</v>
      </c>
      <c r="P3904">
        <v>-3.6644019999999999E-2</v>
      </c>
      <c r="Q3904">
        <v>0.15921660000000001</v>
      </c>
      <c r="R3904">
        <v>-0.98656339999999998</v>
      </c>
      <c r="S3904">
        <v>-0.19464110000000001</v>
      </c>
      <c r="T3904">
        <v>-0.1328626</v>
      </c>
      <c r="U3904">
        <v>-3.054611</v>
      </c>
      <c r="V3904">
        <v>2.8497930000000001E-2</v>
      </c>
      <c r="W3904">
        <v>0.16917099999999999</v>
      </c>
      <c r="X3904">
        <v>0.98517469999999996</v>
      </c>
      <c r="Y3904">
        <v>5.5317900000000003E-2</v>
      </c>
      <c r="Z3904">
        <v>3.3292960000000003E-2</v>
      </c>
      <c r="AA3904">
        <v>0.99791359999999996</v>
      </c>
      <c r="AB3904">
        <v>29</v>
      </c>
      <c r="AC3904">
        <v>-1.63920000000001</v>
      </c>
      <c r="AD3904">
        <v>-1.1205110971559999</v>
      </c>
      <c r="AE3904">
        <v>-25.4605</v>
      </c>
      <c r="AF3904">
        <v>1.4266515855331601</v>
      </c>
      <c r="AG3904">
        <v>-1.1205110971559999</v>
      </c>
      <c r="AH3904">
        <v>25.424099956532501</v>
      </c>
      <c r="AI3904">
        <v>92.519593350259399</v>
      </c>
      <c r="AJ3904">
        <v>86.788264632378102</v>
      </c>
      <c r="AK3904">
        <v>25.488737482761099</v>
      </c>
      <c r="AL3904">
        <v>80.260377977988298</v>
      </c>
      <c r="AM3904">
        <v>88.343079740564406</v>
      </c>
      <c r="AN3904">
        <v>1.00000007438768</v>
      </c>
    </row>
    <row r="3905" spans="1:40" x14ac:dyDescent="0.25">
      <c r="A3905" t="str">
        <f>"20190303162336304"</f>
        <v>20190303162336304</v>
      </c>
      <c r="B3905" t="str">
        <f>"1551601416299061"</f>
        <v>1551601416299061</v>
      </c>
      <c r="C3905" t="s">
        <v>40</v>
      </c>
      <c r="D3905">
        <v>5.7787600000000001</v>
      </c>
      <c r="E3905">
        <v>0.51231709999999997</v>
      </c>
      <c r="F3905" t="s">
        <v>41</v>
      </c>
      <c r="G3905">
        <v>-192.8261</v>
      </c>
      <c r="H3905" s="1">
        <v>-2.142122E-6</v>
      </c>
      <c r="I3905">
        <v>162.5325</v>
      </c>
      <c r="J3905">
        <v>-191.20089999999999</v>
      </c>
      <c r="K3905">
        <v>1.1204590000000001</v>
      </c>
      <c r="L3905">
        <v>187.5958</v>
      </c>
      <c r="M3905">
        <v>-8.2895009999999995E-3</v>
      </c>
      <c r="N3905">
        <v>-1.009348E-2</v>
      </c>
      <c r="O3905">
        <v>-0.99991490000000005</v>
      </c>
      <c r="P3905">
        <v>-3.927365E-2</v>
      </c>
      <c r="Q3905">
        <v>0.16179730000000001</v>
      </c>
      <c r="R3905">
        <v>-0.98604230000000004</v>
      </c>
      <c r="S3905">
        <v>-0.1961212</v>
      </c>
      <c r="T3905">
        <v>-0.13500290000000001</v>
      </c>
      <c r="U3905">
        <v>-3.0553439999999998</v>
      </c>
      <c r="V3905">
        <v>3.1105420000000002E-2</v>
      </c>
      <c r="W3905">
        <v>0.17174339999999999</v>
      </c>
      <c r="X3905">
        <v>0.98465049999999998</v>
      </c>
      <c r="Y3905">
        <v>5.5730429999999997E-2</v>
      </c>
      <c r="Z3905">
        <v>3.39777E-2</v>
      </c>
      <c r="AA3905">
        <v>0.99786750000000002</v>
      </c>
      <c r="AB3905">
        <v>29</v>
      </c>
      <c r="AC3905">
        <v>-1.6252</v>
      </c>
      <c r="AD3905">
        <v>-1.1204611421220001</v>
      </c>
      <c r="AE3905">
        <v>-25.063300000000002</v>
      </c>
      <c r="AF3905">
        <v>1.4145561247658001</v>
      </c>
      <c r="AG3905">
        <v>-1.1204611421220001</v>
      </c>
      <c r="AH3905">
        <v>25.026104818241102</v>
      </c>
      <c r="AI3905">
        <v>92.559437407056294</v>
      </c>
      <c r="AJ3905">
        <v>86.764900144889793</v>
      </c>
      <c r="AK3905">
        <v>25.091080578060101</v>
      </c>
      <c r="AL3905">
        <v>80.110800242964402</v>
      </c>
      <c r="AM3905">
        <v>88.190609977898703</v>
      </c>
      <c r="AN3905">
        <v>0.99999997487359205</v>
      </c>
    </row>
    <row r="3906" spans="1:40" x14ac:dyDescent="0.25">
      <c r="A3906" t="str">
        <f>"20190303162336326"</f>
        <v>20190303162336326</v>
      </c>
      <c r="B3906" t="str">
        <f>"1551601416318582"</f>
        <v>1551601416318582</v>
      </c>
      <c r="C3906" t="s">
        <v>40</v>
      </c>
      <c r="D3906">
        <v>5.966888</v>
      </c>
      <c r="E3906">
        <v>0.51199649999999997</v>
      </c>
      <c r="F3906" t="s">
        <v>41</v>
      </c>
      <c r="G3906">
        <v>-192.8931</v>
      </c>
      <c r="H3906" s="1">
        <v>-1.7749999999999999E-6</v>
      </c>
      <c r="I3906">
        <v>161.71809999999999</v>
      </c>
      <c r="J3906">
        <v>-191.20339999999999</v>
      </c>
      <c r="K3906">
        <v>1.120412</v>
      </c>
      <c r="L3906">
        <v>187.30670000000001</v>
      </c>
      <c r="M3906">
        <v>-8.4148829999999997E-3</v>
      </c>
      <c r="N3906">
        <v>-1.009499E-2</v>
      </c>
      <c r="O3906">
        <v>-0.99991390000000002</v>
      </c>
      <c r="P3906">
        <v>-4.1160540000000002E-2</v>
      </c>
      <c r="Q3906">
        <v>0.1636871</v>
      </c>
      <c r="R3906">
        <v>-0.98565349999999996</v>
      </c>
      <c r="S3906">
        <v>-0.1998596</v>
      </c>
      <c r="T3906">
        <v>-0.13232969999999999</v>
      </c>
      <c r="U3906">
        <v>-3.0562290000000001</v>
      </c>
      <c r="V3906">
        <v>3.289247E-2</v>
      </c>
      <c r="W3906">
        <v>0.173626799999999</v>
      </c>
      <c r="X3906">
        <v>0.98426199999999997</v>
      </c>
      <c r="Y3906">
        <v>5.6804140000000003E-2</v>
      </c>
      <c r="Z3906">
        <v>3.308962E-2</v>
      </c>
      <c r="AA3906">
        <v>0.99783679999999997</v>
      </c>
      <c r="AB3906">
        <v>29</v>
      </c>
      <c r="AC3906">
        <v>-1.68970000000001</v>
      </c>
      <c r="AD3906">
        <v>-1.1204137750000001</v>
      </c>
      <c r="AE3906">
        <v>-25.5886</v>
      </c>
      <c r="AF3906">
        <v>1.4714952981688101</v>
      </c>
      <c r="AG3906">
        <v>-1.1204137750000001</v>
      </c>
      <c r="AH3906">
        <v>25.553135894909001</v>
      </c>
      <c r="AI3906">
        <v>92.5064601957029</v>
      </c>
      <c r="AJ3906">
        <v>86.7042220908627</v>
      </c>
      <c r="AK3906">
        <v>25.619980083978</v>
      </c>
      <c r="AL3906">
        <v>80.001243060665601</v>
      </c>
      <c r="AM3906">
        <v>88.085978518845394</v>
      </c>
      <c r="AN3906">
        <v>0.99999993245246799</v>
      </c>
    </row>
    <row r="3907" spans="1:40" x14ac:dyDescent="0.25">
      <c r="A3907" t="str">
        <f>"20190303162336347"</f>
        <v>20190303162336347</v>
      </c>
      <c r="B3907" t="str">
        <f>"1551601416339081"</f>
        <v>1551601416339081</v>
      </c>
      <c r="C3907" t="s">
        <v>40</v>
      </c>
      <c r="D3907">
        <v>6.0277560000000001</v>
      </c>
      <c r="E3907">
        <v>0.51140980000000003</v>
      </c>
      <c r="F3907" t="s">
        <v>41</v>
      </c>
      <c r="G3907">
        <v>-192.9434</v>
      </c>
      <c r="H3907" s="1">
        <v>-1.4228639999999901E-6</v>
      </c>
      <c r="I3907">
        <v>160.94489999999999</v>
      </c>
      <c r="J3907">
        <v>-191.20599999999999</v>
      </c>
      <c r="K3907">
        <v>1.120379</v>
      </c>
      <c r="L3907">
        <v>187.0162</v>
      </c>
      <c r="M3907">
        <v>-8.5853309999999999E-3</v>
      </c>
      <c r="N3907">
        <v>-1.009671E-2</v>
      </c>
      <c r="O3907">
        <v>-0.99991229999999998</v>
      </c>
      <c r="P3907">
        <v>-4.4265409999999998E-2</v>
      </c>
      <c r="Q3907">
        <v>0.16487760000000001</v>
      </c>
      <c r="R3907">
        <v>-0.98532039999999999</v>
      </c>
      <c r="S3907">
        <v>-0.201767</v>
      </c>
      <c r="T3907">
        <v>-0.12991910000000001</v>
      </c>
      <c r="U3907">
        <v>-3.0568240000000002</v>
      </c>
      <c r="V3907">
        <v>3.5848129999999999E-2</v>
      </c>
      <c r="W3907">
        <v>0.174812</v>
      </c>
      <c r="X3907">
        <v>0.98394899999999996</v>
      </c>
      <c r="Y3907">
        <v>5.7243059999999998E-2</v>
      </c>
      <c r="Z3907">
        <v>3.2292889999999998E-2</v>
      </c>
      <c r="AA3907">
        <v>0.9978378</v>
      </c>
      <c r="AB3907">
        <v>29</v>
      </c>
      <c r="AC3907">
        <v>-1.7374000000000001</v>
      </c>
      <c r="AD3907">
        <v>-1.120380422864</v>
      </c>
      <c r="AE3907">
        <v>-26.071300000000001</v>
      </c>
      <c r="AF3907">
        <v>1.5107162767228699</v>
      </c>
      <c r="AG3907">
        <v>-1.120380422864</v>
      </c>
      <c r="AH3907">
        <v>26.037384294284799</v>
      </c>
      <c r="AI3907">
        <v>92.459767606698705</v>
      </c>
      <c r="AJ3907">
        <v>86.679361836370006</v>
      </c>
      <c r="AK3907">
        <v>26.105227385505799</v>
      </c>
      <c r="AL3907">
        <v>79.932281929477199</v>
      </c>
      <c r="AM3907">
        <v>87.913470614962193</v>
      </c>
      <c r="AN3907">
        <v>0.99999997918474803</v>
      </c>
    </row>
    <row r="3908" spans="1:40" x14ac:dyDescent="0.25">
      <c r="A3908" t="str">
        <f>"20190303162336370"</f>
        <v>20190303162336370</v>
      </c>
      <c r="B3908" t="str">
        <f>"1551601416358597"</f>
        <v>1551601416358597</v>
      </c>
      <c r="C3908" t="s">
        <v>40</v>
      </c>
      <c r="D3908">
        <v>5.9675849999999997</v>
      </c>
      <c r="E3908">
        <v>0.51114680000000001</v>
      </c>
      <c r="F3908" t="s">
        <v>41</v>
      </c>
      <c r="G3908">
        <v>-192.9393</v>
      </c>
      <c r="H3908" s="1">
        <v>-1.484779E-6</v>
      </c>
      <c r="I3908">
        <v>161.07820000000001</v>
      </c>
      <c r="J3908">
        <v>-191.20869999999999</v>
      </c>
      <c r="K3908">
        <v>1.1203590000000001</v>
      </c>
      <c r="L3908">
        <v>186.7208</v>
      </c>
      <c r="M3908">
        <v>-8.7835900000000008E-3</v>
      </c>
      <c r="N3908">
        <v>-1.0098599999999999E-2</v>
      </c>
      <c r="O3908">
        <v>-0.99991039999999998</v>
      </c>
      <c r="P3908">
        <v>-4.6555590000000001E-2</v>
      </c>
      <c r="Q3908">
        <v>0.16494929999999999</v>
      </c>
      <c r="R3908">
        <v>-0.98520269999999999</v>
      </c>
      <c r="S3908">
        <v>-0.2043304</v>
      </c>
      <c r="T3908">
        <v>-0.1320721</v>
      </c>
      <c r="U3908">
        <v>-3.057617</v>
      </c>
      <c r="V3908">
        <v>3.7955290000000003E-2</v>
      </c>
      <c r="W3908">
        <v>0.17488190000000001</v>
      </c>
      <c r="X3908">
        <v>0.9838576</v>
      </c>
      <c r="Y3908">
        <v>5.7859130000000002E-2</v>
      </c>
      <c r="Z3908">
        <v>3.2979179999999997E-2</v>
      </c>
      <c r="AA3908">
        <v>0.99777990000000005</v>
      </c>
      <c r="AB3908">
        <v>30</v>
      </c>
      <c r="AC3908">
        <v>-1.7305999999999999</v>
      </c>
      <c r="AD3908">
        <v>-1.1203604847790001</v>
      </c>
      <c r="AE3908">
        <v>-25.642599999999899</v>
      </c>
      <c r="AF3908">
        <v>1.5024326113467401</v>
      </c>
      <c r="AG3908">
        <v>-1.1203604847790001</v>
      </c>
      <c r="AH3908">
        <v>25.608149675258801</v>
      </c>
      <c r="AI3908">
        <v>92.500806715516106</v>
      </c>
      <c r="AJ3908">
        <v>86.642300162458099</v>
      </c>
      <c r="AK3908">
        <v>25.6766399896472</v>
      </c>
      <c r="AL3908">
        <v>79.928214812499903</v>
      </c>
      <c r="AM3908">
        <v>87.790737137672195</v>
      </c>
      <c r="AN3908">
        <v>1.0000000300321701</v>
      </c>
    </row>
    <row r="3909" spans="1:40" x14ac:dyDescent="0.25">
      <c r="A3909" t="str">
        <f>"20190303162336392"</f>
        <v>20190303162336392</v>
      </c>
      <c r="B3909" t="str">
        <f>"1551601416379094"</f>
        <v>1551601416379094</v>
      </c>
      <c r="C3909" t="s">
        <v>40</v>
      </c>
      <c r="D3909">
        <v>5.6983920000000001</v>
      </c>
      <c r="E3909">
        <v>0.50396600000000003</v>
      </c>
      <c r="F3909" t="s">
        <v>41</v>
      </c>
      <c r="G3909">
        <v>-192.93889999999999</v>
      </c>
      <c r="H3909" s="1">
        <v>-1.5832599999999999E-6</v>
      </c>
      <c r="I3909">
        <v>161.2867</v>
      </c>
      <c r="J3909">
        <v>-191.2115</v>
      </c>
      <c r="K3909">
        <v>1.120336</v>
      </c>
      <c r="L3909">
        <v>186.42920000000001</v>
      </c>
      <c r="M3909">
        <v>-8.9898840000000001E-3</v>
      </c>
      <c r="N3909">
        <v>-1.0100649999999999E-2</v>
      </c>
      <c r="O3909">
        <v>-0.99990869999999998</v>
      </c>
      <c r="P3909">
        <v>-4.8629100000000001E-2</v>
      </c>
      <c r="Q3909">
        <v>0.1647517</v>
      </c>
      <c r="R3909">
        <v>-0.98513600000000001</v>
      </c>
      <c r="S3909">
        <v>-0.20800779999999999</v>
      </c>
      <c r="T3909">
        <v>-0.13469289999999901</v>
      </c>
      <c r="U3909">
        <v>-3.0577549999999998</v>
      </c>
      <c r="V3909">
        <v>3.9833319999999998E-2</v>
      </c>
      <c r="W3909">
        <v>0.1746838</v>
      </c>
      <c r="X3909">
        <v>0.98381850000000004</v>
      </c>
      <c r="Y3909">
        <v>5.8842230000000002E-2</v>
      </c>
      <c r="Z3909">
        <v>3.3825460000000002E-2</v>
      </c>
      <c r="AA3909">
        <v>0.99769410000000003</v>
      </c>
      <c r="AB3909">
        <v>30</v>
      </c>
      <c r="AC3909">
        <v>-1.7273999999999801</v>
      </c>
      <c r="AD3909">
        <v>-1.12033758326</v>
      </c>
      <c r="AE3909">
        <v>-25.142499999999998</v>
      </c>
      <c r="AF3909">
        <v>1.49832949612192</v>
      </c>
      <c r="AG3909">
        <v>-1.12033758326</v>
      </c>
      <c r="AH3909">
        <v>25.1073960213504</v>
      </c>
      <c r="AI3909">
        <v>92.550415473344898</v>
      </c>
      <c r="AJ3909">
        <v>86.584820551300297</v>
      </c>
      <c r="AK3909">
        <v>25.177003049456399</v>
      </c>
      <c r="AL3909">
        <v>79.939742065845195</v>
      </c>
      <c r="AM3909">
        <v>87.681447119028405</v>
      </c>
      <c r="AN3909">
        <v>0.99999998215345598</v>
      </c>
    </row>
    <row r="3910" spans="1:40" x14ac:dyDescent="0.25">
      <c r="A3910" t="str">
        <f>"20190303162336416"</f>
        <v>20190303162336416</v>
      </c>
      <c r="B3910" t="str">
        <f>"1551601416408373"</f>
        <v>1551601416408373</v>
      </c>
      <c r="C3910" t="s">
        <v>40</v>
      </c>
      <c r="D3910">
        <v>5.9597810000000004</v>
      </c>
      <c r="E3910">
        <v>0.50269659999999905</v>
      </c>
      <c r="F3910" t="s">
        <v>41</v>
      </c>
      <c r="G3910">
        <v>-192.10310000000001</v>
      </c>
      <c r="H3910" s="1">
        <v>-4.7729950000000004E-6</v>
      </c>
      <c r="I3910">
        <v>168.74379999999999</v>
      </c>
      <c r="J3910">
        <v>-191.21449999999999</v>
      </c>
      <c r="K3910">
        <v>1.1203190000000001</v>
      </c>
      <c r="L3910">
        <v>186.12010000000001</v>
      </c>
      <c r="M3910">
        <v>-9.2105669999999994E-3</v>
      </c>
      <c r="N3910">
        <v>-1.0103020000000001E-2</v>
      </c>
      <c r="O3910">
        <v>-0.99990659999999998</v>
      </c>
      <c r="P3910">
        <v>-4.9662089999999999E-2</v>
      </c>
      <c r="Q3910">
        <v>0.16498879999999999</v>
      </c>
      <c r="R3910">
        <v>-0.98504440000000004</v>
      </c>
      <c r="S3910">
        <v>-0.15478520000000001</v>
      </c>
      <c r="T3910">
        <v>-0.19448889999999999</v>
      </c>
      <c r="U3910">
        <v>-3.07016</v>
      </c>
      <c r="V3910">
        <v>4.0654450000000002E-2</v>
      </c>
      <c r="W3910">
        <v>0.17492050000000001</v>
      </c>
      <c r="X3910">
        <v>0.98374289999999998</v>
      </c>
      <c r="Y3910">
        <v>4.1064389999999999E-2</v>
      </c>
      <c r="Z3910">
        <v>5.3067080000000003E-2</v>
      </c>
      <c r="AA3910">
        <v>0.99774629999999997</v>
      </c>
      <c r="AB3910">
        <v>30</v>
      </c>
      <c r="AC3910">
        <v>-0.88860000000002504</v>
      </c>
      <c r="AD3910">
        <v>-1.120323772995</v>
      </c>
      <c r="AE3910">
        <v>-17.376300000000001</v>
      </c>
      <c r="AF3910">
        <v>0.72550058128057704</v>
      </c>
      <c r="AG3910">
        <v>-1.120323772995</v>
      </c>
      <c r="AH3910">
        <v>17.311970874412101</v>
      </c>
      <c r="AI3910">
        <v>93.699427692860297</v>
      </c>
      <c r="AJ3910">
        <v>87.600284057957396</v>
      </c>
      <c r="AK3910">
        <v>17.363346797385301</v>
      </c>
      <c r="AL3910">
        <v>79.925968566105894</v>
      </c>
      <c r="AM3910">
        <v>87.633524264427095</v>
      </c>
      <c r="AN3910">
        <v>1.00000002946273</v>
      </c>
    </row>
    <row r="3911" spans="1:40" x14ac:dyDescent="0.25">
      <c r="A3911" t="str">
        <f>"20190303162336439"</f>
        <v>20190303162336439</v>
      </c>
      <c r="B3911" t="str">
        <f>"1551601416428869"</f>
        <v>1551601416428869</v>
      </c>
      <c r="C3911" t="s">
        <v>40</v>
      </c>
      <c r="D3911">
        <v>6.0505440000000004</v>
      </c>
      <c r="E3911">
        <v>0.50206099999999998</v>
      </c>
      <c r="F3911" t="s">
        <v>41</v>
      </c>
      <c r="G3911">
        <v>-192.0462</v>
      </c>
      <c r="H3911" s="1">
        <v>-4.805808E-6</v>
      </c>
      <c r="I3911">
        <v>168.85550000000001</v>
      </c>
      <c r="J3911">
        <v>-191.2176</v>
      </c>
      <c r="K3911">
        <v>1.1203149999999999</v>
      </c>
      <c r="L3911">
        <v>185.81319999999999</v>
      </c>
      <c r="M3911">
        <v>-9.4263200000000002E-3</v>
      </c>
      <c r="N3911">
        <v>-1.010554E-2</v>
      </c>
      <c r="O3911">
        <v>-0.99990469999999998</v>
      </c>
      <c r="P3911">
        <v>-5.0710230000000002E-2</v>
      </c>
      <c r="Q3911">
        <v>0.16514119999999999</v>
      </c>
      <c r="R3911">
        <v>-0.98496589999999995</v>
      </c>
      <c r="S3911">
        <v>-0.1479645</v>
      </c>
      <c r="T3911">
        <v>-0.19931299999999999</v>
      </c>
      <c r="U3911">
        <v>-3.071472</v>
      </c>
      <c r="V3911">
        <v>4.1493330000000002E-2</v>
      </c>
      <c r="W3911">
        <v>0.17507439999999999</v>
      </c>
      <c r="X3911">
        <v>0.98368049999999996</v>
      </c>
      <c r="Y3911">
        <v>3.861357E-2</v>
      </c>
      <c r="Z3911">
        <v>5.4604340000000001E-2</v>
      </c>
      <c r="AA3911">
        <v>0.99776120000000001</v>
      </c>
      <c r="AB3911">
        <v>30</v>
      </c>
      <c r="AC3911">
        <v>-0.82859999999999401</v>
      </c>
      <c r="AD3911">
        <v>-1.1203198058079999</v>
      </c>
      <c r="AE3911">
        <v>-16.9576999999999</v>
      </c>
      <c r="AF3911">
        <v>0.66580724564137606</v>
      </c>
      <c r="AG3911">
        <v>-1.1203198058079999</v>
      </c>
      <c r="AH3911">
        <v>16.8912088279857</v>
      </c>
      <c r="AI3911">
        <v>93.791684126732207</v>
      </c>
      <c r="AJ3911">
        <v>87.742718906173707</v>
      </c>
      <c r="AK3911">
        <v>16.941409369537599</v>
      </c>
      <c r="AL3911">
        <v>79.917012590995</v>
      </c>
      <c r="AM3911">
        <v>87.584597680756204</v>
      </c>
      <c r="AN3911">
        <v>1.0000000340250399</v>
      </c>
    </row>
    <row r="3912" spans="1:40" x14ac:dyDescent="0.25">
      <c r="A3912" t="str">
        <f>"20190303162336461"</f>
        <v>20190303162336461</v>
      </c>
      <c r="B3912" t="str">
        <f>"1551601416438630"</f>
        <v>1551601416438630</v>
      </c>
      <c r="C3912" t="s">
        <v>40</v>
      </c>
      <c r="D3912">
        <v>5.9414119999999997</v>
      </c>
      <c r="E3912">
        <v>0.47519329999999999</v>
      </c>
      <c r="F3912" t="s">
        <v>41</v>
      </c>
      <c r="G3912">
        <v>-192.04400000000001</v>
      </c>
      <c r="H3912" s="1">
        <v>-4.6485249999999997E-6</v>
      </c>
      <c r="I3912">
        <v>168.447</v>
      </c>
      <c r="J3912">
        <v>-191.22049999999999</v>
      </c>
      <c r="K3912">
        <v>1.1203050000000001</v>
      </c>
      <c r="L3912">
        <v>185.5223</v>
      </c>
      <c r="M3912">
        <v>-9.6255060000000007E-3</v>
      </c>
      <c r="N3912">
        <v>-1.010806E-2</v>
      </c>
      <c r="O3912">
        <v>-0.99990279999999998</v>
      </c>
      <c r="P3912">
        <v>-5.1497090000000002E-2</v>
      </c>
      <c r="Q3912">
        <v>0.1646098</v>
      </c>
      <c r="R3912">
        <v>-0.98501380000000005</v>
      </c>
      <c r="S3912">
        <v>-0.14616390000000001</v>
      </c>
      <c r="T3912">
        <v>-0.19814860000000001</v>
      </c>
      <c r="U3912">
        <v>-3.0715180000000002</v>
      </c>
      <c r="V3912">
        <v>4.20846E-2</v>
      </c>
      <c r="W3912">
        <v>0.17454529999999999</v>
      </c>
      <c r="X3912">
        <v>0.9837494</v>
      </c>
      <c r="Y3912">
        <v>3.7831589999999998E-2</v>
      </c>
      <c r="Z3912">
        <v>5.422598E-2</v>
      </c>
      <c r="AA3912">
        <v>0.99781169999999997</v>
      </c>
      <c r="AB3912">
        <v>30</v>
      </c>
      <c r="AC3912">
        <v>-0.82350000000002399</v>
      </c>
      <c r="AD3912">
        <v>-1.1203096485249999</v>
      </c>
      <c r="AE3912">
        <v>-17.075299999999999</v>
      </c>
      <c r="AF3912">
        <v>0.65627658625704999</v>
      </c>
      <c r="AG3912">
        <v>-1.1203096485249999</v>
      </c>
      <c r="AH3912">
        <v>17.009386071497801</v>
      </c>
      <c r="AI3912">
        <v>93.765504364628896</v>
      </c>
      <c r="AJ3912">
        <v>87.790441334687003</v>
      </c>
      <c r="AK3912">
        <v>17.058868872100302</v>
      </c>
      <c r="AL3912">
        <v>79.947801819573996</v>
      </c>
      <c r="AM3912">
        <v>87.550391785083505</v>
      </c>
      <c r="AN3912">
        <v>1.0000000286548001</v>
      </c>
    </row>
    <row r="3913" spans="1:40" x14ac:dyDescent="0.25">
      <c r="A3913" t="str">
        <f>"20190303162336482"</f>
        <v>20190303162336482</v>
      </c>
      <c r="B3913" t="str">
        <f>"1551601416459090"</f>
        <v>1551601416459090</v>
      </c>
      <c r="C3913" t="s">
        <v>40</v>
      </c>
      <c r="D3913">
        <v>5.818759</v>
      </c>
      <c r="E3913">
        <v>0.46943699999999999</v>
      </c>
      <c r="F3913" t="s">
        <v>41</v>
      </c>
      <c r="G3913">
        <v>-190.85050000000001</v>
      </c>
      <c r="H3913" s="1">
        <v>-4.26648E-6</v>
      </c>
      <c r="I3913">
        <v>168.13849999999999</v>
      </c>
      <c r="J3913">
        <v>-191.2234</v>
      </c>
      <c r="K3913">
        <v>1.120303</v>
      </c>
      <c r="L3913">
        <v>185.23660000000001</v>
      </c>
      <c r="M3913">
        <v>-9.8162490000000008E-3</v>
      </c>
      <c r="N3913">
        <v>-1.0110640000000001E-2</v>
      </c>
      <c r="O3913">
        <v>-0.99990060000000003</v>
      </c>
      <c r="P3913">
        <v>-5.19313E-2</v>
      </c>
      <c r="Q3913">
        <v>0.16408249999999999</v>
      </c>
      <c r="R3913">
        <v>-0.98507900000000004</v>
      </c>
      <c r="S3913">
        <v>6.5612790000000004E-2</v>
      </c>
      <c r="T3913">
        <v>-0.19864019999999999</v>
      </c>
      <c r="U3913">
        <v>-3.0822910000000001</v>
      </c>
      <c r="V3913">
        <v>4.2330729999999997E-2</v>
      </c>
      <c r="W3913">
        <v>0.17402129999999999</v>
      </c>
      <c r="X3913">
        <v>0.98383160000000003</v>
      </c>
      <c r="Y3913">
        <v>-3.1052730000000001E-2</v>
      </c>
      <c r="Z3913">
        <v>5.4190780000000001E-2</v>
      </c>
      <c r="AA3913">
        <v>0.99804760000000003</v>
      </c>
      <c r="AB3913">
        <v>30</v>
      </c>
      <c r="AC3913">
        <v>0.37289999999998702</v>
      </c>
      <c r="AD3913">
        <v>-1.12030726647999</v>
      </c>
      <c r="AE3913">
        <v>-17.098099999999999</v>
      </c>
      <c r="AF3913">
        <v>-0.53841940550977796</v>
      </c>
      <c r="AG3913">
        <v>-1.12030726647999</v>
      </c>
      <c r="AH3913">
        <v>17.020577872905498</v>
      </c>
      <c r="AI3913">
        <v>93.763942005544607</v>
      </c>
      <c r="AJ3913">
        <v>91.811858325798198</v>
      </c>
      <c r="AK3913">
        <v>17.0659032856511</v>
      </c>
      <c r="AL3913">
        <v>79.978290742718102</v>
      </c>
      <c r="AM3913">
        <v>87.536288568796706</v>
      </c>
      <c r="AN3913">
        <v>0.99999996035729</v>
      </c>
    </row>
    <row r="3914" spans="1:40" x14ac:dyDescent="0.25">
      <c r="A3914" t="str">
        <f>"20190303162336505"</f>
        <v>20190303162336505</v>
      </c>
      <c r="B3914" t="str">
        <f>"1551601416499104"</f>
        <v>1551601416499104</v>
      </c>
      <c r="C3914" t="s">
        <v>40</v>
      </c>
      <c r="D3914">
        <v>5.6377829999999998</v>
      </c>
      <c r="E3914">
        <v>0.46540209999999999</v>
      </c>
      <c r="F3914" t="s">
        <v>41</v>
      </c>
      <c r="G3914">
        <v>-190.61340000000001</v>
      </c>
      <c r="H3914" s="1">
        <v>-4.1835029999999997E-6</v>
      </c>
      <c r="I3914">
        <v>168.09649999999999</v>
      </c>
      <c r="J3914">
        <v>-191.22669999999999</v>
      </c>
      <c r="K3914">
        <v>1.1203000000000001</v>
      </c>
      <c r="L3914">
        <v>184.9348</v>
      </c>
      <c r="M3914">
        <v>-1.001352E-2</v>
      </c>
      <c r="N3914">
        <v>-1.0113509999999999E-2</v>
      </c>
      <c r="O3914">
        <v>-0.99989899999999998</v>
      </c>
      <c r="P3914">
        <v>-5.2107649999999998E-2</v>
      </c>
      <c r="Q3914">
        <v>0.16361689999999901</v>
      </c>
      <c r="R3914">
        <v>-0.9851472</v>
      </c>
      <c r="S3914">
        <v>0.1098022</v>
      </c>
      <c r="T3914">
        <v>-0.20162669999999999</v>
      </c>
      <c r="U3914">
        <v>-3.084778</v>
      </c>
      <c r="V3914">
        <v>4.2312179999999998E-2</v>
      </c>
      <c r="W3914">
        <v>0.1735592</v>
      </c>
      <c r="X3914">
        <v>0.98391410000000001</v>
      </c>
      <c r="Y3914">
        <v>-4.5506890000000001E-2</v>
      </c>
      <c r="Z3914">
        <v>5.5066289999999997E-2</v>
      </c>
      <c r="AA3914">
        <v>0.99744520000000003</v>
      </c>
      <c r="AB3914">
        <v>30</v>
      </c>
      <c r="AC3914">
        <v>0.61329999999998097</v>
      </c>
      <c r="AD3914">
        <v>-1.1203041835030001</v>
      </c>
      <c r="AE3914">
        <v>-16.8383</v>
      </c>
      <c r="AF3914">
        <v>-0.77844712854033504</v>
      </c>
      <c r="AG3914">
        <v>-1.1203041835030001</v>
      </c>
      <c r="AH3914">
        <v>16.757233921278502</v>
      </c>
      <c r="AI3914">
        <v>93.820707190725301</v>
      </c>
      <c r="AJ3914">
        <v>92.659728512140205</v>
      </c>
      <c r="AK3914">
        <v>16.812672306565499</v>
      </c>
      <c r="AL3914">
        <v>80.005177015956093</v>
      </c>
      <c r="AM3914">
        <v>87.537573111528701</v>
      </c>
      <c r="AN3914">
        <v>1.0000000363299</v>
      </c>
    </row>
    <row r="3915" spans="1:40" x14ac:dyDescent="0.25">
      <c r="A3915" t="str">
        <f>"20190303162336527"</f>
        <v>20190303162336527</v>
      </c>
      <c r="B3915" t="str">
        <f>"1551601416518625"</f>
        <v>1551601416518625</v>
      </c>
      <c r="C3915" t="s">
        <v>40</v>
      </c>
      <c r="D3915">
        <v>5.8793480000000002</v>
      </c>
      <c r="E3915">
        <v>0.46404060000000003</v>
      </c>
      <c r="F3915" t="s">
        <v>41</v>
      </c>
      <c r="G3915">
        <v>-190.4579</v>
      </c>
      <c r="H3915" s="1">
        <v>-4.1126509999999997E-6</v>
      </c>
      <c r="I3915">
        <v>168.0341</v>
      </c>
      <c r="J3915">
        <v>-191.22989999999999</v>
      </c>
      <c r="K3915">
        <v>1.1202989999999999</v>
      </c>
      <c r="L3915">
        <v>184.636</v>
      </c>
      <c r="M3915">
        <v>-1.0206369999999999E-2</v>
      </c>
      <c r="N3915">
        <v>-1.0116440000000001E-2</v>
      </c>
      <c r="O3915">
        <v>-0.99989680000000003</v>
      </c>
      <c r="P3915">
        <v>-5.2455380000000003E-2</v>
      </c>
      <c r="Q3915">
        <v>0.16330539999999999</v>
      </c>
      <c r="R3915">
        <v>-0.98518030000000001</v>
      </c>
      <c r="S3915">
        <v>0.14041139999999999</v>
      </c>
      <c r="T3915">
        <v>-0.20460619999999999</v>
      </c>
      <c r="U3915">
        <v>-3.0866389999999999</v>
      </c>
      <c r="V3915">
        <v>4.2469479999999997E-2</v>
      </c>
      <c r="W3915">
        <v>0.17325070000000001</v>
      </c>
      <c r="X3915">
        <v>0.98396159999999999</v>
      </c>
      <c r="Y3915">
        <v>-5.5544379999999997E-2</v>
      </c>
      <c r="Z3915">
        <v>5.595228E-2</v>
      </c>
      <c r="AA3915">
        <v>0.99688730000000003</v>
      </c>
      <c r="AB3915">
        <v>30</v>
      </c>
      <c r="AC3915">
        <v>0.77199999999999103</v>
      </c>
      <c r="AD3915">
        <v>-1.1203031126509999</v>
      </c>
      <c r="AE3915">
        <v>-16.601900000000001</v>
      </c>
      <c r="AF3915">
        <v>-0.93715535121782501</v>
      </c>
      <c r="AG3915">
        <v>-1.1203031126509999</v>
      </c>
      <c r="AH3915">
        <v>16.518100819413799</v>
      </c>
      <c r="AI3915">
        <v>93.873805052846706</v>
      </c>
      <c r="AJ3915">
        <v>93.247198063398997</v>
      </c>
      <c r="AK3915">
        <v>16.582550886303601</v>
      </c>
      <c r="AL3915">
        <v>80.023123749060602</v>
      </c>
      <c r="AM3915">
        <v>87.528549275666606</v>
      </c>
      <c r="AN3915">
        <v>0.99999994602825804</v>
      </c>
    </row>
    <row r="3916" spans="1:40" x14ac:dyDescent="0.25">
      <c r="A3916" t="str">
        <f>"20190303162336547"</f>
        <v>20190303162336547</v>
      </c>
      <c r="B3916" t="str">
        <f>"1551601416538145"</f>
        <v>1551601416538145</v>
      </c>
      <c r="C3916" t="s">
        <v>40</v>
      </c>
      <c r="D3916">
        <v>5.9456220000000002</v>
      </c>
      <c r="E3916">
        <v>0.46320919999999999</v>
      </c>
      <c r="F3916" t="s">
        <v>41</v>
      </c>
      <c r="G3916">
        <v>-190.41120000000001</v>
      </c>
      <c r="H3916" s="1">
        <v>-3.992994E-6</v>
      </c>
      <c r="I3916">
        <v>167.80719999999999</v>
      </c>
      <c r="J3916">
        <v>-191.2329</v>
      </c>
      <c r="K3916">
        <v>1.120295</v>
      </c>
      <c r="L3916">
        <v>184.36269999999999</v>
      </c>
      <c r="M3916">
        <v>-1.0381949999999999E-2</v>
      </c>
      <c r="N3916">
        <v>-1.011919E-2</v>
      </c>
      <c r="O3916">
        <v>-0.99989490000000003</v>
      </c>
      <c r="P3916">
        <v>-5.3168300000000002E-2</v>
      </c>
      <c r="Q3916">
        <v>0.1634118</v>
      </c>
      <c r="R3916">
        <v>-0.98512440000000001</v>
      </c>
      <c r="S3916">
        <v>0.150177</v>
      </c>
      <c r="T3916">
        <v>-0.2055149</v>
      </c>
      <c r="U3916">
        <v>-3.0871729999999999</v>
      </c>
      <c r="V3916">
        <v>4.300988E-2</v>
      </c>
      <c r="W3916">
        <v>0.17335919999999999</v>
      </c>
      <c r="X3916">
        <v>0.98391910000000005</v>
      </c>
      <c r="Y3916">
        <v>-5.8855919999999999E-2</v>
      </c>
      <c r="Z3916">
        <v>5.6218749999999998E-2</v>
      </c>
      <c r="AA3916">
        <v>0.99668219999999996</v>
      </c>
      <c r="AB3916">
        <v>30</v>
      </c>
      <c r="AC3916">
        <v>0.82169999999999199</v>
      </c>
      <c r="AD3916">
        <v>-1.1202989929939999</v>
      </c>
      <c r="AE3916">
        <v>-16.555499999999899</v>
      </c>
      <c r="AF3916">
        <v>-0.98902513652045299</v>
      </c>
      <c r="AG3916">
        <v>-1.1202989929939999</v>
      </c>
      <c r="AH3916">
        <v>16.470839554299499</v>
      </c>
      <c r="AI3916">
        <v>93.884125903264703</v>
      </c>
      <c r="AJ3916">
        <v>93.436315793714698</v>
      </c>
      <c r="AK3916">
        <v>16.538494374574999</v>
      </c>
      <c r="AL3916">
        <v>80.0168124766993</v>
      </c>
      <c r="AM3916">
        <v>87.497033237202004</v>
      </c>
      <c r="AN3916">
        <v>1.00000002867353</v>
      </c>
    </row>
    <row r="3917" spans="1:40" x14ac:dyDescent="0.25">
      <c r="A3917" t="str">
        <f>"20190303162336570"</f>
        <v>20190303162336570</v>
      </c>
      <c r="B3917" t="str">
        <f>"1551601416548880"</f>
        <v>1551601416548880</v>
      </c>
      <c r="C3917" t="s">
        <v>40</v>
      </c>
      <c r="D3917">
        <v>5.6115329999999997</v>
      </c>
      <c r="E3917">
        <v>0.46285920000000003</v>
      </c>
      <c r="F3917" t="s">
        <v>41</v>
      </c>
      <c r="G3917">
        <v>-190.36920000000001</v>
      </c>
      <c r="H3917" s="1">
        <v>-3.7265659999999999E-6</v>
      </c>
      <c r="I3917">
        <v>167.26730000000001</v>
      </c>
      <c r="J3917">
        <v>-191.2362</v>
      </c>
      <c r="K3917">
        <v>1.120296</v>
      </c>
      <c r="L3917">
        <v>184.06</v>
      </c>
      <c r="M3917">
        <v>-1.057612E-2</v>
      </c>
      <c r="N3917">
        <v>-1.0122290000000001E-2</v>
      </c>
      <c r="O3917">
        <v>-0.99989280000000003</v>
      </c>
      <c r="P3917">
        <v>-5.4134149999999999E-2</v>
      </c>
      <c r="Q3917">
        <v>0.1643425</v>
      </c>
      <c r="R3917">
        <v>-0.98491669999999998</v>
      </c>
      <c r="S3917">
        <v>0.15597529999999901</v>
      </c>
      <c r="T3917">
        <v>-0.20231650000000001</v>
      </c>
      <c r="U3917">
        <v>-3.0872799999999998</v>
      </c>
      <c r="V3917">
        <v>4.378671E-2</v>
      </c>
      <c r="W3917">
        <v>0.1742908</v>
      </c>
      <c r="X3917">
        <v>0.98372020000000004</v>
      </c>
      <c r="Y3917">
        <v>-6.0917760000000001E-2</v>
      </c>
      <c r="Z3917">
        <v>5.5177669999999998E-2</v>
      </c>
      <c r="AA3917">
        <v>0.99661650000000002</v>
      </c>
      <c r="AB3917">
        <v>30</v>
      </c>
      <c r="AC3917">
        <v>0.86699999999999</v>
      </c>
      <c r="AD3917">
        <v>-1.120299726566</v>
      </c>
      <c r="AE3917">
        <v>-16.7926999999999</v>
      </c>
      <c r="AF3917">
        <v>-1.03994604783663</v>
      </c>
      <c r="AG3917">
        <v>-1.120299726566</v>
      </c>
      <c r="AH3917">
        <v>16.708424415099898</v>
      </c>
      <c r="AI3917">
        <v>93.828553541204201</v>
      </c>
      <c r="AJ3917">
        <v>93.561542037008493</v>
      </c>
      <c r="AK3917">
        <v>16.778200311560902</v>
      </c>
      <c r="AL3917">
        <v>79.962610251302195</v>
      </c>
      <c r="AM3917">
        <v>87.451370022558194</v>
      </c>
      <c r="AN3917">
        <v>0.99999999541265205</v>
      </c>
    </row>
    <row r="3918" spans="1:40" x14ac:dyDescent="0.25">
      <c r="A3918" t="str">
        <f>"20190303162336585"</f>
        <v>20190303162336585</v>
      </c>
      <c r="B3918" t="str">
        <f>"1551601416579224"</f>
        <v>1551601416579224</v>
      </c>
      <c r="C3918" t="s">
        <v>40</v>
      </c>
      <c r="D3918">
        <v>5.9457829999999996</v>
      </c>
      <c r="E3918">
        <v>0.46260770000000001</v>
      </c>
      <c r="F3918" t="s">
        <v>41</v>
      </c>
      <c r="G3918">
        <v>-190.3486</v>
      </c>
      <c r="H3918" s="1">
        <v>-3.4157519999999999E-6</v>
      </c>
      <c r="I3918">
        <v>166.62129999999999</v>
      </c>
      <c r="J3918">
        <v>-191.23840000000001</v>
      </c>
      <c r="K3918">
        <v>1.120296</v>
      </c>
      <c r="L3918">
        <v>183.86799999999999</v>
      </c>
      <c r="M3918">
        <v>-1.069935E-2</v>
      </c>
      <c r="N3918">
        <v>-1.0124309999999999E-2</v>
      </c>
      <c r="O3918">
        <v>-0.99989159999999999</v>
      </c>
      <c r="P3918">
        <v>-5.4674460000000001E-2</v>
      </c>
      <c r="Q3918">
        <v>0.16534509999999999</v>
      </c>
      <c r="R3918">
        <v>-0.98471920000000002</v>
      </c>
      <c r="S3918">
        <v>0.15716550000000001</v>
      </c>
      <c r="T3918">
        <v>-0.19835929999999999</v>
      </c>
      <c r="U3918">
        <v>-3.0876769999999998</v>
      </c>
      <c r="V3918">
        <v>4.4207950000000003E-2</v>
      </c>
      <c r="W3918">
        <v>0.1752937</v>
      </c>
      <c r="X3918">
        <v>0.98352309999999998</v>
      </c>
      <c r="Y3918">
        <v>-6.1421240000000002E-2</v>
      </c>
      <c r="Z3918">
        <v>5.3893249999999997E-2</v>
      </c>
      <c r="AA3918">
        <v>0.99665590000000004</v>
      </c>
      <c r="AB3918">
        <v>30</v>
      </c>
      <c r="AC3918">
        <v>0.88980000000000803</v>
      </c>
      <c r="AD3918">
        <v>-1.1202994157520001</v>
      </c>
      <c r="AE3918">
        <v>-17.246700000000001</v>
      </c>
      <c r="AF3918">
        <v>-1.0697850579300101</v>
      </c>
      <c r="AG3918">
        <v>-1.1202994157520001</v>
      </c>
      <c r="AH3918">
        <v>17.163961658647899</v>
      </c>
      <c r="AI3918">
        <v>93.7272117738448</v>
      </c>
      <c r="AJ3918">
        <v>93.566483344470797</v>
      </c>
      <c r="AK3918">
        <v>17.233719583149799</v>
      </c>
      <c r="AL3918">
        <v>79.904249472313197</v>
      </c>
      <c r="AM3918">
        <v>87.426369344966801</v>
      </c>
      <c r="AN3918">
        <v>0.99999995616824999</v>
      </c>
    </row>
    <row r="3919" spans="1:40" x14ac:dyDescent="0.25">
      <c r="A3919" t="str">
        <f>"20190303162336598"</f>
        <v>20190303162336598</v>
      </c>
      <c r="B3919" t="str">
        <f>"1551601416588985"</f>
        <v>1551601416588985</v>
      </c>
      <c r="C3919" t="s">
        <v>40</v>
      </c>
      <c r="D3919">
        <v>5.8886760000000002</v>
      </c>
      <c r="E3919">
        <v>0.46253909999999998</v>
      </c>
      <c r="F3919" t="s">
        <v>41</v>
      </c>
      <c r="G3919">
        <v>-190.334</v>
      </c>
      <c r="H3919" s="1">
        <v>-3.1940860000000001E-6</v>
      </c>
      <c r="I3919">
        <v>166.16059999999999</v>
      </c>
      <c r="J3919">
        <v>-191.2405</v>
      </c>
      <c r="K3919">
        <v>1.120295</v>
      </c>
      <c r="L3919">
        <v>183.68260000000001</v>
      </c>
      <c r="M3919">
        <v>-1.081814E-2</v>
      </c>
      <c r="N3919">
        <v>-1.012627E-2</v>
      </c>
      <c r="O3919">
        <v>-0.99989039999999996</v>
      </c>
      <c r="P3919">
        <v>-5.5052259999999999E-2</v>
      </c>
      <c r="Q3919">
        <v>0.1659805</v>
      </c>
      <c r="R3919">
        <v>-0.98459140000000001</v>
      </c>
      <c r="S3919">
        <v>0.15773010000000001</v>
      </c>
      <c r="T3919">
        <v>-0.19537750000000001</v>
      </c>
      <c r="U3919">
        <v>-3.08812</v>
      </c>
      <c r="V3919">
        <v>4.4470309999999999E-2</v>
      </c>
      <c r="W3919">
        <v>0.175928799999999</v>
      </c>
      <c r="X3919">
        <v>0.98339790000000005</v>
      </c>
      <c r="Y3919">
        <v>-6.1717149999999998E-2</v>
      </c>
      <c r="Z3919">
        <v>5.2922459999999998E-2</v>
      </c>
      <c r="AA3919">
        <v>0.99668959999999995</v>
      </c>
      <c r="AB3919">
        <v>30</v>
      </c>
      <c r="AC3919">
        <v>0.90649999999999398</v>
      </c>
      <c r="AD3919">
        <v>-1.120298194086</v>
      </c>
      <c r="AE3919">
        <v>-17.521999999999998</v>
      </c>
      <c r="AF3919">
        <v>-1.0915617993789</v>
      </c>
      <c r="AG3919">
        <v>-1.120298194086</v>
      </c>
      <c r="AH3919">
        <v>17.440064525614599</v>
      </c>
      <c r="AI3919">
        <v>93.668303126514303</v>
      </c>
      <c r="AJ3919">
        <v>93.581432157926102</v>
      </c>
      <c r="AK3919">
        <v>17.510066415154899</v>
      </c>
      <c r="AL3919">
        <v>79.867286851616697</v>
      </c>
      <c r="AM3919">
        <v>87.410787240232906</v>
      </c>
      <c r="AN3919">
        <v>0.99999999043267296</v>
      </c>
    </row>
    <row r="3920" spans="1:40" x14ac:dyDescent="0.25">
      <c r="A3920" t="str">
        <f>"20190303162336616"</f>
        <v>20190303162336616</v>
      </c>
      <c r="B3920" t="str">
        <f>"1551601416608508"</f>
        <v>1551601416608508</v>
      </c>
      <c r="C3920" t="s">
        <v>40</v>
      </c>
      <c r="D3920">
        <v>5.8270850000000003</v>
      </c>
      <c r="E3920">
        <v>0.46222560000000001</v>
      </c>
      <c r="F3920" t="s">
        <v>41</v>
      </c>
      <c r="G3920">
        <v>-190.32910000000001</v>
      </c>
      <c r="H3920" s="1">
        <v>-3.0051190000000001E-6</v>
      </c>
      <c r="I3920">
        <v>165.7636</v>
      </c>
      <c r="J3920">
        <v>-191.2432</v>
      </c>
      <c r="K3920">
        <v>1.120298</v>
      </c>
      <c r="L3920">
        <v>183.44970000000001</v>
      </c>
      <c r="M3920">
        <v>-1.0967380000000001E-2</v>
      </c>
      <c r="N3920">
        <v>-1.0128760000000001E-2</v>
      </c>
      <c r="O3920">
        <v>-0.99988869999999996</v>
      </c>
      <c r="P3920">
        <v>-5.6685239999999998E-2</v>
      </c>
      <c r="Q3920">
        <v>0.1665944</v>
      </c>
      <c r="R3920">
        <v>-0.98439509999999997</v>
      </c>
      <c r="S3920">
        <v>0.15707399999999999</v>
      </c>
      <c r="T3920">
        <v>-0.19308030000000001</v>
      </c>
      <c r="U3920">
        <v>-3.0882869999999998</v>
      </c>
      <c r="V3920">
        <v>4.5958560000000002E-2</v>
      </c>
      <c r="W3920">
        <v>0.1765427</v>
      </c>
      <c r="X3920">
        <v>0.98321939999999997</v>
      </c>
      <c r="Y3920">
        <v>-6.1654390000000003E-2</v>
      </c>
      <c r="Z3920">
        <v>5.2178219999999997E-2</v>
      </c>
      <c r="AA3920">
        <v>0.99673279999999997</v>
      </c>
      <c r="AB3920">
        <v>30</v>
      </c>
      <c r="AC3920">
        <v>0.91409999999999003</v>
      </c>
      <c r="AD3920">
        <v>-1.1203010051189899</v>
      </c>
      <c r="AE3920">
        <v>-17.6861</v>
      </c>
      <c r="AF3920">
        <v>-1.1036087858375401</v>
      </c>
      <c r="AG3920">
        <v>-1.1203010051189899</v>
      </c>
      <c r="AH3920">
        <v>17.604561862166801</v>
      </c>
      <c r="AI3920">
        <v>93.634105324462894</v>
      </c>
      <c r="AJ3920">
        <v>93.587109367316401</v>
      </c>
      <c r="AK3920">
        <v>17.674660535724801</v>
      </c>
      <c r="AL3920">
        <v>79.831553273829101</v>
      </c>
      <c r="AM3920">
        <v>87.323775093861499</v>
      </c>
      <c r="AN3920">
        <v>0.99999995134845998</v>
      </c>
    </row>
    <row r="3921" spans="1:40" x14ac:dyDescent="0.25">
      <c r="A3921" t="str">
        <f>"20190303162336639"</f>
        <v>20190303162336639</v>
      </c>
      <c r="B3921" t="str">
        <f>"1551601416629001"</f>
        <v>1551601416629001</v>
      </c>
      <c r="C3921" t="s">
        <v>40</v>
      </c>
      <c r="D3921">
        <v>5.7649619999999997</v>
      </c>
      <c r="E3921">
        <v>0.46197909999999998</v>
      </c>
      <c r="F3921" t="s">
        <v>41</v>
      </c>
      <c r="G3921">
        <v>-190.33449999999999</v>
      </c>
      <c r="H3921" s="1">
        <v>-2.7514980000000002E-6</v>
      </c>
      <c r="I3921">
        <v>165.22409999999999</v>
      </c>
      <c r="J3921">
        <v>-191.24680000000001</v>
      </c>
      <c r="K3921">
        <v>1.1202920000000001</v>
      </c>
      <c r="L3921">
        <v>183.14230000000001</v>
      </c>
      <c r="M3921">
        <v>-1.1164810000000001E-2</v>
      </c>
      <c r="N3921">
        <v>-1.013208E-2</v>
      </c>
      <c r="O3921">
        <v>-0.99988630000000001</v>
      </c>
      <c r="P3921">
        <v>-5.8997630000000002E-2</v>
      </c>
      <c r="Q3921">
        <v>0.16530799999999901</v>
      </c>
      <c r="R3921">
        <v>-0.98447589999999996</v>
      </c>
      <c r="S3921">
        <v>0.15399170000000001</v>
      </c>
      <c r="T3921">
        <v>-0.18984780000000001</v>
      </c>
      <c r="U3921">
        <v>-3.0885470000000002</v>
      </c>
      <c r="V3921">
        <v>4.8074850000000002E-2</v>
      </c>
      <c r="W3921">
        <v>0.17526029999999901</v>
      </c>
      <c r="X3921">
        <v>0.98334770000000005</v>
      </c>
      <c r="Y3921">
        <v>-6.0858299999999997E-2</v>
      </c>
      <c r="Z3921">
        <v>5.1133070000000003E-2</v>
      </c>
      <c r="AA3921">
        <v>0.99683580000000005</v>
      </c>
      <c r="AB3921">
        <v>30</v>
      </c>
      <c r="AC3921">
        <v>0.91230000000001599</v>
      </c>
      <c r="AD3921">
        <v>-1.120294751498</v>
      </c>
      <c r="AE3921">
        <v>-17.918199999999999</v>
      </c>
      <c r="AF3921">
        <v>-1.10798668483547</v>
      </c>
      <c r="AG3921">
        <v>-1.120294751498</v>
      </c>
      <c r="AH3921">
        <v>17.837349349302301</v>
      </c>
      <c r="AI3921">
        <v>93.586910208314507</v>
      </c>
      <c r="AJ3921">
        <v>93.554423938115505</v>
      </c>
      <c r="AK3921">
        <v>17.906806712338799</v>
      </c>
      <c r="AL3921">
        <v>79.906194011260297</v>
      </c>
      <c r="AM3921">
        <v>87.2010972108516</v>
      </c>
      <c r="AN3921">
        <v>1.0000000315269499</v>
      </c>
    </row>
    <row r="3922" spans="1:40" x14ac:dyDescent="0.25">
      <c r="A3922" t="str">
        <f>"20190303162336661"</f>
        <v>20190303162336661</v>
      </c>
      <c r="B3922" t="str">
        <f>"1551601416648521"</f>
        <v>1551601416648521</v>
      </c>
      <c r="C3922" t="s">
        <v>40</v>
      </c>
      <c r="D3922">
        <v>5.6646269999999896</v>
      </c>
      <c r="E3922">
        <v>0.46194429999999997</v>
      </c>
      <c r="F3922" t="s">
        <v>41</v>
      </c>
      <c r="G3922">
        <v>-190.38300000000001</v>
      </c>
      <c r="H3922" s="1">
        <v>-2.8056030000000002E-6</v>
      </c>
      <c r="I3922">
        <v>165.31120000000001</v>
      </c>
      <c r="J3922">
        <v>-191.25030000000001</v>
      </c>
      <c r="K3922">
        <v>1.120279</v>
      </c>
      <c r="L3922">
        <v>182.84350000000001</v>
      </c>
      <c r="M3922">
        <v>-1.135678E-2</v>
      </c>
      <c r="N3922">
        <v>-1.0135369999999999E-2</v>
      </c>
      <c r="O3922">
        <v>-0.99988440000000001</v>
      </c>
      <c r="P3922">
        <v>-6.139228E-2</v>
      </c>
      <c r="Q3922">
        <v>0.16290479999999999</v>
      </c>
      <c r="R3922">
        <v>-0.98473040000000001</v>
      </c>
      <c r="S3922">
        <v>0.1496277</v>
      </c>
      <c r="T3922">
        <v>-0.19406889999999999</v>
      </c>
      <c r="U3922">
        <v>-3.0888819999999999</v>
      </c>
      <c r="V3922">
        <v>5.0276349999999997E-2</v>
      </c>
      <c r="W3922">
        <v>0.172862299999999</v>
      </c>
      <c r="X3922">
        <v>0.98366200000000004</v>
      </c>
      <c r="Y3922">
        <v>-5.9636179999999997E-2</v>
      </c>
      <c r="Z3922">
        <v>5.2484690000000001E-2</v>
      </c>
      <c r="AA3922">
        <v>0.99683949999999999</v>
      </c>
      <c r="AB3922">
        <v>30</v>
      </c>
      <c r="AC3922">
        <v>0.86730000000002805</v>
      </c>
      <c r="AD3922">
        <v>-1.1202818056029999</v>
      </c>
      <c r="AE3922">
        <v>-17.5322999999999</v>
      </c>
      <c r="AF3922">
        <v>-1.06203901846347</v>
      </c>
      <c r="AG3922">
        <v>-1.1202818056029999</v>
      </c>
      <c r="AH3922">
        <v>17.450243994148799</v>
      </c>
      <c r="AI3922">
        <v>93.666504183568605</v>
      </c>
      <c r="AJ3922">
        <v>93.482781609417401</v>
      </c>
      <c r="AK3922">
        <v>17.518389585119699</v>
      </c>
      <c r="AL3922">
        <v>80.045718965761495</v>
      </c>
      <c r="AM3922">
        <v>87.074078122819003</v>
      </c>
      <c r="AN3922">
        <v>1.0000000081872999</v>
      </c>
    </row>
    <row r="3923" spans="1:40" x14ac:dyDescent="0.25">
      <c r="A3923" t="str">
        <f>"20190303162336684"</f>
        <v>20190303162336684</v>
      </c>
      <c r="B3923" t="str">
        <f>"1551601416679284"</f>
        <v>1551601416679284</v>
      </c>
      <c r="C3923" t="s">
        <v>40</v>
      </c>
      <c r="D3923">
        <v>5.5684809999999896</v>
      </c>
      <c r="E3923">
        <v>0.50561009999999995</v>
      </c>
      <c r="F3923" t="s">
        <v>41</v>
      </c>
      <c r="G3923">
        <v>-190.44749999999999</v>
      </c>
      <c r="H3923" s="1">
        <v>-2.944656E-6</v>
      </c>
      <c r="I3923">
        <v>165.56909999999999</v>
      </c>
      <c r="J3923">
        <v>-191.25389999999999</v>
      </c>
      <c r="K3923">
        <v>1.120269</v>
      </c>
      <c r="L3923">
        <v>182.5479</v>
      </c>
      <c r="M3923">
        <v>-1.154669E-2</v>
      </c>
      <c r="N3923">
        <v>-1.0138640000000001E-2</v>
      </c>
      <c r="O3923">
        <v>-0.99988200000000005</v>
      </c>
      <c r="P3923">
        <v>-6.2773319999999994E-2</v>
      </c>
      <c r="Q3923">
        <v>0.16113540000000001</v>
      </c>
      <c r="R3923">
        <v>-0.98493399999999998</v>
      </c>
      <c r="S3923">
        <v>0.14353940000000001</v>
      </c>
      <c r="T3923">
        <v>-0.20030300000000001</v>
      </c>
      <c r="U3923">
        <v>-3.0886079999999998</v>
      </c>
      <c r="V3923">
        <v>5.1467119999999998E-2</v>
      </c>
      <c r="W3923">
        <v>0.17109849999999999</v>
      </c>
      <c r="X3923">
        <v>0.98390880000000003</v>
      </c>
      <c r="Y3923">
        <v>-5.786446E-2</v>
      </c>
      <c r="Z3923">
        <v>5.4497370000000003E-2</v>
      </c>
      <c r="AA3923">
        <v>0.9968359</v>
      </c>
      <c r="AB3923">
        <v>30</v>
      </c>
      <c r="AC3923">
        <v>0.80639999999999601</v>
      </c>
      <c r="AD3923">
        <v>-1.1202719446560001</v>
      </c>
      <c r="AE3923">
        <v>-16.9788</v>
      </c>
      <c r="AF3923">
        <v>-0.99806997746909198</v>
      </c>
      <c r="AG3923">
        <v>-1.1202719446560001</v>
      </c>
      <c r="AH3923">
        <v>16.894970494305301</v>
      </c>
      <c r="AI3923">
        <v>93.787032929545106</v>
      </c>
      <c r="AJ3923">
        <v>93.3808176044394</v>
      </c>
      <c r="AK3923">
        <v>16.961461638471899</v>
      </c>
      <c r="AL3923">
        <v>80.148306136620207</v>
      </c>
      <c r="AM3923">
        <v>87.005653769642905</v>
      </c>
      <c r="AN3923">
        <v>1.00000004393039</v>
      </c>
    </row>
    <row r="3924" spans="1:40" x14ac:dyDescent="0.25">
      <c r="A3924" t="str">
        <f>"20190303162336705"</f>
        <v>20190303162336705</v>
      </c>
      <c r="B3924" t="str">
        <f>"1551601416698803"</f>
        <v>1551601416698803</v>
      </c>
      <c r="C3924" t="s">
        <v>40</v>
      </c>
      <c r="D3924">
        <v>5.5079219999999998</v>
      </c>
      <c r="E3924">
        <v>0.51332390000000006</v>
      </c>
      <c r="F3924" t="s">
        <v>42</v>
      </c>
      <c r="G3924">
        <v>-191.321</v>
      </c>
      <c r="H3924">
        <v>1.0431969999999999</v>
      </c>
      <c r="I3924">
        <v>181.55869999999999</v>
      </c>
      <c r="J3924">
        <v>-191.2576</v>
      </c>
      <c r="K3924">
        <v>1.1202639999999999</v>
      </c>
      <c r="L3924">
        <v>182.24440000000001</v>
      </c>
      <c r="M3924">
        <v>-1.174179E-2</v>
      </c>
      <c r="N3924">
        <v>-1.014203E-2</v>
      </c>
      <c r="O3924">
        <v>-0.99987969999999904</v>
      </c>
      <c r="P3924">
        <v>-6.4558019999999994E-2</v>
      </c>
      <c r="Q3924">
        <v>0.16092110000000001</v>
      </c>
      <c r="R3924">
        <v>-0.98485350000000005</v>
      </c>
      <c r="S3924">
        <v>-0.2079773</v>
      </c>
      <c r="T3924">
        <v>-0.23944689999999999</v>
      </c>
      <c r="U3924">
        <v>-3.071793</v>
      </c>
      <c r="V3924">
        <v>5.3060379999999997E-2</v>
      </c>
      <c r="W3924">
        <v>0.1708865</v>
      </c>
      <c r="X3924">
        <v>0.98386099999999999</v>
      </c>
      <c r="Y3924">
        <v>5.5652010000000002E-2</v>
      </c>
      <c r="Z3924">
        <v>6.7446640000000002E-2</v>
      </c>
      <c r="AA3924">
        <v>0.99616959999999999</v>
      </c>
      <c r="AB3924">
        <v>30</v>
      </c>
      <c r="AC3924">
        <v>-6.34000000000014E-2</v>
      </c>
      <c r="AD3924">
        <v>-7.7066999999999997E-2</v>
      </c>
      <c r="AE3924">
        <v>-0.68570000000002496</v>
      </c>
      <c r="AF3924">
        <v>5.46592722075444E-2</v>
      </c>
      <c r="AG3924">
        <v>-7.7066999999999997E-2</v>
      </c>
      <c r="AH3924">
        <v>0.67790653230853704</v>
      </c>
      <c r="AI3924">
        <v>96.4649555219208</v>
      </c>
      <c r="AJ3924">
        <v>85.390241583616501</v>
      </c>
      <c r="AK3924">
        <v>0.68445907479837198</v>
      </c>
      <c r="AL3924">
        <v>80.160634305053605</v>
      </c>
      <c r="AM3924">
        <v>86.912985140733696</v>
      </c>
      <c r="AN3924">
        <v>1.0000000335644901</v>
      </c>
    </row>
    <row r="3925" spans="1:40" x14ac:dyDescent="0.25">
      <c r="A3925" t="str">
        <f>"20190303162336728"</f>
        <v>20190303162336728</v>
      </c>
      <c r="B3925" t="str">
        <f>"1551601416718323"</f>
        <v>1551601416718323</v>
      </c>
      <c r="C3925" t="s">
        <v>40</v>
      </c>
      <c r="D3925">
        <v>5.46347</v>
      </c>
      <c r="E3925">
        <v>0.51640850000000005</v>
      </c>
      <c r="F3925" t="s">
        <v>42</v>
      </c>
      <c r="G3925">
        <v>-191.34350000000001</v>
      </c>
      <c r="H3925">
        <v>1.041018</v>
      </c>
      <c r="I3925">
        <v>181.29069999999999</v>
      </c>
      <c r="J3925">
        <v>-191.26130000000001</v>
      </c>
      <c r="K3925">
        <v>1.1202639999999999</v>
      </c>
      <c r="L3925">
        <v>181.9487</v>
      </c>
      <c r="M3925">
        <v>-1.1931789999999999E-2</v>
      </c>
      <c r="N3925">
        <v>-1.014527E-2</v>
      </c>
      <c r="O3925">
        <v>-0.99987729999999997</v>
      </c>
      <c r="P3925">
        <v>-6.7019690000000007E-2</v>
      </c>
      <c r="Q3925">
        <v>0.16071969999999999</v>
      </c>
      <c r="R3925">
        <v>-0.98472210000000004</v>
      </c>
      <c r="S3925">
        <v>-0.276153599999999</v>
      </c>
      <c r="T3925">
        <v>-0.25514029999999999</v>
      </c>
      <c r="U3925">
        <v>-3.0697019999999999</v>
      </c>
      <c r="V3925">
        <v>5.533623E-2</v>
      </c>
      <c r="W3925">
        <v>0.1706859</v>
      </c>
      <c r="X3925">
        <v>0.98377040000000004</v>
      </c>
      <c r="Y3925">
        <v>7.7436699999999997E-2</v>
      </c>
      <c r="Z3925">
        <v>7.2422070000000005E-2</v>
      </c>
      <c r="AA3925">
        <v>0.99436340000000001</v>
      </c>
      <c r="AB3925">
        <v>30</v>
      </c>
      <c r="AC3925">
        <v>-8.2200000000000203E-2</v>
      </c>
      <c r="AD3925">
        <v>-7.92459999999999E-2</v>
      </c>
      <c r="AE3925">
        <v>-0.65800000000001502</v>
      </c>
      <c r="AF3925">
        <v>7.3295841838492706E-2</v>
      </c>
      <c r="AG3925">
        <v>-7.92459999999999E-2</v>
      </c>
      <c r="AH3925">
        <v>0.64965585635079204</v>
      </c>
      <c r="AI3925">
        <v>96.911248116105895</v>
      </c>
      <c r="AJ3925">
        <v>83.562963142693803</v>
      </c>
      <c r="AK3925">
        <v>0.65856278412744695</v>
      </c>
      <c r="AL3925">
        <v>80.172298759084995</v>
      </c>
      <c r="AM3925">
        <v>86.780554742150301</v>
      </c>
      <c r="AN3925">
        <v>0.99999998736279105</v>
      </c>
    </row>
    <row r="3926" spans="1:40" x14ac:dyDescent="0.25">
      <c r="A3926" t="str">
        <f>"20190303162336750"</f>
        <v>20190303162336750</v>
      </c>
      <c r="B3926" t="str">
        <f>"1551601416738819"</f>
        <v>1551601416738819</v>
      </c>
      <c r="C3926" t="s">
        <v>40</v>
      </c>
      <c r="D3926">
        <v>5.4478150000000003</v>
      </c>
      <c r="E3926">
        <v>0.51807700000000001</v>
      </c>
      <c r="F3926" t="s">
        <v>42</v>
      </c>
      <c r="G3926">
        <v>-191.35499999999999</v>
      </c>
      <c r="H3926">
        <v>1.0425629999999999</v>
      </c>
      <c r="I3926">
        <v>181.0204</v>
      </c>
      <c r="J3926">
        <v>-191.26499999999999</v>
      </c>
      <c r="K3926">
        <v>1.1202639999999999</v>
      </c>
      <c r="L3926">
        <v>181.6506</v>
      </c>
      <c r="M3926">
        <v>-1.2123470000000001E-2</v>
      </c>
      <c r="N3926">
        <v>-1.0148570000000001E-2</v>
      </c>
      <c r="O3926">
        <v>-0.99987510000000002</v>
      </c>
      <c r="P3926">
        <v>-6.9377690000000006E-2</v>
      </c>
      <c r="Q3926">
        <v>0.15976949999999901</v>
      </c>
      <c r="R3926">
        <v>-0.98471359999999997</v>
      </c>
      <c r="S3926">
        <v>-0.30888369999999998</v>
      </c>
      <c r="T3926">
        <v>-0.25688699999999998</v>
      </c>
      <c r="U3926">
        <v>-3.0674739999999998</v>
      </c>
      <c r="V3926">
        <v>5.7504960000000001E-2</v>
      </c>
      <c r="W3926">
        <v>0.16973869999999999</v>
      </c>
      <c r="X3926">
        <v>0.98380990000000001</v>
      </c>
      <c r="Y3926">
        <v>8.7810699999999894E-2</v>
      </c>
      <c r="Z3926">
        <v>7.2963E-2</v>
      </c>
      <c r="AA3926">
        <v>0.9934615</v>
      </c>
      <c r="AB3926">
        <v>30</v>
      </c>
      <c r="AC3926">
        <v>-9.0000000000003397E-2</v>
      </c>
      <c r="AD3926">
        <v>-7.7701000000000006E-2</v>
      </c>
      <c r="AE3926">
        <v>-0.63020000000000198</v>
      </c>
      <c r="AF3926">
        <v>8.11438995719376E-2</v>
      </c>
      <c r="AG3926">
        <v>-7.7701000000000006E-2</v>
      </c>
      <c r="AH3926">
        <v>0.62197861086753103</v>
      </c>
      <c r="AI3926">
        <v>97.0615854812268</v>
      </c>
      <c r="AJ3926">
        <v>82.567119724987293</v>
      </c>
      <c r="AK3926">
        <v>0.63204364581525896</v>
      </c>
      <c r="AL3926">
        <v>80.227372957125596</v>
      </c>
      <c r="AM3926">
        <v>86.654793873255002</v>
      </c>
      <c r="AN3926">
        <v>0.99999998302015003</v>
      </c>
    </row>
    <row r="3927" spans="1:40" x14ac:dyDescent="0.25">
      <c r="A3927" t="str">
        <f>"20190303162336785"</f>
        <v>20190303162336785</v>
      </c>
      <c r="B3927" t="str">
        <f>"1551601416778835"</f>
        <v>1551601416778835</v>
      </c>
      <c r="C3927" t="s">
        <v>40</v>
      </c>
      <c r="D3927">
        <v>5.4287369999999999</v>
      </c>
      <c r="E3927">
        <v>0.51875579999999999</v>
      </c>
      <c r="F3927" t="s">
        <v>42</v>
      </c>
      <c r="G3927">
        <v>-191.36199999999999</v>
      </c>
      <c r="H3927">
        <v>1.0434349999999999</v>
      </c>
      <c r="I3927">
        <v>180.75020000000001</v>
      </c>
      <c r="J3927">
        <v>-191.2713</v>
      </c>
      <c r="K3927">
        <v>1.120263</v>
      </c>
      <c r="L3927">
        <v>181.16550000000001</v>
      </c>
      <c r="M3927">
        <v>-1.243519E-2</v>
      </c>
      <c r="N3927">
        <v>-1.015394E-2</v>
      </c>
      <c r="O3927">
        <v>-0.99987110000000001</v>
      </c>
      <c r="P3927">
        <v>-7.110139E-2</v>
      </c>
      <c r="Q3927">
        <v>0.15874160000000001</v>
      </c>
      <c r="R3927">
        <v>-0.98475659999999998</v>
      </c>
      <c r="S3927">
        <v>-0.32978819999999998</v>
      </c>
      <c r="T3927">
        <v>-0.26167950000000001</v>
      </c>
      <c r="U3927">
        <v>-3.0658259999999999</v>
      </c>
      <c r="V3927">
        <v>5.892058E-2</v>
      </c>
      <c r="W3927">
        <v>0.168716</v>
      </c>
      <c r="X3927">
        <v>0.98390200000000005</v>
      </c>
      <c r="Y3927">
        <v>9.4236890000000004E-2</v>
      </c>
      <c r="Z3927">
        <v>7.4488269999999995E-2</v>
      </c>
      <c r="AA3927">
        <v>0.99275919999999895</v>
      </c>
      <c r="AB3927">
        <v>30</v>
      </c>
      <c r="AC3927">
        <v>-9.0699999999998199E-2</v>
      </c>
      <c r="AD3927">
        <v>-7.6827999999999896E-2</v>
      </c>
      <c r="AE3927">
        <v>-0.415300000000002</v>
      </c>
      <c r="AF3927">
        <v>8.2822992184736294E-2</v>
      </c>
      <c r="AG3927">
        <v>-7.6827999999999896E-2</v>
      </c>
      <c r="AH3927">
        <v>0.40322458034026099</v>
      </c>
      <c r="AI3927">
        <v>100.571913405689</v>
      </c>
      <c r="AJ3927">
        <v>78.392791046675399</v>
      </c>
      <c r="AK3927">
        <v>0.41875082305472899</v>
      </c>
      <c r="AL3927">
        <v>80.286826380039997</v>
      </c>
      <c r="AM3927">
        <v>86.572957765430402</v>
      </c>
      <c r="AN3927">
        <v>0.99999993450376601</v>
      </c>
    </row>
    <row r="3928" spans="1:40" x14ac:dyDescent="0.25">
      <c r="A3928" t="str">
        <f>"20190303162336798"</f>
        <v>20190303162336798</v>
      </c>
      <c r="B3928" t="str">
        <f>"1551601416788595"</f>
        <v>1551601416788595</v>
      </c>
      <c r="C3928" t="s">
        <v>40</v>
      </c>
      <c r="D3928">
        <v>5.5377859999999997</v>
      </c>
      <c r="E3928">
        <v>0.51873080000000005</v>
      </c>
      <c r="F3928" t="s">
        <v>42</v>
      </c>
      <c r="G3928">
        <v>-191.37729999999999</v>
      </c>
      <c r="H3928">
        <v>1.0373889999999999</v>
      </c>
      <c r="I3928">
        <v>180.21270000000001</v>
      </c>
      <c r="J3928">
        <v>-191.27350000000001</v>
      </c>
      <c r="K3928">
        <v>1.120263</v>
      </c>
      <c r="L3928">
        <v>180.99529999999999</v>
      </c>
      <c r="M3928">
        <v>-1.25445E-2</v>
      </c>
      <c r="N3928">
        <v>-1.0155839999999999E-2</v>
      </c>
      <c r="O3928">
        <v>-0.99986989999999998</v>
      </c>
      <c r="P3928">
        <v>-7.1646609999999999E-2</v>
      </c>
      <c r="Q3928">
        <v>0.15918889999999999</v>
      </c>
      <c r="R3928">
        <v>-0.9846452</v>
      </c>
      <c r="S3928">
        <v>-0.3407135</v>
      </c>
      <c r="T3928">
        <v>-0.26663730000000002</v>
      </c>
      <c r="U3928">
        <v>-3.064819</v>
      </c>
      <c r="V3928">
        <v>5.9359679999999998E-2</v>
      </c>
      <c r="W3928">
        <v>0.16916439999999999</v>
      </c>
      <c r="X3928">
        <v>0.98379870000000003</v>
      </c>
      <c r="Y3928">
        <v>9.7643569999999999E-2</v>
      </c>
      <c r="Z3928">
        <v>7.6076089999999999E-2</v>
      </c>
      <c r="AA3928">
        <v>0.99230949999999996</v>
      </c>
      <c r="AB3928">
        <v>30</v>
      </c>
      <c r="AC3928">
        <v>-0.10379999999997799</v>
      </c>
      <c r="AD3928">
        <v>-8.28740000000001E-2</v>
      </c>
      <c r="AE3928">
        <v>-0.78259999999997298</v>
      </c>
      <c r="AF3928">
        <v>9.2949691711331106E-2</v>
      </c>
      <c r="AG3928">
        <v>-8.28740000000001E-2</v>
      </c>
      <c r="AH3928">
        <v>0.775296797601424</v>
      </c>
      <c r="AI3928">
        <v>96.058306627222507</v>
      </c>
      <c r="AJ3928">
        <v>83.163486461265805</v>
      </c>
      <c r="AK3928">
        <v>0.78523427678384905</v>
      </c>
      <c r="AL3928">
        <v>80.260761164282897</v>
      </c>
      <c r="AM3928">
        <v>86.547117969365104</v>
      </c>
      <c r="AN3928">
        <v>1.00000002397937</v>
      </c>
    </row>
    <row r="3929" spans="1:40" x14ac:dyDescent="0.25">
      <c r="A3929" t="str">
        <f>"20190303162336817"</f>
        <v>20190303162336817</v>
      </c>
      <c r="B3929" t="str">
        <f>"1551601416809091"</f>
        <v>1551601416809091</v>
      </c>
      <c r="C3929" t="s">
        <v>40</v>
      </c>
      <c r="D3929">
        <v>5.5356019999999999</v>
      </c>
      <c r="E3929">
        <v>0.51867459999999999</v>
      </c>
      <c r="F3929" t="s">
        <v>42</v>
      </c>
      <c r="G3929">
        <v>-191.3623</v>
      </c>
      <c r="H3929">
        <v>1.0530630000000001</v>
      </c>
      <c r="I3929">
        <v>180.202</v>
      </c>
      <c r="J3929">
        <v>-191.27690000000001</v>
      </c>
      <c r="K3929">
        <v>1.1202589999999999</v>
      </c>
      <c r="L3929">
        <v>180.73490000000001</v>
      </c>
      <c r="M3929">
        <v>-1.271193E-2</v>
      </c>
      <c r="N3929">
        <v>-1.015858E-2</v>
      </c>
      <c r="O3929">
        <v>-0.99986770000000003</v>
      </c>
      <c r="P3929">
        <v>-7.1850140000000007E-2</v>
      </c>
      <c r="Q3929">
        <v>0.1600733</v>
      </c>
      <c r="R3929">
        <v>-0.98448690000000005</v>
      </c>
      <c r="S3929">
        <v>-0.34259030000000001</v>
      </c>
      <c r="T3929">
        <v>-0.25959189999999999</v>
      </c>
      <c r="U3929">
        <v>-3.063828</v>
      </c>
      <c r="V3929">
        <v>5.9400670000000003E-2</v>
      </c>
      <c r="W3929">
        <v>0.17004929999999999</v>
      </c>
      <c r="X3929">
        <v>0.98364370000000001</v>
      </c>
      <c r="Y3929">
        <v>9.8132189999999994E-2</v>
      </c>
      <c r="Z3929">
        <v>7.3832250000000002E-2</v>
      </c>
      <c r="AA3929">
        <v>0.99243079999999995</v>
      </c>
      <c r="AB3929">
        <v>30</v>
      </c>
      <c r="AC3929">
        <v>-8.5399999999992801E-2</v>
      </c>
      <c r="AD3929">
        <v>-6.71960000000002E-2</v>
      </c>
      <c r="AE3929">
        <v>-0.53290000000001203</v>
      </c>
      <c r="AF3929">
        <v>7.7418435713740796E-2</v>
      </c>
      <c r="AG3929">
        <v>-6.71960000000002E-2</v>
      </c>
      <c r="AH3929">
        <v>0.52579185955920804</v>
      </c>
      <c r="AI3929">
        <v>97.206035099289295</v>
      </c>
      <c r="AJ3929">
        <v>81.623863397244506</v>
      </c>
      <c r="AK3929">
        <v>0.53569207216748405</v>
      </c>
      <c r="AL3929">
        <v>80.209315181170595</v>
      </c>
      <c r="AM3929">
        <v>86.5441962529747</v>
      </c>
      <c r="AN3929">
        <v>1.00000006628831</v>
      </c>
    </row>
    <row r="3930" spans="1:40" x14ac:dyDescent="0.25">
      <c r="A3930" t="str">
        <f>"20190303162336906"</f>
        <v>20190303162336906</v>
      </c>
      <c r="B3930" t="str">
        <f>"1551601416898883"</f>
        <v>1551601416898883</v>
      </c>
      <c r="C3930" t="s">
        <v>40</v>
      </c>
      <c r="D3930">
        <v>5.3483239999999999</v>
      </c>
      <c r="E3930">
        <v>0.51768579999999997</v>
      </c>
      <c r="F3930" t="s">
        <v>42</v>
      </c>
      <c r="G3930">
        <v>-191.3989</v>
      </c>
      <c r="H3930">
        <v>1.0472760000000001</v>
      </c>
      <c r="I3930">
        <v>178.8503</v>
      </c>
      <c r="J3930">
        <v>-191.29339999999999</v>
      </c>
      <c r="K3930">
        <v>1.120268</v>
      </c>
      <c r="L3930">
        <v>179.52889999999999</v>
      </c>
      <c r="M3930">
        <v>-1.345465E-2</v>
      </c>
      <c r="N3930">
        <v>-1.0172499999999999E-2</v>
      </c>
      <c r="O3930">
        <v>-0.99985769999999996</v>
      </c>
      <c r="P3930">
        <v>-7.6611780000000004E-2</v>
      </c>
      <c r="Q3930">
        <v>0.158384</v>
      </c>
      <c r="R3930">
        <v>-0.98440119999999998</v>
      </c>
      <c r="S3930">
        <v>-0.34400940000000002</v>
      </c>
      <c r="T3930">
        <v>-0.2293917</v>
      </c>
      <c r="U3930">
        <v>-3.05864</v>
      </c>
      <c r="V3930">
        <v>6.3425880000000004E-2</v>
      </c>
      <c r="W3930">
        <v>0.16837439999999901</v>
      </c>
      <c r="X3930">
        <v>0.98368040000000001</v>
      </c>
      <c r="Y3930">
        <v>9.8112660000000004E-2</v>
      </c>
      <c r="Z3930">
        <v>6.4223959999999997E-2</v>
      </c>
      <c r="AA3930">
        <v>0.99310080000000001</v>
      </c>
      <c r="AB3930">
        <v>30</v>
      </c>
      <c r="AC3930">
        <v>-0.10550000000000601</v>
      </c>
      <c r="AD3930">
        <v>-7.2991999999999904E-2</v>
      </c>
      <c r="AE3930">
        <v>-0.67859999999998799</v>
      </c>
      <c r="AF3930">
        <v>9.5283266722395094E-2</v>
      </c>
      <c r="AG3930">
        <v>-7.2991999999999904E-2</v>
      </c>
      <c r="AH3930">
        <v>0.67236264293304104</v>
      </c>
      <c r="AI3930">
        <v>96.134969182905706</v>
      </c>
      <c r="AJ3930">
        <v>81.934089600150003</v>
      </c>
      <c r="AK3930">
        <v>0.68299213508882795</v>
      </c>
      <c r="AL3930">
        <v>80.306682886967195</v>
      </c>
      <c r="AM3930">
        <v>86.310781755539395</v>
      </c>
      <c r="AN3930">
        <v>0.99999995508664596</v>
      </c>
    </row>
    <row r="3931" spans="1:40" x14ac:dyDescent="0.25">
      <c r="A3931" t="str">
        <f>"20190303162336950"</f>
        <v>20190303162336950</v>
      </c>
      <c r="B3931" t="str">
        <f>"1551601416938903"</f>
        <v>1551601416938903</v>
      </c>
      <c r="C3931" t="s">
        <v>40</v>
      </c>
      <c r="D3931">
        <v>5.2420280000000004</v>
      </c>
      <c r="E3931">
        <v>0.51749529999999999</v>
      </c>
      <c r="F3931" t="s">
        <v>42</v>
      </c>
      <c r="G3931">
        <v>-191.4023</v>
      </c>
      <c r="H3931">
        <v>1.0496749999999999</v>
      </c>
      <c r="I3931">
        <v>178.57599999999999</v>
      </c>
      <c r="J3931">
        <v>-191.30179999999999</v>
      </c>
      <c r="K3931">
        <v>1.1202840000000001</v>
      </c>
      <c r="L3931">
        <v>178.93090000000001</v>
      </c>
      <c r="M3931">
        <v>-1.373857E-2</v>
      </c>
      <c r="N3931">
        <v>-1.0179570000000001E-2</v>
      </c>
      <c r="O3931">
        <v>-0.99985389999999996</v>
      </c>
      <c r="P3931">
        <v>-8.1297729999999999E-2</v>
      </c>
      <c r="Q3931">
        <v>0.15623280000000001</v>
      </c>
      <c r="R3931">
        <v>-0.98436900000000005</v>
      </c>
      <c r="S3931">
        <v>-0.3493347</v>
      </c>
      <c r="T3931">
        <v>-0.22650960000000001</v>
      </c>
      <c r="U3931">
        <v>-3.0567929999999999</v>
      </c>
      <c r="V3931">
        <v>6.7819309999999994E-2</v>
      </c>
      <c r="W3931">
        <v>0.16623389999999999</v>
      </c>
      <c r="X3931">
        <v>0.98375140000000005</v>
      </c>
      <c r="Y3931">
        <v>9.9611069999999996E-2</v>
      </c>
      <c r="Z3931">
        <v>6.3318120000000006E-2</v>
      </c>
      <c r="AA3931">
        <v>0.99300980000000005</v>
      </c>
      <c r="AB3931">
        <v>30</v>
      </c>
      <c r="AC3931">
        <v>-0.10050000000001</v>
      </c>
      <c r="AD3931">
        <v>-7.0609000000000102E-2</v>
      </c>
      <c r="AE3931">
        <v>-0.35490000000001398</v>
      </c>
      <c r="AF3931">
        <v>9.2234560361436499E-2</v>
      </c>
      <c r="AG3931">
        <v>-7.0609000000000102E-2</v>
      </c>
      <c r="AH3931">
        <v>0.34365428373083201</v>
      </c>
      <c r="AI3931">
        <v>101.22407866570801</v>
      </c>
      <c r="AJ3931">
        <v>74.976253415243505</v>
      </c>
      <c r="AK3931">
        <v>0.36275489208640399</v>
      </c>
      <c r="AL3931">
        <v>80.4310782034824</v>
      </c>
      <c r="AM3931">
        <v>86.056298533754799</v>
      </c>
      <c r="AN3931">
        <v>0.99999999266002304</v>
      </c>
    </row>
    <row r="3932" spans="1:40" x14ac:dyDescent="0.25">
      <c r="A3932" t="str">
        <f>"20190303162336974"</f>
        <v>20190303162336974</v>
      </c>
      <c r="B3932" t="str">
        <f>"1551601416970131"</f>
        <v>1551601416970131</v>
      </c>
      <c r="C3932" t="s">
        <v>40</v>
      </c>
      <c r="D3932">
        <v>5.3630559999999896</v>
      </c>
      <c r="E3932">
        <v>0.53789580000000004</v>
      </c>
      <c r="F3932" t="s">
        <v>42</v>
      </c>
      <c r="G3932">
        <v>-191.40969999999999</v>
      </c>
      <c r="H3932">
        <v>1.05348</v>
      </c>
      <c r="I3932">
        <v>178.0249</v>
      </c>
      <c r="J3932">
        <v>-191.30629999999999</v>
      </c>
      <c r="K3932">
        <v>1.120317</v>
      </c>
      <c r="L3932">
        <v>178.61349999999999</v>
      </c>
      <c r="M3932">
        <v>-1.3839880000000001E-2</v>
      </c>
      <c r="N3932">
        <v>-1.0183319999999999E-2</v>
      </c>
      <c r="O3932">
        <v>-0.99985270000000004</v>
      </c>
      <c r="P3932">
        <v>-8.5035910000000006E-2</v>
      </c>
      <c r="Q3932">
        <v>0.15634010000000001</v>
      </c>
      <c r="R3932">
        <v>-0.98403629999999997</v>
      </c>
      <c r="S3932">
        <v>-0.36334230000000001</v>
      </c>
      <c r="T3932">
        <v>-0.22517499999999999</v>
      </c>
      <c r="U3932">
        <v>-3.0533600000000001</v>
      </c>
      <c r="V3932">
        <v>7.145195E-2</v>
      </c>
      <c r="W3932">
        <v>0.16634489999999999</v>
      </c>
      <c r="X3932">
        <v>0.9834754</v>
      </c>
      <c r="Y3932">
        <v>0.10413070000000001</v>
      </c>
      <c r="Z3932">
        <v>6.2928780000000004E-2</v>
      </c>
      <c r="AA3932">
        <v>0.99257079999999998</v>
      </c>
      <c r="AB3932">
        <v>30</v>
      </c>
      <c r="AC3932">
        <v>-0.103399999999993</v>
      </c>
      <c r="AD3932">
        <v>-6.6836999999999994E-2</v>
      </c>
      <c r="AE3932">
        <v>-0.58859999999998502</v>
      </c>
      <c r="AF3932">
        <v>9.4066918289800405E-2</v>
      </c>
      <c r="AG3932">
        <v>-6.6836999999999994E-2</v>
      </c>
      <c r="AH3932">
        <v>0.58268640107468295</v>
      </c>
      <c r="AI3932">
        <v>96.460585135340807</v>
      </c>
      <c r="AJ3932">
        <v>80.829483910467303</v>
      </c>
      <c r="AK3932">
        <v>0.59400270343063799</v>
      </c>
      <c r="AL3932">
        <v>80.424628013060598</v>
      </c>
      <c r="AM3932">
        <v>85.844619147302197</v>
      </c>
      <c r="AN3932">
        <v>0.99999993465998405</v>
      </c>
    </row>
    <row r="3933" spans="1:40" x14ac:dyDescent="0.25">
      <c r="A3933" t="str">
        <f>"20190303162336995"</f>
        <v>20190303162336995</v>
      </c>
      <c r="B3933" t="str">
        <f>"1551601416988675"</f>
        <v>1551601416988675</v>
      </c>
      <c r="C3933" t="s">
        <v>40</v>
      </c>
      <c r="D3933">
        <v>5.3451209999999998</v>
      </c>
      <c r="E3933">
        <v>0.54040089999999996</v>
      </c>
      <c r="F3933" t="s">
        <v>41</v>
      </c>
      <c r="G3933">
        <v>-193.98750000000001</v>
      </c>
      <c r="H3933" s="1">
        <v>-2.8693869999999999E-6</v>
      </c>
      <c r="I3933">
        <v>163.41730000000001</v>
      </c>
      <c r="J3933">
        <v>-191.31059999999999</v>
      </c>
      <c r="K3933">
        <v>1.120341</v>
      </c>
      <c r="L3933">
        <v>178.31209999999999</v>
      </c>
      <c r="M3933">
        <v>-1.3901429999999999E-2</v>
      </c>
      <c r="N3933">
        <v>-1.0186870000000001E-2</v>
      </c>
      <c r="O3933">
        <v>-0.99985170000000001</v>
      </c>
      <c r="P3933">
        <v>-8.9308639999999995E-2</v>
      </c>
      <c r="Q3933">
        <v>0.1563746</v>
      </c>
      <c r="R3933">
        <v>-0.98365219999999998</v>
      </c>
      <c r="S3933">
        <v>-0.53599549999999996</v>
      </c>
      <c r="T3933">
        <v>-0.22396869999999999</v>
      </c>
      <c r="U3933">
        <v>-3.0379489999999998</v>
      </c>
      <c r="V3933">
        <v>7.5658320000000001E-2</v>
      </c>
      <c r="W3933">
        <v>0.16638339999999999</v>
      </c>
      <c r="X3933">
        <v>0.98315430000000004</v>
      </c>
      <c r="Y3933">
        <v>0.15963769999999999</v>
      </c>
      <c r="Z3933">
        <v>6.2334399999999998E-2</v>
      </c>
      <c r="AA3933">
        <v>0.98520569999999996</v>
      </c>
      <c r="AB3933">
        <v>30</v>
      </c>
      <c r="AC3933">
        <v>-2.67690000000001</v>
      </c>
      <c r="AD3933">
        <v>-1.120343869387</v>
      </c>
      <c r="AE3933">
        <v>-14.894799999999901</v>
      </c>
      <c r="AF3933">
        <v>2.4561106421383401</v>
      </c>
      <c r="AG3933">
        <v>-1.120343869387</v>
      </c>
      <c r="AH3933">
        <v>14.8491928350062</v>
      </c>
      <c r="AI3933">
        <v>94.257061732653199</v>
      </c>
      <c r="AJ3933">
        <v>80.608102076313301</v>
      </c>
      <c r="AK3933">
        <v>15.0925868466376</v>
      </c>
      <c r="AL3933">
        <v>80.422391557064898</v>
      </c>
      <c r="AM3933">
        <v>85.599494841174206</v>
      </c>
      <c r="AN3933">
        <v>0.99999999739463596</v>
      </c>
    </row>
    <row r="3934" spans="1:40" x14ac:dyDescent="0.25">
      <c r="A3934" t="str">
        <f>"20190303162337017"</f>
        <v>20190303162337017</v>
      </c>
      <c r="B3934" t="str">
        <f>"1551601417009171"</f>
        <v>1551601417009171</v>
      </c>
      <c r="C3934" t="s">
        <v>40</v>
      </c>
      <c r="D3934">
        <v>5.2687350000000004</v>
      </c>
      <c r="E3934">
        <v>0.54231240000000003</v>
      </c>
      <c r="F3934" t="s">
        <v>41</v>
      </c>
      <c r="G3934">
        <v>-194.14930000000001</v>
      </c>
      <c r="H3934" s="1">
        <v>-2.776583E-6</v>
      </c>
      <c r="I3934">
        <v>163.12989999999999</v>
      </c>
      <c r="J3934">
        <v>-191.31479999999999</v>
      </c>
      <c r="K3934">
        <v>1.120363</v>
      </c>
      <c r="L3934">
        <v>178.0155</v>
      </c>
      <c r="M3934">
        <v>-1.3927989999999999E-2</v>
      </c>
      <c r="N3934">
        <v>-1.019026E-2</v>
      </c>
      <c r="O3934">
        <v>-0.99985100000000005</v>
      </c>
      <c r="P3934">
        <v>-9.3945989999999993E-2</v>
      </c>
      <c r="Q3934">
        <v>0.15497429999999901</v>
      </c>
      <c r="R3934">
        <v>-0.98344140000000002</v>
      </c>
      <c r="S3934">
        <v>-0.567276</v>
      </c>
      <c r="T3934">
        <v>-0.223884</v>
      </c>
      <c r="U3934">
        <v>-3.0339510000000001</v>
      </c>
      <c r="V3934">
        <v>8.0261070000000004E-2</v>
      </c>
      <c r="W3934">
        <v>0.1649891</v>
      </c>
      <c r="X3934">
        <v>0.98302429999999996</v>
      </c>
      <c r="Y3934">
        <v>0.1696542</v>
      </c>
      <c r="Z3934">
        <v>6.2271E-2</v>
      </c>
      <c r="AA3934">
        <v>0.98353429999999997</v>
      </c>
      <c r="AB3934">
        <v>31</v>
      </c>
      <c r="AC3934">
        <v>-2.8345000000000198</v>
      </c>
      <c r="AD3934">
        <v>-1.120365776583</v>
      </c>
      <c r="AE3934">
        <v>-14.8856</v>
      </c>
      <c r="AF3934">
        <v>2.6126056487804301</v>
      </c>
      <c r="AG3934">
        <v>-1.120365776583</v>
      </c>
      <c r="AH3934">
        <v>14.8424986699793</v>
      </c>
      <c r="AI3934">
        <v>94.251590247536299</v>
      </c>
      <c r="AJ3934">
        <v>80.016950523689999</v>
      </c>
      <c r="AK3934">
        <v>15.1122696679789</v>
      </c>
      <c r="AL3934">
        <v>80.503398814678604</v>
      </c>
      <c r="AM3934">
        <v>85.332320131896694</v>
      </c>
      <c r="AN3934">
        <v>1.00000000843342</v>
      </c>
    </row>
    <row r="3935" spans="1:40" x14ac:dyDescent="0.25">
      <c r="A3935" t="str">
        <f>"20190303162337040"</f>
        <v>20190303162337040</v>
      </c>
      <c r="B3935" t="str">
        <f>"1551601417028691"</f>
        <v>1551601417028691</v>
      </c>
      <c r="C3935" t="s">
        <v>40</v>
      </c>
      <c r="D3935">
        <v>5.2815760000000003</v>
      </c>
      <c r="E3935">
        <v>0.54384030000000005</v>
      </c>
      <c r="F3935" t="s">
        <v>41</v>
      </c>
      <c r="G3935">
        <v>-194.22470000000001</v>
      </c>
      <c r="H3935" s="1">
        <v>-2.8404770000000002E-6</v>
      </c>
      <c r="I3935">
        <v>163.2226</v>
      </c>
      <c r="J3935">
        <v>-191.3192</v>
      </c>
      <c r="K3935">
        <v>1.1203780000000001</v>
      </c>
      <c r="L3935">
        <v>177.70359999999999</v>
      </c>
      <c r="M3935">
        <v>-1.391032E-2</v>
      </c>
      <c r="N3935">
        <v>-1.0193799999999999E-2</v>
      </c>
      <c r="O3935">
        <v>-0.9998515</v>
      </c>
      <c r="P3935">
        <v>-9.7963030000000006E-2</v>
      </c>
      <c r="Q3935">
        <v>0.15316830000000001</v>
      </c>
      <c r="R3935">
        <v>-0.98333280000000001</v>
      </c>
      <c r="S3935">
        <v>-0.5959778</v>
      </c>
      <c r="T3935">
        <v>-0.22946240000000001</v>
      </c>
      <c r="U3935">
        <v>-3.0297390000000002</v>
      </c>
      <c r="V3935">
        <v>8.428389E-2</v>
      </c>
      <c r="W3935">
        <v>0.16319229999999901</v>
      </c>
      <c r="X3935">
        <v>0.98298750000000001</v>
      </c>
      <c r="Y3935">
        <v>0.1788701</v>
      </c>
      <c r="Z3935">
        <v>6.4038570000000003E-2</v>
      </c>
      <c r="AA3935">
        <v>0.98178639999999995</v>
      </c>
      <c r="AB3935">
        <v>31</v>
      </c>
      <c r="AC3935">
        <v>-2.9055000000000102</v>
      </c>
      <c r="AD3935">
        <v>-1.1203808404769999</v>
      </c>
      <c r="AE3935">
        <v>-14.4809999999999</v>
      </c>
      <c r="AF3935">
        <v>2.6883037467463602</v>
      </c>
      <c r="AG3935">
        <v>-1.1203808404769999</v>
      </c>
      <c r="AH3935">
        <v>14.436942614359699</v>
      </c>
      <c r="AI3935">
        <v>94.362854712804605</v>
      </c>
      <c r="AJ3935">
        <v>79.451760184973196</v>
      </c>
      <c r="AK3935">
        <v>14.7277813099188</v>
      </c>
      <c r="AL3935">
        <v>80.607762078684203</v>
      </c>
      <c r="AM3935">
        <v>85.0992979040319</v>
      </c>
      <c r="AN3935">
        <v>0.99999996302453498</v>
      </c>
    </row>
    <row r="3936" spans="1:40" x14ac:dyDescent="0.25">
      <c r="A3936" t="str">
        <f>"20190303162337064"</f>
        <v>20190303162337064</v>
      </c>
      <c r="B3936" t="str">
        <f>"1551601417058947"</f>
        <v>1551601417058947</v>
      </c>
      <c r="C3936" t="s">
        <v>40</v>
      </c>
      <c r="D3936">
        <v>5.2983449999999896</v>
      </c>
      <c r="E3936">
        <v>0.54475490000000004</v>
      </c>
      <c r="F3936" t="s">
        <v>41</v>
      </c>
      <c r="G3936">
        <v>-194.28270000000001</v>
      </c>
      <c r="H3936" s="1">
        <v>-2.8692180000000001E-6</v>
      </c>
      <c r="I3936">
        <v>163.2508</v>
      </c>
      <c r="J3936">
        <v>-191.3237</v>
      </c>
      <c r="K3936">
        <v>1.1204080000000001</v>
      </c>
      <c r="L3936">
        <v>177.37530000000001</v>
      </c>
      <c r="M3936">
        <v>-1.3832809999999999E-2</v>
      </c>
      <c r="N3936">
        <v>-1.0197629999999999E-2</v>
      </c>
      <c r="O3936">
        <v>-0.99985270000000004</v>
      </c>
      <c r="P3936">
        <v>-0.10187789999999999</v>
      </c>
      <c r="Q3936">
        <v>0.15178320000000001</v>
      </c>
      <c r="R3936">
        <v>-0.98314990000000002</v>
      </c>
      <c r="S3936">
        <v>-0.62039180000000005</v>
      </c>
      <c r="T3936">
        <v>-0.2345421</v>
      </c>
      <c r="U3936">
        <v>-3.0255740000000002</v>
      </c>
      <c r="V3936">
        <v>8.8261839999999994E-2</v>
      </c>
      <c r="W3936">
        <v>0.1618175</v>
      </c>
      <c r="X3936">
        <v>0.98286569999999995</v>
      </c>
      <c r="Y3936">
        <v>0.1867848</v>
      </c>
      <c r="Z3936">
        <v>6.5655720000000001E-2</v>
      </c>
      <c r="AA3936">
        <v>0.98020450000000003</v>
      </c>
      <c r="AB3936">
        <v>31</v>
      </c>
      <c r="AC3936">
        <v>-2.9590000000000001</v>
      </c>
      <c r="AD3936">
        <v>-1.1204108692179999</v>
      </c>
      <c r="AE3936">
        <v>-14.124499999999999</v>
      </c>
      <c r="AF3936">
        <v>2.7467684385539899</v>
      </c>
      <c r="AG3936">
        <v>-1.1204108692179999</v>
      </c>
      <c r="AH3936">
        <v>14.079215977113799</v>
      </c>
      <c r="AI3936">
        <v>94.466106541449193</v>
      </c>
      <c r="AJ3936">
        <v>78.960610902156205</v>
      </c>
      <c r="AK3936">
        <v>14.3883418051253</v>
      </c>
      <c r="AL3936">
        <v>80.687594001101402</v>
      </c>
      <c r="AM3936">
        <v>84.868573805229403</v>
      </c>
      <c r="AN3936">
        <v>1.00000001997146</v>
      </c>
    </row>
    <row r="3937" spans="1:40" x14ac:dyDescent="0.25">
      <c r="A3937" t="str">
        <f>"20190303162337086"</f>
        <v>20190303162337086</v>
      </c>
      <c r="B3937" t="str">
        <f>"1551601417078467"</f>
        <v>1551601417078467</v>
      </c>
      <c r="C3937" t="s">
        <v>40</v>
      </c>
      <c r="D3937">
        <v>5.2974319999999997</v>
      </c>
      <c r="E3937">
        <v>0.54502930000000005</v>
      </c>
      <c r="F3937" t="s">
        <v>41</v>
      </c>
      <c r="G3937">
        <v>-194.34870000000001</v>
      </c>
      <c r="H3937" s="1">
        <v>-2.804026E-6</v>
      </c>
      <c r="I3937">
        <v>163.07570000000001</v>
      </c>
      <c r="J3937">
        <v>-191.32769999999999</v>
      </c>
      <c r="K3937">
        <v>1.1204419999999999</v>
      </c>
      <c r="L3937">
        <v>177.07730000000001</v>
      </c>
      <c r="M3937">
        <v>-1.371463E-2</v>
      </c>
      <c r="N3937">
        <v>-1.0201129999999999E-2</v>
      </c>
      <c r="O3937">
        <v>-0.99985409999999997</v>
      </c>
      <c r="P3937">
        <v>-0.1061835</v>
      </c>
      <c r="Q3937">
        <v>0.15092749999999999</v>
      </c>
      <c r="R3937">
        <v>-0.98282590000000003</v>
      </c>
      <c r="S3937">
        <v>-0.63923649999999999</v>
      </c>
      <c r="T3937">
        <v>-0.23676169999999999</v>
      </c>
      <c r="U3937">
        <v>-3.021744</v>
      </c>
      <c r="V3937">
        <v>9.2673149999999996E-2</v>
      </c>
      <c r="W3937">
        <v>0.16097139999999999</v>
      </c>
      <c r="X3937">
        <v>0.98259850000000004</v>
      </c>
      <c r="Y3937">
        <v>0.19298670000000001</v>
      </c>
      <c r="Z3937">
        <v>6.6366690000000006E-2</v>
      </c>
      <c r="AA3937">
        <v>0.97895430000000005</v>
      </c>
      <c r="AB3937">
        <v>31</v>
      </c>
      <c r="AC3937">
        <v>-3.0210000000000101</v>
      </c>
      <c r="AD3937">
        <v>-1.120444804026</v>
      </c>
      <c r="AE3937">
        <v>-14.0015999999999</v>
      </c>
      <c r="AF3937">
        <v>2.8114763365026798</v>
      </c>
      <c r="AG3937">
        <v>-1.120444804026</v>
      </c>
      <c r="AH3937">
        <v>13.9563214759093</v>
      </c>
      <c r="AI3937">
        <v>94.499972381746701</v>
      </c>
      <c r="AJ3937">
        <v>78.610303459238906</v>
      </c>
      <c r="AK3937">
        <v>14.280710937782899</v>
      </c>
      <c r="AL3937">
        <v>80.736715373985504</v>
      </c>
      <c r="AM3937">
        <v>84.6121228404146</v>
      </c>
      <c r="AN3937">
        <v>0.99999995827556498</v>
      </c>
    </row>
    <row r="3938" spans="1:40" x14ac:dyDescent="0.25">
      <c r="A3938" t="str">
        <f>"20190303162337106"</f>
        <v>20190303162337106</v>
      </c>
      <c r="B3938" t="str">
        <f>"1551601417098964"</f>
        <v>1551601417098964</v>
      </c>
      <c r="C3938" t="s">
        <v>40</v>
      </c>
      <c r="D3938">
        <v>5.317183</v>
      </c>
      <c r="E3938">
        <v>0.54501160000000004</v>
      </c>
      <c r="F3938" t="s">
        <v>41</v>
      </c>
      <c r="G3938">
        <v>-194.411</v>
      </c>
      <c r="H3938" s="1">
        <v>-2.718642E-6</v>
      </c>
      <c r="I3938">
        <v>162.86000000000001</v>
      </c>
      <c r="J3938">
        <v>-191.33160000000001</v>
      </c>
      <c r="K3938">
        <v>1.1204700000000001</v>
      </c>
      <c r="L3938">
        <v>176.78880000000001</v>
      </c>
      <c r="M3938">
        <v>-1.356946E-2</v>
      </c>
      <c r="N3938">
        <v>-1.020447E-2</v>
      </c>
      <c r="O3938">
        <v>-0.99985610000000003</v>
      </c>
      <c r="P3938">
        <v>-0.1097602</v>
      </c>
      <c r="Q3938">
        <v>0.1506063</v>
      </c>
      <c r="R3938">
        <v>-0.98248230000000003</v>
      </c>
      <c r="S3938">
        <v>-0.65455629999999998</v>
      </c>
      <c r="T3938">
        <v>-0.23786450000000001</v>
      </c>
      <c r="U3938">
        <v>-3.0182500000000001</v>
      </c>
      <c r="V3938">
        <v>9.6384869999999997E-2</v>
      </c>
      <c r="W3938">
        <v>0.160658</v>
      </c>
      <c r="X3938">
        <v>0.98229270000000002</v>
      </c>
      <c r="Y3938">
        <v>0.19809889999999999</v>
      </c>
      <c r="Z3938">
        <v>6.6725160000000006E-2</v>
      </c>
      <c r="AA3938">
        <v>0.97790829999999995</v>
      </c>
      <c r="AB3938">
        <v>31</v>
      </c>
      <c r="AC3938">
        <v>-3.0793999999999602</v>
      </c>
      <c r="AD3938">
        <v>-1.120472718642</v>
      </c>
      <c r="AE3938">
        <v>-13.928799999999899</v>
      </c>
      <c r="AF3938">
        <v>2.8723791928984599</v>
      </c>
      <c r="AG3938">
        <v>-1.120472718642</v>
      </c>
      <c r="AH3938">
        <v>13.883650109467601</v>
      </c>
      <c r="AI3938">
        <v>94.518739831412901</v>
      </c>
      <c r="AJ3938">
        <v>78.311027124489698</v>
      </c>
      <c r="AK3938">
        <v>14.2218761667769</v>
      </c>
      <c r="AL3938">
        <v>80.754908982129294</v>
      </c>
      <c r="AM3938">
        <v>84.395942694150094</v>
      </c>
      <c r="AN3938">
        <v>0.99999999230110304</v>
      </c>
    </row>
    <row r="3939" spans="1:40" x14ac:dyDescent="0.25">
      <c r="A3939" t="str">
        <f>"20190303162337129"</f>
        <v>20190303162337129</v>
      </c>
      <c r="B3939" t="str">
        <f>"1551601417118483"</f>
        <v>1551601417118483</v>
      </c>
      <c r="C3939" t="s">
        <v>40</v>
      </c>
      <c r="D3939">
        <v>5.3528909999999996</v>
      </c>
      <c r="E3939">
        <v>0.5450815</v>
      </c>
      <c r="F3939" t="s">
        <v>41</v>
      </c>
      <c r="G3939">
        <v>-194.46700000000001</v>
      </c>
      <c r="H3939" s="1">
        <v>-2.5944609999999999E-6</v>
      </c>
      <c r="I3939">
        <v>162.5658</v>
      </c>
      <c r="J3939">
        <v>-191.3355</v>
      </c>
      <c r="K3939">
        <v>1.1204940000000001</v>
      </c>
      <c r="L3939">
        <v>176.48859999999999</v>
      </c>
      <c r="M3939">
        <v>-1.339417E-2</v>
      </c>
      <c r="N3939">
        <v>-1.0207839999999999E-2</v>
      </c>
      <c r="O3939">
        <v>-0.99985840000000004</v>
      </c>
      <c r="P3939">
        <v>-0.11292430000000001</v>
      </c>
      <c r="Q3939">
        <v>0.14992559999999999</v>
      </c>
      <c r="R3939">
        <v>-0.98222770000000004</v>
      </c>
      <c r="S3939">
        <v>-0.66479489999999997</v>
      </c>
      <c r="T3939">
        <v>-0.23756740000000001</v>
      </c>
      <c r="U3939">
        <v>-3.015625</v>
      </c>
      <c r="V3939">
        <v>9.9715150000000002E-2</v>
      </c>
      <c r="W3939">
        <v>0.15998490000000001</v>
      </c>
      <c r="X3939">
        <v>0.98207009999999995</v>
      </c>
      <c r="Y3939">
        <v>0.20161409999999999</v>
      </c>
      <c r="Z3939">
        <v>6.6636349999999997E-2</v>
      </c>
      <c r="AA3939">
        <v>0.9771957</v>
      </c>
      <c r="AB3939">
        <v>31</v>
      </c>
      <c r="AC3939">
        <v>-3.1315000000000102</v>
      </c>
      <c r="AD3939">
        <v>-1.1204965944609999</v>
      </c>
      <c r="AE3939">
        <v>-13.922799999999899</v>
      </c>
      <c r="AF3939">
        <v>2.92668194420088</v>
      </c>
      <c r="AG3939">
        <v>-1.1204965944609999</v>
      </c>
      <c r="AH3939">
        <v>13.877939006148599</v>
      </c>
      <c r="AI3939">
        <v>94.517086495404399</v>
      </c>
      <c r="AJ3939">
        <v>78.091534928222202</v>
      </c>
      <c r="AK3939">
        <v>14.227373998004399</v>
      </c>
      <c r="AL3939">
        <v>80.793980052672694</v>
      </c>
      <c r="AM3939">
        <v>84.202303671424204</v>
      </c>
      <c r="AN3939">
        <v>0.99999998034077098</v>
      </c>
    </row>
    <row r="3940" spans="1:40" x14ac:dyDescent="0.25">
      <c r="A3940" t="str">
        <f>"20190303162337151"</f>
        <v>20190303162337151</v>
      </c>
      <c r="B3940" t="str">
        <f>"1551601417138979"</f>
        <v>1551601417138979</v>
      </c>
      <c r="C3940" t="s">
        <v>40</v>
      </c>
      <c r="D3940">
        <v>5.3588630000000004</v>
      </c>
      <c r="E3940">
        <v>0.54503190000000001</v>
      </c>
      <c r="F3940" t="s">
        <v>41</v>
      </c>
      <c r="G3940">
        <v>-194.52809999999999</v>
      </c>
      <c r="H3940" s="1">
        <v>-2.461015E-6</v>
      </c>
      <c r="I3940">
        <v>162.2491</v>
      </c>
      <c r="J3940">
        <v>-191.33949999999999</v>
      </c>
      <c r="K3940">
        <v>1.1205069999999999</v>
      </c>
      <c r="L3940">
        <v>176.1773</v>
      </c>
      <c r="M3940">
        <v>-1.3194289999999999E-2</v>
      </c>
      <c r="N3940">
        <v>-1.0211349999999999E-2</v>
      </c>
      <c r="O3940">
        <v>-0.99986079999999999</v>
      </c>
      <c r="P3940">
        <v>-0.1155735</v>
      </c>
      <c r="Q3940">
        <v>0.15081020000000001</v>
      </c>
      <c r="R3940">
        <v>-0.98178379999999998</v>
      </c>
      <c r="S3940">
        <v>-0.67549130000000002</v>
      </c>
      <c r="T3940">
        <v>-0.23707529999999999</v>
      </c>
      <c r="U3940">
        <v>-3.0128170000000001</v>
      </c>
      <c r="V3940">
        <v>0.1025601</v>
      </c>
      <c r="W3940">
        <v>0.1608735</v>
      </c>
      <c r="X3940">
        <v>0.9816319</v>
      </c>
      <c r="Y3940">
        <v>0.2053063</v>
      </c>
      <c r="Z3940">
        <v>6.6485550000000004E-2</v>
      </c>
      <c r="AA3940">
        <v>0.97643690000000005</v>
      </c>
      <c r="AB3940">
        <v>31</v>
      </c>
      <c r="AC3940">
        <v>-3.1886000000000001</v>
      </c>
      <c r="AD3940">
        <v>-1.1205094610149999</v>
      </c>
      <c r="AE3940">
        <v>-13.9282</v>
      </c>
      <c r="AF3940">
        <v>2.9861759282805802</v>
      </c>
      <c r="AG3940">
        <v>-1.1205094610149999</v>
      </c>
      <c r="AH3940">
        <v>13.8836800190814</v>
      </c>
      <c r="AI3940">
        <v>94.511433645986301</v>
      </c>
      <c r="AJ3940">
        <v>77.861446756228204</v>
      </c>
      <c r="AK3940">
        <v>14.245327619928799</v>
      </c>
      <c r="AL3940">
        <v>80.742399297658196</v>
      </c>
      <c r="AM3940">
        <v>84.035423793198206</v>
      </c>
      <c r="AN3940">
        <v>1.00000002210593</v>
      </c>
    </row>
    <row r="3941" spans="1:40" x14ac:dyDescent="0.25">
      <c r="A3941" t="str">
        <f>"20190303162337174"</f>
        <v>20190303162337174</v>
      </c>
      <c r="B3941" t="str">
        <f>"1551601417168259"</f>
        <v>1551601417168259</v>
      </c>
      <c r="C3941" t="s">
        <v>40</v>
      </c>
      <c r="D3941">
        <v>5.404433</v>
      </c>
      <c r="E3941">
        <v>0.54491140000000005</v>
      </c>
      <c r="F3941" t="s">
        <v>41</v>
      </c>
      <c r="G3941">
        <v>-194.63640000000001</v>
      </c>
      <c r="H3941" s="1">
        <v>-2.2140910000000001E-6</v>
      </c>
      <c r="I3941">
        <v>161.66579999999999</v>
      </c>
      <c r="J3941">
        <v>-191.3434</v>
      </c>
      <c r="K3941">
        <v>1.120514</v>
      </c>
      <c r="L3941">
        <v>175.86799999999999</v>
      </c>
      <c r="M3941">
        <v>-1.298552E-2</v>
      </c>
      <c r="N3941">
        <v>-1.021481E-2</v>
      </c>
      <c r="O3941">
        <v>-0.99986370000000002</v>
      </c>
      <c r="P3941">
        <v>-0.11853519999999899</v>
      </c>
      <c r="Q3941">
        <v>0.1510379</v>
      </c>
      <c r="R3941">
        <v>-0.98139580000000004</v>
      </c>
      <c r="S3941">
        <v>-0.68403630000000004</v>
      </c>
      <c r="T3941">
        <v>-0.23248260000000001</v>
      </c>
      <c r="U3941">
        <v>-3.0108489999999999</v>
      </c>
      <c r="V3941">
        <v>0.10572810000000001</v>
      </c>
      <c r="W3941">
        <v>0.1611041</v>
      </c>
      <c r="X3941">
        <v>0.98125790000000002</v>
      </c>
      <c r="Y3941">
        <v>0.2083045</v>
      </c>
      <c r="Z3941">
        <v>6.5005439999999998E-2</v>
      </c>
      <c r="AA3941">
        <v>0.97590140000000003</v>
      </c>
      <c r="AB3941">
        <v>31</v>
      </c>
      <c r="AC3941">
        <v>-3.2930000000000001</v>
      </c>
      <c r="AD3941">
        <v>-1.1205162140909899</v>
      </c>
      <c r="AE3941">
        <v>-14.202199999999999</v>
      </c>
      <c r="AF3941">
        <v>3.0900362772646401</v>
      </c>
      <c r="AG3941">
        <v>-1.1205162140909899</v>
      </c>
      <c r="AH3941">
        <v>14.160119103640501</v>
      </c>
      <c r="AI3941">
        <v>94.420881096341304</v>
      </c>
      <c r="AJ3941">
        <v>77.689837680468202</v>
      </c>
      <c r="AK3941">
        <v>14.536603929740201</v>
      </c>
      <c r="AL3941">
        <v>80.729012200381007</v>
      </c>
      <c r="AM3941">
        <v>83.850247494691999</v>
      </c>
      <c r="AN3941">
        <v>1.0000000142394101</v>
      </c>
    </row>
    <row r="3942" spans="1:40" x14ac:dyDescent="0.25">
      <c r="A3942" t="str">
        <f>"20190303162337196"</f>
        <v>20190303162337196</v>
      </c>
      <c r="B3942" t="str">
        <f>"1551601417188755"</f>
        <v>1551601417188755</v>
      </c>
      <c r="C3942" t="s">
        <v>40</v>
      </c>
      <c r="D3942">
        <v>5.4189970000000001</v>
      </c>
      <c r="E3942">
        <v>0.54461440000000005</v>
      </c>
      <c r="F3942" t="s">
        <v>41</v>
      </c>
      <c r="G3942">
        <v>-194.71700000000001</v>
      </c>
      <c r="H3942" s="1">
        <v>-2.0109199999999998E-6</v>
      </c>
      <c r="I3942">
        <v>161.19059999999999</v>
      </c>
      <c r="J3942">
        <v>-191.34719999999999</v>
      </c>
      <c r="K3942">
        <v>1.120519</v>
      </c>
      <c r="L3942">
        <v>175.55959999999999</v>
      </c>
      <c r="M3942">
        <v>-1.277416E-2</v>
      </c>
      <c r="N3942">
        <v>-1.021827E-2</v>
      </c>
      <c r="O3942">
        <v>-0.99986629999999999</v>
      </c>
      <c r="P3942">
        <v>-0.12085029999999999</v>
      </c>
      <c r="Q3942">
        <v>0.151549499999999</v>
      </c>
      <c r="R3942">
        <v>-0.98103430000000003</v>
      </c>
      <c r="S3942">
        <v>-0.69154359999999904</v>
      </c>
      <c r="T3942">
        <v>-0.22969210000000001</v>
      </c>
      <c r="U3942">
        <v>-3.0086979999999999</v>
      </c>
      <c r="V3942">
        <v>0.108253</v>
      </c>
      <c r="W3942">
        <v>0.16161800000000001</v>
      </c>
      <c r="X3942">
        <v>0.98089800000000005</v>
      </c>
      <c r="Y3942">
        <v>0.21098800000000001</v>
      </c>
      <c r="Z3942">
        <v>6.4113920000000005E-2</v>
      </c>
      <c r="AA3942">
        <v>0.97538380000000002</v>
      </c>
      <c r="AB3942">
        <v>31</v>
      </c>
      <c r="AC3942">
        <v>-3.3698000000000201</v>
      </c>
      <c r="AD3942">
        <v>-1.1205210109199999</v>
      </c>
      <c r="AE3942">
        <v>-14.369</v>
      </c>
      <c r="AF3942">
        <v>3.1677044446034501</v>
      </c>
      <c r="AG3942">
        <v>-1.1205210109199999</v>
      </c>
      <c r="AH3942">
        <v>14.3282857684174</v>
      </c>
      <c r="AI3942">
        <v>94.366608337649296</v>
      </c>
      <c r="AJ3942">
        <v>77.533545335837204</v>
      </c>
      <c r="AK3942">
        <v>14.716986506948601</v>
      </c>
      <c r="AL3942">
        <v>80.699176676551502</v>
      </c>
      <c r="AM3942">
        <v>83.702259134315696</v>
      </c>
      <c r="AN3942">
        <v>0.9999999881685</v>
      </c>
    </row>
    <row r="3943" spans="1:40" x14ac:dyDescent="0.25">
      <c r="A3943" t="str">
        <f>"20190303162337218"</f>
        <v>20190303162337218</v>
      </c>
      <c r="B3943" t="str">
        <f>"1551601417208275"</f>
        <v>1551601417208275</v>
      </c>
      <c r="C3943" t="s">
        <v>40</v>
      </c>
      <c r="D3943">
        <v>5.4207640000000001</v>
      </c>
      <c r="E3943">
        <v>0.54441909999999905</v>
      </c>
      <c r="F3943" t="s">
        <v>41</v>
      </c>
      <c r="G3943">
        <v>-194.77950000000001</v>
      </c>
      <c r="H3943" s="1">
        <v>-1.8019029999999999E-6</v>
      </c>
      <c r="I3943">
        <v>160.7132</v>
      </c>
      <c r="J3943">
        <v>-191.35079999999999</v>
      </c>
      <c r="K3943">
        <v>1.120528</v>
      </c>
      <c r="L3943">
        <v>175.2662</v>
      </c>
      <c r="M3943">
        <v>-1.25746E-2</v>
      </c>
      <c r="N3943">
        <v>-1.0221579999999999E-2</v>
      </c>
      <c r="O3943">
        <v>-0.99986889999999995</v>
      </c>
      <c r="P3943">
        <v>-0.1234215</v>
      </c>
      <c r="Q3943">
        <v>0.15141559999999901</v>
      </c>
      <c r="R3943">
        <v>-0.98073520000000003</v>
      </c>
      <c r="S3943">
        <v>-0.69528199999999996</v>
      </c>
      <c r="T3943">
        <v>-0.22698309999999999</v>
      </c>
      <c r="U3943">
        <v>-3.0074160000000001</v>
      </c>
      <c r="V3943">
        <v>0.1110226</v>
      </c>
      <c r="W3943">
        <v>0.16148579999999901</v>
      </c>
      <c r="X3943">
        <v>0.98061019999999999</v>
      </c>
      <c r="Y3943">
        <v>0.2124376</v>
      </c>
      <c r="Z3943">
        <v>6.3247399999999995E-2</v>
      </c>
      <c r="AA3943">
        <v>0.97512569999999998</v>
      </c>
      <c r="AB3943">
        <v>31</v>
      </c>
      <c r="AC3943">
        <v>-3.4287000000000201</v>
      </c>
      <c r="AD3943">
        <v>-1.1205298019029999</v>
      </c>
      <c r="AE3943">
        <v>-14.5529999999999</v>
      </c>
      <c r="AF3943">
        <v>3.2272945036763998</v>
      </c>
      <c r="AG3943">
        <v>-1.1205298019029999</v>
      </c>
      <c r="AH3943">
        <v>14.5134485285081</v>
      </c>
      <c r="AI3943">
        <v>94.309977709733701</v>
      </c>
      <c r="AJ3943">
        <v>77.463353588545303</v>
      </c>
      <c r="AK3943">
        <v>14.9101041257286</v>
      </c>
      <c r="AL3943">
        <v>80.706852325034902</v>
      </c>
      <c r="AM3943">
        <v>83.540599544432894</v>
      </c>
      <c r="AN3943">
        <v>1.00000002282821</v>
      </c>
    </row>
    <row r="3944" spans="1:40" x14ac:dyDescent="0.25">
      <c r="A3944" t="str">
        <f>"20190303162337241"</f>
        <v>20190303162337241</v>
      </c>
      <c r="B3944" t="str">
        <f>"1551601417228771"</f>
        <v>1551601417228771</v>
      </c>
      <c r="C3944" t="s">
        <v>40</v>
      </c>
      <c r="D3944">
        <v>5.4685600000000001</v>
      </c>
      <c r="E3944">
        <v>0.54422789999999999</v>
      </c>
      <c r="F3944" t="s">
        <v>41</v>
      </c>
      <c r="G3944">
        <v>-194.81549999999999</v>
      </c>
      <c r="H3944" s="1">
        <v>-1.6647140000000001E-6</v>
      </c>
      <c r="I3944">
        <v>160.40280000000001</v>
      </c>
      <c r="J3944">
        <v>-191.35470000000001</v>
      </c>
      <c r="K3944">
        <v>1.1205309999999999</v>
      </c>
      <c r="L3944">
        <v>174.9443</v>
      </c>
      <c r="M3944">
        <v>-1.235928E-2</v>
      </c>
      <c r="N3944">
        <v>-1.022518E-2</v>
      </c>
      <c r="O3944">
        <v>-0.99987159999999997</v>
      </c>
      <c r="P3944">
        <v>-0.12618740000000001</v>
      </c>
      <c r="Q3944">
        <v>0.1518166</v>
      </c>
      <c r="R3944">
        <v>-0.980321</v>
      </c>
      <c r="S3944">
        <v>-0.70063779999999998</v>
      </c>
      <c r="T3944">
        <v>-0.22659950000000001</v>
      </c>
      <c r="U3944">
        <v>-3.0057529999999999</v>
      </c>
      <c r="V3944">
        <v>0.1140036</v>
      </c>
      <c r="W3944">
        <v>0.16188810000000001</v>
      </c>
      <c r="X3944">
        <v>0.98020169999999995</v>
      </c>
      <c r="Y3944">
        <v>0.21441550000000001</v>
      </c>
      <c r="Z3944">
        <v>6.3129260000000006E-2</v>
      </c>
      <c r="AA3944">
        <v>0.97470029999999996</v>
      </c>
      <c r="AB3944">
        <v>31</v>
      </c>
      <c r="AC3944">
        <v>-3.4607999999999701</v>
      </c>
      <c r="AD3944">
        <v>-1.1205326647139999</v>
      </c>
      <c r="AE3944">
        <v>-14.5414999999999</v>
      </c>
      <c r="AF3944">
        <v>3.2624701468479902</v>
      </c>
      <c r="AG3944">
        <v>-1.1205326647139999</v>
      </c>
      <c r="AH3944">
        <v>14.501671307412799</v>
      </c>
      <c r="AI3944">
        <v>94.311090781822898</v>
      </c>
      <c r="AJ3944">
        <v>77.321142933745705</v>
      </c>
      <c r="AK3944">
        <v>14.9062998634808</v>
      </c>
      <c r="AL3944">
        <v>80.683494451023094</v>
      </c>
      <c r="AM3944">
        <v>83.365947927829296</v>
      </c>
      <c r="AN3944">
        <v>0.99999997520872896</v>
      </c>
    </row>
    <row r="3945" spans="1:40" x14ac:dyDescent="0.25">
      <c r="A3945" t="str">
        <f>"20190303162337266"</f>
        <v>20190303162337266</v>
      </c>
      <c r="B3945" t="str">
        <f>"1551601417259027"</f>
        <v>1551601417259027</v>
      </c>
      <c r="C3945" t="s">
        <v>40</v>
      </c>
      <c r="D3945">
        <v>5.5005670000000002</v>
      </c>
      <c r="E3945">
        <v>0.54389290000000001</v>
      </c>
      <c r="F3945" t="s">
        <v>41</v>
      </c>
      <c r="G3945">
        <v>-194.85120000000001</v>
      </c>
      <c r="H3945" s="1">
        <v>-1.5134410000000001E-6</v>
      </c>
      <c r="I3945">
        <v>160.0626</v>
      </c>
      <c r="J3945">
        <v>-191.3587</v>
      </c>
      <c r="K3945">
        <v>1.1205320000000001</v>
      </c>
      <c r="L3945">
        <v>174.60659999999999</v>
      </c>
      <c r="M3945">
        <v>-1.2137800000000001E-2</v>
      </c>
      <c r="N3945">
        <v>-1.022897E-2</v>
      </c>
      <c r="O3945">
        <v>-0.99987389999999998</v>
      </c>
      <c r="P3945">
        <v>-0.1300394</v>
      </c>
      <c r="Q3945">
        <v>0.1520051</v>
      </c>
      <c r="R3945">
        <v>-0.97978799999999999</v>
      </c>
      <c r="S3945">
        <v>-0.70590209999999998</v>
      </c>
      <c r="T3945">
        <v>-0.22621939999999999</v>
      </c>
      <c r="U3945">
        <v>-3.0043950000000001</v>
      </c>
      <c r="V3945">
        <v>0.1180783</v>
      </c>
      <c r="W3945">
        <v>0.1620772</v>
      </c>
      <c r="X3945">
        <v>0.97968789999999994</v>
      </c>
      <c r="Y3945">
        <v>0.21634909999999999</v>
      </c>
      <c r="Z3945">
        <v>6.3005190000000003E-2</v>
      </c>
      <c r="AA3945">
        <v>0.97428099999999995</v>
      </c>
      <c r="AB3945">
        <v>31</v>
      </c>
      <c r="AC3945">
        <v>-3.4925000000000002</v>
      </c>
      <c r="AD3945">
        <v>-1.1205335134409999</v>
      </c>
      <c r="AE3945">
        <v>-14.543999999999899</v>
      </c>
      <c r="AF3945">
        <v>3.29719670214689</v>
      </c>
      <c r="AG3945">
        <v>-1.1205335134409999</v>
      </c>
      <c r="AH3945">
        <v>14.5039228614274</v>
      </c>
      <c r="AI3945">
        <v>94.308248083577197</v>
      </c>
      <c r="AJ3945">
        <v>77.192538843846094</v>
      </c>
      <c r="AK3945">
        <v>14.9161281778358</v>
      </c>
      <c r="AL3945">
        <v>80.672514510100697</v>
      </c>
      <c r="AM3945">
        <v>83.127493535811496</v>
      </c>
      <c r="AN3945">
        <v>0.99999994254856805</v>
      </c>
    </row>
    <row r="3946" spans="1:40" x14ac:dyDescent="0.25">
      <c r="A3946" t="str">
        <f>"20190303162337288"</f>
        <v>20190303162337288</v>
      </c>
      <c r="B3946" t="str">
        <f>"1551601417278548"</f>
        <v>1551601417278548</v>
      </c>
      <c r="C3946" t="s">
        <v>40</v>
      </c>
      <c r="D3946">
        <v>5.5216329999999996</v>
      </c>
      <c r="E3946">
        <v>0.54363479999999997</v>
      </c>
      <c r="F3946" t="s">
        <v>41</v>
      </c>
      <c r="G3946">
        <v>-194.8852</v>
      </c>
      <c r="H3946" s="1">
        <v>-1.38322999999999E-6</v>
      </c>
      <c r="I3946">
        <v>159.7681</v>
      </c>
      <c r="J3946">
        <v>-191.3623</v>
      </c>
      <c r="K3946">
        <v>1.1205270000000001</v>
      </c>
      <c r="L3946">
        <v>174.29580000000001</v>
      </c>
      <c r="M3946">
        <v>-1.1939409999999999E-2</v>
      </c>
      <c r="N3946">
        <v>-1.023247E-2</v>
      </c>
      <c r="O3946">
        <v>-0.9998766</v>
      </c>
      <c r="P3946">
        <v>-0.13394929999999999</v>
      </c>
      <c r="Q3946">
        <v>0.15196379999999901</v>
      </c>
      <c r="R3946">
        <v>-0.97926769999999996</v>
      </c>
      <c r="S3946">
        <v>-0.71354680000000004</v>
      </c>
      <c r="T3946">
        <v>-0.22672310000000001</v>
      </c>
      <c r="U3946">
        <v>-3.0023650000000002</v>
      </c>
      <c r="V3946">
        <v>0.1221887</v>
      </c>
      <c r="W3946">
        <v>0.16203629999999999</v>
      </c>
      <c r="X3946">
        <v>0.97919060000000002</v>
      </c>
      <c r="Y3946">
        <v>0.21903420000000001</v>
      </c>
      <c r="Z3946">
        <v>6.3168760000000004E-2</v>
      </c>
      <c r="AA3946">
        <v>0.97367020000000004</v>
      </c>
      <c r="AB3946">
        <v>31</v>
      </c>
      <c r="AC3946">
        <v>-3.5228999999999902</v>
      </c>
      <c r="AD3946">
        <v>-1.1205283832299999</v>
      </c>
      <c r="AE3946">
        <v>-14.527699999999999</v>
      </c>
      <c r="AF3946">
        <v>3.3304747006581601</v>
      </c>
      <c r="AG3946">
        <v>-1.1205283832299999</v>
      </c>
      <c r="AH3946">
        <v>14.487327879215099</v>
      </c>
      <c r="AI3946">
        <v>94.310758055204204</v>
      </c>
      <c r="AJ3946">
        <v>77.053285767541297</v>
      </c>
      <c r="AK3946">
        <v>14.907391276451801</v>
      </c>
      <c r="AL3946">
        <v>80.674890178384899</v>
      </c>
      <c r="AM3946">
        <v>82.887089944761001</v>
      </c>
      <c r="AN3946">
        <v>1.0000000360268599</v>
      </c>
    </row>
    <row r="3947" spans="1:40" x14ac:dyDescent="0.25">
      <c r="A3947" t="str">
        <f>"20190303162337308"</f>
        <v>20190303162337308</v>
      </c>
      <c r="B3947" t="str">
        <f>"1551601417299043"</f>
        <v>1551601417299043</v>
      </c>
      <c r="C3947" t="s">
        <v>40</v>
      </c>
      <c r="D3947">
        <v>5.4936360000000004</v>
      </c>
      <c r="E3947">
        <v>0.5434696</v>
      </c>
      <c r="F3947" t="s">
        <v>55</v>
      </c>
      <c r="G3947">
        <v>-194.9237</v>
      </c>
      <c r="H3947" s="1">
        <v>-1.495021E-5</v>
      </c>
      <c r="I3947">
        <v>159.50790000000001</v>
      </c>
      <c r="J3947">
        <v>-191.3656</v>
      </c>
      <c r="K3947">
        <v>1.120533</v>
      </c>
      <c r="L3947">
        <v>174.0086</v>
      </c>
      <c r="M3947">
        <v>-1.1761239999999999E-2</v>
      </c>
      <c r="N3947">
        <v>-1.023568E-2</v>
      </c>
      <c r="O3947">
        <v>-0.99987870000000001</v>
      </c>
      <c r="P3947">
        <v>-0.13712439999999901</v>
      </c>
      <c r="Q3947">
        <v>0.15170110000000001</v>
      </c>
      <c r="R3947">
        <v>-0.97886899999999999</v>
      </c>
      <c r="S3947">
        <v>-0.72250369999999997</v>
      </c>
      <c r="T3947">
        <v>-0.22732160000000001</v>
      </c>
      <c r="U3947">
        <v>-2.9999850000000001</v>
      </c>
      <c r="V3947">
        <v>0.12554390000000001</v>
      </c>
      <c r="W3947">
        <v>0.16177320000000001</v>
      </c>
      <c r="X3947">
        <v>0.9788095</v>
      </c>
      <c r="Y3947">
        <v>0.22212580000000001</v>
      </c>
      <c r="Z3947">
        <v>6.3363890000000006E-2</v>
      </c>
      <c r="AA3947">
        <v>0.97295690000000001</v>
      </c>
      <c r="AB3947">
        <v>31</v>
      </c>
      <c r="AC3947">
        <v>-3.5580999999999898</v>
      </c>
      <c r="AD3947">
        <v>-1.12054795021</v>
      </c>
      <c r="AE3947">
        <v>-14.500699999999901</v>
      </c>
      <c r="AF3947">
        <v>3.3683270868075801</v>
      </c>
      <c r="AG3947">
        <v>-1.12054795021</v>
      </c>
      <c r="AH3947">
        <v>14.460102060598199</v>
      </c>
      <c r="AI3947">
        <v>94.316036888622193</v>
      </c>
      <c r="AJ3947">
        <v>76.887386420716297</v>
      </c>
      <c r="AK3947">
        <v>14.889452866890601</v>
      </c>
      <c r="AL3947">
        <v>80.690165324850895</v>
      </c>
      <c r="AM3947">
        <v>82.691044118211906</v>
      </c>
      <c r="AN3947">
        <v>0.99999993817784805</v>
      </c>
    </row>
    <row r="3948" spans="1:40" x14ac:dyDescent="0.25">
      <c r="A3948" t="str">
        <f>"20190303162337331"</f>
        <v>20190303162337331</v>
      </c>
      <c r="B3948" t="str">
        <f>"1551601417318565"</f>
        <v>1551601417318565</v>
      </c>
      <c r="C3948" t="s">
        <v>40</v>
      </c>
      <c r="D3948">
        <v>5.5192509999999997</v>
      </c>
      <c r="E3948">
        <v>0.54329530000000004</v>
      </c>
      <c r="F3948" t="s">
        <v>55</v>
      </c>
      <c r="G3948">
        <v>-194.94990000000001</v>
      </c>
      <c r="H3948" s="1">
        <v>-1.48984299999999E-5</v>
      </c>
      <c r="I3948">
        <v>159.3021</v>
      </c>
      <c r="J3948">
        <v>-191.3691</v>
      </c>
      <c r="K3948">
        <v>1.1205259999999999</v>
      </c>
      <c r="L3948">
        <v>173.69640000000001</v>
      </c>
      <c r="M3948">
        <v>-1.158143E-2</v>
      </c>
      <c r="N3948">
        <v>-1.0239130000000001E-2</v>
      </c>
      <c r="O3948">
        <v>-0.99988060000000001</v>
      </c>
      <c r="P3948">
        <v>-0.1392698</v>
      </c>
      <c r="Q3948">
        <v>0.15127560000000001</v>
      </c>
      <c r="R3948">
        <v>-0.9786319</v>
      </c>
      <c r="S3948">
        <v>-0.73062130000000003</v>
      </c>
      <c r="T3948">
        <v>-0.2284129</v>
      </c>
      <c r="U3948">
        <v>-2.9977870000000002</v>
      </c>
      <c r="V3948">
        <v>0.12787109999999999</v>
      </c>
      <c r="W3948">
        <v>0.16134689999999999</v>
      </c>
      <c r="X3948">
        <v>0.97857859999999997</v>
      </c>
      <c r="Y3948">
        <v>0.22494400000000001</v>
      </c>
      <c r="Z3948">
        <v>6.3717129999999997E-2</v>
      </c>
      <c r="AA3948">
        <v>0.97228619999999999</v>
      </c>
      <c r="AB3948">
        <v>31</v>
      </c>
      <c r="AC3948">
        <v>-3.5808</v>
      </c>
      <c r="AD3948">
        <v>-1.1205408984299901</v>
      </c>
      <c r="AE3948">
        <v>-14.394299999999999</v>
      </c>
      <c r="AF3948">
        <v>3.3944727390298102</v>
      </c>
      <c r="AG3948">
        <v>-1.1205408984299901</v>
      </c>
      <c r="AH3948">
        <v>14.352897496119301</v>
      </c>
      <c r="AI3948">
        <v>94.344693294115004</v>
      </c>
      <c r="AJ3948">
        <v>76.693983052070195</v>
      </c>
      <c r="AK3948">
        <v>14.791339480086901</v>
      </c>
      <c r="AL3948">
        <v>80.714915854639997</v>
      </c>
      <c r="AM3948">
        <v>82.555327425940604</v>
      </c>
      <c r="AN3948">
        <v>0.999999958366389</v>
      </c>
    </row>
    <row r="3949" spans="1:40" x14ac:dyDescent="0.25">
      <c r="A3949" t="str">
        <f>"20190303162337353"</f>
        <v>20190303162337353</v>
      </c>
      <c r="B3949" t="str">
        <f>"1551601417348821"</f>
        <v>1551601417348821</v>
      </c>
      <c r="C3949" t="s">
        <v>40</v>
      </c>
      <c r="D3949">
        <v>5.5540089999999998</v>
      </c>
      <c r="E3949">
        <v>0.54302669999999997</v>
      </c>
      <c r="F3949" t="s">
        <v>55</v>
      </c>
      <c r="G3949">
        <v>-194.96549999999999</v>
      </c>
      <c r="H3949" s="1">
        <v>-1.4837129999999999E-5</v>
      </c>
      <c r="I3949">
        <v>159.05840000000001</v>
      </c>
      <c r="J3949">
        <v>-191.37260000000001</v>
      </c>
      <c r="K3949">
        <v>1.1205069999999999</v>
      </c>
      <c r="L3949">
        <v>173.38050000000001</v>
      </c>
      <c r="M3949">
        <v>-1.143342E-2</v>
      </c>
      <c r="N3949">
        <v>-1.0242660000000001E-2</v>
      </c>
      <c r="O3949">
        <v>-0.9998823</v>
      </c>
      <c r="P3949">
        <v>-0.14362710000000001</v>
      </c>
      <c r="Q3949">
        <v>0.15142320000000001</v>
      </c>
      <c r="R3949">
        <v>-0.97797900000000004</v>
      </c>
      <c r="S3949">
        <v>-0.73614499999999905</v>
      </c>
      <c r="T3949">
        <v>-0.22936029999999999</v>
      </c>
      <c r="U3949">
        <v>-2.9962010000000001</v>
      </c>
      <c r="V3949">
        <v>0.13238829999999999</v>
      </c>
      <c r="W3949">
        <v>0.1614872</v>
      </c>
      <c r="X3949">
        <v>0.97795460000000001</v>
      </c>
      <c r="Y3949">
        <v>0.22689139999999999</v>
      </c>
      <c r="Z3949">
        <v>6.4023899999999995E-2</v>
      </c>
      <c r="AA3949">
        <v>0.97181340000000005</v>
      </c>
      <c r="AB3949">
        <v>31</v>
      </c>
      <c r="AC3949">
        <v>-3.5928999999999802</v>
      </c>
      <c r="AD3949">
        <v>-1.1205218371300001</v>
      </c>
      <c r="AE3949">
        <v>-14.322100000000001</v>
      </c>
      <c r="AF3949">
        <v>3.4092731303687001</v>
      </c>
      <c r="AG3949">
        <v>-1.1205218371300001</v>
      </c>
      <c r="AH3949">
        <v>14.280011309427</v>
      </c>
      <c r="AI3949">
        <v>94.364514876838996</v>
      </c>
      <c r="AJ3949">
        <v>76.572307048158805</v>
      </c>
      <c r="AK3949">
        <v>14.724042768964701</v>
      </c>
      <c r="AL3949">
        <v>80.706770724163803</v>
      </c>
      <c r="AM3949">
        <v>82.290584489445095</v>
      </c>
      <c r="AN3949">
        <v>0.99999998870094498</v>
      </c>
    </row>
    <row r="3950" spans="1:40" x14ac:dyDescent="0.25">
      <c r="A3950" t="str">
        <f>"20190303162337376"</f>
        <v>20190303162337376</v>
      </c>
      <c r="B3950" t="str">
        <f>"1551601417368339"</f>
        <v>1551601417368339</v>
      </c>
      <c r="C3950" t="s">
        <v>40</v>
      </c>
      <c r="D3950">
        <v>5.5613890000000001</v>
      </c>
      <c r="E3950">
        <v>0.53834069999999901</v>
      </c>
      <c r="F3950" t="s">
        <v>55</v>
      </c>
      <c r="G3950">
        <v>-195.01679999999999</v>
      </c>
      <c r="H3950" s="1">
        <v>-1.4769879999999899E-5</v>
      </c>
      <c r="I3950">
        <v>158.7912</v>
      </c>
      <c r="J3950">
        <v>-191.376</v>
      </c>
      <c r="K3950">
        <v>1.1204719999999999</v>
      </c>
      <c r="L3950">
        <v>173.07679999999999</v>
      </c>
      <c r="M3950">
        <v>-1.133762E-2</v>
      </c>
      <c r="N3950">
        <v>-1.024606E-2</v>
      </c>
      <c r="O3950">
        <v>-0.99988350000000004</v>
      </c>
      <c r="P3950">
        <v>-0.14834120000000001</v>
      </c>
      <c r="Q3950">
        <v>0.1525299</v>
      </c>
      <c r="R3950">
        <v>-0.97710280000000005</v>
      </c>
      <c r="S3950">
        <v>-0.74769589999999997</v>
      </c>
      <c r="T3950">
        <v>-0.22990189999999999</v>
      </c>
      <c r="U3950">
        <v>-2.993347</v>
      </c>
      <c r="V3950">
        <v>0.1372186</v>
      </c>
      <c r="W3950">
        <v>0.16257929999999901</v>
      </c>
      <c r="X3950">
        <v>0.97710750000000002</v>
      </c>
      <c r="Y3950">
        <v>0.23072599999999999</v>
      </c>
      <c r="Z3950">
        <v>6.4195810000000006E-2</v>
      </c>
      <c r="AA3950">
        <v>0.9708987</v>
      </c>
      <c r="AB3950">
        <v>31</v>
      </c>
      <c r="AC3950">
        <v>-3.6408000000000098</v>
      </c>
      <c r="AD3950">
        <v>-1.1204867698799901</v>
      </c>
      <c r="AE3950">
        <v>-14.285599999999899</v>
      </c>
      <c r="AF3950">
        <v>3.4586131430233999</v>
      </c>
      <c r="AG3950">
        <v>-1.1204867698799901</v>
      </c>
      <c r="AH3950">
        <v>14.2436792169251</v>
      </c>
      <c r="AI3950">
        <v>94.371429847165203</v>
      </c>
      <c r="AJ3950">
        <v>76.351731201712298</v>
      </c>
      <c r="AK3950">
        <v>14.7003364964628</v>
      </c>
      <c r="AL3950">
        <v>80.643360339284101</v>
      </c>
      <c r="AM3950">
        <v>82.006032298656393</v>
      </c>
      <c r="AN3950">
        <v>1.00000001976534</v>
      </c>
    </row>
    <row r="3951" spans="1:40" x14ac:dyDescent="0.25">
      <c r="A3951" t="str">
        <f>"20190303162337398"</f>
        <v>20190303162337398</v>
      </c>
      <c r="B3951" t="str">
        <f>"1551601417388836"</f>
        <v>1551601417388836</v>
      </c>
      <c r="C3951" t="s">
        <v>40</v>
      </c>
      <c r="D3951">
        <v>5.5630829999999998</v>
      </c>
      <c r="E3951">
        <v>0.53821600000000003</v>
      </c>
      <c r="F3951" t="s">
        <v>55</v>
      </c>
      <c r="G3951">
        <v>-194.74430000000001</v>
      </c>
      <c r="H3951" s="1">
        <v>-1.4858050000000001E-5</v>
      </c>
      <c r="I3951">
        <v>159.14160000000001</v>
      </c>
      <c r="J3951">
        <v>-191.37950000000001</v>
      </c>
      <c r="K3951">
        <v>1.1204130000000001</v>
      </c>
      <c r="L3951">
        <v>172.76339999999999</v>
      </c>
      <c r="M3951">
        <v>-1.1314579999999999E-2</v>
      </c>
      <c r="N3951">
        <v>-1.0249660000000001E-2</v>
      </c>
      <c r="O3951">
        <v>-0.99988370000000004</v>
      </c>
      <c r="P3951">
        <v>-0.15391479999999999</v>
      </c>
      <c r="Q3951">
        <v>0.151897799999999</v>
      </c>
      <c r="R3951">
        <v>-0.97633890000000001</v>
      </c>
      <c r="S3951">
        <v>-0.7246399</v>
      </c>
      <c r="T3951">
        <v>-0.24105360000000001</v>
      </c>
      <c r="U3951">
        <v>-2.9979100000000001</v>
      </c>
      <c r="V3951">
        <v>0.1428441</v>
      </c>
      <c r="W3951">
        <v>0.16192570000000001</v>
      </c>
      <c r="X3951">
        <v>0.97640959999999999</v>
      </c>
      <c r="Y3951">
        <v>0.2232952</v>
      </c>
      <c r="Z3951">
        <v>6.7805340000000006E-2</v>
      </c>
      <c r="AA3951">
        <v>0.97238970000000002</v>
      </c>
      <c r="AB3951">
        <v>31</v>
      </c>
      <c r="AC3951">
        <v>-3.3647999999999998</v>
      </c>
      <c r="AD3951">
        <v>-1.12042785804999</v>
      </c>
      <c r="AE3951">
        <v>-13.621799999999901</v>
      </c>
      <c r="AF3951">
        <v>3.1901101215009802</v>
      </c>
      <c r="AG3951">
        <v>-1.12042785804999</v>
      </c>
      <c r="AH3951">
        <v>13.572457626835901</v>
      </c>
      <c r="AI3951">
        <v>94.594508556858003</v>
      </c>
      <c r="AJ3951">
        <v>76.773118196285793</v>
      </c>
      <c r="AK3951">
        <v>13.987271614030099</v>
      </c>
      <c r="AL3951">
        <v>80.681311916858405</v>
      </c>
      <c r="AM3951">
        <v>81.676941230140997</v>
      </c>
      <c r="AN3951">
        <v>1.00000003809872</v>
      </c>
    </row>
    <row r="3952" spans="1:40" x14ac:dyDescent="0.25">
      <c r="A3952" t="str">
        <f>"20190303162337420"</f>
        <v>20190303162337420</v>
      </c>
      <c r="B3952" t="str">
        <f>"1551601417408356"</f>
        <v>1551601417408356</v>
      </c>
      <c r="C3952" t="s">
        <v>40</v>
      </c>
      <c r="D3952">
        <v>5.5766559999999998</v>
      </c>
      <c r="E3952">
        <v>0.53796759999999999</v>
      </c>
      <c r="F3952" t="s">
        <v>55</v>
      </c>
      <c r="G3952">
        <v>-194.75829999999999</v>
      </c>
      <c r="H3952" s="1">
        <v>-1.484406E-5</v>
      </c>
      <c r="I3952">
        <v>159.08600000000001</v>
      </c>
      <c r="J3952">
        <v>-191.38300000000001</v>
      </c>
      <c r="K3952">
        <v>1.120317</v>
      </c>
      <c r="L3952">
        <v>172.46530000000001</v>
      </c>
      <c r="M3952">
        <v>-1.1413649999999999E-2</v>
      </c>
      <c r="N3952">
        <v>-1.025322E-2</v>
      </c>
      <c r="O3952">
        <v>-0.99988250000000001</v>
      </c>
      <c r="P3952">
        <v>-0.1601805</v>
      </c>
      <c r="Q3952">
        <v>0.15013080000000001</v>
      </c>
      <c r="R3952">
        <v>-0.97560420000000003</v>
      </c>
      <c r="S3952">
        <v>-0.73968509999999998</v>
      </c>
      <c r="T3952">
        <v>-0.2452801</v>
      </c>
      <c r="U3952">
        <v>-2.9942169999999999</v>
      </c>
      <c r="V3952">
        <v>0.1490524</v>
      </c>
      <c r="W3952">
        <v>0.16012750000000001</v>
      </c>
      <c r="X3952">
        <v>0.97577789999999998</v>
      </c>
      <c r="Y3952">
        <v>0.22805400000000001</v>
      </c>
      <c r="Z3952">
        <v>6.9166050000000007E-2</v>
      </c>
      <c r="AA3952">
        <v>0.97118870000000002</v>
      </c>
      <c r="AB3952">
        <v>31</v>
      </c>
      <c r="AC3952">
        <v>-3.3753000000000002</v>
      </c>
      <c r="AD3952">
        <v>-1.1203318440600001</v>
      </c>
      <c r="AE3952">
        <v>-13.379300000000001</v>
      </c>
      <c r="AF3952">
        <v>3.2012621197018598</v>
      </c>
      <c r="AG3952">
        <v>-1.1203318440600001</v>
      </c>
      <c r="AH3952">
        <v>13.3290869382102</v>
      </c>
      <c r="AI3952">
        <v>94.672261737509103</v>
      </c>
      <c r="AJ3952">
        <v>76.494995055660596</v>
      </c>
      <c r="AK3952">
        <v>13.7538278746761</v>
      </c>
      <c r="AL3952">
        <v>80.785702889343298</v>
      </c>
      <c r="AM3952">
        <v>81.315067222340303</v>
      </c>
      <c r="AN3952">
        <v>0.99999997216520897</v>
      </c>
    </row>
    <row r="3953" spans="1:40" x14ac:dyDescent="0.25">
      <c r="A3953" t="str">
        <f>"20190303162337442"</f>
        <v>20190303162337442</v>
      </c>
      <c r="B3953" t="str">
        <f>"1551601417438612"</f>
        <v>1551601417438612</v>
      </c>
      <c r="C3953" t="s">
        <v>40</v>
      </c>
      <c r="D3953">
        <v>5.6176919999999999</v>
      </c>
      <c r="E3953">
        <v>0.53688899999999995</v>
      </c>
      <c r="F3953" t="s">
        <v>55</v>
      </c>
      <c r="G3953">
        <v>-194.7276</v>
      </c>
      <c r="H3953" s="1">
        <v>-1.48795E-5</v>
      </c>
      <c r="I3953">
        <v>159.2268</v>
      </c>
      <c r="J3953">
        <v>-191.3869</v>
      </c>
      <c r="K3953">
        <v>1.1201840000000001</v>
      </c>
      <c r="L3953">
        <v>172.1404</v>
      </c>
      <c r="M3953">
        <v>-1.170913E-2</v>
      </c>
      <c r="N3953">
        <v>-1.0257530000000001E-2</v>
      </c>
      <c r="O3953">
        <v>-0.99987890000000001</v>
      </c>
      <c r="P3953">
        <v>-0.1676764</v>
      </c>
      <c r="Q3953">
        <v>0.14705170000000001</v>
      </c>
      <c r="R3953">
        <v>-0.97481329999999999</v>
      </c>
      <c r="S3953">
        <v>-0.75538640000000001</v>
      </c>
      <c r="T3953">
        <v>-0.2530307</v>
      </c>
      <c r="U3953">
        <v>-2.9899439999999999</v>
      </c>
      <c r="V3953">
        <v>0.15631809999999999</v>
      </c>
      <c r="W3953">
        <v>0.15699479999999999</v>
      </c>
      <c r="X3953">
        <v>0.97514990000000001</v>
      </c>
      <c r="Y3953">
        <v>0.23283809999999999</v>
      </c>
      <c r="Z3953">
        <v>7.1669999999999998E-2</v>
      </c>
      <c r="AA3953">
        <v>0.96987100000000004</v>
      </c>
      <c r="AB3953">
        <v>31</v>
      </c>
      <c r="AC3953">
        <v>-3.3406999999999898</v>
      </c>
      <c r="AD3953">
        <v>-1.1201988795</v>
      </c>
      <c r="AE3953">
        <v>-12.913600000000001</v>
      </c>
      <c r="AF3953">
        <v>3.1669203013506699</v>
      </c>
      <c r="AG3953">
        <v>-1.1201988795</v>
      </c>
      <c r="AH3953">
        <v>12.8611262829967</v>
      </c>
      <c r="AI3953">
        <v>94.834190203256099</v>
      </c>
      <c r="AJ3953">
        <v>76.166709303768499</v>
      </c>
      <c r="AK3953">
        <v>13.2925843609107</v>
      </c>
      <c r="AL3953">
        <v>80.967493714939707</v>
      </c>
      <c r="AM3953">
        <v>80.892874183411195</v>
      </c>
      <c r="AN3953">
        <v>1.0000000215423199</v>
      </c>
    </row>
    <row r="3954" spans="1:40" x14ac:dyDescent="0.25">
      <c r="A3954" t="str">
        <f>"20190303162337465"</f>
        <v>20190303162337465</v>
      </c>
      <c r="B3954" t="str">
        <f>"1551601417459107"</f>
        <v>1551601417459107</v>
      </c>
      <c r="C3954" t="s">
        <v>40</v>
      </c>
      <c r="D3954">
        <v>5.5969490000000004</v>
      </c>
      <c r="E3954">
        <v>0.53666559999999996</v>
      </c>
      <c r="F3954" t="s">
        <v>55</v>
      </c>
      <c r="G3954">
        <v>-194.61670000000001</v>
      </c>
      <c r="H3954" s="1">
        <v>-1.496893E-5</v>
      </c>
      <c r="I3954">
        <v>159.5823</v>
      </c>
      <c r="J3954">
        <v>-191.3912</v>
      </c>
      <c r="K3954">
        <v>1.11999</v>
      </c>
      <c r="L3954">
        <v>171.82149999999999</v>
      </c>
      <c r="M3954">
        <v>-1.229157E-2</v>
      </c>
      <c r="N3954">
        <v>-1.026299E-2</v>
      </c>
      <c r="O3954">
        <v>-0.99987190000000004</v>
      </c>
      <c r="P3954">
        <v>-0.17499529999999999</v>
      </c>
      <c r="Q3954">
        <v>0.14429149999999999</v>
      </c>
      <c r="R3954">
        <v>-0.97393890000000005</v>
      </c>
      <c r="S3954">
        <v>-0.7678528</v>
      </c>
      <c r="T3954">
        <v>-0.2663198</v>
      </c>
      <c r="U3954">
        <v>-2.9855960000000001</v>
      </c>
      <c r="V3954">
        <v>0.16314790000000001</v>
      </c>
      <c r="W3954">
        <v>0.15415499999999999</v>
      </c>
      <c r="X3954">
        <v>0.97448400000000002</v>
      </c>
      <c r="Y3954">
        <v>0.23632149999999999</v>
      </c>
      <c r="Z3954">
        <v>7.5977240000000001E-2</v>
      </c>
      <c r="AA3954">
        <v>0.96869989999999995</v>
      </c>
      <c r="AB3954">
        <v>31</v>
      </c>
      <c r="AC3954">
        <v>-3.22550000000001</v>
      </c>
      <c r="AD3954">
        <v>-1.12000496893</v>
      </c>
      <c r="AE3954">
        <v>-12.239199999999901</v>
      </c>
      <c r="AF3954">
        <v>3.0509201310498599</v>
      </c>
      <c r="AG3954">
        <v>-1.12000496893</v>
      </c>
      <c r="AH3954">
        <v>12.1825322966596</v>
      </c>
      <c r="AI3954">
        <v>95.096226841356795</v>
      </c>
      <c r="AJ3954">
        <v>75.940355999816902</v>
      </c>
      <c r="AK3954">
        <v>12.6085930196683</v>
      </c>
      <c r="AL3954">
        <v>81.132207978827907</v>
      </c>
      <c r="AM3954">
        <v>80.495698755093997</v>
      </c>
      <c r="AN3954">
        <v>1.0000000337777</v>
      </c>
    </row>
    <row r="3955" spans="1:40" x14ac:dyDescent="0.25">
      <c r="A3955" t="str">
        <f>"20190303162337508"</f>
        <v>20190303162337508</v>
      </c>
      <c r="B3955" t="str">
        <f>"1551601417499123"</f>
        <v>1551601417499123</v>
      </c>
      <c r="C3955" t="s">
        <v>40</v>
      </c>
      <c r="D3955">
        <v>5.6142019999999997</v>
      </c>
      <c r="E3955">
        <v>0.53163380000000005</v>
      </c>
      <c r="F3955" t="s">
        <v>41</v>
      </c>
      <c r="G3955">
        <v>-194.59889999999999</v>
      </c>
      <c r="H3955" s="1">
        <v>-1.273549E-6</v>
      </c>
      <c r="I3955">
        <v>159.69720000000001</v>
      </c>
      <c r="J3955">
        <v>-191.4008</v>
      </c>
      <c r="K3955">
        <v>1.1195310000000001</v>
      </c>
      <c r="L3955">
        <v>171.21360000000001</v>
      </c>
      <c r="M3955">
        <v>-1.425908E-2</v>
      </c>
      <c r="N3955">
        <v>-1.0277909999999999E-2</v>
      </c>
      <c r="O3955">
        <v>-0.99984569999999995</v>
      </c>
      <c r="P3955">
        <v>-0.18777179999999999</v>
      </c>
      <c r="Q3955">
        <v>0.1444116</v>
      </c>
      <c r="R3955">
        <v>-0.97153900000000004</v>
      </c>
      <c r="S3955">
        <v>-0.7882538</v>
      </c>
      <c r="T3955">
        <v>-0.27522560000000001</v>
      </c>
      <c r="U3955">
        <v>-2.9794160000000001</v>
      </c>
      <c r="V3955">
        <v>0.17420869999999999</v>
      </c>
      <c r="W3955">
        <v>0.15406639999999999</v>
      </c>
      <c r="X3955">
        <v>0.97258160000000005</v>
      </c>
      <c r="Y3955">
        <v>0.24103759999999999</v>
      </c>
      <c r="Z3955">
        <v>7.8873390000000002E-2</v>
      </c>
      <c r="AA3955">
        <v>0.96730550000000004</v>
      </c>
      <c r="AB3955">
        <v>31</v>
      </c>
      <c r="AC3955">
        <v>-3.1980999999999802</v>
      </c>
      <c r="AD3955">
        <v>-1.1195322735490001</v>
      </c>
      <c r="AE3955">
        <v>-11.516400000000001</v>
      </c>
      <c r="AF3955">
        <v>3.00716927632324</v>
      </c>
      <c r="AG3955">
        <v>-1.1195322735490001</v>
      </c>
      <c r="AH3955">
        <v>11.4602856828889</v>
      </c>
      <c r="AI3955">
        <v>95.397805540759194</v>
      </c>
      <c r="AJ3955">
        <v>75.297101766709105</v>
      </c>
      <c r="AK3955">
        <v>11.9010322031918</v>
      </c>
      <c r="AL3955">
        <v>81.137345887290493</v>
      </c>
      <c r="AM3955">
        <v>79.844878329757094</v>
      </c>
      <c r="AN3955">
        <v>1.0000000477116</v>
      </c>
    </row>
    <row r="3956" spans="1:40" x14ac:dyDescent="0.25">
      <c r="A3956" t="str">
        <f>"20190303162337554"</f>
        <v>20190303162337554</v>
      </c>
      <c r="B3956" t="str">
        <f>"1551601417548900"</f>
        <v>1551601417548900</v>
      </c>
      <c r="C3956" t="s">
        <v>40</v>
      </c>
      <c r="D3956">
        <v>5.4493429999999998</v>
      </c>
      <c r="E3956">
        <v>0.5301939</v>
      </c>
      <c r="F3956" t="s">
        <v>55</v>
      </c>
      <c r="G3956">
        <v>-194.75450000000001</v>
      </c>
      <c r="H3956" s="1">
        <v>-1.471405E-5</v>
      </c>
      <c r="I3956">
        <v>158.5693</v>
      </c>
      <c r="J3956">
        <v>-191.41380000000001</v>
      </c>
      <c r="K3956">
        <v>1.1189420000000001</v>
      </c>
      <c r="L3956">
        <v>170.57329999999999</v>
      </c>
      <c r="M3956">
        <v>-1.7810659999999999E-2</v>
      </c>
      <c r="N3956">
        <v>-1.0299350000000001E-2</v>
      </c>
      <c r="O3956">
        <v>-0.99978840000000002</v>
      </c>
      <c r="P3956">
        <v>-0.20051720000000001</v>
      </c>
      <c r="Q3956">
        <v>0.14897360000000001</v>
      </c>
      <c r="R3956">
        <v>-0.96829759999999998</v>
      </c>
      <c r="S3956">
        <v>-0.78897090000000003</v>
      </c>
      <c r="T3956">
        <v>-0.2633703</v>
      </c>
      <c r="U3956">
        <v>-2.974548</v>
      </c>
      <c r="V3956">
        <v>0.18378549999999999</v>
      </c>
      <c r="W3956">
        <v>0.15834100000000001</v>
      </c>
      <c r="X3956">
        <v>0.97012940000000003</v>
      </c>
      <c r="Y3956">
        <v>0.23827760000000001</v>
      </c>
      <c r="Z3956">
        <v>7.5198749999999995E-2</v>
      </c>
      <c r="AA3956">
        <v>0.96828139999999996</v>
      </c>
      <c r="AB3956">
        <v>31</v>
      </c>
      <c r="AC3956">
        <v>-3.3406999999999898</v>
      </c>
      <c r="AD3956">
        <v>-1.1189567140500001</v>
      </c>
      <c r="AE3956">
        <v>-12.0039999999999</v>
      </c>
      <c r="AF3956">
        <v>3.1013487241036501</v>
      </c>
      <c r="AG3956">
        <v>-1.1189567140500001</v>
      </c>
      <c r="AH3956">
        <v>11.9651063374956</v>
      </c>
      <c r="AI3956">
        <v>95.172702055983905</v>
      </c>
      <c r="AJ3956">
        <v>75.468757112992904</v>
      </c>
      <c r="AK3956">
        <v>12.411051434266</v>
      </c>
      <c r="AL3956">
        <v>80.889385128273005</v>
      </c>
      <c r="AM3956">
        <v>79.272765105306405</v>
      </c>
      <c r="AN3956">
        <v>1.0000000175178001</v>
      </c>
    </row>
    <row r="3957" spans="1:40" x14ac:dyDescent="0.25">
      <c r="A3957" t="str">
        <f>"20190303162337577"</f>
        <v>20190303162337577</v>
      </c>
      <c r="B3957" t="str">
        <f>"1551601417568420"</f>
        <v>1551601417568420</v>
      </c>
      <c r="C3957" t="s">
        <v>40</v>
      </c>
      <c r="D3957">
        <v>5.5829199999999997</v>
      </c>
      <c r="E3957">
        <v>0.52786999999999995</v>
      </c>
      <c r="F3957" t="s">
        <v>55</v>
      </c>
      <c r="G3957">
        <v>-195.24619999999999</v>
      </c>
      <c r="H3957" s="1">
        <v>-1.4197400000000001E-5</v>
      </c>
      <c r="I3957">
        <v>156.7045</v>
      </c>
      <c r="J3957">
        <v>-191.42189999999999</v>
      </c>
      <c r="K3957">
        <v>1.1185719999999999</v>
      </c>
      <c r="L3957">
        <v>170.25380000000001</v>
      </c>
      <c r="M3957">
        <v>-2.0299129999999999E-2</v>
      </c>
      <c r="N3957">
        <v>-1.031585E-2</v>
      </c>
      <c r="O3957">
        <v>-0.99974099999999999</v>
      </c>
      <c r="P3957">
        <v>-0.20547840000000001</v>
      </c>
      <c r="Q3957">
        <v>0.14803379999999999</v>
      </c>
      <c r="R3957">
        <v>-0.96740139999999997</v>
      </c>
      <c r="S3957">
        <v>-0.81942749999999998</v>
      </c>
      <c r="T3957">
        <v>-0.23924889999999999</v>
      </c>
      <c r="U3957">
        <v>-2.965347</v>
      </c>
      <c r="V3957">
        <v>0.1864808</v>
      </c>
      <c r="W3957">
        <v>0.15723970000000001</v>
      </c>
      <c r="X3957">
        <v>0.96979409999999999</v>
      </c>
      <c r="Y3957">
        <v>0.2460146</v>
      </c>
      <c r="Z3957">
        <v>6.7453810000000003E-2</v>
      </c>
      <c r="AA3957">
        <v>0.96691609999999995</v>
      </c>
      <c r="AB3957">
        <v>31</v>
      </c>
      <c r="AC3957">
        <v>-3.8242999999999898</v>
      </c>
      <c r="AD3957">
        <v>-1.1185861974</v>
      </c>
      <c r="AE3957">
        <v>-13.549300000000001</v>
      </c>
      <c r="AF3957">
        <v>3.5261984858498998</v>
      </c>
      <c r="AG3957">
        <v>-1.1185861974</v>
      </c>
      <c r="AH3957">
        <v>13.538676199319999</v>
      </c>
      <c r="AI3957">
        <v>94.571310286429707</v>
      </c>
      <c r="AJ3957">
        <v>75.401436697235098</v>
      </c>
      <c r="AK3957">
        <v>14.0349942669264</v>
      </c>
      <c r="AL3957">
        <v>80.953285354189305</v>
      </c>
      <c r="AM3957">
        <v>79.115502194415896</v>
      </c>
      <c r="AN3957">
        <v>1.0000000042097601</v>
      </c>
    </row>
    <row r="3958" spans="1:40" x14ac:dyDescent="0.25">
      <c r="A3958" t="str">
        <f>"20190303162337599"</f>
        <v>20190303162337599</v>
      </c>
      <c r="B3958" t="str">
        <f>"1551601417588915"</f>
        <v>1551601417588915</v>
      </c>
      <c r="C3958" t="s">
        <v>40</v>
      </c>
      <c r="D3958">
        <v>5.507301</v>
      </c>
      <c r="E3958">
        <v>0.52599949999999995</v>
      </c>
      <c r="F3958" t="s">
        <v>55</v>
      </c>
      <c r="G3958">
        <v>-195.36940000000001</v>
      </c>
      <c r="H3958" s="1">
        <v>-1.3889560000000001E-5</v>
      </c>
      <c r="I3958">
        <v>155.9615</v>
      </c>
      <c r="J3958">
        <v>-191.4308</v>
      </c>
      <c r="K3958">
        <v>1.118177</v>
      </c>
      <c r="L3958">
        <v>169.94919999999999</v>
      </c>
      <c r="M3958">
        <v>-2.3162350000000002E-2</v>
      </c>
      <c r="N3958">
        <v>-1.03362E-2</v>
      </c>
      <c r="O3958">
        <v>-0.99967859999999997</v>
      </c>
      <c r="P3958">
        <v>-0.21004990000000001</v>
      </c>
      <c r="Q3958">
        <v>0.14627329999999999</v>
      </c>
      <c r="R3958">
        <v>-0.96668679999999996</v>
      </c>
      <c r="S3958">
        <v>-0.81832890000000003</v>
      </c>
      <c r="T3958">
        <v>-0.2318819</v>
      </c>
      <c r="U3958">
        <v>-2.9627840000000001</v>
      </c>
      <c r="V3958">
        <v>0.18842329999999999</v>
      </c>
      <c r="W3958">
        <v>0.15531339999999999</v>
      </c>
      <c r="X3958">
        <v>0.96972910000000001</v>
      </c>
      <c r="Y3958">
        <v>0.2431644</v>
      </c>
      <c r="Z3958">
        <v>6.5143530000000005E-2</v>
      </c>
      <c r="AA3958">
        <v>0.96779510000000002</v>
      </c>
      <c r="AB3958">
        <v>31</v>
      </c>
      <c r="AC3958">
        <v>-3.9386000000000001</v>
      </c>
      <c r="AD3958">
        <v>-1.1181908895599999</v>
      </c>
      <c r="AE3958">
        <v>-13.987699999999901</v>
      </c>
      <c r="AF3958">
        <v>3.5922678059389099</v>
      </c>
      <c r="AG3958">
        <v>-1.1181908895599999</v>
      </c>
      <c r="AH3958">
        <v>13.9923288935871</v>
      </c>
      <c r="AI3958">
        <v>94.426118273640995</v>
      </c>
      <c r="AJ3958">
        <v>75.601350827076502</v>
      </c>
      <c r="AK3958">
        <v>14.4893066335623</v>
      </c>
      <c r="AL3958">
        <v>81.065027667081097</v>
      </c>
      <c r="AM3958">
        <v>79.004152891246605</v>
      </c>
      <c r="AN3958">
        <v>1.0000000597946199</v>
      </c>
    </row>
    <row r="3959" spans="1:40" x14ac:dyDescent="0.25">
      <c r="A3959" t="str">
        <f>"20190303162337621"</f>
        <v>20190303162337621</v>
      </c>
      <c r="B3959" t="str">
        <f>"1551601417608436"</f>
        <v>1551601417608436</v>
      </c>
      <c r="C3959" t="s">
        <v>40</v>
      </c>
      <c r="D3959">
        <v>5.5921320000000003</v>
      </c>
      <c r="E3959">
        <v>0.52530250000000001</v>
      </c>
      <c r="F3959" t="s">
        <v>55</v>
      </c>
      <c r="G3959">
        <v>-195.41679999999999</v>
      </c>
      <c r="H3959" s="1">
        <v>-1.369941E-5</v>
      </c>
      <c r="I3959">
        <v>155.5085</v>
      </c>
      <c r="J3959">
        <v>-191.44120000000001</v>
      </c>
      <c r="K3959">
        <v>1.117758</v>
      </c>
      <c r="L3959">
        <v>169.6388</v>
      </c>
      <c r="M3959">
        <v>-2.656973E-2</v>
      </c>
      <c r="N3959">
        <v>-1.036026E-2</v>
      </c>
      <c r="O3959">
        <v>-0.99959350000000002</v>
      </c>
      <c r="P3959">
        <v>-0.21750610000000001</v>
      </c>
      <c r="Q3959">
        <v>0.14430979999999999</v>
      </c>
      <c r="R3959">
        <v>-0.96533210000000003</v>
      </c>
      <c r="S3959">
        <v>-0.81718440000000003</v>
      </c>
      <c r="T3959">
        <v>-0.22924130000000001</v>
      </c>
      <c r="U3959">
        <v>-2.9605100000000002</v>
      </c>
      <c r="V3959">
        <v>0.1927442</v>
      </c>
      <c r="W3959">
        <v>0.15315319999999999</v>
      </c>
      <c r="X3959">
        <v>0.96922330000000001</v>
      </c>
      <c r="Y3959">
        <v>0.23971619999999999</v>
      </c>
      <c r="Z3959">
        <v>6.4351350000000002E-2</v>
      </c>
      <c r="AA3959">
        <v>0.96870789999999996</v>
      </c>
      <c r="AB3959">
        <v>31</v>
      </c>
      <c r="AC3959">
        <v>-3.97559999999998</v>
      </c>
      <c r="AD3959">
        <v>-1.11777169941</v>
      </c>
      <c r="AE3959">
        <v>-14.1303</v>
      </c>
      <c r="AF3959">
        <v>3.5779909072858902</v>
      </c>
      <c r="AG3959">
        <v>-1.11777169941</v>
      </c>
      <c r="AH3959">
        <v>14.1489043685481</v>
      </c>
      <c r="AI3959">
        <v>94.379711641178901</v>
      </c>
      <c r="AJ3959">
        <v>75.808496031229893</v>
      </c>
      <c r="AK3959">
        <v>14.637039568674499</v>
      </c>
      <c r="AL3959">
        <v>81.190296566222898</v>
      </c>
      <c r="AM3959">
        <v>78.752632947228605</v>
      </c>
      <c r="AN3959">
        <v>1.0000000172833801</v>
      </c>
    </row>
    <row r="3960" spans="1:40" x14ac:dyDescent="0.25">
      <c r="A3960" t="str">
        <f>"20190303162337644"</f>
        <v>20190303162337644</v>
      </c>
      <c r="B3960" t="str">
        <f>"1551601417638692"</f>
        <v>1551601417638692</v>
      </c>
      <c r="C3960" t="s">
        <v>40</v>
      </c>
      <c r="D3960">
        <v>5.607043</v>
      </c>
      <c r="E3960">
        <v>0.5239798</v>
      </c>
      <c r="F3960" t="s">
        <v>55</v>
      </c>
      <c r="G3960">
        <v>-195.4196</v>
      </c>
      <c r="H3960" s="1">
        <v>-1.3703219999999999E-5</v>
      </c>
      <c r="I3960">
        <v>155.51669999999999</v>
      </c>
      <c r="J3960">
        <v>-191.4539</v>
      </c>
      <c r="K3960">
        <v>1.1173070000000001</v>
      </c>
      <c r="L3960">
        <v>169.31059999999999</v>
      </c>
      <c r="M3960">
        <v>-3.070457E-2</v>
      </c>
      <c r="N3960">
        <v>-1.03876E-2</v>
      </c>
      <c r="O3960">
        <v>-0.99947490000000005</v>
      </c>
      <c r="P3960">
        <v>-0.22650020000000001</v>
      </c>
      <c r="Q3960">
        <v>0.1426434</v>
      </c>
      <c r="R3960">
        <v>-0.96350990000000003</v>
      </c>
      <c r="S3960">
        <v>-0.83250429999999997</v>
      </c>
      <c r="T3960">
        <v>-0.2338972</v>
      </c>
      <c r="U3960">
        <v>-2.9550930000000002</v>
      </c>
      <c r="V3960">
        <v>0.19792080000000001</v>
      </c>
      <c r="W3960">
        <v>0.15126619999999999</v>
      </c>
      <c r="X3960">
        <v>0.96847609999999995</v>
      </c>
      <c r="Y3960">
        <v>0.240785</v>
      </c>
      <c r="Z3960">
        <v>6.5897209999999998E-2</v>
      </c>
      <c r="AA3960">
        <v>0.96833880000000006</v>
      </c>
      <c r="AB3960">
        <v>31</v>
      </c>
      <c r="AC3960">
        <v>-3.9656999999999898</v>
      </c>
      <c r="AD3960">
        <v>-1.1173207032200001</v>
      </c>
      <c r="AE3960">
        <v>-13.793900000000001</v>
      </c>
      <c r="AF3960">
        <v>3.5189457747628499</v>
      </c>
      <c r="AG3960">
        <v>-1.1173207032200001</v>
      </c>
      <c r="AH3960">
        <v>13.8253816662503</v>
      </c>
      <c r="AI3960">
        <v>94.478234875398698</v>
      </c>
      <c r="AJ3960">
        <v>75.719847259974998</v>
      </c>
      <c r="AK3960">
        <v>14.3098764193495</v>
      </c>
      <c r="AL3960">
        <v>81.299688449306799</v>
      </c>
      <c r="AM3960">
        <v>78.449896881842406</v>
      </c>
      <c r="AN3960">
        <v>1.0000000313031401</v>
      </c>
    </row>
    <row r="3961" spans="1:40" x14ac:dyDescent="0.25">
      <c r="A3961" t="str">
        <f>"20190303162337658"</f>
        <v>20190303162337658</v>
      </c>
      <c r="B3961" t="str">
        <f>"1551601417648453"</f>
        <v>1551601417648453</v>
      </c>
      <c r="C3961" t="s">
        <v>40</v>
      </c>
      <c r="D3961">
        <v>5.7465279999999996</v>
      </c>
      <c r="E3961">
        <v>0.52477499999999999</v>
      </c>
      <c r="F3961" t="s">
        <v>55</v>
      </c>
      <c r="G3961">
        <v>-195.47919999999999</v>
      </c>
      <c r="H3961" s="1">
        <v>-1.3624660000000001E-5</v>
      </c>
      <c r="I3961">
        <v>155.32130000000001</v>
      </c>
      <c r="J3961">
        <v>-191.46299999999999</v>
      </c>
      <c r="K3961">
        <v>1.1170439999999999</v>
      </c>
      <c r="L3961">
        <v>169.1037</v>
      </c>
      <c r="M3961">
        <v>-3.3601590000000001E-2</v>
      </c>
      <c r="N3961">
        <v>-1.04054E-2</v>
      </c>
      <c r="O3961">
        <v>-0.99938119999999997</v>
      </c>
      <c r="P3961">
        <v>-0.2317176</v>
      </c>
      <c r="Q3961">
        <v>0.1410786</v>
      </c>
      <c r="R3961">
        <v>-0.96249879999999999</v>
      </c>
      <c r="S3961">
        <v>-0.84855650000000005</v>
      </c>
      <c r="T3961">
        <v>-0.2355381</v>
      </c>
      <c r="U3961">
        <v>-2.949036</v>
      </c>
      <c r="V3961">
        <v>0.20043929999999999</v>
      </c>
      <c r="W3961">
        <v>0.14957239999999999</v>
      </c>
      <c r="X3961">
        <v>0.96822109999999995</v>
      </c>
      <c r="Y3961">
        <v>0.2433525</v>
      </c>
      <c r="Z3961">
        <v>6.6475699999999999E-2</v>
      </c>
      <c r="AA3961">
        <v>0.9676572</v>
      </c>
      <c r="AB3961">
        <v>32</v>
      </c>
      <c r="AC3961">
        <v>-4.0161999999999898</v>
      </c>
      <c r="AD3961">
        <v>-1.1170576246599999</v>
      </c>
      <c r="AE3961">
        <v>-13.7823999999999</v>
      </c>
      <c r="AF3961">
        <v>3.5294259625306998</v>
      </c>
      <c r="AG3961">
        <v>-1.1170576246599999</v>
      </c>
      <c r="AH3961">
        <v>13.8258603230557</v>
      </c>
      <c r="AI3961">
        <v>94.476230874433</v>
      </c>
      <c r="AJ3961">
        <v>75.679540140684594</v>
      </c>
      <c r="AK3961">
        <v>14.312899043675399</v>
      </c>
      <c r="AL3961">
        <v>81.397852294550106</v>
      </c>
      <c r="AM3961">
        <v>78.303952230742198</v>
      </c>
      <c r="AN3961">
        <v>0.99999995715572898</v>
      </c>
    </row>
    <row r="3962" spans="1:40" x14ac:dyDescent="0.25">
      <c r="A3962" t="str">
        <f>"20190303162337678"</f>
        <v>20190303162337678</v>
      </c>
      <c r="B3962" t="str">
        <f>"1551601417668948"</f>
        <v>1551601417668948</v>
      </c>
      <c r="C3962" t="s">
        <v>40</v>
      </c>
      <c r="D3962">
        <v>5.6052479999999996</v>
      </c>
      <c r="E3962">
        <v>0.55180099999999999</v>
      </c>
      <c r="F3962" t="s">
        <v>55</v>
      </c>
      <c r="G3962">
        <v>-195.52289999999999</v>
      </c>
      <c r="H3962" s="1">
        <v>-1.365545E-5</v>
      </c>
      <c r="I3962">
        <v>155.38399999999999</v>
      </c>
      <c r="J3962">
        <v>-191.47630000000001</v>
      </c>
      <c r="K3962">
        <v>1.1167199999999999</v>
      </c>
      <c r="L3962">
        <v>168.82640000000001</v>
      </c>
      <c r="M3962">
        <v>-3.7714570000000003E-2</v>
      </c>
      <c r="N3962">
        <v>-1.042765E-2</v>
      </c>
      <c r="O3962">
        <v>-0.99923430000000002</v>
      </c>
      <c r="P3962">
        <v>-0.23887420000000001</v>
      </c>
      <c r="Q3962">
        <v>0.13805419999999999</v>
      </c>
      <c r="R3962">
        <v>-0.96118709999999996</v>
      </c>
      <c r="S3962">
        <v>-0.87071229999999999</v>
      </c>
      <c r="T3962">
        <v>-0.23957030000000001</v>
      </c>
      <c r="U3962">
        <v>-2.9423979999999998</v>
      </c>
      <c r="V3962">
        <v>0.20373430000000001</v>
      </c>
      <c r="W3962">
        <v>0.146387299999999</v>
      </c>
      <c r="X3962">
        <v>0.9680202</v>
      </c>
      <c r="Y3962">
        <v>0.24662429999999999</v>
      </c>
      <c r="Z3962">
        <v>6.7806459999999999E-2</v>
      </c>
      <c r="AA3962">
        <v>0.96673609999999999</v>
      </c>
      <c r="AB3962">
        <v>32</v>
      </c>
      <c r="AC3962">
        <v>-4.0465999999999802</v>
      </c>
      <c r="AD3962">
        <v>-1.11673365545</v>
      </c>
      <c r="AE3962">
        <v>-13.442399999999999</v>
      </c>
      <c r="AF3962">
        <v>3.5144790215091199</v>
      </c>
      <c r="AG3962">
        <v>-1.11673365545</v>
      </c>
      <c r="AH3962">
        <v>13.5000301982047</v>
      </c>
      <c r="AI3962">
        <v>94.576916799384094</v>
      </c>
      <c r="AJ3962">
        <v>75.408010608611207</v>
      </c>
      <c r="AK3962">
        <v>13.994622974638499</v>
      </c>
      <c r="AL3962">
        <v>81.582377142034105</v>
      </c>
      <c r="AM3962">
        <v>78.114710085712005</v>
      </c>
      <c r="AN3962">
        <v>1.00000000710291</v>
      </c>
    </row>
    <row r="3963" spans="1:40" x14ac:dyDescent="0.25">
      <c r="A3963" t="str">
        <f>"20190303162337701"</f>
        <v>20190303162337701</v>
      </c>
      <c r="B3963" t="str">
        <f>"1551601417688468"</f>
        <v>1551601417688468</v>
      </c>
      <c r="C3963" t="s">
        <v>40</v>
      </c>
      <c r="D3963">
        <v>5.5604279999999999</v>
      </c>
      <c r="E3963">
        <v>0.5523903</v>
      </c>
      <c r="F3963" t="s">
        <v>55</v>
      </c>
      <c r="G3963">
        <v>-198.43459999999999</v>
      </c>
      <c r="H3963" s="1">
        <v>-1.260756E-5</v>
      </c>
      <c r="I3963">
        <v>150.73419999999999</v>
      </c>
      <c r="J3963">
        <v>-191.49369999999999</v>
      </c>
      <c r="K3963">
        <v>1.1163749999999999</v>
      </c>
      <c r="L3963">
        <v>168.50030000000001</v>
      </c>
      <c r="M3963">
        <v>-4.291507E-2</v>
      </c>
      <c r="N3963">
        <v>-1.045125E-2</v>
      </c>
      <c r="O3963">
        <v>-0.99902409999999997</v>
      </c>
      <c r="P3963">
        <v>-0.24663109999999999</v>
      </c>
      <c r="Q3963">
        <v>0.136074</v>
      </c>
      <c r="R3963">
        <v>-0.95950899999999995</v>
      </c>
      <c r="S3963">
        <v>-1.104614</v>
      </c>
      <c r="T3963">
        <v>-0.17727879999999999</v>
      </c>
      <c r="U3963">
        <v>-2.8720859999999999</v>
      </c>
      <c r="V3963">
        <v>0.2066075</v>
      </c>
      <c r="W3963">
        <v>0.14423459999999999</v>
      </c>
      <c r="X3963">
        <v>0.96773430000000005</v>
      </c>
      <c r="Y3963">
        <v>0.31806830000000003</v>
      </c>
      <c r="Z3963">
        <v>4.751209E-2</v>
      </c>
      <c r="AA3963">
        <v>0.94687650000000001</v>
      </c>
      <c r="AB3963">
        <v>32</v>
      </c>
      <c r="AC3963">
        <v>-6.9408999999999903</v>
      </c>
      <c r="AD3963">
        <v>-1.1163876075600001</v>
      </c>
      <c r="AE3963">
        <v>-17.766100000000002</v>
      </c>
      <c r="AF3963">
        <v>6.1509581730941498</v>
      </c>
      <c r="AG3963">
        <v>-1.1163876075600001</v>
      </c>
      <c r="AH3963">
        <v>17.9860007636143</v>
      </c>
      <c r="AI3963">
        <v>93.361141036778605</v>
      </c>
      <c r="AJ3963">
        <v>71.120036695814093</v>
      </c>
      <c r="AK3963">
        <v>19.0414503440836</v>
      </c>
      <c r="AL3963">
        <v>81.707040718809097</v>
      </c>
      <c r="AM3963">
        <v>77.948505201370907</v>
      </c>
      <c r="AN3963">
        <v>0.99999997714494904</v>
      </c>
    </row>
    <row r="3964" spans="1:40" x14ac:dyDescent="0.25">
      <c r="A3964" t="str">
        <f>"20190303162337722"</f>
        <v>20190303162337722</v>
      </c>
      <c r="B3964" t="str">
        <f>"1551601417708963"</f>
        <v>1551601417708963</v>
      </c>
      <c r="C3964" t="s">
        <v>40</v>
      </c>
      <c r="D3964">
        <v>5.5545400000000003</v>
      </c>
      <c r="E3964">
        <v>0.55253560000000002</v>
      </c>
      <c r="F3964" t="s">
        <v>55</v>
      </c>
      <c r="G3964">
        <v>-197.9691</v>
      </c>
      <c r="H3964" s="1">
        <v>-1.29186E-5</v>
      </c>
      <c r="I3964">
        <v>152.1345</v>
      </c>
      <c r="J3964">
        <v>-191.512</v>
      </c>
      <c r="K3964">
        <v>1.116061</v>
      </c>
      <c r="L3964">
        <v>168.19120000000001</v>
      </c>
      <c r="M3964">
        <v>-4.8214890000000003E-2</v>
      </c>
      <c r="N3964">
        <v>-1.0474239999999999E-2</v>
      </c>
      <c r="O3964">
        <v>-0.99878219999999995</v>
      </c>
      <c r="P3964">
        <v>-0.25443729999999998</v>
      </c>
      <c r="Q3964">
        <v>0.1348848</v>
      </c>
      <c r="R3964">
        <v>-0.9576365</v>
      </c>
      <c r="S3964">
        <v>-1.132843</v>
      </c>
      <c r="T3964">
        <v>-0.19530690000000001</v>
      </c>
      <c r="U3964">
        <v>-2.8631129999999998</v>
      </c>
      <c r="V3964">
        <v>0.20944360000000001</v>
      </c>
      <c r="W3964">
        <v>0.14288310000000001</v>
      </c>
      <c r="X3964">
        <v>0.96732510000000005</v>
      </c>
      <c r="Y3964">
        <v>0.3220094</v>
      </c>
      <c r="Z3964">
        <v>5.3374489999999997E-2</v>
      </c>
      <c r="AA3964">
        <v>0.94523069999999998</v>
      </c>
      <c r="AB3964">
        <v>32</v>
      </c>
      <c r="AC3964">
        <v>-6.4570999999999898</v>
      </c>
      <c r="AD3964">
        <v>-1.1160739185999999</v>
      </c>
      <c r="AE3964">
        <v>-16.056699999999999</v>
      </c>
      <c r="AF3964">
        <v>5.6518698746818501</v>
      </c>
      <c r="AG3964">
        <v>-1.1160739185999999</v>
      </c>
      <c r="AH3964">
        <v>16.281656411877002</v>
      </c>
      <c r="AI3964">
        <v>93.705144067945</v>
      </c>
      <c r="AJ3964">
        <v>70.856520060401493</v>
      </c>
      <c r="AK3964">
        <v>17.270830599207699</v>
      </c>
      <c r="AL3964">
        <v>81.785286859173198</v>
      </c>
      <c r="AM3964">
        <v>77.782996405798002</v>
      </c>
      <c r="AN3964">
        <v>1.0000000254682799</v>
      </c>
    </row>
    <row r="3965" spans="1:40" x14ac:dyDescent="0.25">
      <c r="A3965" t="str">
        <f>"20190303162337744"</f>
        <v>20190303162337744</v>
      </c>
      <c r="B3965" t="str">
        <f>"1551601417738244"</f>
        <v>1551601417738244</v>
      </c>
      <c r="C3965" t="s">
        <v>40</v>
      </c>
      <c r="D3965">
        <v>5.6520839999999897</v>
      </c>
      <c r="E3965">
        <v>0.55123310000000003</v>
      </c>
      <c r="F3965" t="s">
        <v>55</v>
      </c>
      <c r="G3965">
        <v>-198.37430000000001</v>
      </c>
      <c r="H3965" s="1">
        <v>-1.273899E-5</v>
      </c>
      <c r="I3965">
        <v>151.27789999999999</v>
      </c>
      <c r="J3965">
        <v>-191.53219999999999</v>
      </c>
      <c r="K3965">
        <v>1.1157589999999999</v>
      </c>
      <c r="L3965">
        <v>167.8871</v>
      </c>
      <c r="M3965">
        <v>-5.3768870000000003E-2</v>
      </c>
      <c r="N3965">
        <v>-1.0499659999999999E-2</v>
      </c>
      <c r="O3965">
        <v>-0.99849840000000001</v>
      </c>
      <c r="P3965">
        <v>-0.2620537</v>
      </c>
      <c r="Q3965">
        <v>0.13450139999999999</v>
      </c>
      <c r="R3965">
        <v>-0.95563480000000001</v>
      </c>
      <c r="S3965">
        <v>-1.1570590000000001</v>
      </c>
      <c r="T3965">
        <v>-0.1881833</v>
      </c>
      <c r="U3965">
        <v>-2.851791</v>
      </c>
      <c r="V3965">
        <v>0.21186269999999999</v>
      </c>
      <c r="W3965">
        <v>0.14234550000000001</v>
      </c>
      <c r="X3965">
        <v>0.9668774</v>
      </c>
      <c r="Y3965">
        <v>0.32498549999999998</v>
      </c>
      <c r="Z3965">
        <v>5.1119610000000003E-2</v>
      </c>
      <c r="AA3965">
        <v>0.94433639999999996</v>
      </c>
      <c r="AB3965">
        <v>32</v>
      </c>
      <c r="AC3965">
        <v>-6.8421000000000101</v>
      </c>
      <c r="AD3965">
        <v>-1.1157717389899999</v>
      </c>
      <c r="AE3965">
        <v>-16.609200000000001</v>
      </c>
      <c r="AF3965">
        <v>5.9162683743944298</v>
      </c>
      <c r="AG3965">
        <v>-1.1157717389899999</v>
      </c>
      <c r="AH3965">
        <v>16.8879266998307</v>
      </c>
      <c r="AI3965">
        <v>93.567980841448701</v>
      </c>
      <c r="AJ3965">
        <v>70.693350004749007</v>
      </c>
      <c r="AK3965">
        <v>17.929005724530398</v>
      </c>
      <c r="AL3965">
        <v>81.816406762066194</v>
      </c>
      <c r="AM3965">
        <v>77.640653312537793</v>
      </c>
      <c r="AN3965">
        <v>0.99999997582614897</v>
      </c>
    </row>
    <row r="3966" spans="1:40" x14ac:dyDescent="0.25">
      <c r="A3966" t="str">
        <f>"20190303162337766"</f>
        <v>20190303162337766</v>
      </c>
      <c r="B3966" t="str">
        <f>"1551601417758740"</f>
        <v>1551601417758740</v>
      </c>
      <c r="C3966" t="s">
        <v>40</v>
      </c>
      <c r="D3966">
        <v>5.625076</v>
      </c>
      <c r="E3966">
        <v>0.55018199999999995</v>
      </c>
      <c r="F3966" t="s">
        <v>55</v>
      </c>
      <c r="G3966">
        <v>-198.4659</v>
      </c>
      <c r="H3966" s="1">
        <v>-1.2682329999999999E-5</v>
      </c>
      <c r="I3966">
        <v>151.02029999999999</v>
      </c>
      <c r="J3966">
        <v>-191.55539999999999</v>
      </c>
      <c r="K3966">
        <v>1.115464</v>
      </c>
      <c r="L3966">
        <v>167.56799999999899</v>
      </c>
      <c r="M3966">
        <v>-5.9906840000000003E-2</v>
      </c>
      <c r="N3966">
        <v>-1.052817E-2</v>
      </c>
      <c r="O3966">
        <v>-0.99814849999999999</v>
      </c>
      <c r="P3966">
        <v>-0.26971509999999999</v>
      </c>
      <c r="Q3966">
        <v>0.13400529999999999</v>
      </c>
      <c r="R3966">
        <v>-0.95357040000000004</v>
      </c>
      <c r="S3966">
        <v>-1.1695709999999999</v>
      </c>
      <c r="T3966">
        <v>-0.18820500000000001</v>
      </c>
      <c r="U3966">
        <v>-2.8450319999999998</v>
      </c>
      <c r="V3966">
        <v>0.21377389999999999</v>
      </c>
      <c r="W3966">
        <v>0.1416984</v>
      </c>
      <c r="X3966">
        <v>0.96655170000000001</v>
      </c>
      <c r="Y3966">
        <v>0.32351039999999998</v>
      </c>
      <c r="Z3966">
        <v>5.1181299999999999E-2</v>
      </c>
      <c r="AA3966">
        <v>0.9448394</v>
      </c>
      <c r="AB3966">
        <v>32</v>
      </c>
      <c r="AC3966">
        <v>-6.9105000000000096</v>
      </c>
      <c r="AD3966">
        <v>-1.11547668233</v>
      </c>
      <c r="AE3966">
        <v>-16.547699999999899</v>
      </c>
      <c r="AF3966">
        <v>5.8839452359036297</v>
      </c>
      <c r="AG3966">
        <v>-1.11547668233</v>
      </c>
      <c r="AH3966">
        <v>16.866723655880001</v>
      </c>
      <c r="AI3966">
        <v>93.573150547471499</v>
      </c>
      <c r="AJ3966">
        <v>70.768708534114893</v>
      </c>
      <c r="AK3966">
        <v>17.898364915593799</v>
      </c>
      <c r="AL3966">
        <v>81.853862344084504</v>
      </c>
      <c r="AM3966">
        <v>77.528562048740397</v>
      </c>
      <c r="AN3966">
        <v>0.99999995282832799</v>
      </c>
    </row>
    <row r="3967" spans="1:40" x14ac:dyDescent="0.25">
      <c r="A3967" t="str">
        <f>"20190303162337788"</f>
        <v>20190303162337788</v>
      </c>
      <c r="B3967" t="str">
        <f>"1551601417778260"</f>
        <v>1551601417778260</v>
      </c>
      <c r="C3967" t="s">
        <v>40</v>
      </c>
      <c r="D3967">
        <v>5.6497830000000002</v>
      </c>
      <c r="E3967">
        <v>0.54921039999999999</v>
      </c>
      <c r="F3967" t="s">
        <v>55</v>
      </c>
      <c r="G3967">
        <v>-198.14279999999999</v>
      </c>
      <c r="H3967" s="1">
        <v>-1.284435E-5</v>
      </c>
      <c r="I3967">
        <v>151.7782</v>
      </c>
      <c r="J3967">
        <v>-191.57980000000001</v>
      </c>
      <c r="K3967">
        <v>1.1152150000000001</v>
      </c>
      <c r="L3967">
        <v>167.26130000000001</v>
      </c>
      <c r="M3967">
        <v>-6.6039340000000002E-2</v>
      </c>
      <c r="N3967">
        <v>-1.055326E-2</v>
      </c>
      <c r="O3967">
        <v>-0.99776140000000002</v>
      </c>
      <c r="P3967">
        <v>-0.27787630000000002</v>
      </c>
      <c r="Q3967">
        <v>0.1347285</v>
      </c>
      <c r="R3967">
        <v>-0.95112220000000003</v>
      </c>
      <c r="S3967">
        <v>-1.1844939999999999</v>
      </c>
      <c r="T3967">
        <v>-0.20057710000000001</v>
      </c>
      <c r="U3967">
        <v>-2.8392029999999999</v>
      </c>
      <c r="V3967">
        <v>0.21622479999999999</v>
      </c>
      <c r="W3967">
        <v>0.14227619999999999</v>
      </c>
      <c r="X3967">
        <v>0.96592149999999999</v>
      </c>
      <c r="Y3967">
        <v>0.32252710000000001</v>
      </c>
      <c r="Z3967">
        <v>5.5236430000000003E-2</v>
      </c>
      <c r="AA3967">
        <v>0.94494719999999999</v>
      </c>
      <c r="AB3967">
        <v>32</v>
      </c>
      <c r="AC3967">
        <v>-6.5629999999999802</v>
      </c>
      <c r="AD3967">
        <v>-1.1152278443500001</v>
      </c>
      <c r="AE3967">
        <v>-15.4831</v>
      </c>
      <c r="AF3967">
        <v>5.5019239521271803</v>
      </c>
      <c r="AG3967">
        <v>-1.1152278443500001</v>
      </c>
      <c r="AH3967">
        <v>15.8131918036622</v>
      </c>
      <c r="AI3967">
        <v>93.810761715386505</v>
      </c>
      <c r="AJ3967">
        <v>70.815551238359106</v>
      </c>
      <c r="AK3967">
        <v>16.7801053435076</v>
      </c>
      <c r="AL3967">
        <v>81.820418491527704</v>
      </c>
      <c r="AM3967">
        <v>77.382162285308297</v>
      </c>
      <c r="AN3967">
        <v>1.00000001269186</v>
      </c>
    </row>
    <row r="3968" spans="1:40" x14ac:dyDescent="0.25">
      <c r="A3968" t="str">
        <f>"20190303162337801"</f>
        <v>20190303162337801</v>
      </c>
      <c r="B3968" t="str">
        <f>"1551601417788996"</f>
        <v>1551601417788996</v>
      </c>
      <c r="C3968" t="s">
        <v>40</v>
      </c>
      <c r="D3968">
        <v>5.6322429999999999</v>
      </c>
      <c r="E3968">
        <v>0.54875369999999901</v>
      </c>
      <c r="F3968" t="s">
        <v>55</v>
      </c>
      <c r="G3968">
        <v>-197.98169999999999</v>
      </c>
      <c r="H3968" s="1">
        <v>-1.29291E-5</v>
      </c>
      <c r="I3968">
        <v>152.17179999999999</v>
      </c>
      <c r="J3968">
        <v>-191.59620000000001</v>
      </c>
      <c r="K3968">
        <v>1.115062</v>
      </c>
      <c r="L3968">
        <v>167.06739999999999</v>
      </c>
      <c r="M3968">
        <v>-7.0020189999999996E-2</v>
      </c>
      <c r="N3968">
        <v>-1.056546E-2</v>
      </c>
      <c r="O3968">
        <v>-0.99748959999999998</v>
      </c>
      <c r="P3968">
        <v>-0.28297800000000001</v>
      </c>
      <c r="Q3968">
        <v>0.13541069999999999</v>
      </c>
      <c r="R3968">
        <v>-0.94951980000000002</v>
      </c>
      <c r="S3968">
        <v>-1.201813</v>
      </c>
      <c r="T3968">
        <v>-0.20935860000000001</v>
      </c>
      <c r="U3968">
        <v>-2.8327179999999998</v>
      </c>
      <c r="V3968">
        <v>0.21762570000000001</v>
      </c>
      <c r="W3968">
        <v>0.14286799999999999</v>
      </c>
      <c r="X3968">
        <v>0.96551940000000003</v>
      </c>
      <c r="Y3968">
        <v>0.32435639999999999</v>
      </c>
      <c r="Z3968">
        <v>5.8112190000000001E-2</v>
      </c>
      <c r="AA3968">
        <v>0.94414819999999999</v>
      </c>
      <c r="AB3968">
        <v>32</v>
      </c>
      <c r="AC3968">
        <v>-6.3854999999999702</v>
      </c>
      <c r="AD3968">
        <v>-1.1150749290999999</v>
      </c>
      <c r="AE3968">
        <v>-14.8956</v>
      </c>
      <c r="AF3968">
        <v>5.3016765869076696</v>
      </c>
      <c r="AG3968">
        <v>-1.1150749290999999</v>
      </c>
      <c r="AH3968">
        <v>15.234057190943499</v>
      </c>
      <c r="AI3968">
        <v>93.954538208740701</v>
      </c>
      <c r="AJ3968">
        <v>70.811349636920099</v>
      </c>
      <c r="AK3968">
        <v>16.168724910351099</v>
      </c>
      <c r="AL3968">
        <v>81.786160462342096</v>
      </c>
      <c r="AM3968">
        <v>77.297938395124007</v>
      </c>
      <c r="AN3968">
        <v>0.99999996125042401</v>
      </c>
    </row>
    <row r="3969" spans="1:40" x14ac:dyDescent="0.25">
      <c r="A3969" t="str">
        <f>"20190303162337824"</f>
        <v>20190303162337824</v>
      </c>
      <c r="B3969" t="str">
        <f>"1551601417808515"</f>
        <v>1551601417808515</v>
      </c>
      <c r="C3969" t="s">
        <v>40</v>
      </c>
      <c r="D3969">
        <v>5.636628</v>
      </c>
      <c r="E3969">
        <v>0.54791219999999996</v>
      </c>
      <c r="F3969" t="s">
        <v>55</v>
      </c>
      <c r="G3969">
        <v>-198.03829999999999</v>
      </c>
      <c r="H3969" s="1">
        <v>-1.2905679999999999E-5</v>
      </c>
      <c r="I3969">
        <v>152.05879999999999</v>
      </c>
      <c r="J3969">
        <v>-191.62430000000001</v>
      </c>
      <c r="K3969">
        <v>1.1148400000000001</v>
      </c>
      <c r="L3969">
        <v>166.75880000000001</v>
      </c>
      <c r="M3969">
        <v>-7.6563779999999998E-2</v>
      </c>
      <c r="N3969">
        <v>-1.058096E-2</v>
      </c>
      <c r="O3969">
        <v>-0.99700869999999997</v>
      </c>
      <c r="P3969">
        <v>-0.29213820000000001</v>
      </c>
      <c r="Q3969">
        <v>0.1363251</v>
      </c>
      <c r="R3969">
        <v>-0.94661050000000002</v>
      </c>
      <c r="S3969">
        <v>-1.21373</v>
      </c>
      <c r="T3969">
        <v>-0.2100881</v>
      </c>
      <c r="U3969">
        <v>-2.827728</v>
      </c>
      <c r="V3969">
        <v>0.220723</v>
      </c>
      <c r="W3969">
        <v>0.1436287</v>
      </c>
      <c r="X3969">
        <v>0.96470310000000004</v>
      </c>
      <c r="Y3969">
        <v>0.32210830000000001</v>
      </c>
      <c r="Z3969">
        <v>5.8383669999999999E-2</v>
      </c>
      <c r="AA3969">
        <v>0.94490079999999999</v>
      </c>
      <c r="AB3969">
        <v>32</v>
      </c>
      <c r="AC3969">
        <v>-6.4139999999999802</v>
      </c>
      <c r="AD3969">
        <v>-1.1148529056799901</v>
      </c>
      <c r="AE3969">
        <v>-14.7</v>
      </c>
      <c r="AF3969">
        <v>5.2442807514211598</v>
      </c>
      <c r="AG3969">
        <v>-1.1148529056799901</v>
      </c>
      <c r="AH3969">
        <v>15.075112687630099</v>
      </c>
      <c r="AI3969">
        <v>93.995476035846494</v>
      </c>
      <c r="AJ3969">
        <v>70.818404067845904</v>
      </c>
      <c r="AK3969">
        <v>16.000137503964702</v>
      </c>
      <c r="AL3969">
        <v>81.742121353483498</v>
      </c>
      <c r="AM3969">
        <v>77.1126134649341</v>
      </c>
      <c r="AN3969">
        <v>0.99999995867114899</v>
      </c>
    </row>
    <row r="3970" spans="1:40" x14ac:dyDescent="0.25">
      <c r="A3970" t="str">
        <f>"20190303162337844"</f>
        <v>20190303162337844</v>
      </c>
      <c r="B3970" t="str">
        <f>"1551601417838772"</f>
        <v>1551601417838772</v>
      </c>
      <c r="C3970" t="s">
        <v>40</v>
      </c>
      <c r="D3970">
        <v>5.6633329999999997</v>
      </c>
      <c r="E3970">
        <v>0.54672849999999995</v>
      </c>
      <c r="F3970" t="s">
        <v>55</v>
      </c>
      <c r="G3970">
        <v>-198.08070000000001</v>
      </c>
      <c r="H3970" s="1">
        <v>-1.290188E-5</v>
      </c>
      <c r="I3970">
        <v>152.02869999999999</v>
      </c>
      <c r="J3970">
        <v>-191.6541</v>
      </c>
      <c r="K3970">
        <v>1.114627</v>
      </c>
      <c r="L3970">
        <v>166.4563</v>
      </c>
      <c r="M3970">
        <v>-8.3216739999999997E-2</v>
      </c>
      <c r="N3970">
        <v>-1.0592300000000001E-2</v>
      </c>
      <c r="O3970">
        <v>-0.99647529999999995</v>
      </c>
      <c r="P3970">
        <v>-0.30343819999999999</v>
      </c>
      <c r="Q3970">
        <v>0.1366686</v>
      </c>
      <c r="R3970">
        <v>-0.94299909999999998</v>
      </c>
      <c r="S3970">
        <v>-1.2354579999999999</v>
      </c>
      <c r="T3970">
        <v>-0.21333099999999999</v>
      </c>
      <c r="U3970">
        <v>-2.8186490000000002</v>
      </c>
      <c r="V3970">
        <v>0.22591059999999999</v>
      </c>
      <c r="W3970">
        <v>0.14378299999999999</v>
      </c>
      <c r="X3970">
        <v>0.96347850000000002</v>
      </c>
      <c r="Y3970">
        <v>0.32299280000000002</v>
      </c>
      <c r="Z3970">
        <v>5.9482590000000002E-2</v>
      </c>
      <c r="AA3970">
        <v>0.94453030000000004</v>
      </c>
      <c r="AB3970">
        <v>32</v>
      </c>
      <c r="AC3970">
        <v>-6.4265999999999996</v>
      </c>
      <c r="AD3970">
        <v>-1.11463990188</v>
      </c>
      <c r="AE3970">
        <v>-14.4276</v>
      </c>
      <c r="AF3970">
        <v>5.1778333592915997</v>
      </c>
      <c r="AG3970">
        <v>-1.11463990188</v>
      </c>
      <c r="AH3970">
        <v>14.8384793012803</v>
      </c>
      <c r="AI3970">
        <v>94.056864836762102</v>
      </c>
      <c r="AJ3970">
        <v>70.763752331215301</v>
      </c>
      <c r="AK3970">
        <v>15.7554069570411</v>
      </c>
      <c r="AL3970">
        <v>81.733188109144095</v>
      </c>
      <c r="AM3970">
        <v>76.804015745503307</v>
      </c>
      <c r="AN3970">
        <v>0.99999998512180499</v>
      </c>
    </row>
    <row r="3971" spans="1:40" x14ac:dyDescent="0.25">
      <c r="A3971" t="str">
        <f>"20190303162337879"</f>
        <v>20190303162337879</v>
      </c>
      <c r="B3971" t="str">
        <f>"1551601417869027"</f>
        <v>1551601417869027</v>
      </c>
      <c r="C3971" t="s">
        <v>40</v>
      </c>
      <c r="D3971">
        <v>5.7820539999999996</v>
      </c>
      <c r="E3971">
        <v>0.54595050000000001</v>
      </c>
      <c r="F3971" t="s">
        <v>55</v>
      </c>
      <c r="G3971">
        <v>-198.1258</v>
      </c>
      <c r="H3971" s="1">
        <v>-1.290942E-5</v>
      </c>
      <c r="I3971">
        <v>152.0428</v>
      </c>
      <c r="J3971">
        <v>-191.70769999999999</v>
      </c>
      <c r="K3971">
        <v>1.1142840000000001</v>
      </c>
      <c r="L3971">
        <v>165.96029999999999</v>
      </c>
      <c r="M3971">
        <v>-9.4511689999999995E-2</v>
      </c>
      <c r="N3971">
        <v>-1.060669E-2</v>
      </c>
      <c r="O3971">
        <v>-0.9954674</v>
      </c>
      <c r="P3971">
        <v>-0.32065110000000002</v>
      </c>
      <c r="Q3971">
        <v>0.136271</v>
      </c>
      <c r="R3971">
        <v>-0.93734399999999996</v>
      </c>
      <c r="S3971">
        <v>-1.260437</v>
      </c>
      <c r="T3971">
        <v>-0.21708830000000001</v>
      </c>
      <c r="U3971">
        <v>-2.8071899999999999</v>
      </c>
      <c r="V3971">
        <v>0.23272880000000001</v>
      </c>
      <c r="W3971">
        <v>0.1431096</v>
      </c>
      <c r="X3971">
        <v>0.9619548</v>
      </c>
      <c r="Y3971">
        <v>0.32066319999999998</v>
      </c>
      <c r="Z3971">
        <v>6.0783999999999998E-2</v>
      </c>
      <c r="AA3971">
        <v>0.94524090000000005</v>
      </c>
      <c r="AB3971">
        <v>32</v>
      </c>
      <c r="AC3971">
        <v>-6.4181000000000097</v>
      </c>
      <c r="AD3971">
        <v>-1.1142969094199999</v>
      </c>
      <c r="AE3971">
        <v>-13.917499999999899</v>
      </c>
      <c r="AF3971">
        <v>5.04724701258937</v>
      </c>
      <c r="AG3971">
        <v>-1.1142969094199999</v>
      </c>
      <c r="AH3971">
        <v>14.3857689798837</v>
      </c>
      <c r="AI3971">
        <v>94.180329495160393</v>
      </c>
      <c r="AJ3971">
        <v>70.666578846424898</v>
      </c>
      <c r="AK3971">
        <v>15.2861607066987</v>
      </c>
      <c r="AL3971">
        <v>81.772174772226293</v>
      </c>
      <c r="AM3971">
        <v>76.399581273626396</v>
      </c>
      <c r="AN3971">
        <v>1.0000000446023101</v>
      </c>
    </row>
    <row r="3972" spans="1:40" x14ac:dyDescent="0.25">
      <c r="A3972" t="str">
        <f>"20190303162337900"</f>
        <v>20190303162337900</v>
      </c>
      <c r="B3972" t="str">
        <f>"1551601417888548"</f>
        <v>1551601417888548</v>
      </c>
      <c r="C3972" t="s">
        <v>40</v>
      </c>
      <c r="D3972">
        <v>5.6761290000000004</v>
      </c>
      <c r="E3972">
        <v>0.54518919999999904</v>
      </c>
      <c r="F3972" t="s">
        <v>55</v>
      </c>
      <c r="G3972">
        <v>-198.03970000000001</v>
      </c>
      <c r="H3972" s="1">
        <v>-1.299844E-5</v>
      </c>
      <c r="I3972">
        <v>152.42689999999999</v>
      </c>
      <c r="J3972">
        <v>-191.74270000000001</v>
      </c>
      <c r="K3972">
        <v>1.114096</v>
      </c>
      <c r="L3972">
        <v>165.66290000000001</v>
      </c>
      <c r="M3972">
        <v>-0.10147249999999999</v>
      </c>
      <c r="N3972">
        <v>-1.0613020000000001E-2</v>
      </c>
      <c r="O3972">
        <v>-0.99478169999999999</v>
      </c>
      <c r="P3972">
        <v>-0.33072620000000003</v>
      </c>
      <c r="Q3972">
        <v>0.13492399999999999</v>
      </c>
      <c r="R3972">
        <v>-0.93403210000000003</v>
      </c>
      <c r="S3972">
        <v>-1.3043209999999901</v>
      </c>
      <c r="T3972">
        <v>-0.22953019999999999</v>
      </c>
      <c r="U3972">
        <v>-2.7877040000000002</v>
      </c>
      <c r="V3972">
        <v>0.23638039999999999</v>
      </c>
      <c r="W3972">
        <v>0.1416135</v>
      </c>
      <c r="X3972">
        <v>0.96128559999999996</v>
      </c>
      <c r="Y3972">
        <v>0.32865480000000002</v>
      </c>
      <c r="Z3972">
        <v>6.4914599999999906E-2</v>
      </c>
      <c r="AA3972">
        <v>0.94221659999999996</v>
      </c>
      <c r="AB3972">
        <v>32</v>
      </c>
      <c r="AC3972">
        <v>-6.2969999999999899</v>
      </c>
      <c r="AD3972">
        <v>-1.1141089984400001</v>
      </c>
      <c r="AE3972">
        <v>-13.236000000000001</v>
      </c>
      <c r="AF3972">
        <v>4.8930585330440604</v>
      </c>
      <c r="AG3972">
        <v>-1.1141089984400001</v>
      </c>
      <c r="AH3972">
        <v>13.727372448240301</v>
      </c>
      <c r="AI3972">
        <v>94.371663712158494</v>
      </c>
      <c r="AJ3972">
        <v>70.381625456995707</v>
      </c>
      <c r="AK3972">
        <v>14.615882286092299</v>
      </c>
      <c r="AL3972">
        <v>81.858777029932597</v>
      </c>
      <c r="AM3972">
        <v>76.185048001313405</v>
      </c>
      <c r="AN3972">
        <v>1.0000000408268801</v>
      </c>
    </row>
    <row r="3973" spans="1:40" x14ac:dyDescent="0.25">
      <c r="A3973" t="str">
        <f>"20190303162337923"</f>
        <v>20190303162337923</v>
      </c>
      <c r="B3973" t="str">
        <f>"1551601417918804"</f>
        <v>1551601417918804</v>
      </c>
      <c r="C3973" t="s">
        <v>40</v>
      </c>
      <c r="D3973">
        <v>5.6647990000000004</v>
      </c>
      <c r="E3973">
        <v>0.54444309999999996</v>
      </c>
      <c r="F3973" t="s">
        <v>55</v>
      </c>
      <c r="G3973">
        <v>-197.96700000000001</v>
      </c>
      <c r="H3973" s="1">
        <v>-1.304605E-5</v>
      </c>
      <c r="I3973">
        <v>152.64179999999999</v>
      </c>
      <c r="J3973">
        <v>-191.7834</v>
      </c>
      <c r="K3973">
        <v>1.113912</v>
      </c>
      <c r="L3973">
        <v>165.3381</v>
      </c>
      <c r="M3973">
        <v>-0.1092037</v>
      </c>
      <c r="N3973">
        <v>-1.061846E-2</v>
      </c>
      <c r="O3973">
        <v>-0.99396289999999998</v>
      </c>
      <c r="P3973">
        <v>-0.34082050000000003</v>
      </c>
      <c r="Q3973">
        <v>0.13320779999999999</v>
      </c>
      <c r="R3973">
        <v>-0.93064349999999996</v>
      </c>
      <c r="S3973">
        <v>-1.327118</v>
      </c>
      <c r="T3973">
        <v>-0.23754330000000001</v>
      </c>
      <c r="U3973">
        <v>-2.7762910000000001</v>
      </c>
      <c r="V3973">
        <v>0.2393189</v>
      </c>
      <c r="W3973">
        <v>0.13976329999999901</v>
      </c>
      <c r="X3973">
        <v>0.96082909999999999</v>
      </c>
      <c r="Y3973">
        <v>0.3290363</v>
      </c>
      <c r="Z3973">
        <v>6.7600510000000003E-2</v>
      </c>
      <c r="AA3973">
        <v>0.94189449999999997</v>
      </c>
      <c r="AB3973">
        <v>32</v>
      </c>
      <c r="AC3973">
        <v>-6.18360000000001</v>
      </c>
      <c r="AD3973">
        <v>-1.1139250460500001</v>
      </c>
      <c r="AE3973">
        <v>-12.696300000000001</v>
      </c>
      <c r="AF3973">
        <v>4.7306204432230601</v>
      </c>
      <c r="AG3973">
        <v>-1.1139250460500001</v>
      </c>
      <c r="AH3973">
        <v>13.2134584693792</v>
      </c>
      <c r="AI3973">
        <v>94.537999147710906</v>
      </c>
      <c r="AJ3973">
        <v>70.301855017538202</v>
      </c>
      <c r="AK3973">
        <v>14.0788878647451</v>
      </c>
      <c r="AL3973">
        <v>81.965849821169499</v>
      </c>
      <c r="AM3973">
        <v>76.013626404379906</v>
      </c>
      <c r="AN3973">
        <v>0.99999993766545303</v>
      </c>
    </row>
    <row r="3974" spans="1:40" x14ac:dyDescent="0.25">
      <c r="A3974" t="str">
        <f>"20190303162337945"</f>
        <v>20190303162337945</v>
      </c>
      <c r="B3974" t="str">
        <f>"1551601417938324"</f>
        <v>1551601417938324</v>
      </c>
      <c r="C3974" t="s">
        <v>40</v>
      </c>
      <c r="D3974">
        <v>5.6539529999999996</v>
      </c>
      <c r="E3974">
        <v>0.53431980000000001</v>
      </c>
      <c r="F3974" t="s">
        <v>55</v>
      </c>
      <c r="G3974">
        <v>-197.857</v>
      </c>
      <c r="H3974" s="1">
        <v>-1.3100039999999999E-5</v>
      </c>
      <c r="I3974">
        <v>152.89510000000001</v>
      </c>
      <c r="J3974">
        <v>-191.827</v>
      </c>
      <c r="K3974">
        <v>1.1137589999999999</v>
      </c>
      <c r="L3974">
        <v>165.01300000000001</v>
      </c>
      <c r="M3974">
        <v>-0.1170549</v>
      </c>
      <c r="N3974">
        <v>-1.062314E-2</v>
      </c>
      <c r="O3974">
        <v>-0.99306859999999997</v>
      </c>
      <c r="P3974">
        <v>-0.35265299999999999</v>
      </c>
      <c r="Q3974">
        <v>0.13174849999999999</v>
      </c>
      <c r="R3974">
        <v>-0.92643339999999996</v>
      </c>
      <c r="S3974">
        <v>-1.3495330000000001</v>
      </c>
      <c r="T3974">
        <v>-0.24750829999999999</v>
      </c>
      <c r="U3974">
        <v>-2.7647710000000001</v>
      </c>
      <c r="V3974">
        <v>0.24396999999999999</v>
      </c>
      <c r="W3974">
        <v>0.13815359999999999</v>
      </c>
      <c r="X3974">
        <v>0.95989179999999996</v>
      </c>
      <c r="Y3974">
        <v>0.32918259999999899</v>
      </c>
      <c r="Z3974">
        <v>7.0923429999999996E-2</v>
      </c>
      <c r="AA3974">
        <v>0.94159899999999996</v>
      </c>
      <c r="AB3974">
        <v>32</v>
      </c>
      <c r="AC3974">
        <v>-6.03</v>
      </c>
      <c r="AD3974">
        <v>-1.1137721000399901</v>
      </c>
      <c r="AE3974">
        <v>-12.117899999999899</v>
      </c>
      <c r="AF3974">
        <v>4.5392664302110504</v>
      </c>
      <c r="AG3974">
        <v>-1.1137721000399901</v>
      </c>
      <c r="AH3974">
        <v>12.6547799976886</v>
      </c>
      <c r="AI3974">
        <v>94.735775998810198</v>
      </c>
      <c r="AJ3974">
        <v>70.267102442244905</v>
      </c>
      <c r="AK3974">
        <v>13.490325600413399</v>
      </c>
      <c r="AL3974">
        <v>82.058983087861904</v>
      </c>
      <c r="AM3974">
        <v>75.739428539866395</v>
      </c>
      <c r="AN3974">
        <v>1.00000002290009</v>
      </c>
    </row>
    <row r="3975" spans="1:40" x14ac:dyDescent="0.25">
      <c r="A3975" t="str">
        <f>"20190303162337966"</f>
        <v>20190303162337966</v>
      </c>
      <c r="B3975" t="str">
        <f>"1551601417958822"</f>
        <v>1551601417958822</v>
      </c>
      <c r="C3975" t="s">
        <v>40</v>
      </c>
      <c r="D3975">
        <v>5.6468939999999996</v>
      </c>
      <c r="E3975">
        <v>0.53355920000000001</v>
      </c>
      <c r="F3975" t="s">
        <v>55</v>
      </c>
      <c r="G3975">
        <v>-196.80969999999999</v>
      </c>
      <c r="H3975" s="1">
        <v>-1.338542E-5</v>
      </c>
      <c r="I3975">
        <v>154.39850000000001</v>
      </c>
      <c r="J3975">
        <v>-191.8708</v>
      </c>
      <c r="K3975">
        <v>1.1136490000000001</v>
      </c>
      <c r="L3975">
        <v>164.7047</v>
      </c>
      <c r="M3975">
        <v>-0.1245613</v>
      </c>
      <c r="N3975">
        <v>-1.0626460000000001E-2</v>
      </c>
      <c r="O3975">
        <v>-0.99215520000000001</v>
      </c>
      <c r="P3975">
        <v>-0.36421920000000002</v>
      </c>
      <c r="Q3975">
        <v>0.13149439999999901</v>
      </c>
      <c r="R3975">
        <v>-0.92198380000000002</v>
      </c>
      <c r="S3975">
        <v>-1.3061830000000001</v>
      </c>
      <c r="T3975">
        <v>-0.29197050000000002</v>
      </c>
      <c r="U3975">
        <v>-2.7825470000000001</v>
      </c>
      <c r="V3975">
        <v>0.24875</v>
      </c>
      <c r="W3975">
        <v>0.1377601</v>
      </c>
      <c r="X3975">
        <v>0.95872080000000004</v>
      </c>
      <c r="Y3975">
        <v>0.30714249999999998</v>
      </c>
      <c r="Z3975">
        <v>8.5390610000000006E-2</v>
      </c>
      <c r="AA3975">
        <v>0.94782480000000002</v>
      </c>
      <c r="AB3975">
        <v>32</v>
      </c>
      <c r="AC3975">
        <v>-4.9388999999999896</v>
      </c>
      <c r="AD3975">
        <v>-1.1136623854199901</v>
      </c>
      <c r="AE3975">
        <v>-10.306199999999899</v>
      </c>
      <c r="AF3975">
        <v>3.5825858411171501</v>
      </c>
      <c r="AG3975">
        <v>-1.1136623854199901</v>
      </c>
      <c r="AH3975">
        <v>10.739179278028301</v>
      </c>
      <c r="AI3975">
        <v>95.6181923446007</v>
      </c>
      <c r="AJ3975">
        <v>71.551322251231397</v>
      </c>
      <c r="AK3975">
        <v>11.375637862700501</v>
      </c>
      <c r="AL3975">
        <v>82.081746374150597</v>
      </c>
      <c r="AM3975">
        <v>75.454751374585996</v>
      </c>
      <c r="AN3975">
        <v>0.99999999000232498</v>
      </c>
    </row>
    <row r="3976" spans="1:40" x14ac:dyDescent="0.25">
      <c r="A3976" t="str">
        <f>"20190303162337989"</f>
        <v>20190303162337989</v>
      </c>
      <c r="B3976" t="str">
        <f>"1551601417978340"</f>
        <v>1551601417978340</v>
      </c>
      <c r="C3976" t="s">
        <v>40</v>
      </c>
      <c r="D3976">
        <v>5.6977500000000001</v>
      </c>
      <c r="E3976">
        <v>0.53421669999999999</v>
      </c>
      <c r="F3976" t="s">
        <v>55</v>
      </c>
      <c r="G3976">
        <v>-196.93180000000001</v>
      </c>
      <c r="H3976" s="1">
        <v>-1.3346800000000001E-5</v>
      </c>
      <c r="I3976">
        <v>154.202</v>
      </c>
      <c r="J3976">
        <v>-191.91730000000001</v>
      </c>
      <c r="K3976">
        <v>1.113569</v>
      </c>
      <c r="L3976">
        <v>164.39410000000001</v>
      </c>
      <c r="M3976">
        <v>-0.1321601</v>
      </c>
      <c r="N3976">
        <v>-1.062892E-2</v>
      </c>
      <c r="O3976">
        <v>-0.99117169999999999</v>
      </c>
      <c r="P3976">
        <v>-0.37645849999999997</v>
      </c>
      <c r="Q3976">
        <v>0.13077549999999999</v>
      </c>
      <c r="R3976">
        <v>-0.91715749999999996</v>
      </c>
      <c r="S3976">
        <v>-1.334152</v>
      </c>
      <c r="T3976">
        <v>-0.29357549999999999</v>
      </c>
      <c r="U3976">
        <v>-2.7686609999999998</v>
      </c>
      <c r="V3976">
        <v>0.25416650000000002</v>
      </c>
      <c r="W3976">
        <v>0.1369001</v>
      </c>
      <c r="X3976">
        <v>0.95742240000000001</v>
      </c>
      <c r="Y3976">
        <v>0.30945650000000002</v>
      </c>
      <c r="Z3976">
        <v>8.598778E-2</v>
      </c>
      <c r="AA3976">
        <v>0.94701780000000002</v>
      </c>
      <c r="AB3976">
        <v>32</v>
      </c>
      <c r="AC3976">
        <v>-5.0144999999999902</v>
      </c>
      <c r="AD3976">
        <v>-1.1135823467999999</v>
      </c>
      <c r="AE3976">
        <v>-10.1921</v>
      </c>
      <c r="AF3976">
        <v>3.58895129650075</v>
      </c>
      <c r="AG3976">
        <v>-1.1135823467999999</v>
      </c>
      <c r="AH3976">
        <v>10.6629598354428</v>
      </c>
      <c r="AI3976">
        <v>95.652641112071095</v>
      </c>
      <c r="AJ3976">
        <v>71.397737044672496</v>
      </c>
      <c r="AK3976">
        <v>11.305721980662099</v>
      </c>
      <c r="AL3976">
        <v>82.131491750147703</v>
      </c>
      <c r="AM3976">
        <v>75.1326375905238</v>
      </c>
      <c r="AN3976">
        <v>0.99999994956200799</v>
      </c>
    </row>
    <row r="3977" spans="1:40" x14ac:dyDescent="0.25">
      <c r="A3977" t="str">
        <f>"20190303162338011"</f>
        <v>20190303162338011</v>
      </c>
      <c r="B3977" t="str">
        <f>"1551601417998836"</f>
        <v>1551601417998836</v>
      </c>
      <c r="C3977" t="s">
        <v>40</v>
      </c>
      <c r="D3977">
        <v>5.7138429999999998</v>
      </c>
      <c r="E3977">
        <v>0.56893110000000002</v>
      </c>
      <c r="F3977" t="s">
        <v>55</v>
      </c>
      <c r="G3977">
        <v>-197.11519999999999</v>
      </c>
      <c r="H3977" s="1">
        <v>-1.3312949999999999E-5</v>
      </c>
      <c r="I3977">
        <v>154.00280000000001</v>
      </c>
      <c r="J3977">
        <v>-191.96799999999999</v>
      </c>
      <c r="K3977">
        <v>1.1135139999999999</v>
      </c>
      <c r="L3977">
        <v>164.07259999999999</v>
      </c>
      <c r="M3977">
        <v>-0.14003740000000001</v>
      </c>
      <c r="N3977">
        <v>-1.0630809999999999E-2</v>
      </c>
      <c r="O3977">
        <v>-0.99008929999999995</v>
      </c>
      <c r="P3977">
        <v>-0.38906839999999998</v>
      </c>
      <c r="Q3977">
        <v>0.1315479</v>
      </c>
      <c r="R3977">
        <v>-0.91176820000000003</v>
      </c>
      <c r="S3977">
        <v>-1.3748929999999999</v>
      </c>
      <c r="T3977">
        <v>-0.29455700000000001</v>
      </c>
      <c r="U3977">
        <v>-2.7486269999999999</v>
      </c>
      <c r="V3977">
        <v>0.25980330000000001</v>
      </c>
      <c r="W3977">
        <v>0.137533399999999</v>
      </c>
      <c r="X3977">
        <v>0.95581729999999998</v>
      </c>
      <c r="Y3977">
        <v>0.31586199999999998</v>
      </c>
      <c r="Z3977">
        <v>8.6398939999999994E-2</v>
      </c>
      <c r="AA3977">
        <v>0.94486320000000001</v>
      </c>
      <c r="AB3977">
        <v>32</v>
      </c>
      <c r="AC3977">
        <v>-5.14719999999999</v>
      </c>
      <c r="AD3977">
        <v>-1.1135273129499901</v>
      </c>
      <c r="AE3977">
        <v>-10.069799999999899</v>
      </c>
      <c r="AF3977">
        <v>3.65085160515433</v>
      </c>
      <c r="AG3977">
        <v>-1.1135273129499901</v>
      </c>
      <c r="AH3977">
        <v>10.5887458929276</v>
      </c>
      <c r="AI3977">
        <v>95.677576217522301</v>
      </c>
      <c r="AJ3977">
        <v>70.976522217654306</v>
      </c>
      <c r="AK3977">
        <v>11.255674129279599</v>
      </c>
      <c r="AL3977">
        <v>82.094859841405807</v>
      </c>
      <c r="AM3977">
        <v>74.793664936465902</v>
      </c>
      <c r="AN3977">
        <v>0.99999995089286797</v>
      </c>
    </row>
    <row r="3978" spans="1:40" x14ac:dyDescent="0.25">
      <c r="A3978" t="str">
        <f>"20190303162338033"</f>
        <v>20190303162338033</v>
      </c>
      <c r="B3978" t="str">
        <f>"1551601418029093"</f>
        <v>1551601418029093</v>
      </c>
      <c r="C3978" t="s">
        <v>40</v>
      </c>
      <c r="D3978">
        <v>5.6401770000000004</v>
      </c>
      <c r="E3978">
        <v>0.57904599999999995</v>
      </c>
      <c r="F3978" t="s">
        <v>55</v>
      </c>
      <c r="G3978">
        <v>-200.9186</v>
      </c>
      <c r="H3978" s="1">
        <v>-1.212955E-5</v>
      </c>
      <c r="I3978">
        <v>150.0701</v>
      </c>
      <c r="J3978">
        <v>-192.02189999999999</v>
      </c>
      <c r="K3978">
        <v>1.1134850000000001</v>
      </c>
      <c r="L3978">
        <v>163.74760000000001</v>
      </c>
      <c r="M3978">
        <v>-0.14799089999999901</v>
      </c>
      <c r="N3978">
        <v>-1.063214E-2</v>
      </c>
      <c r="O3978">
        <v>-0.98893169999999997</v>
      </c>
      <c r="P3978">
        <v>-0.4005087</v>
      </c>
      <c r="Q3978">
        <v>0.1335819</v>
      </c>
      <c r="R3978">
        <v>-0.90650359999999996</v>
      </c>
      <c r="S3978">
        <v>-1.667511</v>
      </c>
      <c r="T3978">
        <v>-0.20745230000000001</v>
      </c>
      <c r="U3978">
        <v>-2.6086879999999999</v>
      </c>
      <c r="V3978">
        <v>0.26423829999999998</v>
      </c>
      <c r="W3978">
        <v>0.13945929999999901</v>
      </c>
      <c r="X3978">
        <v>0.95432130000000004</v>
      </c>
      <c r="Y3978">
        <v>0.40689209999999998</v>
      </c>
      <c r="Z3978">
        <v>5.8066239999999998E-2</v>
      </c>
      <c r="AA3978">
        <v>0.91162880000000002</v>
      </c>
      <c r="AB3978">
        <v>32</v>
      </c>
      <c r="AC3978">
        <v>-8.8967000000000098</v>
      </c>
      <c r="AD3978">
        <v>-1.11349712955</v>
      </c>
      <c r="AE3978">
        <v>-13.6775</v>
      </c>
      <c r="AF3978">
        <v>6.7430610893797303</v>
      </c>
      <c r="AG3978">
        <v>-1.11349712955</v>
      </c>
      <c r="AH3978">
        <v>14.774771363089499</v>
      </c>
      <c r="AI3978">
        <v>93.922165296305707</v>
      </c>
      <c r="AJ3978">
        <v>65.468507898966095</v>
      </c>
      <c r="AK3978">
        <v>16.278900993131899</v>
      </c>
      <c r="AL3978">
        <v>81.983440187770398</v>
      </c>
      <c r="AM3978">
        <v>74.523329739209103</v>
      </c>
      <c r="AN3978">
        <v>0.99999995958853405</v>
      </c>
    </row>
    <row r="3979" spans="1:40" x14ac:dyDescent="0.25">
      <c r="A3979" t="str">
        <f>"20190303162338056"</f>
        <v>20190303162338056</v>
      </c>
      <c r="B3979" t="str">
        <f>"1551601418048612"</f>
        <v>1551601418048612</v>
      </c>
      <c r="C3979" t="s">
        <v>40</v>
      </c>
      <c r="D3979">
        <v>5.6614690000000003</v>
      </c>
      <c r="E3979">
        <v>0.58059069999999902</v>
      </c>
      <c r="F3979" t="s">
        <v>55</v>
      </c>
      <c r="G3979">
        <v>-200.12899999999999</v>
      </c>
      <c r="H3979">
        <v>4.9034309999999998E-2</v>
      </c>
      <c r="I3979">
        <v>152.04580000000001</v>
      </c>
      <c r="J3979">
        <v>-192.0771</v>
      </c>
      <c r="K3979">
        <v>1.1134809999999999</v>
      </c>
      <c r="L3979">
        <v>163.4298</v>
      </c>
      <c r="M3979">
        <v>-0.1557384</v>
      </c>
      <c r="N3979">
        <v>-1.0632930000000001E-2</v>
      </c>
      <c r="O3979">
        <v>-0.98774110000000004</v>
      </c>
      <c r="P3979">
        <v>-0.41132489999999999</v>
      </c>
      <c r="Q3979">
        <v>0.13543429999999901</v>
      </c>
      <c r="R3979">
        <v>-0.90137100000000003</v>
      </c>
      <c r="S3979">
        <v>-1.773666</v>
      </c>
      <c r="T3979">
        <v>-0.23288059999999999</v>
      </c>
      <c r="U3979">
        <v>-2.56012</v>
      </c>
      <c r="V3979">
        <v>0.26825759999999899</v>
      </c>
      <c r="W3979">
        <v>0.14122019999999999</v>
      </c>
      <c r="X3979">
        <v>0.95294000000000001</v>
      </c>
      <c r="Y3979">
        <v>0.43308839999999998</v>
      </c>
      <c r="Z3979">
        <v>6.6206749999999995E-2</v>
      </c>
      <c r="AA3979">
        <v>0.89891659999999995</v>
      </c>
      <c r="AB3979">
        <v>32</v>
      </c>
      <c r="AC3979">
        <v>-8.0519000000000105</v>
      </c>
      <c r="AD3979">
        <v>-1.06444669</v>
      </c>
      <c r="AE3979">
        <v>-11.383999999999901</v>
      </c>
      <c r="AF3979">
        <v>6.1448067331132101</v>
      </c>
      <c r="AG3979">
        <v>-1.06444669</v>
      </c>
      <c r="AH3979">
        <v>12.426723713428199</v>
      </c>
      <c r="AI3979">
        <v>94.390750414018896</v>
      </c>
      <c r="AJ3979">
        <v>63.688375587579998</v>
      </c>
      <c r="AK3979">
        <v>13.903782175834101</v>
      </c>
      <c r="AL3979">
        <v>81.8815396001267</v>
      </c>
      <c r="AM3979">
        <v>74.2778110860189</v>
      </c>
      <c r="AN3979">
        <v>0.99999996422289905</v>
      </c>
    </row>
    <row r="3980" spans="1:40" x14ac:dyDescent="0.25">
      <c r="A3980" t="str">
        <f>"20190303162338079"</f>
        <v>20190303162338079</v>
      </c>
      <c r="B3980" t="str">
        <f>"1551601418068480"</f>
        <v>1551601418068480</v>
      </c>
      <c r="C3980" t="s">
        <v>40</v>
      </c>
      <c r="D3980">
        <v>5.6545379999999996</v>
      </c>
      <c r="E3980">
        <v>0.58094199999999996</v>
      </c>
      <c r="F3980" t="s">
        <v>55</v>
      </c>
      <c r="G3980">
        <v>-200.10499999999999</v>
      </c>
      <c r="H3980">
        <v>6.9248779999999996E-2</v>
      </c>
      <c r="I3980">
        <v>152.2064</v>
      </c>
      <c r="J3980">
        <v>-192.13560000000001</v>
      </c>
      <c r="K3980">
        <v>1.11348</v>
      </c>
      <c r="L3980">
        <v>163.10769999999999</v>
      </c>
      <c r="M3980">
        <v>-0.16354460000000001</v>
      </c>
      <c r="N3980">
        <v>-1.063302E-2</v>
      </c>
      <c r="O3980">
        <v>-0.98647870000000004</v>
      </c>
      <c r="P3980">
        <v>-0.42098839999999998</v>
      </c>
      <c r="Q3980">
        <v>0.13555200000000001</v>
      </c>
      <c r="R3980">
        <v>-0.89688060000000003</v>
      </c>
      <c r="S3980">
        <v>-1.813904</v>
      </c>
      <c r="T3980">
        <v>-0.2359453</v>
      </c>
      <c r="U3980">
        <v>-2.5359500000000001</v>
      </c>
      <c r="V3980">
        <v>0.27097199999999999</v>
      </c>
      <c r="W3980">
        <v>0.14128299999999999</v>
      </c>
      <c r="X3980">
        <v>0.95216239999999996</v>
      </c>
      <c r="Y3980">
        <v>0.43941439999999998</v>
      </c>
      <c r="Z3980">
        <v>6.7246130000000001E-2</v>
      </c>
      <c r="AA3980">
        <v>0.89576389999999995</v>
      </c>
      <c r="AB3980">
        <v>32</v>
      </c>
      <c r="AC3980">
        <v>-7.9693999999999701</v>
      </c>
      <c r="AD3980">
        <v>-1.0442312199999999</v>
      </c>
      <c r="AE3980">
        <v>-10.9012999999999</v>
      </c>
      <c r="AF3980">
        <v>6.0430018144821496</v>
      </c>
      <c r="AG3980">
        <v>-1.0442312199999999</v>
      </c>
      <c r="AH3980">
        <v>11.9862578049086</v>
      </c>
      <c r="AI3980">
        <v>94.448179582677994</v>
      </c>
      <c r="AJ3980">
        <v>63.244547517347002</v>
      </c>
      <c r="AK3980">
        <v>13.463976601895499</v>
      </c>
      <c r="AL3980">
        <v>81.877905058623199</v>
      </c>
      <c r="AM3980">
        <v>74.114393902203503</v>
      </c>
      <c r="AN3980">
        <v>0.99999997342337898</v>
      </c>
    </row>
    <row r="3981" spans="1:40" x14ac:dyDescent="0.25">
      <c r="A3981" t="str">
        <f>"20190303162338102"</f>
        <v>20190303162338102</v>
      </c>
      <c r="B3981" t="str">
        <f>"1551601418098737"</f>
        <v>1551601418098737</v>
      </c>
      <c r="C3981" t="s">
        <v>40</v>
      </c>
      <c r="D3981">
        <v>5.5454179999999997</v>
      </c>
      <c r="E3981">
        <v>0.582325599999999</v>
      </c>
      <c r="F3981" t="s">
        <v>55</v>
      </c>
      <c r="G3981">
        <v>-200.09909999999999</v>
      </c>
      <c r="H3981">
        <v>6.9610850000000002E-2</v>
      </c>
      <c r="I3981">
        <v>152.22929999999999</v>
      </c>
      <c r="J3981">
        <v>-192.19800000000001</v>
      </c>
      <c r="K3981">
        <v>1.1134930000000001</v>
      </c>
      <c r="L3981">
        <v>162.7782</v>
      </c>
      <c r="M3981">
        <v>-0.17146900000000001</v>
      </c>
      <c r="N3981">
        <v>-1.063222E-2</v>
      </c>
      <c r="O3981">
        <v>-0.98513229999999996</v>
      </c>
      <c r="P3981">
        <v>-0.42986079999999999</v>
      </c>
      <c r="Q3981">
        <v>0.13670650000000001</v>
      </c>
      <c r="R3981">
        <v>-0.89248649999999996</v>
      </c>
      <c r="S3981">
        <v>-1.8423160000000001</v>
      </c>
      <c r="T3981">
        <v>-0.2414954</v>
      </c>
      <c r="U3981">
        <v>-2.5166780000000002</v>
      </c>
      <c r="V3981">
        <v>0.2728063</v>
      </c>
      <c r="W3981">
        <v>0.1424078</v>
      </c>
      <c r="X3981">
        <v>0.95147090000000001</v>
      </c>
      <c r="Y3981">
        <v>0.44197330000000001</v>
      </c>
      <c r="Z3981">
        <v>6.9124649999999996E-2</v>
      </c>
      <c r="AA3981">
        <v>0.89436090000000001</v>
      </c>
      <c r="AB3981">
        <v>32</v>
      </c>
      <c r="AC3981">
        <v>-7.9011000000000102</v>
      </c>
      <c r="AD3981">
        <v>-1.04388215</v>
      </c>
      <c r="AE3981">
        <v>-10.5489</v>
      </c>
      <c r="AF3981">
        <v>5.9379068448382899</v>
      </c>
      <c r="AG3981">
        <v>-1.04388215</v>
      </c>
      <c r="AH3981">
        <v>11.6742833631984</v>
      </c>
      <c r="AI3981">
        <v>94.556849671970795</v>
      </c>
      <c r="AJ3981">
        <v>63.040683024091202</v>
      </c>
      <c r="AK3981">
        <v>13.139152167674901</v>
      </c>
      <c r="AL3981">
        <v>81.812801241122699</v>
      </c>
      <c r="AM3981">
        <v>74.001312640966503</v>
      </c>
      <c r="AN3981">
        <v>1.0000000661836601</v>
      </c>
    </row>
    <row r="3982" spans="1:40" x14ac:dyDescent="0.25">
      <c r="A3982" t="str">
        <f>"20190303162338125"</f>
        <v>20190303162338125</v>
      </c>
      <c r="B3982" t="str">
        <f>"1551601418119232"</f>
        <v>1551601418119232</v>
      </c>
      <c r="C3982" t="s">
        <v>40</v>
      </c>
      <c r="D3982">
        <v>5.5165170000000003</v>
      </c>
      <c r="E3982">
        <v>0.58254059999999996</v>
      </c>
      <c r="F3982" t="s">
        <v>55</v>
      </c>
      <c r="G3982">
        <v>-200.9545</v>
      </c>
      <c r="H3982">
        <v>7.9984719999999995E-2</v>
      </c>
      <c r="I3982">
        <v>151.15989999999999</v>
      </c>
      <c r="J3982">
        <v>-192.26050000000001</v>
      </c>
      <c r="K3982">
        <v>1.1135189999999999</v>
      </c>
      <c r="L3982">
        <v>162.46260000000001</v>
      </c>
      <c r="M3982">
        <v>-0.17898120000000001</v>
      </c>
      <c r="N3982">
        <v>-1.063064E-2</v>
      </c>
      <c r="O3982">
        <v>-0.98379510000000003</v>
      </c>
      <c r="P3982">
        <v>-0.43710599999999999</v>
      </c>
      <c r="Q3982">
        <v>0.13879420000000001</v>
      </c>
      <c r="R3982">
        <v>-0.8886366</v>
      </c>
      <c r="S3982">
        <v>-1.8774869999999999</v>
      </c>
      <c r="T3982">
        <v>-0.22159580000000001</v>
      </c>
      <c r="U3982">
        <v>-2.4910890000000001</v>
      </c>
      <c r="V3982">
        <v>0.27336929999999998</v>
      </c>
      <c r="W3982">
        <v>0.1444955</v>
      </c>
      <c r="X3982">
        <v>0.95099440000000002</v>
      </c>
      <c r="Y3982">
        <v>0.44786140000000002</v>
      </c>
      <c r="Z3982">
        <v>6.2735739999999998E-2</v>
      </c>
      <c r="AA3982">
        <v>0.89189929999999995</v>
      </c>
      <c r="AB3982">
        <v>32</v>
      </c>
      <c r="AC3982">
        <v>-8.6939999999999795</v>
      </c>
      <c r="AD3982">
        <v>-1.03353428</v>
      </c>
      <c r="AE3982">
        <v>-11.3027</v>
      </c>
      <c r="AF3982">
        <v>6.4963849436269401</v>
      </c>
      <c r="AG3982">
        <v>-1.03353428</v>
      </c>
      <c r="AH3982">
        <v>12.6100744359301</v>
      </c>
      <c r="AI3982">
        <v>94.167239334058493</v>
      </c>
      <c r="AJ3982">
        <v>62.743644713145201</v>
      </c>
      <c r="AK3982">
        <v>14.222699733996199</v>
      </c>
      <c r="AL3982">
        <v>81.691934493729804</v>
      </c>
      <c r="AM3982">
        <v>73.962371145262793</v>
      </c>
      <c r="AN3982">
        <v>1.00000003626704</v>
      </c>
    </row>
    <row r="3983" spans="1:40" x14ac:dyDescent="0.25">
      <c r="A3983" t="str">
        <f>"20190303162338146"</f>
        <v>20190303162338146</v>
      </c>
      <c r="B3983" t="str">
        <f>"1551601418138756"</f>
        <v>1551601418138756</v>
      </c>
      <c r="C3983" t="s">
        <v>40</v>
      </c>
      <c r="D3983">
        <v>5.5625450000000001</v>
      </c>
      <c r="E3983">
        <v>0.58257650000000005</v>
      </c>
      <c r="F3983" t="s">
        <v>55</v>
      </c>
      <c r="G3983">
        <v>-201.67570000000001</v>
      </c>
      <c r="H3983">
        <v>7.9984710000000001E-2</v>
      </c>
      <c r="I3983">
        <v>150.1968</v>
      </c>
      <c r="J3983">
        <v>-192.32400000000001</v>
      </c>
      <c r="K3983">
        <v>1.1135569999999999</v>
      </c>
      <c r="L3983">
        <v>162.15350000000001</v>
      </c>
      <c r="M3983">
        <v>-0.18626709999999999</v>
      </c>
      <c r="N3983">
        <v>-1.0628790000000001E-2</v>
      </c>
      <c r="O3983">
        <v>-0.98244180000000003</v>
      </c>
      <c r="P3983">
        <v>-0.44347419999999999</v>
      </c>
      <c r="Q3983">
        <v>0.1402813</v>
      </c>
      <c r="R3983">
        <v>-0.8852411</v>
      </c>
      <c r="S3983">
        <v>-1.8992770000000001</v>
      </c>
      <c r="T3983">
        <v>-0.2084876</v>
      </c>
      <c r="U3983">
        <v>-2.4743040000000001</v>
      </c>
      <c r="V3983">
        <v>0.27320460000000002</v>
      </c>
      <c r="W3983">
        <v>0.14600379999999999</v>
      </c>
      <c r="X3983">
        <v>0.95081130000000003</v>
      </c>
      <c r="Y3983">
        <v>0.44926759999999899</v>
      </c>
      <c r="Z3983">
        <v>5.8525099999999997E-2</v>
      </c>
      <c r="AA3983">
        <v>0.891478199999999</v>
      </c>
      <c r="AB3983">
        <v>32</v>
      </c>
      <c r="AC3983">
        <v>-9.3516999999999904</v>
      </c>
      <c r="AD3983">
        <v>-1.0335722899999999</v>
      </c>
      <c r="AE3983">
        <v>-11.9567</v>
      </c>
      <c r="AF3983">
        <v>6.9286304229601701</v>
      </c>
      <c r="AG3983">
        <v>-1.0335722899999999</v>
      </c>
      <c r="AH3983">
        <v>13.427184064519</v>
      </c>
      <c r="AI3983">
        <v>93.913263327781394</v>
      </c>
      <c r="AJ3983">
        <v>62.705580370521901</v>
      </c>
      <c r="AK3983">
        <v>15.144750348523401</v>
      </c>
      <c r="AL3983">
        <v>81.604588624179001</v>
      </c>
      <c r="AM3983">
        <v>73.968609042176695</v>
      </c>
      <c r="AN3983">
        <v>0.99999999564164499</v>
      </c>
    </row>
    <row r="3984" spans="1:40" x14ac:dyDescent="0.25">
      <c r="A3984" t="str">
        <f>"20190303162338168"</f>
        <v>20190303162338168</v>
      </c>
      <c r="B3984" t="str">
        <f>"1551601418158272"</f>
        <v>1551601418158272</v>
      </c>
      <c r="C3984" t="s">
        <v>40</v>
      </c>
      <c r="D3984">
        <v>5.5448029999999999</v>
      </c>
      <c r="E3984">
        <v>0.58245139999999995</v>
      </c>
      <c r="F3984" t="s">
        <v>55</v>
      </c>
      <c r="G3984">
        <v>-203.00360000000001</v>
      </c>
      <c r="H3984" s="1">
        <v>-1.076358E-5</v>
      </c>
      <c r="I3984">
        <v>148.44970000000001</v>
      </c>
      <c r="J3984">
        <v>-192.39099999999999</v>
      </c>
      <c r="K3984">
        <v>1.1135900000000001</v>
      </c>
      <c r="L3984">
        <v>161.83940000000001</v>
      </c>
      <c r="M3984">
        <v>-0.19360579999999999</v>
      </c>
      <c r="N3984">
        <v>-1.0627040000000001E-2</v>
      </c>
      <c r="O3984">
        <v>-0.9810219</v>
      </c>
      <c r="P3984">
        <v>-0.44835330000000001</v>
      </c>
      <c r="Q3984">
        <v>0.13998959999999999</v>
      </c>
      <c r="R3984">
        <v>-0.88282660000000002</v>
      </c>
      <c r="S3984">
        <v>-1.9172210000000001</v>
      </c>
      <c r="T3984">
        <v>-0.1999089</v>
      </c>
      <c r="U3984">
        <v>-2.4601289999999998</v>
      </c>
      <c r="V3984">
        <v>0.2713158</v>
      </c>
      <c r="W3984">
        <v>0.14576889999999901</v>
      </c>
      <c r="X3984">
        <v>0.95138800000000001</v>
      </c>
      <c r="Y3984">
        <v>0.4492312</v>
      </c>
      <c r="Z3984">
        <v>5.577758E-2</v>
      </c>
      <c r="AA3984">
        <v>0.89167269999999899</v>
      </c>
      <c r="AB3984">
        <v>32</v>
      </c>
      <c r="AC3984">
        <v>-10.6126</v>
      </c>
      <c r="AD3984">
        <v>-1.11360076357999</v>
      </c>
      <c r="AE3984">
        <v>-13.389699999999999</v>
      </c>
      <c r="AF3984">
        <v>7.7862328472172999</v>
      </c>
      <c r="AG3984">
        <v>-1.11360076357999</v>
      </c>
      <c r="AH3984">
        <v>15.1268445256796</v>
      </c>
      <c r="AI3984">
        <v>93.744972720405102</v>
      </c>
      <c r="AJ3984">
        <v>62.763784343191297</v>
      </c>
      <c r="AK3984">
        <v>17.0495440970078</v>
      </c>
      <c r="AL3984">
        <v>81.618192827462394</v>
      </c>
      <c r="AM3984">
        <v>74.082967400452503</v>
      </c>
      <c r="AN3984">
        <v>0.99999998104042398</v>
      </c>
    </row>
    <row r="3985" spans="1:40" x14ac:dyDescent="0.25">
      <c r="A3985" t="str">
        <f>"20190303162338190"</f>
        <v>20190303162338190</v>
      </c>
      <c r="B3985" t="str">
        <f>"1551601418178768"</f>
        <v>1551601418178768</v>
      </c>
      <c r="C3985" t="s">
        <v>40</v>
      </c>
      <c r="D3985">
        <v>5.5326769999999996</v>
      </c>
      <c r="E3985">
        <v>0.58229169999999997</v>
      </c>
      <c r="F3985" t="s">
        <v>55</v>
      </c>
      <c r="G3985">
        <v>-203.2611</v>
      </c>
      <c r="H3985" s="1">
        <v>-1.052916E-5</v>
      </c>
      <c r="I3985">
        <v>148.0454</v>
      </c>
      <c r="J3985">
        <v>-192.46100000000001</v>
      </c>
      <c r="K3985">
        <v>1.1136250000000001</v>
      </c>
      <c r="L3985">
        <v>161.52170000000001</v>
      </c>
      <c r="M3985">
        <v>-0.2009562</v>
      </c>
      <c r="N3985">
        <v>-1.0625819999999999E-2</v>
      </c>
      <c r="O3985">
        <v>-0.97954269999999999</v>
      </c>
      <c r="P3985">
        <v>-0.45255990000000001</v>
      </c>
      <c r="Q3985">
        <v>0.13981360000000001</v>
      </c>
      <c r="R3985">
        <v>-0.88070539999999997</v>
      </c>
      <c r="S3985">
        <v>-1.9301299999999999</v>
      </c>
      <c r="T3985">
        <v>-0.19773399999999999</v>
      </c>
      <c r="U3985">
        <v>-2.4492950000000002</v>
      </c>
      <c r="V3985">
        <v>0.26869569999999998</v>
      </c>
      <c r="W3985">
        <v>0.14566419999999999</v>
      </c>
      <c r="X3985">
        <v>0.95214739999999998</v>
      </c>
      <c r="Y3985">
        <v>0.44737510000000003</v>
      </c>
      <c r="Z3985">
        <v>5.5112960000000003E-2</v>
      </c>
      <c r="AA3985">
        <v>0.89264669999999902</v>
      </c>
      <c r="AB3985">
        <v>32</v>
      </c>
      <c r="AC3985">
        <v>-10.8001</v>
      </c>
      <c r="AD3985">
        <v>-1.11363552916</v>
      </c>
      <c r="AE3985">
        <v>-13.4763</v>
      </c>
      <c r="AF3985">
        <v>7.8388613934116602</v>
      </c>
      <c r="AG3985">
        <v>-1.11363552916</v>
      </c>
      <c r="AH3985">
        <v>15.308170723766301</v>
      </c>
      <c r="AI3985">
        <v>93.704841911540896</v>
      </c>
      <c r="AJ3985">
        <v>62.884356960446297</v>
      </c>
      <c r="AK3985">
        <v>17.234500948530599</v>
      </c>
      <c r="AL3985">
        <v>81.6242570387315</v>
      </c>
      <c r="AM3985">
        <v>74.240950157330204</v>
      </c>
      <c r="AN3985">
        <v>1.00000005484344</v>
      </c>
    </row>
    <row r="3986" spans="1:40" x14ac:dyDescent="0.25">
      <c r="A3986" t="str">
        <f>"20190303162338212"</f>
        <v>20190303162338212</v>
      </c>
      <c r="B3986" t="str">
        <f>"1551601418199264"</f>
        <v>1551601418199264</v>
      </c>
      <c r="C3986" t="s">
        <v>40</v>
      </c>
      <c r="D3986">
        <v>5.5926289999999996</v>
      </c>
      <c r="E3986">
        <v>0.58204739999999999</v>
      </c>
      <c r="F3986" t="s">
        <v>55</v>
      </c>
      <c r="G3986">
        <v>-203.57730000000001</v>
      </c>
      <c r="H3986" s="1">
        <v>-1.0241410000000001E-5</v>
      </c>
      <c r="I3986">
        <v>147.54949999999999</v>
      </c>
      <c r="J3986">
        <v>-192.53540000000001</v>
      </c>
      <c r="K3986">
        <v>1.1136680000000001</v>
      </c>
      <c r="L3986">
        <v>161.19630000000001</v>
      </c>
      <c r="M3986">
        <v>-0.20841419999999999</v>
      </c>
      <c r="N3986">
        <v>-1.0624700000000001E-2</v>
      </c>
      <c r="O3986">
        <v>-0.97798320000000005</v>
      </c>
      <c r="P3986">
        <v>-0.45770349999999999</v>
      </c>
      <c r="Q3986">
        <v>0.1404987</v>
      </c>
      <c r="R3986">
        <v>-0.87793399999999999</v>
      </c>
      <c r="S3986">
        <v>-1.9410860000000001</v>
      </c>
      <c r="T3986">
        <v>-0.19445989999999999</v>
      </c>
      <c r="U3986">
        <v>-2.4397890000000002</v>
      </c>
      <c r="V3986">
        <v>0.26702759999999998</v>
      </c>
      <c r="W3986">
        <v>0.14640239999999999</v>
      </c>
      <c r="X3986">
        <v>0.95250330000000005</v>
      </c>
      <c r="Y3986">
        <v>0.44474819999999998</v>
      </c>
      <c r="Z3986">
        <v>5.4078910000000001E-2</v>
      </c>
      <c r="AA3986">
        <v>0.89402159999999997</v>
      </c>
      <c r="AB3986">
        <v>32</v>
      </c>
      <c r="AC3986">
        <v>-11.041899999999901</v>
      </c>
      <c r="AD3986">
        <v>-1.1136782414099999</v>
      </c>
      <c r="AE3986">
        <v>-13.646800000000001</v>
      </c>
      <c r="AF3986">
        <v>7.9231636034884803</v>
      </c>
      <c r="AG3986">
        <v>-1.1136782414099999</v>
      </c>
      <c r="AH3986">
        <v>15.5857794672227</v>
      </c>
      <c r="AI3986">
        <v>93.644628522194097</v>
      </c>
      <c r="AJ3986">
        <v>63.053105344603303</v>
      </c>
      <c r="AK3986">
        <v>17.519512616335401</v>
      </c>
      <c r="AL3986">
        <v>81.581502231747905</v>
      </c>
      <c r="AM3986">
        <v>74.339533272845799</v>
      </c>
      <c r="AN3986">
        <v>0.99999996919920398</v>
      </c>
    </row>
    <row r="3987" spans="1:40" x14ac:dyDescent="0.25">
      <c r="A3987" t="str">
        <f>"20190303162338235"</f>
        <v>20190303162338235</v>
      </c>
      <c r="B3987" t="str">
        <f>"1551601418228544"</f>
        <v>1551601418228544</v>
      </c>
      <c r="C3987" t="s">
        <v>40</v>
      </c>
      <c r="D3987">
        <v>5.701835</v>
      </c>
      <c r="E3987">
        <v>0.58170129999999998</v>
      </c>
      <c r="F3987" t="s">
        <v>55</v>
      </c>
      <c r="G3987">
        <v>-203.9949</v>
      </c>
      <c r="H3987" s="1">
        <v>-9.9054630000000007E-6</v>
      </c>
      <c r="I3987">
        <v>146.9606</v>
      </c>
      <c r="J3987">
        <v>-192.6095</v>
      </c>
      <c r="K3987">
        <v>1.1137030000000001</v>
      </c>
      <c r="L3987">
        <v>160.88200000000001</v>
      </c>
      <c r="M3987">
        <v>-0.21554799999999999</v>
      </c>
      <c r="N3987">
        <v>-1.062305E-2</v>
      </c>
      <c r="O3987">
        <v>-0.97643559999999996</v>
      </c>
      <c r="P3987">
        <v>-0.46295009999999998</v>
      </c>
      <c r="Q3987">
        <v>0.14049700000000001</v>
      </c>
      <c r="R3987">
        <v>-0.87517919999999905</v>
      </c>
      <c r="S3987">
        <v>-1.9548190000000001</v>
      </c>
      <c r="T3987">
        <v>-0.18997530000000001</v>
      </c>
      <c r="U3987">
        <v>-2.428375</v>
      </c>
      <c r="V3987">
        <v>0.26575959999999899</v>
      </c>
      <c r="W3987">
        <v>0.1464472</v>
      </c>
      <c r="X3987">
        <v>0.952851</v>
      </c>
      <c r="Y3987">
        <v>0.44338369999999999</v>
      </c>
      <c r="Z3987">
        <v>5.2646709999999999E-2</v>
      </c>
      <c r="AA3987">
        <v>0.89478449999999998</v>
      </c>
      <c r="AB3987">
        <v>32</v>
      </c>
      <c r="AC3987">
        <v>-11.385400000000001</v>
      </c>
      <c r="AD3987">
        <v>-1.1137129054629999</v>
      </c>
      <c r="AE3987">
        <v>-13.9214</v>
      </c>
      <c r="AF3987">
        <v>8.0858279078254593</v>
      </c>
      <c r="AG3987">
        <v>-1.1137129054629999</v>
      </c>
      <c r="AH3987">
        <v>15.987044219692001</v>
      </c>
      <c r="AI3987">
        <v>93.557195513991999</v>
      </c>
      <c r="AJ3987">
        <v>63.170909569114997</v>
      </c>
      <c r="AK3987">
        <v>17.950112876334501</v>
      </c>
      <c r="AL3987">
        <v>81.578907570979396</v>
      </c>
      <c r="AM3987">
        <v>74.415686049000797</v>
      </c>
      <c r="AN3987">
        <v>0.99999998779049903</v>
      </c>
    </row>
    <row r="3988" spans="1:40" x14ac:dyDescent="0.25">
      <c r="A3988" t="str">
        <f>"20190303162338270"</f>
        <v>20190303162338270</v>
      </c>
      <c r="B3988" t="str">
        <f>"1551601418258800"</f>
        <v>1551601418258800</v>
      </c>
      <c r="C3988" t="s">
        <v>40</v>
      </c>
      <c r="D3988">
        <v>5.5662260000000003</v>
      </c>
      <c r="E3988">
        <v>0.58146390000000003</v>
      </c>
      <c r="F3988" t="s">
        <v>55</v>
      </c>
      <c r="G3988">
        <v>-204.32900000000001</v>
      </c>
      <c r="H3988" s="1">
        <v>-9.6523489999999998E-6</v>
      </c>
      <c r="I3988">
        <v>146.47810000000001</v>
      </c>
      <c r="J3988">
        <v>-192.73</v>
      </c>
      <c r="K3988">
        <v>1.1137680000000001</v>
      </c>
      <c r="L3988">
        <v>160.3912</v>
      </c>
      <c r="M3988">
        <v>-0.2265556</v>
      </c>
      <c r="N3988">
        <v>-1.062014E-2</v>
      </c>
      <c r="O3988">
        <v>-0.97394029999999998</v>
      </c>
      <c r="P3988">
        <v>-0.47100120000000001</v>
      </c>
      <c r="Q3988">
        <v>0.13938979999999901</v>
      </c>
      <c r="R3988">
        <v>-0.87105010000000005</v>
      </c>
      <c r="S3988">
        <v>-1.966904</v>
      </c>
      <c r="T3988">
        <v>-0.18691669999999999</v>
      </c>
      <c r="U3988">
        <v>-2.4174349999999998</v>
      </c>
      <c r="V3988">
        <v>0.26370779999999999</v>
      </c>
      <c r="W3988">
        <v>0.1454174</v>
      </c>
      <c r="X3988">
        <v>0.9535785</v>
      </c>
      <c r="Y3988">
        <v>0.43797049999999998</v>
      </c>
      <c r="Z3988">
        <v>5.1672320000000001E-2</v>
      </c>
      <c r="AA3988">
        <v>0.897503099999999</v>
      </c>
      <c r="AB3988">
        <v>32</v>
      </c>
      <c r="AC3988">
        <v>-11.599</v>
      </c>
      <c r="AD3988">
        <v>-1.1137776523489999</v>
      </c>
      <c r="AE3988">
        <v>-13.913099999999901</v>
      </c>
      <c r="AF3988">
        <v>8.1144239600896597</v>
      </c>
      <c r="AG3988">
        <v>-1.1137776523489999</v>
      </c>
      <c r="AH3988">
        <v>16.1183210819419</v>
      </c>
      <c r="AI3988">
        <v>93.531823044317903</v>
      </c>
      <c r="AJ3988">
        <v>63.278008594954898</v>
      </c>
      <c r="AK3988">
        <v>18.079951641625598</v>
      </c>
      <c r="AL3988">
        <v>81.6385492748676</v>
      </c>
      <c r="AM3988">
        <v>74.541458914846501</v>
      </c>
      <c r="AN3988">
        <v>0.99999998983292504</v>
      </c>
    </row>
    <row r="3989" spans="1:40" x14ac:dyDescent="0.25">
      <c r="A3989" t="str">
        <f>"20190303162338292"</f>
        <v>20190303162338292</v>
      </c>
      <c r="B3989" t="str">
        <f>"1551601418279296"</f>
        <v>1551601418279296</v>
      </c>
      <c r="C3989" t="s">
        <v>40</v>
      </c>
      <c r="D3989">
        <v>5.6099959999999998</v>
      </c>
      <c r="E3989">
        <v>0.58133669999999904</v>
      </c>
      <c r="F3989" t="s">
        <v>55</v>
      </c>
      <c r="G3989">
        <v>-204.87350000000001</v>
      </c>
      <c r="H3989" s="1">
        <v>-9.2546870000000008E-6</v>
      </c>
      <c r="I3989">
        <v>145.7482</v>
      </c>
      <c r="J3989">
        <v>-192.81110000000001</v>
      </c>
      <c r="K3989">
        <v>1.113812</v>
      </c>
      <c r="L3989">
        <v>160.07380000000001</v>
      </c>
      <c r="M3989">
        <v>-0.2335962</v>
      </c>
      <c r="N3989">
        <v>-1.061866E-2</v>
      </c>
      <c r="O3989">
        <v>-0.97227580000000002</v>
      </c>
      <c r="P3989">
        <v>-0.47616910000000001</v>
      </c>
      <c r="Q3989">
        <v>0.1389764</v>
      </c>
      <c r="R3989">
        <v>-0.86830229999999997</v>
      </c>
      <c r="S3989">
        <v>-1.9886470000000001</v>
      </c>
      <c r="T3989">
        <v>-0.1823958</v>
      </c>
      <c r="U3989">
        <v>-2.3979949999999999</v>
      </c>
      <c r="V3989">
        <v>0.26243689999999997</v>
      </c>
      <c r="W3989">
        <v>0.14505270000000001</v>
      </c>
      <c r="X3989">
        <v>0.95398459999999996</v>
      </c>
      <c r="Y3989">
        <v>0.43991029999999998</v>
      </c>
      <c r="Z3989">
        <v>5.0266079999999998E-2</v>
      </c>
      <c r="AA3989">
        <v>0.89663389999999998</v>
      </c>
      <c r="AB3989">
        <v>32</v>
      </c>
      <c r="AC3989">
        <v>-12.062399999999901</v>
      </c>
      <c r="AD3989">
        <v>-1.1138212546870001</v>
      </c>
      <c r="AE3989">
        <v>-14.3256</v>
      </c>
      <c r="AF3989">
        <v>8.3525009013943095</v>
      </c>
      <c r="AG3989">
        <v>-1.1138212546870001</v>
      </c>
      <c r="AH3989">
        <v>16.688077939522699</v>
      </c>
      <c r="AI3989">
        <v>93.415653374182</v>
      </c>
      <c r="AJ3989">
        <v>63.411711413433203</v>
      </c>
      <c r="AK3989">
        <v>18.694833896314002</v>
      </c>
      <c r="AL3989">
        <v>81.659669182806894</v>
      </c>
      <c r="AM3989">
        <v>74.618660190345196</v>
      </c>
      <c r="AN3989">
        <v>1.0000000146480299</v>
      </c>
    </row>
    <row r="3990" spans="1:40" x14ac:dyDescent="0.25">
      <c r="A3990" t="str">
        <f>"20190303162338315"</f>
        <v>20190303162338315</v>
      </c>
      <c r="B3990" t="str">
        <f>"1551601418309552"</f>
        <v>1551601418309552</v>
      </c>
      <c r="C3990" t="s">
        <v>40</v>
      </c>
      <c r="D3990">
        <v>5.5678089999999996</v>
      </c>
      <c r="E3990">
        <v>0.58117489999999905</v>
      </c>
      <c r="F3990" t="s">
        <v>55</v>
      </c>
      <c r="G3990">
        <v>-205.18809999999999</v>
      </c>
      <c r="H3990" s="1">
        <v>-9.0096049999999996E-6</v>
      </c>
      <c r="I3990">
        <v>145.32689999999999</v>
      </c>
      <c r="J3990">
        <v>-192.89689999999999</v>
      </c>
      <c r="K3990">
        <v>1.113845</v>
      </c>
      <c r="L3990">
        <v>159.7473</v>
      </c>
      <c r="M3990">
        <v>-0.24078430000000001</v>
      </c>
      <c r="N3990">
        <v>-1.0617990000000001E-2</v>
      </c>
      <c r="O3990">
        <v>-0.97052079999999996</v>
      </c>
      <c r="P3990">
        <v>-0.48258459999999997</v>
      </c>
      <c r="Q3990">
        <v>0.1385632</v>
      </c>
      <c r="R3990">
        <v>-0.86481939999999902</v>
      </c>
      <c r="S3990">
        <v>-2.00238</v>
      </c>
      <c r="T3990">
        <v>-0.1801962</v>
      </c>
      <c r="U3990">
        <v>-2.3857729999999999</v>
      </c>
      <c r="V3990">
        <v>0.26240540000000001</v>
      </c>
      <c r="W3990">
        <v>0.1446635</v>
      </c>
      <c r="X3990">
        <v>0.95405229999999996</v>
      </c>
      <c r="Y3990">
        <v>0.43858019999999998</v>
      </c>
      <c r="Z3990">
        <v>4.9574649999999998E-2</v>
      </c>
      <c r="AA3990">
        <v>0.89732369999999995</v>
      </c>
      <c r="AB3990">
        <v>32</v>
      </c>
      <c r="AC3990">
        <v>-12.2912</v>
      </c>
      <c r="AD3990">
        <v>-1.113854009605</v>
      </c>
      <c r="AE3990">
        <v>-14.420400000000001</v>
      </c>
      <c r="AF3990">
        <v>8.4280095351678295</v>
      </c>
      <c r="AG3990">
        <v>-1.113854009605</v>
      </c>
      <c r="AH3990">
        <v>16.897385907741999</v>
      </c>
      <c r="AI3990">
        <v>93.375871374211698</v>
      </c>
      <c r="AJ3990">
        <v>63.491083079383301</v>
      </c>
      <c r="AK3990">
        <v>18.9154345970361</v>
      </c>
      <c r="AL3990">
        <v>81.682205927036605</v>
      </c>
      <c r="AM3990">
        <v>74.6214586536626</v>
      </c>
      <c r="AN3990">
        <v>0.99999995665834895</v>
      </c>
    </row>
    <row r="3991" spans="1:40" x14ac:dyDescent="0.25">
      <c r="A3991" t="str">
        <f>"20190303162338338"</f>
        <v>20190303162338338</v>
      </c>
      <c r="B3991" t="str">
        <f>"1551601418329072"</f>
        <v>1551601418329072</v>
      </c>
      <c r="C3991" t="s">
        <v>40</v>
      </c>
      <c r="D3991">
        <v>5.6146760000000002</v>
      </c>
      <c r="E3991">
        <v>0.58108909999999903</v>
      </c>
      <c r="F3991" t="s">
        <v>55</v>
      </c>
      <c r="G3991">
        <v>-205.66820000000001</v>
      </c>
      <c r="H3991" s="1">
        <v>-8.6456170000000005E-6</v>
      </c>
      <c r="I3991">
        <v>144.75460000000001</v>
      </c>
      <c r="J3991">
        <v>-192.9855</v>
      </c>
      <c r="K3991">
        <v>1.1138669999999999</v>
      </c>
      <c r="L3991">
        <v>159.4195</v>
      </c>
      <c r="M3991">
        <v>-0.2479498</v>
      </c>
      <c r="N3991">
        <v>-1.0617929999999999E-2</v>
      </c>
      <c r="O3991">
        <v>-0.96871479999999999</v>
      </c>
      <c r="P3991">
        <v>-0.4897167</v>
      </c>
      <c r="Q3991">
        <v>0.1369746</v>
      </c>
      <c r="R3991">
        <v>-0.86105529999999997</v>
      </c>
      <c r="S3991">
        <v>-2.019196</v>
      </c>
      <c r="T3991">
        <v>-0.17610419999999999</v>
      </c>
      <c r="U3991">
        <v>-2.3703919999999998</v>
      </c>
      <c r="V3991">
        <v>0.26314310000000002</v>
      </c>
      <c r="W3991">
        <v>0.14308419999999999</v>
      </c>
      <c r="X3991">
        <v>0.95408729999999997</v>
      </c>
      <c r="Y3991">
        <v>0.43854680000000001</v>
      </c>
      <c r="Z3991">
        <v>4.8276600000000003E-2</v>
      </c>
      <c r="AA3991">
        <v>0.89741079999999995</v>
      </c>
      <c r="AB3991">
        <v>32</v>
      </c>
      <c r="AC3991">
        <v>-12.682700000000001</v>
      </c>
      <c r="AD3991">
        <v>-1.113875645617</v>
      </c>
      <c r="AE3991">
        <v>-14.6648999999999</v>
      </c>
      <c r="AF3991">
        <v>8.6217900572028494</v>
      </c>
      <c r="AG3991">
        <v>-1.113875645617</v>
      </c>
      <c r="AH3991">
        <v>17.294672619328999</v>
      </c>
      <c r="AI3991">
        <v>93.298891922313601</v>
      </c>
      <c r="AJ3991">
        <v>63.502694868301298</v>
      </c>
      <c r="AK3991">
        <v>19.356696096032199</v>
      </c>
      <c r="AL3991">
        <v>81.773644663558102</v>
      </c>
      <c r="AM3991">
        <v>74.580818579108197</v>
      </c>
      <c r="AN3991">
        <v>0.99999997769426896</v>
      </c>
    </row>
    <row r="3992" spans="1:40" x14ac:dyDescent="0.25">
      <c r="A3992" t="str">
        <f>"20190303162338358"</f>
        <v>20190303162338358</v>
      </c>
      <c r="B3992" t="str">
        <f>"1551601418348592"</f>
        <v>1551601418348592</v>
      </c>
      <c r="C3992" t="s">
        <v>40</v>
      </c>
      <c r="D3992">
        <v>5.5614629999999998</v>
      </c>
      <c r="E3992">
        <v>0.58096919999999996</v>
      </c>
      <c r="F3992" t="s">
        <v>55</v>
      </c>
      <c r="G3992">
        <v>-205.67189999999999</v>
      </c>
      <c r="H3992" s="1">
        <v>-8.6511290000000002E-6</v>
      </c>
      <c r="I3992">
        <v>144.7816</v>
      </c>
      <c r="J3992">
        <v>-193.0635</v>
      </c>
      <c r="K3992">
        <v>1.113874</v>
      </c>
      <c r="L3992">
        <v>159.13890000000001</v>
      </c>
      <c r="M3992">
        <v>-0.25404670000000001</v>
      </c>
      <c r="N3992">
        <v>-1.061804E-2</v>
      </c>
      <c r="O3992">
        <v>-0.96713360000000004</v>
      </c>
      <c r="P3992">
        <v>-0.49556689999999998</v>
      </c>
      <c r="Q3992">
        <v>0.13434299999999999</v>
      </c>
      <c r="R3992">
        <v>-0.85811749999999998</v>
      </c>
      <c r="S3992">
        <v>-2.039139</v>
      </c>
      <c r="T3992">
        <v>-0.179039</v>
      </c>
      <c r="U3992">
        <v>-2.3528289999999998</v>
      </c>
      <c r="V3992">
        <v>0.26347409999999999</v>
      </c>
      <c r="W3992">
        <v>0.1404668</v>
      </c>
      <c r="X3992">
        <v>0.95438489999999998</v>
      </c>
      <c r="Y3992">
        <v>0.44050990000000001</v>
      </c>
      <c r="Z3992">
        <v>4.9287659999999997E-2</v>
      </c>
      <c r="AA3992">
        <v>0.89639369999999996</v>
      </c>
      <c r="AB3992">
        <v>33</v>
      </c>
      <c r="AC3992">
        <v>-12.6083999999999</v>
      </c>
      <c r="AD3992">
        <v>-1.1138826511290001</v>
      </c>
      <c r="AE3992">
        <v>-14.3573</v>
      </c>
      <c r="AF3992">
        <v>8.5181178078171396</v>
      </c>
      <c r="AG3992">
        <v>-1.1138826511290001</v>
      </c>
      <c r="AH3992">
        <v>17.031635442820601</v>
      </c>
      <c r="AI3992">
        <v>93.347593217690402</v>
      </c>
      <c r="AJ3992">
        <v>63.428759018072697</v>
      </c>
      <c r="AK3992">
        <v>19.075525455553802</v>
      </c>
      <c r="AL3992">
        <v>81.925141403281302</v>
      </c>
      <c r="AM3992">
        <v>74.566932172311695</v>
      </c>
      <c r="AN3992">
        <v>1.0000000303105201</v>
      </c>
    </row>
    <row r="3993" spans="1:40" x14ac:dyDescent="0.25">
      <c r="A3993" t="str">
        <f>"20190303162338380"</f>
        <v>20190303162338380</v>
      </c>
      <c r="B3993" t="str">
        <f>"1551601418369088"</f>
        <v>1551601418369088</v>
      </c>
      <c r="C3993" t="s">
        <v>40</v>
      </c>
      <c r="D3993">
        <v>5.5581269999999998</v>
      </c>
      <c r="E3993">
        <v>0.58094009999999996</v>
      </c>
      <c r="F3993" t="s">
        <v>55</v>
      </c>
      <c r="G3993">
        <v>-205.4453</v>
      </c>
      <c r="H3993" s="1">
        <v>-8.8215689999999904E-6</v>
      </c>
      <c r="I3993">
        <v>145.04669999999999</v>
      </c>
      <c r="J3993">
        <v>-193.15369999999999</v>
      </c>
      <c r="K3993">
        <v>1.113891</v>
      </c>
      <c r="L3993">
        <v>158.82230000000001</v>
      </c>
      <c r="M3993">
        <v>-0.26088990000000001</v>
      </c>
      <c r="N3993">
        <v>-1.0618320000000001E-2</v>
      </c>
      <c r="O3993">
        <v>-0.96531029999999995</v>
      </c>
      <c r="P3993">
        <v>-0.50321159999999998</v>
      </c>
      <c r="Q3993">
        <v>0.1327188</v>
      </c>
      <c r="R3993">
        <v>-0.85391130000000004</v>
      </c>
      <c r="S3993">
        <v>-2.0545960000000001</v>
      </c>
      <c r="T3993">
        <v>-0.18483469999999999</v>
      </c>
      <c r="U3993">
        <v>-2.338425</v>
      </c>
      <c r="V3993">
        <v>0.26514120000000002</v>
      </c>
      <c r="W3993">
        <v>0.13883119999999999</v>
      </c>
      <c r="X3993">
        <v>0.95416250000000002</v>
      </c>
      <c r="Y3993">
        <v>0.44016539999999998</v>
      </c>
      <c r="Z3993">
        <v>5.122177E-2</v>
      </c>
      <c r="AA3993">
        <v>0.89645450000000004</v>
      </c>
      <c r="AB3993">
        <v>33</v>
      </c>
      <c r="AC3993">
        <v>-12.291600000000001</v>
      </c>
      <c r="AD3993">
        <v>-1.1138998215689999</v>
      </c>
      <c r="AE3993">
        <v>-13.775600000000001</v>
      </c>
      <c r="AF3993">
        <v>8.2417565656226195</v>
      </c>
      <c r="AG3993">
        <v>-1.1138998215689999</v>
      </c>
      <c r="AH3993">
        <v>16.4455457074368</v>
      </c>
      <c r="AI3993">
        <v>93.465252015980894</v>
      </c>
      <c r="AJ3993">
        <v>63.382062319015802</v>
      </c>
      <c r="AK3993">
        <v>18.4288713087609</v>
      </c>
      <c r="AL3993">
        <v>82.019781657854395</v>
      </c>
      <c r="AM3993">
        <v>74.470534043619296</v>
      </c>
      <c r="AN3993">
        <v>1.0000000172185599</v>
      </c>
    </row>
    <row r="3994" spans="1:40" x14ac:dyDescent="0.25">
      <c r="A3994" t="str">
        <f>"20190303162338404"</f>
        <v>20190303162338404</v>
      </c>
      <c r="B3994" t="str">
        <f>"1551601418399344"</f>
        <v>1551601418399344</v>
      </c>
      <c r="C3994" t="s">
        <v>40</v>
      </c>
      <c r="D3994">
        <v>5.5357260000000004</v>
      </c>
      <c r="E3994">
        <v>0.58067679999999999</v>
      </c>
      <c r="F3994" t="s">
        <v>55</v>
      </c>
      <c r="G3994">
        <v>-205.46600000000001</v>
      </c>
      <c r="H3994" s="1">
        <v>-8.8157579999999996E-6</v>
      </c>
      <c r="I3994">
        <v>145.05950000000001</v>
      </c>
      <c r="J3994">
        <v>-193.2482</v>
      </c>
      <c r="K3994">
        <v>1.1139030000000001</v>
      </c>
      <c r="L3994">
        <v>158.49930000000001</v>
      </c>
      <c r="M3994">
        <v>-0.26784039999999998</v>
      </c>
      <c r="N3994">
        <v>-1.061897E-2</v>
      </c>
      <c r="O3994">
        <v>-0.96340519999999996</v>
      </c>
      <c r="P3994">
        <v>-0.5113955</v>
      </c>
      <c r="Q3994">
        <v>0.131247799999999</v>
      </c>
      <c r="R3994">
        <v>-0.84926420000000002</v>
      </c>
      <c r="S3994">
        <v>-2.0751040000000001</v>
      </c>
      <c r="T3994">
        <v>-0.18773509999999999</v>
      </c>
      <c r="U3994">
        <v>-2.3195649999999999</v>
      </c>
      <c r="V3994">
        <v>0.26734659999999999</v>
      </c>
      <c r="W3994">
        <v>0.13733699999999999</v>
      </c>
      <c r="X3994">
        <v>0.95376320000000003</v>
      </c>
      <c r="Y3994">
        <v>0.4416814</v>
      </c>
      <c r="Z3994">
        <v>5.2219660000000001E-2</v>
      </c>
      <c r="AA3994">
        <v>0.89565090000000003</v>
      </c>
      <c r="AB3994">
        <v>33</v>
      </c>
      <c r="AC3994">
        <v>-12.217799999999899</v>
      </c>
      <c r="AD3994">
        <v>-1.1139118157579999</v>
      </c>
      <c r="AE3994">
        <v>-13.4397999999999</v>
      </c>
      <c r="AF3994">
        <v>8.1408095699478302</v>
      </c>
      <c r="AG3994">
        <v>-1.1139118157579999</v>
      </c>
      <c r="AH3994">
        <v>16.160520159125699</v>
      </c>
      <c r="AI3994">
        <v>93.522598008360404</v>
      </c>
      <c r="AJ3994">
        <v>63.263467790702201</v>
      </c>
      <c r="AK3994">
        <v>18.129423371992502</v>
      </c>
      <c r="AL3994">
        <v>82.106220521523895</v>
      </c>
      <c r="AM3994">
        <v>74.341438325798805</v>
      </c>
      <c r="AN3994">
        <v>0.99999994888739796</v>
      </c>
    </row>
    <row r="3995" spans="1:40" x14ac:dyDescent="0.25">
      <c r="A3995" t="str">
        <f>"20190303162338425"</f>
        <v>20190303162338425</v>
      </c>
      <c r="B3995" t="str">
        <f>"1551601418418865"</f>
        <v>1551601418418865</v>
      </c>
      <c r="C3995" t="s">
        <v>40</v>
      </c>
      <c r="D3995">
        <v>5.8963780000000003</v>
      </c>
      <c r="E3995">
        <v>0.58056280000000005</v>
      </c>
      <c r="F3995" t="s">
        <v>55</v>
      </c>
      <c r="G3995">
        <v>-205.34979999999999</v>
      </c>
      <c r="H3995" s="1">
        <v>-8.9048479999999995E-6</v>
      </c>
      <c r="I3995">
        <v>145.20169999999999</v>
      </c>
      <c r="J3995">
        <v>-193.3441</v>
      </c>
      <c r="K3995">
        <v>1.113915</v>
      </c>
      <c r="L3995">
        <v>158.18049999999999</v>
      </c>
      <c r="M3995">
        <v>-0.2746769</v>
      </c>
      <c r="N3995">
        <v>-1.061965E-2</v>
      </c>
      <c r="O3995">
        <v>-0.9614779</v>
      </c>
      <c r="P3995">
        <v>-0.51957120000000001</v>
      </c>
      <c r="Q3995">
        <v>0.1294302</v>
      </c>
      <c r="R3995">
        <v>-0.84456710000000002</v>
      </c>
      <c r="S3995">
        <v>-2.0942229999999999</v>
      </c>
      <c r="T3995">
        <v>-0.19276599999999999</v>
      </c>
      <c r="U3995">
        <v>-2.301193</v>
      </c>
      <c r="V3995">
        <v>0.269673</v>
      </c>
      <c r="W3995">
        <v>0.13549040000000001</v>
      </c>
      <c r="X3995">
        <v>0.95337240000000001</v>
      </c>
      <c r="Y3995">
        <v>0.44287270000000001</v>
      </c>
      <c r="Z3995">
        <v>5.3917270000000003E-2</v>
      </c>
      <c r="AA3995">
        <v>0.89496180000000003</v>
      </c>
      <c r="AB3995">
        <v>33</v>
      </c>
      <c r="AC3995">
        <v>-12.0056999999999</v>
      </c>
      <c r="AD3995">
        <v>-1.1139239048479901</v>
      </c>
      <c r="AE3995">
        <v>-12.9788</v>
      </c>
      <c r="AF3995">
        <v>7.9471422897743604</v>
      </c>
      <c r="AG3995">
        <v>-1.1139239048479901</v>
      </c>
      <c r="AH3995">
        <v>15.715026477066599</v>
      </c>
      <c r="AI3995">
        <v>93.619392304612802</v>
      </c>
      <c r="AJ3995">
        <v>63.174121161030499</v>
      </c>
      <c r="AK3995">
        <v>17.6453947027154</v>
      </c>
      <c r="AL3995">
        <v>82.213022133435004</v>
      </c>
      <c r="AM3995">
        <v>74.205797917614206</v>
      </c>
      <c r="AN3995">
        <v>1.00000005425145</v>
      </c>
    </row>
    <row r="3996" spans="1:40" x14ac:dyDescent="0.25">
      <c r="A3996" t="str">
        <f>"20190303162338439"</f>
        <v>20190303162338439</v>
      </c>
      <c r="B3996" t="str">
        <f>"1551601418428625"</f>
        <v>1551601418428625</v>
      </c>
      <c r="C3996" t="s">
        <v>40</v>
      </c>
      <c r="D3996">
        <v>6.0131839999999999</v>
      </c>
      <c r="E3996">
        <v>0.58056280000000005</v>
      </c>
      <c r="F3996" t="s">
        <v>55</v>
      </c>
      <c r="G3996">
        <v>-205.18969999999999</v>
      </c>
      <c r="H3996" s="1">
        <v>-9.0290600000000003E-6</v>
      </c>
      <c r="I3996">
        <v>145.4033</v>
      </c>
      <c r="J3996">
        <v>-193.40100000000001</v>
      </c>
      <c r="K3996">
        <v>1.1139190000000001</v>
      </c>
      <c r="L3996">
        <v>157.9948</v>
      </c>
      <c r="M3996">
        <v>-0.27864899999999998</v>
      </c>
      <c r="N3996">
        <v>-1.062038E-2</v>
      </c>
      <c r="O3996">
        <v>-0.96033429999999997</v>
      </c>
      <c r="P3996">
        <v>-0.52426019999999995</v>
      </c>
      <c r="Q3996">
        <v>0.12883519999999901</v>
      </c>
      <c r="R3996">
        <v>-0.841755699999999</v>
      </c>
      <c r="S3996">
        <v>-2.1150820000000001</v>
      </c>
      <c r="T3996">
        <v>-0.19889470000000001</v>
      </c>
      <c r="U3996">
        <v>-2.2814030000000001</v>
      </c>
      <c r="V3996">
        <v>0.27099889999999999</v>
      </c>
      <c r="W3996">
        <v>0.1348781</v>
      </c>
      <c r="X3996">
        <v>0.95308320000000002</v>
      </c>
      <c r="Y3996">
        <v>0.44734770000000001</v>
      </c>
      <c r="Z3996">
        <v>5.5999930000000003E-2</v>
      </c>
      <c r="AA3996">
        <v>0.89260519999999999</v>
      </c>
      <c r="AB3996">
        <v>33</v>
      </c>
      <c r="AC3996">
        <v>-11.7887</v>
      </c>
      <c r="AD3996">
        <v>-1.11392802906</v>
      </c>
      <c r="AE3996">
        <v>-12.5914999999999</v>
      </c>
      <c r="AF3996">
        <v>7.7804753198901704</v>
      </c>
      <c r="AG3996">
        <v>-1.11392802906</v>
      </c>
      <c r="AH3996">
        <v>15.313957413148</v>
      </c>
      <c r="AI3996">
        <v>93.710410714665301</v>
      </c>
      <c r="AJ3996">
        <v>63.066501347536501</v>
      </c>
      <c r="AK3996">
        <v>17.2131903930985</v>
      </c>
      <c r="AL3996">
        <v>82.248429294108703</v>
      </c>
      <c r="AM3996">
        <v>74.127471789303598</v>
      </c>
      <c r="AN3996">
        <v>1.0000000458915199</v>
      </c>
    </row>
    <row r="3997" spans="1:40" x14ac:dyDescent="0.25">
      <c r="A3997" t="str">
        <f>"20190303162338453"</f>
        <v>20190303162338453</v>
      </c>
      <c r="B3997" t="str">
        <f>"1551601418449121"</f>
        <v>1551601418449121</v>
      </c>
      <c r="C3997" t="s">
        <v>40</v>
      </c>
      <c r="D3997">
        <v>5.7161679999999997</v>
      </c>
      <c r="E3997">
        <v>0.58185430000000005</v>
      </c>
      <c r="F3997" t="s">
        <v>55</v>
      </c>
      <c r="G3997">
        <v>-205.21350000000001</v>
      </c>
      <c r="H3997" s="1">
        <v>-9.0162330000000005E-6</v>
      </c>
      <c r="I3997">
        <v>145.3947</v>
      </c>
      <c r="J3997">
        <v>-193.46100000000001</v>
      </c>
      <c r="K3997">
        <v>1.113923</v>
      </c>
      <c r="L3997">
        <v>157.80199999999999</v>
      </c>
      <c r="M3997">
        <v>-0.2827694</v>
      </c>
      <c r="N3997">
        <v>-1.062126E-2</v>
      </c>
      <c r="O3997">
        <v>-0.95912929999999996</v>
      </c>
      <c r="P3997">
        <v>-0.52906200000000003</v>
      </c>
      <c r="Q3997">
        <v>0.12835450000000001</v>
      </c>
      <c r="R3997">
        <v>-0.83881989999999995</v>
      </c>
      <c r="S3997">
        <v>-2.1276700000000002</v>
      </c>
      <c r="T3997">
        <v>-0.2006396</v>
      </c>
      <c r="U3997">
        <v>-2.2695159999999999</v>
      </c>
      <c r="V3997">
        <v>0.27232529999999999</v>
      </c>
      <c r="W3997">
        <v>0.1343782</v>
      </c>
      <c r="X3997">
        <v>0.9527757</v>
      </c>
      <c r="Y3997">
        <v>0.44845200000000002</v>
      </c>
      <c r="Z3997">
        <v>5.659633E-2</v>
      </c>
      <c r="AA3997">
        <v>0.89201330000000001</v>
      </c>
      <c r="AB3997">
        <v>33</v>
      </c>
      <c r="AC3997">
        <v>-11.7525</v>
      </c>
      <c r="AD3997">
        <v>-1.113932016233</v>
      </c>
      <c r="AE3997">
        <v>-12.407299999999999</v>
      </c>
      <c r="AF3997">
        <v>7.7313517698555003</v>
      </c>
      <c r="AG3997">
        <v>-1.113932016233</v>
      </c>
      <c r="AH3997">
        <v>15.159900612114599</v>
      </c>
      <c r="AI3997">
        <v>93.745118973570897</v>
      </c>
      <c r="AJ3997">
        <v>62.979010902491197</v>
      </c>
      <c r="AK3997">
        <v>17.0539506066843</v>
      </c>
      <c r="AL3997">
        <v>82.277334649775497</v>
      </c>
      <c r="AM3997">
        <v>74.048840433554901</v>
      </c>
      <c r="AN3997">
        <v>1.0000000520829</v>
      </c>
    </row>
    <row r="3998" spans="1:40" x14ac:dyDescent="0.25">
      <c r="A3998" t="str">
        <f>"20190303162338470"</f>
        <v>20190303162338470</v>
      </c>
      <c r="B3998" t="str">
        <f>"1551601418458881"</f>
        <v>1551601418458881</v>
      </c>
      <c r="C3998" t="s">
        <v>40</v>
      </c>
      <c r="D3998">
        <v>5.8953519999999999</v>
      </c>
      <c r="E3998">
        <v>0.62000889999999997</v>
      </c>
      <c r="F3998" t="s">
        <v>55</v>
      </c>
      <c r="G3998">
        <v>-198.61109999999999</v>
      </c>
      <c r="H3998" s="1">
        <v>-1.302345E-5</v>
      </c>
      <c r="I3998">
        <v>152.32490000000001</v>
      </c>
      <c r="J3998">
        <v>-193.53899999999999</v>
      </c>
      <c r="K3998">
        <v>1.11392</v>
      </c>
      <c r="L3998">
        <v>157.55549999999999</v>
      </c>
      <c r="M3998">
        <v>-0.2880315</v>
      </c>
      <c r="N3998">
        <v>-1.062258E-2</v>
      </c>
      <c r="O3998">
        <v>-0.95756209999999997</v>
      </c>
      <c r="P3998">
        <v>-0.53715749999999995</v>
      </c>
      <c r="Q3998">
        <v>0.12865550000000001</v>
      </c>
      <c r="R3998">
        <v>-0.83361260000000004</v>
      </c>
      <c r="S3998">
        <v>-2.1530300000000002</v>
      </c>
      <c r="T3998">
        <v>-0.46569169999999999</v>
      </c>
      <c r="U3998">
        <v>-2.289749</v>
      </c>
      <c r="V3998">
        <v>0.2763369</v>
      </c>
      <c r="W3998">
        <v>0.1346098</v>
      </c>
      <c r="X3998">
        <v>0.95158710000000002</v>
      </c>
      <c r="Y3998">
        <v>0.4388339</v>
      </c>
      <c r="Z3998">
        <v>0.14088239999999999</v>
      </c>
      <c r="AA3998">
        <v>0.88745529999999995</v>
      </c>
      <c r="AB3998">
        <v>33</v>
      </c>
      <c r="AC3998">
        <v>-5.0720999999999696</v>
      </c>
      <c r="AD3998">
        <v>-1.11393302345</v>
      </c>
      <c r="AE3998">
        <v>-5.2305999999999804</v>
      </c>
      <c r="AF3998">
        <v>3.2739351698536301</v>
      </c>
      <c r="AG3998">
        <v>-1.11393302345</v>
      </c>
      <c r="AH3998">
        <v>6.3221363199184903</v>
      </c>
      <c r="AI3998">
        <v>98.892463010979995</v>
      </c>
      <c r="AJ3998">
        <v>62.622499336422003</v>
      </c>
      <c r="AK3998">
        <v>7.2061713776990803</v>
      </c>
      <c r="AL3998">
        <v>82.263942443750494</v>
      </c>
      <c r="AM3998">
        <v>73.806924613192905</v>
      </c>
      <c r="AN3998">
        <v>0.99999994472202802</v>
      </c>
    </row>
    <row r="3999" spans="1:40" x14ac:dyDescent="0.25">
      <c r="A3999" t="str">
        <f>"20190303162338494"</f>
        <v>20190303162338494</v>
      </c>
      <c r="B3999" t="str">
        <f>"1551601418489137"</f>
        <v>1551601418489137</v>
      </c>
      <c r="C3999" t="s">
        <v>40</v>
      </c>
      <c r="D3999">
        <v>5.915902</v>
      </c>
      <c r="E3999">
        <v>0.61025319999999905</v>
      </c>
      <c r="F3999" t="s">
        <v>55</v>
      </c>
      <c r="G3999">
        <v>-200.07679999999999</v>
      </c>
      <c r="H3999" s="1">
        <v>-1.2982369999999999E-5</v>
      </c>
      <c r="I3999">
        <v>151.91759999999999</v>
      </c>
      <c r="J3999">
        <v>-193.64529999999999</v>
      </c>
      <c r="K3999">
        <v>1.11392</v>
      </c>
      <c r="L3999">
        <v>157.2269</v>
      </c>
      <c r="M3999">
        <v>-0.29504010000000003</v>
      </c>
      <c r="N3999">
        <v>-1.06247999999999E-2</v>
      </c>
      <c r="O3999">
        <v>-0.955426</v>
      </c>
      <c r="P3999">
        <v>-0.54692850000000004</v>
      </c>
      <c r="Q3999">
        <v>0.12855239999999901</v>
      </c>
      <c r="R3999">
        <v>-0.82725090000000001</v>
      </c>
      <c r="S3999">
        <v>-2.4309080000000001</v>
      </c>
      <c r="T3999">
        <v>-0.41418729999999998</v>
      </c>
      <c r="U3999">
        <v>-2.0963129999999999</v>
      </c>
      <c r="V3999">
        <v>0.28055720000000001</v>
      </c>
      <c r="W3999">
        <v>0.13443260000000001</v>
      </c>
      <c r="X3999">
        <v>0.95037649999999996</v>
      </c>
      <c r="Y3999">
        <v>0.52463490000000002</v>
      </c>
      <c r="Z3999">
        <v>0.1238972</v>
      </c>
      <c r="AA3999">
        <v>0.84226350000000005</v>
      </c>
      <c r="AB3999">
        <v>33</v>
      </c>
      <c r="AC3999">
        <v>-6.4314999999999998</v>
      </c>
      <c r="AD3999">
        <v>-1.1139329823699999</v>
      </c>
      <c r="AE3999">
        <v>-5.3093000000000004</v>
      </c>
      <c r="AF3999">
        <v>4.4983709954356899</v>
      </c>
      <c r="AG3999">
        <v>-1.1139329823699999</v>
      </c>
      <c r="AH3999">
        <v>6.84840783584528</v>
      </c>
      <c r="AI3999">
        <v>97.741933305237296</v>
      </c>
      <c r="AJ3999">
        <v>56.701122864338203</v>
      </c>
      <c r="AK3999">
        <v>8.2690312726374398</v>
      </c>
      <c r="AL3999">
        <v>82.274188651825597</v>
      </c>
      <c r="AM3999">
        <v>73.553063687231301</v>
      </c>
      <c r="AN3999">
        <v>0.99999997908342397</v>
      </c>
    </row>
    <row r="4000" spans="1:40" x14ac:dyDescent="0.25">
      <c r="A4000" t="str">
        <f>"20190303162338517"</f>
        <v>20190303162338517</v>
      </c>
      <c r="B4000" t="str">
        <f>"1551601418508657"</f>
        <v>1551601418508657</v>
      </c>
      <c r="C4000" t="s">
        <v>40</v>
      </c>
      <c r="D4000">
        <v>5.9394770000000001</v>
      </c>
      <c r="E4000">
        <v>0.60762720000000003</v>
      </c>
      <c r="F4000" t="s">
        <v>55</v>
      </c>
      <c r="G4000">
        <v>-199.3426</v>
      </c>
      <c r="H4000" s="1">
        <v>-1.305241E-5</v>
      </c>
      <c r="I4000">
        <v>152.18219999999999</v>
      </c>
      <c r="J4000">
        <v>-193.75380000000001</v>
      </c>
      <c r="K4000">
        <v>1.11391</v>
      </c>
      <c r="L4000">
        <v>156.89949999999999</v>
      </c>
      <c r="M4000">
        <v>-0.30202250000000003</v>
      </c>
      <c r="N4000">
        <v>-1.062753E-2</v>
      </c>
      <c r="O4000">
        <v>-0.95324160000000002</v>
      </c>
      <c r="P4000">
        <v>-0.55589949999999999</v>
      </c>
      <c r="Q4000">
        <v>0.1284072</v>
      </c>
      <c r="R4000">
        <v>-0.821271999999999</v>
      </c>
      <c r="S4000">
        <v>-2.3917999999999999</v>
      </c>
      <c r="T4000">
        <v>-0.46764460000000002</v>
      </c>
      <c r="U4000">
        <v>-2.1178279999999998</v>
      </c>
      <c r="V4000">
        <v>0.2839428</v>
      </c>
      <c r="W4000">
        <v>0.13422519999999999</v>
      </c>
      <c r="X4000">
        <v>0.94939989999999996</v>
      </c>
      <c r="Y4000">
        <v>0.50550349999999999</v>
      </c>
      <c r="Z4000">
        <v>0.14094400000000001</v>
      </c>
      <c r="AA4000">
        <v>0.85123499999999996</v>
      </c>
      <c r="AB4000">
        <v>33</v>
      </c>
      <c r="AC4000">
        <v>-5.5887999999999902</v>
      </c>
      <c r="AD4000">
        <v>-1.1139230524099999</v>
      </c>
      <c r="AE4000">
        <v>-4.7172999999999901</v>
      </c>
      <c r="AF4000">
        <v>3.81447657776034</v>
      </c>
      <c r="AG4000">
        <v>-1.1139230524099999</v>
      </c>
      <c r="AH4000">
        <v>6.0447897894042804</v>
      </c>
      <c r="AI4000">
        <v>98.857917215367607</v>
      </c>
      <c r="AJ4000">
        <v>57.746622153768598</v>
      </c>
      <c r="AK4000">
        <v>7.2339850516198103</v>
      </c>
      <c r="AL4000">
        <v>82.286180985306203</v>
      </c>
      <c r="AM4000">
        <v>73.349333926968896</v>
      </c>
      <c r="AN4000">
        <v>1.00000004405344</v>
      </c>
    </row>
    <row r="4001" spans="1:40" x14ac:dyDescent="0.25">
      <c r="A4001" t="str">
        <f>"20190303162338537"</f>
        <v>20190303162338537</v>
      </c>
      <c r="B4001" t="str">
        <f>"1551601418529153"</f>
        <v>1551601418529153</v>
      </c>
      <c r="C4001" t="s">
        <v>40</v>
      </c>
      <c r="D4001">
        <v>5.9246339999999904</v>
      </c>
      <c r="E4001">
        <v>0.60562309999999997</v>
      </c>
      <c r="F4001" t="s">
        <v>55</v>
      </c>
      <c r="G4001">
        <v>-199.3853</v>
      </c>
      <c r="H4001" s="1">
        <v>-1.29999399999999E-5</v>
      </c>
      <c r="I4001">
        <v>151.95859999999999</v>
      </c>
      <c r="J4001">
        <v>-193.8535</v>
      </c>
      <c r="K4001">
        <v>1.1139049999999999</v>
      </c>
      <c r="L4001">
        <v>156.60570000000001</v>
      </c>
      <c r="M4001">
        <v>-0.3083052</v>
      </c>
      <c r="N4001">
        <v>-1.063064E-2</v>
      </c>
      <c r="O4001">
        <v>-0.95122810000000002</v>
      </c>
      <c r="P4001">
        <v>-0.56392180000000003</v>
      </c>
      <c r="Q4001">
        <v>0.12854160000000001</v>
      </c>
      <c r="R4001">
        <v>-0.81576289999999996</v>
      </c>
      <c r="S4001">
        <v>-2.3979490000000001</v>
      </c>
      <c r="T4001">
        <v>-0.47432160000000001</v>
      </c>
      <c r="U4001">
        <v>-2.1038969999999999</v>
      </c>
      <c r="V4001">
        <v>0.28699920000000001</v>
      </c>
      <c r="W4001">
        <v>0.13429739999999901</v>
      </c>
      <c r="X4001">
        <v>0.94847020000000004</v>
      </c>
      <c r="Y4001">
        <v>0.50344560000000005</v>
      </c>
      <c r="Z4001">
        <v>0.14319770000000001</v>
      </c>
      <c r="AA4001">
        <v>0.852078</v>
      </c>
      <c r="AB4001">
        <v>33</v>
      </c>
      <c r="AC4001">
        <v>-5.5317999999999996</v>
      </c>
      <c r="AD4001">
        <v>-1.11391799994</v>
      </c>
      <c r="AE4001">
        <v>-4.6471000000000204</v>
      </c>
      <c r="AF4001">
        <v>3.7405738492002101</v>
      </c>
      <c r="AG4001">
        <v>-1.11391799994</v>
      </c>
      <c r="AH4001">
        <v>5.9840284523945799</v>
      </c>
      <c r="AI4001">
        <v>98.969959731842906</v>
      </c>
      <c r="AJ4001">
        <v>57.990788302000801</v>
      </c>
      <c r="AK4001">
        <v>7.1443196002823504</v>
      </c>
      <c r="AL4001">
        <v>82.282006296338693</v>
      </c>
      <c r="AM4001">
        <v>73.164621151756293</v>
      </c>
      <c r="AN4001">
        <v>1.00000002636771</v>
      </c>
    </row>
    <row r="4002" spans="1:40" x14ac:dyDescent="0.25">
      <c r="A4002" t="str">
        <f>"20190303162338551"</f>
        <v>20190303162338551</v>
      </c>
      <c r="B4002" t="str">
        <f>"1551601418538913"</f>
        <v>1551601418538913</v>
      </c>
      <c r="C4002" t="s">
        <v>40</v>
      </c>
      <c r="D4002">
        <v>5.916175</v>
      </c>
      <c r="E4002">
        <v>0.60487349999999995</v>
      </c>
      <c r="F4002" t="s">
        <v>55</v>
      </c>
      <c r="G4002">
        <v>-199.44970000000001</v>
      </c>
      <c r="H4002" s="1">
        <v>-1.295233E-5</v>
      </c>
      <c r="I4002">
        <v>151.7467</v>
      </c>
      <c r="J4002">
        <v>-193.92099999999999</v>
      </c>
      <c r="K4002">
        <v>1.1138950000000001</v>
      </c>
      <c r="L4002">
        <v>156.4102</v>
      </c>
      <c r="M4002">
        <v>-0.31250539999999999</v>
      </c>
      <c r="N4002">
        <v>-1.063353E-2</v>
      </c>
      <c r="O4002">
        <v>-0.94985660000000005</v>
      </c>
      <c r="P4002">
        <v>-0.56842469999999901</v>
      </c>
      <c r="Q4002">
        <v>0.1296137</v>
      </c>
      <c r="R4002">
        <v>-0.81246189999999996</v>
      </c>
      <c r="S4002">
        <v>-2.406479</v>
      </c>
      <c r="T4002">
        <v>-0.47900399999999999</v>
      </c>
      <c r="U4002">
        <v>-2.0894620000000002</v>
      </c>
      <c r="V4002">
        <v>0.28812969999999999</v>
      </c>
      <c r="W4002">
        <v>0.13533829999999999</v>
      </c>
      <c r="X4002">
        <v>0.94797929999999997</v>
      </c>
      <c r="Y4002">
        <v>0.50385919999999995</v>
      </c>
      <c r="Z4002">
        <v>0.14482449999999999</v>
      </c>
      <c r="AA4002">
        <v>0.85155840000000005</v>
      </c>
      <c r="AB4002">
        <v>33</v>
      </c>
      <c r="AC4002">
        <v>-5.5287000000000104</v>
      </c>
      <c r="AD4002">
        <v>-1.11390795233</v>
      </c>
      <c r="AE4002">
        <v>-4.6634999999999902</v>
      </c>
      <c r="AF4002">
        <v>3.70640940680103</v>
      </c>
      <c r="AG4002">
        <v>-1.11390795233</v>
      </c>
      <c r="AH4002">
        <v>6.0150875656938103</v>
      </c>
      <c r="AI4002">
        <v>98.9594213619295</v>
      </c>
      <c r="AJ4002">
        <v>58.3592288769701</v>
      </c>
      <c r="AK4002">
        <v>7.1525897435859802</v>
      </c>
      <c r="AL4002">
        <v>82.221817149810093</v>
      </c>
      <c r="AM4002">
        <v>73.093826940794997</v>
      </c>
      <c r="AN4002">
        <v>0.999999966348734</v>
      </c>
    </row>
    <row r="4003" spans="1:40" x14ac:dyDescent="0.25">
      <c r="A4003" t="str">
        <f>"20190303162338565"</f>
        <v>20190303162338565</v>
      </c>
      <c r="B4003" t="str">
        <f>"1551601418559408"</f>
        <v>1551601418559408</v>
      </c>
      <c r="C4003" t="s">
        <v>40</v>
      </c>
      <c r="D4003">
        <v>5.9726419999999996</v>
      </c>
      <c r="E4003">
        <v>0.60333319999999901</v>
      </c>
      <c r="F4003" t="s">
        <v>55</v>
      </c>
      <c r="G4003">
        <v>-199.5685</v>
      </c>
      <c r="H4003" s="1">
        <v>-1.2911800000000001E-5</v>
      </c>
      <c r="I4003">
        <v>151.5437</v>
      </c>
      <c r="J4003">
        <v>-193.9889</v>
      </c>
      <c r="K4003">
        <v>1.11388</v>
      </c>
      <c r="L4003">
        <v>156.21610000000001</v>
      </c>
      <c r="M4003">
        <v>-0.31669019999999998</v>
      </c>
      <c r="N4003">
        <v>-1.0637020000000001E-2</v>
      </c>
      <c r="O4003">
        <v>-0.94846949999999997</v>
      </c>
      <c r="P4003">
        <v>-0.57317340000000006</v>
      </c>
      <c r="Q4003">
        <v>0.13141159999999999</v>
      </c>
      <c r="R4003">
        <v>-0.80882880000000001</v>
      </c>
      <c r="S4003">
        <v>-2.413589</v>
      </c>
      <c r="T4003">
        <v>-0.47605619999999998</v>
      </c>
      <c r="U4003">
        <v>-2.0798190000000001</v>
      </c>
      <c r="V4003">
        <v>0.28963070000000002</v>
      </c>
      <c r="W4003">
        <v>0.1370932</v>
      </c>
      <c r="X4003">
        <v>0.94726949999999999</v>
      </c>
      <c r="Y4003">
        <v>0.50336179999999997</v>
      </c>
      <c r="Z4003">
        <v>0.14391189999999901</v>
      </c>
      <c r="AA4003">
        <v>0.85200719999999996</v>
      </c>
      <c r="AB4003">
        <v>33</v>
      </c>
      <c r="AC4003">
        <v>-5.5795999999999903</v>
      </c>
      <c r="AD4003">
        <v>-1.1138929118000001</v>
      </c>
      <c r="AE4003">
        <v>-4.6723999999999997</v>
      </c>
      <c r="AF4003">
        <v>3.7253202308897202</v>
      </c>
      <c r="AG4003">
        <v>-1.1138929118000001</v>
      </c>
      <c r="AH4003">
        <v>6.0570856716816497</v>
      </c>
      <c r="AI4003">
        <v>98.902676154225901</v>
      </c>
      <c r="AJ4003">
        <v>58.407025557248502</v>
      </c>
      <c r="AK4003">
        <v>7.1977117944333999</v>
      </c>
      <c r="AL4003">
        <v>82.120323000758901</v>
      </c>
      <c r="AM4003">
        <v>72.998819022199797</v>
      </c>
      <c r="AN4003">
        <v>0.99999999674949003</v>
      </c>
    </row>
    <row r="4004" spans="1:40" x14ac:dyDescent="0.25">
      <c r="A4004" t="str">
        <f>"20190303162338582"</f>
        <v>20190303162338582</v>
      </c>
      <c r="B4004" t="str">
        <f>"1551601418569168"</f>
        <v>1551601418569168</v>
      </c>
      <c r="C4004" t="s">
        <v>40</v>
      </c>
      <c r="D4004">
        <v>5.9919949999999904</v>
      </c>
      <c r="E4004">
        <v>0.60263239999999996</v>
      </c>
      <c r="F4004" t="s">
        <v>55</v>
      </c>
      <c r="G4004">
        <v>-199.6969</v>
      </c>
      <c r="H4004" s="1">
        <v>-1.2866859999999999E-5</v>
      </c>
      <c r="I4004">
        <v>151.31989999999999</v>
      </c>
      <c r="J4004">
        <v>-194.072</v>
      </c>
      <c r="K4004">
        <v>1.1138600000000001</v>
      </c>
      <c r="L4004">
        <v>155.98240000000001</v>
      </c>
      <c r="M4004">
        <v>-0.32176850000000001</v>
      </c>
      <c r="N4004">
        <v>-1.064259E-2</v>
      </c>
      <c r="O4004">
        <v>-0.94675889999999996</v>
      </c>
      <c r="P4004">
        <v>-0.58021769999999995</v>
      </c>
      <c r="Q4004">
        <v>0.13569609999999999</v>
      </c>
      <c r="R4004">
        <v>-0.80307850000000003</v>
      </c>
      <c r="S4004">
        <v>-2.4167480000000001</v>
      </c>
      <c r="T4004">
        <v>-0.47162389999999998</v>
      </c>
      <c r="U4004">
        <v>-2.0730900000000001</v>
      </c>
      <c r="V4004">
        <v>0.29314089999999998</v>
      </c>
      <c r="W4004">
        <v>0.14128350000000001</v>
      </c>
      <c r="X4004">
        <v>0.94557250000000004</v>
      </c>
      <c r="Y4004">
        <v>0.50082119999999997</v>
      </c>
      <c r="Z4004">
        <v>0.14250739999999901</v>
      </c>
      <c r="AA4004">
        <v>0.85373869999999896</v>
      </c>
      <c r="AB4004">
        <v>33</v>
      </c>
      <c r="AC4004">
        <v>-5.6248999999999896</v>
      </c>
      <c r="AD4004">
        <v>-1.11387286686</v>
      </c>
      <c r="AE4004">
        <v>-4.6625000000000201</v>
      </c>
      <c r="AF4004">
        <v>3.7384973274095099</v>
      </c>
      <c r="AG4004">
        <v>-1.11387286686</v>
      </c>
      <c r="AH4004">
        <v>6.0831348262593696</v>
      </c>
      <c r="AI4004">
        <v>98.866822985871593</v>
      </c>
      <c r="AJ4004">
        <v>58.4264652290139</v>
      </c>
      <c r="AK4004">
        <v>7.22645171194167</v>
      </c>
      <c r="AL4004">
        <v>81.877876204415301</v>
      </c>
      <c r="AM4004">
        <v>72.775821661465699</v>
      </c>
      <c r="AN4004">
        <v>0.99999998369065402</v>
      </c>
    </row>
    <row r="4005" spans="1:40" x14ac:dyDescent="0.25">
      <c r="A4005" t="str">
        <f>"20190303162338596"</f>
        <v>20190303162338596</v>
      </c>
      <c r="B4005" t="str">
        <f>"1551601418588689"</f>
        <v>1551601418588689</v>
      </c>
      <c r="C4005" t="s">
        <v>40</v>
      </c>
      <c r="D4005">
        <v>5.6710599999999998</v>
      </c>
      <c r="E4005">
        <v>0.60338130000000001</v>
      </c>
      <c r="F4005" t="s">
        <v>55</v>
      </c>
      <c r="G4005">
        <v>-199.97710000000001</v>
      </c>
      <c r="H4005" s="1">
        <v>-1.279839E-5</v>
      </c>
      <c r="I4005">
        <v>150.9933</v>
      </c>
      <c r="J4005">
        <v>-194.14089999999999</v>
      </c>
      <c r="K4005">
        <v>1.1138239999999999</v>
      </c>
      <c r="L4005">
        <v>155.79259999999999</v>
      </c>
      <c r="M4005">
        <v>-0.32593630000000001</v>
      </c>
      <c r="N4005">
        <v>-1.064851E-2</v>
      </c>
      <c r="O4005">
        <v>-0.9453319</v>
      </c>
      <c r="P4005">
        <v>-0.58510260000000003</v>
      </c>
      <c r="Q4005">
        <v>0.13672210000000001</v>
      </c>
      <c r="R4005">
        <v>-0.79935100000000003</v>
      </c>
      <c r="S4005">
        <v>-2.4328609999999999</v>
      </c>
      <c r="T4005">
        <v>-0.45890890000000001</v>
      </c>
      <c r="U4005">
        <v>-2.0554960000000002</v>
      </c>
      <c r="V4005">
        <v>0.29482930000000002</v>
      </c>
      <c r="W4005">
        <v>0.14225160000000001</v>
      </c>
      <c r="X4005">
        <v>0.94490220000000003</v>
      </c>
      <c r="Y4005">
        <v>0.50386370000000003</v>
      </c>
      <c r="Z4005">
        <v>0.13852790000000001</v>
      </c>
      <c r="AA4005">
        <v>0.85260270000000005</v>
      </c>
      <c r="AB4005">
        <v>33</v>
      </c>
      <c r="AC4005">
        <v>-5.8362000000000096</v>
      </c>
      <c r="AD4005">
        <v>-1.1138367983899999</v>
      </c>
      <c r="AE4005">
        <v>-4.7992999999999801</v>
      </c>
      <c r="AF4005">
        <v>3.8690316227604802</v>
      </c>
      <c r="AG4005">
        <v>-1.1138367983899999</v>
      </c>
      <c r="AH4005">
        <v>6.3025736063945201</v>
      </c>
      <c r="AI4005">
        <v>98.565069927959101</v>
      </c>
      <c r="AJ4005">
        <v>58.455017294215899</v>
      </c>
      <c r="AK4005">
        <v>7.4788015199889601</v>
      </c>
      <c r="AL4005">
        <v>81.821842352395393</v>
      </c>
      <c r="AM4005">
        <v>72.670983374881303</v>
      </c>
      <c r="AN4005">
        <v>1.0000000007029399</v>
      </c>
    </row>
    <row r="4006" spans="1:40" x14ac:dyDescent="0.25">
      <c r="A4006" t="str">
        <f>"20190303162338610"</f>
        <v>20190303162338610</v>
      </c>
      <c r="B4006" t="str">
        <f>"1551601418598449"</f>
        <v>1551601418598449</v>
      </c>
      <c r="C4006" t="s">
        <v>40</v>
      </c>
      <c r="D4006">
        <v>5.7326199999999998</v>
      </c>
      <c r="E4006">
        <v>0.60470080000000004</v>
      </c>
      <c r="F4006" t="s">
        <v>55</v>
      </c>
      <c r="G4006">
        <v>-200.25530000000001</v>
      </c>
      <c r="H4006" s="1">
        <v>-1.259272E-5</v>
      </c>
      <c r="I4006">
        <v>150.71459999999999</v>
      </c>
      <c r="J4006">
        <v>-194.21109999999999</v>
      </c>
      <c r="K4006">
        <v>1.113775</v>
      </c>
      <c r="L4006">
        <v>155.60140000000001</v>
      </c>
      <c r="M4006">
        <v>-0.33017210000000002</v>
      </c>
      <c r="N4006">
        <v>-1.065524E-2</v>
      </c>
      <c r="O4006">
        <v>-0.94386080000000006</v>
      </c>
      <c r="P4006">
        <v>-0.58996729999999997</v>
      </c>
      <c r="Q4006">
        <v>0.1371957</v>
      </c>
      <c r="R4006">
        <v>-0.795686</v>
      </c>
      <c r="S4006">
        <v>-2.4508969999999999</v>
      </c>
      <c r="T4006">
        <v>-0.44646920000000001</v>
      </c>
      <c r="U4006">
        <v>-2.0354610000000002</v>
      </c>
      <c r="V4006">
        <v>0.296409599999999</v>
      </c>
      <c r="W4006">
        <v>0.14266409999999999</v>
      </c>
      <c r="X4006">
        <v>0.9443454</v>
      </c>
      <c r="Y4006">
        <v>0.50764319999999996</v>
      </c>
      <c r="Z4006">
        <v>0.1346464</v>
      </c>
      <c r="AA4006">
        <v>0.85098109999999905</v>
      </c>
      <c r="AB4006">
        <v>33</v>
      </c>
      <c r="AC4006">
        <v>-6.0442000000000098</v>
      </c>
      <c r="AD4006">
        <v>-1.1137875927200001</v>
      </c>
      <c r="AE4006">
        <v>-4.8868000000000196</v>
      </c>
      <c r="AF4006">
        <v>4.0093030205221298</v>
      </c>
      <c r="AG4006">
        <v>-1.1137875927200001</v>
      </c>
      <c r="AH4006">
        <v>6.4754915142528997</v>
      </c>
      <c r="AI4006">
        <v>98.319918333937395</v>
      </c>
      <c r="AJ4006">
        <v>58.236263615342203</v>
      </c>
      <c r="AK4006">
        <v>7.6972088358850099</v>
      </c>
      <c r="AL4006">
        <v>81.797964016757504</v>
      </c>
      <c r="AM4006">
        <v>72.574054783683493</v>
      </c>
      <c r="AN4006">
        <v>0.99999996545106395</v>
      </c>
    </row>
    <row r="4007" spans="1:40" x14ac:dyDescent="0.25">
      <c r="A4007" t="str">
        <f>"20190303162338626"</f>
        <v>20190303162338626</v>
      </c>
      <c r="B4007" t="str">
        <f>"1551601418618945"</f>
        <v>1551601418618945</v>
      </c>
      <c r="C4007" t="s">
        <v>40</v>
      </c>
      <c r="D4007">
        <v>5.7435109999999998</v>
      </c>
      <c r="E4007">
        <v>0.60561140000000002</v>
      </c>
      <c r="F4007" t="s">
        <v>55</v>
      </c>
      <c r="G4007">
        <v>-200.54519999999999</v>
      </c>
      <c r="H4007" s="1">
        <v>-1.238356E-5</v>
      </c>
      <c r="I4007">
        <v>150.44489999999999</v>
      </c>
      <c r="J4007">
        <v>-194.3004</v>
      </c>
      <c r="K4007">
        <v>1.1136900000000001</v>
      </c>
      <c r="L4007">
        <v>155.36160000000001</v>
      </c>
      <c r="M4007">
        <v>-0.33554970000000001</v>
      </c>
      <c r="N4007">
        <v>-1.066515E-2</v>
      </c>
      <c r="O4007">
        <v>-0.94196239999999998</v>
      </c>
      <c r="P4007">
        <v>-0.59677049999999998</v>
      </c>
      <c r="Q4007">
        <v>0.1371066</v>
      </c>
      <c r="R4007">
        <v>-0.79061210000000004</v>
      </c>
      <c r="S4007">
        <v>-2.4720149999999999</v>
      </c>
      <c r="T4007">
        <v>-0.43467430000000001</v>
      </c>
      <c r="U4007">
        <v>-2.0124050000000002</v>
      </c>
      <c r="V4007">
        <v>0.29914790000000002</v>
      </c>
      <c r="W4007">
        <v>0.1424753</v>
      </c>
      <c r="X4007">
        <v>0.94351010000000002</v>
      </c>
      <c r="Y4007">
        <v>0.51148539999999998</v>
      </c>
      <c r="Z4007">
        <v>0.13092760000000001</v>
      </c>
      <c r="AA4007">
        <v>0.84925890000000004</v>
      </c>
      <c r="AB4007">
        <v>33</v>
      </c>
      <c r="AC4007">
        <v>-6.2447999999999899</v>
      </c>
      <c r="AD4007">
        <v>-1.11370238356</v>
      </c>
      <c r="AE4007">
        <v>-4.9167000000000201</v>
      </c>
      <c r="AF4007">
        <v>4.1513009954959097</v>
      </c>
      <c r="AG4007">
        <v>-1.11370238356</v>
      </c>
      <c r="AH4007">
        <v>6.59762781096412</v>
      </c>
      <c r="AI4007">
        <v>98.131047795469598</v>
      </c>
      <c r="AJ4007">
        <v>57.821439475936202</v>
      </c>
      <c r="AK4007">
        <v>7.8741555538584498</v>
      </c>
      <c r="AL4007">
        <v>81.808893330670799</v>
      </c>
      <c r="AM4007">
        <v>72.408339061474607</v>
      </c>
      <c r="AN4007">
        <v>0.99999999299325404</v>
      </c>
    </row>
    <row r="4008" spans="1:40" x14ac:dyDescent="0.25">
      <c r="A4008" t="str">
        <f>"20190303162338640"</f>
        <v>20190303162338640</v>
      </c>
      <c r="B4008" t="str">
        <f>"1551601418628705"</f>
        <v>1551601418628705</v>
      </c>
      <c r="C4008" t="s">
        <v>40</v>
      </c>
      <c r="D4008">
        <v>5.7239630000000004</v>
      </c>
      <c r="E4008">
        <v>0.61984939999999999</v>
      </c>
      <c r="F4008" t="s">
        <v>55</v>
      </c>
      <c r="G4008">
        <v>-200.8167</v>
      </c>
      <c r="H4008" s="1">
        <v>-1.219728E-5</v>
      </c>
      <c r="I4008">
        <v>150.17850000000001</v>
      </c>
      <c r="J4008">
        <v>-194.36959999999999</v>
      </c>
      <c r="K4008">
        <v>1.1136109999999999</v>
      </c>
      <c r="L4008">
        <v>155.179</v>
      </c>
      <c r="M4008">
        <v>-0.33970309999999998</v>
      </c>
      <c r="N4008">
        <v>-1.0674049999999999E-2</v>
      </c>
      <c r="O4008">
        <v>-0.94047219999999998</v>
      </c>
      <c r="P4008">
        <v>-0.60130019999999995</v>
      </c>
      <c r="Q4008">
        <v>0.13673150000000001</v>
      </c>
      <c r="R4008">
        <v>-0.78723759999999998</v>
      </c>
      <c r="S4008">
        <v>-2.495422</v>
      </c>
      <c r="T4008">
        <v>-0.42649629999999999</v>
      </c>
      <c r="U4008">
        <v>-1.9848790000000001</v>
      </c>
      <c r="V4008">
        <v>0.30039979999999999</v>
      </c>
      <c r="W4008">
        <v>0.14203399999999999</v>
      </c>
      <c r="X4008">
        <v>0.94317879999999998</v>
      </c>
      <c r="Y4008">
        <v>0.51758249999999995</v>
      </c>
      <c r="Z4008">
        <v>0.12845709999999999</v>
      </c>
      <c r="AA4008">
        <v>0.84593560000000001</v>
      </c>
      <c r="AB4008">
        <v>33</v>
      </c>
      <c r="AC4008">
        <v>-6.4470999999999998</v>
      </c>
      <c r="AD4008">
        <v>-1.1136231972799999</v>
      </c>
      <c r="AE4008">
        <v>-5.0004999999999802</v>
      </c>
      <c r="AF4008">
        <v>4.2850537370708901</v>
      </c>
      <c r="AG4008">
        <v>-1.1136231972799999</v>
      </c>
      <c r="AH4008">
        <v>6.7672540497515303</v>
      </c>
      <c r="AI4008">
        <v>97.915208418387806</v>
      </c>
      <c r="AJ4008">
        <v>57.657837167369401</v>
      </c>
      <c r="AK4008">
        <v>8.08687637651175</v>
      </c>
      <c r="AL4008">
        <v>81.834437577514905</v>
      </c>
      <c r="AM4008">
        <v>72.333468832856497</v>
      </c>
      <c r="AN4008">
        <v>0.99999997288273901</v>
      </c>
    </row>
    <row r="4009" spans="1:40" x14ac:dyDescent="0.25">
      <c r="A4009" t="str">
        <f>"20190303162338654"</f>
        <v>20190303162338654</v>
      </c>
      <c r="B4009" t="str">
        <f>"1551601418649200"</f>
        <v>1551601418649200</v>
      </c>
      <c r="C4009" t="s">
        <v>40</v>
      </c>
      <c r="D4009">
        <v>5.6877639999999996</v>
      </c>
      <c r="E4009">
        <v>0.6190369</v>
      </c>
      <c r="F4009" t="s">
        <v>55</v>
      </c>
      <c r="G4009">
        <v>-203.5444</v>
      </c>
      <c r="H4009" s="1">
        <v>-1.0542010000000001E-5</v>
      </c>
      <c r="I4009">
        <v>148.51089999999999</v>
      </c>
      <c r="J4009">
        <v>-194.4443</v>
      </c>
      <c r="K4009">
        <v>1.1135299999999999</v>
      </c>
      <c r="L4009">
        <v>154.98490000000001</v>
      </c>
      <c r="M4009">
        <v>-0.34418759999999998</v>
      </c>
      <c r="N4009">
        <v>-1.068501E-2</v>
      </c>
      <c r="O4009">
        <v>-0.93884020000000001</v>
      </c>
      <c r="P4009">
        <v>-0.60596319999999904</v>
      </c>
      <c r="Q4009">
        <v>0.13692550000000001</v>
      </c>
      <c r="R4009">
        <v>-0.78362039999999999</v>
      </c>
      <c r="S4009">
        <v>-2.5932460000000002</v>
      </c>
      <c r="T4009">
        <v>-0.3147644</v>
      </c>
      <c r="U4009">
        <v>-1.884735</v>
      </c>
      <c r="V4009">
        <v>0.3015428</v>
      </c>
      <c r="W4009">
        <v>0.14215529999999901</v>
      </c>
      <c r="X4009">
        <v>0.94279579999999996</v>
      </c>
      <c r="Y4009">
        <v>0.55325999999999997</v>
      </c>
      <c r="Z4009">
        <v>9.3081990000000003E-2</v>
      </c>
      <c r="AA4009">
        <v>0.82779179999999997</v>
      </c>
      <c r="AB4009">
        <v>33</v>
      </c>
      <c r="AC4009">
        <v>-9.1000999999999905</v>
      </c>
      <c r="AD4009">
        <v>-1.11354054201</v>
      </c>
      <c r="AE4009">
        <v>-6.47400000000001</v>
      </c>
      <c r="AF4009">
        <v>6.2534591379675097</v>
      </c>
      <c r="AG4009">
        <v>-1.11354054201</v>
      </c>
      <c r="AH4009">
        <v>9.1200492222543996</v>
      </c>
      <c r="AI4009">
        <v>95.750260674321197</v>
      </c>
      <c r="AJ4009">
        <v>55.562245222223801</v>
      </c>
      <c r="AK4009">
        <v>11.1140011492383</v>
      </c>
      <c r="AL4009">
        <v>81.827417031345206</v>
      </c>
      <c r="AM4009">
        <v>72.263700159576004</v>
      </c>
      <c r="AN4009">
        <v>1.00000005502378</v>
      </c>
    </row>
    <row r="4010" spans="1:40" x14ac:dyDescent="0.25">
      <c r="A4010" t="str">
        <f>"20190303162338671"</f>
        <v>20190303162338671</v>
      </c>
      <c r="B4010" t="str">
        <f>"1551601418658960"</f>
        <v>1551601418658960</v>
      </c>
      <c r="C4010" t="s">
        <v>40</v>
      </c>
      <c r="D4010">
        <v>5.7511989999999997</v>
      </c>
      <c r="E4010">
        <v>0.61836769999999996</v>
      </c>
      <c r="F4010" t="s">
        <v>55</v>
      </c>
      <c r="G4010">
        <v>-203.71209999999999</v>
      </c>
      <c r="H4010" s="1">
        <v>-1.0407249999999999E-5</v>
      </c>
      <c r="I4010">
        <v>148.30799999999999</v>
      </c>
      <c r="J4010">
        <v>-194.5361</v>
      </c>
      <c r="K4010">
        <v>1.113421</v>
      </c>
      <c r="L4010">
        <v>154.7501</v>
      </c>
      <c r="M4010">
        <v>-0.34970259999999997</v>
      </c>
      <c r="N4010">
        <v>-1.0699480000000001E-2</v>
      </c>
      <c r="O4010">
        <v>-0.93679970000000001</v>
      </c>
      <c r="P4010">
        <v>-0.61244549999999998</v>
      </c>
      <c r="Q4010">
        <v>0.13840250000000001</v>
      </c>
      <c r="R4010">
        <v>-0.77830299999999997</v>
      </c>
      <c r="S4010">
        <v>-2.5994869999999999</v>
      </c>
      <c r="T4010">
        <v>-0.3123302</v>
      </c>
      <c r="U4010">
        <v>-1.8727720000000001</v>
      </c>
      <c r="V4010">
        <v>0.30397999999999997</v>
      </c>
      <c r="W4010">
        <v>0.14351359999999999</v>
      </c>
      <c r="X4010">
        <v>0.94180680000000006</v>
      </c>
      <c r="Y4010">
        <v>0.55187900000000001</v>
      </c>
      <c r="Z4010">
        <v>9.2318819999999996E-2</v>
      </c>
      <c r="AA4010">
        <v>0.82879840000000005</v>
      </c>
      <c r="AB4010">
        <v>33</v>
      </c>
      <c r="AC4010">
        <v>-9.1759999999999806</v>
      </c>
      <c r="AD4010">
        <v>-1.11343140725</v>
      </c>
      <c r="AE4010">
        <v>-6.4421000000000097</v>
      </c>
      <c r="AF4010">
        <v>6.2816640790961102</v>
      </c>
      <c r="AG4010">
        <v>-1.11343140725</v>
      </c>
      <c r="AH4010">
        <v>9.1540739740561996</v>
      </c>
      <c r="AI4010">
        <v>95.727058896775702</v>
      </c>
      <c r="AJ4010">
        <v>55.541496620120697</v>
      </c>
      <c r="AK4010">
        <v>11.157782191087501</v>
      </c>
      <c r="AL4010">
        <v>81.748785653944395</v>
      </c>
      <c r="AM4010">
        <v>72.111861880261301</v>
      </c>
      <c r="AN4010">
        <v>1.0000000211555999</v>
      </c>
    </row>
    <row r="4011" spans="1:40" x14ac:dyDescent="0.25">
      <c r="A4011" t="str">
        <f>"20190303162338696"</f>
        <v>20190303162338696</v>
      </c>
      <c r="B4011" t="str">
        <f>"1551601418689217"</f>
        <v>1551601418689217</v>
      </c>
      <c r="C4011" t="s">
        <v>40</v>
      </c>
      <c r="D4011">
        <v>5.7681709999999997</v>
      </c>
      <c r="E4011">
        <v>0.61675080000000004</v>
      </c>
      <c r="F4011" t="s">
        <v>55</v>
      </c>
      <c r="G4011">
        <v>-203.98570000000001</v>
      </c>
      <c r="H4011" s="1">
        <v>-1.0206859999999999E-5</v>
      </c>
      <c r="I4011">
        <v>148.04220000000001</v>
      </c>
      <c r="J4011">
        <v>-194.6721</v>
      </c>
      <c r="K4011">
        <v>1.113235</v>
      </c>
      <c r="L4011">
        <v>154.41</v>
      </c>
      <c r="M4011">
        <v>-0.3579098</v>
      </c>
      <c r="N4011">
        <v>-1.072411E-2</v>
      </c>
      <c r="O4011">
        <v>-0.93369460000000004</v>
      </c>
      <c r="P4011">
        <v>-0.62077090000000001</v>
      </c>
      <c r="Q4011">
        <v>0.13906209999999999</v>
      </c>
      <c r="R4011">
        <v>-0.77156029999999998</v>
      </c>
      <c r="S4011">
        <v>-2.6118160000000001</v>
      </c>
      <c r="T4011">
        <v>-0.30774629999999997</v>
      </c>
      <c r="U4011">
        <v>-1.85405</v>
      </c>
      <c r="V4011">
        <v>0.30595509999999998</v>
      </c>
      <c r="W4011">
        <v>0.1440157</v>
      </c>
      <c r="X4011">
        <v>0.94109030000000005</v>
      </c>
      <c r="Y4011">
        <v>0.5504888</v>
      </c>
      <c r="Z4011">
        <v>9.0816809999999998E-2</v>
      </c>
      <c r="AA4011">
        <v>0.82988819999999996</v>
      </c>
      <c r="AB4011">
        <v>33</v>
      </c>
      <c r="AC4011">
        <v>-9.3135999999999992</v>
      </c>
      <c r="AD4011">
        <v>-1.1132452068600001</v>
      </c>
      <c r="AE4011">
        <v>-6.3677999999999804</v>
      </c>
      <c r="AF4011">
        <v>6.3554522383238599</v>
      </c>
      <c r="AG4011">
        <v>-1.1132452068600001</v>
      </c>
      <c r="AH4011">
        <v>9.1900681457388806</v>
      </c>
      <c r="AI4011">
        <v>95.689706307782401</v>
      </c>
      <c r="AJ4011">
        <v>55.3339481416319</v>
      </c>
      <c r="AK4011">
        <v>11.228910925265</v>
      </c>
      <c r="AL4011">
        <v>81.719715273937297</v>
      </c>
      <c r="AM4011">
        <v>71.990290532110905</v>
      </c>
      <c r="AN4011">
        <v>0.99999999890829505</v>
      </c>
    </row>
    <row r="4012" spans="1:40" x14ac:dyDescent="0.25">
      <c r="A4012" t="str">
        <f>"20190303162338721"</f>
        <v>20190303162338721</v>
      </c>
      <c r="B4012" t="str">
        <f>"1551601418708736"</f>
        <v>1551601418708736</v>
      </c>
      <c r="C4012" t="s">
        <v>40</v>
      </c>
      <c r="D4012">
        <v>5.6971420000000004</v>
      </c>
      <c r="E4012">
        <v>0.61588889999999996</v>
      </c>
      <c r="F4012" t="s">
        <v>55</v>
      </c>
      <c r="G4012">
        <v>-204.17679999999999</v>
      </c>
      <c r="H4012" s="1">
        <v>-1.0049010000000001E-5</v>
      </c>
      <c r="I4012">
        <v>147.7637</v>
      </c>
      <c r="J4012">
        <v>-194.81639999999999</v>
      </c>
      <c r="K4012">
        <v>1.1130070000000001</v>
      </c>
      <c r="L4012">
        <v>154.05840000000001</v>
      </c>
      <c r="M4012">
        <v>-0.36666660000000001</v>
      </c>
      <c r="N4012">
        <v>-1.075402E-2</v>
      </c>
      <c r="O4012">
        <v>-0.93029039999999996</v>
      </c>
      <c r="P4012">
        <v>-0.62871999999999995</v>
      </c>
      <c r="Q4012">
        <v>0.13880499999999901</v>
      </c>
      <c r="R4012">
        <v>-0.76514359999999904</v>
      </c>
      <c r="S4012">
        <v>-2.6223749999999999</v>
      </c>
      <c r="T4012">
        <v>-0.307147</v>
      </c>
      <c r="U4012">
        <v>-1.83371</v>
      </c>
      <c r="V4012">
        <v>0.30690659999999997</v>
      </c>
      <c r="W4012">
        <v>0.14360419999999999</v>
      </c>
      <c r="X4012">
        <v>0.94084330000000005</v>
      </c>
      <c r="Y4012">
        <v>0.54855719999999997</v>
      </c>
      <c r="Z4012">
        <v>9.0637919999999997E-2</v>
      </c>
      <c r="AA4012">
        <v>0.83118579999999997</v>
      </c>
      <c r="AB4012">
        <v>33</v>
      </c>
      <c r="AC4012">
        <v>-9.3603999999999896</v>
      </c>
      <c r="AD4012">
        <v>-1.11301704901</v>
      </c>
      <c r="AE4012">
        <v>-6.2946999999999997</v>
      </c>
      <c r="AF4012">
        <v>6.3384919288543804</v>
      </c>
      <c r="AG4012">
        <v>-1.11301704901</v>
      </c>
      <c r="AH4012">
        <v>9.1990195832489796</v>
      </c>
      <c r="AI4012">
        <v>95.689695311613903</v>
      </c>
      <c r="AJ4012">
        <v>55.431606411799002</v>
      </c>
      <c r="AK4012">
        <v>11.2266312033725</v>
      </c>
      <c r="AL4012">
        <v>81.743539909353103</v>
      </c>
      <c r="AM4012">
        <v>71.933480358301495</v>
      </c>
      <c r="AN4012">
        <v>0.99999997126804396</v>
      </c>
    </row>
    <row r="4013" spans="1:40" x14ac:dyDescent="0.25">
      <c r="A4013" t="str">
        <f>"20190303162338738"</f>
        <v>20190303162338738</v>
      </c>
      <c r="B4013" t="str">
        <f>"1551601418729233"</f>
        <v>1551601418729233</v>
      </c>
      <c r="C4013" t="s">
        <v>40</v>
      </c>
      <c r="D4013">
        <v>5.735995</v>
      </c>
      <c r="E4013">
        <v>0.61548849999999999</v>
      </c>
      <c r="F4013" t="s">
        <v>55</v>
      </c>
      <c r="G4013">
        <v>-204.2937</v>
      </c>
      <c r="H4013" s="1">
        <v>-9.9493479999999994E-6</v>
      </c>
      <c r="I4013">
        <v>147.55289999999999</v>
      </c>
      <c r="J4013">
        <v>-194.92320000000001</v>
      </c>
      <c r="K4013">
        <v>1.1128309999999999</v>
      </c>
      <c r="L4013">
        <v>153.80520000000001</v>
      </c>
      <c r="M4013">
        <v>-0.37320439999999999</v>
      </c>
      <c r="N4013">
        <v>-1.07791E-2</v>
      </c>
      <c r="O4013">
        <v>-0.92768649999999997</v>
      </c>
      <c r="P4013">
        <v>-0.63340180000000001</v>
      </c>
      <c r="Q4013">
        <v>0.13989939999999901</v>
      </c>
      <c r="R4013">
        <v>-0.76107199999999997</v>
      </c>
      <c r="S4013">
        <v>-2.6370390000000001</v>
      </c>
      <c r="T4013">
        <v>-0.30969449999999998</v>
      </c>
      <c r="U4013">
        <v>-1.8101499999999999</v>
      </c>
      <c r="V4013">
        <v>0.30621320000000002</v>
      </c>
      <c r="W4013">
        <v>0.14460219999999999</v>
      </c>
      <c r="X4013">
        <v>0.94091639999999999</v>
      </c>
      <c r="Y4013">
        <v>0.54981340000000001</v>
      </c>
      <c r="Z4013">
        <v>9.1499720000000007E-2</v>
      </c>
      <c r="AA4013">
        <v>0.83026080000000002</v>
      </c>
      <c r="AB4013">
        <v>33</v>
      </c>
      <c r="AC4013">
        <v>-9.3704999999999892</v>
      </c>
      <c r="AD4013">
        <v>-1.11284094934799</v>
      </c>
      <c r="AE4013">
        <v>-6.2523000000000204</v>
      </c>
      <c r="AF4013">
        <v>6.2984028968305701</v>
      </c>
      <c r="AG4013">
        <v>-1.11284094934799</v>
      </c>
      <c r="AH4013">
        <v>9.2079643867268395</v>
      </c>
      <c r="AI4013">
        <v>95.696559526125398</v>
      </c>
      <c r="AJ4013">
        <v>55.627213936137103</v>
      </c>
      <c r="AK4013">
        <v>11.2113737863198</v>
      </c>
      <c r="AL4013">
        <v>81.6857558095885</v>
      </c>
      <c r="AM4013">
        <v>71.972964374192102</v>
      </c>
      <c r="AN4013">
        <v>0.999999995944019</v>
      </c>
    </row>
    <row r="4014" spans="1:40" x14ac:dyDescent="0.25">
      <c r="A4014" t="str">
        <f>"20190303162338765"</f>
        <v>20190303162338765</v>
      </c>
      <c r="B4014" t="str">
        <f>"1551601418758513"</f>
        <v>1551601418758513</v>
      </c>
      <c r="C4014" t="s">
        <v>40</v>
      </c>
      <c r="D4014">
        <v>6.0648519999999904</v>
      </c>
      <c r="E4014">
        <v>0.58549280000000004</v>
      </c>
      <c r="F4014" t="s">
        <v>55</v>
      </c>
      <c r="G4014">
        <v>-204.57759999999999</v>
      </c>
      <c r="H4014" s="1">
        <v>-9.7649119999999998E-6</v>
      </c>
      <c r="I4014">
        <v>147.25899999999999</v>
      </c>
      <c r="J4014">
        <v>-195.07910000000001</v>
      </c>
      <c r="K4014">
        <v>1.1125529999999999</v>
      </c>
      <c r="L4014">
        <v>153.44450000000001</v>
      </c>
      <c r="M4014">
        <v>-0.38285599999999997</v>
      </c>
      <c r="N4014">
        <v>-1.0820710000000001E-2</v>
      </c>
      <c r="O4014">
        <v>-0.92374500000000004</v>
      </c>
      <c r="P4014">
        <v>-0.64065530000000004</v>
      </c>
      <c r="Q4014">
        <v>0.142507299999999</v>
      </c>
      <c r="R4014">
        <v>-0.75448879999999996</v>
      </c>
      <c r="S4014">
        <v>-2.6471100000000001</v>
      </c>
      <c r="T4014">
        <v>-0.30512669999999997</v>
      </c>
      <c r="U4014">
        <v>-1.7948759999999999</v>
      </c>
      <c r="V4014">
        <v>0.30574359999999901</v>
      </c>
      <c r="W4014">
        <v>0.14704010000000001</v>
      </c>
      <c r="X4014">
        <v>0.94069119999999995</v>
      </c>
      <c r="Y4014">
        <v>0.54599180000000003</v>
      </c>
      <c r="Z4014">
        <v>8.9881249999999996E-2</v>
      </c>
      <c r="AA4014">
        <v>0.83295520000000001</v>
      </c>
      <c r="AB4014">
        <v>33</v>
      </c>
      <c r="AC4014">
        <v>-9.4984999999999804</v>
      </c>
      <c r="AD4014">
        <v>-1.112562764912</v>
      </c>
      <c r="AE4014">
        <v>-6.18550000000001</v>
      </c>
      <c r="AF4014">
        <v>6.34527867286074</v>
      </c>
      <c r="AG4014">
        <v>-1.112562764912</v>
      </c>
      <c r="AH4014">
        <v>9.2616996277016597</v>
      </c>
      <c r="AI4014">
        <v>95.659453220104197</v>
      </c>
      <c r="AJ4014">
        <v>55.584585487620501</v>
      </c>
      <c r="AK4014">
        <v>11.2818188842003</v>
      </c>
      <c r="AL4014">
        <v>81.544564696300696</v>
      </c>
      <c r="AM4014">
        <v>71.994793906072204</v>
      </c>
      <c r="AN4014">
        <v>0.99999993685320299</v>
      </c>
    </row>
    <row r="4015" spans="1:40" x14ac:dyDescent="0.25">
      <c r="A4015" t="str">
        <f>"20190303162338784"</f>
        <v>20190303162338784</v>
      </c>
      <c r="B4015" t="str">
        <f>"1551601418779985"</f>
        <v>1551601418779985</v>
      </c>
      <c r="C4015" t="s">
        <v>40</v>
      </c>
      <c r="D4015">
        <v>6.0801449999999999</v>
      </c>
      <c r="E4015">
        <v>0.58317600000000003</v>
      </c>
      <c r="F4015" t="s">
        <v>55</v>
      </c>
      <c r="G4015">
        <v>-201.27600000000001</v>
      </c>
      <c r="H4015" s="1">
        <v>-1.1576410000000001E-5</v>
      </c>
      <c r="I4015">
        <v>148.60669999999999</v>
      </c>
      <c r="J4015">
        <v>-195.19450000000001</v>
      </c>
      <c r="K4015">
        <v>1.1123270000000001</v>
      </c>
      <c r="L4015">
        <v>153.18459999999999</v>
      </c>
      <c r="M4015">
        <v>-0.39007700000000001</v>
      </c>
      <c r="N4015">
        <v>-1.0855739999999999E-2</v>
      </c>
      <c r="O4015">
        <v>-0.92071829999999999</v>
      </c>
      <c r="P4015">
        <v>-0.64666899999999905</v>
      </c>
      <c r="Q4015">
        <v>0.14468139999999999</v>
      </c>
      <c r="R4015">
        <v>-0.74892369999999997</v>
      </c>
      <c r="S4015">
        <v>-2.4915159999999998</v>
      </c>
      <c r="T4015">
        <v>-0.44731389999999999</v>
      </c>
      <c r="U4015">
        <v>-1.945084</v>
      </c>
      <c r="V4015">
        <v>0.3061894</v>
      </c>
      <c r="W4015">
        <v>0.14906369999999999</v>
      </c>
      <c r="X4015">
        <v>0.9402277</v>
      </c>
      <c r="Y4015">
        <v>0.47788819999999999</v>
      </c>
      <c r="Z4015">
        <v>0.13429430000000001</v>
      </c>
      <c r="AA4015">
        <v>0.86809439999999904</v>
      </c>
      <c r="AB4015">
        <v>33</v>
      </c>
      <c r="AC4015">
        <v>-6.0814999999999699</v>
      </c>
      <c r="AD4015">
        <v>-1.11233857641</v>
      </c>
      <c r="AE4015">
        <v>-4.5778999999999996</v>
      </c>
      <c r="AF4015">
        <v>3.7341008964211899</v>
      </c>
      <c r="AG4015">
        <v>-1.11233857641</v>
      </c>
      <c r="AH4015">
        <v>6.4498661278732596</v>
      </c>
      <c r="AI4015">
        <v>98.488792116567495</v>
      </c>
      <c r="AJ4015">
        <v>59.931630913256498</v>
      </c>
      <c r="AK4015">
        <v>7.5353553121740804</v>
      </c>
      <c r="AL4015">
        <v>81.427329760303394</v>
      </c>
      <c r="AM4015">
        <v>71.961926357788997</v>
      </c>
      <c r="AN4015">
        <v>1.0000000315886599</v>
      </c>
    </row>
    <row r="4016" spans="1:40" x14ac:dyDescent="0.25">
      <c r="A4016" t="str">
        <f>"20190303162338807"</f>
        <v>20190303162338807</v>
      </c>
      <c r="B4016" t="str">
        <f>"1551601418798529"</f>
        <v>1551601418798529</v>
      </c>
      <c r="C4016" t="s">
        <v>40</v>
      </c>
      <c r="D4016">
        <v>6.0719289999999999</v>
      </c>
      <c r="E4016">
        <v>0.5819337</v>
      </c>
      <c r="F4016" t="s">
        <v>55</v>
      </c>
      <c r="G4016">
        <v>-201.05430000000001</v>
      </c>
      <c r="H4016" s="1">
        <v>-1.16794699999999E-5</v>
      </c>
      <c r="I4016">
        <v>148.6225</v>
      </c>
      <c r="J4016">
        <v>-195.33699999999999</v>
      </c>
      <c r="K4016">
        <v>1.1120490000000001</v>
      </c>
      <c r="L4016">
        <v>152.87209999999999</v>
      </c>
      <c r="M4016">
        <v>-0.39904200000000001</v>
      </c>
      <c r="N4016">
        <v>-1.0900119999999999E-2</v>
      </c>
      <c r="O4016">
        <v>-0.91686789999999996</v>
      </c>
      <c r="P4016">
        <v>-0.65547169999999999</v>
      </c>
      <c r="Q4016">
        <v>0.14419870000000001</v>
      </c>
      <c r="R4016">
        <v>-0.74132569999999998</v>
      </c>
      <c r="S4016">
        <v>-2.4952549999999998</v>
      </c>
      <c r="T4016">
        <v>-0.4736668</v>
      </c>
      <c r="U4016">
        <v>-1.942688</v>
      </c>
      <c r="V4016">
        <v>0.30817850000000002</v>
      </c>
      <c r="W4016">
        <v>0.14837529999999999</v>
      </c>
      <c r="X4016">
        <v>0.93968649999999998</v>
      </c>
      <c r="Y4016">
        <v>0.46954649999999998</v>
      </c>
      <c r="Z4016">
        <v>0.1419957</v>
      </c>
      <c r="AA4016">
        <v>0.87141449999999998</v>
      </c>
      <c r="AB4016">
        <v>33</v>
      </c>
      <c r="AC4016">
        <v>-5.7172999999999901</v>
      </c>
      <c r="AD4016">
        <v>-1.1120606794700001</v>
      </c>
      <c r="AE4016">
        <v>-4.2495999999999796</v>
      </c>
      <c r="AF4016">
        <v>3.4620807093972399</v>
      </c>
      <c r="AG4016">
        <v>-1.1120606794700001</v>
      </c>
      <c r="AH4016">
        <v>6.0311541434627003</v>
      </c>
      <c r="AI4016">
        <v>99.085372774412804</v>
      </c>
      <c r="AJ4016">
        <v>60.142759597790899</v>
      </c>
      <c r="AK4016">
        <v>7.0425494031217903</v>
      </c>
      <c r="AL4016">
        <v>81.467215182028994</v>
      </c>
      <c r="AM4016">
        <v>71.842638480445601</v>
      </c>
      <c r="AN4016">
        <v>0.99999996789729395</v>
      </c>
    </row>
    <row r="4017" spans="1:40" x14ac:dyDescent="0.25">
      <c r="A4017" t="str">
        <f>"20190303162338828"</f>
        <v>20190303162338828</v>
      </c>
      <c r="B4017" t="str">
        <f>"1551601418819025"</f>
        <v>1551601418819025</v>
      </c>
      <c r="C4017" t="s">
        <v>40</v>
      </c>
      <c r="D4017">
        <v>6.0856620000000001</v>
      </c>
      <c r="E4017">
        <v>0.58130709999999997</v>
      </c>
      <c r="F4017" t="s">
        <v>55</v>
      </c>
      <c r="G4017">
        <v>-200.99440000000001</v>
      </c>
      <c r="H4017" s="1">
        <v>-1.168058E-5</v>
      </c>
      <c r="I4017">
        <v>148.53710000000001</v>
      </c>
      <c r="J4017">
        <v>-195.4727</v>
      </c>
      <c r="K4017">
        <v>1.111788</v>
      </c>
      <c r="L4017">
        <v>152.5822</v>
      </c>
      <c r="M4017">
        <v>-0.4076225</v>
      </c>
      <c r="N4017">
        <v>-1.0940200000000001E-2</v>
      </c>
      <c r="O4017">
        <v>-0.91308520000000004</v>
      </c>
      <c r="P4017">
        <v>-0.66423259999999995</v>
      </c>
      <c r="Q4017">
        <v>0.1436972</v>
      </c>
      <c r="R4017">
        <v>-0.73358489999999998</v>
      </c>
      <c r="S4017">
        <v>-2.5101170000000002</v>
      </c>
      <c r="T4017">
        <v>-0.49340580000000001</v>
      </c>
      <c r="U4017">
        <v>-1.923386</v>
      </c>
      <c r="V4017">
        <v>0.31057449999999998</v>
      </c>
      <c r="W4017">
        <v>0.14766689999999999</v>
      </c>
      <c r="X4017">
        <v>0.93900899999999998</v>
      </c>
      <c r="Y4017">
        <v>0.46725450000000002</v>
      </c>
      <c r="Z4017">
        <v>0.1478592</v>
      </c>
      <c r="AA4017">
        <v>0.87167129999999904</v>
      </c>
      <c r="AB4017">
        <v>33</v>
      </c>
      <c r="AC4017">
        <v>-5.5217000000000098</v>
      </c>
      <c r="AD4017">
        <v>-1.1117996805799999</v>
      </c>
      <c r="AE4017">
        <v>-4.0450999999999899</v>
      </c>
      <c r="AF4017">
        <v>3.3058917164828499</v>
      </c>
      <c r="AG4017">
        <v>-1.1117996805799999</v>
      </c>
      <c r="AH4017">
        <v>5.7918384232942</v>
      </c>
      <c r="AI4017">
        <v>99.464957727816497</v>
      </c>
      <c r="AJ4017">
        <v>60.2829444049678</v>
      </c>
      <c r="AK4017">
        <v>6.7609474848126698</v>
      </c>
      <c r="AL4017">
        <v>81.508255606169996</v>
      </c>
      <c r="AM4017">
        <v>71.698516916440298</v>
      </c>
      <c r="AN4017">
        <v>0.99999996774342903</v>
      </c>
    </row>
    <row r="4018" spans="1:40" x14ac:dyDescent="0.25">
      <c r="A4018" t="str">
        <f>"20190303162338842"</f>
        <v>20190303162338842</v>
      </c>
      <c r="B4018" t="str">
        <f>"1551601418829762"</f>
        <v>1551601418829762</v>
      </c>
      <c r="C4018" t="s">
        <v>40</v>
      </c>
      <c r="D4018">
        <v>6.0782590000000001</v>
      </c>
      <c r="E4018">
        <v>0.58104270000000002</v>
      </c>
      <c r="F4018" t="s">
        <v>55</v>
      </c>
      <c r="G4018">
        <v>-201.04740000000001</v>
      </c>
      <c r="H4018" s="1">
        <v>-1.1614169999999999E-5</v>
      </c>
      <c r="I4018">
        <v>148.39279999999999</v>
      </c>
      <c r="J4018">
        <v>-195.56399999999999</v>
      </c>
      <c r="K4018">
        <v>1.111621</v>
      </c>
      <c r="L4018">
        <v>152.39060000000001</v>
      </c>
      <c r="M4018">
        <v>-0.41340670000000002</v>
      </c>
      <c r="N4018">
        <v>-1.096627E-2</v>
      </c>
      <c r="O4018">
        <v>-0.91048070000000003</v>
      </c>
      <c r="P4018">
        <v>-0.66978079999999995</v>
      </c>
      <c r="Q4018">
        <v>0.14423279999999999</v>
      </c>
      <c r="R4018">
        <v>-0.72841709999999904</v>
      </c>
      <c r="S4018">
        <v>-2.5276640000000001</v>
      </c>
      <c r="T4018">
        <v>-0.5041156</v>
      </c>
      <c r="U4018">
        <v>-1.8995820000000001</v>
      </c>
      <c r="V4018">
        <v>0.31186079999999999</v>
      </c>
      <c r="W4018">
        <v>0.1480697</v>
      </c>
      <c r="X4018">
        <v>0.93851910000000005</v>
      </c>
      <c r="Y4018">
        <v>0.4693756</v>
      </c>
      <c r="Z4018">
        <v>0.151148799999999</v>
      </c>
      <c r="AA4018">
        <v>0.86996589999999996</v>
      </c>
      <c r="AB4018">
        <v>33</v>
      </c>
      <c r="AC4018">
        <v>-5.4833999999999801</v>
      </c>
      <c r="AD4018">
        <v>-1.1116326141699999</v>
      </c>
      <c r="AE4018">
        <v>-3.99780000000001</v>
      </c>
      <c r="AF4018">
        <v>3.2527275811532101</v>
      </c>
      <c r="AG4018">
        <v>-1.1116326141699999</v>
      </c>
      <c r="AH4018">
        <v>5.7527754984784796</v>
      </c>
      <c r="AI4018">
        <v>99.548222595746495</v>
      </c>
      <c r="AJ4018">
        <v>60.515364696346701</v>
      </c>
      <c r="AK4018">
        <v>6.7015214482963197</v>
      </c>
      <c r="AL4018">
        <v>81.484920171452004</v>
      </c>
      <c r="AM4018">
        <v>71.618852894936296</v>
      </c>
      <c r="AN4018">
        <v>0.99999994784976798</v>
      </c>
    </row>
    <row r="4019" spans="1:40" x14ac:dyDescent="0.25">
      <c r="A4019" t="str">
        <f>"20190303162338860"</f>
        <v>20190303162338860</v>
      </c>
      <c r="B4019" t="str">
        <f>"1551601418849281"</f>
        <v>1551601418849281</v>
      </c>
      <c r="C4019" t="s">
        <v>40</v>
      </c>
      <c r="D4019">
        <v>6.0831220000000004</v>
      </c>
      <c r="E4019">
        <v>0.58047519999999997</v>
      </c>
      <c r="F4019" t="s">
        <v>55</v>
      </c>
      <c r="G4019">
        <v>-201.14779999999999</v>
      </c>
      <c r="H4019" s="1">
        <v>-1.1527549999999999E-5</v>
      </c>
      <c r="I4019">
        <v>148.25129999999999</v>
      </c>
      <c r="J4019">
        <v>-195.6857</v>
      </c>
      <c r="K4019">
        <v>1.111402</v>
      </c>
      <c r="L4019">
        <v>152.1413</v>
      </c>
      <c r="M4019">
        <v>-0.42116150000000002</v>
      </c>
      <c r="N4019">
        <v>-1.1003300000000001E-2</v>
      </c>
      <c r="O4019">
        <v>-0.90691909999999998</v>
      </c>
      <c r="P4019">
        <v>-0.67781999999999998</v>
      </c>
      <c r="Q4019">
        <v>0.14609610000000001</v>
      </c>
      <c r="R4019">
        <v>-0.72056719999999996</v>
      </c>
      <c r="S4019">
        <v>-2.5401150000000001</v>
      </c>
      <c r="T4019">
        <v>-0.50568539999999995</v>
      </c>
      <c r="U4019">
        <v>-1.8829800000000001</v>
      </c>
      <c r="V4019">
        <v>0.31454359999999998</v>
      </c>
      <c r="W4019">
        <v>0.1497308</v>
      </c>
      <c r="X4019">
        <v>0.93735959999999996</v>
      </c>
      <c r="Y4019">
        <v>0.46753610000000001</v>
      </c>
      <c r="Z4019">
        <v>0.15133650000000001</v>
      </c>
      <c r="AA4019">
        <v>0.87092320000000001</v>
      </c>
      <c r="AB4019">
        <v>33</v>
      </c>
      <c r="AC4019">
        <v>-5.4620999999999897</v>
      </c>
      <c r="AD4019">
        <v>-1.1114135275499999</v>
      </c>
      <c r="AE4019">
        <v>-3.8900000000000099</v>
      </c>
      <c r="AF4019">
        <v>3.22692076107356</v>
      </c>
      <c r="AG4019">
        <v>-1.1114135275499999</v>
      </c>
      <c r="AH4019">
        <v>5.6728591440515599</v>
      </c>
      <c r="AI4019">
        <v>99.664423802437497</v>
      </c>
      <c r="AJ4019">
        <v>60.367266453175802</v>
      </c>
      <c r="AK4019">
        <v>6.6203918687429697</v>
      </c>
      <c r="AL4019">
        <v>81.3886736843736</v>
      </c>
      <c r="AM4019">
        <v>71.450130740684997</v>
      </c>
      <c r="AN4019">
        <v>1.0000000042408701</v>
      </c>
    </row>
    <row r="4020" spans="1:40" x14ac:dyDescent="0.25">
      <c r="A4020" t="str">
        <f>"20190303162338878"</f>
        <v>20190303162338878</v>
      </c>
      <c r="B4020" t="str">
        <f>"1551601418868801"</f>
        <v>1551601418868801</v>
      </c>
      <c r="C4020" t="s">
        <v>40</v>
      </c>
      <c r="D4020">
        <v>5.7722749999999996</v>
      </c>
      <c r="E4020">
        <v>0.58022839999999998</v>
      </c>
      <c r="F4020" t="s">
        <v>55</v>
      </c>
      <c r="G4020">
        <v>-201.32550000000001</v>
      </c>
      <c r="H4020" s="1">
        <v>-1.1386609999999999E-5</v>
      </c>
      <c r="I4020">
        <v>148.04239999999999</v>
      </c>
      <c r="J4020">
        <v>-195.80170000000001</v>
      </c>
      <c r="K4020">
        <v>1.1111759999999999</v>
      </c>
      <c r="L4020">
        <v>151.9091</v>
      </c>
      <c r="M4020">
        <v>-0.42858829999999998</v>
      </c>
      <c r="N4020">
        <v>-1.104143E-2</v>
      </c>
      <c r="O4020">
        <v>-0.90343249999999997</v>
      </c>
      <c r="P4020">
        <v>-0.68482010000000004</v>
      </c>
      <c r="Q4020">
        <v>0.146735</v>
      </c>
      <c r="R4020">
        <v>-0.71378589999999997</v>
      </c>
      <c r="S4020">
        <v>-2.5581209999999999</v>
      </c>
      <c r="T4020">
        <v>-0.50412299999999999</v>
      </c>
      <c r="U4020">
        <v>-1.8592379999999999</v>
      </c>
      <c r="V4020">
        <v>0.31615399999999999</v>
      </c>
      <c r="W4020">
        <v>0.1501971</v>
      </c>
      <c r="X4020">
        <v>0.93674299999999999</v>
      </c>
      <c r="Y4020">
        <v>0.46859440000000002</v>
      </c>
      <c r="Z4020">
        <v>0.150652799999999</v>
      </c>
      <c r="AA4020">
        <v>0.87047280000000005</v>
      </c>
      <c r="AB4020">
        <v>33</v>
      </c>
      <c r="AC4020">
        <v>-5.5237999999999898</v>
      </c>
      <c r="AD4020">
        <v>-1.1111873866099999</v>
      </c>
      <c r="AE4020">
        <v>-3.8666999999999998</v>
      </c>
      <c r="AF4020">
        <v>3.2452248576515599</v>
      </c>
      <c r="AG4020">
        <v>-1.1111873866099999</v>
      </c>
      <c r="AH4020">
        <v>5.7061243113969402</v>
      </c>
      <c r="AI4020">
        <v>99.607656649308893</v>
      </c>
      <c r="AJ4020">
        <v>60.371957275853802</v>
      </c>
      <c r="AK4020">
        <v>6.6577831477148504</v>
      </c>
      <c r="AL4020">
        <v>81.361650902621804</v>
      </c>
      <c r="AM4020">
        <v>71.350283474153599</v>
      </c>
      <c r="AN4020">
        <v>0.999999984306704</v>
      </c>
    </row>
    <row r="4021" spans="1:40" x14ac:dyDescent="0.25">
      <c r="A4021" t="str">
        <f>"20190303162338901"</f>
        <v>20190303162338901</v>
      </c>
      <c r="B4021" t="str">
        <f>"1551601418889296"</f>
        <v>1551601418889296</v>
      </c>
      <c r="C4021" t="s">
        <v>40</v>
      </c>
      <c r="D4021">
        <v>5.7508460000000001</v>
      </c>
      <c r="E4021">
        <v>0.58660310000000004</v>
      </c>
      <c r="F4021" t="s">
        <v>55</v>
      </c>
      <c r="G4021">
        <v>-201.46619999999999</v>
      </c>
      <c r="H4021" s="1">
        <v>-1.12728E-5</v>
      </c>
      <c r="I4021">
        <v>147.86959999999999</v>
      </c>
      <c r="J4021">
        <v>-195.95269999999999</v>
      </c>
      <c r="K4021">
        <v>1.110873</v>
      </c>
      <c r="L4021">
        <v>151.61359999999999</v>
      </c>
      <c r="M4021">
        <v>-0.43829240000000003</v>
      </c>
      <c r="N4021">
        <v>-1.109431E-2</v>
      </c>
      <c r="O4021">
        <v>-0.89876399999999901</v>
      </c>
      <c r="P4021">
        <v>-0.69477259999999996</v>
      </c>
      <c r="Q4021">
        <v>0.14704439999999999</v>
      </c>
      <c r="R4021">
        <v>-0.70403780000000005</v>
      </c>
      <c r="S4021">
        <v>-2.5749659999999999</v>
      </c>
      <c r="T4021">
        <v>-0.50512290000000004</v>
      </c>
      <c r="U4021">
        <v>-1.836319</v>
      </c>
      <c r="V4021">
        <v>0.31936229999999999</v>
      </c>
      <c r="W4021">
        <v>0.15024849999999901</v>
      </c>
      <c r="X4021">
        <v>0.93564579999999997</v>
      </c>
      <c r="Y4021">
        <v>0.46693420000000002</v>
      </c>
      <c r="Z4021">
        <v>0.15056559999999999</v>
      </c>
      <c r="AA4021">
        <v>0.87137960000000003</v>
      </c>
      <c r="AB4021">
        <v>33</v>
      </c>
      <c r="AC4021">
        <v>-5.5134999999999899</v>
      </c>
      <c r="AD4021">
        <v>-1.1108842727999999</v>
      </c>
      <c r="AE4021">
        <v>-3.7440000000000002</v>
      </c>
      <c r="AF4021">
        <v>3.22496967140221</v>
      </c>
      <c r="AG4021">
        <v>-1.1108842727999999</v>
      </c>
      <c r="AH4021">
        <v>5.6255524732578897</v>
      </c>
      <c r="AI4021">
        <v>99.721356414606305</v>
      </c>
      <c r="AJ4021">
        <v>60.175575874245098</v>
      </c>
      <c r="AK4021">
        <v>6.5788550583210501</v>
      </c>
      <c r="AL4021">
        <v>81.358672030592501</v>
      </c>
      <c r="AM4021">
        <v>71.153779591511196</v>
      </c>
      <c r="AN4021">
        <v>0.99999997673558905</v>
      </c>
    </row>
    <row r="4022" spans="1:40" x14ac:dyDescent="0.25">
      <c r="A4022" t="str">
        <f>"20190303162338920"</f>
        <v>20190303162338920</v>
      </c>
      <c r="B4022" t="str">
        <f>"1551601418908817"</f>
        <v>1551601418908817</v>
      </c>
      <c r="C4022" t="s">
        <v>40</v>
      </c>
      <c r="D4022">
        <v>5.7523759999999999</v>
      </c>
      <c r="E4022">
        <v>0.58394919999999995</v>
      </c>
      <c r="F4022" t="s">
        <v>55</v>
      </c>
      <c r="G4022">
        <v>-208.8005</v>
      </c>
      <c r="H4022" s="1">
        <v>-6.8332869999999997E-6</v>
      </c>
      <c r="I4022">
        <v>143.15119999999999</v>
      </c>
      <c r="J4022">
        <v>-196.09010000000001</v>
      </c>
      <c r="K4022">
        <v>1.1106039999999999</v>
      </c>
      <c r="L4022">
        <v>151.35210000000001</v>
      </c>
      <c r="M4022">
        <v>-0.44713950000000002</v>
      </c>
      <c r="N4022">
        <v>-1.1144940000000001E-2</v>
      </c>
      <c r="O4022">
        <v>-0.89439489999999999</v>
      </c>
      <c r="P4022">
        <v>-0.70333780000000001</v>
      </c>
      <c r="Q4022">
        <v>0.14605290000000001</v>
      </c>
      <c r="R4022">
        <v>-0.69569019999999904</v>
      </c>
      <c r="S4022">
        <v>-2.6182859999999999</v>
      </c>
      <c r="T4022">
        <v>-0.22638920000000001</v>
      </c>
      <c r="U4022">
        <v>-1.7245790000000001</v>
      </c>
      <c r="V4022">
        <v>0.32156590000000002</v>
      </c>
      <c r="W4022">
        <v>0.14904200000000001</v>
      </c>
      <c r="X4022">
        <v>0.93508389999999997</v>
      </c>
      <c r="Y4022">
        <v>0.49895339999999999</v>
      </c>
      <c r="Z4022">
        <v>6.444482E-2</v>
      </c>
      <c r="AA4022">
        <v>0.86422940000000004</v>
      </c>
      <c r="AB4022">
        <v>33</v>
      </c>
      <c r="AC4022">
        <v>-12.7103999999999</v>
      </c>
      <c r="AD4022">
        <v>-1.1106108332869999</v>
      </c>
      <c r="AE4022">
        <v>-8.2009000000000096</v>
      </c>
      <c r="AF4022">
        <v>7.6603530582620403</v>
      </c>
      <c r="AG4022">
        <v>-1.1106108332869999</v>
      </c>
      <c r="AH4022">
        <v>12.9491664813063</v>
      </c>
      <c r="AI4022">
        <v>94.221782721878995</v>
      </c>
      <c r="AJ4022">
        <v>59.392666222442699</v>
      </c>
      <c r="AK4022">
        <v>15.086264546295901</v>
      </c>
      <c r="AL4022">
        <v>81.428587049566602</v>
      </c>
      <c r="AM4022">
        <v>71.022424377721805</v>
      </c>
      <c r="AN4022">
        <v>1.0000000229229999</v>
      </c>
    </row>
    <row r="4023" spans="1:40" x14ac:dyDescent="0.25">
      <c r="A4023" t="str">
        <f>"20190303162338944"</f>
        <v>20190303162338944</v>
      </c>
      <c r="B4023" t="str">
        <f>"1551601418939073"</f>
        <v>1551601418939073</v>
      </c>
      <c r="C4023" t="s">
        <v>40</v>
      </c>
      <c r="D4023">
        <v>5.7671799999999998</v>
      </c>
      <c r="E4023">
        <v>0.58190339999999996</v>
      </c>
      <c r="F4023" t="s">
        <v>55</v>
      </c>
      <c r="G4023">
        <v>-208.6069</v>
      </c>
      <c r="H4023" s="1">
        <v>-6.9330959999999996E-6</v>
      </c>
      <c r="I4023">
        <v>143.20400000000001</v>
      </c>
      <c r="J4023">
        <v>-196.2704</v>
      </c>
      <c r="K4023">
        <v>1.110266</v>
      </c>
      <c r="L4023">
        <v>151.01849999999999</v>
      </c>
      <c r="M4023">
        <v>-0.45875579999999999</v>
      </c>
      <c r="N4023">
        <v>-1.121111E-2</v>
      </c>
      <c r="O4023">
        <v>-0.8884917</v>
      </c>
      <c r="P4023">
        <v>-0.71390290000000001</v>
      </c>
      <c r="Q4023">
        <v>0.1467145</v>
      </c>
      <c r="R4023">
        <v>-0.68470299999999995</v>
      </c>
      <c r="S4023">
        <v>-2.6240839999999999</v>
      </c>
      <c r="T4023">
        <v>-0.2328335</v>
      </c>
      <c r="U4023">
        <v>-1.708191</v>
      </c>
      <c r="V4023">
        <v>0.3239011</v>
      </c>
      <c r="W4023">
        <v>0.1494347</v>
      </c>
      <c r="X4023">
        <v>0.93421480000000001</v>
      </c>
      <c r="Y4023">
        <v>0.4921933</v>
      </c>
      <c r="Z4023">
        <v>6.6295090000000001E-2</v>
      </c>
      <c r="AA4023">
        <v>0.8679578</v>
      </c>
      <c r="AB4023">
        <v>33</v>
      </c>
      <c r="AC4023">
        <v>-12.336499999999999</v>
      </c>
      <c r="AD4023">
        <v>-1.1102729330959999</v>
      </c>
      <c r="AE4023">
        <v>-7.8144999999999802</v>
      </c>
      <c r="AF4023">
        <v>7.3340004038390303</v>
      </c>
      <c r="AG4023">
        <v>-1.1102729330959999</v>
      </c>
      <c r="AH4023">
        <v>12.530917032943499</v>
      </c>
      <c r="AI4023">
        <v>94.372813229409203</v>
      </c>
      <c r="AJ4023">
        <v>59.660737514361102</v>
      </c>
      <c r="AK4023">
        <v>14.561735802986901</v>
      </c>
      <c r="AL4023">
        <v>81.405831733170103</v>
      </c>
      <c r="AM4023">
        <v>70.878085353792997</v>
      </c>
      <c r="AN4023">
        <v>0.99999997234216897</v>
      </c>
    </row>
    <row r="4024" spans="1:40" x14ac:dyDescent="0.25">
      <c r="A4024" t="str">
        <f>"20190303162338964"</f>
        <v>20190303162338964</v>
      </c>
      <c r="B4024" t="str">
        <f>"1551601418958593"</f>
        <v>1551601418958593</v>
      </c>
      <c r="C4024" t="s">
        <v>40</v>
      </c>
      <c r="D4024">
        <v>5.7584819999999999</v>
      </c>
      <c r="E4024">
        <v>0.58124200000000004</v>
      </c>
      <c r="F4024" t="s">
        <v>55</v>
      </c>
      <c r="G4024">
        <v>-208.61799999999999</v>
      </c>
      <c r="H4024" s="1">
        <v>-6.917467E-6</v>
      </c>
      <c r="I4024">
        <v>143.1635</v>
      </c>
      <c r="J4024">
        <v>-196.41390000000001</v>
      </c>
      <c r="K4024">
        <v>1.110006</v>
      </c>
      <c r="L4024">
        <v>150.76060000000001</v>
      </c>
      <c r="M4024">
        <v>-0.4679989</v>
      </c>
      <c r="N4024">
        <v>-1.126344E-2</v>
      </c>
      <c r="O4024">
        <v>-0.88365729999999998</v>
      </c>
      <c r="P4024">
        <v>-0.72225569999999994</v>
      </c>
      <c r="Q4024">
        <v>0.14628659999999999</v>
      </c>
      <c r="R4024">
        <v>-0.67597869999999904</v>
      </c>
      <c r="S4024">
        <v>-2.6401669999999999</v>
      </c>
      <c r="T4024">
        <v>-0.2373981</v>
      </c>
      <c r="U4024">
        <v>-1.679565</v>
      </c>
      <c r="V4024">
        <v>0.3256713</v>
      </c>
      <c r="W4024">
        <v>0.14880009999999999</v>
      </c>
      <c r="X4024">
        <v>0.93370059999999999</v>
      </c>
      <c r="Y4024">
        <v>0.49211630000000001</v>
      </c>
      <c r="Z4024">
        <v>6.7664210000000002E-2</v>
      </c>
      <c r="AA4024">
        <v>0.8678958</v>
      </c>
      <c r="AB4024">
        <v>33</v>
      </c>
      <c r="AC4024">
        <v>-12.204099999999899</v>
      </c>
      <c r="AD4024">
        <v>-1.1100129174669999</v>
      </c>
      <c r="AE4024">
        <v>-7.59710000000001</v>
      </c>
      <c r="AF4024">
        <v>7.1864189637103797</v>
      </c>
      <c r="AG4024">
        <v>-1.1100129174669999</v>
      </c>
      <c r="AH4024">
        <v>12.3518814401755</v>
      </c>
      <c r="AI4024">
        <v>94.441576787677306</v>
      </c>
      <c r="AJ4024">
        <v>59.808828381632097</v>
      </c>
      <c r="AK4024">
        <v>14.333377875123199</v>
      </c>
      <c r="AL4024">
        <v>81.4426033204047</v>
      </c>
      <c r="AM4024">
        <v>70.771418095693804</v>
      </c>
      <c r="AN4024">
        <v>1.00000003792202</v>
      </c>
    </row>
    <row r="4025" spans="1:40" x14ac:dyDescent="0.25">
      <c r="A4025" t="str">
        <f>"20190303162338984"</f>
        <v>20190303162338984</v>
      </c>
      <c r="B4025" t="str">
        <f>"1551601418979088"</f>
        <v>1551601418979088</v>
      </c>
      <c r="C4025" t="s">
        <v>40</v>
      </c>
      <c r="D4025">
        <v>5.6817229999999999</v>
      </c>
      <c r="E4025">
        <v>0.58149669999999998</v>
      </c>
      <c r="F4025" t="s">
        <v>55</v>
      </c>
      <c r="G4025">
        <v>-208.7012</v>
      </c>
      <c r="H4025" s="1">
        <v>-6.871531E-6</v>
      </c>
      <c r="I4025">
        <v>143.1292</v>
      </c>
      <c r="J4025">
        <v>-196.56970000000001</v>
      </c>
      <c r="K4025">
        <v>1.1097379999999999</v>
      </c>
      <c r="L4025">
        <v>150.4881</v>
      </c>
      <c r="M4025">
        <v>-0.4779909</v>
      </c>
      <c r="N4025">
        <v>-1.1318440000000001E-2</v>
      </c>
      <c r="O4025">
        <v>-0.87829179999999996</v>
      </c>
      <c r="P4025">
        <v>-0.73021199999999997</v>
      </c>
      <c r="Q4025">
        <v>0.14418429999999999</v>
      </c>
      <c r="R4025">
        <v>-0.66783359999999903</v>
      </c>
      <c r="S4025">
        <v>-2.657486</v>
      </c>
      <c r="T4025">
        <v>-0.2400719</v>
      </c>
      <c r="U4025">
        <v>-1.6505129999999999</v>
      </c>
      <c r="V4025">
        <v>0.3259666</v>
      </c>
      <c r="W4025">
        <v>0.14653729999999901</v>
      </c>
      <c r="X4025">
        <v>0.93395539999999999</v>
      </c>
      <c r="Y4025">
        <v>0.49157909999999999</v>
      </c>
      <c r="Z4025">
        <v>6.8365220000000004E-2</v>
      </c>
      <c r="AA4025">
        <v>0.86814519999999995</v>
      </c>
      <c r="AB4025">
        <v>33</v>
      </c>
      <c r="AC4025">
        <v>-12.1314999999999</v>
      </c>
      <c r="AD4025">
        <v>-1.1097448715310001</v>
      </c>
      <c r="AE4025">
        <v>-7.3589000000000002</v>
      </c>
      <c r="AF4025">
        <v>7.09456922155805</v>
      </c>
      <c r="AG4025">
        <v>-1.1097448715310001</v>
      </c>
      <c r="AH4025">
        <v>12.1882377290279</v>
      </c>
      <c r="AI4025">
        <v>94.499348220009495</v>
      </c>
      <c r="AJ4025">
        <v>59.797031277230303</v>
      </c>
      <c r="AK4025">
        <v>14.1462922724885</v>
      </c>
      <c r="AL4025">
        <v>81.573689423117798</v>
      </c>
      <c r="AM4025">
        <v>70.760128672884207</v>
      </c>
      <c r="AN4025">
        <v>1.0000000468979999</v>
      </c>
    </row>
    <row r="4026" spans="1:40" x14ac:dyDescent="0.25">
      <c r="A4026" t="str">
        <f>"20190303162339007"</f>
        <v>20190303162339007</v>
      </c>
      <c r="B4026" t="str">
        <f>"1551601418998609"</f>
        <v>1551601418998609</v>
      </c>
      <c r="C4026" t="s">
        <v>40</v>
      </c>
      <c r="D4026">
        <v>5.6753519999999904</v>
      </c>
      <c r="E4026">
        <v>0.58157530000000002</v>
      </c>
      <c r="F4026" t="s">
        <v>55</v>
      </c>
      <c r="G4026">
        <v>-208.9255</v>
      </c>
      <c r="H4026" s="1">
        <v>-6.7461209999999996E-6</v>
      </c>
      <c r="I4026">
        <v>143.0309</v>
      </c>
      <c r="J4026">
        <v>-196.74180000000001</v>
      </c>
      <c r="K4026">
        <v>1.1094469999999901</v>
      </c>
      <c r="L4026">
        <v>150.19579999999999</v>
      </c>
      <c r="M4026">
        <v>-0.48897459999999998</v>
      </c>
      <c r="N4026">
        <v>-1.1376590000000001E-2</v>
      </c>
      <c r="O4026">
        <v>-0.87222369999999905</v>
      </c>
      <c r="P4026">
        <v>-0.73761350000000003</v>
      </c>
      <c r="Q4026">
        <v>0.14215659999999999</v>
      </c>
      <c r="R4026">
        <v>-0.66008940000000005</v>
      </c>
      <c r="S4026">
        <v>-2.6777950000000001</v>
      </c>
      <c r="T4026">
        <v>-0.24050830000000001</v>
      </c>
      <c r="U4026">
        <v>-1.61615</v>
      </c>
      <c r="V4026">
        <v>0.32449070000000002</v>
      </c>
      <c r="W4026">
        <v>0.144395</v>
      </c>
      <c r="X4026">
        <v>0.93480260000000004</v>
      </c>
      <c r="Y4026">
        <v>0.49173260000000002</v>
      </c>
      <c r="Z4026">
        <v>6.8339209999999997E-2</v>
      </c>
      <c r="AA4026">
        <v>0.86806039999999995</v>
      </c>
      <c r="AB4026">
        <v>33</v>
      </c>
      <c r="AC4026">
        <v>-12.1836999999999</v>
      </c>
      <c r="AD4026">
        <v>-1.1094537461209999</v>
      </c>
      <c r="AE4026">
        <v>-7.1648999999999798</v>
      </c>
      <c r="AF4026">
        <v>7.0802960406294702</v>
      </c>
      <c r="AG4026">
        <v>-1.1094537461209999</v>
      </c>
      <c r="AH4026">
        <v>12.132952503532801</v>
      </c>
      <c r="AI4026">
        <v>94.5156960522487</v>
      </c>
      <c r="AJ4026">
        <v>59.733908226532797</v>
      </c>
      <c r="AK4026">
        <v>14.0914873626143</v>
      </c>
      <c r="AL4026">
        <v>81.697753575019206</v>
      </c>
      <c r="AM4026">
        <v>70.856978878688494</v>
      </c>
      <c r="AN4026">
        <v>1.00000001568912</v>
      </c>
    </row>
    <row r="4027" spans="1:40" x14ac:dyDescent="0.25">
      <c r="A4027" t="str">
        <f>"20190303162339028"</f>
        <v>20190303162339028</v>
      </c>
      <c r="B4027" t="str">
        <f>"1551601419019105"</f>
        <v>1551601419019105</v>
      </c>
      <c r="C4027" t="s">
        <v>40</v>
      </c>
      <c r="D4027">
        <v>5.7141029999999997</v>
      </c>
      <c r="E4027">
        <v>0.58151030000000004</v>
      </c>
      <c r="F4027" t="s">
        <v>55</v>
      </c>
      <c r="G4027">
        <v>-209.13470000000001</v>
      </c>
      <c r="H4027" s="1">
        <v>-6.622119E-6</v>
      </c>
      <c r="I4027">
        <v>142.9126</v>
      </c>
      <c r="J4027">
        <v>-196.90950000000001</v>
      </c>
      <c r="K4027">
        <v>1.109181</v>
      </c>
      <c r="L4027">
        <v>149.91909999999999</v>
      </c>
      <c r="M4027">
        <v>-0.49962580000000001</v>
      </c>
      <c r="N4027">
        <v>-1.1433459999999999E-2</v>
      </c>
      <c r="O4027">
        <v>-0.86616610000000005</v>
      </c>
      <c r="P4027">
        <v>-0.7456564</v>
      </c>
      <c r="Q4027">
        <v>0.14190050000000001</v>
      </c>
      <c r="R4027">
        <v>-0.65104619999999902</v>
      </c>
      <c r="S4027">
        <v>-2.695862</v>
      </c>
      <c r="T4027">
        <v>-0.24134269999999999</v>
      </c>
      <c r="U4027">
        <v>-1.584335</v>
      </c>
      <c r="V4027">
        <v>0.32456360000000001</v>
      </c>
      <c r="W4027">
        <v>0.143985</v>
      </c>
      <c r="X4027">
        <v>0.93484049999999996</v>
      </c>
      <c r="Y4027">
        <v>0.4912128</v>
      </c>
      <c r="Z4027">
        <v>6.8418510000000002E-2</v>
      </c>
      <c r="AA4027">
        <v>0.86834840000000002</v>
      </c>
      <c r="AB4027">
        <v>33</v>
      </c>
      <c r="AC4027">
        <v>-12.225199999999999</v>
      </c>
      <c r="AD4027">
        <v>-1.109187622119</v>
      </c>
      <c r="AE4027">
        <v>-7.0064999999999804</v>
      </c>
      <c r="AF4027">
        <v>7.0452317607242803</v>
      </c>
      <c r="AG4027">
        <v>-1.109187622119</v>
      </c>
      <c r="AH4027">
        <v>12.102617714101999</v>
      </c>
      <c r="AI4027">
        <v>94.528699940462602</v>
      </c>
      <c r="AJ4027">
        <v>59.795261445771999</v>
      </c>
      <c r="AK4027">
        <v>14.0477380128288</v>
      </c>
      <c r="AL4027">
        <v>81.721492668865906</v>
      </c>
      <c r="AM4027">
        <v>70.853711030565805</v>
      </c>
      <c r="AN4027">
        <v>0.99999998555510405</v>
      </c>
    </row>
    <row r="4028" spans="1:40" x14ac:dyDescent="0.25">
      <c r="A4028" t="str">
        <f>"20190303162339052"</f>
        <v>20190303162339052</v>
      </c>
      <c r="B4028" t="str">
        <f>"1551601419038625"</f>
        <v>1551601419038625</v>
      </c>
      <c r="C4028" t="s">
        <v>40</v>
      </c>
      <c r="D4028">
        <v>5.7311719999999999</v>
      </c>
      <c r="E4028">
        <v>0.58108839999999995</v>
      </c>
      <c r="F4028" t="s">
        <v>55</v>
      </c>
      <c r="G4028">
        <v>-209.46379999999999</v>
      </c>
      <c r="H4028" s="1">
        <v>-6.4319500000000003E-6</v>
      </c>
      <c r="I4028">
        <v>142.74510000000001</v>
      </c>
      <c r="J4028">
        <v>-197.0977</v>
      </c>
      <c r="K4028">
        <v>1.108889</v>
      </c>
      <c r="L4028">
        <v>149.61750000000001</v>
      </c>
      <c r="M4028">
        <v>-0.51153110000000002</v>
      </c>
      <c r="N4028">
        <v>-1.1501239999999999E-2</v>
      </c>
      <c r="O4028">
        <v>-0.85918799999999995</v>
      </c>
      <c r="P4028">
        <v>-0.75567010000000001</v>
      </c>
      <c r="Q4028">
        <v>0.1433894</v>
      </c>
      <c r="R4028">
        <v>-0.63906379999999996</v>
      </c>
      <c r="S4028">
        <v>-2.7145540000000001</v>
      </c>
      <c r="T4028">
        <v>-0.23983350000000001</v>
      </c>
      <c r="U4028">
        <v>-1.551193</v>
      </c>
      <c r="V4028">
        <v>0.32648870000000002</v>
      </c>
      <c r="W4028">
        <v>0.14524289999999901</v>
      </c>
      <c r="X4028">
        <v>0.93397520000000001</v>
      </c>
      <c r="Y4028">
        <v>0.48981010000000003</v>
      </c>
      <c r="Z4028">
        <v>6.7685319999999993E-2</v>
      </c>
      <c r="AA4028">
        <v>0.86919780000000002</v>
      </c>
      <c r="AB4028">
        <v>33</v>
      </c>
      <c r="AC4028">
        <v>-12.3660999999999</v>
      </c>
      <c r="AD4028">
        <v>-1.10889543195</v>
      </c>
      <c r="AE4028">
        <v>-6.8723999999999901</v>
      </c>
      <c r="AF4028">
        <v>7.0664139355187698</v>
      </c>
      <c r="AG4028">
        <v>-1.10889543195</v>
      </c>
      <c r="AH4028">
        <v>12.156450394371999</v>
      </c>
      <c r="AI4028">
        <v>94.509175594611904</v>
      </c>
      <c r="AJ4028">
        <v>59.831023458990103</v>
      </c>
      <c r="AK4028">
        <v>14.104720528174999</v>
      </c>
      <c r="AL4028">
        <v>81.648654951994004</v>
      </c>
      <c r="AM4028">
        <v>70.731960466476195</v>
      </c>
      <c r="AN4028">
        <v>1.00000002272156</v>
      </c>
    </row>
    <row r="4029" spans="1:40" x14ac:dyDescent="0.25">
      <c r="A4029" t="str">
        <f>"20190303162339078"</f>
        <v>20190303162339078</v>
      </c>
      <c r="B4029" t="str">
        <f>"1551601419068881"</f>
        <v>1551601419068881</v>
      </c>
      <c r="C4029" t="s">
        <v>40</v>
      </c>
      <c r="D4029">
        <v>5.716011</v>
      </c>
      <c r="E4029">
        <v>0.58074769999999998</v>
      </c>
      <c r="F4029" t="s">
        <v>41</v>
      </c>
      <c r="G4029">
        <v>-210.03909999999999</v>
      </c>
      <c r="H4029" s="1">
        <v>-5.2030820000000001E-6</v>
      </c>
      <c r="I4029">
        <v>142.4735</v>
      </c>
      <c r="J4029">
        <v>-197.31229999999999</v>
      </c>
      <c r="K4029">
        <v>1.1085480000000001</v>
      </c>
      <c r="L4029">
        <v>149.285</v>
      </c>
      <c r="M4029">
        <v>-0.52502190000000004</v>
      </c>
      <c r="N4029">
        <v>-1.158354E-2</v>
      </c>
      <c r="O4029">
        <v>-0.85101009999999999</v>
      </c>
      <c r="P4029">
        <v>-0.76681140000000003</v>
      </c>
      <c r="Q4029">
        <v>0.14603039999999901</v>
      </c>
      <c r="R4029">
        <v>-0.62504079999999995</v>
      </c>
      <c r="S4029">
        <v>-2.7368160000000001</v>
      </c>
      <c r="T4029">
        <v>-0.2345072</v>
      </c>
      <c r="U4029">
        <v>-1.510818</v>
      </c>
      <c r="V4029">
        <v>0.3287291</v>
      </c>
      <c r="W4029">
        <v>0.14761459999999901</v>
      </c>
      <c r="X4029">
        <v>0.93281670000000005</v>
      </c>
      <c r="Y4029">
        <v>0.48900909999999898</v>
      </c>
      <c r="Z4029">
        <v>6.5719810000000004E-2</v>
      </c>
      <c r="AA4029">
        <v>0.8697994</v>
      </c>
      <c r="AB4029">
        <v>33</v>
      </c>
      <c r="AC4029">
        <v>-12.7267999999999</v>
      </c>
      <c r="AD4029">
        <v>-1.10855320308199</v>
      </c>
      <c r="AE4029">
        <v>-6.8114999999999899</v>
      </c>
      <c r="AF4029">
        <v>7.2123975890102097</v>
      </c>
      <c r="AG4029">
        <v>-1.10855320308199</v>
      </c>
      <c r="AH4029">
        <v>12.4061712153289</v>
      </c>
      <c r="AI4029">
        <v>94.417289384309001</v>
      </c>
      <c r="AJ4029">
        <v>59.828180445260998</v>
      </c>
      <c r="AK4029">
        <v>14.393076579038899</v>
      </c>
      <c r="AL4029">
        <v>81.511285171840498</v>
      </c>
      <c r="AM4029">
        <v>70.587296756258397</v>
      </c>
      <c r="AN4029">
        <v>0.99999994355942801</v>
      </c>
    </row>
    <row r="4030" spans="1:40" x14ac:dyDescent="0.25">
      <c r="A4030" t="str">
        <f>"20190303162339099"</f>
        <v>20190303162339099</v>
      </c>
      <c r="B4030" t="str">
        <f>"1551601419089377"</f>
        <v>1551601419089377</v>
      </c>
      <c r="C4030" t="s">
        <v>40</v>
      </c>
      <c r="D4030">
        <v>5.7534099999999997</v>
      </c>
      <c r="E4030">
        <v>0.58053120000000002</v>
      </c>
      <c r="F4030" t="s">
        <v>41</v>
      </c>
      <c r="G4030">
        <v>-211.09209999999999</v>
      </c>
      <c r="H4030" s="1">
        <v>-4.7147269999999996E-6</v>
      </c>
      <c r="I4030">
        <v>142</v>
      </c>
      <c r="J4030">
        <v>-197.4862</v>
      </c>
      <c r="K4030">
        <v>1.1082730000000001</v>
      </c>
      <c r="L4030">
        <v>149.02420000000001</v>
      </c>
      <c r="M4030">
        <v>-0.53589370000000003</v>
      </c>
      <c r="N4030">
        <v>-1.165357E-2</v>
      </c>
      <c r="O4030">
        <v>-0.84420529999999905</v>
      </c>
      <c r="P4030">
        <v>-0.77583869999999999</v>
      </c>
      <c r="Q4030">
        <v>0.14950329999999901</v>
      </c>
      <c r="R4030">
        <v>-0.61296340000000005</v>
      </c>
      <c r="S4030">
        <v>-2.7637019999999999</v>
      </c>
      <c r="T4030">
        <v>-0.22233330000000001</v>
      </c>
      <c r="U4030">
        <v>-1.46109</v>
      </c>
      <c r="V4030">
        <v>0.33101140000000001</v>
      </c>
      <c r="W4030">
        <v>0.15085100000000001</v>
      </c>
      <c r="X4030">
        <v>0.93149099999999996</v>
      </c>
      <c r="Y4030">
        <v>0.49380429999999997</v>
      </c>
      <c r="Z4030">
        <v>6.1805350000000002E-2</v>
      </c>
      <c r="AA4030">
        <v>0.86737389999999903</v>
      </c>
      <c r="AB4030">
        <v>33</v>
      </c>
      <c r="AC4030">
        <v>-13.605899999999901</v>
      </c>
      <c r="AD4030">
        <v>-1.108277714727</v>
      </c>
      <c r="AE4030">
        <v>-7.0242000000000004</v>
      </c>
      <c r="AF4030">
        <v>7.6822256662985797</v>
      </c>
      <c r="AG4030">
        <v>-1.108277714727</v>
      </c>
      <c r="AH4030">
        <v>13.1531714922597</v>
      </c>
      <c r="AI4030">
        <v>94.161420174406501</v>
      </c>
      <c r="AJ4030">
        <v>59.7125591697937</v>
      </c>
      <c r="AK4030">
        <v>15.272550244988301</v>
      </c>
      <c r="AL4030">
        <v>81.323753774294403</v>
      </c>
      <c r="AM4030">
        <v>70.436998835993506</v>
      </c>
      <c r="AN4030">
        <v>1.0000000271059699</v>
      </c>
    </row>
    <row r="4031" spans="1:40" x14ac:dyDescent="0.25">
      <c r="A4031" t="str">
        <f>"20190303162339120"</f>
        <v>20190303162339120</v>
      </c>
      <c r="B4031" t="str">
        <f>"1551601419108897"</f>
        <v>1551601419108897</v>
      </c>
      <c r="C4031" t="s">
        <v>40</v>
      </c>
      <c r="D4031">
        <v>5.7646269999999999</v>
      </c>
      <c r="E4031">
        <v>0.58030969999999904</v>
      </c>
      <c r="F4031" t="s">
        <v>41</v>
      </c>
      <c r="G4031">
        <v>-212.2509</v>
      </c>
      <c r="H4031" s="1">
        <v>-4.1473299999999996E-6</v>
      </c>
      <c r="I4031">
        <v>141.50980000000001</v>
      </c>
      <c r="J4031">
        <v>-197.67</v>
      </c>
      <c r="K4031">
        <v>1.1079859999999999</v>
      </c>
      <c r="L4031">
        <v>148.75649999999999</v>
      </c>
      <c r="M4031">
        <v>-0.54730599999999996</v>
      </c>
      <c r="N4031">
        <v>-1.1728789999999999E-2</v>
      </c>
      <c r="O4031">
        <v>-0.83685049999999905</v>
      </c>
      <c r="P4031">
        <v>-0.78667900000000002</v>
      </c>
      <c r="Q4031">
        <v>0.15350649999999999</v>
      </c>
      <c r="R4031">
        <v>-0.59797359999999999</v>
      </c>
      <c r="S4031">
        <v>-2.7866059999999999</v>
      </c>
      <c r="T4031">
        <v>-0.20917060000000001</v>
      </c>
      <c r="U4031">
        <v>-1.418228</v>
      </c>
      <c r="V4031">
        <v>0.3358119</v>
      </c>
      <c r="W4031">
        <v>0.15452340000000001</v>
      </c>
      <c r="X4031">
        <v>0.92916790000000005</v>
      </c>
      <c r="Y4031">
        <v>0.495751</v>
      </c>
      <c r="Z4031">
        <v>5.7493879999999997E-2</v>
      </c>
      <c r="AA4031">
        <v>0.86655959999999999</v>
      </c>
      <c r="AB4031">
        <v>33</v>
      </c>
      <c r="AC4031">
        <v>-14.5809</v>
      </c>
      <c r="AD4031">
        <v>-1.10799014733</v>
      </c>
      <c r="AE4031">
        <v>-7.2466999999999704</v>
      </c>
      <c r="AF4031">
        <v>8.1984733175403797</v>
      </c>
      <c r="AG4031">
        <v>-1.10799014733</v>
      </c>
      <c r="AH4031">
        <v>13.9808442506774</v>
      </c>
      <c r="AI4031">
        <v>93.910845679741399</v>
      </c>
      <c r="AJ4031">
        <v>59.612316306677499</v>
      </c>
      <c r="AK4031">
        <v>16.2452027647149</v>
      </c>
      <c r="AL4031">
        <v>81.110844376258797</v>
      </c>
      <c r="AM4031">
        <v>70.129565028271102</v>
      </c>
      <c r="AN4031">
        <v>1.0000000498597801</v>
      </c>
    </row>
    <row r="4032" spans="1:40" x14ac:dyDescent="0.25">
      <c r="A4032" t="str">
        <f>"20190303162339141"</f>
        <v>20190303162339141</v>
      </c>
      <c r="B4032" t="str">
        <f>"1551601419128418"</f>
        <v>1551601419128418</v>
      </c>
      <c r="C4032" t="s">
        <v>40</v>
      </c>
      <c r="D4032">
        <v>5.73414</v>
      </c>
      <c r="E4032">
        <v>0.57973999999999903</v>
      </c>
      <c r="F4032" t="s">
        <v>41</v>
      </c>
      <c r="G4032">
        <v>-213.68790000000001</v>
      </c>
      <c r="H4032" s="1">
        <v>-3.323346E-6</v>
      </c>
      <c r="I4032">
        <v>140.96600000000001</v>
      </c>
      <c r="J4032">
        <v>-197.8552</v>
      </c>
      <c r="K4032">
        <v>1.1076900000000001</v>
      </c>
      <c r="L4032">
        <v>148.49459999999999</v>
      </c>
      <c r="M4032">
        <v>-0.55871269999999995</v>
      </c>
      <c r="N4032">
        <v>-1.1803930000000001E-2</v>
      </c>
      <c r="O4032">
        <v>-0.82927729999999999</v>
      </c>
      <c r="P4032">
        <v>-0.79797119999999999</v>
      </c>
      <c r="Q4032">
        <v>0.1547982</v>
      </c>
      <c r="R4032">
        <v>-0.58247720000000003</v>
      </c>
      <c r="S4032">
        <v>-2.8119049999999999</v>
      </c>
      <c r="T4032">
        <v>-0.1945047</v>
      </c>
      <c r="U4032">
        <v>-1.367599</v>
      </c>
      <c r="V4032">
        <v>0.34120080000000003</v>
      </c>
      <c r="W4032">
        <v>0.15546979999999999</v>
      </c>
      <c r="X4032">
        <v>0.92704430000000004</v>
      </c>
      <c r="Y4032">
        <v>0.49981969999999998</v>
      </c>
      <c r="Z4032">
        <v>5.280021E-2</v>
      </c>
      <c r="AA4032">
        <v>0.86451859999999903</v>
      </c>
      <c r="AB4032">
        <v>33</v>
      </c>
      <c r="AC4032">
        <v>-15.832700000000001</v>
      </c>
      <c r="AD4032">
        <v>-1.107693323346</v>
      </c>
      <c r="AE4032">
        <v>-7.5285999999999804</v>
      </c>
      <c r="AF4032">
        <v>8.8885120502215695</v>
      </c>
      <c r="AG4032">
        <v>-1.107693323346</v>
      </c>
      <c r="AH4032">
        <v>15.0302763993718</v>
      </c>
      <c r="AI4032">
        <v>93.629705211864007</v>
      </c>
      <c r="AJ4032">
        <v>59.401041120707802</v>
      </c>
      <c r="AK4032">
        <v>17.496909430154599</v>
      </c>
      <c r="AL4032">
        <v>81.055955783998101</v>
      </c>
      <c r="AM4032">
        <v>69.793744995609501</v>
      </c>
      <c r="AN4032">
        <v>0.99999998939758505</v>
      </c>
    </row>
    <row r="4033" spans="1:40" x14ac:dyDescent="0.25">
      <c r="A4033" t="str">
        <f>"20190303162339164"</f>
        <v>20190303162339164</v>
      </c>
      <c r="B4033" t="str">
        <f>"1551601419158673"</f>
        <v>1551601419158673</v>
      </c>
      <c r="C4033" t="s">
        <v>40</v>
      </c>
      <c r="D4033">
        <v>5.7678909999999997</v>
      </c>
      <c r="E4033">
        <v>0.56920439999999894</v>
      </c>
      <c r="F4033" t="s">
        <v>41</v>
      </c>
      <c r="G4033">
        <v>-214.0702</v>
      </c>
      <c r="H4033" s="1">
        <v>-3.136992E-6</v>
      </c>
      <c r="I4033">
        <v>140.94479999999999</v>
      </c>
      <c r="J4033">
        <v>-198.05930000000001</v>
      </c>
      <c r="K4033">
        <v>1.10737</v>
      </c>
      <c r="L4033">
        <v>148.21510000000001</v>
      </c>
      <c r="M4033">
        <v>-0.57114160000000003</v>
      </c>
      <c r="N4033">
        <v>-1.1882810000000001E-2</v>
      </c>
      <c r="O4033">
        <v>-0.82076559999999898</v>
      </c>
      <c r="P4033">
        <v>-0.80934090000000003</v>
      </c>
      <c r="Q4033">
        <v>0.15237429999999999</v>
      </c>
      <c r="R4033">
        <v>-0.56722989999999995</v>
      </c>
      <c r="S4033">
        <v>-2.833939</v>
      </c>
      <c r="T4033">
        <v>-0.19359470000000001</v>
      </c>
      <c r="U4033">
        <v>-1.319504</v>
      </c>
      <c r="V4033">
        <v>0.34524339999999998</v>
      </c>
      <c r="W4033">
        <v>0.1527442</v>
      </c>
      <c r="X4033">
        <v>0.92600009999999999</v>
      </c>
      <c r="Y4033">
        <v>0.50142429999999905</v>
      </c>
      <c r="Z4033">
        <v>5.234076E-2</v>
      </c>
      <c r="AA4033">
        <v>0.86361690000000002</v>
      </c>
      <c r="AB4033">
        <v>33</v>
      </c>
      <c r="AC4033">
        <v>-16.0108999999999</v>
      </c>
      <c r="AD4033">
        <v>-1.1073731369919999</v>
      </c>
      <c r="AE4033">
        <v>-7.2703000000000104</v>
      </c>
      <c r="AF4033">
        <v>8.9539491043438897</v>
      </c>
      <c r="AG4033">
        <v>-1.1073731369919999</v>
      </c>
      <c r="AH4033">
        <v>15.0530707441812</v>
      </c>
      <c r="AI4033">
        <v>93.617710450163202</v>
      </c>
      <c r="AJ4033">
        <v>59.254742461244902</v>
      </c>
      <c r="AK4033">
        <v>17.549769760798402</v>
      </c>
      <c r="AL4033">
        <v>81.2140093067854</v>
      </c>
      <c r="AM4033">
        <v>69.552884561567296</v>
      </c>
      <c r="AN4033">
        <v>0.999999990538605</v>
      </c>
    </row>
    <row r="4034" spans="1:40" x14ac:dyDescent="0.25">
      <c r="A4034" t="str">
        <f>"20190303162339186"</f>
        <v>20190303162339186</v>
      </c>
      <c r="B4034" t="str">
        <f>"1551601419179169"</f>
        <v>1551601419179169</v>
      </c>
      <c r="C4034" t="s">
        <v>40</v>
      </c>
      <c r="D4034">
        <v>5.9051989999999996</v>
      </c>
      <c r="E4034">
        <v>0.58442749999999999</v>
      </c>
      <c r="F4034" t="s">
        <v>41</v>
      </c>
      <c r="G4034">
        <v>-212.3064</v>
      </c>
      <c r="H4034" s="1">
        <v>-4.1034450000000001E-6</v>
      </c>
      <c r="I4034">
        <v>141.4435</v>
      </c>
      <c r="J4034">
        <v>-198.2671</v>
      </c>
      <c r="K4034">
        <v>1.107046</v>
      </c>
      <c r="L4034">
        <v>147.94</v>
      </c>
      <c r="M4034">
        <v>-0.58361010000000002</v>
      </c>
      <c r="N4034">
        <v>-1.195688E-2</v>
      </c>
      <c r="O4034">
        <v>-0.81194619999999995</v>
      </c>
      <c r="P4034">
        <v>-0.82093609999999995</v>
      </c>
      <c r="Q4034">
        <v>0.1453044</v>
      </c>
      <c r="R4034">
        <v>-0.55222389999999999</v>
      </c>
      <c r="S4034">
        <v>-2.8113709999999998</v>
      </c>
      <c r="T4034">
        <v>-0.2185174</v>
      </c>
      <c r="U4034">
        <v>-1.3362270000000001</v>
      </c>
      <c r="V4034">
        <v>0.34907899999999997</v>
      </c>
      <c r="W4034">
        <v>0.1453981</v>
      </c>
      <c r="X4034">
        <v>0.92574469999999998</v>
      </c>
      <c r="Y4034">
        <v>0.48078480000000001</v>
      </c>
      <c r="Z4034">
        <v>5.9472209999999998E-2</v>
      </c>
      <c r="AA4034">
        <v>0.87481939999999903</v>
      </c>
      <c r="AB4034">
        <v>34</v>
      </c>
      <c r="AC4034">
        <v>-14.0392999999999</v>
      </c>
      <c r="AD4034">
        <v>-1.107050103445</v>
      </c>
      <c r="AE4034">
        <v>-6.4964999999999904</v>
      </c>
      <c r="AF4034">
        <v>7.5695101095453401</v>
      </c>
      <c r="AG4034">
        <v>-1.107050103445</v>
      </c>
      <c r="AH4034">
        <v>13.400617717058701</v>
      </c>
      <c r="AI4034">
        <v>94.114185354514206</v>
      </c>
      <c r="AJ4034">
        <v>60.539511950738898</v>
      </c>
      <c r="AK4034">
        <v>15.430476286517999</v>
      </c>
      <c r="AL4034">
        <v>81.639667070348295</v>
      </c>
      <c r="AM4034">
        <v>69.339587881350496</v>
      </c>
      <c r="AN4034">
        <v>1.00000000265134</v>
      </c>
    </row>
    <row r="4035" spans="1:40" x14ac:dyDescent="0.25">
      <c r="A4035" t="str">
        <f>"20190303162339210"</f>
        <v>20190303162339210</v>
      </c>
      <c r="B4035" t="str">
        <f>"1551601419198689"</f>
        <v>1551601419198689</v>
      </c>
      <c r="C4035" t="s">
        <v>40</v>
      </c>
      <c r="D4035">
        <v>6.1708790000000002</v>
      </c>
      <c r="E4035">
        <v>0.58145000000000002</v>
      </c>
      <c r="F4035" t="s">
        <v>55</v>
      </c>
      <c r="G4035">
        <v>-209.4402</v>
      </c>
      <c r="H4035" s="1">
        <v>-6.6124539999999998E-6</v>
      </c>
      <c r="I4035">
        <v>143.38919999999999</v>
      </c>
      <c r="J4035">
        <v>-198.49430000000001</v>
      </c>
      <c r="K4035">
        <v>1.1067359999999999</v>
      </c>
      <c r="L4035">
        <v>147.6489</v>
      </c>
      <c r="M4035">
        <v>-0.597008599999999</v>
      </c>
      <c r="N4035">
        <v>-1.202863E-2</v>
      </c>
      <c r="O4035">
        <v>-0.80214469999999904</v>
      </c>
      <c r="P4035">
        <v>-0.83327819999999997</v>
      </c>
      <c r="Q4035">
        <v>0.1364525</v>
      </c>
      <c r="R4035">
        <v>-0.53575039999999996</v>
      </c>
      <c r="S4035">
        <v>-2.9085239999999999</v>
      </c>
      <c r="T4035">
        <v>-0.28818120000000003</v>
      </c>
      <c r="U4035">
        <v>-1.184631</v>
      </c>
      <c r="V4035">
        <v>0.3531705</v>
      </c>
      <c r="W4035">
        <v>0.1362661</v>
      </c>
      <c r="X4035">
        <v>0.92558209999999996</v>
      </c>
      <c r="Y4035">
        <v>0.51391290000000001</v>
      </c>
      <c r="Z4035">
        <v>8.0871479999999996E-2</v>
      </c>
      <c r="AA4035">
        <v>0.85402180000000005</v>
      </c>
      <c r="AB4035">
        <v>34</v>
      </c>
      <c r="AC4035">
        <v>-10.9458999999999</v>
      </c>
      <c r="AD4035">
        <v>-1.1067426124540001</v>
      </c>
      <c r="AE4035">
        <v>-4.2596999999999996</v>
      </c>
      <c r="AF4035">
        <v>6.1826753371885701</v>
      </c>
      <c r="AG4035">
        <v>-1.1067426124540001</v>
      </c>
      <c r="AH4035">
        <v>9.8648254925180208</v>
      </c>
      <c r="AI4035">
        <v>95.430401817295206</v>
      </c>
      <c r="AJ4035">
        <v>57.923004794645401</v>
      </c>
      <c r="AK4035">
        <v>11.6946626942864</v>
      </c>
      <c r="AL4035">
        <v>82.1681616143578</v>
      </c>
      <c r="AM4035">
        <v>69.114854709784595</v>
      </c>
      <c r="AN4035">
        <v>1.0000000379599301</v>
      </c>
    </row>
    <row r="4036" spans="1:40" x14ac:dyDescent="0.25">
      <c r="A4036" t="str">
        <f>"20190303162339231"</f>
        <v>20190303162339231</v>
      </c>
      <c r="B4036" t="str">
        <f>"1551601419219185"</f>
        <v>1551601419219185</v>
      </c>
      <c r="C4036" t="s">
        <v>40</v>
      </c>
      <c r="D4036">
        <v>6.1137839999999999</v>
      </c>
      <c r="E4036">
        <v>0.58052029999999999</v>
      </c>
      <c r="F4036" t="s">
        <v>55</v>
      </c>
      <c r="G4036">
        <v>-206.1267</v>
      </c>
      <c r="H4036" s="1">
        <v>-8.4132570000000003E-6</v>
      </c>
      <c r="I4036">
        <v>144.64449999999999</v>
      </c>
      <c r="J4036">
        <v>-198.69110000000001</v>
      </c>
      <c r="K4036">
        <v>1.106508</v>
      </c>
      <c r="L4036">
        <v>147.40450000000001</v>
      </c>
      <c r="M4036">
        <v>-0.60840229999999995</v>
      </c>
      <c r="N4036">
        <v>-1.2083959999999999E-2</v>
      </c>
      <c r="O4036">
        <v>-0.79353680000000004</v>
      </c>
      <c r="P4036">
        <v>-0.84365829999999997</v>
      </c>
      <c r="Q4036">
        <v>0.12905230000000001</v>
      </c>
      <c r="R4036">
        <v>-0.52113969999999998</v>
      </c>
      <c r="S4036">
        <v>-2.928604</v>
      </c>
      <c r="T4036">
        <v>-0.42466680000000001</v>
      </c>
      <c r="U4036">
        <v>-1.1528020000000001</v>
      </c>
      <c r="V4036">
        <v>0.3568402</v>
      </c>
      <c r="W4036">
        <v>0.12862789999999999</v>
      </c>
      <c r="X4036">
        <v>0.92526750000000002</v>
      </c>
      <c r="Y4036">
        <v>0.5070557</v>
      </c>
      <c r="Z4036">
        <v>0.1211063</v>
      </c>
      <c r="AA4036">
        <v>0.85336270000000003</v>
      </c>
      <c r="AB4036">
        <v>34</v>
      </c>
      <c r="AC4036">
        <v>-7.4355999999999902</v>
      </c>
      <c r="AD4036">
        <v>-1.106516413257</v>
      </c>
      <c r="AE4036">
        <v>-2.7600000000000202</v>
      </c>
      <c r="AF4036">
        <v>4.1409419901072502</v>
      </c>
      <c r="AG4036">
        <v>-1.106516413257</v>
      </c>
      <c r="AH4036">
        <v>6.5862941944394402</v>
      </c>
      <c r="AI4036">
        <v>98.094761197293707</v>
      </c>
      <c r="AJ4036">
        <v>57.841559259021402</v>
      </c>
      <c r="AK4036">
        <v>7.8581836548878901</v>
      </c>
      <c r="AL4036">
        <v>82.609688940845501</v>
      </c>
      <c r="AM4036">
        <v>68.910285275258204</v>
      </c>
      <c r="AN4036">
        <v>1.00000000577535</v>
      </c>
    </row>
    <row r="4037" spans="1:40" x14ac:dyDescent="0.25">
      <c r="A4037" t="str">
        <f>"20190303162339255"</f>
        <v>20190303162339255</v>
      </c>
      <c r="B4037" t="str">
        <f>"1551601419238705"</f>
        <v>1551601419238705</v>
      </c>
      <c r="C4037" t="s">
        <v>40</v>
      </c>
      <c r="D4037">
        <v>6.1068419999999897</v>
      </c>
      <c r="E4037">
        <v>0.58081969999999905</v>
      </c>
      <c r="F4037" t="s">
        <v>55</v>
      </c>
      <c r="G4037">
        <v>-205.4537</v>
      </c>
      <c r="H4037" s="1">
        <v>-8.7719619999999994E-6</v>
      </c>
      <c r="I4037">
        <v>144.87289999999999</v>
      </c>
      <c r="J4037">
        <v>-198.92349999999999</v>
      </c>
      <c r="K4037">
        <v>1.106298</v>
      </c>
      <c r="L4037">
        <v>147.1249</v>
      </c>
      <c r="M4037">
        <v>-0.62160990000000005</v>
      </c>
      <c r="N4037">
        <v>-1.214529E-2</v>
      </c>
      <c r="O4037">
        <v>-0.783232699999999</v>
      </c>
      <c r="P4037">
        <v>-0.85311360000000003</v>
      </c>
      <c r="Q4037">
        <v>0.12860170000000001</v>
      </c>
      <c r="R4037">
        <v>-0.50562700000000005</v>
      </c>
      <c r="S4037">
        <v>-2.948013</v>
      </c>
      <c r="T4037">
        <v>-0.48236050000000003</v>
      </c>
      <c r="U4037">
        <v>-1.1036220000000001</v>
      </c>
      <c r="V4037">
        <v>0.3583634</v>
      </c>
      <c r="W4037">
        <v>0.1279999</v>
      </c>
      <c r="X4037">
        <v>0.92476579999999997</v>
      </c>
      <c r="Y4037">
        <v>0.50450119999999998</v>
      </c>
      <c r="Z4037">
        <v>0.13728209999999999</v>
      </c>
      <c r="AA4037">
        <v>0.85242719999999905</v>
      </c>
      <c r="AB4037">
        <v>34</v>
      </c>
      <c r="AC4037">
        <v>-6.5301999999999998</v>
      </c>
      <c r="AD4037">
        <v>-1.1063067719619999</v>
      </c>
      <c r="AE4037">
        <v>-2.2519999999999998</v>
      </c>
      <c r="AF4037">
        <v>3.6221646121062001</v>
      </c>
      <c r="AG4037">
        <v>-1.1063067719619999</v>
      </c>
      <c r="AH4037">
        <v>5.6778668031761397</v>
      </c>
      <c r="AI4037">
        <v>99.328434582587505</v>
      </c>
      <c r="AJ4037">
        <v>57.464379370355701</v>
      </c>
      <c r="AK4037">
        <v>6.82511264269632</v>
      </c>
      <c r="AL4037">
        <v>82.645970883596604</v>
      </c>
      <c r="AM4037">
        <v>68.817753461743706</v>
      </c>
      <c r="AN4037">
        <v>1.0000000428546001</v>
      </c>
    </row>
    <row r="4038" spans="1:40" x14ac:dyDescent="0.25">
      <c r="A4038" t="str">
        <f>"20190303162339276"</f>
        <v>20190303162339276</v>
      </c>
      <c r="B4038" t="str">
        <f>"1551601419268962"</f>
        <v>1551601419268962</v>
      </c>
      <c r="C4038" t="s">
        <v>40</v>
      </c>
      <c r="D4038">
        <v>6.1277549999999996</v>
      </c>
      <c r="E4038">
        <v>0.57968509999999995</v>
      </c>
      <c r="F4038" t="s">
        <v>55</v>
      </c>
      <c r="G4038">
        <v>-205.74870000000001</v>
      </c>
      <c r="H4038" s="1">
        <v>-8.6024209999999999E-6</v>
      </c>
      <c r="I4038">
        <v>144.72620000000001</v>
      </c>
      <c r="J4038">
        <v>-199.143</v>
      </c>
      <c r="K4038">
        <v>1.1061240000000001</v>
      </c>
      <c r="L4038">
        <v>146.86930000000001</v>
      </c>
      <c r="M4038">
        <v>-0.63385100000000005</v>
      </c>
      <c r="N4038">
        <v>-1.2203820000000001E-2</v>
      </c>
      <c r="O4038">
        <v>-0.77335909999999997</v>
      </c>
      <c r="P4038">
        <v>-0.86088869999999895</v>
      </c>
      <c r="Q4038">
        <v>0.13262869999999999</v>
      </c>
      <c r="R4038">
        <v>-0.49120320000000001</v>
      </c>
      <c r="S4038">
        <v>-2.970383</v>
      </c>
      <c r="T4038">
        <v>-0.48147069999999997</v>
      </c>
      <c r="U4038">
        <v>-1.0439149999999999</v>
      </c>
      <c r="V4038">
        <v>0.35910340000000002</v>
      </c>
      <c r="W4038">
        <v>0.1318829</v>
      </c>
      <c r="X4038">
        <v>0.92393270000000005</v>
      </c>
      <c r="Y4038">
        <v>0.5083202</v>
      </c>
      <c r="Z4038">
        <v>0.13638520000000001</v>
      </c>
      <c r="AA4038">
        <v>0.85029969999999999</v>
      </c>
      <c r="AB4038">
        <v>34</v>
      </c>
      <c r="AC4038">
        <v>-6.6057000000000103</v>
      </c>
      <c r="AD4038">
        <v>-1.1061326024210001</v>
      </c>
      <c r="AE4038">
        <v>-2.1431</v>
      </c>
      <c r="AF4038">
        <v>3.6576574787260498</v>
      </c>
      <c r="AG4038">
        <v>-1.1061326024210001</v>
      </c>
      <c r="AH4038">
        <v>5.7002369761264298</v>
      </c>
      <c r="AI4038">
        <v>99.275611329489095</v>
      </c>
      <c r="AJ4038">
        <v>57.313024875743402</v>
      </c>
      <c r="AK4038">
        <v>6.86255704164404</v>
      </c>
      <c r="AL4038">
        <v>82.421588465615002</v>
      </c>
      <c r="AM4038">
        <v>68.760471201155696</v>
      </c>
      <c r="AN4038">
        <v>0.99999999266662998</v>
      </c>
    </row>
    <row r="4039" spans="1:40" x14ac:dyDescent="0.25">
      <c r="A4039" t="str">
        <f>"20190303162339300"</f>
        <v>20190303162339300</v>
      </c>
      <c r="B4039" t="str">
        <f>"1551601419288482"</f>
        <v>1551601419288482</v>
      </c>
      <c r="C4039" t="s">
        <v>40</v>
      </c>
      <c r="D4039">
        <v>6.1100830000000004</v>
      </c>
      <c r="E4039">
        <v>0.57871049999999902</v>
      </c>
      <c r="F4039" t="s">
        <v>55</v>
      </c>
      <c r="G4039">
        <v>-206.06020000000001</v>
      </c>
      <c r="H4039" s="1">
        <v>-8.4176060000000003E-6</v>
      </c>
      <c r="I4039">
        <v>144.54939999999999</v>
      </c>
      <c r="J4039">
        <v>-199.38229999999999</v>
      </c>
      <c r="K4039">
        <v>1.1059190000000001</v>
      </c>
      <c r="L4039">
        <v>146.59960000000001</v>
      </c>
      <c r="M4039">
        <v>-0.64695649999999905</v>
      </c>
      <c r="N4039">
        <v>-1.2271799999999999E-2</v>
      </c>
      <c r="O4039">
        <v>-0.762428199999999</v>
      </c>
      <c r="P4039">
        <v>-0.86857770000000001</v>
      </c>
      <c r="Q4039">
        <v>0.13682710000000001</v>
      </c>
      <c r="R4039">
        <v>-0.47628930000000003</v>
      </c>
      <c r="S4039">
        <v>-2.9868160000000001</v>
      </c>
      <c r="T4039">
        <v>-0.47762329999999997</v>
      </c>
      <c r="U4039">
        <v>-1.0017240000000001</v>
      </c>
      <c r="V4039">
        <v>0.35898249999999998</v>
      </c>
      <c r="W4039">
        <v>0.13595670000000001</v>
      </c>
      <c r="X4039">
        <v>0.92338909999999996</v>
      </c>
      <c r="Y4039">
        <v>0.50619079999999905</v>
      </c>
      <c r="Z4039">
        <v>0.13407740000000001</v>
      </c>
      <c r="AA4039">
        <v>0.85193560000000002</v>
      </c>
      <c r="AB4039">
        <v>34</v>
      </c>
      <c r="AC4039">
        <v>-6.6779000000000197</v>
      </c>
      <c r="AD4039">
        <v>-1.1059274176060001</v>
      </c>
      <c r="AE4039">
        <v>-2.05020000000001</v>
      </c>
      <c r="AF4039">
        <v>3.6732454333450999</v>
      </c>
      <c r="AG4039">
        <v>-1.1059274176060001</v>
      </c>
      <c r="AH4039">
        <v>5.7400149723813101</v>
      </c>
      <c r="AI4039">
        <v>99.217879645333696</v>
      </c>
      <c r="AJ4039">
        <v>57.383335655536499</v>
      </c>
      <c r="AK4039">
        <v>6.9038814698519397</v>
      </c>
      <c r="AL4039">
        <v>82.186055509987398</v>
      </c>
      <c r="AM4039">
        <v>68.755599313076502</v>
      </c>
      <c r="AN4039">
        <v>1.00000004478997</v>
      </c>
    </row>
    <row r="4040" spans="1:40" x14ac:dyDescent="0.25">
      <c r="A4040" t="str">
        <f>"20190303162339322"</f>
        <v>20190303162339322</v>
      </c>
      <c r="B4040" t="str">
        <f>"1551601419308978"</f>
        <v>1551601419308978</v>
      </c>
      <c r="C4040" t="s">
        <v>40</v>
      </c>
      <c r="D4040">
        <v>5.9094559999999996</v>
      </c>
      <c r="E4040">
        <v>0.57895359999999996</v>
      </c>
      <c r="F4040" t="s">
        <v>55</v>
      </c>
      <c r="G4040">
        <v>-206.50989999999999</v>
      </c>
      <c r="H4040" s="1">
        <v>-8.1613620000000006E-6</v>
      </c>
      <c r="I4040">
        <v>144.33410000000001</v>
      </c>
      <c r="J4040">
        <v>-199.60749999999999</v>
      </c>
      <c r="K4040">
        <v>1.1057170000000001</v>
      </c>
      <c r="L4040">
        <v>146.35429999999999</v>
      </c>
      <c r="M4040">
        <v>-0.65908339999999999</v>
      </c>
      <c r="N4040">
        <v>-1.23426E-2</v>
      </c>
      <c r="O4040">
        <v>-0.75196879999999999</v>
      </c>
      <c r="P4040">
        <v>-0.874233499999999</v>
      </c>
      <c r="Q4040">
        <v>0.14194379999999901</v>
      </c>
      <c r="R4040">
        <v>-0.46429320000000002</v>
      </c>
      <c r="S4040">
        <v>-3.0037989999999999</v>
      </c>
      <c r="T4040">
        <v>-0.46607290000000001</v>
      </c>
      <c r="U4040">
        <v>-0.95474239999999999</v>
      </c>
      <c r="V4040">
        <v>0.35653580000000001</v>
      </c>
      <c r="W4040">
        <v>0.14104129999999901</v>
      </c>
      <c r="X4040">
        <v>0.92357429999999996</v>
      </c>
      <c r="Y4040">
        <v>0.50655950000000005</v>
      </c>
      <c r="Z4040">
        <v>0.12975529999999999</v>
      </c>
      <c r="AA4040">
        <v>0.85238549999999902</v>
      </c>
      <c r="AB4040">
        <v>34</v>
      </c>
      <c r="AC4040">
        <v>-6.9024000000000001</v>
      </c>
      <c r="AD4040">
        <v>-1.1057251613620001</v>
      </c>
      <c r="AE4040">
        <v>-2.02019999999998</v>
      </c>
      <c r="AF4040">
        <v>3.7700874439766898</v>
      </c>
      <c r="AG4040">
        <v>-1.1057251613620001</v>
      </c>
      <c r="AH4040">
        <v>5.9287067270259</v>
      </c>
      <c r="AI4040">
        <v>98.9437752762027</v>
      </c>
      <c r="AJ4040">
        <v>57.547562140268099</v>
      </c>
      <c r="AK4040">
        <v>7.1123660565793303</v>
      </c>
      <c r="AL4040">
        <v>81.891893382847798</v>
      </c>
      <c r="AM4040">
        <v>68.891461522853305</v>
      </c>
      <c r="AN4040">
        <v>0.99999995630390903</v>
      </c>
    </row>
    <row r="4041" spans="1:40" x14ac:dyDescent="0.25">
      <c r="A4041" t="str">
        <f>"20190303162339348"</f>
        <v>20190303162339348</v>
      </c>
      <c r="B4041" t="str">
        <f>"1551601419339233"</f>
        <v>1551601419339233</v>
      </c>
      <c r="C4041" t="s">
        <v>40</v>
      </c>
      <c r="D4041">
        <v>5.9148860000000001</v>
      </c>
      <c r="E4041">
        <v>0.58017549999999996</v>
      </c>
      <c r="F4041" t="s">
        <v>55</v>
      </c>
      <c r="G4041">
        <v>-207.25729999999999</v>
      </c>
      <c r="H4041" s="1">
        <v>-7.754213E-6</v>
      </c>
      <c r="I4041">
        <v>144.04740000000001</v>
      </c>
      <c r="J4041">
        <v>-199.88399999999999</v>
      </c>
      <c r="K4041">
        <v>1.1054459999999999</v>
      </c>
      <c r="L4041">
        <v>146.06450000000001</v>
      </c>
      <c r="M4041">
        <v>-0.67373719999999904</v>
      </c>
      <c r="N4041">
        <v>-1.244255E-2</v>
      </c>
      <c r="O4041">
        <v>-0.73886640000000003</v>
      </c>
      <c r="P4041">
        <v>-0.8809884</v>
      </c>
      <c r="Q4041">
        <v>0.14746199999999901</v>
      </c>
      <c r="R4041">
        <v>-0.44957180000000002</v>
      </c>
      <c r="S4041">
        <v>-3.0189360000000001</v>
      </c>
      <c r="T4041">
        <v>-0.43636200000000003</v>
      </c>
      <c r="U4041">
        <v>-0.9104004</v>
      </c>
      <c r="V4041">
        <v>0.35348869999999999</v>
      </c>
      <c r="W4041">
        <v>0.14651749999999999</v>
      </c>
      <c r="X4041">
        <v>0.92389299999999996</v>
      </c>
      <c r="Y4041">
        <v>0.50378630000000002</v>
      </c>
      <c r="Z4041">
        <v>0.11982329999999999</v>
      </c>
      <c r="AA4041">
        <v>0.8554775</v>
      </c>
      <c r="AB4041">
        <v>34</v>
      </c>
      <c r="AC4041">
        <v>-7.3732999999999702</v>
      </c>
      <c r="AD4041">
        <v>-1.1054537542130001</v>
      </c>
      <c r="AE4041">
        <v>-2.0170999999999899</v>
      </c>
      <c r="AF4041">
        <v>4.0054392408550301</v>
      </c>
      <c r="AG4041">
        <v>-1.1054537542130001</v>
      </c>
      <c r="AH4041">
        <v>6.3262335431974401</v>
      </c>
      <c r="AI4041">
        <v>98.398315494353895</v>
      </c>
      <c r="AJ4041">
        <v>57.660154574758103</v>
      </c>
      <c r="AK4041">
        <v>7.5688045527653403</v>
      </c>
      <c r="AL4041">
        <v>81.574835496017201</v>
      </c>
      <c r="AM4041">
        <v>69.062757767698002</v>
      </c>
      <c r="AN4041">
        <v>0.99999995714146905</v>
      </c>
    </row>
    <row r="4042" spans="1:40" x14ac:dyDescent="0.25">
      <c r="A4042" t="str">
        <f>"20190303162339366"</f>
        <v>20190303162339366</v>
      </c>
      <c r="B4042" t="str">
        <f>"1551601419358754"</f>
        <v>1551601419358754</v>
      </c>
      <c r="C4042" t="s">
        <v>40</v>
      </c>
      <c r="D4042">
        <v>5.9183440000000003</v>
      </c>
      <c r="E4042">
        <v>0.58048429999999995</v>
      </c>
      <c r="F4042" t="s">
        <v>55</v>
      </c>
      <c r="G4042">
        <v>-208.46700000000001</v>
      </c>
      <c r="H4042" s="1">
        <v>-7.1162949999999996E-6</v>
      </c>
      <c r="I4042">
        <v>143.66299999999899</v>
      </c>
      <c r="J4042">
        <v>-200.08199999999999</v>
      </c>
      <c r="K4042">
        <v>1.1052489999999999</v>
      </c>
      <c r="L4042">
        <v>145.86359999999999</v>
      </c>
      <c r="M4042">
        <v>-0.68406669999999903</v>
      </c>
      <c r="N4042">
        <v>-1.251962E-2</v>
      </c>
      <c r="O4042">
        <v>-0.72931219999999997</v>
      </c>
      <c r="P4042">
        <v>-0.8854938</v>
      </c>
      <c r="Q4042">
        <v>0.1515629</v>
      </c>
      <c r="R4042">
        <v>-0.43923800000000002</v>
      </c>
      <c r="S4042">
        <v>-3.0371090000000001</v>
      </c>
      <c r="T4042">
        <v>-0.39116610000000002</v>
      </c>
      <c r="U4042">
        <v>-0.84976200000000002</v>
      </c>
      <c r="V4042">
        <v>0.3510122</v>
      </c>
      <c r="W4042">
        <v>0.15060209999999999</v>
      </c>
      <c r="X4042">
        <v>0.92418040000000001</v>
      </c>
      <c r="Y4042">
        <v>0.51070760000000004</v>
      </c>
      <c r="Z4042">
        <v>0.1064923</v>
      </c>
      <c r="AA4042">
        <v>0.85313369999999999</v>
      </c>
      <c r="AB4042">
        <v>34</v>
      </c>
      <c r="AC4042">
        <v>-8.3850000000000193</v>
      </c>
      <c r="AD4042">
        <v>-1.1052561162950001</v>
      </c>
      <c r="AE4042">
        <v>-2.2006000000000001</v>
      </c>
      <c r="AF4042">
        <v>4.5365439520931599</v>
      </c>
      <c r="AG4042">
        <v>-1.1052561162950001</v>
      </c>
      <c r="AH4042">
        <v>7.2239710913975301</v>
      </c>
      <c r="AI4042">
        <v>97.382586375254803</v>
      </c>
      <c r="AJ4042">
        <v>57.871804121898997</v>
      </c>
      <c r="AK4042">
        <v>8.6016033645610399</v>
      </c>
      <c r="AL4042">
        <v>81.338179127574705</v>
      </c>
      <c r="AM4042">
        <v>69.202763222603906</v>
      </c>
      <c r="AN4042">
        <v>0.99999998440870497</v>
      </c>
    </row>
    <row r="4043" spans="1:40" x14ac:dyDescent="0.25">
      <c r="A4043" t="str">
        <f>"20190303162339388"</f>
        <v>20190303162339388</v>
      </c>
      <c r="B4043" t="str">
        <f>"1551601419379249"</f>
        <v>1551601419379249</v>
      </c>
      <c r="C4043" t="s">
        <v>40</v>
      </c>
      <c r="D4043">
        <v>5.7642300000000004</v>
      </c>
      <c r="E4043">
        <v>0.58124609999999999</v>
      </c>
      <c r="F4043" t="s">
        <v>55</v>
      </c>
      <c r="G4043">
        <v>-209.321</v>
      </c>
      <c r="H4043" s="1">
        <v>-6.6700639999999997E-6</v>
      </c>
      <c r="I4043">
        <v>143.40710000000001</v>
      </c>
      <c r="J4043">
        <v>-200.3194</v>
      </c>
      <c r="K4043">
        <v>1.1049990000000001</v>
      </c>
      <c r="L4043">
        <v>145.63050000000001</v>
      </c>
      <c r="M4043">
        <v>-0.6962604</v>
      </c>
      <c r="N4043">
        <v>-1.2615619999999999E-2</v>
      </c>
      <c r="O4043">
        <v>-0.7176785</v>
      </c>
      <c r="P4043">
        <v>-0.89214319999999903</v>
      </c>
      <c r="Q4043">
        <v>0.15171709999999999</v>
      </c>
      <c r="R4043">
        <v>-0.42551440000000001</v>
      </c>
      <c r="S4043">
        <v>-3.0483250000000002</v>
      </c>
      <c r="T4043">
        <v>-0.36467090000000002</v>
      </c>
      <c r="U4043">
        <v>-0.81048580000000003</v>
      </c>
      <c r="V4043">
        <v>0.34978550000000003</v>
      </c>
      <c r="W4043">
        <v>0.1506817</v>
      </c>
      <c r="X4043">
        <v>0.92463240000000002</v>
      </c>
      <c r="Y4043">
        <v>0.50837060000000001</v>
      </c>
      <c r="Z4043">
        <v>9.7924929999999993E-2</v>
      </c>
      <c r="AA4043">
        <v>0.85555249999999905</v>
      </c>
      <c r="AB4043">
        <v>34</v>
      </c>
      <c r="AC4043">
        <v>-9.0015999999999892</v>
      </c>
      <c r="AD4043">
        <v>-1.1050056700640001</v>
      </c>
      <c r="AE4043">
        <v>-2.2233999999999901</v>
      </c>
      <c r="AF4043">
        <v>4.8437852912332797</v>
      </c>
      <c r="AG4043">
        <v>-1.1050056700640001</v>
      </c>
      <c r="AH4043">
        <v>7.7536466985278896</v>
      </c>
      <c r="AI4043">
        <v>96.891773551195598</v>
      </c>
      <c r="AJ4043">
        <v>58.006541991994801</v>
      </c>
      <c r="AK4043">
        <v>9.2088180894202694</v>
      </c>
      <c r="AL4043">
        <v>81.333565637003701</v>
      </c>
      <c r="AM4043">
        <v>69.278528772167306</v>
      </c>
      <c r="AN4043">
        <v>0.99999997292744902</v>
      </c>
    </row>
    <row r="4044" spans="1:40" x14ac:dyDescent="0.25">
      <c r="A4044" t="str">
        <f>"20190303162339410"</f>
        <v>20190303162339410</v>
      </c>
      <c r="B4044" t="str">
        <f>"1551601419398769"</f>
        <v>1551601419398769</v>
      </c>
      <c r="C4044" t="s">
        <v>40</v>
      </c>
      <c r="D4044">
        <v>5.7691239999999997</v>
      </c>
      <c r="E4044">
        <v>0.5815342</v>
      </c>
      <c r="F4044" t="s">
        <v>41</v>
      </c>
      <c r="G4044">
        <v>-210.14060000000001</v>
      </c>
      <c r="H4044" s="1">
        <v>-5.2940490000000003E-6</v>
      </c>
      <c r="I4044">
        <v>143.20609999999999</v>
      </c>
      <c r="J4044">
        <v>-200.55840000000001</v>
      </c>
      <c r="K4044">
        <v>1.104741</v>
      </c>
      <c r="L4044">
        <v>145.40360000000001</v>
      </c>
      <c r="M4044">
        <v>-0.70832910000000004</v>
      </c>
      <c r="N4044">
        <v>-1.271226E-2</v>
      </c>
      <c r="O4044">
        <v>-0.7057679</v>
      </c>
      <c r="P4044">
        <v>-0.89922029999999997</v>
      </c>
      <c r="Q4044">
        <v>0.15072559999999999</v>
      </c>
      <c r="R4044">
        <v>-0.41071210000000002</v>
      </c>
      <c r="S4044">
        <v>-3.060867</v>
      </c>
      <c r="T4044">
        <v>-0.34438289999999999</v>
      </c>
      <c r="U4044">
        <v>-0.75556950000000001</v>
      </c>
      <c r="V4044">
        <v>0.34956179999999998</v>
      </c>
      <c r="W4044">
        <v>0.149583299999999</v>
      </c>
      <c r="X4044">
        <v>0.92489529999999998</v>
      </c>
      <c r="Y4044">
        <v>0.50983059999999902</v>
      </c>
      <c r="Z4044">
        <v>9.1483469999999997E-2</v>
      </c>
      <c r="AA4044">
        <v>0.85539669999999901</v>
      </c>
      <c r="AB4044">
        <v>34</v>
      </c>
      <c r="AC4044">
        <v>-9.5822000000000003</v>
      </c>
      <c r="AD4044">
        <v>-1.104746294049</v>
      </c>
      <c r="AE4044">
        <v>-2.19750000000001</v>
      </c>
      <c r="AF4044">
        <v>5.1417466589277296</v>
      </c>
      <c r="AG4044">
        <v>-1.104746294049</v>
      </c>
      <c r="AH4044">
        <v>8.2349587299265394</v>
      </c>
      <c r="AI4044">
        <v>96.491955650738404</v>
      </c>
      <c r="AJ4044">
        <v>58.020153160656498</v>
      </c>
      <c r="AK4044">
        <v>9.7710065173657004</v>
      </c>
      <c r="AL4044">
        <v>81.397220739675504</v>
      </c>
      <c r="AM4044">
        <v>69.296043470777093</v>
      </c>
      <c r="AN4044">
        <v>0.99999996581010897</v>
      </c>
    </row>
    <row r="4045" spans="1:40" x14ac:dyDescent="0.25">
      <c r="A4045" t="str">
        <f>"20190303162339431"</f>
        <v>20190303162339431</v>
      </c>
      <c r="B4045" t="str">
        <f>"1551601419419265"</f>
        <v>1551601419419265</v>
      </c>
      <c r="C4045" t="s">
        <v>40</v>
      </c>
      <c r="D4045">
        <v>5.7374320000000001</v>
      </c>
      <c r="E4045">
        <v>0.58159810000000001</v>
      </c>
      <c r="F4045" t="s">
        <v>41</v>
      </c>
      <c r="G4045">
        <v>-210.68709999999999</v>
      </c>
      <c r="H4045" s="1">
        <v>-5.0630989999999996E-6</v>
      </c>
      <c r="I4045">
        <v>143.08709999999999</v>
      </c>
      <c r="J4045">
        <v>-200.81780000000001</v>
      </c>
      <c r="K4045">
        <v>1.1044849999999999</v>
      </c>
      <c r="L4045">
        <v>145.1661</v>
      </c>
      <c r="M4045">
        <v>-0.72118559999999998</v>
      </c>
      <c r="N4045">
        <v>-1.281736E-2</v>
      </c>
      <c r="O4045">
        <v>-0.6926234</v>
      </c>
      <c r="P4045">
        <v>-0.9058621</v>
      </c>
      <c r="Q4045">
        <v>0.15279389999999901</v>
      </c>
      <c r="R4045">
        <v>-0.39505469999999998</v>
      </c>
      <c r="S4045">
        <v>-3.0715180000000002</v>
      </c>
      <c r="T4045">
        <v>-0.33501239999999999</v>
      </c>
      <c r="U4045">
        <v>-0.70246889999999995</v>
      </c>
      <c r="V4045">
        <v>0.34853040000000002</v>
      </c>
      <c r="W4045">
        <v>0.15157590000000001</v>
      </c>
      <c r="X4045">
        <v>0.92496020000000001</v>
      </c>
      <c r="Y4045">
        <v>0.50909720000000003</v>
      </c>
      <c r="Z4045">
        <v>8.7998670000000001E-2</v>
      </c>
      <c r="AA4045">
        <v>0.85619869999999898</v>
      </c>
      <c r="AB4045">
        <v>34</v>
      </c>
      <c r="AC4045">
        <v>-9.8692999999999795</v>
      </c>
      <c r="AD4045">
        <v>-1.104490063099</v>
      </c>
      <c r="AE4045">
        <v>-2.0790000000000002</v>
      </c>
      <c r="AF4045">
        <v>5.2735603496522998</v>
      </c>
      <c r="AG4045">
        <v>-1.104490063099</v>
      </c>
      <c r="AH4045">
        <v>8.4568483563343193</v>
      </c>
      <c r="AI4045">
        <v>96.323805333571698</v>
      </c>
      <c r="AJ4045">
        <v>58.052970681597102</v>
      </c>
      <c r="AK4045">
        <v>10.0273935388486</v>
      </c>
      <c r="AL4045">
        <v>81.281736964068998</v>
      </c>
      <c r="AM4045">
        <v>69.353298153622603</v>
      </c>
      <c r="AN4045">
        <v>1.0000000323845</v>
      </c>
    </row>
    <row r="4046" spans="1:40" x14ac:dyDescent="0.25">
      <c r="A4046" t="str">
        <f>"20190303162339455"</f>
        <v>20190303162339455</v>
      </c>
      <c r="B4046" t="str">
        <f>"1551601419448546"</f>
        <v>1551601419448546</v>
      </c>
      <c r="C4046" t="s">
        <v>40</v>
      </c>
      <c r="D4046">
        <v>5.7689640000000004</v>
      </c>
      <c r="E4046">
        <v>0.58156200000000002</v>
      </c>
      <c r="F4046" t="s">
        <v>41</v>
      </c>
      <c r="G4046">
        <v>-211.53200000000001</v>
      </c>
      <c r="H4046" s="1">
        <v>-4.7073340000000003E-6</v>
      </c>
      <c r="I4046">
        <v>142.91059999999999</v>
      </c>
      <c r="J4046">
        <v>-201.07849999999999</v>
      </c>
      <c r="K4046">
        <v>1.1042339999999999</v>
      </c>
      <c r="L4046">
        <v>144.93600000000001</v>
      </c>
      <c r="M4046">
        <v>-0.73384179999999999</v>
      </c>
      <c r="N4046">
        <v>-1.2924700000000001E-2</v>
      </c>
      <c r="O4046">
        <v>-0.67919739999999995</v>
      </c>
      <c r="P4046">
        <v>-0.9123367</v>
      </c>
      <c r="Q4046">
        <v>0.15223689999999901</v>
      </c>
      <c r="R4046">
        <v>-0.3800867</v>
      </c>
      <c r="S4046">
        <v>-3.082382</v>
      </c>
      <c r="T4046">
        <v>-0.31775239999999999</v>
      </c>
      <c r="U4046">
        <v>-0.64888000000000001</v>
      </c>
      <c r="V4046">
        <v>0.34682449999999998</v>
      </c>
      <c r="W4046">
        <v>0.15099000000000001</v>
      </c>
      <c r="X4046">
        <v>0.92569699999999999</v>
      </c>
      <c r="Y4046">
        <v>0.50871099999999903</v>
      </c>
      <c r="Z4046">
        <v>8.2338239999999993E-2</v>
      </c>
      <c r="AA4046">
        <v>0.85699099999999995</v>
      </c>
      <c r="AB4046">
        <v>34</v>
      </c>
      <c r="AC4046">
        <v>-10.4535</v>
      </c>
      <c r="AD4046">
        <v>-1.1042387073340001</v>
      </c>
      <c r="AE4046">
        <v>-2.0254000000000101</v>
      </c>
      <c r="AF4046">
        <v>5.5544001356855901</v>
      </c>
      <c r="AG4046">
        <v>-1.1042387073340001</v>
      </c>
      <c r="AH4046">
        <v>8.9513487580180708</v>
      </c>
      <c r="AI4046">
        <v>95.9838968184484</v>
      </c>
      <c r="AJ4046">
        <v>58.179990693042001</v>
      </c>
      <c r="AK4046">
        <v>10.592324984523</v>
      </c>
      <c r="AL4046">
        <v>81.315697800332401</v>
      </c>
      <c r="AM4046">
        <v>69.460880204039299</v>
      </c>
      <c r="AN4046">
        <v>1.0000000748546201</v>
      </c>
    </row>
    <row r="4047" spans="1:40" x14ac:dyDescent="0.25">
      <c r="A4047" t="str">
        <f>"20190303162339476"</f>
        <v>20190303162339476</v>
      </c>
      <c r="B4047" t="str">
        <f>"1551601419469042"</f>
        <v>1551601419469042</v>
      </c>
      <c r="C4047" t="s">
        <v>40</v>
      </c>
      <c r="D4047">
        <v>5.7781060000000002</v>
      </c>
      <c r="E4047">
        <v>0.58031250000000001</v>
      </c>
      <c r="F4047" t="s">
        <v>41</v>
      </c>
      <c r="G4047">
        <v>-212.12</v>
      </c>
      <c r="H4047" s="1">
        <v>-4.4626170000000001E-6</v>
      </c>
      <c r="I4047">
        <v>142.804</v>
      </c>
      <c r="J4047">
        <v>-201.33609999999999</v>
      </c>
      <c r="K4047">
        <v>1.1039859999999999</v>
      </c>
      <c r="L4047">
        <v>144.71690000000001</v>
      </c>
      <c r="M4047">
        <v>-0.74607769999999995</v>
      </c>
      <c r="N4047">
        <v>-1.3030999999999999E-2</v>
      </c>
      <c r="O4047">
        <v>-0.66573149999999903</v>
      </c>
      <c r="P4047">
        <v>-0.91876939999999996</v>
      </c>
      <c r="Q4047">
        <v>0.14851110000000001</v>
      </c>
      <c r="R4047">
        <v>-0.36579660000000003</v>
      </c>
      <c r="S4047">
        <v>-3.0911870000000001</v>
      </c>
      <c r="T4047">
        <v>-0.3091429</v>
      </c>
      <c r="U4047">
        <v>-0.59687809999999997</v>
      </c>
      <c r="V4047">
        <v>0.34477590000000002</v>
      </c>
      <c r="W4047">
        <v>0.14727079999999901</v>
      </c>
      <c r="X4047">
        <v>0.92706040000000001</v>
      </c>
      <c r="Y4047">
        <v>0.50772850000000003</v>
      </c>
      <c r="Z4047">
        <v>7.9127669999999997E-2</v>
      </c>
      <c r="AA4047">
        <v>0.85787559999999996</v>
      </c>
      <c r="AB4047">
        <v>34</v>
      </c>
      <c r="AC4047">
        <v>-10.783899999999999</v>
      </c>
      <c r="AD4047">
        <v>-1.1039904626170001</v>
      </c>
      <c r="AE4047">
        <v>-1.9129</v>
      </c>
      <c r="AF4047">
        <v>5.6946362467363301</v>
      </c>
      <c r="AG4047">
        <v>-1.1039904626170001</v>
      </c>
      <c r="AH4047">
        <v>9.22615132334181</v>
      </c>
      <c r="AI4047">
        <v>95.814079893888803</v>
      </c>
      <c r="AJ4047">
        <v>58.315965679563099</v>
      </c>
      <c r="AK4047">
        <v>10.8981441156462</v>
      </c>
      <c r="AL4047">
        <v>81.531202018311106</v>
      </c>
      <c r="AM4047">
        <v>69.599716163716494</v>
      </c>
      <c r="AN4047">
        <v>1.0000000475008</v>
      </c>
    </row>
    <row r="4048" spans="1:40" x14ac:dyDescent="0.25">
      <c r="A4048" t="str">
        <f>"20190303162339501"</f>
        <v>20190303162339501</v>
      </c>
      <c r="B4048" t="str">
        <f>"1551601419488562"</f>
        <v>1551601419488562</v>
      </c>
      <c r="C4048" t="s">
        <v>40</v>
      </c>
      <c r="D4048">
        <v>5.7908999999999997</v>
      </c>
      <c r="E4048">
        <v>0.58027720000000005</v>
      </c>
      <c r="F4048" t="s">
        <v>41</v>
      </c>
      <c r="G4048">
        <v>-220.977</v>
      </c>
      <c r="H4048" s="1">
        <v>-4.2308509999999997E-6</v>
      </c>
      <c r="I4048">
        <v>141.23589999999999</v>
      </c>
      <c r="J4048">
        <v>-201.61340000000001</v>
      </c>
      <c r="K4048">
        <v>1.1037509999999999</v>
      </c>
      <c r="L4048">
        <v>144.4896</v>
      </c>
      <c r="M4048">
        <v>-0.75893949999999999</v>
      </c>
      <c r="N4048">
        <v>-1.314249E-2</v>
      </c>
      <c r="O4048">
        <v>-0.65102859999999996</v>
      </c>
      <c r="P4048">
        <v>-0.92519249999999997</v>
      </c>
      <c r="Q4048">
        <v>0.14842910000000001</v>
      </c>
      <c r="R4048">
        <v>-0.34926790000000002</v>
      </c>
      <c r="S4048">
        <v>-3.0761259999999999</v>
      </c>
      <c r="T4048">
        <v>-0.17290520000000001</v>
      </c>
      <c r="U4048">
        <v>-0.54516600000000004</v>
      </c>
      <c r="V4048">
        <v>0.3433715</v>
      </c>
      <c r="W4048">
        <v>0.14716940000000001</v>
      </c>
      <c r="X4048">
        <v>0.92759749999999996</v>
      </c>
      <c r="Y4048">
        <v>0.50729749999999996</v>
      </c>
      <c r="Z4048">
        <v>4.1608619999999999E-2</v>
      </c>
      <c r="AA4048">
        <v>0.86076589999999997</v>
      </c>
      <c r="AB4048">
        <v>34</v>
      </c>
      <c r="AC4048">
        <v>-19.363599999999899</v>
      </c>
      <c r="AD4048">
        <v>-1.1037552308509999</v>
      </c>
      <c r="AE4048">
        <v>-3.2536999999999998</v>
      </c>
      <c r="AF4048">
        <v>10.105836857181201</v>
      </c>
      <c r="AG4048">
        <v>-1.1037552308509999</v>
      </c>
      <c r="AH4048">
        <v>16.762534995410899</v>
      </c>
      <c r="AI4048">
        <v>93.227555034981194</v>
      </c>
      <c r="AJ4048">
        <v>58.914965704724104</v>
      </c>
      <c r="AK4048">
        <v>19.604305487978099</v>
      </c>
      <c r="AL4048">
        <v>81.537075157270905</v>
      </c>
      <c r="AM4048">
        <v>69.686810868499904</v>
      </c>
      <c r="AN4048">
        <v>0.99999997065742896</v>
      </c>
    </row>
    <row r="4049" spans="1:40" x14ac:dyDescent="0.25">
      <c r="A4049" t="str">
        <f>"20190303162339523"</f>
        <v>20190303162339523</v>
      </c>
      <c r="B4049" t="str">
        <f>"1551601419509058"</f>
        <v>1551601419509058</v>
      </c>
      <c r="C4049" t="s">
        <v>40</v>
      </c>
      <c r="D4049">
        <v>6.0720330000000002</v>
      </c>
      <c r="E4049">
        <v>0.58250170000000001</v>
      </c>
      <c r="F4049" t="s">
        <v>41</v>
      </c>
      <c r="G4049">
        <v>-220.65819999999999</v>
      </c>
      <c r="H4049" s="1">
        <v>-4.3803430000000004E-6</v>
      </c>
      <c r="I4049">
        <v>141.46719999999999</v>
      </c>
      <c r="J4049">
        <v>-201.88589999999999</v>
      </c>
      <c r="K4049">
        <v>1.1035459999999999</v>
      </c>
      <c r="L4049">
        <v>144.27500000000001</v>
      </c>
      <c r="M4049">
        <v>-0.771240699999999</v>
      </c>
      <c r="N4049">
        <v>-1.3246040000000001E-2</v>
      </c>
      <c r="O4049">
        <v>-0.63640580000000002</v>
      </c>
      <c r="P4049">
        <v>-0.93150659999999996</v>
      </c>
      <c r="Q4049">
        <v>0.14929329999999999</v>
      </c>
      <c r="R4049">
        <v>-0.33167340000000001</v>
      </c>
      <c r="S4049">
        <v>-3.0863800000000001</v>
      </c>
      <c r="T4049">
        <v>-0.1788739</v>
      </c>
      <c r="U4049">
        <v>-0.4898071</v>
      </c>
      <c r="V4049">
        <v>0.34324500000000002</v>
      </c>
      <c r="W4049">
        <v>0.1479702</v>
      </c>
      <c r="X4049">
        <v>0.92751700000000004</v>
      </c>
      <c r="Y4049">
        <v>0.50625600000000004</v>
      </c>
      <c r="Z4049">
        <v>4.2742139999999998E-2</v>
      </c>
      <c r="AA4049">
        <v>0.86132339999999996</v>
      </c>
      <c r="AB4049">
        <v>34</v>
      </c>
      <c r="AC4049">
        <v>-18.772300000000001</v>
      </c>
      <c r="AD4049">
        <v>-1.103550380343</v>
      </c>
      <c r="AE4049">
        <v>-2.8078000000000101</v>
      </c>
      <c r="AF4049">
        <v>9.7492149353729207</v>
      </c>
      <c r="AG4049">
        <v>-1.103550380343</v>
      </c>
      <c r="AH4049">
        <v>16.211491090427501</v>
      </c>
      <c r="AI4049">
        <v>93.338616374142504</v>
      </c>
      <c r="AJ4049">
        <v>58.978274368303801</v>
      </c>
      <c r="AK4049">
        <v>18.949339267453698</v>
      </c>
      <c r="AL4049">
        <v>81.490685456577197</v>
      </c>
      <c r="AM4049">
        <v>69.692064694011805</v>
      </c>
      <c r="AN4049">
        <v>1.00000004770101</v>
      </c>
    </row>
    <row r="4050" spans="1:40" x14ac:dyDescent="0.25">
      <c r="A4050" t="str">
        <f>"20190303162339545"</f>
        <v>20190303162339545</v>
      </c>
      <c r="B4050" t="str">
        <f>"1551601419538338"</f>
        <v>1551601419538338</v>
      </c>
      <c r="C4050" t="s">
        <v>40</v>
      </c>
      <c r="D4050">
        <v>5.6836589999999996</v>
      </c>
      <c r="E4050">
        <v>0.58716849999999998</v>
      </c>
      <c r="F4050" t="s">
        <v>41</v>
      </c>
      <c r="G4050">
        <v>-221.196</v>
      </c>
      <c r="H4050" s="1">
        <v>-4.2398539999999998E-6</v>
      </c>
      <c r="I4050">
        <v>141.70699999999999</v>
      </c>
      <c r="J4050">
        <v>-202.15889999999999</v>
      </c>
      <c r="K4050">
        <v>1.1033520000000001</v>
      </c>
      <c r="L4050">
        <v>144.06890000000001</v>
      </c>
      <c r="M4050">
        <v>-0.78321700000000005</v>
      </c>
      <c r="N4050">
        <v>-1.334107E-2</v>
      </c>
      <c r="O4050">
        <v>-0.62160530000000003</v>
      </c>
      <c r="P4050">
        <v>-0.93780839999999999</v>
      </c>
      <c r="Q4050">
        <v>0.1471172</v>
      </c>
      <c r="R4050">
        <v>-0.31443900000000002</v>
      </c>
      <c r="S4050">
        <v>-3.102112</v>
      </c>
      <c r="T4050">
        <v>-0.177282</v>
      </c>
      <c r="U4050">
        <v>-0.41253659999999998</v>
      </c>
      <c r="V4050">
        <v>0.34288239999999998</v>
      </c>
      <c r="W4050">
        <v>0.14575479999999999</v>
      </c>
      <c r="X4050">
        <v>0.92800179999999999</v>
      </c>
      <c r="Y4050">
        <v>0.51155280000000003</v>
      </c>
      <c r="Z4050">
        <v>4.1973610000000001E-2</v>
      </c>
      <c r="AA4050">
        <v>0.85822609999999999</v>
      </c>
      <c r="AB4050">
        <v>34</v>
      </c>
      <c r="AC4050">
        <v>-19.037099999999999</v>
      </c>
      <c r="AD4050">
        <v>-1.103356239854</v>
      </c>
      <c r="AE4050">
        <v>-2.3619000000000199</v>
      </c>
      <c r="AF4050">
        <v>9.9516482518647695</v>
      </c>
      <c r="AG4050">
        <v>-1.103356239854</v>
      </c>
      <c r="AH4050">
        <v>16.325798121458</v>
      </c>
      <c r="AI4050">
        <v>93.302733320102107</v>
      </c>
      <c r="AJ4050">
        <v>58.634943497655897</v>
      </c>
      <c r="AK4050">
        <v>19.151615655695199</v>
      </c>
      <c r="AL4050">
        <v>81.619010181975199</v>
      </c>
      <c r="AM4050">
        <v>69.721503581914405</v>
      </c>
      <c r="AN4050">
        <v>1.0000000713780099</v>
      </c>
    </row>
    <row r="4051" spans="1:40" x14ac:dyDescent="0.25">
      <c r="A4051" t="str">
        <f>"20190303162339566"</f>
        <v>20190303162339566</v>
      </c>
      <c r="B4051" t="str">
        <f>"1551601419558834"</f>
        <v>1551601419558834</v>
      </c>
      <c r="C4051" t="s">
        <v>40</v>
      </c>
      <c r="D4051">
        <v>5.6653560000000001</v>
      </c>
      <c r="E4051">
        <v>0.58794389999999996</v>
      </c>
      <c r="F4051" t="s">
        <v>41</v>
      </c>
      <c r="G4051">
        <v>-220.67150000000001</v>
      </c>
      <c r="H4051" s="1">
        <v>-4.5044469999999998E-6</v>
      </c>
      <c r="I4051">
        <v>142.19239999999999</v>
      </c>
      <c r="J4051">
        <v>-202.4315</v>
      </c>
      <c r="K4051">
        <v>1.103172</v>
      </c>
      <c r="L4051">
        <v>143.87100000000001</v>
      </c>
      <c r="M4051">
        <v>-0.79481449999999998</v>
      </c>
      <c r="N4051">
        <v>-1.3425960000000001E-2</v>
      </c>
      <c r="O4051">
        <v>-0.60670429999999997</v>
      </c>
      <c r="P4051">
        <v>-0.94347950000000003</v>
      </c>
      <c r="Q4051">
        <v>0.1446096</v>
      </c>
      <c r="R4051">
        <v>-0.29821969999999998</v>
      </c>
      <c r="S4051">
        <v>-3.1220400000000001</v>
      </c>
      <c r="T4051">
        <v>-0.18607460000000001</v>
      </c>
      <c r="U4051">
        <v>-0.31645200000000001</v>
      </c>
      <c r="V4051">
        <v>0.34155259999999998</v>
      </c>
      <c r="W4051">
        <v>0.14325879999999999</v>
      </c>
      <c r="X4051">
        <v>0.92888029999999999</v>
      </c>
      <c r="Y4051">
        <v>0.52191200000000004</v>
      </c>
      <c r="Z4051">
        <v>4.4076789999999998E-2</v>
      </c>
      <c r="AA4051">
        <v>0.85185979999999994</v>
      </c>
      <c r="AB4051">
        <v>34</v>
      </c>
      <c r="AC4051">
        <v>-18.239999999999998</v>
      </c>
      <c r="AD4051">
        <v>-1.1031765044470001</v>
      </c>
      <c r="AE4051">
        <v>-1.6786000000000101</v>
      </c>
      <c r="AF4051">
        <v>9.6978094665630703</v>
      </c>
      <c r="AG4051">
        <v>-1.1031765044470001</v>
      </c>
      <c r="AH4051">
        <v>15.461143943112599</v>
      </c>
      <c r="AI4051">
        <v>93.459042027307405</v>
      </c>
      <c r="AJ4051">
        <v>57.902520706740901</v>
      </c>
      <c r="AK4051">
        <v>18.284186579647699</v>
      </c>
      <c r="AL4051">
        <v>81.763536349560994</v>
      </c>
      <c r="AM4051">
        <v>69.8113448539237</v>
      </c>
      <c r="AN4051">
        <v>0.99999993703614198</v>
      </c>
    </row>
    <row r="4052" spans="1:40" x14ac:dyDescent="0.25">
      <c r="A4052" t="str">
        <f>"20190303162339588"</f>
        <v>20190303162339588</v>
      </c>
      <c r="B4052" t="str">
        <f>"1551601419578353"</f>
        <v>1551601419578353</v>
      </c>
      <c r="C4052" t="s">
        <v>40</v>
      </c>
      <c r="D4052">
        <v>5.6802859999999997</v>
      </c>
      <c r="E4052">
        <v>0.58800929999999996</v>
      </c>
      <c r="F4052" t="s">
        <v>41</v>
      </c>
      <c r="G4052">
        <v>-220.04849999999999</v>
      </c>
      <c r="H4052" s="1">
        <v>-4.7605920000000004E-6</v>
      </c>
      <c r="I4052">
        <v>142.44110000000001</v>
      </c>
      <c r="J4052">
        <v>-202.70750000000001</v>
      </c>
      <c r="K4052">
        <v>1.1029990000000001</v>
      </c>
      <c r="L4052">
        <v>143.67830000000001</v>
      </c>
      <c r="M4052">
        <v>-0.80619039999999997</v>
      </c>
      <c r="N4052">
        <v>-1.3501239999999999E-2</v>
      </c>
      <c r="O4052">
        <v>-0.59150219999999998</v>
      </c>
      <c r="P4052">
        <v>-0.94868079999999999</v>
      </c>
      <c r="Q4052">
        <v>0.143839299999999</v>
      </c>
      <c r="R4052">
        <v>-0.2816304</v>
      </c>
      <c r="S4052">
        <v>-3.1294559999999998</v>
      </c>
      <c r="T4052">
        <v>-0.1959668</v>
      </c>
      <c r="U4052">
        <v>-0.2539978</v>
      </c>
      <c r="V4052">
        <v>0.3402906</v>
      </c>
      <c r="W4052">
        <v>0.1425013</v>
      </c>
      <c r="X4052">
        <v>0.92945990000000001</v>
      </c>
      <c r="Y4052">
        <v>0.52261550000000001</v>
      </c>
      <c r="Z4052">
        <v>4.6160470000000002E-2</v>
      </c>
      <c r="AA4052">
        <v>0.85131800000000002</v>
      </c>
      <c r="AB4052">
        <v>34</v>
      </c>
      <c r="AC4052">
        <v>-17.340999999999902</v>
      </c>
      <c r="AD4052">
        <v>-1.103003760592</v>
      </c>
      <c r="AE4052">
        <v>-1.2372000000000001</v>
      </c>
      <c r="AF4052">
        <v>9.2235367982263998</v>
      </c>
      <c r="AG4052">
        <v>-1.103003760592</v>
      </c>
      <c r="AH4052">
        <v>14.6543062801875</v>
      </c>
      <c r="AI4052">
        <v>93.644863320034005</v>
      </c>
      <c r="AJ4052">
        <v>57.813362721308103</v>
      </c>
      <c r="AK4052">
        <v>17.3504737951924</v>
      </c>
      <c r="AL4052">
        <v>81.807388418377002</v>
      </c>
      <c r="AM4052">
        <v>69.891488298215407</v>
      </c>
      <c r="AN4052">
        <v>1.00000000932903</v>
      </c>
    </row>
    <row r="4053" spans="1:40" x14ac:dyDescent="0.25">
      <c r="A4053" t="str">
        <f>"20190303162339610"</f>
        <v>20190303162339610</v>
      </c>
      <c r="B4053" t="str">
        <f>"1551601419598850"</f>
        <v>1551601419598850</v>
      </c>
      <c r="C4053" t="s">
        <v>40</v>
      </c>
      <c r="D4053">
        <v>5.6831880000000004</v>
      </c>
      <c r="E4053">
        <v>0.58746730000000003</v>
      </c>
      <c r="F4053" t="s">
        <v>41</v>
      </c>
      <c r="G4053">
        <v>-220.02529999999999</v>
      </c>
      <c r="H4053" s="1">
        <v>-4.7930760000000001E-6</v>
      </c>
      <c r="I4053">
        <v>142.57980000000001</v>
      </c>
      <c r="J4053">
        <v>-202.9879</v>
      </c>
      <c r="K4053">
        <v>1.102846</v>
      </c>
      <c r="L4053">
        <v>143.49029999999999</v>
      </c>
      <c r="M4053">
        <v>-0.81736299999999995</v>
      </c>
      <c r="N4053">
        <v>-1.3567060000000001E-2</v>
      </c>
      <c r="O4053">
        <v>-0.57596329999999996</v>
      </c>
      <c r="P4053">
        <v>-0.95371260000000002</v>
      </c>
      <c r="Q4053">
        <v>0.14255090000000001</v>
      </c>
      <c r="R4053">
        <v>-0.26478570000000001</v>
      </c>
      <c r="S4053">
        <v>-3.1335299999999999</v>
      </c>
      <c r="T4053">
        <v>-0.19958039999999999</v>
      </c>
      <c r="U4053">
        <v>-0.19876099999999999</v>
      </c>
      <c r="V4053">
        <v>0.33906340000000001</v>
      </c>
      <c r="W4053">
        <v>0.14122970000000001</v>
      </c>
      <c r="X4053">
        <v>0.93010219999999999</v>
      </c>
      <c r="Y4053">
        <v>0.52127400000000002</v>
      </c>
      <c r="Z4053">
        <v>4.6489740000000002E-2</v>
      </c>
      <c r="AA4053">
        <v>0.85212209999999999</v>
      </c>
      <c r="AB4053">
        <v>34</v>
      </c>
      <c r="AC4053">
        <v>-17.037399999999899</v>
      </c>
      <c r="AD4053">
        <v>-1.1028507930760001</v>
      </c>
      <c r="AE4053">
        <v>-0.91049999999998399</v>
      </c>
      <c r="AF4053">
        <v>9.0318059543543203</v>
      </c>
      <c r="AG4053">
        <v>-1.1028507930760001</v>
      </c>
      <c r="AH4053">
        <v>14.3913547495962</v>
      </c>
      <c r="AI4053">
        <v>93.713802178200993</v>
      </c>
      <c r="AJ4053">
        <v>57.888213074585998</v>
      </c>
      <c r="AK4053">
        <v>17.026476153262699</v>
      </c>
      <c r="AL4053">
        <v>81.880989744416894</v>
      </c>
      <c r="AM4053">
        <v>69.970964410041901</v>
      </c>
      <c r="AN4053">
        <v>0.99999995991324397</v>
      </c>
    </row>
    <row r="4054" spans="1:40" x14ac:dyDescent="0.25">
      <c r="A4054" t="str">
        <f>"20190303162339633"</f>
        <v>20190303162339633</v>
      </c>
      <c r="B4054" t="str">
        <f>"1551601419618370"</f>
        <v>1551601419618370</v>
      </c>
      <c r="C4054" t="s">
        <v>40</v>
      </c>
      <c r="D4054">
        <v>5.6768669999999997</v>
      </c>
      <c r="E4054">
        <v>0.58685299999999996</v>
      </c>
      <c r="F4054" t="s">
        <v>41</v>
      </c>
      <c r="G4054">
        <v>-219.8879</v>
      </c>
      <c r="H4054" s="1">
        <v>-8.5333409999999998E-7</v>
      </c>
      <c r="I4054">
        <v>142.69759999999999</v>
      </c>
      <c r="J4054">
        <v>-203.29470000000001</v>
      </c>
      <c r="K4054">
        <v>1.1026899999999999</v>
      </c>
      <c r="L4054">
        <v>143.29329999999999</v>
      </c>
      <c r="M4054">
        <v>-0.82913760000000003</v>
      </c>
      <c r="N4054">
        <v>-1.362737E-2</v>
      </c>
      <c r="O4054">
        <v>-0.55887849999999994</v>
      </c>
      <c r="P4054">
        <v>-0.95907370000000003</v>
      </c>
      <c r="Q4054">
        <v>0.14006660000000001</v>
      </c>
      <c r="R4054">
        <v>-0.24608830000000001</v>
      </c>
      <c r="S4054">
        <v>-3.135345</v>
      </c>
      <c r="T4054">
        <v>-0.20460449999999999</v>
      </c>
      <c r="U4054">
        <v>-0.14706420000000001</v>
      </c>
      <c r="V4054">
        <v>0.33809149999999999</v>
      </c>
      <c r="W4054">
        <v>0.1387533</v>
      </c>
      <c r="X4054">
        <v>0.93082849999999995</v>
      </c>
      <c r="Y4054">
        <v>0.51753890000000002</v>
      </c>
      <c r="Z4054">
        <v>4.7000210000000001E-2</v>
      </c>
      <c r="AA4054">
        <v>0.85436789999999996</v>
      </c>
      <c r="AB4054">
        <v>34</v>
      </c>
      <c r="AC4054">
        <v>-16.5931999999999</v>
      </c>
      <c r="AD4054">
        <v>-1.1026908533341</v>
      </c>
      <c r="AE4054">
        <v>-0.59569999999999301</v>
      </c>
      <c r="AF4054">
        <v>8.7419243368324793</v>
      </c>
      <c r="AG4054">
        <v>-1.1026908533341</v>
      </c>
      <c r="AH4054">
        <v>14.0303971373629</v>
      </c>
      <c r="AI4054">
        <v>93.816233368698704</v>
      </c>
      <c r="AJ4054">
        <v>58.0741904953004</v>
      </c>
      <c r="AK4054">
        <v>16.567715957881799</v>
      </c>
      <c r="AL4054">
        <v>82.024288630012705</v>
      </c>
      <c r="AM4054">
        <v>70.038185113813299</v>
      </c>
      <c r="AN4054">
        <v>1.00000001852269</v>
      </c>
    </row>
    <row r="4055" spans="1:40" x14ac:dyDescent="0.25">
      <c r="A4055" t="str">
        <f>"20190303162339656"</f>
        <v>20190303162339656</v>
      </c>
      <c r="B4055" t="str">
        <f>"1551601419648626"</f>
        <v>1551601419648626</v>
      </c>
      <c r="C4055" t="s">
        <v>40</v>
      </c>
      <c r="D4055">
        <v>5.565823</v>
      </c>
      <c r="E4055">
        <v>0.58590699999999996</v>
      </c>
      <c r="F4055" t="s">
        <v>41</v>
      </c>
      <c r="G4055">
        <v>-219.73910000000001</v>
      </c>
      <c r="H4055" s="1">
        <v>-9.582615000000001E-7</v>
      </c>
      <c r="I4055">
        <v>142.82759999999999</v>
      </c>
      <c r="J4055">
        <v>-203.58949999999999</v>
      </c>
      <c r="K4055">
        <v>1.1025750000000001</v>
      </c>
      <c r="L4055">
        <v>143.11199999999999</v>
      </c>
      <c r="M4055">
        <v>-0.84001299999999901</v>
      </c>
      <c r="N4055">
        <v>-1.3674489999999999E-2</v>
      </c>
      <c r="O4055">
        <v>-0.54239399999999904</v>
      </c>
      <c r="P4055">
        <v>-0.96358779999999999</v>
      </c>
      <c r="Q4055">
        <v>0.1383074</v>
      </c>
      <c r="R4055">
        <v>-0.22884489999999999</v>
      </c>
      <c r="S4055">
        <v>-3.1359249999999999</v>
      </c>
      <c r="T4055">
        <v>-0.21028230000000001</v>
      </c>
      <c r="U4055">
        <v>-8.880615E-2</v>
      </c>
      <c r="V4055">
        <v>0.3365012</v>
      </c>
      <c r="W4055">
        <v>0.13703609999999999</v>
      </c>
      <c r="X4055">
        <v>0.93165880000000001</v>
      </c>
      <c r="Y4055">
        <v>0.51641389999999998</v>
      </c>
      <c r="Z4055">
        <v>4.7756550000000002E-2</v>
      </c>
      <c r="AA4055">
        <v>0.8550065</v>
      </c>
      <c r="AB4055">
        <v>34</v>
      </c>
      <c r="AC4055">
        <v>-16.1496</v>
      </c>
      <c r="AD4055">
        <v>-1.1025759582615</v>
      </c>
      <c r="AE4055">
        <v>-0.28440000000000498</v>
      </c>
      <c r="AF4055">
        <v>8.4818200220863496</v>
      </c>
      <c r="AG4055">
        <v>-1.1025759582615</v>
      </c>
      <c r="AH4055">
        <v>13.657771935163799</v>
      </c>
      <c r="AI4055">
        <v>93.9232099945648</v>
      </c>
      <c r="AJ4055">
        <v>58.158678577772399</v>
      </c>
      <c r="AK4055">
        <v>16.114952027969199</v>
      </c>
      <c r="AL4055">
        <v>82.123626063766096</v>
      </c>
      <c r="AM4055">
        <v>70.141039681755103</v>
      </c>
      <c r="AN4055">
        <v>1.0000000349610401</v>
      </c>
    </row>
    <row r="4056" spans="1:40" x14ac:dyDescent="0.25">
      <c r="A4056" t="str">
        <f>"20190303162339677"</f>
        <v>20190303162339677</v>
      </c>
      <c r="B4056" t="str">
        <f>"1551601419669122"</f>
        <v>1551601419669122</v>
      </c>
      <c r="C4056" t="s">
        <v>40</v>
      </c>
      <c r="D4056">
        <v>5.6116760000000001</v>
      </c>
      <c r="E4056">
        <v>0.58536889999999997</v>
      </c>
      <c r="F4056" t="s">
        <v>41</v>
      </c>
      <c r="G4056">
        <v>-220.0077</v>
      </c>
      <c r="H4056" s="1">
        <v>-4.8568270000000003E-6</v>
      </c>
      <c r="I4056">
        <v>142.90539999999999</v>
      </c>
      <c r="J4056">
        <v>-203.87289999999999</v>
      </c>
      <c r="K4056">
        <v>1.102479</v>
      </c>
      <c r="L4056">
        <v>142.9451</v>
      </c>
      <c r="M4056">
        <v>-0.85006409999999999</v>
      </c>
      <c r="N4056">
        <v>-1.3710669999999999E-2</v>
      </c>
      <c r="O4056">
        <v>-0.52650069999999904</v>
      </c>
      <c r="P4056">
        <v>-0.96697789999999995</v>
      </c>
      <c r="Q4056">
        <v>0.13842119999999999</v>
      </c>
      <c r="R4056">
        <v>-0.21399360000000001</v>
      </c>
      <c r="S4056">
        <v>-3.1342159999999999</v>
      </c>
      <c r="T4056">
        <v>-0.2104808</v>
      </c>
      <c r="U4056">
        <v>-3.9428709999999999E-2</v>
      </c>
      <c r="V4056">
        <v>0.3333315</v>
      </c>
      <c r="W4056">
        <v>0.137269899999999</v>
      </c>
      <c r="X4056">
        <v>0.93276320000000001</v>
      </c>
      <c r="Y4056">
        <v>0.51378840000000003</v>
      </c>
      <c r="Z4056">
        <v>4.7104519999999997E-2</v>
      </c>
      <c r="AA4056">
        <v>0.85662280000000002</v>
      </c>
      <c r="AB4056">
        <v>34</v>
      </c>
      <c r="AC4056">
        <v>-16.134799999999998</v>
      </c>
      <c r="AD4056">
        <v>-1.1024838568269999</v>
      </c>
      <c r="AE4056">
        <v>-3.9700000000010498E-2</v>
      </c>
      <c r="AF4056">
        <v>8.4227067969354206</v>
      </c>
      <c r="AG4056">
        <v>-1.1024838568269999</v>
      </c>
      <c r="AH4056">
        <v>13.6739656063365</v>
      </c>
      <c r="AI4056">
        <v>93.927101262194</v>
      </c>
      <c r="AJ4056">
        <v>58.368315880059903</v>
      </c>
      <c r="AK4056">
        <v>16.0976642978098</v>
      </c>
      <c r="AL4056">
        <v>82.110102637514402</v>
      </c>
      <c r="AM4056">
        <v>70.335183968256601</v>
      </c>
      <c r="AN4056">
        <v>1.0000000508062401</v>
      </c>
    </row>
    <row r="4057" spans="1:40" x14ac:dyDescent="0.25">
      <c r="A4057" t="str">
        <f>"20190303162339701"</f>
        <v>20190303162339701</v>
      </c>
      <c r="B4057" t="str">
        <f>"1551601419688642"</f>
        <v>1551601419688642</v>
      </c>
      <c r="C4057" t="s">
        <v>40</v>
      </c>
      <c r="D4057">
        <v>5.5918640000000002</v>
      </c>
      <c r="E4057">
        <v>0.58502209999999999</v>
      </c>
      <c r="F4057" t="s">
        <v>41</v>
      </c>
      <c r="G4057">
        <v>-220.6301</v>
      </c>
      <c r="H4057" s="1">
        <v>-4.6548230000000003E-6</v>
      </c>
      <c r="I4057">
        <v>142.9605</v>
      </c>
      <c r="J4057">
        <v>-204.17869999999999</v>
      </c>
      <c r="K4057">
        <v>1.102393</v>
      </c>
      <c r="L4057">
        <v>142.77260000000001</v>
      </c>
      <c r="M4057">
        <v>-0.86047280000000004</v>
      </c>
      <c r="N4057">
        <v>-1.374119E-2</v>
      </c>
      <c r="O4057">
        <v>-0.50931130000000002</v>
      </c>
      <c r="P4057">
        <v>-0.97022450000000005</v>
      </c>
      <c r="Q4057">
        <v>0.1382707</v>
      </c>
      <c r="R4057">
        <v>-0.1988617</v>
      </c>
      <c r="S4057">
        <v>-3.132584</v>
      </c>
      <c r="T4057">
        <v>-0.20609859999999999</v>
      </c>
      <c r="U4057">
        <v>2.89917E-3</v>
      </c>
      <c r="V4057">
        <v>0.32917929999999901</v>
      </c>
      <c r="W4057">
        <v>0.1372874</v>
      </c>
      <c r="X4057">
        <v>0.93423400000000001</v>
      </c>
      <c r="Y4057">
        <v>0.5082373</v>
      </c>
      <c r="Z4057">
        <v>4.5161659999999999E-2</v>
      </c>
      <c r="AA4057">
        <v>0.86003209999999997</v>
      </c>
      <c r="AB4057">
        <v>34</v>
      </c>
      <c r="AC4057">
        <v>-16.4514</v>
      </c>
      <c r="AD4057">
        <v>-1.1023976548229999</v>
      </c>
      <c r="AE4057">
        <v>0.187899999999984</v>
      </c>
      <c r="AF4057">
        <v>8.5031955576588505</v>
      </c>
      <c r="AG4057">
        <v>-1.1023976548229999</v>
      </c>
      <c r="AH4057">
        <v>13.9987586477463</v>
      </c>
      <c r="AI4057">
        <v>93.850531569246598</v>
      </c>
      <c r="AJ4057">
        <v>58.724459440583601</v>
      </c>
      <c r="AK4057">
        <v>16.415993998506401</v>
      </c>
      <c r="AL4057">
        <v>82.109090008126202</v>
      </c>
      <c r="AM4057">
        <v>70.589984319467106</v>
      </c>
      <c r="AN4057">
        <v>1.0000000042516199</v>
      </c>
    </row>
    <row r="4058" spans="1:40" x14ac:dyDescent="0.25">
      <c r="A4058" t="str">
        <f>"20190303162339724"</f>
        <v>20190303162339724</v>
      </c>
      <c r="B4058" t="str">
        <f>"1551601419718898"</f>
        <v>1551601419718898</v>
      </c>
      <c r="C4058" t="s">
        <v>40</v>
      </c>
      <c r="D4058">
        <v>5.6381620000000003</v>
      </c>
      <c r="E4058">
        <v>0.57439149999999894</v>
      </c>
      <c r="F4058" t="s">
        <v>41</v>
      </c>
      <c r="G4058">
        <v>-221.06120000000001</v>
      </c>
      <c r="H4058" s="1">
        <v>-4.5212400000000003E-6</v>
      </c>
      <c r="I4058">
        <v>143.03450000000001</v>
      </c>
      <c r="J4058">
        <v>-204.48660000000001</v>
      </c>
      <c r="K4058">
        <v>1.1023289999999999</v>
      </c>
      <c r="L4058">
        <v>142.607</v>
      </c>
      <c r="M4058">
        <v>-0.8704982</v>
      </c>
      <c r="N4058">
        <v>-1.376464E-2</v>
      </c>
      <c r="O4058">
        <v>-0.491979</v>
      </c>
      <c r="P4058">
        <v>-0.97303059999999997</v>
      </c>
      <c r="Q4058">
        <v>0.1389416</v>
      </c>
      <c r="R4058">
        <v>-0.1841381</v>
      </c>
      <c r="S4058">
        <v>-3.1311339999999999</v>
      </c>
      <c r="T4058">
        <v>-0.20445869999999999</v>
      </c>
      <c r="U4058">
        <v>4.8583979999999999E-2</v>
      </c>
      <c r="V4058">
        <v>0.32462099999999999</v>
      </c>
      <c r="W4058">
        <v>0.13814879999999999</v>
      </c>
      <c r="X4058">
        <v>0.93570089999999995</v>
      </c>
      <c r="Y4058">
        <v>0.50360649999999996</v>
      </c>
      <c r="Z4058">
        <v>4.3909690000000001E-2</v>
      </c>
      <c r="AA4058">
        <v>0.86281659999999905</v>
      </c>
      <c r="AB4058">
        <v>34</v>
      </c>
      <c r="AC4058">
        <v>-16.5746</v>
      </c>
      <c r="AD4058">
        <v>-1.1023335212400001</v>
      </c>
      <c r="AE4058">
        <v>0.42750000000000898</v>
      </c>
      <c r="AF4058">
        <v>8.4897740238316199</v>
      </c>
      <c r="AG4058">
        <v>-1.1023335212400001</v>
      </c>
      <c r="AH4058">
        <v>14.1566097430497</v>
      </c>
      <c r="AI4058">
        <v>93.820492319663501</v>
      </c>
      <c r="AJ4058">
        <v>59.048719716729998</v>
      </c>
      <c r="AK4058">
        <v>16.543911314582999</v>
      </c>
      <c r="AL4058">
        <v>82.059260822371797</v>
      </c>
      <c r="AM4058">
        <v>70.866899213328693</v>
      </c>
      <c r="AN4058">
        <v>1.00000002942162</v>
      </c>
    </row>
    <row r="4059" spans="1:40" x14ac:dyDescent="0.25">
      <c r="A4059" t="str">
        <f>"20190303162339748"</f>
        <v>20190303162339748</v>
      </c>
      <c r="B4059" t="str">
        <f>"1551601419738419"</f>
        <v>1551601419738419</v>
      </c>
      <c r="C4059" t="s">
        <v>40</v>
      </c>
      <c r="D4059">
        <v>5.6102150000000002</v>
      </c>
      <c r="E4059">
        <v>0.57279069999999899</v>
      </c>
      <c r="F4059" t="s">
        <v>41</v>
      </c>
      <c r="G4059">
        <v>-229.5515</v>
      </c>
      <c r="H4059" s="1">
        <v>-1.006883E-6</v>
      </c>
      <c r="I4059">
        <v>142.7439</v>
      </c>
      <c r="J4059">
        <v>-204.8254</v>
      </c>
      <c r="K4059">
        <v>1.1022639999999999</v>
      </c>
      <c r="L4059">
        <v>142.43440000000001</v>
      </c>
      <c r="M4059">
        <v>-0.88100889999999998</v>
      </c>
      <c r="N4059">
        <v>-1.378447E-2</v>
      </c>
      <c r="O4059">
        <v>-0.47289890000000001</v>
      </c>
      <c r="P4059">
        <v>-0.97551849999999996</v>
      </c>
      <c r="Q4059">
        <v>0.14205909999999999</v>
      </c>
      <c r="R4059">
        <v>-0.16787759999999999</v>
      </c>
      <c r="S4059">
        <v>-3.1058810000000001</v>
      </c>
      <c r="T4059">
        <v>-0.13659370000000001</v>
      </c>
      <c r="U4059">
        <v>1.696777E-2</v>
      </c>
      <c r="V4059">
        <v>0.3197796</v>
      </c>
      <c r="W4059">
        <v>0.1414676</v>
      </c>
      <c r="X4059">
        <v>0.93687129999999996</v>
      </c>
      <c r="Y4059">
        <v>0.47696670000000002</v>
      </c>
      <c r="Z4059">
        <v>2.7188980000000001E-2</v>
      </c>
      <c r="AA4059">
        <v>0.87850079999999997</v>
      </c>
      <c r="AB4059">
        <v>34</v>
      </c>
      <c r="AC4059">
        <v>-24.726099999999999</v>
      </c>
      <c r="AD4059">
        <v>-1.102265006883</v>
      </c>
      <c r="AE4059">
        <v>0.30949999999998501</v>
      </c>
      <c r="AF4059">
        <v>11.9430238241357</v>
      </c>
      <c r="AG4059">
        <v>-1.102265006883</v>
      </c>
      <c r="AH4059">
        <v>21.5966951273695</v>
      </c>
      <c r="AI4059">
        <v>92.5573640113968</v>
      </c>
      <c r="AJ4059">
        <v>61.057301740585501</v>
      </c>
      <c r="AK4059">
        <v>24.703603919951</v>
      </c>
      <c r="AL4059">
        <v>81.867220784620898</v>
      </c>
      <c r="AM4059">
        <v>71.153834241235401</v>
      </c>
      <c r="AN4059">
        <v>0.99999995359480298</v>
      </c>
    </row>
    <row r="4060" spans="1:40" x14ac:dyDescent="0.25">
      <c r="A4060" t="str">
        <f>"20190303162339767"</f>
        <v>20190303162339767</v>
      </c>
      <c r="B4060" t="str">
        <f>"1551601419758914"</f>
        <v>1551601419758914</v>
      </c>
      <c r="C4060" t="s">
        <v>40</v>
      </c>
      <c r="D4060">
        <v>5.6704189999999999</v>
      </c>
      <c r="E4060">
        <v>0.57160169999999999</v>
      </c>
      <c r="F4060" t="s">
        <v>41</v>
      </c>
      <c r="G4060">
        <v>-231.73320000000001</v>
      </c>
      <c r="H4060" s="1">
        <v>-4.2741710000000003E-6</v>
      </c>
      <c r="I4060">
        <v>142.93100000000001</v>
      </c>
      <c r="J4060">
        <v>-205.09780000000001</v>
      </c>
      <c r="K4060">
        <v>1.1022240000000001</v>
      </c>
      <c r="L4060">
        <v>142.30179999999999</v>
      </c>
      <c r="M4060">
        <v>-0.8890865</v>
      </c>
      <c r="N4060">
        <v>-1.379765E-2</v>
      </c>
      <c r="O4060">
        <v>-0.45753159999999998</v>
      </c>
      <c r="P4060">
        <v>-0.97699709999999995</v>
      </c>
      <c r="Q4060">
        <v>0.14574889999999999</v>
      </c>
      <c r="R4060">
        <v>-0.1556746</v>
      </c>
      <c r="S4060">
        <v>-3.1036380000000001</v>
      </c>
      <c r="T4060">
        <v>-0.12713940000000001</v>
      </c>
      <c r="U4060">
        <v>5.7281489999999997E-2</v>
      </c>
      <c r="V4060">
        <v>0.3151349</v>
      </c>
      <c r="W4060">
        <v>0.14535609999999999</v>
      </c>
      <c r="X4060">
        <v>0.9378495</v>
      </c>
      <c r="Y4060">
        <v>0.47323490000000001</v>
      </c>
      <c r="Z4060">
        <v>2.466896E-2</v>
      </c>
      <c r="AA4060">
        <v>0.88059089999999995</v>
      </c>
      <c r="AB4060">
        <v>34</v>
      </c>
      <c r="AC4060">
        <v>-26.635400000000001</v>
      </c>
      <c r="AD4060">
        <v>-1.1022282741710001</v>
      </c>
      <c r="AE4060">
        <v>0.62920000000002496</v>
      </c>
      <c r="AF4060">
        <v>12.7253818718644</v>
      </c>
      <c r="AG4060">
        <v>-1.1022282741710001</v>
      </c>
      <c r="AH4060">
        <v>23.3555451979358</v>
      </c>
      <c r="AI4060">
        <v>92.373056355680703</v>
      </c>
      <c r="AJ4060">
        <v>61.416028683154998</v>
      </c>
      <c r="AK4060">
        <v>26.620137911851199</v>
      </c>
      <c r="AL4060">
        <v>81.642099670855103</v>
      </c>
      <c r="AM4060">
        <v>71.426692584465499</v>
      </c>
      <c r="AN4060">
        <v>1.00000004282773</v>
      </c>
    </row>
    <row r="4061" spans="1:40" x14ac:dyDescent="0.25">
      <c r="A4061" t="str">
        <f>"20190303162339791"</f>
        <v>20190303162339791</v>
      </c>
      <c r="B4061" t="str">
        <f>"1551601419778434"</f>
        <v>1551601419778434</v>
      </c>
      <c r="C4061" t="s">
        <v>40</v>
      </c>
      <c r="D4061">
        <v>5.6320839999999999</v>
      </c>
      <c r="E4061">
        <v>0.57028570000000001</v>
      </c>
      <c r="F4061" t="s">
        <v>41</v>
      </c>
      <c r="G4061">
        <v>-232.6772</v>
      </c>
      <c r="H4061" s="1">
        <v>-3.9748880000000004E-6</v>
      </c>
      <c r="I4061">
        <v>143.05459999999999</v>
      </c>
      <c r="J4061">
        <v>-205.40100000000001</v>
      </c>
      <c r="K4061">
        <v>1.102174</v>
      </c>
      <c r="L4061">
        <v>142.161</v>
      </c>
      <c r="M4061">
        <v>-0.89768789999999998</v>
      </c>
      <c r="N4061">
        <v>-1.3810350000000001E-2</v>
      </c>
      <c r="O4061">
        <v>-0.44041540000000001</v>
      </c>
      <c r="P4061">
        <v>-0.97889519999999997</v>
      </c>
      <c r="Q4061">
        <v>0.1465524</v>
      </c>
      <c r="R4061">
        <v>-0.1424318</v>
      </c>
      <c r="S4061">
        <v>-3.1026310000000001</v>
      </c>
      <c r="T4061">
        <v>-0.1239989</v>
      </c>
      <c r="U4061">
        <v>8.4701540000000006E-2</v>
      </c>
      <c r="V4061">
        <v>0.30985109999999999</v>
      </c>
      <c r="W4061">
        <v>0.1463921</v>
      </c>
      <c r="X4061">
        <v>0.93944749999999999</v>
      </c>
      <c r="Y4061">
        <v>0.46416869999999999</v>
      </c>
      <c r="Z4061">
        <v>2.3386810000000001E-2</v>
      </c>
      <c r="AA4061">
        <v>0.88543799999999995</v>
      </c>
      <c r="AB4061">
        <v>34</v>
      </c>
      <c r="AC4061">
        <v>-27.276199999999999</v>
      </c>
      <c r="AD4061">
        <v>-1.1021779748880001</v>
      </c>
      <c r="AE4061">
        <v>0.89359999999999196</v>
      </c>
      <c r="AF4061">
        <v>12.795384555158799</v>
      </c>
      <c r="AG4061">
        <v>-1.1021779748880001</v>
      </c>
      <c r="AH4061">
        <v>24.055021933554201</v>
      </c>
      <c r="AI4061">
        <v>92.316480328758701</v>
      </c>
      <c r="AJ4061">
        <v>61.9905260133607</v>
      </c>
      <c r="AK4061">
        <v>27.2686769467552</v>
      </c>
      <c r="AL4061">
        <v>81.582098882045401</v>
      </c>
      <c r="AM4061">
        <v>71.746272061635395</v>
      </c>
      <c r="AN4061">
        <v>0.99999997818493402</v>
      </c>
    </row>
    <row r="4062" spans="1:40" x14ac:dyDescent="0.25">
      <c r="A4062" t="str">
        <f>"20190303162339814"</f>
        <v>20190303162339814</v>
      </c>
      <c r="B4062" t="str">
        <f>"1551601419808691"</f>
        <v>1551601419808691</v>
      </c>
      <c r="C4062" t="s">
        <v>40</v>
      </c>
      <c r="D4062">
        <v>5.7445870000000001</v>
      </c>
      <c r="E4062">
        <v>0.56752860000000005</v>
      </c>
      <c r="F4062" t="s">
        <v>41</v>
      </c>
      <c r="G4062">
        <v>-232.75280000000001</v>
      </c>
      <c r="H4062" s="1">
        <v>-3.9720180000000003E-6</v>
      </c>
      <c r="I4062">
        <v>143.18369999999999</v>
      </c>
      <c r="J4062">
        <v>-205.75229999999999</v>
      </c>
      <c r="K4062">
        <v>1.102115</v>
      </c>
      <c r="L4062">
        <v>142.00649999999999</v>
      </c>
      <c r="M4062">
        <v>-0.90715590000000002</v>
      </c>
      <c r="N4062">
        <v>-1.3823220000000001E-2</v>
      </c>
      <c r="O4062">
        <v>-0.42056779999999999</v>
      </c>
      <c r="P4062">
        <v>-0.98091079999999997</v>
      </c>
      <c r="Q4062">
        <v>0.1469529</v>
      </c>
      <c r="R4062">
        <v>-0.12735289999999999</v>
      </c>
      <c r="S4062">
        <v>-3.10025</v>
      </c>
      <c r="T4062">
        <v>-0.1249286</v>
      </c>
      <c r="U4062">
        <v>0.115921</v>
      </c>
      <c r="V4062">
        <v>0.30363869999999998</v>
      </c>
      <c r="W4062">
        <v>0.147069799999999</v>
      </c>
      <c r="X4062">
        <v>0.94136819999999999</v>
      </c>
      <c r="Y4062">
        <v>0.45359270000000002</v>
      </c>
      <c r="Z4062">
        <v>2.2885840000000001E-2</v>
      </c>
      <c r="AA4062">
        <v>0.89091520000000002</v>
      </c>
      <c r="AB4062">
        <v>34</v>
      </c>
      <c r="AC4062">
        <v>-27.000499999999999</v>
      </c>
      <c r="AD4062">
        <v>-1.102118972018</v>
      </c>
      <c r="AE4062">
        <v>1.17719999999999</v>
      </c>
      <c r="AF4062">
        <v>12.4040031059449</v>
      </c>
      <c r="AG4062">
        <v>-1.102118972018</v>
      </c>
      <c r="AH4062">
        <v>23.961014608954098</v>
      </c>
      <c r="AI4062">
        <v>92.339091335196997</v>
      </c>
      <c r="AJ4062">
        <v>62.6305555315814</v>
      </c>
      <c r="AK4062">
        <v>27.003780853267202</v>
      </c>
      <c r="AL4062">
        <v>81.5428451619687</v>
      </c>
      <c r="AM4062">
        <v>72.122872427969796</v>
      </c>
      <c r="AN4062">
        <v>1.00000003709048</v>
      </c>
    </row>
    <row r="4063" spans="1:40" x14ac:dyDescent="0.25">
      <c r="A4063" t="str">
        <f>"20190303162339835"</f>
        <v>20190303162339835</v>
      </c>
      <c r="B4063" t="str">
        <f>"1551601419830162"</f>
        <v>1551601419830162</v>
      </c>
      <c r="C4063" t="s">
        <v>40</v>
      </c>
      <c r="D4063">
        <v>5.7683339999999896</v>
      </c>
      <c r="E4063">
        <v>0.56569179999999997</v>
      </c>
      <c r="F4063" t="s">
        <v>41</v>
      </c>
      <c r="G4063">
        <v>-229.52289999999999</v>
      </c>
      <c r="H4063" s="1">
        <v>-1.115454E-6</v>
      </c>
      <c r="I4063">
        <v>143.10570000000001</v>
      </c>
      <c r="J4063">
        <v>-206.0479</v>
      </c>
      <c r="K4063">
        <v>1.1020840000000001</v>
      </c>
      <c r="L4063">
        <v>141.8835</v>
      </c>
      <c r="M4063">
        <v>-0.91472039999999999</v>
      </c>
      <c r="N4063">
        <v>-1.383293E-2</v>
      </c>
      <c r="O4063">
        <v>-0.40385070000000001</v>
      </c>
      <c r="P4063">
        <v>-0.98183359999999997</v>
      </c>
      <c r="Q4063">
        <v>0.149641</v>
      </c>
      <c r="R4063">
        <v>-0.1166643</v>
      </c>
      <c r="S4063">
        <v>-3.0985109999999998</v>
      </c>
      <c r="T4063">
        <v>-0.1436617</v>
      </c>
      <c r="U4063">
        <v>0.14327999999999999</v>
      </c>
      <c r="V4063">
        <v>0.29656130000000003</v>
      </c>
      <c r="W4063">
        <v>0.1500774</v>
      </c>
      <c r="X4063">
        <v>0.94314799999999999</v>
      </c>
      <c r="Y4063">
        <v>0.44490459999999898</v>
      </c>
      <c r="Z4063">
        <v>2.6023029999999999E-2</v>
      </c>
      <c r="AA4063">
        <v>0.89519979999999999</v>
      </c>
      <c r="AB4063">
        <v>34</v>
      </c>
      <c r="AC4063">
        <v>-23.474999999999898</v>
      </c>
      <c r="AD4063">
        <v>-1.1020851154539999</v>
      </c>
      <c r="AE4063">
        <v>1.2222000000000099</v>
      </c>
      <c r="AF4063">
        <v>10.576132631847701</v>
      </c>
      <c r="AG4063">
        <v>-1.1020851154539999</v>
      </c>
      <c r="AH4063">
        <v>20.935463192597702</v>
      </c>
      <c r="AI4063">
        <v>92.690163161454294</v>
      </c>
      <c r="AJ4063">
        <v>63.198104791180498</v>
      </c>
      <c r="AK4063">
        <v>23.481115649320301</v>
      </c>
      <c r="AL4063">
        <v>81.368587888472504</v>
      </c>
      <c r="AM4063">
        <v>72.544885938103405</v>
      </c>
      <c r="AN4063">
        <v>0.99999999027622499</v>
      </c>
    </row>
    <row r="4064" spans="1:40" x14ac:dyDescent="0.25">
      <c r="A4064" t="str">
        <f>"20190303162339857"</f>
        <v>20190303162339857</v>
      </c>
      <c r="B4064" t="str">
        <f>"1551601419848706"</f>
        <v>1551601419848706</v>
      </c>
      <c r="C4064" t="s">
        <v>40</v>
      </c>
      <c r="D4064">
        <v>5.7551189999999997</v>
      </c>
      <c r="E4064">
        <v>0.56398389999999998</v>
      </c>
      <c r="F4064" t="s">
        <v>41</v>
      </c>
      <c r="G4064">
        <v>-229.0223</v>
      </c>
      <c r="H4064" s="1">
        <v>-1.3286789999999999E-6</v>
      </c>
      <c r="I4064">
        <v>143.1</v>
      </c>
      <c r="J4064">
        <v>-206.36600000000001</v>
      </c>
      <c r="K4064">
        <v>1.1020570000000001</v>
      </c>
      <c r="L4064">
        <v>141.75790000000001</v>
      </c>
      <c r="M4064">
        <v>-0.92245659999999896</v>
      </c>
      <c r="N4064">
        <v>-1.3842419999999999E-2</v>
      </c>
      <c r="O4064">
        <v>-0.38585239999999998</v>
      </c>
      <c r="P4064">
        <v>-0.98309170000000001</v>
      </c>
      <c r="Q4064">
        <v>0.150919</v>
      </c>
      <c r="R4064">
        <v>-0.10370269999999999</v>
      </c>
      <c r="S4064">
        <v>-3.0976560000000002</v>
      </c>
      <c r="T4064">
        <v>-0.14859530000000001</v>
      </c>
      <c r="U4064">
        <v>0.16403199999999901</v>
      </c>
      <c r="V4064">
        <v>0.29050199999999998</v>
      </c>
      <c r="W4064">
        <v>0.15162909999999999</v>
      </c>
      <c r="X4064">
        <v>0.94478419999999996</v>
      </c>
      <c r="Y4064">
        <v>0.43328810000000001</v>
      </c>
      <c r="Z4064">
        <v>2.611378E-2</v>
      </c>
      <c r="AA4064">
        <v>0.90087709999999999</v>
      </c>
      <c r="AB4064">
        <v>34</v>
      </c>
      <c r="AC4064">
        <v>-22.656300000000002</v>
      </c>
      <c r="AD4064">
        <v>-1.102058328679</v>
      </c>
      <c r="AE4064">
        <v>1.3420999999999801</v>
      </c>
      <c r="AF4064">
        <v>9.9574957458482096</v>
      </c>
      <c r="AG4064">
        <v>-1.102058328679</v>
      </c>
      <c r="AH4064">
        <v>20.3356076736309</v>
      </c>
      <c r="AI4064">
        <v>92.786491794573493</v>
      </c>
      <c r="AJ4064">
        <v>63.910943116838297</v>
      </c>
      <c r="AK4064">
        <v>22.6694330221166</v>
      </c>
      <c r="AL4064">
        <v>81.278652814811906</v>
      </c>
      <c r="AM4064">
        <v>72.9083975978198</v>
      </c>
      <c r="AN4064">
        <v>0.99999999027022402</v>
      </c>
    </row>
    <row r="4065" spans="1:40" x14ac:dyDescent="0.25">
      <c r="A4065" t="str">
        <f>"20190303162339880"</f>
        <v>20190303162339880</v>
      </c>
      <c r="B4065" t="str">
        <f>"1551601419869201"</f>
        <v>1551601419869201</v>
      </c>
      <c r="C4065" t="s">
        <v>40</v>
      </c>
      <c r="D4065">
        <v>5.7774970000000003</v>
      </c>
      <c r="E4065">
        <v>0.56311719999999998</v>
      </c>
      <c r="F4065" t="s">
        <v>41</v>
      </c>
      <c r="G4065">
        <v>-228.32990000000001</v>
      </c>
      <c r="H4065" s="1">
        <v>-1.6290669999999999E-6</v>
      </c>
      <c r="I4065">
        <v>143.11259999999999</v>
      </c>
      <c r="J4065">
        <v>-206.6952</v>
      </c>
      <c r="K4065">
        <v>1.102028</v>
      </c>
      <c r="L4065">
        <v>141.6353</v>
      </c>
      <c r="M4065">
        <v>-0.93003619999999998</v>
      </c>
      <c r="N4065">
        <v>-1.385135E-2</v>
      </c>
      <c r="O4065">
        <v>-0.36720710000000001</v>
      </c>
      <c r="P4065">
        <v>-0.98474609999999996</v>
      </c>
      <c r="Q4065">
        <v>0.14910889999999999</v>
      </c>
      <c r="R4065">
        <v>-8.9677450000000006E-2</v>
      </c>
      <c r="S4065">
        <v>-3.095596</v>
      </c>
      <c r="T4065">
        <v>-0.1553242</v>
      </c>
      <c r="U4065">
        <v>0.1909332</v>
      </c>
      <c r="V4065">
        <v>0.28497529999999999</v>
      </c>
      <c r="W4065">
        <v>0.15007219999999999</v>
      </c>
      <c r="X4065">
        <v>0.94671400000000006</v>
      </c>
      <c r="Y4065">
        <v>0.42290499999999998</v>
      </c>
      <c r="Z4065">
        <v>2.6485129999999999E-2</v>
      </c>
      <c r="AA4065">
        <v>0.90578689999999995</v>
      </c>
      <c r="AB4065">
        <v>34</v>
      </c>
      <c r="AC4065">
        <v>-21.634699999999999</v>
      </c>
      <c r="AD4065">
        <v>-1.102029629067</v>
      </c>
      <c r="AE4065">
        <v>1.4772999999999801</v>
      </c>
      <c r="AF4065">
        <v>9.2952445035318192</v>
      </c>
      <c r="AG4065">
        <v>-1.102029629067</v>
      </c>
      <c r="AH4065">
        <v>19.5300160706498</v>
      </c>
      <c r="AI4065">
        <v>92.916753217246594</v>
      </c>
      <c r="AJ4065">
        <v>64.548046850845594</v>
      </c>
      <c r="AK4065">
        <v>21.6572751611005</v>
      </c>
      <c r="AL4065">
        <v>81.368889257118596</v>
      </c>
      <c r="AM4065">
        <v>73.247406990373904</v>
      </c>
      <c r="AN4065">
        <v>0.99999999230946501</v>
      </c>
    </row>
    <row r="4066" spans="1:40" x14ac:dyDescent="0.25">
      <c r="A4066" t="str">
        <f>"20190303162339901"</f>
        <v>20190303162339901</v>
      </c>
      <c r="B4066" t="str">
        <f>"1551601419889228"</f>
        <v>1551601419889228</v>
      </c>
      <c r="C4066" t="s">
        <v>40</v>
      </c>
      <c r="D4066">
        <v>5.693924</v>
      </c>
      <c r="E4066">
        <v>0.56151549999999995</v>
      </c>
      <c r="F4066" t="s">
        <v>41</v>
      </c>
      <c r="G4066">
        <v>-228.07839999999999</v>
      </c>
      <c r="H4066" s="1">
        <v>-1.764125E-6</v>
      </c>
      <c r="I4066">
        <v>143.21459999999999</v>
      </c>
      <c r="J4066">
        <v>-207.0128</v>
      </c>
      <c r="K4066">
        <v>1.102007</v>
      </c>
      <c r="L4066">
        <v>141.5241</v>
      </c>
      <c r="M4066">
        <v>-0.93694029999999995</v>
      </c>
      <c r="N4066">
        <v>-1.3859170000000001E-2</v>
      </c>
      <c r="O4066">
        <v>-0.3492151</v>
      </c>
      <c r="P4066">
        <v>-0.98556580000000005</v>
      </c>
      <c r="Q4066">
        <v>0.14955479999999999</v>
      </c>
      <c r="R4066">
        <v>-7.9333860000000006E-2</v>
      </c>
      <c r="S4066">
        <v>-3.0913849999999998</v>
      </c>
      <c r="T4066">
        <v>-0.15932209999999999</v>
      </c>
      <c r="U4066">
        <v>0.22833249999999999</v>
      </c>
      <c r="V4066">
        <v>0.27665289999999998</v>
      </c>
      <c r="W4066">
        <v>0.15090229999999999</v>
      </c>
      <c r="X4066">
        <v>0.94904770000000005</v>
      </c>
      <c r="Y4066">
        <v>0.41639110000000001</v>
      </c>
      <c r="Z4066">
        <v>2.6433180000000001E-2</v>
      </c>
      <c r="AA4066">
        <v>0.90880130000000003</v>
      </c>
      <c r="AB4066">
        <v>34</v>
      </c>
      <c r="AC4066">
        <v>-21.0655999999999</v>
      </c>
      <c r="AD4066">
        <v>-1.102008764125</v>
      </c>
      <c r="AE4066">
        <v>1.6904999999999799</v>
      </c>
      <c r="AF4066">
        <v>8.9169336300145403</v>
      </c>
      <c r="AG4066">
        <v>-1.102008764125</v>
      </c>
      <c r="AH4066">
        <v>19.096769686247001</v>
      </c>
      <c r="AI4066">
        <v>92.993118504984196</v>
      </c>
      <c r="AJ4066">
        <v>64.970523584421301</v>
      </c>
      <c r="AK4066">
        <v>21.1048037453054</v>
      </c>
      <c r="AL4066">
        <v>81.320779650314293</v>
      </c>
      <c r="AM4066">
        <v>73.748290530970394</v>
      </c>
      <c r="AN4066">
        <v>0.99999993404949195</v>
      </c>
    </row>
    <row r="4067" spans="1:40" x14ac:dyDescent="0.25">
      <c r="A4067" t="str">
        <f>"20190303162339927"</f>
        <v>20190303162339927</v>
      </c>
      <c r="B4067" t="str">
        <f>"1551601419918509"</f>
        <v>1551601419918509</v>
      </c>
      <c r="C4067" t="s">
        <v>40</v>
      </c>
      <c r="D4067">
        <v>5.7201659999999999</v>
      </c>
      <c r="E4067">
        <v>0.55989129999999998</v>
      </c>
      <c r="F4067" t="s">
        <v>41</v>
      </c>
      <c r="G4067">
        <v>-227.48519999999999</v>
      </c>
      <c r="H4067" s="1">
        <v>-2.0068349999999999E-6</v>
      </c>
      <c r="I4067">
        <v>143.1704</v>
      </c>
      <c r="J4067">
        <v>-207.36840000000001</v>
      </c>
      <c r="K4067">
        <v>1.1019950000000001</v>
      </c>
      <c r="L4067">
        <v>141.40809999999999</v>
      </c>
      <c r="M4067">
        <v>-0.94420320000000002</v>
      </c>
      <c r="N4067">
        <v>-1.386709E-2</v>
      </c>
      <c r="O4067">
        <v>-0.32907160000000002</v>
      </c>
      <c r="P4067">
        <v>-0.98543930000000002</v>
      </c>
      <c r="Q4067">
        <v>0.15411069999999999</v>
      </c>
      <c r="R4067">
        <v>-7.1829180000000006E-2</v>
      </c>
      <c r="S4067">
        <v>-3.089172</v>
      </c>
      <c r="T4067">
        <v>-0.16628789999999999</v>
      </c>
      <c r="U4067">
        <v>0.24842829999999999</v>
      </c>
      <c r="V4067">
        <v>0.26348739999999998</v>
      </c>
      <c r="W4067">
        <v>0.15606610000000001</v>
      </c>
      <c r="X4067">
        <v>0.95195469999999904</v>
      </c>
      <c r="Y4067">
        <v>0.40276020000000001</v>
      </c>
      <c r="Z4067">
        <v>2.6488359999999999E-2</v>
      </c>
      <c r="AA4067">
        <v>0.91492220000000002</v>
      </c>
      <c r="AB4067">
        <v>34</v>
      </c>
      <c r="AC4067">
        <v>-20.116799999999898</v>
      </c>
      <c r="AD4067">
        <v>-1.101997006835</v>
      </c>
      <c r="AE4067">
        <v>1.76230000000001</v>
      </c>
      <c r="AF4067">
        <v>8.2600347724913199</v>
      </c>
      <c r="AG4067">
        <v>-1.101997006835</v>
      </c>
      <c r="AH4067">
        <v>18.361513574364501</v>
      </c>
      <c r="AI4067">
        <v>93.132869684301099</v>
      </c>
      <c r="AJ4067">
        <v>65.779122163124796</v>
      </c>
      <c r="AK4067">
        <v>20.164021240501899</v>
      </c>
      <c r="AL4067">
        <v>81.021368164906093</v>
      </c>
      <c r="AM4067">
        <v>74.528675278604595</v>
      </c>
      <c r="AN4067">
        <v>0.99999999419002905</v>
      </c>
    </row>
    <row r="4068" spans="1:40" x14ac:dyDescent="0.25">
      <c r="A4068" t="str">
        <f>"20190303162339959"</f>
        <v>20190303162339959</v>
      </c>
      <c r="B4068" t="str">
        <f>"1551601419948765"</f>
        <v>1551601419948765</v>
      </c>
      <c r="C4068" t="s">
        <v>40</v>
      </c>
      <c r="D4068">
        <v>5.7432910000000001</v>
      </c>
      <c r="E4068">
        <v>0.55844519999999997</v>
      </c>
      <c r="F4068" t="s">
        <v>41</v>
      </c>
      <c r="G4068">
        <v>-229.108</v>
      </c>
      <c r="H4068" s="1">
        <v>-1.3319159999999999E-6</v>
      </c>
      <c r="I4068">
        <v>143.25040000000001</v>
      </c>
      <c r="J4068">
        <v>-207.84100000000001</v>
      </c>
      <c r="K4068">
        <v>1.1019939999999999</v>
      </c>
      <c r="L4068">
        <v>141.26650000000001</v>
      </c>
      <c r="M4068">
        <v>-0.95311539999999995</v>
      </c>
      <c r="N4068">
        <v>-1.3876400000000001E-2</v>
      </c>
      <c r="O4068">
        <v>-0.30228860000000002</v>
      </c>
      <c r="P4068">
        <v>-0.98554929999999996</v>
      </c>
      <c r="Q4068">
        <v>0.15975239999999999</v>
      </c>
      <c r="R4068">
        <v>-5.6318220000000002E-2</v>
      </c>
      <c r="S4068">
        <v>-3.0878909999999999</v>
      </c>
      <c r="T4068">
        <v>-0.156527799999999</v>
      </c>
      <c r="U4068">
        <v>0.26168819999999998</v>
      </c>
      <c r="V4068">
        <v>0.25153769999999998</v>
      </c>
      <c r="W4068">
        <v>0.1622556</v>
      </c>
      <c r="X4068">
        <v>0.95414980000000005</v>
      </c>
      <c r="Y4068">
        <v>0.38091530000000001</v>
      </c>
      <c r="Z4068">
        <v>2.3210660000000001E-2</v>
      </c>
      <c r="AA4068">
        <v>0.92431859999999999</v>
      </c>
      <c r="AB4068">
        <v>34</v>
      </c>
      <c r="AC4068">
        <v>-21.266999999999999</v>
      </c>
      <c r="AD4068">
        <v>-1.1019953319159901</v>
      </c>
      <c r="AE4068">
        <v>1.9839</v>
      </c>
      <c r="AF4068">
        <v>8.2983697075235607</v>
      </c>
      <c r="AG4068">
        <v>-1.1019953319159901</v>
      </c>
      <c r="AH4068">
        <v>19.6198645330029</v>
      </c>
      <c r="AI4068">
        <v>92.961298758308999</v>
      </c>
      <c r="AJ4068">
        <v>67.073701318808403</v>
      </c>
      <c r="AK4068">
        <v>21.331113843578201</v>
      </c>
      <c r="AL4068">
        <v>80.662156064481394</v>
      </c>
      <c r="AM4068">
        <v>75.2314125508004</v>
      </c>
      <c r="AN4068">
        <v>0.99999996754634402</v>
      </c>
    </row>
    <row r="4069" spans="1:40" x14ac:dyDescent="0.25">
      <c r="A4069" t="str">
        <f>"20190303162339979"</f>
        <v>20190303162339979</v>
      </c>
      <c r="B4069" t="str">
        <f>"1551601419969261"</f>
        <v>1551601419969261</v>
      </c>
      <c r="C4069" t="s">
        <v>40</v>
      </c>
      <c r="D4069">
        <v>5.7559399999999998</v>
      </c>
      <c r="E4069">
        <v>0.55745239999999996</v>
      </c>
      <c r="F4069" t="s">
        <v>41</v>
      </c>
      <c r="G4069">
        <v>-231.8552</v>
      </c>
      <c r="H4069" s="1">
        <v>-4.3529299999999998E-6</v>
      </c>
      <c r="I4069">
        <v>143.60900000000001</v>
      </c>
      <c r="J4069">
        <v>-208.15520000000001</v>
      </c>
      <c r="K4069">
        <v>1.101982</v>
      </c>
      <c r="L4069">
        <v>141.18020000000001</v>
      </c>
      <c r="M4069">
        <v>-0.95858529999999997</v>
      </c>
      <c r="N4069">
        <v>-1.3882E-2</v>
      </c>
      <c r="O4069">
        <v>-0.28446700000000003</v>
      </c>
      <c r="P4069">
        <v>-0.98588719999999996</v>
      </c>
      <c r="Q4069">
        <v>0.16056389999999901</v>
      </c>
      <c r="R4069">
        <v>-4.7388329999999999E-2</v>
      </c>
      <c r="S4069">
        <v>-3.0841059999999998</v>
      </c>
      <c r="T4069">
        <v>-0.14152779999999901</v>
      </c>
      <c r="U4069">
        <v>0.30084229999999901</v>
      </c>
      <c r="V4069">
        <v>0.242372</v>
      </c>
      <c r="W4069">
        <v>0.1634929</v>
      </c>
      <c r="X4069">
        <v>0.95630850000000001</v>
      </c>
      <c r="Y4069">
        <v>0.3755733</v>
      </c>
      <c r="Z4069">
        <v>2.016536E-2</v>
      </c>
      <c r="AA4069">
        <v>0.92657330000000004</v>
      </c>
      <c r="AB4069">
        <v>34</v>
      </c>
      <c r="AC4069">
        <v>-23.6999999999999</v>
      </c>
      <c r="AD4069">
        <v>-1.10198635293</v>
      </c>
      <c r="AE4069">
        <v>2.4287999999999901</v>
      </c>
      <c r="AF4069">
        <v>9.0515879800169596</v>
      </c>
      <c r="AG4069">
        <v>-1.10198635293</v>
      </c>
      <c r="AH4069">
        <v>21.982648817384199</v>
      </c>
      <c r="AI4069">
        <v>92.653989890893598</v>
      </c>
      <c r="AJ4069">
        <v>67.620067623983203</v>
      </c>
      <c r="AK4069">
        <v>23.798791311965299</v>
      </c>
      <c r="AL4069">
        <v>80.590305146016107</v>
      </c>
      <c r="AM4069">
        <v>75.778112425054204</v>
      </c>
      <c r="AN4069">
        <v>1.0000000309533199</v>
      </c>
    </row>
    <row r="4070" spans="1:40" x14ac:dyDescent="0.25">
      <c r="A4070" t="str">
        <f>"20190303162340002"</f>
        <v>20190303162340002</v>
      </c>
      <c r="B4070" t="str">
        <f>"1551601419988781"</f>
        <v>1551601419988781</v>
      </c>
      <c r="C4070" t="s">
        <v>40</v>
      </c>
      <c r="D4070">
        <v>5.748653</v>
      </c>
      <c r="E4070">
        <v>0.55693249999999905</v>
      </c>
      <c r="F4070" t="s">
        <v>41</v>
      </c>
      <c r="G4070">
        <v>-231.85650000000001</v>
      </c>
      <c r="H4070" s="1">
        <v>-4.3589300000000003E-6</v>
      </c>
      <c r="I4070">
        <v>143.64529999999999</v>
      </c>
      <c r="J4070">
        <v>-208.49930000000001</v>
      </c>
      <c r="K4070">
        <v>1.1019730000000001</v>
      </c>
      <c r="L4070">
        <v>141.0926</v>
      </c>
      <c r="M4070">
        <v>-0.96416380000000002</v>
      </c>
      <c r="N4070">
        <v>-1.388762E-2</v>
      </c>
      <c r="O4070">
        <v>-0.26494390000000001</v>
      </c>
      <c r="P4070">
        <v>-0.98628819999999995</v>
      </c>
      <c r="Q4070">
        <v>0.1602141</v>
      </c>
      <c r="R4070">
        <v>-3.9582409999999998E-2</v>
      </c>
      <c r="S4070">
        <v>-3.0816650000000001</v>
      </c>
      <c r="T4070">
        <v>-0.14328150000000001</v>
      </c>
      <c r="U4070">
        <v>0.32052609999999998</v>
      </c>
      <c r="V4070">
        <v>0.23049449999999999</v>
      </c>
      <c r="W4070">
        <v>0.1636975</v>
      </c>
      <c r="X4070">
        <v>0.95920559999999999</v>
      </c>
      <c r="Y4070">
        <v>0.36266209999999999</v>
      </c>
      <c r="Z4070">
        <v>1.9451E-2</v>
      </c>
      <c r="AA4070">
        <v>0.93171769999999998</v>
      </c>
      <c r="AB4070">
        <v>34</v>
      </c>
      <c r="AC4070">
        <v>-23.357199999999999</v>
      </c>
      <c r="AD4070">
        <v>-1.1019773589299999</v>
      </c>
      <c r="AE4070">
        <v>2.5526999999999802</v>
      </c>
      <c r="AF4070">
        <v>8.6314171323424596</v>
      </c>
      <c r="AG4070">
        <v>-1.1019773589299999</v>
      </c>
      <c r="AH4070">
        <v>21.798004246384298</v>
      </c>
      <c r="AI4070">
        <v>92.691106871541805</v>
      </c>
      <c r="AJ4070">
        <v>68.397780657395899</v>
      </c>
      <c r="AK4070">
        <v>23.470592343131798</v>
      </c>
      <c r="AL4070">
        <v>80.578421898242595</v>
      </c>
      <c r="AM4070">
        <v>76.488162388145099</v>
      </c>
      <c r="AN4070">
        <v>0.99999998455392902</v>
      </c>
    </row>
    <row r="4071" spans="1:40" x14ac:dyDescent="0.25">
      <c r="A4071" t="str">
        <f>"20190303162340025"</f>
        <v>20190303162340025</v>
      </c>
      <c r="B4071" t="str">
        <f>"1551601420019037"</f>
        <v>1551601420019037</v>
      </c>
      <c r="C4071" t="s">
        <v>40</v>
      </c>
      <c r="D4071">
        <v>5.9749369999999997</v>
      </c>
      <c r="E4071">
        <v>0.541431</v>
      </c>
      <c r="F4071" t="s">
        <v>41</v>
      </c>
      <c r="G4071">
        <v>-231.798</v>
      </c>
      <c r="H4071" s="1">
        <v>-4.3858200000000001E-6</v>
      </c>
      <c r="I4071">
        <v>143.68459999999999</v>
      </c>
      <c r="J4071">
        <v>-208.84829999999999</v>
      </c>
      <c r="K4071">
        <v>1.1019730000000001</v>
      </c>
      <c r="L4071">
        <v>141.0119</v>
      </c>
      <c r="M4071">
        <v>-0.969387</v>
      </c>
      <c r="N4071">
        <v>-1.3892730000000001E-2</v>
      </c>
      <c r="O4071">
        <v>-0.2451448</v>
      </c>
      <c r="P4071">
        <v>-0.9863459</v>
      </c>
      <c r="Q4071">
        <v>0.16194040000000001</v>
      </c>
      <c r="R4071">
        <v>-2.995892E-2</v>
      </c>
      <c r="S4071">
        <v>-3.0791170000000001</v>
      </c>
      <c r="T4071">
        <v>-0.14563570000000001</v>
      </c>
      <c r="U4071">
        <v>0.34255980000000003</v>
      </c>
      <c r="V4071">
        <v>0.22019330000000001</v>
      </c>
      <c r="W4071">
        <v>0.16589999999999999</v>
      </c>
      <c r="X4071">
        <v>0.96124509999999996</v>
      </c>
      <c r="Y4071">
        <v>0.35022639999999999</v>
      </c>
      <c r="Z4071">
        <v>1.8788429999999998E-2</v>
      </c>
      <c r="AA4071">
        <v>0.93647659999999999</v>
      </c>
      <c r="AB4071">
        <v>34</v>
      </c>
      <c r="AC4071">
        <v>-22.9497</v>
      </c>
      <c r="AD4071">
        <v>-1.1019773858199999</v>
      </c>
      <c r="AE4071">
        <v>2.6726999999999901</v>
      </c>
      <c r="AF4071">
        <v>8.1990217390125402</v>
      </c>
      <c r="AG4071">
        <v>-1.1019773858199999</v>
      </c>
      <c r="AH4071">
        <v>21.5450145442524</v>
      </c>
      <c r="AI4071">
        <v>92.736839402871894</v>
      </c>
      <c r="AJ4071">
        <v>69.165523228287796</v>
      </c>
      <c r="AK4071">
        <v>23.078690676632998</v>
      </c>
      <c r="AL4071">
        <v>80.450478921213104</v>
      </c>
      <c r="AM4071">
        <v>77.097803555002997</v>
      </c>
      <c r="AN4071">
        <v>1.0000000208194499</v>
      </c>
    </row>
    <row r="4072" spans="1:40" x14ac:dyDescent="0.25">
      <c r="A4072" t="str">
        <f>"20190303162340059"</f>
        <v>20190303162340059</v>
      </c>
      <c r="B4072" t="str">
        <f>"1551601420049292"</f>
        <v>1551601420049292</v>
      </c>
      <c r="C4072" t="s">
        <v>40</v>
      </c>
      <c r="D4072">
        <v>5.7750199999999996</v>
      </c>
      <c r="E4072">
        <v>0.539551</v>
      </c>
      <c r="F4072" t="s">
        <v>41</v>
      </c>
      <c r="G4072">
        <v>-224.8184</v>
      </c>
      <c r="H4072" s="1">
        <v>-2.9250649999999998E-6</v>
      </c>
      <c r="I4072">
        <v>142.32169999999999</v>
      </c>
      <c r="J4072">
        <v>-209.35149999999999</v>
      </c>
      <c r="K4072">
        <v>1.1019779999999999</v>
      </c>
      <c r="L4072">
        <v>140.9085</v>
      </c>
      <c r="M4072">
        <v>-0.97616610000000004</v>
      </c>
      <c r="N4072">
        <v>-1.3899419999999999E-2</v>
      </c>
      <c r="O4072">
        <v>-0.21657940000000001</v>
      </c>
      <c r="P4072">
        <v>-0.98585080000000003</v>
      </c>
      <c r="Q4072">
        <v>0.1670412</v>
      </c>
      <c r="R4072">
        <v>-1.399182E-2</v>
      </c>
      <c r="S4072">
        <v>-3.0841669999999999</v>
      </c>
      <c r="T4072">
        <v>-0.21281549999999999</v>
      </c>
      <c r="U4072">
        <v>0.25296020000000002</v>
      </c>
      <c r="V4072">
        <v>0.2075332</v>
      </c>
      <c r="W4072">
        <v>0.17158280000000001</v>
      </c>
      <c r="X4072">
        <v>0.96306250000000004</v>
      </c>
      <c r="Y4072">
        <v>0.29451909999999998</v>
      </c>
      <c r="Z4072">
        <v>2.4016920000000001E-2</v>
      </c>
      <c r="AA4072">
        <v>0.95534379999999997</v>
      </c>
      <c r="AB4072">
        <v>34</v>
      </c>
      <c r="AC4072">
        <v>-15.466900000000001</v>
      </c>
      <c r="AD4072">
        <v>-1.1019809250649999</v>
      </c>
      <c r="AE4072">
        <v>1.41319999999998</v>
      </c>
      <c r="AF4072">
        <v>4.7060951044167298</v>
      </c>
      <c r="AG4072">
        <v>-1.1019809250649999</v>
      </c>
      <c r="AH4072">
        <v>14.7195207976389</v>
      </c>
      <c r="AI4072">
        <v>94.078819282754395</v>
      </c>
      <c r="AJ4072">
        <v>72.269988432101499</v>
      </c>
      <c r="AK4072">
        <v>15.492772043864401</v>
      </c>
      <c r="AL4072">
        <v>80.120141172653604</v>
      </c>
      <c r="AM4072">
        <v>77.839125319409007</v>
      </c>
      <c r="AN4072">
        <v>1.0000000326321601</v>
      </c>
    </row>
    <row r="4073" spans="1:40" x14ac:dyDescent="0.25">
      <c r="A4073" t="str">
        <f>"20190303162340103"</f>
        <v>20190303162340103</v>
      </c>
      <c r="B4073" t="str">
        <f>"1551601420099069"</f>
        <v>1551601420099069</v>
      </c>
      <c r="C4073" t="s">
        <v>40</v>
      </c>
      <c r="D4073">
        <v>6.0293789999999996</v>
      </c>
      <c r="E4073">
        <v>0.51199899999999998</v>
      </c>
      <c r="F4073" t="s">
        <v>41</v>
      </c>
      <c r="G4073">
        <v>-225.54589999999999</v>
      </c>
      <c r="H4073" s="1">
        <v>-2.639435E-6</v>
      </c>
      <c r="I4073">
        <v>142.4213</v>
      </c>
      <c r="J4073">
        <v>-210.02760000000001</v>
      </c>
      <c r="K4073">
        <v>1.1019749999999999</v>
      </c>
      <c r="L4073">
        <v>140.7929</v>
      </c>
      <c r="M4073">
        <v>-0.98390109999999997</v>
      </c>
      <c r="N4073">
        <v>-1.390686E-2</v>
      </c>
      <c r="O4073">
        <v>-0.17817160000000001</v>
      </c>
      <c r="P4073">
        <v>-0.98580420000000002</v>
      </c>
      <c r="Q4073">
        <v>0.16769990000000001</v>
      </c>
      <c r="R4073">
        <v>-8.1755500000000002E-3</v>
      </c>
      <c r="S4073">
        <v>-3.0826720000000001</v>
      </c>
      <c r="T4073">
        <v>-0.20976639999999999</v>
      </c>
      <c r="U4073">
        <v>0.28797909999999999</v>
      </c>
      <c r="V4073">
        <v>0.17533979999999999</v>
      </c>
      <c r="W4073">
        <v>0.17372969999999999</v>
      </c>
      <c r="X4073">
        <v>0.96905830000000004</v>
      </c>
      <c r="Y4073">
        <v>0.26794220000000002</v>
      </c>
      <c r="Z4073">
        <v>2.054096E-2</v>
      </c>
      <c r="AA4073">
        <v>0.96321599999999996</v>
      </c>
      <c r="AB4073">
        <v>34</v>
      </c>
      <c r="AC4073">
        <v>-15.518299999999901</v>
      </c>
      <c r="AD4073">
        <v>-1.1019776394349901</v>
      </c>
      <c r="AE4073">
        <v>1.6283999999999901</v>
      </c>
      <c r="AF4073">
        <v>4.3458516303080401</v>
      </c>
      <c r="AG4073">
        <v>-1.1019776394349901</v>
      </c>
      <c r="AH4073">
        <v>14.905443169662901</v>
      </c>
      <c r="AI4073">
        <v>94.0598161283569</v>
      </c>
      <c r="AJ4073">
        <v>73.745354806070907</v>
      </c>
      <c r="AK4073">
        <v>15.565121817528899</v>
      </c>
      <c r="AL4073">
        <v>79.995257240754896</v>
      </c>
      <c r="AM4073">
        <v>79.743959150235199</v>
      </c>
      <c r="AN4073">
        <v>1.0000000214625</v>
      </c>
    </row>
    <row r="4074" spans="1:40" x14ac:dyDescent="0.25">
      <c r="A4074" t="str">
        <f>"20190303162340130"</f>
        <v>20190303162340130</v>
      </c>
      <c r="B4074" t="str">
        <f>"1551601420118589"</f>
        <v>1551601420118589</v>
      </c>
      <c r="C4074" t="s">
        <v>40</v>
      </c>
      <c r="D4074">
        <v>6.0251570000000001</v>
      </c>
      <c r="E4074">
        <v>0.5106965</v>
      </c>
      <c r="F4074" t="s">
        <v>41</v>
      </c>
      <c r="G4074">
        <v>-230.2276</v>
      </c>
      <c r="H4074" s="1">
        <v>-4.5067000000000004E-6</v>
      </c>
      <c r="I4074">
        <v>141.35339999999999</v>
      </c>
      <c r="J4074">
        <v>-210.4376</v>
      </c>
      <c r="K4074">
        <v>1.101999</v>
      </c>
      <c r="L4074">
        <v>140.73679999999999</v>
      </c>
      <c r="M4074">
        <v>-0.98783699999999997</v>
      </c>
      <c r="N4074">
        <v>-1.391011E-2</v>
      </c>
      <c r="O4074">
        <v>-0.15487000000000001</v>
      </c>
      <c r="P4074">
        <v>-0.98536469999999998</v>
      </c>
      <c r="Q4074">
        <v>0.17045450000000001</v>
      </c>
      <c r="R4074">
        <v>1.4345969999999999E-3</v>
      </c>
      <c r="S4074">
        <v>-3.0724179999999999</v>
      </c>
      <c r="T4074">
        <v>-0.1676108</v>
      </c>
      <c r="U4074">
        <v>8.5250850000000003E-2</v>
      </c>
      <c r="V4074">
        <v>0.16189619999999999</v>
      </c>
      <c r="W4074">
        <v>0.1770979</v>
      </c>
      <c r="X4074">
        <v>0.97078620000000004</v>
      </c>
      <c r="Y4074">
        <v>0.1817617</v>
      </c>
      <c r="Z4074">
        <v>1.2480410000000001E-2</v>
      </c>
      <c r="AA4074">
        <v>0.98326340000000001</v>
      </c>
      <c r="AB4074">
        <v>34</v>
      </c>
      <c r="AC4074">
        <v>-19.7899999999999</v>
      </c>
      <c r="AD4074">
        <v>-1.1020035067</v>
      </c>
      <c r="AE4074">
        <v>0.61660000000000503</v>
      </c>
      <c r="AF4074">
        <v>3.66298563115632</v>
      </c>
      <c r="AG4074">
        <v>-1.1020035067</v>
      </c>
      <c r="AH4074">
        <v>19.395598674337901</v>
      </c>
      <c r="AI4074">
        <v>93.195521674006201</v>
      </c>
      <c r="AJ4074">
        <v>79.305278951625795</v>
      </c>
      <c r="AK4074">
        <v>19.769196326578701</v>
      </c>
      <c r="AL4074">
        <v>79.799233339745598</v>
      </c>
      <c r="AM4074">
        <v>80.5320215380425</v>
      </c>
      <c r="AN4074">
        <v>0.99999994593464303</v>
      </c>
    </row>
    <row r="4075" spans="1:40" x14ac:dyDescent="0.25">
      <c r="A4075" t="str">
        <f>"20190303162340150"</f>
        <v>20190303162340150</v>
      </c>
      <c r="B4075" t="str">
        <f>"1551601420139084"</f>
        <v>1551601420139084</v>
      </c>
      <c r="C4075" t="s">
        <v>40</v>
      </c>
      <c r="D4075">
        <v>6.0825019999999999</v>
      </c>
      <c r="E4075">
        <v>0.50963429999999998</v>
      </c>
      <c r="F4075" t="s">
        <v>41</v>
      </c>
      <c r="G4075">
        <v>-232.48759999999999</v>
      </c>
      <c r="H4075" s="1">
        <v>-3.7064300000000002E-6</v>
      </c>
      <c r="I4075">
        <v>141.50040000000001</v>
      </c>
      <c r="J4075">
        <v>-210.74760000000001</v>
      </c>
      <c r="K4075">
        <v>1.102014</v>
      </c>
      <c r="L4075">
        <v>140.70050000000001</v>
      </c>
      <c r="M4075">
        <v>-0.99043859999999995</v>
      </c>
      <c r="N4075">
        <v>-1.391178E-2</v>
      </c>
      <c r="O4075">
        <v>-0.13725209999999999</v>
      </c>
      <c r="P4075">
        <v>-0.98474130000000004</v>
      </c>
      <c r="Q4075">
        <v>0.1738141</v>
      </c>
      <c r="R4075">
        <v>8.5702079999999993E-3</v>
      </c>
      <c r="S4075">
        <v>-3.0709529999999998</v>
      </c>
      <c r="T4075">
        <v>-0.1534787</v>
      </c>
      <c r="U4075">
        <v>0.1063538</v>
      </c>
      <c r="V4075">
        <v>0.1516777</v>
      </c>
      <c r="W4075">
        <v>0.1809209</v>
      </c>
      <c r="X4075">
        <v>0.97173120000000002</v>
      </c>
      <c r="Y4075">
        <v>0.1711057</v>
      </c>
      <c r="Z4075">
        <v>1.0392810000000001E-2</v>
      </c>
      <c r="AA4075">
        <v>0.98519780000000001</v>
      </c>
      <c r="AB4075">
        <v>34</v>
      </c>
      <c r="AC4075">
        <v>-21.739999999999899</v>
      </c>
      <c r="AD4075">
        <v>-1.1020177064299901</v>
      </c>
      <c r="AE4075">
        <v>0.79990000000000705</v>
      </c>
      <c r="AF4075">
        <v>3.76681144551132</v>
      </c>
      <c r="AG4075">
        <v>-1.1020177064299901</v>
      </c>
      <c r="AH4075">
        <v>21.369581247400198</v>
      </c>
      <c r="AI4075">
        <v>92.9073540929014</v>
      </c>
      <c r="AJ4075">
        <v>80.003178408890605</v>
      </c>
      <c r="AK4075">
        <v>21.726995056393701</v>
      </c>
      <c r="AL4075">
        <v>79.576595902963206</v>
      </c>
      <c r="AM4075">
        <v>81.128279727122504</v>
      </c>
      <c r="AN4075">
        <v>1.0000000108937599</v>
      </c>
    </row>
    <row r="4076" spans="1:40" x14ac:dyDescent="0.25">
      <c r="A4076" t="str">
        <f>"20190303162340215"</f>
        <v>20190303162340215</v>
      </c>
      <c r="B4076" t="str">
        <f>"1551601420198622"</f>
        <v>1551601420198622</v>
      </c>
      <c r="C4076" t="s">
        <v>40</v>
      </c>
      <c r="D4076">
        <v>5.4997769999999999</v>
      </c>
      <c r="E4076">
        <v>0.50811689999999998</v>
      </c>
      <c r="F4076" t="s">
        <v>41</v>
      </c>
      <c r="G4076">
        <v>-234.20050000000001</v>
      </c>
      <c r="H4076" s="1">
        <v>-3.0024689999999998E-6</v>
      </c>
      <c r="I4076">
        <v>141.6165</v>
      </c>
      <c r="J4076">
        <v>-211.74260000000001</v>
      </c>
      <c r="K4076">
        <v>1.102007</v>
      </c>
      <c r="L4076">
        <v>140.6215</v>
      </c>
      <c r="M4076">
        <v>-0.99663650000000004</v>
      </c>
      <c r="N4076">
        <v>-1.390248E-2</v>
      </c>
      <c r="O4076">
        <v>-8.0761869999999999E-2</v>
      </c>
      <c r="P4076">
        <v>-0.98515459999999999</v>
      </c>
      <c r="Q4076">
        <v>0.1704426</v>
      </c>
      <c r="R4076">
        <v>2.0481650000000001E-2</v>
      </c>
      <c r="S4076">
        <v>-3.0708920000000002</v>
      </c>
      <c r="T4076">
        <v>-0.14429649999999999</v>
      </c>
      <c r="U4076">
        <v>0.1199341</v>
      </c>
      <c r="V4076">
        <v>0.1078904</v>
      </c>
      <c r="W4076">
        <v>0.1795349</v>
      </c>
      <c r="X4076">
        <v>0.97781739999999995</v>
      </c>
      <c r="Y4076">
        <v>0.11939139999999999</v>
      </c>
      <c r="Z4076">
        <v>6.3005379999999996E-3</v>
      </c>
      <c r="AA4076">
        <v>0.99282729999999997</v>
      </c>
      <c r="AB4076">
        <v>34</v>
      </c>
      <c r="AC4076">
        <v>-22.457899999999899</v>
      </c>
      <c r="AD4076">
        <v>-1.102010002469</v>
      </c>
      <c r="AE4076">
        <v>0.99500000000000399</v>
      </c>
      <c r="AF4076">
        <v>2.79894009167747</v>
      </c>
      <c r="AG4076">
        <v>-1.102010002469</v>
      </c>
      <c r="AH4076">
        <v>22.2506877884944</v>
      </c>
      <c r="AI4076">
        <v>92.813237629288196</v>
      </c>
      <c r="AJ4076">
        <v>82.830354594302804</v>
      </c>
      <c r="AK4076">
        <v>22.453097753837699</v>
      </c>
      <c r="AL4076">
        <v>79.6573297037923</v>
      </c>
      <c r="AM4076">
        <v>83.703568709862196</v>
      </c>
      <c r="AN4076">
        <v>0.99999999323646405</v>
      </c>
    </row>
    <row r="4077" spans="1:40" x14ac:dyDescent="0.25">
      <c r="A4077" t="str">
        <f>"20190303162340238"</f>
        <v>20190303162340238</v>
      </c>
      <c r="B4077" t="str">
        <f>"1551601420228878"</f>
        <v>1551601420228878</v>
      </c>
      <c r="C4077" t="s">
        <v>40</v>
      </c>
      <c r="D4077">
        <v>5.858034</v>
      </c>
      <c r="E4077">
        <v>0.50752609999999998</v>
      </c>
      <c r="F4077" t="s">
        <v>41</v>
      </c>
      <c r="G4077">
        <v>-233.04169999999999</v>
      </c>
      <c r="H4077" s="1">
        <v>-3.5019010000000001E-6</v>
      </c>
      <c r="I4077">
        <v>141.625</v>
      </c>
      <c r="J4077">
        <v>-212.1062</v>
      </c>
      <c r="K4077">
        <v>1.1020380000000001</v>
      </c>
      <c r="L4077">
        <v>140.60659999999999</v>
      </c>
      <c r="M4077">
        <v>-0.99809000000000003</v>
      </c>
      <c r="N4077">
        <v>-1.388878E-2</v>
      </c>
      <c r="O4077">
        <v>-6.019592E-2</v>
      </c>
      <c r="P4077">
        <v>-0.98468880000000003</v>
      </c>
      <c r="Q4077">
        <v>0.17231340000000001</v>
      </c>
      <c r="R4077">
        <v>2.6388829999999999E-2</v>
      </c>
      <c r="S4077">
        <v>-3.0696720000000002</v>
      </c>
      <c r="T4077">
        <v>-0.15882489999999999</v>
      </c>
      <c r="U4077">
        <v>0.14463809999999999</v>
      </c>
      <c r="V4077">
        <v>9.3609339999999999E-2</v>
      </c>
      <c r="W4077">
        <v>0.18203510000000001</v>
      </c>
      <c r="X4077">
        <v>0.97882610000000003</v>
      </c>
      <c r="Y4077">
        <v>0.10689170000000001</v>
      </c>
      <c r="Z4077">
        <v>5.7804120000000004E-3</v>
      </c>
      <c r="AA4077">
        <v>0.99425390000000002</v>
      </c>
      <c r="AB4077">
        <v>34</v>
      </c>
      <c r="AC4077">
        <v>-20.935499999999902</v>
      </c>
      <c r="AD4077">
        <v>-1.1020415019009999</v>
      </c>
      <c r="AE4077">
        <v>1.01840000000001</v>
      </c>
      <c r="AF4077">
        <v>2.2706290927547199</v>
      </c>
      <c r="AG4077">
        <v>-1.1020415019009999</v>
      </c>
      <c r="AH4077">
        <v>20.778777309796499</v>
      </c>
      <c r="AI4077">
        <v>93.018012311348002</v>
      </c>
      <c r="AJ4077">
        <v>83.763670711986805</v>
      </c>
      <c r="AK4077">
        <v>20.931503492078399</v>
      </c>
      <c r="AL4077">
        <v>79.511678989108404</v>
      </c>
      <c r="AM4077">
        <v>84.5371725193435</v>
      </c>
      <c r="AN4077">
        <v>1.0000000101042199</v>
      </c>
    </row>
    <row r="4078" spans="1:40" x14ac:dyDescent="0.25">
      <c r="A4078" t="str">
        <f>"20190303162340260"</f>
        <v>20190303162340260</v>
      </c>
      <c r="B4078" t="str">
        <f>"1551601420248398"</f>
        <v>1551601420248398</v>
      </c>
      <c r="C4078" t="s">
        <v>40</v>
      </c>
      <c r="D4078">
        <v>5.8547440000000002</v>
      </c>
      <c r="E4078">
        <v>0.50733490000000003</v>
      </c>
      <c r="F4078" t="s">
        <v>41</v>
      </c>
      <c r="G4078">
        <v>-232.9308</v>
      </c>
      <c r="H4078" s="1">
        <v>-3.56699E-6</v>
      </c>
      <c r="I4078">
        <v>141.691</v>
      </c>
      <c r="J4078">
        <v>-212.43520000000001</v>
      </c>
      <c r="K4078">
        <v>1.102077</v>
      </c>
      <c r="L4078">
        <v>140.59960000000001</v>
      </c>
      <c r="M4078">
        <v>-0.99903620000000004</v>
      </c>
      <c r="N4078">
        <v>-1.3869360000000001E-2</v>
      </c>
      <c r="O4078">
        <v>-4.1648350000000001E-2</v>
      </c>
      <c r="P4078">
        <v>-0.98426089999999999</v>
      </c>
      <c r="Q4078">
        <v>0.174890299999999</v>
      </c>
      <c r="R4078">
        <v>2.5375310000000002E-2</v>
      </c>
      <c r="S4078">
        <v>-3.0708160000000002</v>
      </c>
      <c r="T4078">
        <v>-0.16250780000000001</v>
      </c>
      <c r="U4078">
        <v>0.1599121</v>
      </c>
      <c r="V4078">
        <v>7.4451859999999995E-2</v>
      </c>
      <c r="W4078">
        <v>0.1854478</v>
      </c>
      <c r="X4078">
        <v>0.97982959999999997</v>
      </c>
      <c r="Y4078">
        <v>9.3358930000000007E-2</v>
      </c>
      <c r="Z4078">
        <v>4.7395170000000004E-3</v>
      </c>
      <c r="AA4078">
        <v>0.99562130000000004</v>
      </c>
      <c r="AB4078">
        <v>34</v>
      </c>
      <c r="AC4078">
        <v>-20.4956</v>
      </c>
      <c r="AD4078">
        <v>-1.10208056699</v>
      </c>
      <c r="AE4078">
        <v>1.0913999999999899</v>
      </c>
      <c r="AF4078">
        <v>1.93855351218412</v>
      </c>
      <c r="AG4078">
        <v>-1.10208056699</v>
      </c>
      <c r="AH4078">
        <v>20.373612489518301</v>
      </c>
      <c r="AI4078">
        <v>93.082418161582098</v>
      </c>
      <c r="AJ4078">
        <v>84.564658186193697</v>
      </c>
      <c r="AK4078">
        <v>20.4952837786842</v>
      </c>
      <c r="AL4078">
        <v>79.312758833403095</v>
      </c>
      <c r="AM4078">
        <v>85.654758761198195</v>
      </c>
      <c r="AN4078">
        <v>1.00000000550922</v>
      </c>
    </row>
    <row r="4079" spans="1:40" x14ac:dyDescent="0.25">
      <c r="A4079" t="str">
        <f>"20190303162340305"</f>
        <v>20190303162340305</v>
      </c>
      <c r="B4079" t="str">
        <f>"1551601420288413"</f>
        <v>1551601420288413</v>
      </c>
      <c r="C4079" t="s">
        <v>40</v>
      </c>
      <c r="D4079">
        <v>5.8753169999999999</v>
      </c>
      <c r="E4079">
        <v>0.50672240000000002</v>
      </c>
      <c r="F4079" t="s">
        <v>41</v>
      </c>
      <c r="G4079">
        <v>-233.4718</v>
      </c>
      <c r="H4079" s="1">
        <v>-3.3220920000000001E-6</v>
      </c>
      <c r="I4079">
        <v>141.64279999999999</v>
      </c>
      <c r="J4079">
        <v>-213.14429999999999</v>
      </c>
      <c r="K4079">
        <v>1.1022350000000001</v>
      </c>
      <c r="L4079">
        <v>140.6053</v>
      </c>
      <c r="M4079">
        <v>-0.99990270000000003</v>
      </c>
      <c r="N4079">
        <v>-1.3795989999999999E-2</v>
      </c>
      <c r="O4079">
        <v>-2.0436719999999998E-3</v>
      </c>
      <c r="P4079">
        <v>-0.98460329999999996</v>
      </c>
      <c r="Q4079">
        <v>0.172547799999999</v>
      </c>
      <c r="R4079">
        <v>2.7993190000000001E-2</v>
      </c>
      <c r="S4079">
        <v>-3.072632</v>
      </c>
      <c r="T4079">
        <v>-0.16097139999999999</v>
      </c>
      <c r="U4079">
        <v>0.15238950000000001</v>
      </c>
      <c r="V4079">
        <v>3.7975330000000002E-2</v>
      </c>
      <c r="W4079">
        <v>0.18465309999999999</v>
      </c>
      <c r="X4079">
        <v>0.98206979999999999</v>
      </c>
      <c r="Y4079">
        <v>5.1485570000000001E-2</v>
      </c>
      <c r="Z4079">
        <v>1.7813359999999999E-3</v>
      </c>
      <c r="AA4079">
        <v>0.99867209999999995</v>
      </c>
      <c r="AB4079">
        <v>34</v>
      </c>
      <c r="AC4079">
        <v>-20.327500000000001</v>
      </c>
      <c r="AD4079">
        <v>-1.102238322092</v>
      </c>
      <c r="AE4079">
        <v>1.0374999999999901</v>
      </c>
      <c r="AF4079">
        <v>1.07588937537068</v>
      </c>
      <c r="AG4079">
        <v>-1.102238322092</v>
      </c>
      <c r="AH4079">
        <v>20.265905185491199</v>
      </c>
      <c r="AI4079">
        <v>93.108812274387702</v>
      </c>
      <c r="AJ4079">
        <v>86.9610977098707</v>
      </c>
      <c r="AK4079">
        <v>20.324354362538699</v>
      </c>
      <c r="AL4079">
        <v>79.359091870253906</v>
      </c>
      <c r="AM4079">
        <v>87.7855518751728</v>
      </c>
      <c r="AN4079">
        <v>0.99999999255012895</v>
      </c>
    </row>
    <row r="4080" spans="1:40" x14ac:dyDescent="0.25">
      <c r="A4080" t="str">
        <f>"20190303162340438"</f>
        <v>20190303162340438</v>
      </c>
      <c r="B4080" t="str">
        <f>"1551601420428957"</f>
        <v>1551601420428957</v>
      </c>
      <c r="C4080" t="s">
        <v>40</v>
      </c>
      <c r="D4080">
        <v>5.8270150000000003</v>
      </c>
      <c r="E4080">
        <v>0.50792119999999996</v>
      </c>
      <c r="F4080" t="s">
        <v>41</v>
      </c>
      <c r="G4080">
        <v>-232.70150000000001</v>
      </c>
      <c r="H4080" s="1">
        <v>-3.6768550000000001E-6</v>
      </c>
      <c r="I4080">
        <v>141.73419999999999</v>
      </c>
      <c r="J4080">
        <v>-215.1919</v>
      </c>
      <c r="K4080">
        <v>1.103539</v>
      </c>
      <c r="L4080">
        <v>140.77379999999999</v>
      </c>
      <c r="M4080">
        <v>-0.99424369999999995</v>
      </c>
      <c r="N4080">
        <v>-1.3285180000000001E-2</v>
      </c>
      <c r="O4080">
        <v>0.1063147</v>
      </c>
      <c r="P4080">
        <v>-0.98333470000000001</v>
      </c>
      <c r="Q4080">
        <v>0.1765786</v>
      </c>
      <c r="R4080">
        <v>4.3277799999999998E-2</v>
      </c>
      <c r="S4080">
        <v>-3.0749659999999999</v>
      </c>
      <c r="T4080">
        <v>-0.18628510000000001</v>
      </c>
      <c r="U4080">
        <v>0.17596439999999999</v>
      </c>
      <c r="V4080">
        <v>-5.392864E-2</v>
      </c>
      <c r="W4080">
        <v>0.1919109</v>
      </c>
      <c r="X4080">
        <v>0.97992959999999996</v>
      </c>
      <c r="Y4080">
        <v>-4.9115989999999998E-2</v>
      </c>
      <c r="Z4080">
        <v>-6.8141979999999996E-3</v>
      </c>
      <c r="AA4080">
        <v>0.99876980000000004</v>
      </c>
      <c r="AB4080">
        <v>34</v>
      </c>
      <c r="AC4080">
        <v>-17.509599999999999</v>
      </c>
      <c r="AD4080">
        <v>-1.1035426768549901</v>
      </c>
      <c r="AE4080">
        <v>0.96039999999999204</v>
      </c>
      <c r="AF4080">
        <v>-0.90315958629020099</v>
      </c>
      <c r="AG4080">
        <v>-1.1035426768549901</v>
      </c>
      <c r="AH4080">
        <v>17.443381053800699</v>
      </c>
      <c r="AI4080">
        <v>93.6151214153533</v>
      </c>
      <c r="AJ4080">
        <v>92.9639360011072</v>
      </c>
      <c r="AK4080">
        <v>17.501572679791899</v>
      </c>
      <c r="AL4080">
        <v>78.935677446291706</v>
      </c>
      <c r="AM4080">
        <v>93.149991316349102</v>
      </c>
      <c r="AN4080">
        <v>1.0000000563536</v>
      </c>
    </row>
    <row r="4081" spans="1:40" x14ac:dyDescent="0.25">
      <c r="A4081" t="str">
        <f>"20190303162340484"</f>
        <v>20190303162340484</v>
      </c>
      <c r="B4081" t="str">
        <f>"1551601420478734"</f>
        <v>1551601420478734</v>
      </c>
      <c r="C4081" t="s">
        <v>40</v>
      </c>
      <c r="D4081">
        <v>5.7908689999999998</v>
      </c>
      <c r="E4081">
        <v>0.50885230000000004</v>
      </c>
      <c r="F4081" t="s">
        <v>41</v>
      </c>
      <c r="G4081">
        <v>-233.63659999999999</v>
      </c>
      <c r="H4081" s="1">
        <v>-3.371269E-6</v>
      </c>
      <c r="I4081">
        <v>142.0934</v>
      </c>
      <c r="J4081">
        <v>-215.8828</v>
      </c>
      <c r="K4081">
        <v>1.104822</v>
      </c>
      <c r="L4081">
        <v>140.87649999999999</v>
      </c>
      <c r="M4081">
        <v>-0.99036769999999996</v>
      </c>
      <c r="N4081">
        <v>-1.2943059999999999E-2</v>
      </c>
      <c r="O4081">
        <v>0.1378567</v>
      </c>
      <c r="P4081">
        <v>-0.98404860000000005</v>
      </c>
      <c r="Q4081">
        <v>0.17053760000000001</v>
      </c>
      <c r="R4081">
        <v>5.0651050000000003E-2</v>
      </c>
      <c r="S4081">
        <v>-3.0742029999999998</v>
      </c>
      <c r="T4081">
        <v>-0.18392839999999999</v>
      </c>
      <c r="U4081">
        <v>0.2199402</v>
      </c>
      <c r="V4081">
        <v>-7.8735360000000004E-2</v>
      </c>
      <c r="W4081">
        <v>0.1862364</v>
      </c>
      <c r="X4081">
        <v>0.97934509999999997</v>
      </c>
      <c r="Y4081">
        <v>-6.6544149999999996E-2</v>
      </c>
      <c r="Z4081">
        <v>-8.8308969999999903E-3</v>
      </c>
      <c r="AA4081">
        <v>0.99774439999999998</v>
      </c>
      <c r="AB4081">
        <v>34</v>
      </c>
      <c r="AC4081">
        <v>-17.753799999999899</v>
      </c>
      <c r="AD4081">
        <v>-1.1048253712689999</v>
      </c>
      <c r="AE4081">
        <v>1.2169000000000001</v>
      </c>
      <c r="AF4081">
        <v>-1.2376353123514801</v>
      </c>
      <c r="AG4081">
        <v>-1.1048253712689999</v>
      </c>
      <c r="AH4081">
        <v>17.683870712608201</v>
      </c>
      <c r="AI4081">
        <v>93.566289189944499</v>
      </c>
      <c r="AJ4081">
        <v>94.003413196634199</v>
      </c>
      <c r="AK4081">
        <v>17.7615219969354</v>
      </c>
      <c r="AL4081">
        <v>79.266774679278697</v>
      </c>
      <c r="AM4081">
        <v>94.596461399704395</v>
      </c>
      <c r="AN4081">
        <v>1.0000000392466399</v>
      </c>
    </row>
    <row r="4082" spans="1:40" x14ac:dyDescent="0.25">
      <c r="A4082" t="str">
        <f>"20190303162340507"</f>
        <v>20190303162340507</v>
      </c>
      <c r="B4082" t="str">
        <f>"1551601420499229"</f>
        <v>1551601420499229</v>
      </c>
      <c r="C4082" t="s">
        <v>40</v>
      </c>
      <c r="D4082">
        <v>5.8359839999999998</v>
      </c>
      <c r="E4082">
        <v>0.50857359999999996</v>
      </c>
      <c r="F4082" t="s">
        <v>41</v>
      </c>
      <c r="G4082">
        <v>-232.55860000000001</v>
      </c>
      <c r="H4082" s="1">
        <v>-3.8670700000000002E-6</v>
      </c>
      <c r="I4082">
        <v>142.21940000000001</v>
      </c>
      <c r="J4082">
        <v>-216.2236</v>
      </c>
      <c r="K4082">
        <v>1.105747</v>
      </c>
      <c r="L4082">
        <v>140.9342</v>
      </c>
      <c r="M4082">
        <v>-0.98836869999999999</v>
      </c>
      <c r="N4082">
        <v>-1.27403E-2</v>
      </c>
      <c r="O4082">
        <v>0.1515425</v>
      </c>
      <c r="P4082">
        <v>-0.98403300000000005</v>
      </c>
      <c r="Q4082">
        <v>0.16931109999999999</v>
      </c>
      <c r="R4082">
        <v>5.4892440000000001E-2</v>
      </c>
      <c r="S4082">
        <v>-3.071167</v>
      </c>
      <c r="T4082">
        <v>-0.2034744</v>
      </c>
      <c r="U4082">
        <v>0.24732970000000001</v>
      </c>
      <c r="V4082">
        <v>-8.8576279999999993E-2</v>
      </c>
      <c r="W4082">
        <v>0.18494740000000001</v>
      </c>
      <c r="X4082">
        <v>0.97874859999999997</v>
      </c>
      <c r="Y4082">
        <v>-7.1322720000000006E-2</v>
      </c>
      <c r="Z4082">
        <v>-1.084617E-2</v>
      </c>
      <c r="AA4082">
        <v>0.99739429999999996</v>
      </c>
      <c r="AB4082">
        <v>34</v>
      </c>
      <c r="AC4082">
        <v>-16.335000000000001</v>
      </c>
      <c r="AD4082">
        <v>-1.10575086707</v>
      </c>
      <c r="AE4082">
        <v>1.2851999999999999</v>
      </c>
      <c r="AF4082">
        <v>-1.19982896620964</v>
      </c>
      <c r="AG4082">
        <v>-1.10575086707</v>
      </c>
      <c r="AH4082">
        <v>16.2670098088484</v>
      </c>
      <c r="AI4082">
        <v>93.878198964799793</v>
      </c>
      <c r="AJ4082">
        <v>94.218407515100793</v>
      </c>
      <c r="AK4082">
        <v>16.348635498088299</v>
      </c>
      <c r="AL4082">
        <v>79.341934928280295</v>
      </c>
      <c r="AM4082">
        <v>95.171153801924603</v>
      </c>
      <c r="AN4082">
        <v>1.00000006007367</v>
      </c>
    </row>
    <row r="4083" spans="1:40" x14ac:dyDescent="0.25">
      <c r="A4083" t="str">
        <f>"20190303162340529"</f>
        <v>20190303162340529</v>
      </c>
      <c r="B4083" t="str">
        <f>"1551601420518749"</f>
        <v>1551601420518749</v>
      </c>
      <c r="C4083" t="s">
        <v>40</v>
      </c>
      <c r="D4083">
        <v>5.8424889999999996</v>
      </c>
      <c r="E4083">
        <v>0.50793659999999996</v>
      </c>
      <c r="F4083" t="s">
        <v>41</v>
      </c>
      <c r="G4083">
        <v>-232.5814</v>
      </c>
      <c r="H4083" s="1">
        <v>-3.8751460000000004E-6</v>
      </c>
      <c r="I4083">
        <v>142.30860000000001</v>
      </c>
      <c r="J4083">
        <v>-216.5675</v>
      </c>
      <c r="K4083">
        <v>1.106765</v>
      </c>
      <c r="L4083">
        <v>140.99619999999999</v>
      </c>
      <c r="M4083">
        <v>-0.98636380000000001</v>
      </c>
      <c r="N4083">
        <v>-1.254098E-2</v>
      </c>
      <c r="O4083">
        <v>0.16410139999999901</v>
      </c>
      <c r="P4083">
        <v>-0.98278379999999999</v>
      </c>
      <c r="Q4083">
        <v>0.1748257</v>
      </c>
      <c r="R4083">
        <v>5.9767130000000002E-2</v>
      </c>
      <c r="S4083">
        <v>-3.0699920000000001</v>
      </c>
      <c r="T4083">
        <v>-0.20752570000000001</v>
      </c>
      <c r="U4083">
        <v>0.2579651</v>
      </c>
      <c r="V4083">
        <v>-9.6314410000000003E-2</v>
      </c>
      <c r="W4083">
        <v>0.19026100000000001</v>
      </c>
      <c r="X4083">
        <v>0.97699760000000002</v>
      </c>
      <c r="Y4083">
        <v>-8.0481780000000003E-2</v>
      </c>
      <c r="Z4083">
        <v>-1.2159619999999999E-2</v>
      </c>
      <c r="AA4083">
        <v>0.99668190000000001</v>
      </c>
      <c r="AB4083">
        <v>34</v>
      </c>
      <c r="AC4083">
        <v>-16.0139</v>
      </c>
      <c r="AD4083">
        <v>-1.1067688751459901</v>
      </c>
      <c r="AE4083">
        <v>1.31240000000002</v>
      </c>
      <c r="AF4083">
        <v>-1.3272071118333699</v>
      </c>
      <c r="AG4083">
        <v>-1.1067688751459901</v>
      </c>
      <c r="AH4083">
        <v>15.9365416556287</v>
      </c>
      <c r="AI4083">
        <v>93.959065179094196</v>
      </c>
      <c r="AJ4083">
        <v>94.760649546710098</v>
      </c>
      <c r="AK4083">
        <v>16.029964940768899</v>
      </c>
      <c r="AL4083">
        <v>79.031983885961097</v>
      </c>
      <c r="AM4083">
        <v>95.630142783125393</v>
      </c>
      <c r="AN4083">
        <v>1.0000000120501999</v>
      </c>
    </row>
    <row r="4084" spans="1:40" x14ac:dyDescent="0.25">
      <c r="A4084" t="str">
        <f>"20190303162340552"</f>
        <v>20190303162340552</v>
      </c>
      <c r="B4084" t="str">
        <f>"1551601420539248"</f>
        <v>1551601420539248</v>
      </c>
      <c r="C4084" t="s">
        <v>40</v>
      </c>
      <c r="D4084">
        <v>6.0300890000000003</v>
      </c>
      <c r="E4084">
        <v>0.50745429999999903</v>
      </c>
      <c r="F4084" t="s">
        <v>41</v>
      </c>
      <c r="G4084">
        <v>-233.99160000000001</v>
      </c>
      <c r="H4084" s="1">
        <v>-3.3175649999999999E-6</v>
      </c>
      <c r="I4084">
        <v>142.46379999999999</v>
      </c>
      <c r="J4084">
        <v>-216.9211</v>
      </c>
      <c r="K4084">
        <v>1.1078859999999999</v>
      </c>
      <c r="L4084">
        <v>141.0633</v>
      </c>
      <c r="M4084">
        <v>-0.98439650000000001</v>
      </c>
      <c r="N4084">
        <v>-1.235264E-2</v>
      </c>
      <c r="O4084">
        <v>0.17553079999999999</v>
      </c>
      <c r="P4084">
        <v>-0.98264240000000003</v>
      </c>
      <c r="Q4084">
        <v>0.1746645</v>
      </c>
      <c r="R4084">
        <v>6.2504580000000004E-2</v>
      </c>
      <c r="S4084">
        <v>-3.0715029999999999</v>
      </c>
      <c r="T4084">
        <v>-0.1951002</v>
      </c>
      <c r="U4084">
        <v>0.25872800000000001</v>
      </c>
      <c r="V4084">
        <v>-0.1054673</v>
      </c>
      <c r="W4084">
        <v>0.18989449999999999</v>
      </c>
      <c r="X4084">
        <v>0.97612330000000003</v>
      </c>
      <c r="Y4084">
        <v>-9.1847520000000002E-2</v>
      </c>
      <c r="Z4084">
        <v>-1.235752E-2</v>
      </c>
      <c r="AA4084">
        <v>0.99569640000000004</v>
      </c>
      <c r="AB4084">
        <v>34</v>
      </c>
      <c r="AC4084">
        <v>-17.070499999999999</v>
      </c>
      <c r="AD4084">
        <v>-1.107889317565</v>
      </c>
      <c r="AE4084">
        <v>1.4004999999999901</v>
      </c>
      <c r="AF4084">
        <v>-1.6111336572224999</v>
      </c>
      <c r="AG4084">
        <v>-1.107889317565</v>
      </c>
      <c r="AH4084">
        <v>16.9802268020482</v>
      </c>
      <c r="AI4084">
        <v>93.716376341555801</v>
      </c>
      <c r="AJ4084">
        <v>95.420164756995106</v>
      </c>
      <c r="AK4084">
        <v>17.092433198652699</v>
      </c>
      <c r="AL4084">
        <v>79.053372424510599</v>
      </c>
      <c r="AM4084">
        <v>96.166720422040001</v>
      </c>
      <c r="AN4084">
        <v>0.99999998465121398</v>
      </c>
    </row>
    <row r="4085" spans="1:40" x14ac:dyDescent="0.25">
      <c r="A4085" t="str">
        <f>"20190303162340594"</f>
        <v>20190303162340594</v>
      </c>
      <c r="B4085" t="str">
        <f>"1551601420589022"</f>
        <v>1551601420589022</v>
      </c>
      <c r="C4085" t="s">
        <v>40</v>
      </c>
      <c r="D4085">
        <v>6.0039610000000003</v>
      </c>
      <c r="E4085">
        <v>0.50666140000000004</v>
      </c>
      <c r="F4085" t="s">
        <v>41</v>
      </c>
      <c r="G4085">
        <v>-234.22569999999999</v>
      </c>
      <c r="H4085" s="1">
        <v>-3.2297979999999999E-6</v>
      </c>
      <c r="I4085">
        <v>142.51150000000001</v>
      </c>
      <c r="J4085">
        <v>-217.5643</v>
      </c>
      <c r="K4085">
        <v>1.11019</v>
      </c>
      <c r="L4085">
        <v>141.1925</v>
      </c>
      <c r="M4085">
        <v>-0.98136659999999998</v>
      </c>
      <c r="N4085">
        <v>-1.2033780000000001E-2</v>
      </c>
      <c r="O4085">
        <v>0.19176750000000001</v>
      </c>
      <c r="P4085">
        <v>-0.98510209999999998</v>
      </c>
      <c r="Q4085">
        <v>0.16046640000000001</v>
      </c>
      <c r="R4085">
        <v>6.1843849999999999E-2</v>
      </c>
      <c r="S4085">
        <v>-3.0715940000000002</v>
      </c>
      <c r="T4085">
        <v>-0.1966512</v>
      </c>
      <c r="U4085">
        <v>0.25706479999999998</v>
      </c>
      <c r="V4085">
        <v>-0.1241298</v>
      </c>
      <c r="W4085">
        <v>0.17520920000000001</v>
      </c>
      <c r="X4085">
        <v>0.97667470000000001</v>
      </c>
      <c r="Y4085">
        <v>-0.1087482</v>
      </c>
      <c r="Z4085">
        <v>-1.397232E-2</v>
      </c>
      <c r="AA4085">
        <v>0.9939711</v>
      </c>
      <c r="AB4085">
        <v>34</v>
      </c>
      <c r="AC4085">
        <v>-16.661399999999901</v>
      </c>
      <c r="AD4085">
        <v>-1.1101932297979999</v>
      </c>
      <c r="AE4085">
        <v>1.3190000000000099</v>
      </c>
      <c r="AF4085">
        <v>-1.8924800154392301</v>
      </c>
      <c r="AG4085">
        <v>-1.1101932297979999</v>
      </c>
      <c r="AH4085">
        <v>16.5321411677639</v>
      </c>
      <c r="AI4085">
        <v>93.816998017739294</v>
      </c>
      <c r="AJ4085">
        <v>96.530380927365599</v>
      </c>
      <c r="AK4085">
        <v>16.6771011032254</v>
      </c>
      <c r="AL4085">
        <v>79.909167216380098</v>
      </c>
      <c r="AM4085">
        <v>97.243134948276307</v>
      </c>
      <c r="AN4085">
        <v>0.99999997031638399</v>
      </c>
    </row>
    <row r="4086" spans="1:40" x14ac:dyDescent="0.25">
      <c r="A4086" t="str">
        <f>"20190303162340618"</f>
        <v>20190303162340618</v>
      </c>
      <c r="B4086" t="str">
        <f>"1551601420608542"</f>
        <v>1551601420608542</v>
      </c>
      <c r="C4086" t="s">
        <v>40</v>
      </c>
      <c r="D4086">
        <v>5.7503320000000002</v>
      </c>
      <c r="E4086">
        <v>0.50638839999999996</v>
      </c>
      <c r="F4086" t="s">
        <v>41</v>
      </c>
      <c r="G4086">
        <v>-231.59059999999999</v>
      </c>
      <c r="H4086" s="1">
        <v>-4.216924E-6</v>
      </c>
      <c r="I4086">
        <v>142.33459999999999</v>
      </c>
      <c r="J4086">
        <v>-217.91149999999999</v>
      </c>
      <c r="K4086">
        <v>1.111599</v>
      </c>
      <c r="L4086">
        <v>141.26480000000001</v>
      </c>
      <c r="M4086">
        <v>-0.98014959999999995</v>
      </c>
      <c r="N4086">
        <v>-1.1879270000000001E-2</v>
      </c>
      <c r="O4086">
        <v>0.1979031</v>
      </c>
      <c r="P4086">
        <v>-0.98504829999999999</v>
      </c>
      <c r="Q4086">
        <v>0.15954740000000001</v>
      </c>
      <c r="R4086">
        <v>6.4997399999999997E-2</v>
      </c>
      <c r="S4086">
        <v>-3.0692599999999999</v>
      </c>
      <c r="T4086">
        <v>-0.24293429999999999</v>
      </c>
      <c r="U4086">
        <v>0.2499237</v>
      </c>
      <c r="V4086">
        <v>-0.12775810000000001</v>
      </c>
      <c r="W4086">
        <v>0.1737785</v>
      </c>
      <c r="X4086">
        <v>0.97646239999999995</v>
      </c>
      <c r="Y4086">
        <v>-0.1168585</v>
      </c>
      <c r="Z4086">
        <v>-1.8450589999999999E-2</v>
      </c>
      <c r="AA4086">
        <v>0.9929772</v>
      </c>
      <c r="AB4086">
        <v>34</v>
      </c>
      <c r="AC4086">
        <v>-13.6791</v>
      </c>
      <c r="AD4086">
        <v>-1.111603216924</v>
      </c>
      <c r="AE4086">
        <v>1.0697999999999801</v>
      </c>
      <c r="AF4086">
        <v>-1.6478734593947799</v>
      </c>
      <c r="AG4086">
        <v>-1.111603216924</v>
      </c>
      <c r="AH4086">
        <v>13.531428532812599</v>
      </c>
      <c r="AI4086">
        <v>94.661997894696498</v>
      </c>
      <c r="AJ4086">
        <v>96.943358018545396</v>
      </c>
      <c r="AK4086">
        <v>13.6766482293239</v>
      </c>
      <c r="AL4086">
        <v>79.992417386994703</v>
      </c>
      <c r="AM4086">
        <v>97.454106389239001</v>
      </c>
      <c r="AN4086">
        <v>0.99999995889580895</v>
      </c>
    </row>
    <row r="4087" spans="1:40" x14ac:dyDescent="0.25">
      <c r="A4087" t="str">
        <f>"20190303162340640"</f>
        <v>20190303162340640</v>
      </c>
      <c r="B4087" t="str">
        <f>"1551601420629037"</f>
        <v>1551601420629037</v>
      </c>
      <c r="C4087" t="s">
        <v>40</v>
      </c>
      <c r="D4087">
        <v>5.9541440000000003</v>
      </c>
      <c r="E4087">
        <v>0.50619020000000003</v>
      </c>
      <c r="F4087" t="s">
        <v>41</v>
      </c>
      <c r="G4087">
        <v>-231.77709999999999</v>
      </c>
      <c r="H4087" s="1">
        <v>-4.1684889999999999E-6</v>
      </c>
      <c r="I4087">
        <v>142.41929999999999</v>
      </c>
      <c r="J4087">
        <v>-218.2433</v>
      </c>
      <c r="K4087">
        <v>1.113019</v>
      </c>
      <c r="L4087">
        <v>141.3349</v>
      </c>
      <c r="M4087">
        <v>-0.9793056</v>
      </c>
      <c r="N4087">
        <v>-1.175296E-2</v>
      </c>
      <c r="O4087">
        <v>0.20204569999999999</v>
      </c>
      <c r="P4087">
        <v>-0.98507639999999996</v>
      </c>
      <c r="Q4087">
        <v>0.15983749999999999</v>
      </c>
      <c r="R4087">
        <v>6.3848470000000004E-2</v>
      </c>
      <c r="S4087">
        <v>-3.068527</v>
      </c>
      <c r="T4087">
        <v>-0.246004</v>
      </c>
      <c r="U4087">
        <v>0.25549319999999998</v>
      </c>
      <c r="V4087">
        <v>-0.13360069999999999</v>
      </c>
      <c r="W4087">
        <v>0.17359729999999901</v>
      </c>
      <c r="X4087">
        <v>0.97571249999999998</v>
      </c>
      <c r="Y4087">
        <v>-0.11920550000000001</v>
      </c>
      <c r="Z4087">
        <v>-1.910711E-2</v>
      </c>
      <c r="AA4087">
        <v>0.9926857</v>
      </c>
      <c r="AB4087">
        <v>34</v>
      </c>
      <c r="AC4087">
        <v>-13.5337999999999</v>
      </c>
      <c r="AD4087">
        <v>-1.113023168489</v>
      </c>
      <c r="AE4087">
        <v>1.08439999999998</v>
      </c>
      <c r="AF4087">
        <v>-1.66143719901152</v>
      </c>
      <c r="AG4087">
        <v>-1.113023168489</v>
      </c>
      <c r="AH4087">
        <v>13.383811301358501</v>
      </c>
      <c r="AI4087">
        <v>94.717839741473398</v>
      </c>
      <c r="AJ4087">
        <v>97.076372084262999</v>
      </c>
      <c r="AK4087">
        <v>13.532390738159499</v>
      </c>
      <c r="AL4087">
        <v>80.002960295771899</v>
      </c>
      <c r="AM4087">
        <v>97.796813211607898</v>
      </c>
      <c r="AN4087">
        <v>1.0000000261320099</v>
      </c>
    </row>
    <row r="4088" spans="1:40" x14ac:dyDescent="0.25">
      <c r="A4088" t="str">
        <f>"20190303162340684"</f>
        <v>20190303162340684</v>
      </c>
      <c r="B4088" t="str">
        <f>"1551601420678814"</f>
        <v>1551601420678814</v>
      </c>
      <c r="C4088" t="s">
        <v>40</v>
      </c>
      <c r="D4088">
        <v>6.0184629999999997</v>
      </c>
      <c r="E4088">
        <v>0.50559520000000002</v>
      </c>
      <c r="F4088" t="s">
        <v>41</v>
      </c>
      <c r="G4088">
        <v>-232.19329999999999</v>
      </c>
      <c r="H4088" s="1">
        <v>-4.0327509999999999E-6</v>
      </c>
      <c r="I4088">
        <v>142.45259999999999</v>
      </c>
      <c r="J4088">
        <v>-218.89850000000001</v>
      </c>
      <c r="K4088">
        <v>1.115723</v>
      </c>
      <c r="L4088">
        <v>141.47380000000001</v>
      </c>
      <c r="M4088">
        <v>-0.97855449999999999</v>
      </c>
      <c r="N4088">
        <v>-1.155961E-2</v>
      </c>
      <c r="O4088">
        <v>0.20566400000000001</v>
      </c>
      <c r="P4088">
        <v>-0.98746310000000004</v>
      </c>
      <c r="Q4088">
        <v>0.1490901</v>
      </c>
      <c r="R4088">
        <v>5.185588E-2</v>
      </c>
      <c r="S4088">
        <v>-3.0692439999999999</v>
      </c>
      <c r="T4088">
        <v>-0.24488399999999999</v>
      </c>
      <c r="U4088">
        <v>0.2459412</v>
      </c>
      <c r="V4088">
        <v>-0.15066570000000001</v>
      </c>
      <c r="W4088">
        <v>0.16195960000000001</v>
      </c>
      <c r="X4088">
        <v>0.97522759999999997</v>
      </c>
      <c r="Y4088">
        <v>-0.12593470000000001</v>
      </c>
      <c r="Z4088">
        <v>-1.9585290000000002E-2</v>
      </c>
      <c r="AA4088">
        <v>0.99184519999999998</v>
      </c>
      <c r="AB4088">
        <v>34</v>
      </c>
      <c r="AC4088">
        <v>-13.294799999999899</v>
      </c>
      <c r="AD4088">
        <v>-1.1157270327509901</v>
      </c>
      <c r="AE4088">
        <v>0.97879999999997802</v>
      </c>
      <c r="AF4088">
        <v>-1.7642129006324301</v>
      </c>
      <c r="AG4088">
        <v>-1.1157270327509901</v>
      </c>
      <c r="AH4088">
        <v>13.1199669866129</v>
      </c>
      <c r="AI4088">
        <v>94.817607121925903</v>
      </c>
      <c r="AJ4088">
        <v>97.658497788838403</v>
      </c>
      <c r="AK4088">
        <v>13.284985047044</v>
      </c>
      <c r="AL4088">
        <v>80.679342954143394</v>
      </c>
      <c r="AM4088">
        <v>98.782355482440707</v>
      </c>
      <c r="AN4088">
        <v>0.99999996849520401</v>
      </c>
    </row>
    <row r="4089" spans="1:40" x14ac:dyDescent="0.25">
      <c r="A4089" t="str">
        <f>"20190303162340706"</f>
        <v>20190303162340706</v>
      </c>
      <c r="B4089" t="str">
        <f>"1551601420699310"</f>
        <v>1551601420699310</v>
      </c>
      <c r="C4089" t="s">
        <v>40</v>
      </c>
      <c r="D4089">
        <v>6.0901529999999999</v>
      </c>
      <c r="E4089">
        <v>0.50521170000000004</v>
      </c>
      <c r="F4089" t="s">
        <v>41</v>
      </c>
      <c r="G4089">
        <v>-231.3595</v>
      </c>
      <c r="H4089" s="1">
        <v>-4.2853619999999999E-6</v>
      </c>
      <c r="I4089">
        <v>142.27709999999999</v>
      </c>
      <c r="J4089">
        <v>-219.2432</v>
      </c>
      <c r="K4089">
        <v>1.1170530000000001</v>
      </c>
      <c r="L4089">
        <v>141.5463</v>
      </c>
      <c r="M4089">
        <v>-0.97861779999999998</v>
      </c>
      <c r="N4089">
        <v>-1.147837E-2</v>
      </c>
      <c r="O4089">
        <v>0.20536689999999999</v>
      </c>
      <c r="P4089">
        <v>-0.98809590000000003</v>
      </c>
      <c r="Q4089">
        <v>0.1467936</v>
      </c>
      <c r="R4089">
        <v>4.6024519999999999E-2</v>
      </c>
      <c r="S4089">
        <v>-3.0691830000000002</v>
      </c>
      <c r="T4089">
        <v>-0.27480650000000001</v>
      </c>
      <c r="U4089">
        <v>0.197876</v>
      </c>
      <c r="V4089">
        <v>-0.1567306</v>
      </c>
      <c r="W4089">
        <v>0.1591446</v>
      </c>
      <c r="X4089">
        <v>0.97473509999999997</v>
      </c>
      <c r="Y4089">
        <v>-0.14074719999999999</v>
      </c>
      <c r="Z4089">
        <v>-2.2928339999999998E-2</v>
      </c>
      <c r="AA4089">
        <v>0.98977999999999999</v>
      </c>
      <c r="AB4089">
        <v>34</v>
      </c>
      <c r="AC4089">
        <v>-12.116299999999899</v>
      </c>
      <c r="AD4089">
        <v>-1.117057285362</v>
      </c>
      <c r="AE4089">
        <v>0.73079999999998702</v>
      </c>
      <c r="AF4089">
        <v>-1.75833837406838</v>
      </c>
      <c r="AG4089">
        <v>-1.117057285362</v>
      </c>
      <c r="AH4089">
        <v>11.9072564302763</v>
      </c>
      <c r="AI4089">
        <v>95.302245662006698</v>
      </c>
      <c r="AJ4089">
        <v>98.4001305453436</v>
      </c>
      <c r="AK4089">
        <v>12.0881068208739</v>
      </c>
      <c r="AL4089">
        <v>80.842750753659004</v>
      </c>
      <c r="AM4089">
        <v>99.134573960849906</v>
      </c>
      <c r="AN4089">
        <v>0.99999999992876498</v>
      </c>
    </row>
    <row r="4090" spans="1:40" x14ac:dyDescent="0.25">
      <c r="A4090" t="str">
        <f>"20190303162340752"</f>
        <v>20190303162340752</v>
      </c>
      <c r="B4090" t="str">
        <f>"1551601420739326"</f>
        <v>1551601420739326</v>
      </c>
      <c r="C4090" t="s">
        <v>40</v>
      </c>
      <c r="D4090">
        <v>5.9729749999999999</v>
      </c>
      <c r="E4090">
        <v>0.4939151</v>
      </c>
      <c r="F4090" t="s">
        <v>41</v>
      </c>
      <c r="G4090">
        <v>-231.53020000000001</v>
      </c>
      <c r="H4090" s="1">
        <v>-4.2228490000000003E-6</v>
      </c>
      <c r="I4090">
        <v>142.25219999999999</v>
      </c>
      <c r="J4090">
        <v>-219.92959999999999</v>
      </c>
      <c r="K4090">
        <v>1.1194</v>
      </c>
      <c r="L4090">
        <v>141.68770000000001</v>
      </c>
      <c r="M4090">
        <v>-0.97938400000000003</v>
      </c>
      <c r="N4090">
        <v>-1.1331829999999999E-2</v>
      </c>
      <c r="O4090">
        <v>0.20168929999999999</v>
      </c>
      <c r="P4090">
        <v>-0.98768979999999995</v>
      </c>
      <c r="Q4090">
        <v>0.15396170000000001</v>
      </c>
      <c r="R4090">
        <v>2.7656190000000001E-2</v>
      </c>
      <c r="S4090">
        <v>-3.0693820000000001</v>
      </c>
      <c r="T4090">
        <v>-0.27904950000000001</v>
      </c>
      <c r="U4090">
        <v>0.1763458</v>
      </c>
      <c r="V4090">
        <v>-0.17183809999999999</v>
      </c>
      <c r="W4090">
        <v>0.1652826</v>
      </c>
      <c r="X4090">
        <v>0.97116080000000005</v>
      </c>
      <c r="Y4090">
        <v>-0.1439029</v>
      </c>
      <c r="Z4090">
        <v>-2.320796E-2</v>
      </c>
      <c r="AA4090">
        <v>0.98931959999999997</v>
      </c>
      <c r="AB4090">
        <v>34</v>
      </c>
      <c r="AC4090">
        <v>-11.6006</v>
      </c>
      <c r="AD4090">
        <v>-1.119404222849</v>
      </c>
      <c r="AE4090">
        <v>0.56449999999998102</v>
      </c>
      <c r="AF4090">
        <v>-1.7705223384516799</v>
      </c>
      <c r="AG4090">
        <v>-1.119404222849</v>
      </c>
      <c r="AH4090">
        <v>11.370408639037899</v>
      </c>
      <c r="AI4090">
        <v>95.556060278748305</v>
      </c>
      <c r="AJ4090">
        <v>98.850631463124998</v>
      </c>
      <c r="AK4090">
        <v>11.5617476094142</v>
      </c>
      <c r="AL4090">
        <v>80.486348190310906</v>
      </c>
      <c r="AM4090">
        <v>100.03411268881</v>
      </c>
      <c r="AN4090">
        <v>0.99999998496550402</v>
      </c>
    </row>
    <row r="4091" spans="1:40" x14ac:dyDescent="0.25">
      <c r="A4091" t="str">
        <f>"20190303162340775"</f>
        <v>20190303162340775</v>
      </c>
      <c r="B4091" t="str">
        <f>"1551601420768606"</f>
        <v>1551601420768606</v>
      </c>
      <c r="C4091" t="s">
        <v>40</v>
      </c>
      <c r="D4091">
        <v>6.0367569999999997</v>
      </c>
      <c r="E4091">
        <v>0.49488680000000002</v>
      </c>
      <c r="F4091" t="s">
        <v>41</v>
      </c>
      <c r="G4091">
        <v>-240.1601</v>
      </c>
      <c r="H4091" s="1">
        <v>-4.6208160000000003E-6</v>
      </c>
      <c r="I4091">
        <v>141.8672</v>
      </c>
      <c r="J4091">
        <v>-220.2654</v>
      </c>
      <c r="K4091">
        <v>1.1204700000000001</v>
      </c>
      <c r="L4091">
        <v>141.75479999999999</v>
      </c>
      <c r="M4091">
        <v>-0.98001919999999998</v>
      </c>
      <c r="N4091">
        <v>-1.127189E-2</v>
      </c>
      <c r="O4091">
        <v>0.19858329999999999</v>
      </c>
      <c r="P4091">
        <v>-0.98806269999999996</v>
      </c>
      <c r="Q4091">
        <v>0.15267910000000001</v>
      </c>
      <c r="R4091">
        <v>2.0522329999999998E-2</v>
      </c>
      <c r="S4091">
        <v>-3.0630489999999999</v>
      </c>
      <c r="T4091">
        <v>-0.1694869</v>
      </c>
      <c r="U4091">
        <v>2.7175899999999999E-2</v>
      </c>
      <c r="V4091">
        <v>-0.17623839999999999</v>
      </c>
      <c r="W4091">
        <v>0.1634948</v>
      </c>
      <c r="X4091">
        <v>0.97067479999999995</v>
      </c>
      <c r="Y4091">
        <v>-0.18935550000000001</v>
      </c>
      <c r="Z4091">
        <v>-1.497595E-2</v>
      </c>
      <c r="AA4091">
        <v>0.98179439999999996</v>
      </c>
      <c r="AB4091">
        <v>34</v>
      </c>
      <c r="AC4091">
        <v>-19.8947</v>
      </c>
      <c r="AD4091">
        <v>-1.1204746208159999</v>
      </c>
      <c r="AE4091">
        <v>0.11240000000000799</v>
      </c>
      <c r="AF4091">
        <v>-3.82870085792019</v>
      </c>
      <c r="AG4091">
        <v>-1.1204746208159999</v>
      </c>
      <c r="AH4091">
        <v>19.459027237120502</v>
      </c>
      <c r="AI4091">
        <v>93.233659009602604</v>
      </c>
      <c r="AJ4091">
        <v>101.131160830309</v>
      </c>
      <c r="AK4091">
        <v>19.8637396944867</v>
      </c>
      <c r="AL4091">
        <v>80.590194935556795</v>
      </c>
      <c r="AM4091">
        <v>100.290679789796</v>
      </c>
      <c r="AN4091">
        <v>1.00000004530831</v>
      </c>
    </row>
    <row r="4092" spans="1:40" x14ac:dyDescent="0.25">
      <c r="A4092" t="str">
        <f>"20190303162340797"</f>
        <v>20190303162340797</v>
      </c>
      <c r="B4092" t="str">
        <f>"1551601420789101"</f>
        <v>1551601420789101</v>
      </c>
      <c r="C4092" t="s">
        <v>40</v>
      </c>
      <c r="D4092">
        <v>6.0234110000000003</v>
      </c>
      <c r="E4092">
        <v>0.494979</v>
      </c>
      <c r="F4092" t="s">
        <v>41</v>
      </c>
      <c r="G4092">
        <v>-239.92439999999999</v>
      </c>
      <c r="H4092" s="1">
        <v>-6.0053579999999996E-7</v>
      </c>
      <c r="I4092">
        <v>141.81790000000001</v>
      </c>
      <c r="J4092">
        <v>-220.6052</v>
      </c>
      <c r="K4092">
        <v>1.121513</v>
      </c>
      <c r="L4092">
        <v>141.82079999999999</v>
      </c>
      <c r="M4092">
        <v>-0.98080860000000003</v>
      </c>
      <c r="N4092">
        <v>-1.1226069999999999E-2</v>
      </c>
      <c r="O4092">
        <v>0.19465009999999999</v>
      </c>
      <c r="P4092">
        <v>-0.98855479999999996</v>
      </c>
      <c r="Q4092">
        <v>0.1499297</v>
      </c>
      <c r="R4092">
        <v>1.6746420000000001E-2</v>
      </c>
      <c r="S4092">
        <v>-3.0630039999999998</v>
      </c>
      <c r="T4092">
        <v>-0.1745766</v>
      </c>
      <c r="U4092">
        <v>9.8419189999999993E-3</v>
      </c>
      <c r="V4092">
        <v>-0.1765379</v>
      </c>
      <c r="W4092">
        <v>0.16026070000000001</v>
      </c>
      <c r="X4092">
        <v>0.97115960000000001</v>
      </c>
      <c r="Y4092">
        <v>-0.19093869999999999</v>
      </c>
      <c r="Z4092">
        <v>-1.5345859999999999E-2</v>
      </c>
      <c r="AA4092">
        <v>0.98148199999999997</v>
      </c>
      <c r="AB4092">
        <v>34</v>
      </c>
      <c r="AC4092">
        <v>-19.319199999999899</v>
      </c>
      <c r="AD4092">
        <v>-1.1215136005358</v>
      </c>
      <c r="AE4092">
        <v>-2.8999999999825801E-3</v>
      </c>
      <c r="AF4092">
        <v>-3.7509247041497602</v>
      </c>
      <c r="AG4092">
        <v>-1.1215136005358</v>
      </c>
      <c r="AH4092">
        <v>18.885421224149901</v>
      </c>
      <c r="AI4092">
        <v>93.333563381731494</v>
      </c>
      <c r="AJ4092">
        <v>101.233600204181</v>
      </c>
      <c r="AK4092">
        <v>19.2869480142909</v>
      </c>
      <c r="AL4092">
        <v>80.777971922317406</v>
      </c>
      <c r="AM4092">
        <v>100.302757809447</v>
      </c>
      <c r="AN4092">
        <v>1.0000000453865201</v>
      </c>
    </row>
    <row r="4093" spans="1:40" x14ac:dyDescent="0.25">
      <c r="A4093" t="str">
        <f>"20190303162340820"</f>
        <v>20190303162340820</v>
      </c>
      <c r="B4093" t="str">
        <f>"1551601420808625"</f>
        <v>1551601420808625</v>
      </c>
      <c r="C4093" t="s">
        <v>40</v>
      </c>
      <c r="D4093">
        <v>5.8153449999999998</v>
      </c>
      <c r="E4093">
        <v>0.49477490000000002</v>
      </c>
      <c r="F4093" t="s">
        <v>41</v>
      </c>
      <c r="G4093">
        <v>-239.27170000000001</v>
      </c>
      <c r="H4093" s="1">
        <v>-8.7672300000000001E-7</v>
      </c>
      <c r="I4093">
        <v>141.80350000000001</v>
      </c>
      <c r="J4093">
        <v>-220.93700000000001</v>
      </c>
      <c r="K4093">
        <v>1.1225130000000001</v>
      </c>
      <c r="L4093">
        <v>141.88310000000001</v>
      </c>
      <c r="M4093">
        <v>-0.98170550000000001</v>
      </c>
      <c r="N4093">
        <v>-1.119646E-2</v>
      </c>
      <c r="O4093">
        <v>0.19007650000000001</v>
      </c>
      <c r="P4093">
        <v>-0.98826460000000005</v>
      </c>
      <c r="Q4093">
        <v>0.15199099999999999</v>
      </c>
      <c r="R4093">
        <v>1.5231400000000001E-2</v>
      </c>
      <c r="S4093">
        <v>-3.0626829999999998</v>
      </c>
      <c r="T4093">
        <v>-0.1840116</v>
      </c>
      <c r="U4093">
        <v>-2.8381349999999999E-3</v>
      </c>
      <c r="V4093">
        <v>-0.1738266</v>
      </c>
      <c r="W4093">
        <v>0.16189229999999999</v>
      </c>
      <c r="X4093">
        <v>0.97137799999999996</v>
      </c>
      <c r="Y4093">
        <v>-0.1903675</v>
      </c>
      <c r="Z4093">
        <v>-1.6001700000000001E-2</v>
      </c>
      <c r="AA4093">
        <v>0.98158250000000002</v>
      </c>
      <c r="AB4093">
        <v>34</v>
      </c>
      <c r="AC4093">
        <v>-18.334700000000002</v>
      </c>
      <c r="AD4093">
        <v>-1.1225138767229901</v>
      </c>
      <c r="AE4093">
        <v>-7.9599999999999199E-2</v>
      </c>
      <c r="AF4093">
        <v>-3.5500560294492098</v>
      </c>
      <c r="AG4093">
        <v>-1.1225138767229901</v>
      </c>
      <c r="AH4093">
        <v>17.9181105568154</v>
      </c>
      <c r="AI4093">
        <v>93.516539103931805</v>
      </c>
      <c r="AJ4093">
        <v>101.206691107471</v>
      </c>
      <c r="AK4093">
        <v>18.300863945232798</v>
      </c>
      <c r="AL4093">
        <v>80.683250930961293</v>
      </c>
      <c r="AM4093">
        <v>100.145605197431</v>
      </c>
      <c r="AN4093">
        <v>1.0000000112754199</v>
      </c>
    </row>
    <row r="4094" spans="1:40" x14ac:dyDescent="0.25">
      <c r="A4094" t="str">
        <f>"20190303162340840"</f>
        <v>20190303162340840</v>
      </c>
      <c r="B4094" t="str">
        <f>"1551601420829118"</f>
        <v>1551601420829118</v>
      </c>
      <c r="C4094" t="s">
        <v>40</v>
      </c>
      <c r="D4094">
        <v>6.0874699999999997</v>
      </c>
      <c r="E4094">
        <v>0.49500559999999899</v>
      </c>
      <c r="F4094" t="s">
        <v>41</v>
      </c>
      <c r="G4094">
        <v>-239.952</v>
      </c>
      <c r="H4094" s="1">
        <v>-5.936239E-7</v>
      </c>
      <c r="I4094">
        <v>141.83629999999999</v>
      </c>
      <c r="J4094">
        <v>-221.25399999999999</v>
      </c>
      <c r="K4094">
        <v>1.1234379999999999</v>
      </c>
      <c r="L4094">
        <v>141.94040000000001</v>
      </c>
      <c r="M4094">
        <v>-0.98266929999999997</v>
      </c>
      <c r="N4094">
        <v>-1.118039E-2</v>
      </c>
      <c r="O4094">
        <v>0.18503030000000001</v>
      </c>
      <c r="P4094">
        <v>-0.98756239999999995</v>
      </c>
      <c r="Q4094">
        <v>0.15649399999999999</v>
      </c>
      <c r="R4094">
        <v>1.5171280000000001E-2</v>
      </c>
      <c r="S4094">
        <v>-3.0635530000000002</v>
      </c>
      <c r="T4094">
        <v>-0.18085209999999999</v>
      </c>
      <c r="U4094">
        <v>-7.5378419999999899E-3</v>
      </c>
      <c r="V4094">
        <v>-0.16913839999999999</v>
      </c>
      <c r="W4094">
        <v>0.16604579999999999</v>
      </c>
      <c r="X4094">
        <v>0.97150449999999999</v>
      </c>
      <c r="Y4094">
        <v>-0.1868639</v>
      </c>
      <c r="Z4094">
        <v>-1.5346830000000001E-2</v>
      </c>
      <c r="AA4094">
        <v>0.98226590000000003</v>
      </c>
      <c r="AB4094">
        <v>34</v>
      </c>
      <c r="AC4094">
        <v>-18.697999999999901</v>
      </c>
      <c r="AD4094">
        <v>-1.1234385936239</v>
      </c>
      <c r="AE4094">
        <v>-0.104100000000016</v>
      </c>
      <c r="AF4094">
        <v>-3.5494017971471599</v>
      </c>
      <c r="AG4094">
        <v>-1.1234385936239</v>
      </c>
      <c r="AH4094">
        <v>18.289810331521402</v>
      </c>
      <c r="AI4094">
        <v>93.450718106745597</v>
      </c>
      <c r="AJ4094">
        <v>100.982559904721</v>
      </c>
      <c r="AK4094">
        <v>18.664874212120001</v>
      </c>
      <c r="AL4094">
        <v>80.442007500682394</v>
      </c>
      <c r="AM4094">
        <v>99.876173423673805</v>
      </c>
      <c r="AN4094">
        <v>0.999999999786224</v>
      </c>
    </row>
    <row r="4095" spans="1:40" x14ac:dyDescent="0.25">
      <c r="A4095" t="str">
        <f>"20190303162340862"</f>
        <v>20190303162340862</v>
      </c>
      <c r="B4095" t="str">
        <f>"1551601420848638"</f>
        <v>1551601420848638</v>
      </c>
      <c r="C4095" t="s">
        <v>40</v>
      </c>
      <c r="D4095">
        <v>5.8492259999999998</v>
      </c>
      <c r="E4095">
        <v>0.49492419999999998</v>
      </c>
      <c r="F4095" t="s">
        <v>41</v>
      </c>
      <c r="G4095">
        <v>-241.99680000000001</v>
      </c>
      <c r="H4095" s="1">
        <v>-3.9985129999999996E-6</v>
      </c>
      <c r="I4095">
        <v>141.8826</v>
      </c>
      <c r="J4095">
        <v>-221.58029999999999</v>
      </c>
      <c r="K4095">
        <v>1.124312</v>
      </c>
      <c r="L4095">
        <v>141.99680000000001</v>
      </c>
      <c r="M4095">
        <v>-0.98375489999999999</v>
      </c>
      <c r="N4095">
        <v>-1.1174089999999999E-2</v>
      </c>
      <c r="O4095">
        <v>0.17916889999999999</v>
      </c>
      <c r="P4095">
        <v>-0.98702679999999998</v>
      </c>
      <c r="Q4095">
        <v>0.15985469999999999</v>
      </c>
      <c r="R4095">
        <v>1.499257E-2</v>
      </c>
      <c r="S4095">
        <v>-3.064209</v>
      </c>
      <c r="T4095">
        <v>-0.1659592</v>
      </c>
      <c r="U4095">
        <v>-8.5296629999999998E-3</v>
      </c>
      <c r="V4095">
        <v>-0.16378909999999999</v>
      </c>
      <c r="W4095">
        <v>0.16911080000000001</v>
      </c>
      <c r="X4095">
        <v>0.97189230000000004</v>
      </c>
      <c r="Y4095">
        <v>-0.18143429999999999</v>
      </c>
      <c r="Z4095">
        <v>-1.3573099999999999E-2</v>
      </c>
      <c r="AA4095">
        <v>0.9833094</v>
      </c>
      <c r="AB4095">
        <v>34</v>
      </c>
      <c r="AC4095">
        <v>-20.416499999999999</v>
      </c>
      <c r="AD4095">
        <v>-1.124315998513</v>
      </c>
      <c r="AE4095">
        <v>-0.11420000000001</v>
      </c>
      <c r="AF4095">
        <v>-3.7591822370302701</v>
      </c>
      <c r="AG4095">
        <v>-1.124315998513</v>
      </c>
      <c r="AH4095">
        <v>20.004957974668301</v>
      </c>
      <c r="AI4095">
        <v>93.161526727462501</v>
      </c>
      <c r="AJ4095">
        <v>100.642486978072</v>
      </c>
      <c r="AK4095">
        <v>20.386119815304799</v>
      </c>
      <c r="AL4095">
        <v>80.263876751326407</v>
      </c>
      <c r="AM4095">
        <v>99.565942315719496</v>
      </c>
      <c r="AN4095">
        <v>0.99999998737736995</v>
      </c>
    </row>
    <row r="4096" spans="1:40" x14ac:dyDescent="0.25">
      <c r="A4096" t="str">
        <f>"20190303162340886"</f>
        <v>20190303162340886</v>
      </c>
      <c r="B4096" t="str">
        <f>"1551601420878895"</f>
        <v>1551601420878895</v>
      </c>
      <c r="C4096" t="s">
        <v>40</v>
      </c>
      <c r="D4096">
        <v>6.0884229999999997</v>
      </c>
      <c r="E4096">
        <v>0.49484739999999999</v>
      </c>
      <c r="F4096" t="s">
        <v>41</v>
      </c>
      <c r="G4096">
        <v>-243.75450000000001</v>
      </c>
      <c r="H4096" s="1">
        <v>-3.2705899999999998E-6</v>
      </c>
      <c r="I4096">
        <v>141.905</v>
      </c>
      <c r="J4096">
        <v>-221.92779999999999</v>
      </c>
      <c r="K4096">
        <v>1.1251530000000001</v>
      </c>
      <c r="L4096">
        <v>142.05369999999999</v>
      </c>
      <c r="M4096">
        <v>-0.9850044</v>
      </c>
      <c r="N4096">
        <v>-1.117892E-2</v>
      </c>
      <c r="O4096">
        <v>0.17216689999999901</v>
      </c>
      <c r="P4096">
        <v>-0.98686490000000004</v>
      </c>
      <c r="Q4096">
        <v>0.16102830000000001</v>
      </c>
      <c r="R4096">
        <v>1.295372E-2</v>
      </c>
      <c r="S4096">
        <v>-3.0647739999999999</v>
      </c>
      <c r="T4096">
        <v>-0.15539539999999999</v>
      </c>
      <c r="U4096">
        <v>-1.268005E-2</v>
      </c>
      <c r="V4096">
        <v>-0.15918959999999999</v>
      </c>
      <c r="W4096">
        <v>0.1700286</v>
      </c>
      <c r="X4096">
        <v>0.97249629999999998</v>
      </c>
      <c r="Y4096">
        <v>-0.17584350000000001</v>
      </c>
      <c r="Z4096">
        <v>-1.219976E-2</v>
      </c>
      <c r="AA4096">
        <v>0.98434250000000001</v>
      </c>
      <c r="AB4096">
        <v>34</v>
      </c>
      <c r="AC4096">
        <v>-21.826699999999999</v>
      </c>
      <c r="AD4096">
        <v>-1.12515627059</v>
      </c>
      <c r="AE4096">
        <v>-0.14869999999999001</v>
      </c>
      <c r="AF4096">
        <v>-3.8942014643478702</v>
      </c>
      <c r="AG4096">
        <v>-1.12515627059</v>
      </c>
      <c r="AH4096">
        <v>21.418222209368501</v>
      </c>
      <c r="AI4096">
        <v>92.958717744129004</v>
      </c>
      <c r="AJ4096">
        <v>100.304792722459</v>
      </c>
      <c r="AK4096">
        <v>21.7984179308514</v>
      </c>
      <c r="AL4096">
        <v>80.210518604575</v>
      </c>
      <c r="AM4096">
        <v>99.296398001850605</v>
      </c>
      <c r="AN4096">
        <v>1.0000000535399001</v>
      </c>
    </row>
    <row r="4097" spans="1:40" x14ac:dyDescent="0.25">
      <c r="A4097" t="str">
        <f>"20190303162340908"</f>
        <v>20190303162340908</v>
      </c>
      <c r="B4097" t="str">
        <f>"1551601420899390"</f>
        <v>1551601420899390</v>
      </c>
      <c r="C4097" t="s">
        <v>40</v>
      </c>
      <c r="D4097">
        <v>6.1495519999999999</v>
      </c>
      <c r="E4097">
        <v>0.49459150000000002</v>
      </c>
      <c r="F4097" t="s">
        <v>41</v>
      </c>
      <c r="G4097">
        <v>-244.46539999999999</v>
      </c>
      <c r="H4097" s="1">
        <v>-2.9703810000000001E-6</v>
      </c>
      <c r="I4097">
        <v>141.923</v>
      </c>
      <c r="J4097">
        <v>-222.2697</v>
      </c>
      <c r="K4097">
        <v>1.12588</v>
      </c>
      <c r="L4097">
        <v>142.10659999999999</v>
      </c>
      <c r="M4097">
        <v>-0.98629180000000005</v>
      </c>
      <c r="N4097">
        <v>-1.119146E-2</v>
      </c>
      <c r="O4097">
        <v>0.16463079999999999</v>
      </c>
      <c r="P4097">
        <v>-0.98690860000000002</v>
      </c>
      <c r="Q4097">
        <v>0.16094449999999999</v>
      </c>
      <c r="R4097">
        <v>1.042475E-2</v>
      </c>
      <c r="S4097">
        <v>-3.0651250000000001</v>
      </c>
      <c r="T4097">
        <v>-0.1530213</v>
      </c>
      <c r="U4097">
        <v>-1.7776489999999999E-2</v>
      </c>
      <c r="V4097">
        <v>-0.1545328</v>
      </c>
      <c r="W4097">
        <v>0.1697565</v>
      </c>
      <c r="X4097">
        <v>0.97329460000000001</v>
      </c>
      <c r="Y4097">
        <v>-0.16997770000000001</v>
      </c>
      <c r="Z4097">
        <v>-1.153093E-2</v>
      </c>
      <c r="AA4097">
        <v>0.98538049999999999</v>
      </c>
      <c r="AB4097">
        <v>34</v>
      </c>
      <c r="AC4097">
        <v>-22.195699999999899</v>
      </c>
      <c r="AD4097">
        <v>-1.125882970381</v>
      </c>
      <c r="AE4097">
        <v>-0.183599999999984</v>
      </c>
      <c r="AF4097">
        <v>-3.8255763589423601</v>
      </c>
      <c r="AG4097">
        <v>-1.125882970381</v>
      </c>
      <c r="AH4097">
        <v>21.8064737824131</v>
      </c>
      <c r="AI4097">
        <v>92.911214247587793</v>
      </c>
      <c r="AJ4097">
        <v>99.950318777637193</v>
      </c>
      <c r="AK4097">
        <v>22.168106499296801</v>
      </c>
      <c r="AL4097">
        <v>80.226338408713701</v>
      </c>
      <c r="AM4097">
        <v>99.021710769967498</v>
      </c>
      <c r="AN4097">
        <v>1.0000000169786201</v>
      </c>
    </row>
    <row r="4098" spans="1:40" x14ac:dyDescent="0.25">
      <c r="A4098" t="str">
        <f>"20190303162340931"</f>
        <v>20190303162340931</v>
      </c>
      <c r="B4098" t="str">
        <f>"1551601420918909"</f>
        <v>1551601420918909</v>
      </c>
      <c r="C4098" t="s">
        <v>40</v>
      </c>
      <c r="D4098">
        <v>6.086481</v>
      </c>
      <c r="E4098">
        <v>0.49425249999999998</v>
      </c>
      <c r="F4098" t="s">
        <v>41</v>
      </c>
      <c r="G4098">
        <v>-244.42490000000001</v>
      </c>
      <c r="H4098" s="1">
        <v>-2.9853809999999999E-6</v>
      </c>
      <c r="I4098">
        <v>141.91399999999999</v>
      </c>
      <c r="J4098">
        <v>-222.6147</v>
      </c>
      <c r="K4098">
        <v>1.126517</v>
      </c>
      <c r="L4098">
        <v>142.1567</v>
      </c>
      <c r="M4098">
        <v>-0.98761589999999999</v>
      </c>
      <c r="N4098">
        <v>-1.120648E-2</v>
      </c>
      <c r="O4098">
        <v>0.1564902</v>
      </c>
      <c r="P4098">
        <v>-0.98685769999999995</v>
      </c>
      <c r="Q4098">
        <v>0.1613386</v>
      </c>
      <c r="R4098">
        <v>9.0364090000000005E-3</v>
      </c>
      <c r="S4098">
        <v>-3.0654750000000002</v>
      </c>
      <c r="T4098">
        <v>-0.155781</v>
      </c>
      <c r="U4098">
        <v>-2.6641850000000002E-2</v>
      </c>
      <c r="V4098">
        <v>-0.14811240000000001</v>
      </c>
      <c r="W4098">
        <v>0.17004179999999999</v>
      </c>
      <c r="X4098">
        <v>0.97424250000000001</v>
      </c>
      <c r="Y4098">
        <v>-0.16469690000000001</v>
      </c>
      <c r="Z4098">
        <v>-1.127155E-2</v>
      </c>
      <c r="AA4098">
        <v>0.98627980000000004</v>
      </c>
      <c r="AB4098">
        <v>34</v>
      </c>
      <c r="AC4098">
        <v>-21.810199999999998</v>
      </c>
      <c r="AD4098">
        <v>-1.126519985381</v>
      </c>
      <c r="AE4098">
        <v>-0.24270000000001299</v>
      </c>
      <c r="AF4098">
        <v>-3.6432879713747499</v>
      </c>
      <c r="AG4098">
        <v>-1.126519985381</v>
      </c>
      <c r="AH4098">
        <v>21.446263196434</v>
      </c>
      <c r="AI4098">
        <v>92.964450233193404</v>
      </c>
      <c r="AJ4098">
        <v>99.641354448295999</v>
      </c>
      <c r="AK4098">
        <v>21.782672003465201</v>
      </c>
      <c r="AL4098">
        <v>80.209750325959803</v>
      </c>
      <c r="AM4098">
        <v>98.644385641881897</v>
      </c>
      <c r="AN4098">
        <v>0.99999997279362396</v>
      </c>
    </row>
    <row r="4099" spans="1:40" x14ac:dyDescent="0.25">
      <c r="A4099" t="str">
        <f>"20190303162340953"</f>
        <v>20190303162340953</v>
      </c>
      <c r="B4099" t="str">
        <f>"1551601420939406"</f>
        <v>1551601420939406</v>
      </c>
      <c r="C4099" t="s">
        <v>40</v>
      </c>
      <c r="D4099">
        <v>6.0852389999999996</v>
      </c>
      <c r="E4099">
        <v>0.4938128</v>
      </c>
      <c r="F4099" t="s">
        <v>41</v>
      </c>
      <c r="G4099">
        <v>-244.58580000000001</v>
      </c>
      <c r="H4099" s="1">
        <v>-2.9114709999999998E-6</v>
      </c>
      <c r="I4099">
        <v>141.8956</v>
      </c>
      <c r="J4099">
        <v>-222.94990000000001</v>
      </c>
      <c r="K4099">
        <v>1.1270519999999999</v>
      </c>
      <c r="L4099">
        <v>142.2022</v>
      </c>
      <c r="M4099">
        <v>-0.98890509999999998</v>
      </c>
      <c r="N4099">
        <v>-1.122132E-2</v>
      </c>
      <c r="O4099">
        <v>0.1481249</v>
      </c>
      <c r="P4099">
        <v>-0.98662910000000004</v>
      </c>
      <c r="Q4099">
        <v>0.16268929999999901</v>
      </c>
      <c r="R4099">
        <v>9.7616999999999999E-3</v>
      </c>
      <c r="S4099">
        <v>-3.0659939999999999</v>
      </c>
      <c r="T4099">
        <v>-0.157201799999999</v>
      </c>
      <c r="U4099">
        <v>-3.642273E-2</v>
      </c>
      <c r="V4099">
        <v>-0.1393346</v>
      </c>
      <c r="W4099">
        <v>0.17137749999999999</v>
      </c>
      <c r="X4099">
        <v>0.97530280000000003</v>
      </c>
      <c r="Y4099">
        <v>-0.15949849999999999</v>
      </c>
      <c r="Z4099">
        <v>-1.0886369999999999E-2</v>
      </c>
      <c r="AA4099">
        <v>0.98713819999999997</v>
      </c>
      <c r="AB4099">
        <v>34</v>
      </c>
      <c r="AC4099">
        <v>-21.6358999999999</v>
      </c>
      <c r="AD4099">
        <v>-1.127054911471</v>
      </c>
      <c r="AE4099">
        <v>-0.30660000000000298</v>
      </c>
      <c r="AF4099">
        <v>-3.4987421991537002</v>
      </c>
      <c r="AG4099">
        <v>-1.127054911471</v>
      </c>
      <c r="AH4099">
        <v>21.2940078716694</v>
      </c>
      <c r="AI4099">
        <v>92.989725924731502</v>
      </c>
      <c r="AJ4099">
        <v>99.330694806617402</v>
      </c>
      <c r="AK4099">
        <v>21.608938451213401</v>
      </c>
      <c r="AL4099">
        <v>80.132080177100406</v>
      </c>
      <c r="AM4099">
        <v>98.130426400456699</v>
      </c>
      <c r="AN4099">
        <v>0.99999996497562404</v>
      </c>
    </row>
    <row r="4100" spans="1:40" x14ac:dyDescent="0.25">
      <c r="A4100" t="str">
        <f>"20190303162340978"</f>
        <v>20190303162340978</v>
      </c>
      <c r="B4100" t="str">
        <f>"1551601420968685"</f>
        <v>1551601420968685</v>
      </c>
      <c r="C4100" t="s">
        <v>40</v>
      </c>
      <c r="D4100">
        <v>6.0850609999999996</v>
      </c>
      <c r="E4100">
        <v>0.49329780000000001</v>
      </c>
      <c r="F4100" t="s">
        <v>41</v>
      </c>
      <c r="G4100">
        <v>-245.11619999999999</v>
      </c>
      <c r="H4100" s="1">
        <v>-2.6865450000000002E-6</v>
      </c>
      <c r="I4100">
        <v>141.90539999999999</v>
      </c>
      <c r="J4100">
        <v>-223.32239999999999</v>
      </c>
      <c r="K4100">
        <v>1.1275550000000001</v>
      </c>
      <c r="L4100">
        <v>142.2491</v>
      </c>
      <c r="M4100">
        <v>-0.9903132</v>
      </c>
      <c r="N4100">
        <v>-1.123909E-2</v>
      </c>
      <c r="O4100">
        <v>0.13839570000000001</v>
      </c>
      <c r="P4100">
        <v>-0.98649750000000003</v>
      </c>
      <c r="Q4100">
        <v>0.16347439999999999</v>
      </c>
      <c r="R4100">
        <v>9.928213E-3</v>
      </c>
      <c r="S4100">
        <v>-3.066757</v>
      </c>
      <c r="T4100">
        <v>-0.15593109999999999</v>
      </c>
      <c r="U4100">
        <v>-4.1061399999999998E-2</v>
      </c>
      <c r="V4100">
        <v>-0.12976399999999999</v>
      </c>
      <c r="W4100">
        <v>0.17219579999999901</v>
      </c>
      <c r="X4100">
        <v>0.97647830000000002</v>
      </c>
      <c r="Y4100">
        <v>-0.15130489999999999</v>
      </c>
      <c r="Z4100">
        <v>-1.015347E-2</v>
      </c>
      <c r="AA4100">
        <v>0.98843499999999995</v>
      </c>
      <c r="AB4100">
        <v>34</v>
      </c>
      <c r="AC4100">
        <v>-21.793800000000001</v>
      </c>
      <c r="AD4100">
        <v>-1.1275576865450001</v>
      </c>
      <c r="AE4100">
        <v>-0.343700000000012</v>
      </c>
      <c r="AF4100">
        <v>-3.3477919479376999</v>
      </c>
      <c r="AG4100">
        <v>-1.1275576865450001</v>
      </c>
      <c r="AH4100">
        <v>21.479002195921101</v>
      </c>
      <c r="AI4100">
        <v>92.969245305953294</v>
      </c>
      <c r="AJ4100">
        <v>98.859039488228703</v>
      </c>
      <c r="AK4100">
        <v>21.767559178638901</v>
      </c>
      <c r="AL4100">
        <v>80.084487682253595</v>
      </c>
      <c r="AM4100">
        <v>97.569672873767502</v>
      </c>
      <c r="AN4100">
        <v>0.99999997980226396</v>
      </c>
    </row>
    <row r="4101" spans="1:40" x14ac:dyDescent="0.25">
      <c r="A4101" t="str">
        <f>"20190303162341020"</f>
        <v>20190303162341020</v>
      </c>
      <c r="B4101" t="str">
        <f>"1551601421008702"</f>
        <v>1551601421008702</v>
      </c>
      <c r="C4101" t="s">
        <v>40</v>
      </c>
      <c r="D4101">
        <v>6.1414289999999996</v>
      </c>
      <c r="E4101">
        <v>0.48522569999999998</v>
      </c>
      <c r="F4101" t="s">
        <v>41</v>
      </c>
      <c r="G4101">
        <v>-245.47900000000001</v>
      </c>
      <c r="H4101" s="1">
        <v>-2.536745E-6</v>
      </c>
      <c r="I4101">
        <v>141.9273</v>
      </c>
      <c r="J4101">
        <v>-223.96379999999999</v>
      </c>
      <c r="K4101">
        <v>1.1281969999999999</v>
      </c>
      <c r="L4101">
        <v>142.3203</v>
      </c>
      <c r="M4101">
        <v>-0.99260539999999997</v>
      </c>
      <c r="N4101">
        <v>-1.126953E-2</v>
      </c>
      <c r="O4101">
        <v>0.1208621</v>
      </c>
      <c r="P4101">
        <v>-0.98673690000000003</v>
      </c>
      <c r="Q4101">
        <v>0.1622325</v>
      </c>
      <c r="R4101">
        <v>5.56362E-3</v>
      </c>
      <c r="S4101">
        <v>-3.0673680000000001</v>
      </c>
      <c r="T4101">
        <v>-0.15609960000000001</v>
      </c>
      <c r="U4101">
        <v>-4.4540410000000002E-2</v>
      </c>
      <c r="V4101">
        <v>-0.1170615</v>
      </c>
      <c r="W4101">
        <v>0.17104440000000001</v>
      </c>
      <c r="X4101">
        <v>0.97828440000000005</v>
      </c>
      <c r="Y4101">
        <v>-0.13496229999999901</v>
      </c>
      <c r="Z4101">
        <v>-8.9657899999999995E-3</v>
      </c>
      <c r="AA4101">
        <v>0.99081019999999997</v>
      </c>
      <c r="AB4101">
        <v>35</v>
      </c>
      <c r="AC4101">
        <v>-21.5152</v>
      </c>
      <c r="AD4101">
        <v>-1.128199536745</v>
      </c>
      <c r="AE4101">
        <v>-0.39300000000000002</v>
      </c>
      <c r="AF4101">
        <v>-2.9824578496838399</v>
      </c>
      <c r="AG4101">
        <v>-1.128199536745</v>
      </c>
      <c r="AH4101">
        <v>21.251541464571599</v>
      </c>
      <c r="AI4101">
        <v>93.009422881997196</v>
      </c>
      <c r="AJ4101">
        <v>97.988759267792304</v>
      </c>
      <c r="AK4101">
        <v>21.4894370247398</v>
      </c>
      <c r="AL4101">
        <v>80.1514515242675</v>
      </c>
      <c r="AM4101">
        <v>96.8235679611698</v>
      </c>
      <c r="AN4101">
        <v>0.99999997441848398</v>
      </c>
    </row>
    <row r="4102" spans="1:40" x14ac:dyDescent="0.25">
      <c r="A4102" t="str">
        <f>"20190303162341040"</f>
        <v>20190303162341040</v>
      </c>
      <c r="B4102" t="str">
        <f>"1551601421029197"</f>
        <v>1551601421029197</v>
      </c>
      <c r="C4102" t="s">
        <v>40</v>
      </c>
      <c r="D4102">
        <v>6.1515519999999997</v>
      </c>
      <c r="E4102">
        <v>0.4837185</v>
      </c>
      <c r="F4102" t="s">
        <v>41</v>
      </c>
      <c r="G4102">
        <v>-240.58930000000001</v>
      </c>
      <c r="H4102" s="1">
        <v>-4.4422539999999998E-6</v>
      </c>
      <c r="I4102">
        <v>141.68389999999999</v>
      </c>
      <c r="J4102">
        <v>-224.27449999999999</v>
      </c>
      <c r="K4102">
        <v>1.128403</v>
      </c>
      <c r="L4102">
        <v>142.35040000000001</v>
      </c>
      <c r="M4102">
        <v>-0.9936256</v>
      </c>
      <c r="N4102">
        <v>-1.128001E-2</v>
      </c>
      <c r="O4102">
        <v>0.11216470000000001</v>
      </c>
      <c r="P4102">
        <v>-0.98696709999999999</v>
      </c>
      <c r="Q4102">
        <v>0.16082299999999999</v>
      </c>
      <c r="R4102">
        <v>5.6692119999999999E-3</v>
      </c>
      <c r="S4102">
        <v>-3.0752869999999999</v>
      </c>
      <c r="T4102">
        <v>-0.2086884</v>
      </c>
      <c r="U4102">
        <v>-0.1177063</v>
      </c>
      <c r="V4102">
        <v>-0.1084627</v>
      </c>
      <c r="W4102">
        <v>0.16976640000000001</v>
      </c>
      <c r="X4102">
        <v>0.97949739999999996</v>
      </c>
      <c r="Y4102">
        <v>-0.14951600000000001</v>
      </c>
      <c r="Z4102">
        <v>-1.223721E-2</v>
      </c>
      <c r="AA4102">
        <v>0.9886836</v>
      </c>
      <c r="AB4102">
        <v>35</v>
      </c>
      <c r="AC4102">
        <v>-16.314800000000002</v>
      </c>
      <c r="AD4102">
        <v>-1.128407442254</v>
      </c>
      <c r="AE4102">
        <v>-0.66650000000001297</v>
      </c>
      <c r="AF4102">
        <v>-2.4805083291523502</v>
      </c>
      <c r="AG4102">
        <v>-1.128407442254</v>
      </c>
      <c r="AH4102">
        <v>16.060371121958902</v>
      </c>
      <c r="AI4102">
        <v>93.972074145824806</v>
      </c>
      <c r="AJ4102">
        <v>98.779901359969301</v>
      </c>
      <c r="AK4102">
        <v>16.2899277316316</v>
      </c>
      <c r="AL4102">
        <v>80.225762384388403</v>
      </c>
      <c r="AM4102">
        <v>96.318791717582201</v>
      </c>
      <c r="AN4102">
        <v>0.99999997223350401</v>
      </c>
    </row>
    <row r="4103" spans="1:40" x14ac:dyDescent="0.25">
      <c r="A4103" t="str">
        <f>"20190303162341064"</f>
        <v>20190303162341064</v>
      </c>
      <c r="B4103" t="str">
        <f>"1551601421048718"</f>
        <v>1551601421048718</v>
      </c>
      <c r="C4103" t="s">
        <v>40</v>
      </c>
      <c r="D4103">
        <v>6.2000950000000001</v>
      </c>
      <c r="E4103">
        <v>0.48320220000000003</v>
      </c>
      <c r="F4103" t="s">
        <v>41</v>
      </c>
      <c r="G4103">
        <v>-240.45400000000001</v>
      </c>
      <c r="H4103" s="1">
        <v>-4.484401E-6</v>
      </c>
      <c r="I4103">
        <v>141.66200000000001</v>
      </c>
      <c r="J4103">
        <v>-224.62440000000001</v>
      </c>
      <c r="K4103">
        <v>1.128565</v>
      </c>
      <c r="L4103">
        <v>142.3811</v>
      </c>
      <c r="M4103">
        <v>-0.9946874</v>
      </c>
      <c r="N4103">
        <v>-1.1286859999999999E-2</v>
      </c>
      <c r="O4103">
        <v>0.1023217</v>
      </c>
      <c r="P4103">
        <v>-0.9871993</v>
      </c>
      <c r="Q4103">
        <v>0.15941259999999999</v>
      </c>
      <c r="R4103">
        <v>5.046966E-3</v>
      </c>
      <c r="S4103">
        <v>-3.0753330000000001</v>
      </c>
      <c r="T4103">
        <v>-0.21448229999999999</v>
      </c>
      <c r="U4103">
        <v>-0.1308289</v>
      </c>
      <c r="V4103">
        <v>-9.9432450000000006E-2</v>
      </c>
      <c r="W4103">
        <v>0.1685121</v>
      </c>
      <c r="X4103">
        <v>0.98067159999999998</v>
      </c>
      <c r="Y4103">
        <v>-0.1439357</v>
      </c>
      <c r="Z4103">
        <v>-1.178942E-2</v>
      </c>
      <c r="AA4103">
        <v>0.98951679999999997</v>
      </c>
      <c r="AB4103">
        <v>35</v>
      </c>
      <c r="AC4103">
        <v>-15.829599999999999</v>
      </c>
      <c r="AD4103">
        <v>-1.1285694844009999</v>
      </c>
      <c r="AE4103">
        <v>-0.71909999999999696</v>
      </c>
      <c r="AF4103">
        <v>-2.3233546659327602</v>
      </c>
      <c r="AG4103">
        <v>-1.1285694844009999</v>
      </c>
      <c r="AH4103">
        <v>15.5938217789519</v>
      </c>
      <c r="AI4103">
        <v>94.094402934860099</v>
      </c>
      <c r="AJ4103">
        <v>98.4742738999024</v>
      </c>
      <c r="AK4103">
        <v>15.806293798944401</v>
      </c>
      <c r="AL4103">
        <v>80.298678973929995</v>
      </c>
      <c r="AM4103">
        <v>95.789559554847898</v>
      </c>
      <c r="AN4103">
        <v>0.99999996350298503</v>
      </c>
    </row>
    <row r="4104" spans="1:40" x14ac:dyDescent="0.25">
      <c r="A4104" t="str">
        <f>"20190303162341087"</f>
        <v>20190303162341087</v>
      </c>
      <c r="B4104" t="str">
        <f>"1551601421078974"</f>
        <v>1551601421078974</v>
      </c>
      <c r="C4104" t="s">
        <v>40</v>
      </c>
      <c r="D4104">
        <v>6.1495989999999896</v>
      </c>
      <c r="E4104">
        <v>0.48207739999999999</v>
      </c>
      <c r="F4104" t="s">
        <v>41</v>
      </c>
      <c r="G4104">
        <v>-240.42250000000001</v>
      </c>
      <c r="H4104" s="1">
        <v>-4.4970320000000003E-6</v>
      </c>
      <c r="I4104">
        <v>141.6728</v>
      </c>
      <c r="J4104">
        <v>-224.9853</v>
      </c>
      <c r="K4104">
        <v>1.128644</v>
      </c>
      <c r="L4104">
        <v>142.40899999999999</v>
      </c>
      <c r="M4104">
        <v>-0.99567559999999999</v>
      </c>
      <c r="N4104">
        <v>-1.128812E-2</v>
      </c>
      <c r="O4104">
        <v>9.2210410000000007E-2</v>
      </c>
      <c r="P4104">
        <v>-0.9872069</v>
      </c>
      <c r="Q4104">
        <v>0.15941250000000001</v>
      </c>
      <c r="R4104">
        <v>3.1693569999999998E-3</v>
      </c>
      <c r="S4104">
        <v>-3.0750579999999998</v>
      </c>
      <c r="T4104">
        <v>-0.2196728</v>
      </c>
      <c r="U4104">
        <v>-0.13786319999999999</v>
      </c>
      <c r="V4104">
        <v>-9.1357980000000005E-2</v>
      </c>
      <c r="W4104">
        <v>0.1686638</v>
      </c>
      <c r="X4104">
        <v>0.98143069999999999</v>
      </c>
      <c r="Y4104">
        <v>-0.1361532</v>
      </c>
      <c r="Z4104">
        <v>-1.1156640000000001E-2</v>
      </c>
      <c r="AA4104">
        <v>0.99062499999999998</v>
      </c>
      <c r="AB4104">
        <v>35</v>
      </c>
      <c r="AC4104">
        <v>-15.437200000000001</v>
      </c>
      <c r="AD4104">
        <v>-1.1286484970320001</v>
      </c>
      <c r="AE4104">
        <v>-0.73619999999999597</v>
      </c>
      <c r="AF4104">
        <v>-2.1451833876855</v>
      </c>
      <c r="AG4104">
        <v>-1.1286484970320001</v>
      </c>
      <c r="AH4104">
        <v>15.222347552408401</v>
      </c>
      <c r="AI4104">
        <v>94.199050033470698</v>
      </c>
      <c r="AJ4104">
        <v>98.021487831882297</v>
      </c>
      <c r="AK4104">
        <v>15.4141339102451</v>
      </c>
      <c r="AL4104">
        <v>80.289861232927706</v>
      </c>
      <c r="AM4104">
        <v>95.318139989114997</v>
      </c>
      <c r="AN4104">
        <v>0.999999988421305</v>
      </c>
    </row>
    <row r="4105" spans="1:40" x14ac:dyDescent="0.25">
      <c r="A4105" t="str">
        <f>"20190303162341109"</f>
        <v>20190303162341109</v>
      </c>
      <c r="B4105" t="str">
        <f>"1551601421098494"</f>
        <v>1551601421098494</v>
      </c>
      <c r="C4105" t="s">
        <v>40</v>
      </c>
      <c r="D4105">
        <v>6.1432330000000004</v>
      </c>
      <c r="E4105">
        <v>0.48117799999999999</v>
      </c>
      <c r="F4105" t="s">
        <v>41</v>
      </c>
      <c r="G4105">
        <v>-240.68389999999999</v>
      </c>
      <c r="H4105" s="1">
        <v>-4.4030339999999997E-6</v>
      </c>
      <c r="I4105">
        <v>141.64429999999999</v>
      </c>
      <c r="J4105">
        <v>-225.31809999999999</v>
      </c>
      <c r="K4105">
        <v>1.1286769999999999</v>
      </c>
      <c r="L4105">
        <v>142.4315</v>
      </c>
      <c r="M4105">
        <v>-0.99648959999999998</v>
      </c>
      <c r="N4105">
        <v>-1.12861E-2</v>
      </c>
      <c r="O4105">
        <v>8.2953509999999994E-2</v>
      </c>
      <c r="P4105">
        <v>-0.98737750000000002</v>
      </c>
      <c r="Q4105">
        <v>0.1583849</v>
      </c>
      <c r="R4105">
        <v>5.9315419999999999E-4</v>
      </c>
      <c r="S4105">
        <v>-3.0750890000000002</v>
      </c>
      <c r="T4105">
        <v>-0.22108269999999999</v>
      </c>
      <c r="U4105">
        <v>-0.14976500000000001</v>
      </c>
      <c r="V4105">
        <v>-8.4796289999999996E-2</v>
      </c>
      <c r="W4105">
        <v>0.1677689</v>
      </c>
      <c r="X4105">
        <v>0.98217270000000001</v>
      </c>
      <c r="Y4105">
        <v>-0.1307961</v>
      </c>
      <c r="Z4105">
        <v>-1.044815E-2</v>
      </c>
      <c r="AA4105">
        <v>0.99135419999999996</v>
      </c>
      <c r="AB4105">
        <v>35</v>
      </c>
      <c r="AC4105">
        <v>-15.3658</v>
      </c>
      <c r="AD4105">
        <v>-1.128681403034</v>
      </c>
      <c r="AE4105">
        <v>-0.787200000000012</v>
      </c>
      <c r="AF4105">
        <v>-2.0481925075279599</v>
      </c>
      <c r="AG4105">
        <v>-1.128681403034</v>
      </c>
      <c r="AH4105">
        <v>15.165914984599601</v>
      </c>
      <c r="AI4105">
        <v>94.218080843710595</v>
      </c>
      <c r="AJ4105">
        <v>97.691393678903793</v>
      </c>
      <c r="AK4105">
        <v>15.3451618296305</v>
      </c>
      <c r="AL4105">
        <v>80.341876685697102</v>
      </c>
      <c r="AM4105">
        <v>94.934419248022607</v>
      </c>
      <c r="AN4105">
        <v>1.0000000136151299</v>
      </c>
    </row>
    <row r="4106" spans="1:40" x14ac:dyDescent="0.25">
      <c r="A4106" t="str">
        <f>"20190303162341132"</f>
        <v>20190303162341132</v>
      </c>
      <c r="B4106" t="str">
        <f>"1551601421118990"</f>
        <v>1551601421118990</v>
      </c>
      <c r="C4106" t="s">
        <v>40</v>
      </c>
      <c r="D4106">
        <v>6.2091399999999997</v>
      </c>
      <c r="E4106">
        <v>0.48071409999999998</v>
      </c>
      <c r="F4106" t="s">
        <v>41</v>
      </c>
      <c r="G4106">
        <v>-240.66749999999999</v>
      </c>
      <c r="H4106" s="1">
        <v>-4.4048609999999999E-6</v>
      </c>
      <c r="I4106">
        <v>141.62309999999999</v>
      </c>
      <c r="J4106">
        <v>-225.67070000000001</v>
      </c>
      <c r="K4106">
        <v>1.128655</v>
      </c>
      <c r="L4106">
        <v>142.45230000000001</v>
      </c>
      <c r="M4106">
        <v>-0.99724590000000002</v>
      </c>
      <c r="N4106">
        <v>-1.128146E-2</v>
      </c>
      <c r="O4106">
        <v>7.3304289999999994E-2</v>
      </c>
      <c r="P4106">
        <v>-0.98772850000000001</v>
      </c>
      <c r="Q4106">
        <v>0.15613959999999999</v>
      </c>
      <c r="R4106">
        <v>-3.5960290000000002E-3</v>
      </c>
      <c r="S4106">
        <v>-3.074738</v>
      </c>
      <c r="T4106">
        <v>-0.22609380000000001</v>
      </c>
      <c r="U4106">
        <v>-0.1619263</v>
      </c>
      <c r="V4106">
        <v>-7.9421770000000003E-2</v>
      </c>
      <c r="W4106">
        <v>0.16564000000000001</v>
      </c>
      <c r="X4106">
        <v>0.98298300000000005</v>
      </c>
      <c r="Y4106">
        <v>-0.12512609999999999</v>
      </c>
      <c r="Z4106">
        <v>-9.8510679999999993E-3</v>
      </c>
      <c r="AA4106">
        <v>0.99209199999999997</v>
      </c>
      <c r="AB4106">
        <v>35</v>
      </c>
      <c r="AC4106">
        <v>-14.996799999999901</v>
      </c>
      <c r="AD4106">
        <v>-1.1286594048609999</v>
      </c>
      <c r="AE4106">
        <v>-0.82920000000001404</v>
      </c>
      <c r="AF4106">
        <v>-1.9155517469496599</v>
      </c>
      <c r="AG4106">
        <v>-1.1286594048609999</v>
      </c>
      <c r="AH4106">
        <v>14.8120194055426</v>
      </c>
      <c r="AI4106">
        <v>94.321603234888798</v>
      </c>
      <c r="AJ4106">
        <v>97.368828764151203</v>
      </c>
      <c r="AK4106">
        <v>14.977954780863501</v>
      </c>
      <c r="AL4106">
        <v>80.465584647996593</v>
      </c>
      <c r="AM4106">
        <v>94.619274912051594</v>
      </c>
      <c r="AN4106">
        <v>1.00000000271946</v>
      </c>
    </row>
    <row r="4107" spans="1:40" x14ac:dyDescent="0.25">
      <c r="A4107" t="str">
        <f>"20190303162341156"</f>
        <v>20190303162341156</v>
      </c>
      <c r="B4107" t="str">
        <f>"1551601421138510"</f>
        <v>1551601421138510</v>
      </c>
      <c r="C4107" t="s">
        <v>40</v>
      </c>
      <c r="D4107">
        <v>6.2088809999999999</v>
      </c>
      <c r="E4107">
        <v>0.48027639999999999</v>
      </c>
      <c r="F4107" t="s">
        <v>41</v>
      </c>
      <c r="G4107">
        <v>-240.53550000000001</v>
      </c>
      <c r="H4107" s="1">
        <v>-4.4418999999999998E-6</v>
      </c>
      <c r="I4107">
        <v>141.5788</v>
      </c>
      <c r="J4107">
        <v>-226.01349999999999</v>
      </c>
      <c r="K4107">
        <v>1.128573</v>
      </c>
      <c r="L4107">
        <v>142.46940000000001</v>
      </c>
      <c r="M4107">
        <v>-0.99787599999999999</v>
      </c>
      <c r="N4107">
        <v>-1.127238E-2</v>
      </c>
      <c r="O4107">
        <v>6.4160060000000005E-2</v>
      </c>
      <c r="P4107">
        <v>-0.98773569999999999</v>
      </c>
      <c r="Q4107">
        <v>0.15601039999999999</v>
      </c>
      <c r="R4107">
        <v>-6.2740499999999998E-3</v>
      </c>
      <c r="S4107">
        <v>-3.0734859999999999</v>
      </c>
      <c r="T4107">
        <v>-0.23336460000000001</v>
      </c>
      <c r="U4107">
        <v>-0.18058779999999999</v>
      </c>
      <c r="V4107">
        <v>-7.3033169999999994E-2</v>
      </c>
      <c r="W4107">
        <v>0.1656513</v>
      </c>
      <c r="X4107">
        <v>0.98347640000000003</v>
      </c>
      <c r="Y4107">
        <v>-0.1220522</v>
      </c>
      <c r="Z4107">
        <v>-9.4510150000000001E-3</v>
      </c>
      <c r="AA4107">
        <v>0.99247870000000005</v>
      </c>
      <c r="AB4107">
        <v>35</v>
      </c>
      <c r="AC4107">
        <v>-14.522</v>
      </c>
      <c r="AD4107">
        <v>-1.1285774418999901</v>
      </c>
      <c r="AE4107">
        <v>-0.89060000000000605</v>
      </c>
      <c r="AF4107">
        <v>-1.8096675860709599</v>
      </c>
      <c r="AG4107">
        <v>-1.1285774418999901</v>
      </c>
      <c r="AH4107">
        <v>14.348595392151999</v>
      </c>
      <c r="AI4107">
        <v>94.462091388614795</v>
      </c>
      <c r="AJ4107">
        <v>97.188281000691404</v>
      </c>
      <c r="AK4107">
        <v>14.5062322310835</v>
      </c>
      <c r="AL4107">
        <v>80.464928237397601</v>
      </c>
      <c r="AM4107">
        <v>94.247001606338998</v>
      </c>
      <c r="AN4107">
        <v>1.00000001323444</v>
      </c>
    </row>
    <row r="4108" spans="1:40" x14ac:dyDescent="0.25">
      <c r="A4108" t="str">
        <f>"20190303162341198"</f>
        <v>20190303162341198</v>
      </c>
      <c r="B4108" t="str">
        <f>"1551601421189262"</f>
        <v>1551601421189262</v>
      </c>
      <c r="C4108" t="s">
        <v>40</v>
      </c>
      <c r="D4108">
        <v>5.975784</v>
      </c>
      <c r="E4108">
        <v>0.4796918</v>
      </c>
      <c r="F4108" t="s">
        <v>41</v>
      </c>
      <c r="G4108">
        <v>-240.9083</v>
      </c>
      <c r="H4108" s="1">
        <v>-4.3037479999999996E-6</v>
      </c>
      <c r="I4108">
        <v>141.51519999999999</v>
      </c>
      <c r="J4108">
        <v>-226.69290000000001</v>
      </c>
      <c r="K4108">
        <v>1.1282190000000001</v>
      </c>
      <c r="L4108">
        <v>142.49510000000001</v>
      </c>
      <c r="M4108">
        <v>-0.99882990000000005</v>
      </c>
      <c r="N4108">
        <v>-1.123562E-2</v>
      </c>
      <c r="O4108">
        <v>4.7037469999999998E-2</v>
      </c>
      <c r="P4108">
        <v>-0.98753049999999998</v>
      </c>
      <c r="Q4108">
        <v>0.1570986</v>
      </c>
      <c r="R4108">
        <v>-1.018466E-2</v>
      </c>
      <c r="S4108">
        <v>-3.0727690000000001</v>
      </c>
      <c r="T4108">
        <v>-0.23282249999999999</v>
      </c>
      <c r="U4108">
        <v>-0.1968384</v>
      </c>
      <c r="V4108">
        <v>-5.9902770000000001E-2</v>
      </c>
      <c r="W4108">
        <v>0.16702800000000001</v>
      </c>
      <c r="X4108">
        <v>0.98413070000000002</v>
      </c>
      <c r="Y4108">
        <v>-0.1103418</v>
      </c>
      <c r="Z4108">
        <v>-7.8199440000000005E-3</v>
      </c>
      <c r="AA4108">
        <v>0.99386289999999999</v>
      </c>
      <c r="AB4108">
        <v>35</v>
      </c>
      <c r="AC4108">
        <v>-14.215399999999899</v>
      </c>
      <c r="AD4108">
        <v>-1.1282233037480001</v>
      </c>
      <c r="AE4108">
        <v>-0.97990000000001398</v>
      </c>
      <c r="AF4108">
        <v>-1.6372496482148999</v>
      </c>
      <c r="AG4108">
        <v>-1.1282233037480001</v>
      </c>
      <c r="AH4108">
        <v>14.0653894571757</v>
      </c>
      <c r="AI4108">
        <v>94.555404805150502</v>
      </c>
      <c r="AJ4108">
        <v>96.6395048714365</v>
      </c>
      <c r="AK4108">
        <v>14.2052333601293</v>
      </c>
      <c r="AL4108">
        <v>80.384934231847396</v>
      </c>
      <c r="AM4108">
        <v>93.483222871084394</v>
      </c>
      <c r="AN4108">
        <v>0.99999996466008001</v>
      </c>
    </row>
    <row r="4109" spans="1:40" x14ac:dyDescent="0.25">
      <c r="A4109" t="str">
        <f>"20190303162341220"</f>
        <v>20190303162341220</v>
      </c>
      <c r="B4109" t="str">
        <f>"1551601421208782"</f>
        <v>1551601421208782</v>
      </c>
      <c r="C4109" t="s">
        <v>40</v>
      </c>
      <c r="D4109">
        <v>5.9645260000000002</v>
      </c>
      <c r="E4109">
        <v>0.47949229999999998</v>
      </c>
      <c r="F4109" t="s">
        <v>41</v>
      </c>
      <c r="G4109">
        <v>-241.84370000000001</v>
      </c>
      <c r="H4109" s="1">
        <v>-3.967926E-6</v>
      </c>
      <c r="I4109">
        <v>141.44499999999999</v>
      </c>
      <c r="J4109">
        <v>-227.0283</v>
      </c>
      <c r="K4109">
        <v>1.127934</v>
      </c>
      <c r="L4109">
        <v>142.50409999999999</v>
      </c>
      <c r="M4109">
        <v>-0.99916760000000004</v>
      </c>
      <c r="N4109">
        <v>-1.1209469999999999E-2</v>
      </c>
      <c r="O4109">
        <v>3.9223729999999998E-2</v>
      </c>
      <c r="P4109">
        <v>-0.98778900000000003</v>
      </c>
      <c r="Q4109">
        <v>0.15545889999999901</v>
      </c>
      <c r="R4109">
        <v>-1.028159E-2</v>
      </c>
      <c r="S4109">
        <v>-3.072098</v>
      </c>
      <c r="T4109">
        <v>-0.2287682</v>
      </c>
      <c r="U4109">
        <v>-0.21290590000000001</v>
      </c>
      <c r="V4109">
        <v>-5.2152410000000003E-2</v>
      </c>
      <c r="W4109">
        <v>0.16555439999999999</v>
      </c>
      <c r="X4109">
        <v>0.98482069999999999</v>
      </c>
      <c r="Y4109">
        <v>-0.10779610000000001</v>
      </c>
      <c r="Z4109">
        <v>-7.0843119999999997E-3</v>
      </c>
      <c r="AA4109">
        <v>0.99414780000000003</v>
      </c>
      <c r="AB4109">
        <v>35</v>
      </c>
      <c r="AC4109">
        <v>-14.8154</v>
      </c>
      <c r="AD4109">
        <v>-1.127937967926</v>
      </c>
      <c r="AE4109">
        <v>-1.0590999999999999</v>
      </c>
      <c r="AF4109">
        <v>-1.6300366313287999</v>
      </c>
      <c r="AG4109">
        <v>-1.127937967926</v>
      </c>
      <c r="AH4109">
        <v>14.6778099350131</v>
      </c>
      <c r="AI4109">
        <v>94.367596617385303</v>
      </c>
      <c r="AJ4109">
        <v>96.336986886235195</v>
      </c>
      <c r="AK4109">
        <v>14.8110555993599</v>
      </c>
      <c r="AL4109">
        <v>80.4705575354091</v>
      </c>
      <c r="AM4109">
        <v>93.031338011655507</v>
      </c>
      <c r="AN4109">
        <v>0.99999997218832803</v>
      </c>
    </row>
    <row r="4110" spans="1:40" x14ac:dyDescent="0.25">
      <c r="A4110" t="str">
        <f>"20190303162341243"</f>
        <v>20190303162341243</v>
      </c>
      <c r="B4110" t="str">
        <f>"1551601421229278"</f>
        <v>1551601421229278</v>
      </c>
      <c r="C4110" t="s">
        <v>40</v>
      </c>
      <c r="D4110">
        <v>6.2046169999999998</v>
      </c>
      <c r="E4110">
        <v>0.48069800000000001</v>
      </c>
      <c r="F4110" t="s">
        <v>41</v>
      </c>
      <c r="G4110">
        <v>-241.83930000000001</v>
      </c>
      <c r="H4110" s="1">
        <v>-3.9759719999999998E-6</v>
      </c>
      <c r="I4110">
        <v>141.46809999999999</v>
      </c>
      <c r="J4110">
        <v>-227.38890000000001</v>
      </c>
      <c r="K4110">
        <v>1.1275580000000001</v>
      </c>
      <c r="L4110">
        <v>142.51140000000001</v>
      </c>
      <c r="M4110">
        <v>-0.99944449999999996</v>
      </c>
      <c r="N4110">
        <v>-1.1177579999999999E-2</v>
      </c>
      <c r="O4110">
        <v>3.1397559999999998E-2</v>
      </c>
      <c r="P4110">
        <v>-0.98791169999999995</v>
      </c>
      <c r="Q4110">
        <v>0.1547702</v>
      </c>
      <c r="R4110">
        <v>-8.7700650000000005E-3</v>
      </c>
      <c r="S4110">
        <v>-3.0716709999999998</v>
      </c>
      <c r="T4110">
        <v>-0.23392569999999999</v>
      </c>
      <c r="U4110">
        <v>-0.2148438</v>
      </c>
      <c r="V4110">
        <v>-4.2753369999999999E-2</v>
      </c>
      <c r="W4110">
        <v>0.16505410000000001</v>
      </c>
      <c r="X4110">
        <v>0.9853575</v>
      </c>
      <c r="Y4110">
        <v>-0.1006628</v>
      </c>
      <c r="Z4110">
        <v>-6.4221169999999998E-3</v>
      </c>
      <c r="AA4110">
        <v>0.99489989999999995</v>
      </c>
      <c r="AB4110">
        <v>35</v>
      </c>
      <c r="AC4110">
        <v>-14.4504</v>
      </c>
      <c r="AD4110">
        <v>-1.1275619759719999</v>
      </c>
      <c r="AE4110">
        <v>-1.0433000000000101</v>
      </c>
      <c r="AF4110">
        <v>-1.48751122565611</v>
      </c>
      <c r="AG4110">
        <v>-1.1275619759719999</v>
      </c>
      <c r="AH4110">
        <v>14.323755479618301</v>
      </c>
      <c r="AI4110">
        <v>94.477047230631598</v>
      </c>
      <c r="AJ4110">
        <v>95.928870899350002</v>
      </c>
      <c r="AK4110">
        <v>14.444862640260901</v>
      </c>
      <c r="AL4110">
        <v>80.499623263501604</v>
      </c>
      <c r="AM4110">
        <v>92.4844304881601</v>
      </c>
      <c r="AN4110">
        <v>1.0000000546897001</v>
      </c>
    </row>
    <row r="4111" spans="1:40" x14ac:dyDescent="0.25">
      <c r="A4111" t="str">
        <f>"20190303162341265"</f>
        <v>20190303162341265</v>
      </c>
      <c r="B4111" t="str">
        <f>"1551601421258558"</f>
        <v>1551601421258558</v>
      </c>
      <c r="C4111" t="s">
        <v>40</v>
      </c>
      <c r="D4111">
        <v>6.047555</v>
      </c>
      <c r="E4111">
        <v>0.52182099999999998</v>
      </c>
      <c r="F4111" t="s">
        <v>41</v>
      </c>
      <c r="G4111">
        <v>-242.3603</v>
      </c>
      <c r="H4111" s="1">
        <v>-3.7689999999999998E-6</v>
      </c>
      <c r="I4111">
        <v>141.53020000000001</v>
      </c>
      <c r="J4111">
        <v>-227.7216</v>
      </c>
      <c r="K4111">
        <v>1.1271519999999999</v>
      </c>
      <c r="L4111">
        <v>142.51599999999999</v>
      </c>
      <c r="M4111">
        <v>-0.99963060000000004</v>
      </c>
      <c r="N4111">
        <v>-1.114571E-2</v>
      </c>
      <c r="O4111">
        <v>2.4790039999999999E-2</v>
      </c>
      <c r="P4111">
        <v>-0.9877165</v>
      </c>
      <c r="Q4111">
        <v>0.15615519999999999</v>
      </c>
      <c r="R4111">
        <v>-5.6437400000000004E-3</v>
      </c>
      <c r="S4111">
        <v>-3.0711520000000001</v>
      </c>
      <c r="T4111">
        <v>-0.23130210000000001</v>
      </c>
      <c r="U4111">
        <v>-0.20124819999999999</v>
      </c>
      <c r="V4111">
        <v>-3.2957449999999999E-2</v>
      </c>
      <c r="W4111">
        <v>0.16661519999999999</v>
      </c>
      <c r="X4111">
        <v>0.98547110000000004</v>
      </c>
      <c r="Y4111">
        <v>-8.9765059999999994E-2</v>
      </c>
      <c r="Z4111">
        <v>-5.4605369999999997E-3</v>
      </c>
      <c r="AA4111">
        <v>0.99594800000000006</v>
      </c>
      <c r="AB4111">
        <v>35</v>
      </c>
      <c r="AC4111">
        <v>-14.6387</v>
      </c>
      <c r="AD4111">
        <v>-1.127155769</v>
      </c>
      <c r="AE4111">
        <v>-0.98579999999998302</v>
      </c>
      <c r="AF4111">
        <v>-1.34050187095006</v>
      </c>
      <c r="AG4111">
        <v>-1.127155769</v>
      </c>
      <c r="AH4111">
        <v>14.5240405236848</v>
      </c>
      <c r="AI4111">
        <v>94.418907515387204</v>
      </c>
      <c r="AJ4111">
        <v>95.273196597313103</v>
      </c>
      <c r="AK4111">
        <v>14.6292576205099</v>
      </c>
      <c r="AL4111">
        <v>80.408922931599506</v>
      </c>
      <c r="AM4111">
        <v>91.915448619199296</v>
      </c>
      <c r="AN4111">
        <v>1.00000005365837</v>
      </c>
    </row>
    <row r="4112" spans="1:40" x14ac:dyDescent="0.25">
      <c r="A4112" t="str">
        <f>"20190303162341289"</f>
        <v>20190303162341289</v>
      </c>
      <c r="B4112" t="str">
        <f>"1551601421279055"</f>
        <v>1551601421279055</v>
      </c>
      <c r="C4112" t="s">
        <v>40</v>
      </c>
      <c r="D4112">
        <v>6.1705180000000004</v>
      </c>
      <c r="E4112">
        <v>0.52395999999999998</v>
      </c>
      <c r="F4112" t="s">
        <v>41</v>
      </c>
      <c r="G4112">
        <v>-247.96029999999999</v>
      </c>
      <c r="H4112" s="1">
        <v>-1.87064E-6</v>
      </c>
      <c r="I4112">
        <v>143.4246</v>
      </c>
      <c r="J4112">
        <v>-228.0976</v>
      </c>
      <c r="K4112">
        <v>1.1267130000000001</v>
      </c>
      <c r="L4112">
        <v>142.51900000000001</v>
      </c>
      <c r="M4112">
        <v>-0.99977760000000004</v>
      </c>
      <c r="N4112">
        <v>-1.1111670000000001E-2</v>
      </c>
      <c r="O4112">
        <v>1.7927820000000001E-2</v>
      </c>
      <c r="P4112">
        <v>-0.98733219999999999</v>
      </c>
      <c r="Q4112">
        <v>0.15866369999999999</v>
      </c>
      <c r="R4112">
        <v>-1.085454E-3</v>
      </c>
      <c r="S4112">
        <v>-3.0650789999999999</v>
      </c>
      <c r="T4112">
        <v>-0.17070360000000001</v>
      </c>
      <c r="U4112">
        <v>0.13761899999999999</v>
      </c>
      <c r="V4112">
        <v>-2.1470300000000001E-2</v>
      </c>
      <c r="W4112">
        <v>0.16930439999999999</v>
      </c>
      <c r="X4112">
        <v>0.98532989999999998</v>
      </c>
      <c r="Y4112">
        <v>2.690356E-2</v>
      </c>
      <c r="Z4112" s="1">
        <v>9.9882829999999994E-5</v>
      </c>
      <c r="AA4112">
        <v>0.99963800000000003</v>
      </c>
      <c r="AB4112">
        <v>35</v>
      </c>
      <c r="AC4112">
        <v>-19.862699999999901</v>
      </c>
      <c r="AD4112">
        <v>-1.1267148706400001</v>
      </c>
      <c r="AE4112">
        <v>0.90559999999999197</v>
      </c>
      <c r="AF4112">
        <v>0.54757924919933798</v>
      </c>
      <c r="AG4112">
        <v>-1.1267148706400001</v>
      </c>
      <c r="AH4112">
        <v>19.812125678299601</v>
      </c>
      <c r="AI4112">
        <v>93.253663119984793</v>
      </c>
      <c r="AJ4112">
        <v>88.416828394783096</v>
      </c>
      <c r="AK4112">
        <v>19.851691447496702</v>
      </c>
      <c r="AL4112">
        <v>80.252621953926294</v>
      </c>
      <c r="AM4112">
        <v>91.248275259285407</v>
      </c>
      <c r="AN4112">
        <v>0.99999998273772905</v>
      </c>
    </row>
    <row r="4113" spans="1:40" x14ac:dyDescent="0.25">
      <c r="A4113" t="str">
        <f>"20190303162341311"</f>
        <v>20190303162341311</v>
      </c>
      <c r="B4113" t="str">
        <f>"1551601421298574"</f>
        <v>1551601421298574</v>
      </c>
      <c r="C4113" t="s">
        <v>40</v>
      </c>
      <c r="D4113">
        <v>6.1770259999999997</v>
      </c>
      <c r="E4113">
        <v>0.52349990000000002</v>
      </c>
      <c r="F4113" t="s">
        <v>41</v>
      </c>
      <c r="G4113">
        <v>-249.60149999999999</v>
      </c>
      <c r="H4113" s="1">
        <v>-1.2409320000000001E-6</v>
      </c>
      <c r="I4113">
        <v>143.70410000000001</v>
      </c>
      <c r="J4113">
        <v>-228.43340000000001</v>
      </c>
      <c r="K4113">
        <v>1.1263110000000001</v>
      </c>
      <c r="L4113">
        <v>142.52010000000001</v>
      </c>
      <c r="M4113">
        <v>-0.99986220000000003</v>
      </c>
      <c r="N4113">
        <v>-1.108407E-2</v>
      </c>
      <c r="O4113">
        <v>1.2357170000000001E-2</v>
      </c>
      <c r="P4113">
        <v>-0.98724480000000003</v>
      </c>
      <c r="Q4113">
        <v>0.15913869999999999</v>
      </c>
      <c r="R4113">
        <v>4.78298E-3</v>
      </c>
      <c r="S4113">
        <v>-3.0644680000000002</v>
      </c>
      <c r="T4113">
        <v>-0.1605654</v>
      </c>
      <c r="U4113">
        <v>0.16888429999999999</v>
      </c>
      <c r="V4113">
        <v>-9.9385359999999996E-3</v>
      </c>
      <c r="W4113">
        <v>0.1699426</v>
      </c>
      <c r="X4113">
        <v>0.98540380000000005</v>
      </c>
      <c r="Y4113">
        <v>4.2623399999999999E-2</v>
      </c>
      <c r="Z4113">
        <v>8.4198210000000005E-4</v>
      </c>
      <c r="AA4113">
        <v>0.9990909</v>
      </c>
      <c r="AB4113">
        <v>35</v>
      </c>
      <c r="AC4113">
        <v>-21.1680999999999</v>
      </c>
      <c r="AD4113">
        <v>-1.1263122409319899</v>
      </c>
      <c r="AE4113">
        <v>1.1839999999999899</v>
      </c>
      <c r="AF4113">
        <v>0.91972001346620003</v>
      </c>
      <c r="AG4113">
        <v>-1.1263122409319899</v>
      </c>
      <c r="AH4113">
        <v>21.1215049343263</v>
      </c>
      <c r="AI4113">
        <v>93.049543726944407</v>
      </c>
      <c r="AJ4113">
        <v>87.5066735344829</v>
      </c>
      <c r="AK4113">
        <v>21.171500533925698</v>
      </c>
      <c r="AL4113">
        <v>80.215517842164004</v>
      </c>
      <c r="AM4113">
        <v>90.577851293438997</v>
      </c>
      <c r="AN4113">
        <v>0.99999995542350995</v>
      </c>
    </row>
    <row r="4114" spans="1:40" x14ac:dyDescent="0.25">
      <c r="A4114" t="str">
        <f>"20190303162341379"</f>
        <v>20190303162341379</v>
      </c>
      <c r="B4114" t="str">
        <f>"1551601421368848"</f>
        <v>1551601421368848</v>
      </c>
      <c r="C4114" t="s">
        <v>40</v>
      </c>
      <c r="D4114">
        <v>6.2376709999999997</v>
      </c>
      <c r="E4114">
        <v>0.52167559999999902</v>
      </c>
      <c r="F4114" t="s">
        <v>41</v>
      </c>
      <c r="G4114">
        <v>-250.2159</v>
      </c>
      <c r="H4114" s="1">
        <v>-4.9501619999999999E-6</v>
      </c>
      <c r="I4114">
        <v>143.83090000000001</v>
      </c>
      <c r="J4114">
        <v>-229.4889</v>
      </c>
      <c r="K4114">
        <v>1.1248659999999999</v>
      </c>
      <c r="L4114">
        <v>142.5153</v>
      </c>
      <c r="M4114">
        <v>-0.99993869999999896</v>
      </c>
      <c r="N4114">
        <v>-1.099605E-2</v>
      </c>
      <c r="O4114">
        <v>-1.4347050000000001E-3</v>
      </c>
      <c r="P4114">
        <v>-0.98773560000000005</v>
      </c>
      <c r="Q4114">
        <v>0.1559769</v>
      </c>
      <c r="R4114">
        <v>7.0793289999999997E-3</v>
      </c>
      <c r="S4114">
        <v>-3.0634000000000001</v>
      </c>
      <c r="T4114">
        <v>-0.15840019999999999</v>
      </c>
      <c r="U4114">
        <v>0.18435670000000001</v>
      </c>
      <c r="V4114">
        <v>6.6097619999999999E-3</v>
      </c>
      <c r="W4114">
        <v>0.1669138</v>
      </c>
      <c r="X4114">
        <v>0.98594930000000003</v>
      </c>
      <c r="Y4114">
        <v>6.1403480000000003E-2</v>
      </c>
      <c r="Z4114">
        <v>1.9815150000000001E-3</v>
      </c>
      <c r="AA4114">
        <v>0.99811110000000003</v>
      </c>
      <c r="AB4114">
        <v>35</v>
      </c>
      <c r="AC4114">
        <v>-20.727</v>
      </c>
      <c r="AD4114">
        <v>-1.124870950162</v>
      </c>
      <c r="AE4114">
        <v>1.3156000000000101</v>
      </c>
      <c r="AF4114">
        <v>1.3414025620924399</v>
      </c>
      <c r="AG4114">
        <v>-1.124870950162</v>
      </c>
      <c r="AH4114">
        <v>20.664471791108198</v>
      </c>
      <c r="AI4114">
        <v>93.109290668891404</v>
      </c>
      <c r="AJ4114">
        <v>86.285943020632303</v>
      </c>
      <c r="AK4114">
        <v>20.7384929513602</v>
      </c>
      <c r="AL4114">
        <v>80.391570564630797</v>
      </c>
      <c r="AM4114">
        <v>89.615897295269605</v>
      </c>
      <c r="AN4114">
        <v>0.99999996387731205</v>
      </c>
    </row>
    <row r="4115" spans="1:40" x14ac:dyDescent="0.25">
      <c r="A4115" t="str">
        <f>"20190303162341410"</f>
        <v>20190303162341410</v>
      </c>
      <c r="B4115" t="str">
        <f>"1551601421399102"</f>
        <v>1551601421399102</v>
      </c>
      <c r="C4115" t="s">
        <v>40</v>
      </c>
      <c r="D4115">
        <v>6.181076</v>
      </c>
      <c r="E4115">
        <v>0.52048329999999998</v>
      </c>
      <c r="F4115" t="s">
        <v>41</v>
      </c>
      <c r="G4115">
        <v>-249.58009999999999</v>
      </c>
      <c r="H4115" s="1">
        <v>-1.240421E-6</v>
      </c>
      <c r="I4115">
        <v>143.66759999999999</v>
      </c>
      <c r="J4115">
        <v>-229.98410000000001</v>
      </c>
      <c r="K4115">
        <v>1.1242219999999901</v>
      </c>
      <c r="L4115">
        <v>142.50970000000001</v>
      </c>
      <c r="M4115">
        <v>-0.99992110000000001</v>
      </c>
      <c r="N4115">
        <v>-1.096021E-2</v>
      </c>
      <c r="O4115">
        <v>-6.1356279999999997E-3</v>
      </c>
      <c r="P4115">
        <v>-0.98749359999999997</v>
      </c>
      <c r="Q4115">
        <v>0.15739359999999999</v>
      </c>
      <c r="R4115">
        <v>9.1452779999999997E-3</v>
      </c>
      <c r="S4115">
        <v>-3.0630950000000001</v>
      </c>
      <c r="T4115">
        <v>-0.17149719999999999</v>
      </c>
      <c r="U4115">
        <v>0.1756897</v>
      </c>
      <c r="V4115">
        <v>1.358051E-2</v>
      </c>
      <c r="W4115">
        <v>0.1683452</v>
      </c>
      <c r="X4115">
        <v>0.98563460000000003</v>
      </c>
      <c r="Y4115">
        <v>6.3263269999999996E-2</v>
      </c>
      <c r="Z4115">
        <v>2.3913089999999999E-3</v>
      </c>
      <c r="AA4115">
        <v>0.99799400000000005</v>
      </c>
      <c r="AB4115">
        <v>35</v>
      </c>
      <c r="AC4115">
        <v>-19.595999999999901</v>
      </c>
      <c r="AD4115">
        <v>-1.12422324042099</v>
      </c>
      <c r="AE4115">
        <v>1.1578999999999799</v>
      </c>
      <c r="AF4115">
        <v>1.2739408321346499</v>
      </c>
      <c r="AG4115">
        <v>-1.12422324042099</v>
      </c>
      <c r="AH4115">
        <v>19.5244884511424</v>
      </c>
      <c r="AI4115">
        <v>93.2884842873342</v>
      </c>
      <c r="AJ4115">
        <v>86.266836199771205</v>
      </c>
      <c r="AK4115">
        <v>19.598276771616302</v>
      </c>
      <c r="AL4115">
        <v>80.308381086474498</v>
      </c>
      <c r="AM4115">
        <v>89.210603328781005</v>
      </c>
      <c r="AN4115">
        <v>1.00000005066602</v>
      </c>
    </row>
    <row r="4116" spans="1:40" x14ac:dyDescent="0.25">
      <c r="A4116" t="str">
        <f>"20190303162341432"</f>
        <v>20190303162341432</v>
      </c>
      <c r="B4116" t="str">
        <f>"1551601421418622"</f>
        <v>1551601421418622</v>
      </c>
      <c r="C4116" t="s">
        <v>40</v>
      </c>
      <c r="D4116">
        <v>5.9697050000000003</v>
      </c>
      <c r="E4116">
        <v>0.51987589999999995</v>
      </c>
      <c r="F4116" t="s">
        <v>41</v>
      </c>
      <c r="G4116">
        <v>-250.3569</v>
      </c>
      <c r="H4116" s="1">
        <v>-4.8665239999999997E-6</v>
      </c>
      <c r="I4116">
        <v>143.62989999999999</v>
      </c>
      <c r="J4116">
        <v>-230.3202</v>
      </c>
      <c r="K4116">
        <v>1.1238379999999999</v>
      </c>
      <c r="L4116">
        <v>142.505</v>
      </c>
      <c r="M4116">
        <v>-0.99990080000000003</v>
      </c>
      <c r="N4116">
        <v>-1.093937E-2</v>
      </c>
      <c r="O4116">
        <v>-8.8661150000000008E-3</v>
      </c>
      <c r="P4116">
        <v>-0.98727830000000005</v>
      </c>
      <c r="Q4116">
        <v>0.15854460000000001</v>
      </c>
      <c r="R4116">
        <v>1.204701E-2</v>
      </c>
      <c r="S4116">
        <v>-3.0634000000000001</v>
      </c>
      <c r="T4116">
        <v>-0.169047</v>
      </c>
      <c r="U4116">
        <v>0.168457</v>
      </c>
      <c r="V4116">
        <v>1.932994E-2</v>
      </c>
      <c r="W4116">
        <v>0.16950789999999999</v>
      </c>
      <c r="X4116">
        <v>0.98533919999999997</v>
      </c>
      <c r="Y4116">
        <v>6.3633990000000001E-2</v>
      </c>
      <c r="Z4116">
        <v>2.4934290000000001E-3</v>
      </c>
      <c r="AA4116">
        <v>0.99797020000000003</v>
      </c>
      <c r="AB4116">
        <v>35</v>
      </c>
      <c r="AC4116">
        <v>-20.0367</v>
      </c>
      <c r="AD4116">
        <v>-1.1238428665239999</v>
      </c>
      <c r="AE4116">
        <v>1.12489999999999</v>
      </c>
      <c r="AF4116">
        <v>1.29844204309544</v>
      </c>
      <c r="AG4116">
        <v>-1.1238428665239999</v>
      </c>
      <c r="AH4116">
        <v>19.963330960691401</v>
      </c>
      <c r="AI4116">
        <v>93.215306022338893</v>
      </c>
      <c r="AJ4116">
        <v>86.278646686266796</v>
      </c>
      <c r="AK4116">
        <v>20.037054613241299</v>
      </c>
      <c r="AL4116">
        <v>80.240791011002003</v>
      </c>
      <c r="AM4116">
        <v>88.876141396967299</v>
      </c>
      <c r="AN4116">
        <v>0.99999995689972498</v>
      </c>
    </row>
    <row r="4117" spans="1:40" x14ac:dyDescent="0.25">
      <c r="A4117" t="str">
        <f>"20190303162341454"</f>
        <v>20190303162341454</v>
      </c>
      <c r="B4117" t="str">
        <f>"1551601421448878"</f>
        <v>1551601421448878</v>
      </c>
      <c r="C4117" t="s">
        <v>40</v>
      </c>
      <c r="D4117">
        <v>5.9924289999999996</v>
      </c>
      <c r="E4117">
        <v>0.53087030000000002</v>
      </c>
      <c r="F4117" t="s">
        <v>41</v>
      </c>
      <c r="G4117">
        <v>-251.18799999999999</v>
      </c>
      <c r="H4117" s="1">
        <v>-4.5906349999999996E-6</v>
      </c>
      <c r="I4117">
        <v>143.66909999999999</v>
      </c>
      <c r="J4117">
        <v>-230.6653</v>
      </c>
      <c r="K4117">
        <v>1.1235219999999999</v>
      </c>
      <c r="L4117">
        <v>142.49950000000001</v>
      </c>
      <c r="M4117">
        <v>-0.99987550000000003</v>
      </c>
      <c r="N4117">
        <v>-1.0920040000000001E-2</v>
      </c>
      <c r="O4117">
        <v>-1.1384989999999999E-2</v>
      </c>
      <c r="P4117">
        <v>-0.9871221</v>
      </c>
      <c r="Q4117">
        <v>0.1590799</v>
      </c>
      <c r="R4117">
        <v>1.684809E-2</v>
      </c>
      <c r="S4117">
        <v>-3.0630649999999999</v>
      </c>
      <c r="T4117">
        <v>-0.16496250000000001</v>
      </c>
      <c r="U4117">
        <v>0.17088320000000001</v>
      </c>
      <c r="V4117">
        <v>2.6748129999999998E-2</v>
      </c>
      <c r="W4117">
        <v>0.17006289999999999</v>
      </c>
      <c r="X4117">
        <v>0.98507009999999995</v>
      </c>
      <c r="Y4117">
        <v>6.6939230000000002E-2</v>
      </c>
      <c r="Z4117">
        <v>2.6540299999999999E-3</v>
      </c>
      <c r="AA4117">
        <v>0.99775349999999996</v>
      </c>
      <c r="AB4117">
        <v>35</v>
      </c>
      <c r="AC4117">
        <v>-20.522699999999901</v>
      </c>
      <c r="AD4117">
        <v>-1.1235265906349901</v>
      </c>
      <c r="AE4117">
        <v>1.16959999999997</v>
      </c>
      <c r="AF4117">
        <v>1.39900950525637</v>
      </c>
      <c r="AG4117">
        <v>-1.1235265906349901</v>
      </c>
      <c r="AH4117">
        <v>20.446970336724998</v>
      </c>
      <c r="AI4117">
        <v>93.137822213952404</v>
      </c>
      <c r="AJ4117">
        <v>86.085845288966297</v>
      </c>
      <c r="AK4117">
        <v>20.525548361653499</v>
      </c>
      <c r="AL4117">
        <v>80.208523559754198</v>
      </c>
      <c r="AM4117">
        <v>88.444599559716806</v>
      </c>
      <c r="AN4117">
        <v>0.99999997716445799</v>
      </c>
    </row>
    <row r="4118" spans="1:40" x14ac:dyDescent="0.25">
      <c r="A4118" t="str">
        <f>"20190303162341478"</f>
        <v>20190303162341478</v>
      </c>
      <c r="B4118" t="str">
        <f>"1551601421469374"</f>
        <v>1551601421469374</v>
      </c>
      <c r="C4118" t="s">
        <v>40</v>
      </c>
      <c r="D4118">
        <v>5.8969829999999996</v>
      </c>
      <c r="E4118">
        <v>0.53173139999999997</v>
      </c>
      <c r="F4118" t="s">
        <v>41</v>
      </c>
      <c r="G4118">
        <v>-251.10509999999999</v>
      </c>
      <c r="H4118" s="1">
        <v>-4.7321139999999999E-6</v>
      </c>
      <c r="I4118">
        <v>144.3074</v>
      </c>
      <c r="J4118">
        <v>-231.03280000000001</v>
      </c>
      <c r="K4118">
        <v>1.1232580000000001</v>
      </c>
      <c r="L4118">
        <v>142.49279999999999</v>
      </c>
      <c r="M4118">
        <v>-0.99984479999999998</v>
      </c>
      <c r="N4118">
        <v>-1.090153E-2</v>
      </c>
      <c r="O4118">
        <v>-1.384027E-2</v>
      </c>
      <c r="P4118">
        <v>-0.98663190000000001</v>
      </c>
      <c r="Q4118">
        <v>0.16113339999999901</v>
      </c>
      <c r="R4118">
        <v>2.4364199999999999E-2</v>
      </c>
      <c r="S4118">
        <v>-3.0616300000000001</v>
      </c>
      <c r="T4118">
        <v>-0.168291</v>
      </c>
      <c r="U4118">
        <v>0.27082820000000002</v>
      </c>
      <c r="V4118">
        <v>3.6778489999999997E-2</v>
      </c>
      <c r="W4118">
        <v>0.17214409999999999</v>
      </c>
      <c r="X4118">
        <v>0.98438499999999995</v>
      </c>
      <c r="Y4118">
        <v>0.10169739999999999</v>
      </c>
      <c r="Z4118">
        <v>3.951759E-3</v>
      </c>
      <c r="AA4118">
        <v>0.99480749999999996</v>
      </c>
      <c r="AB4118">
        <v>35</v>
      </c>
      <c r="AC4118">
        <v>-20.072299999999899</v>
      </c>
      <c r="AD4118">
        <v>-1.1232627321140001</v>
      </c>
      <c r="AE4118">
        <v>1.81460000000001</v>
      </c>
      <c r="AF4118">
        <v>2.0857698539205298</v>
      </c>
      <c r="AG4118">
        <v>-1.1232627321140001</v>
      </c>
      <c r="AH4118">
        <v>19.9831888169678</v>
      </c>
      <c r="AI4118">
        <v>93.199885488081307</v>
      </c>
      <c r="AJ4118">
        <v>84.041259159960504</v>
      </c>
      <c r="AK4118">
        <v>20.123120790361199</v>
      </c>
      <c r="AL4118">
        <v>80.087495364595</v>
      </c>
      <c r="AM4118">
        <v>87.860316276782996</v>
      </c>
      <c r="AN4118">
        <v>1.0000000383582399</v>
      </c>
    </row>
    <row r="4119" spans="1:40" x14ac:dyDescent="0.25">
      <c r="A4119" t="str">
        <f>"20190303162341499"</f>
        <v>20190303162341499</v>
      </c>
      <c r="B4119" t="str">
        <f>"1551601421488504"</f>
        <v>1551601421488504</v>
      </c>
      <c r="C4119" t="s">
        <v>40</v>
      </c>
      <c r="D4119">
        <v>5.9336529999999996</v>
      </c>
      <c r="E4119">
        <v>0.53154279999999998</v>
      </c>
      <c r="F4119" t="s">
        <v>41</v>
      </c>
      <c r="G4119">
        <v>-251.72329999999999</v>
      </c>
      <c r="H4119" s="1">
        <v>-4.5590160000000003E-6</v>
      </c>
      <c r="I4119">
        <v>144.51779999999999</v>
      </c>
      <c r="J4119">
        <v>-231.37039999999999</v>
      </c>
      <c r="K4119">
        <v>1.123073</v>
      </c>
      <c r="L4119">
        <v>142.48589999999999</v>
      </c>
      <c r="M4119">
        <v>-0.99981359999999997</v>
      </c>
      <c r="N4119">
        <v>-1.0886389999999999E-2</v>
      </c>
      <c r="O4119">
        <v>-1.5954389999999999E-2</v>
      </c>
      <c r="P4119">
        <v>-0.98569790000000002</v>
      </c>
      <c r="Q4119">
        <v>0.16473399999999999</v>
      </c>
      <c r="R4119">
        <v>3.5535999999999998E-2</v>
      </c>
      <c r="S4119">
        <v>-3.0603940000000001</v>
      </c>
      <c r="T4119">
        <v>-0.16614519999999999</v>
      </c>
      <c r="U4119">
        <v>0.29953000000000002</v>
      </c>
      <c r="V4119">
        <v>5.0077379999999998E-2</v>
      </c>
      <c r="W4119">
        <v>0.17578840000000001</v>
      </c>
      <c r="X4119">
        <v>0.98315350000000001</v>
      </c>
      <c r="Y4119">
        <v>0.11306140000000001</v>
      </c>
      <c r="Z4119">
        <v>4.3673169999999999E-3</v>
      </c>
      <c r="AA4119">
        <v>0.99357839999999997</v>
      </c>
      <c r="AB4119">
        <v>35</v>
      </c>
      <c r="AC4119">
        <v>-20.352900000000002</v>
      </c>
      <c r="AD4119">
        <v>-1.123077559016</v>
      </c>
      <c r="AE4119">
        <v>2.0318999999999998</v>
      </c>
      <c r="AF4119">
        <v>2.3492959716669599</v>
      </c>
      <c r="AG4119">
        <v>-1.123077559016</v>
      </c>
      <c r="AH4119">
        <v>20.25681910202</v>
      </c>
      <c r="AI4119">
        <v>93.152255417442802</v>
      </c>
      <c r="AJ4119">
        <v>83.384643731747005</v>
      </c>
      <c r="AK4119">
        <v>20.423496637403101</v>
      </c>
      <c r="AL4119">
        <v>79.875459192443202</v>
      </c>
      <c r="AM4119">
        <v>87.084132788759007</v>
      </c>
      <c r="AN4119">
        <v>1.0000000550622301</v>
      </c>
    </row>
    <row r="4120" spans="1:40" x14ac:dyDescent="0.25">
      <c r="A4120" t="str">
        <f>"20190303162341521"</f>
        <v>20190303162341521</v>
      </c>
      <c r="B4120" t="str">
        <f>"1551601421509001"</f>
        <v>1551601421509001</v>
      </c>
      <c r="C4120" t="s">
        <v>40</v>
      </c>
      <c r="D4120">
        <v>5.9326730000000003</v>
      </c>
      <c r="E4120">
        <v>0.53142509999999998</v>
      </c>
      <c r="F4120" t="s">
        <v>41</v>
      </c>
      <c r="G4120">
        <v>-253.9161</v>
      </c>
      <c r="H4120" s="1">
        <v>-3.8857300000000003E-6</v>
      </c>
      <c r="I4120">
        <v>144.9289</v>
      </c>
      <c r="J4120">
        <v>-231.7183</v>
      </c>
      <c r="K4120">
        <v>1.1229020000000001</v>
      </c>
      <c r="L4120">
        <v>142.47819999999999</v>
      </c>
      <c r="M4120">
        <v>-0.99977850000000001</v>
      </c>
      <c r="N4120">
        <v>-1.087223E-2</v>
      </c>
      <c r="O4120">
        <v>-1.8024060000000001E-2</v>
      </c>
      <c r="P4120">
        <v>-0.98481510000000005</v>
      </c>
      <c r="Q4120">
        <v>0.16664119999999999</v>
      </c>
      <c r="R4120">
        <v>4.8684190000000002E-2</v>
      </c>
      <c r="S4120">
        <v>-3.057007</v>
      </c>
      <c r="T4120">
        <v>-0.15227950000000001</v>
      </c>
      <c r="U4120">
        <v>0.33125310000000002</v>
      </c>
      <c r="V4120">
        <v>6.5310670000000001E-2</v>
      </c>
      <c r="W4120">
        <v>0.17774179999999901</v>
      </c>
      <c r="X4120">
        <v>0.98190750000000004</v>
      </c>
      <c r="Y4120">
        <v>0.1254295</v>
      </c>
      <c r="Z4120">
        <v>4.4969529999999997E-3</v>
      </c>
      <c r="AA4120">
        <v>0.99209230000000004</v>
      </c>
      <c r="AB4120">
        <v>35</v>
      </c>
      <c r="AC4120">
        <v>-22.197800000000001</v>
      </c>
      <c r="AD4120">
        <v>-1.1229058857300001</v>
      </c>
      <c r="AE4120">
        <v>2.4507000000000101</v>
      </c>
      <c r="AF4120">
        <v>2.84323179111554</v>
      </c>
      <c r="AG4120">
        <v>-1.1229058857300001</v>
      </c>
      <c r="AH4120">
        <v>22.0941617705097</v>
      </c>
      <c r="AI4120">
        <v>92.885721667416604</v>
      </c>
      <c r="AJ4120">
        <v>82.667078353058699</v>
      </c>
      <c r="AK4120">
        <v>22.304637835832899</v>
      </c>
      <c r="AL4120">
        <v>79.761746257494707</v>
      </c>
      <c r="AM4120">
        <v>86.194629374674093</v>
      </c>
      <c r="AN4120">
        <v>0.99999998481966901</v>
      </c>
    </row>
    <row r="4121" spans="1:40" x14ac:dyDescent="0.25">
      <c r="A4121" t="str">
        <f>"20190303162341546"</f>
        <v>20190303162341546</v>
      </c>
      <c r="B4121" t="str">
        <f>"1551601421528520"</f>
        <v>1551601421528520</v>
      </c>
      <c r="C4121" t="s">
        <v>40</v>
      </c>
      <c r="D4121">
        <v>5.9366940000000001</v>
      </c>
      <c r="E4121">
        <v>0.52989759999999997</v>
      </c>
      <c r="F4121" t="s">
        <v>41</v>
      </c>
      <c r="G4121">
        <v>-254.99969999999999</v>
      </c>
      <c r="H4121" s="1">
        <v>-3.5790400000000002E-6</v>
      </c>
      <c r="I4121">
        <v>145.27869999999999</v>
      </c>
      <c r="J4121">
        <v>-232.09610000000001</v>
      </c>
      <c r="K4121">
        <v>1.1226750000000001</v>
      </c>
      <c r="L4121">
        <v>142.4691</v>
      </c>
      <c r="M4121">
        <v>-0.9997393</v>
      </c>
      <c r="N4121">
        <v>-1.0857810000000001E-2</v>
      </c>
      <c r="O4121">
        <v>-2.0089079999999999E-2</v>
      </c>
      <c r="P4121">
        <v>-0.98412069999999996</v>
      </c>
      <c r="Q4121">
        <v>0.16593869999999999</v>
      </c>
      <c r="R4121">
        <v>6.3015940000000006E-2</v>
      </c>
      <c r="S4121">
        <v>-3.0530400000000002</v>
      </c>
      <c r="T4121">
        <v>-0.1472541</v>
      </c>
      <c r="U4121">
        <v>0.36726379999999997</v>
      </c>
      <c r="V4121">
        <v>8.1756079999999995E-2</v>
      </c>
      <c r="W4121">
        <v>0.1770726</v>
      </c>
      <c r="X4121">
        <v>0.98079620000000001</v>
      </c>
      <c r="Y4121">
        <v>0.13914609999999999</v>
      </c>
      <c r="Z4121">
        <v>4.8482959999999898E-3</v>
      </c>
      <c r="AA4121">
        <v>0.99026000000000003</v>
      </c>
      <c r="AB4121">
        <v>35</v>
      </c>
      <c r="AC4121">
        <v>-22.903599999999901</v>
      </c>
      <c r="AD4121">
        <v>-1.12267857904</v>
      </c>
      <c r="AE4121">
        <v>2.8095999999999801</v>
      </c>
      <c r="AF4121">
        <v>3.2614521001000898</v>
      </c>
      <c r="AG4121">
        <v>-1.12267857904</v>
      </c>
      <c r="AH4121">
        <v>22.788588883517001</v>
      </c>
      <c r="AI4121">
        <v>92.7919900715723</v>
      </c>
      <c r="AJ4121">
        <v>81.8552638102081</v>
      </c>
      <c r="AK4121">
        <v>23.0481509083709</v>
      </c>
      <c r="AL4121">
        <v>79.800706491311999</v>
      </c>
      <c r="AM4121">
        <v>85.235020298598798</v>
      </c>
      <c r="AN4121">
        <v>0.99999997411108199</v>
      </c>
    </row>
    <row r="4122" spans="1:40" x14ac:dyDescent="0.25">
      <c r="A4122" t="str">
        <f>"20190303162341567"</f>
        <v>20190303162341567</v>
      </c>
      <c r="B4122" t="str">
        <f>"1551601421558776"</f>
        <v>1551601421558776</v>
      </c>
      <c r="C4122" t="s">
        <v>40</v>
      </c>
      <c r="D4122">
        <v>5.9278969999999997</v>
      </c>
      <c r="E4122">
        <v>0.52972559999999902</v>
      </c>
      <c r="F4122" t="s">
        <v>41</v>
      </c>
      <c r="G4122">
        <v>-254.40389999999999</v>
      </c>
      <c r="H4122" s="1">
        <v>-3.796838E-6</v>
      </c>
      <c r="I4122">
        <v>145.36349999999999</v>
      </c>
      <c r="J4122">
        <v>-232.4391</v>
      </c>
      <c r="K4122">
        <v>1.1223920000000001</v>
      </c>
      <c r="L4122">
        <v>142.46029999999999</v>
      </c>
      <c r="M4122">
        <v>-0.99970590000000004</v>
      </c>
      <c r="N4122">
        <v>-1.0844879999999999E-2</v>
      </c>
      <c r="O4122">
        <v>-2.1694930000000001E-2</v>
      </c>
      <c r="P4122">
        <v>-0.98358469999999998</v>
      </c>
      <c r="Q4122">
        <v>0.16542009999999999</v>
      </c>
      <c r="R4122">
        <v>7.2094080000000005E-2</v>
      </c>
      <c r="S4122">
        <v>-3.0489350000000002</v>
      </c>
      <c r="T4122">
        <v>-0.15344289999999999</v>
      </c>
      <c r="U4122">
        <v>0.39561459999999998</v>
      </c>
      <c r="V4122">
        <v>9.2517409999999994E-2</v>
      </c>
      <c r="W4122">
        <v>0.17653239999999901</v>
      </c>
      <c r="X4122">
        <v>0.97993710000000001</v>
      </c>
      <c r="Y4122">
        <v>0.14991769999999999</v>
      </c>
      <c r="Z4122">
        <v>5.4240900000000003E-3</v>
      </c>
      <c r="AA4122">
        <v>0.9886836</v>
      </c>
      <c r="AB4122">
        <v>35</v>
      </c>
      <c r="AC4122">
        <v>-21.9648</v>
      </c>
      <c r="AD4122">
        <v>-1.1223957968380001</v>
      </c>
      <c r="AE4122">
        <v>2.9031999999999898</v>
      </c>
      <c r="AF4122">
        <v>3.3704197224667798</v>
      </c>
      <c r="AG4122">
        <v>-1.1223957968380001</v>
      </c>
      <c r="AH4122">
        <v>21.8405906855048</v>
      </c>
      <c r="AI4122">
        <v>92.907506288315005</v>
      </c>
      <c r="AJ4122">
        <v>81.227369816195704</v>
      </c>
      <c r="AK4122">
        <v>22.127604997426001</v>
      </c>
      <c r="AL4122">
        <v>79.832152717277907</v>
      </c>
      <c r="AM4122">
        <v>84.606601779017694</v>
      </c>
      <c r="AN4122">
        <v>0.99999993967963696</v>
      </c>
    </row>
    <row r="4123" spans="1:40" x14ac:dyDescent="0.25">
      <c r="A4123" t="str">
        <f>"20190303162341589"</f>
        <v>20190303162341589</v>
      </c>
      <c r="B4123" t="str">
        <f>"1551601421579272"</f>
        <v>1551601421579272</v>
      </c>
      <c r="C4123" t="s">
        <v>40</v>
      </c>
      <c r="D4123">
        <v>5.9382449999999896</v>
      </c>
      <c r="E4123">
        <v>0.51873230000000004</v>
      </c>
      <c r="F4123" t="s">
        <v>41</v>
      </c>
      <c r="G4123">
        <v>-254.16200000000001</v>
      </c>
      <c r="H4123" s="1">
        <v>-3.8979539999999998E-6</v>
      </c>
      <c r="I4123">
        <v>145.46950000000001</v>
      </c>
      <c r="J4123">
        <v>-232.79050000000001</v>
      </c>
      <c r="K4123">
        <v>1.1220699999999999</v>
      </c>
      <c r="L4123">
        <v>142.45099999999999</v>
      </c>
      <c r="M4123">
        <v>-0.99967550000000005</v>
      </c>
      <c r="N4123">
        <v>-1.0832659999999999E-2</v>
      </c>
      <c r="O4123">
        <v>-2.3056710000000001E-2</v>
      </c>
      <c r="P4123">
        <v>-0.98355630000000005</v>
      </c>
      <c r="Q4123">
        <v>0.16524129999999901</v>
      </c>
      <c r="R4123">
        <v>7.2887530000000006E-2</v>
      </c>
      <c r="S4123">
        <v>-3.0456240000000001</v>
      </c>
      <c r="T4123">
        <v>-0.15736420000000001</v>
      </c>
      <c r="U4123">
        <v>0.42190549999999999</v>
      </c>
      <c r="V4123">
        <v>9.4786449999999994E-2</v>
      </c>
      <c r="W4123">
        <v>0.17627609999999999</v>
      </c>
      <c r="X4123">
        <v>0.97976640000000004</v>
      </c>
      <c r="Y4123">
        <v>0.1597489</v>
      </c>
      <c r="Z4123">
        <v>5.9116899999999998E-3</v>
      </c>
      <c r="AA4123">
        <v>0.98714000000000002</v>
      </c>
      <c r="AB4123">
        <v>35</v>
      </c>
      <c r="AC4123">
        <v>-21.371500000000001</v>
      </c>
      <c r="AD4123">
        <v>-1.1220738979539999</v>
      </c>
      <c r="AE4123">
        <v>3.0185000000000102</v>
      </c>
      <c r="AF4123">
        <v>3.50102070165899</v>
      </c>
      <c r="AG4123">
        <v>-1.1220738979539999</v>
      </c>
      <c r="AH4123">
        <v>21.238815424712602</v>
      </c>
      <c r="AI4123">
        <v>92.984002702942703</v>
      </c>
      <c r="AJ4123">
        <v>80.639501759262501</v>
      </c>
      <c r="AK4123">
        <v>21.5546625218518</v>
      </c>
      <c r="AL4123">
        <v>79.847071862882501</v>
      </c>
      <c r="AM4123">
        <v>84.474177855422298</v>
      </c>
      <c r="AN4123">
        <v>0.99999996655188494</v>
      </c>
    </row>
    <row r="4124" spans="1:40" x14ac:dyDescent="0.25">
      <c r="A4124" t="str">
        <f>"20190303162341611"</f>
        <v>20190303162341611</v>
      </c>
      <c r="B4124" t="str">
        <f>"1551601421598792"</f>
        <v>1551601421598792</v>
      </c>
      <c r="C4124" t="s">
        <v>40</v>
      </c>
      <c r="D4124">
        <v>5.9599320000000002</v>
      </c>
      <c r="E4124">
        <v>0.51689640000000003</v>
      </c>
      <c r="F4124" t="s">
        <v>41</v>
      </c>
      <c r="G4124">
        <v>-252.63640000000001</v>
      </c>
      <c r="H4124" s="1">
        <v>-4.2763710000000001E-6</v>
      </c>
      <c r="I4124">
        <v>144.67599999999999</v>
      </c>
      <c r="J4124">
        <v>-233.12479999999999</v>
      </c>
      <c r="K4124">
        <v>1.121729</v>
      </c>
      <c r="L4124">
        <v>142.44220000000001</v>
      </c>
      <c r="M4124">
        <v>-0.99965440000000005</v>
      </c>
      <c r="N4124">
        <v>-1.0822989999999999E-2</v>
      </c>
      <c r="O4124">
        <v>-2.3961329999999999E-2</v>
      </c>
      <c r="P4124">
        <v>-0.98372499999999996</v>
      </c>
      <c r="Q4124">
        <v>0.16682739999999999</v>
      </c>
      <c r="R4124">
        <v>6.6736770000000001E-2</v>
      </c>
      <c r="S4124">
        <v>-3.0537869999999998</v>
      </c>
      <c r="T4124">
        <v>-0.17265920000000001</v>
      </c>
      <c r="U4124">
        <v>0.34237669999999998</v>
      </c>
      <c r="V4124">
        <v>8.9682590000000006E-2</v>
      </c>
      <c r="W4124">
        <v>0.17775170000000001</v>
      </c>
      <c r="X4124">
        <v>0.97998030000000003</v>
      </c>
      <c r="Y4124">
        <v>0.13492009999999999</v>
      </c>
      <c r="Z4124">
        <v>5.6238549999999997E-3</v>
      </c>
      <c r="AA4124">
        <v>0.99084059999999896</v>
      </c>
      <c r="AB4124">
        <v>35</v>
      </c>
      <c r="AC4124">
        <v>-19.511600000000001</v>
      </c>
      <c r="AD4124">
        <v>-1.121733276371</v>
      </c>
      <c r="AE4124">
        <v>2.2338</v>
      </c>
      <c r="AF4124">
        <v>2.6919276305000799</v>
      </c>
      <c r="AG4124">
        <v>-1.121733276371</v>
      </c>
      <c r="AH4124">
        <v>19.389213839458701</v>
      </c>
      <c r="AI4124">
        <v>93.279680539025605</v>
      </c>
      <c r="AJ4124">
        <v>82.095790745642802</v>
      </c>
      <c r="AK4124">
        <v>19.607304078414799</v>
      </c>
      <c r="AL4124">
        <v>79.761170122649006</v>
      </c>
      <c r="AM4124">
        <v>84.771159310336699</v>
      </c>
      <c r="AN4124">
        <v>1.00000001109504</v>
      </c>
    </row>
    <row r="4125" spans="1:40" x14ac:dyDescent="0.25">
      <c r="A4125" t="str">
        <f>"20190303162341632"</f>
        <v>20190303162341632</v>
      </c>
      <c r="B4125" t="str">
        <f>"1551601421619288"</f>
        <v>1551601421619288</v>
      </c>
      <c r="C4125" t="s">
        <v>40</v>
      </c>
      <c r="D4125">
        <v>6.016953</v>
      </c>
      <c r="E4125">
        <v>0.478968</v>
      </c>
      <c r="F4125" t="s">
        <v>41</v>
      </c>
      <c r="G4125">
        <v>-254.15710000000001</v>
      </c>
      <c r="H4125" s="1">
        <v>-3.7519270000000001E-6</v>
      </c>
      <c r="I4125">
        <v>144.6369</v>
      </c>
      <c r="J4125">
        <v>-233.4795</v>
      </c>
      <c r="K4125">
        <v>1.1213029999999999</v>
      </c>
      <c r="L4125">
        <v>142.4331</v>
      </c>
      <c r="M4125">
        <v>-0.9996448</v>
      </c>
      <c r="N4125">
        <v>-1.0816289999999999E-2</v>
      </c>
      <c r="O4125">
        <v>-2.4359539999999999E-2</v>
      </c>
      <c r="P4125">
        <v>-0.98447609999999997</v>
      </c>
      <c r="Q4125">
        <v>0.16769600000000001</v>
      </c>
      <c r="R4125">
        <v>5.1817090000000003E-2</v>
      </c>
      <c r="S4125">
        <v>-3.055634</v>
      </c>
      <c r="T4125">
        <v>-0.1629688</v>
      </c>
      <c r="U4125">
        <v>0.3188629</v>
      </c>
      <c r="V4125">
        <v>7.5378749999999994E-2</v>
      </c>
      <c r="W4125">
        <v>0.1784897</v>
      </c>
      <c r="X4125">
        <v>0.98105019999999998</v>
      </c>
      <c r="Y4125">
        <v>0.12774920000000001</v>
      </c>
      <c r="Z4125">
        <v>5.1209360000000004E-3</v>
      </c>
      <c r="AA4125">
        <v>0.99179329999999999</v>
      </c>
      <c r="AB4125">
        <v>35</v>
      </c>
      <c r="AC4125">
        <v>-20.677600000000002</v>
      </c>
      <c r="AD4125">
        <v>-1.1213067519269999</v>
      </c>
      <c r="AE4125">
        <v>2.2038000000000002</v>
      </c>
      <c r="AF4125">
        <v>2.69902439963567</v>
      </c>
      <c r="AG4125">
        <v>-1.1213067519269999</v>
      </c>
      <c r="AH4125">
        <v>20.5580011456465</v>
      </c>
      <c r="AI4125">
        <v>93.095510992252002</v>
      </c>
      <c r="AJ4125">
        <v>82.520514142561098</v>
      </c>
      <c r="AK4125">
        <v>20.7647170133895</v>
      </c>
      <c r="AL4125">
        <v>79.718198673761407</v>
      </c>
      <c r="AM4125">
        <v>85.6063254870771</v>
      </c>
      <c r="AN4125">
        <v>1.0000000119388399</v>
      </c>
    </row>
    <row r="4126" spans="1:40" x14ac:dyDescent="0.25">
      <c r="A4126" t="str">
        <f>"20190303162341656"</f>
        <v>20190303162341656</v>
      </c>
      <c r="B4126" t="str">
        <f>"1551601421648569"</f>
        <v>1551601421648569</v>
      </c>
      <c r="C4126" t="s">
        <v>40</v>
      </c>
      <c r="D4126">
        <v>6.2083409999999999</v>
      </c>
      <c r="E4126">
        <v>0.46038649999999998</v>
      </c>
      <c r="F4126" t="s">
        <v>41</v>
      </c>
      <c r="G4126">
        <v>-249.8049</v>
      </c>
      <c r="H4126" s="1">
        <v>-7.9151090000000001E-7</v>
      </c>
      <c r="I4126">
        <v>142.34289999999999</v>
      </c>
      <c r="J4126">
        <v>-233.84440000000001</v>
      </c>
      <c r="K4126">
        <v>1.1207739999999999</v>
      </c>
      <c r="L4126">
        <v>142.42420000000001</v>
      </c>
      <c r="M4126">
        <v>-0.99965170000000003</v>
      </c>
      <c r="N4126">
        <v>-1.0815440000000001E-2</v>
      </c>
      <c r="O4126">
        <v>-2.4079260000000002E-2</v>
      </c>
      <c r="P4126">
        <v>-0.98496209999999995</v>
      </c>
      <c r="Q4126">
        <v>0.16923099999999999</v>
      </c>
      <c r="R4126">
        <v>3.479633E-2</v>
      </c>
      <c r="S4126">
        <v>-3.0842900000000002</v>
      </c>
      <c r="T4126">
        <v>-0.21184349999999999</v>
      </c>
      <c r="U4126">
        <v>-1.7028809999999998E-2</v>
      </c>
      <c r="V4126">
        <v>5.8341190000000001E-2</v>
      </c>
      <c r="W4126">
        <v>0.17991489999999999</v>
      </c>
      <c r="X4126">
        <v>0.98195060000000001</v>
      </c>
      <c r="Y4126">
        <v>1.8470190000000001E-2</v>
      </c>
      <c r="Z4126">
        <v>2.1251519999999999E-3</v>
      </c>
      <c r="AA4126">
        <v>0.99982709999999997</v>
      </c>
      <c r="AB4126">
        <v>35</v>
      </c>
      <c r="AC4126">
        <v>-15.9604999999999</v>
      </c>
      <c r="AD4126">
        <v>-1.1207747915109001</v>
      </c>
      <c r="AE4126">
        <v>-8.1300000000027198E-2</v>
      </c>
      <c r="AF4126">
        <v>0.30157596305231998</v>
      </c>
      <c r="AG4126">
        <v>-1.1207747915109001</v>
      </c>
      <c r="AH4126">
        <v>15.8795280189359</v>
      </c>
      <c r="AI4126">
        <v>94.036507403940206</v>
      </c>
      <c r="AJ4126">
        <v>88.911998333179994</v>
      </c>
      <c r="AK4126">
        <v>15.9218872718955</v>
      </c>
      <c r="AL4126">
        <v>79.635197231829395</v>
      </c>
      <c r="AM4126">
        <v>86.599850286819304</v>
      </c>
      <c r="AN4126">
        <v>1.0000000232664901</v>
      </c>
    </row>
    <row r="4127" spans="1:40" x14ac:dyDescent="0.25">
      <c r="A4127" t="str">
        <f>"20190303162341677"</f>
        <v>20190303162341677</v>
      </c>
      <c r="B4127" t="str">
        <f>"1551601421669064"</f>
        <v>1551601421669064</v>
      </c>
      <c r="C4127" t="s">
        <v>40</v>
      </c>
      <c r="D4127">
        <v>6.0840389999999998</v>
      </c>
      <c r="E4127">
        <v>0.45575009999999999</v>
      </c>
      <c r="F4127" t="s">
        <v>41</v>
      </c>
      <c r="G4127">
        <v>-246.5154</v>
      </c>
      <c r="H4127" s="1">
        <v>-1.9949149999999999E-6</v>
      </c>
      <c r="I4127">
        <v>141.56200000000001</v>
      </c>
      <c r="J4127">
        <v>-234.19309999999999</v>
      </c>
      <c r="K4127">
        <v>1.12022</v>
      </c>
      <c r="L4127">
        <v>142.41650000000001</v>
      </c>
      <c r="M4127">
        <v>-0.99967329999999999</v>
      </c>
      <c r="N4127">
        <v>-1.082085E-2</v>
      </c>
      <c r="O4127">
        <v>-2.3159929999999999E-2</v>
      </c>
      <c r="P4127">
        <v>-0.98473679999999997</v>
      </c>
      <c r="Q4127">
        <v>0.17305319999999999</v>
      </c>
      <c r="R4127">
        <v>1.861581E-2</v>
      </c>
      <c r="S4127">
        <v>-3.1003720000000001</v>
      </c>
      <c r="T4127">
        <v>-0.27423540000000002</v>
      </c>
      <c r="U4127">
        <v>-0.2109528</v>
      </c>
      <c r="V4127">
        <v>4.1502799999999999E-2</v>
      </c>
      <c r="W4127">
        <v>0.18367259999999999</v>
      </c>
      <c r="X4127">
        <v>0.98211090000000001</v>
      </c>
      <c r="Y4127">
        <v>-4.4632600000000001E-2</v>
      </c>
      <c r="Z4127">
        <v>-4.1840900000000001E-4</v>
      </c>
      <c r="AA4127">
        <v>0.99900339999999999</v>
      </c>
      <c r="AB4127">
        <v>35</v>
      </c>
      <c r="AC4127">
        <v>-12.3223</v>
      </c>
      <c r="AD4127">
        <v>-1.1202219949150001</v>
      </c>
      <c r="AE4127">
        <v>-0.85450000000000104</v>
      </c>
      <c r="AF4127">
        <v>-0.56422963876420495</v>
      </c>
      <c r="AG4127">
        <v>-1.1202219949150001</v>
      </c>
      <c r="AH4127">
        <v>12.238125945479499</v>
      </c>
      <c r="AI4127">
        <v>95.224499846455799</v>
      </c>
      <c r="AJ4127">
        <v>92.639709774084096</v>
      </c>
      <c r="AK4127">
        <v>12.3022347181547</v>
      </c>
      <c r="AL4127">
        <v>79.4162476833189</v>
      </c>
      <c r="AM4127">
        <v>87.580190501755098</v>
      </c>
      <c r="AN4127">
        <v>0.99999996314870399</v>
      </c>
    </row>
    <row r="4128" spans="1:40" x14ac:dyDescent="0.25">
      <c r="A4128" t="str">
        <f>"20190303162341699"</f>
        <v>20190303162341699</v>
      </c>
      <c r="B4128" t="str">
        <f>"1551601421688584"</f>
        <v>1551601421688584</v>
      </c>
      <c r="C4128" t="s">
        <v>40</v>
      </c>
      <c r="D4128">
        <v>6.0613029999999997</v>
      </c>
      <c r="E4128">
        <v>0.4553238</v>
      </c>
      <c r="F4128" t="s">
        <v>41</v>
      </c>
      <c r="G4128">
        <v>-246.4889</v>
      </c>
      <c r="H4128" s="1">
        <v>-1.9135489999999998E-6</v>
      </c>
      <c r="I4128">
        <v>141.21350000000001</v>
      </c>
      <c r="J4128">
        <v>-234.5299</v>
      </c>
      <c r="K4128">
        <v>1.1196969999999999</v>
      </c>
      <c r="L4128">
        <v>142.40979999999999</v>
      </c>
      <c r="M4128">
        <v>-0.99970530000000002</v>
      </c>
      <c r="N4128">
        <v>-1.0828630000000001E-2</v>
      </c>
      <c r="O4128">
        <v>-2.1727739999999999E-2</v>
      </c>
      <c r="P4128">
        <v>-0.98445660000000001</v>
      </c>
      <c r="Q4128">
        <v>0.17554979999999901</v>
      </c>
      <c r="R4128">
        <v>5.2581490000000002E-3</v>
      </c>
      <c r="S4128">
        <v>-3.1018979999999998</v>
      </c>
      <c r="T4128">
        <v>-0.28260210000000002</v>
      </c>
      <c r="U4128">
        <v>-0.30346679999999998</v>
      </c>
      <c r="V4128">
        <v>2.6965240000000001E-2</v>
      </c>
      <c r="W4128">
        <v>0.1861506</v>
      </c>
      <c r="X4128">
        <v>0.9821512</v>
      </c>
      <c r="Y4128">
        <v>-7.5441599999999998E-2</v>
      </c>
      <c r="Z4128">
        <v>-2.0960179999999998E-3</v>
      </c>
      <c r="AA4128">
        <v>0.99714800000000003</v>
      </c>
      <c r="AB4128">
        <v>35</v>
      </c>
      <c r="AC4128">
        <v>-11.959</v>
      </c>
      <c r="AD4128">
        <v>-1.1196989135490001</v>
      </c>
      <c r="AE4128">
        <v>-1.1962999999999699</v>
      </c>
      <c r="AF4128">
        <v>-0.92810490501189602</v>
      </c>
      <c r="AG4128">
        <v>-1.1196989135490001</v>
      </c>
      <c r="AH4128">
        <v>11.8790679604244</v>
      </c>
      <c r="AI4128">
        <v>95.368420561138294</v>
      </c>
      <c r="AJ4128">
        <v>94.467411803625794</v>
      </c>
      <c r="AK4128">
        <v>11.9677633658128</v>
      </c>
      <c r="AL4128">
        <v>79.271778538764593</v>
      </c>
      <c r="AM4128">
        <v>88.427323186860306</v>
      </c>
      <c r="AN4128">
        <v>1.00000007485502</v>
      </c>
    </row>
    <row r="4129" spans="1:40" x14ac:dyDescent="0.25">
      <c r="A4129" t="str">
        <f>"20190303162341723"</f>
        <v>20190303162341723</v>
      </c>
      <c r="B4129" t="str">
        <f>"1551601421718840"</f>
        <v>1551601421718840</v>
      </c>
      <c r="C4129" t="s">
        <v>40</v>
      </c>
      <c r="D4129">
        <v>6.0981239999999897</v>
      </c>
      <c r="E4129">
        <v>0.45673540000000001</v>
      </c>
      <c r="F4129" t="s">
        <v>41</v>
      </c>
      <c r="G4129">
        <v>-246.85740000000001</v>
      </c>
      <c r="H4129" s="1">
        <v>-1.698965E-6</v>
      </c>
      <c r="I4129">
        <v>141.00120000000001</v>
      </c>
      <c r="J4129">
        <v>-234.9034</v>
      </c>
      <c r="K4129">
        <v>1.119216</v>
      </c>
      <c r="L4129">
        <v>142.40350000000001</v>
      </c>
      <c r="M4129">
        <v>-0.99974819999999998</v>
      </c>
      <c r="N4129">
        <v>-1.08349E-2</v>
      </c>
      <c r="O4129">
        <v>-1.9649799999999999E-2</v>
      </c>
      <c r="P4129">
        <v>-0.98432869999999995</v>
      </c>
      <c r="Q4129">
        <v>0.17625150000000001</v>
      </c>
      <c r="R4129">
        <v>-5.6953630000000002E-3</v>
      </c>
      <c r="S4129">
        <v>-3.0994570000000001</v>
      </c>
      <c r="T4129">
        <v>-0.28152139999999998</v>
      </c>
      <c r="U4129">
        <v>-0.35415649999999999</v>
      </c>
      <c r="V4129">
        <v>1.4185720000000001E-2</v>
      </c>
      <c r="W4129">
        <v>0.186865</v>
      </c>
      <c r="X4129">
        <v>0.98228320000000002</v>
      </c>
      <c r="Y4129">
        <v>-9.3615169999999998E-2</v>
      </c>
      <c r="Z4129">
        <v>-3.1761799999999998E-3</v>
      </c>
      <c r="AA4129">
        <v>0.99560340000000003</v>
      </c>
      <c r="AB4129">
        <v>35</v>
      </c>
      <c r="AC4129">
        <v>-11.954000000000001</v>
      </c>
      <c r="AD4129">
        <v>-1.119217698965</v>
      </c>
      <c r="AE4129">
        <v>-1.4022999999999901</v>
      </c>
      <c r="AF4129">
        <v>-1.1571160985106701</v>
      </c>
      <c r="AG4129">
        <v>-1.119217698965</v>
      </c>
      <c r="AH4129">
        <v>11.8765513315892</v>
      </c>
      <c r="AI4129">
        <v>95.358295236652097</v>
      </c>
      <c r="AJ4129">
        <v>95.5646862288595</v>
      </c>
      <c r="AK4129">
        <v>11.9851590500495</v>
      </c>
      <c r="AL4129">
        <v>79.230114837931595</v>
      </c>
      <c r="AM4129">
        <v>89.1726160153747</v>
      </c>
      <c r="AN4129">
        <v>1.0000000239395701</v>
      </c>
    </row>
    <row r="4130" spans="1:40" x14ac:dyDescent="0.25">
      <c r="A4130" t="str">
        <f>"20190303162341746"</f>
        <v>20190303162341746</v>
      </c>
      <c r="B4130" t="str">
        <f>"1551601421739336"</f>
        <v>1551601421739336</v>
      </c>
      <c r="C4130" t="s">
        <v>40</v>
      </c>
      <c r="D4130">
        <v>5.9620470000000001</v>
      </c>
      <c r="E4130">
        <v>0.4577426</v>
      </c>
      <c r="F4130" t="s">
        <v>41</v>
      </c>
      <c r="G4130">
        <v>-247.14830000000001</v>
      </c>
      <c r="H4130" s="1">
        <v>-1.547538E-6</v>
      </c>
      <c r="I4130">
        <v>140.90100000000001</v>
      </c>
      <c r="J4130">
        <v>-235.2655</v>
      </c>
      <c r="K4130">
        <v>1.1188610000000001</v>
      </c>
      <c r="L4130">
        <v>142.39859999999999</v>
      </c>
      <c r="M4130">
        <v>-0.99979249999999997</v>
      </c>
      <c r="N4130">
        <v>-1.0835579999999999E-2</v>
      </c>
      <c r="O4130">
        <v>-1.7258780000000001E-2</v>
      </c>
      <c r="P4130">
        <v>-0.98444379999999998</v>
      </c>
      <c r="Q4130">
        <v>0.17535120000000001</v>
      </c>
      <c r="R4130">
        <v>-1.107764E-2</v>
      </c>
      <c r="S4130">
        <v>-3.096222</v>
      </c>
      <c r="T4130">
        <v>-0.2830046</v>
      </c>
      <c r="U4130">
        <v>-0.37991330000000001</v>
      </c>
      <c r="V4130">
        <v>6.6030849999999999E-3</v>
      </c>
      <c r="W4130">
        <v>0.18598519999999999</v>
      </c>
      <c r="X4130">
        <v>0.98253040000000003</v>
      </c>
      <c r="Y4130">
        <v>-0.1042151</v>
      </c>
      <c r="Z4130">
        <v>-3.9214059999999997E-3</v>
      </c>
      <c r="AA4130">
        <v>0.99454710000000002</v>
      </c>
      <c r="AB4130">
        <v>35</v>
      </c>
      <c r="AC4130">
        <v>-11.8828</v>
      </c>
      <c r="AD4130">
        <v>-1.1188625475380001</v>
      </c>
      <c r="AE4130">
        <v>-1.4975999999999701</v>
      </c>
      <c r="AF4130">
        <v>-1.28110192292057</v>
      </c>
      <c r="AG4130">
        <v>-1.1188625475380001</v>
      </c>
      <c r="AH4130">
        <v>11.8038642272132</v>
      </c>
      <c r="AI4130">
        <v>95.383338161092993</v>
      </c>
      <c r="AJ4130">
        <v>96.194204302773599</v>
      </c>
      <c r="AK4130">
        <v>11.925782415912</v>
      </c>
      <c r="AL4130">
        <v>79.281423328724102</v>
      </c>
      <c r="AM4130">
        <v>89.614950126039901</v>
      </c>
      <c r="AN4130">
        <v>1.00000004113735</v>
      </c>
    </row>
    <row r="4131" spans="1:40" x14ac:dyDescent="0.25">
      <c r="A4131" t="str">
        <f>"20190303162341769"</f>
        <v>20190303162341769</v>
      </c>
      <c r="B4131" t="str">
        <f>"1551601421758856"</f>
        <v>1551601421758856</v>
      </c>
      <c r="C4131" t="s">
        <v>40</v>
      </c>
      <c r="D4131">
        <v>6.2065330000000003</v>
      </c>
      <c r="E4131">
        <v>0.45993519999999999</v>
      </c>
      <c r="F4131" t="s">
        <v>41</v>
      </c>
      <c r="G4131">
        <v>-247.4803</v>
      </c>
      <c r="H4131" s="1">
        <v>-1.3874949999999999E-6</v>
      </c>
      <c r="I4131">
        <v>140.8348</v>
      </c>
      <c r="J4131">
        <v>-235.64279999999999</v>
      </c>
      <c r="K4131">
        <v>1.1186</v>
      </c>
      <c r="L4131">
        <v>142.39449999999999</v>
      </c>
      <c r="M4131">
        <v>-0.99983529999999998</v>
      </c>
      <c r="N4131">
        <v>-1.083167E-2</v>
      </c>
      <c r="O4131">
        <v>-1.456699E-2</v>
      </c>
      <c r="P4131">
        <v>-0.9851512</v>
      </c>
      <c r="Q4131">
        <v>0.17132929999999999</v>
      </c>
      <c r="R4131">
        <v>-1.111204E-2</v>
      </c>
      <c r="S4131">
        <v>-3.093445</v>
      </c>
      <c r="T4131">
        <v>-0.28335709999999997</v>
      </c>
      <c r="U4131">
        <v>-0.39601140000000001</v>
      </c>
      <c r="V4131">
        <v>4.0212030000000001E-3</v>
      </c>
      <c r="W4131">
        <v>0.1819751</v>
      </c>
      <c r="X4131">
        <v>0.98329489999999997</v>
      </c>
      <c r="Y4131">
        <v>-0.1120464</v>
      </c>
      <c r="Z4131">
        <v>-4.5420749999999996E-3</v>
      </c>
      <c r="AA4131">
        <v>0.99369260000000004</v>
      </c>
      <c r="AB4131">
        <v>35</v>
      </c>
      <c r="AC4131">
        <v>-11.8375</v>
      </c>
      <c r="AD4131">
        <v>-1.118601387495</v>
      </c>
      <c r="AE4131">
        <v>-1.5596999999999901</v>
      </c>
      <c r="AF4131">
        <v>-1.3750188307864599</v>
      </c>
      <c r="AG4131">
        <v>-1.118601387495</v>
      </c>
      <c r="AH4131">
        <v>11.7557824891351</v>
      </c>
      <c r="AI4131">
        <v>95.398930793986295</v>
      </c>
      <c r="AJ4131">
        <v>96.671306116980801</v>
      </c>
      <c r="AK4131">
        <v>11.888665517247</v>
      </c>
      <c r="AL4131">
        <v>79.515174850171903</v>
      </c>
      <c r="AM4131">
        <v>89.765689137537606</v>
      </c>
      <c r="AN4131">
        <v>0.99999998372979304</v>
      </c>
    </row>
    <row r="4132" spans="1:40" x14ac:dyDescent="0.25">
      <c r="A4132" t="str">
        <f>"20190303162341790"</f>
        <v>20190303162341790</v>
      </c>
      <c r="B4132" t="str">
        <f>"1551601421779352"</f>
        <v>1551601421779352</v>
      </c>
      <c r="C4132" t="s">
        <v>40</v>
      </c>
      <c r="D4132">
        <v>5.8973050000000002</v>
      </c>
      <c r="E4132">
        <v>0.46222029999999997</v>
      </c>
      <c r="F4132" t="s">
        <v>41</v>
      </c>
      <c r="G4132">
        <v>-247.32169999999999</v>
      </c>
      <c r="H4132" s="1">
        <v>-1.487631E-6</v>
      </c>
      <c r="I4132">
        <v>140.9554</v>
      </c>
      <c r="J4132">
        <v>-235.9716</v>
      </c>
      <c r="K4132">
        <v>1.118471</v>
      </c>
      <c r="L4132">
        <v>142.39179999999999</v>
      </c>
      <c r="M4132">
        <v>-0.99986739999999996</v>
      </c>
      <c r="N4132">
        <v>-1.082668E-2</v>
      </c>
      <c r="O4132">
        <v>-1.2172530000000001E-2</v>
      </c>
      <c r="P4132">
        <v>-0.98605589999999999</v>
      </c>
      <c r="Q4132">
        <v>0.16617779999999999</v>
      </c>
      <c r="R4132">
        <v>-8.9005209999999998E-3</v>
      </c>
      <c r="S4132">
        <v>-3.092438</v>
      </c>
      <c r="T4132">
        <v>-0.2961935</v>
      </c>
      <c r="U4132">
        <v>-0.38102720000000001</v>
      </c>
      <c r="V4132">
        <v>3.9193600000000002E-3</v>
      </c>
      <c r="W4132">
        <v>0.17682809999999999</v>
      </c>
      <c r="X4132">
        <v>0.98423400000000005</v>
      </c>
      <c r="Y4132">
        <v>-0.10968890000000001</v>
      </c>
      <c r="Z4132">
        <v>-4.7913519999999996E-3</v>
      </c>
      <c r="AA4132">
        <v>0.99395440000000002</v>
      </c>
      <c r="AB4132">
        <v>35</v>
      </c>
      <c r="AC4132">
        <v>-11.3500999999999</v>
      </c>
      <c r="AD4132">
        <v>-1.1184724876309999</v>
      </c>
      <c r="AE4132">
        <v>-1.4363999999999899</v>
      </c>
      <c r="AF4132">
        <v>-1.28583648695484</v>
      </c>
      <c r="AG4132">
        <v>-1.1184724876309999</v>
      </c>
      <c r="AH4132">
        <v>11.2591338770183</v>
      </c>
      <c r="AI4132">
        <v>95.636699081336303</v>
      </c>
      <c r="AJ4132">
        <v>96.515171958219099</v>
      </c>
      <c r="AK4132">
        <v>11.387381254590199</v>
      </c>
      <c r="AL4132">
        <v>79.8149407237768</v>
      </c>
      <c r="AM4132">
        <v>89.771841249738003</v>
      </c>
      <c r="AN4132">
        <v>1.0000000525442001</v>
      </c>
    </row>
    <row r="4133" spans="1:40" x14ac:dyDescent="0.25">
      <c r="A4133" t="str">
        <f>"20190303162341812"</f>
        <v>20190303162341812</v>
      </c>
      <c r="B4133" t="str">
        <f>"1551601421799205"</f>
        <v>1551601421799205</v>
      </c>
      <c r="C4133" t="s">
        <v>40</v>
      </c>
      <c r="D4133">
        <v>5.9237320000000002</v>
      </c>
      <c r="E4133">
        <v>0.46331879999999998</v>
      </c>
      <c r="F4133" t="s">
        <v>41</v>
      </c>
      <c r="G4133">
        <v>-246.93559999999999</v>
      </c>
      <c r="H4133" s="1">
        <v>-1.704365E-6</v>
      </c>
      <c r="I4133">
        <v>141.14760000000001</v>
      </c>
      <c r="J4133">
        <v>-236.32749999999999</v>
      </c>
      <c r="K4133">
        <v>1.118401</v>
      </c>
      <c r="L4133">
        <v>142.3896</v>
      </c>
      <c r="M4133">
        <v>-0.99989519999999998</v>
      </c>
      <c r="N4133">
        <v>-1.082086E-2</v>
      </c>
      <c r="O4133">
        <v>-9.6294280000000006E-3</v>
      </c>
      <c r="P4133">
        <v>-0.98626239999999998</v>
      </c>
      <c r="Q4133">
        <v>0.16493189999999999</v>
      </c>
      <c r="R4133">
        <v>-9.1804580000000007E-3</v>
      </c>
      <c r="S4133">
        <v>-3.092422</v>
      </c>
      <c r="T4133">
        <v>-0.31546590000000002</v>
      </c>
      <c r="U4133">
        <v>-0.35090640000000001</v>
      </c>
      <c r="V4133">
        <v>1.157995E-3</v>
      </c>
      <c r="W4133">
        <v>0.17559129999999901</v>
      </c>
      <c r="X4133">
        <v>0.98446250000000002</v>
      </c>
      <c r="Y4133">
        <v>-0.1026326</v>
      </c>
      <c r="Z4133">
        <v>-4.8905590000000001E-3</v>
      </c>
      <c r="AA4133">
        <v>0.99470729999999996</v>
      </c>
      <c r="AB4133">
        <v>36</v>
      </c>
      <c r="AC4133">
        <v>-10.6081</v>
      </c>
      <c r="AD4133">
        <v>-1.118402704365</v>
      </c>
      <c r="AE4133">
        <v>-1.24199999999999</v>
      </c>
      <c r="AF4133">
        <v>-1.12742430347199</v>
      </c>
      <c r="AG4133">
        <v>-1.118402704365</v>
      </c>
      <c r="AH4133">
        <v>10.504388000837601</v>
      </c>
      <c r="AI4133">
        <v>96.042942144781307</v>
      </c>
      <c r="AJ4133">
        <v>96.126041280736899</v>
      </c>
      <c r="AK4133">
        <v>10.6237506296661</v>
      </c>
      <c r="AL4133">
        <v>79.886930362821303</v>
      </c>
      <c r="AM4133">
        <v>89.932604649138796</v>
      </c>
      <c r="AN4133">
        <v>1.0000000297471701</v>
      </c>
    </row>
    <row r="4134" spans="1:40" x14ac:dyDescent="0.25">
      <c r="A4134" t="str">
        <f>"20190303162341834"</f>
        <v>20190303162341834</v>
      </c>
      <c r="B4134" t="str">
        <f>"1551601421829461"</f>
        <v>1551601421829461</v>
      </c>
      <c r="C4134" t="s">
        <v>40</v>
      </c>
      <c r="D4134">
        <v>5.9003889999999997</v>
      </c>
      <c r="E4134">
        <v>0.4656112</v>
      </c>
      <c r="F4134" t="s">
        <v>41</v>
      </c>
      <c r="G4134">
        <v>-247.0702</v>
      </c>
      <c r="H4134" s="1">
        <v>-1.665976E-6</v>
      </c>
      <c r="I4134">
        <v>141.22030000000001</v>
      </c>
      <c r="J4134">
        <v>-236.6722</v>
      </c>
      <c r="K4134">
        <v>1.118403</v>
      </c>
      <c r="L4134">
        <v>142.38829999999999</v>
      </c>
      <c r="M4134">
        <v>-0.99991509999999995</v>
      </c>
      <c r="N4134">
        <v>-1.0815460000000001E-2</v>
      </c>
      <c r="O4134">
        <v>-7.2816549999999997E-3</v>
      </c>
      <c r="P4134">
        <v>-0.98594950000000003</v>
      </c>
      <c r="Q4134">
        <v>0.1667389</v>
      </c>
      <c r="R4134">
        <v>-1.010395E-2</v>
      </c>
      <c r="S4134">
        <v>-3.0924680000000002</v>
      </c>
      <c r="T4134">
        <v>-0.3219513</v>
      </c>
      <c r="U4134">
        <v>-0.33659359999999999</v>
      </c>
      <c r="V4134">
        <v>-2.0688529999999998E-3</v>
      </c>
      <c r="W4134">
        <v>0.17740529999999999</v>
      </c>
      <c r="X4134">
        <v>0.98413569999999995</v>
      </c>
      <c r="Y4134">
        <v>-0.1004003</v>
      </c>
      <c r="Z4134">
        <v>-5.0676849999999997E-3</v>
      </c>
      <c r="AA4134">
        <v>0.99493419999999999</v>
      </c>
      <c r="AB4134">
        <v>36</v>
      </c>
      <c r="AC4134">
        <v>-10.3979999999999</v>
      </c>
      <c r="AD4134">
        <v>-1.1184046659760001</v>
      </c>
      <c r="AE4134">
        <v>-1.16799999999997</v>
      </c>
      <c r="AF4134">
        <v>-1.0799120647201601</v>
      </c>
      <c r="AG4134">
        <v>-1.1184046659760001</v>
      </c>
      <c r="AH4134">
        <v>10.2886825144846</v>
      </c>
      <c r="AI4134">
        <v>96.170199639890399</v>
      </c>
      <c r="AJ4134">
        <v>95.991891911604</v>
      </c>
      <c r="AK4134">
        <v>10.4054806207241</v>
      </c>
      <c r="AL4134">
        <v>79.781337782590896</v>
      </c>
      <c r="AM4134">
        <v>90.120447180931393</v>
      </c>
      <c r="AN4134">
        <v>0.99999999831765696</v>
      </c>
    </row>
    <row r="4135" spans="1:40" x14ac:dyDescent="0.25">
      <c r="A4135" t="str">
        <f>"20190303162341857"</f>
        <v>20190303162341857</v>
      </c>
      <c r="B4135" t="str">
        <f>"1551601421848982"</f>
        <v>1551601421848982</v>
      </c>
      <c r="C4135" t="s">
        <v>40</v>
      </c>
      <c r="D4135">
        <v>5.9201980000000001</v>
      </c>
      <c r="E4135">
        <v>0.4879501</v>
      </c>
      <c r="F4135" t="s">
        <v>41</v>
      </c>
      <c r="G4135">
        <v>-247.52019999999999</v>
      </c>
      <c r="H4135" s="1">
        <v>-1.491583E-6</v>
      </c>
      <c r="I4135">
        <v>141.29040000000001</v>
      </c>
      <c r="J4135">
        <v>-237.05240000000001</v>
      </c>
      <c r="K4135">
        <v>1.118441</v>
      </c>
      <c r="L4135">
        <v>142.38759999999999</v>
      </c>
      <c r="M4135">
        <v>-0.99992979999999998</v>
      </c>
      <c r="N4135">
        <v>-1.0810449999999999E-2</v>
      </c>
      <c r="O4135">
        <v>-4.8656519999999998E-3</v>
      </c>
      <c r="P4135">
        <v>-0.98525229999999997</v>
      </c>
      <c r="Q4135">
        <v>0.17072190000000001</v>
      </c>
      <c r="R4135">
        <v>-1.1501569999999999E-2</v>
      </c>
      <c r="S4135">
        <v>-3.0934910000000002</v>
      </c>
      <c r="T4135">
        <v>-0.31893290000000002</v>
      </c>
      <c r="U4135">
        <v>-0.31306460000000003</v>
      </c>
      <c r="V4135">
        <v>-5.8454359999999999E-3</v>
      </c>
      <c r="W4135">
        <v>0.1813932</v>
      </c>
      <c r="X4135">
        <v>0.98339330000000003</v>
      </c>
      <c r="Y4135">
        <v>-9.5311670000000001E-2</v>
      </c>
      <c r="Z4135">
        <v>-4.9591829999999998E-3</v>
      </c>
      <c r="AA4135">
        <v>0.99543510000000002</v>
      </c>
      <c r="AB4135">
        <v>36</v>
      </c>
      <c r="AC4135">
        <v>-10.467799999999899</v>
      </c>
      <c r="AD4135">
        <v>-1.118442491583</v>
      </c>
      <c r="AE4135">
        <v>-1.09719999999998</v>
      </c>
      <c r="AF4135">
        <v>-1.0345690060788399</v>
      </c>
      <c r="AG4135">
        <v>-1.118442491583</v>
      </c>
      <c r="AH4135">
        <v>10.356074125017701</v>
      </c>
      <c r="AI4135">
        <v>96.133682038584695</v>
      </c>
      <c r="AJ4135">
        <v>95.704904899173101</v>
      </c>
      <c r="AK4135">
        <v>10.467545935804599</v>
      </c>
      <c r="AL4135">
        <v>79.549079950934399</v>
      </c>
      <c r="AM4135">
        <v>90.340570621892596</v>
      </c>
      <c r="AN4135">
        <v>1.0000000223065799</v>
      </c>
    </row>
    <row r="4136" spans="1:40" x14ac:dyDescent="0.25">
      <c r="A4136" t="str">
        <f>"20190303162341879"</f>
        <v>20190303162341879</v>
      </c>
      <c r="B4136" t="str">
        <f>"1551601421868501"</f>
        <v>1551601421868501</v>
      </c>
      <c r="C4136" t="s">
        <v>40</v>
      </c>
      <c r="D4136">
        <v>5.9194420000000001</v>
      </c>
      <c r="E4136">
        <v>0.48905749999999998</v>
      </c>
      <c r="F4136" t="s">
        <v>41</v>
      </c>
      <c r="G4136">
        <v>-248.863</v>
      </c>
      <c r="H4136" s="1">
        <v>-1.0723789999999999E-6</v>
      </c>
      <c r="I4136">
        <v>141.87989999999999</v>
      </c>
      <c r="J4136">
        <v>-237.39510000000001</v>
      </c>
      <c r="K4136">
        <v>1.1184989999999999</v>
      </c>
      <c r="L4136">
        <v>142.38759999999999</v>
      </c>
      <c r="M4136">
        <v>-0.99993750000000003</v>
      </c>
      <c r="N4136">
        <v>-1.0806939999999999E-2</v>
      </c>
      <c r="O4136">
        <v>-2.876867E-3</v>
      </c>
      <c r="P4136">
        <v>-0.98474410000000001</v>
      </c>
      <c r="Q4136">
        <v>0.17348910000000001</v>
      </c>
      <c r="R4136">
        <v>-1.344093E-2</v>
      </c>
      <c r="S4136">
        <v>-3.094131</v>
      </c>
      <c r="T4136">
        <v>-0.2930084</v>
      </c>
      <c r="U4136">
        <v>-0.13299559999999999</v>
      </c>
      <c r="V4136">
        <v>-9.7585390000000001E-3</v>
      </c>
      <c r="W4136">
        <v>0.18416850000000001</v>
      </c>
      <c r="X4136">
        <v>0.98284629999999995</v>
      </c>
      <c r="Y4136">
        <v>-3.9880510000000001E-2</v>
      </c>
      <c r="Z4136">
        <v>-1.8586799999999999E-3</v>
      </c>
      <c r="AA4136">
        <v>0.9992027</v>
      </c>
      <c r="AB4136">
        <v>36</v>
      </c>
      <c r="AC4136">
        <v>-11.467899999999901</v>
      </c>
      <c r="AD4136">
        <v>-1.118500072379</v>
      </c>
      <c r="AE4136">
        <v>-0.50769999999999904</v>
      </c>
      <c r="AF4136">
        <v>-0.47023984532157298</v>
      </c>
      <c r="AG4136">
        <v>-1.118500072379</v>
      </c>
      <c r="AH4136">
        <v>11.3614464819532</v>
      </c>
      <c r="AI4136">
        <v>95.617700206061798</v>
      </c>
      <c r="AJ4136">
        <v>92.370067008011901</v>
      </c>
      <c r="AK4136">
        <v>11.4260506775669</v>
      </c>
      <c r="AL4136">
        <v>79.387342611602705</v>
      </c>
      <c r="AM4136">
        <v>90.568862829122196</v>
      </c>
      <c r="AN4136">
        <v>1.0000000574496699</v>
      </c>
    </row>
    <row r="4137" spans="1:40" x14ac:dyDescent="0.25">
      <c r="A4137" t="str">
        <f>"20190303162341904"</f>
        <v>20190303162341904</v>
      </c>
      <c r="B4137" t="str">
        <f>"1551601421898757"</f>
        <v>1551601421898757</v>
      </c>
      <c r="C4137" t="s">
        <v>40</v>
      </c>
      <c r="D4137">
        <v>5.9097689999999998</v>
      </c>
      <c r="E4137">
        <v>0.49009789999999998</v>
      </c>
      <c r="F4137" t="s">
        <v>41</v>
      </c>
      <c r="G4137">
        <v>-249.6157</v>
      </c>
      <c r="H4137" s="1">
        <v>-7.5178879999999997E-7</v>
      </c>
      <c r="I4137">
        <v>141.8886</v>
      </c>
      <c r="J4137">
        <v>-237.77090000000001</v>
      </c>
      <c r="K4137">
        <v>1.118592</v>
      </c>
      <c r="L4137">
        <v>142.38829999999999</v>
      </c>
      <c r="M4137">
        <v>-0.99994130000000003</v>
      </c>
      <c r="N4137">
        <v>-1.0804040000000001E-2</v>
      </c>
      <c r="O4137">
        <v>-9.126796E-4</v>
      </c>
      <c r="P4137">
        <v>-0.98474609999999996</v>
      </c>
      <c r="Q4137">
        <v>0.17312459999999999</v>
      </c>
      <c r="R4137">
        <v>-1.7419179999999999E-2</v>
      </c>
      <c r="S4137">
        <v>-3.0946660000000001</v>
      </c>
      <c r="T4137">
        <v>-0.2832403</v>
      </c>
      <c r="U4137">
        <v>-0.126358</v>
      </c>
      <c r="V4137">
        <v>-1.571318E-2</v>
      </c>
      <c r="W4137">
        <v>0.18382490000000001</v>
      </c>
      <c r="X4137">
        <v>0.98283339999999997</v>
      </c>
      <c r="Y4137">
        <v>-3.9702559999999998E-2</v>
      </c>
      <c r="Z4137">
        <v>-1.953939E-3</v>
      </c>
      <c r="AA4137">
        <v>0.99920960000000003</v>
      </c>
      <c r="AB4137">
        <v>36</v>
      </c>
      <c r="AC4137">
        <v>-11.8447999999999</v>
      </c>
      <c r="AD4137">
        <v>-1.1185927517887999</v>
      </c>
      <c r="AE4137">
        <v>-0.49969999999998999</v>
      </c>
      <c r="AF4137">
        <v>-0.48457468557442002</v>
      </c>
      <c r="AG4137">
        <v>-1.1185927517887999</v>
      </c>
      <c r="AH4137">
        <v>11.7407282904346</v>
      </c>
      <c r="AI4137">
        <v>95.437800889256806</v>
      </c>
      <c r="AJ4137">
        <v>92.363425399821494</v>
      </c>
      <c r="AK4137">
        <v>11.803845270083199</v>
      </c>
      <c r="AL4137">
        <v>79.407370725649898</v>
      </c>
      <c r="AM4137">
        <v>90.915945878212</v>
      </c>
      <c r="AN4137">
        <v>0.99999999502064096</v>
      </c>
    </row>
    <row r="4138" spans="1:40" x14ac:dyDescent="0.25">
      <c r="A4138" t="str">
        <f>"20190303162341923"</f>
        <v>20190303162341923</v>
      </c>
      <c r="B4138" t="str">
        <f>"1551601421909494"</f>
        <v>1551601421909494</v>
      </c>
      <c r="C4138" t="s">
        <v>40</v>
      </c>
      <c r="D4138">
        <v>6.1451949999999904</v>
      </c>
      <c r="E4138">
        <v>0.49066900000000002</v>
      </c>
      <c r="F4138" t="s">
        <v>41</v>
      </c>
      <c r="G4138">
        <v>-249.5992</v>
      </c>
      <c r="H4138" s="1">
        <v>-7.6193239999999997E-7</v>
      </c>
      <c r="I4138">
        <v>141.9</v>
      </c>
      <c r="J4138">
        <v>-238.09630000000001</v>
      </c>
      <c r="K4138">
        <v>1.118692</v>
      </c>
      <c r="L4138">
        <v>142.38929999999999</v>
      </c>
      <c r="M4138">
        <v>-0.99994150000000004</v>
      </c>
      <c r="N4138">
        <v>-1.080222E-2</v>
      </c>
      <c r="O4138">
        <v>5.8362650000000002E-4</v>
      </c>
      <c r="P4138">
        <v>-0.98492539999999995</v>
      </c>
      <c r="Q4138">
        <v>0.17150279999999901</v>
      </c>
      <c r="R4138">
        <v>-2.25635E-2</v>
      </c>
      <c r="S4138">
        <v>-3.0956730000000001</v>
      </c>
      <c r="T4138">
        <v>-0.29275630000000002</v>
      </c>
      <c r="U4138">
        <v>-0.1277771</v>
      </c>
      <c r="V4138">
        <v>-2.2384230000000001E-2</v>
      </c>
      <c r="W4138">
        <v>0.18222640000000001</v>
      </c>
      <c r="X4138">
        <v>0.98300180000000004</v>
      </c>
      <c r="Y4138">
        <v>-4.161538E-2</v>
      </c>
      <c r="Z4138">
        <v>-2.23675E-3</v>
      </c>
      <c r="AA4138">
        <v>0.9991312</v>
      </c>
      <c r="AB4138">
        <v>36</v>
      </c>
      <c r="AC4138">
        <v>-11.502899999999901</v>
      </c>
      <c r="AD4138">
        <v>-1.1186927619323901</v>
      </c>
      <c r="AE4138">
        <v>-0.48929999999998502</v>
      </c>
      <c r="AF4138">
        <v>-0.49137459667790201</v>
      </c>
      <c r="AG4138">
        <v>-1.1186927619323901</v>
      </c>
      <c r="AH4138">
        <v>11.395031010263599</v>
      </c>
      <c r="AI4138">
        <v>95.601800609634395</v>
      </c>
      <c r="AJ4138">
        <v>92.469169188267202</v>
      </c>
      <c r="AK4138">
        <v>11.4603514001417</v>
      </c>
      <c r="AL4138">
        <v>79.500532039625298</v>
      </c>
      <c r="AM4138">
        <v>91.304474009416396</v>
      </c>
      <c r="AN4138">
        <v>1.0000000267064399</v>
      </c>
    </row>
    <row r="4139" spans="1:40" x14ac:dyDescent="0.25">
      <c r="A4139" t="str">
        <f>"20190303162341947"</f>
        <v>20190303162341947</v>
      </c>
      <c r="B4139" t="str">
        <f>"1551601421938773"</f>
        <v>1551601421938773</v>
      </c>
      <c r="C4139" t="s">
        <v>40</v>
      </c>
      <c r="D4139">
        <v>6.1310019999999996</v>
      </c>
      <c r="E4139">
        <v>0.49114980000000003</v>
      </c>
      <c r="F4139" t="s">
        <v>41</v>
      </c>
      <c r="G4139">
        <v>-249.62639999999999</v>
      </c>
      <c r="H4139" s="1">
        <v>-7.4347469999999998E-7</v>
      </c>
      <c r="I4139">
        <v>141.87459999999999</v>
      </c>
      <c r="J4139">
        <v>-238.47059999999999</v>
      </c>
      <c r="K4139">
        <v>1.118806</v>
      </c>
      <c r="L4139">
        <v>142.39099999999999</v>
      </c>
      <c r="M4139">
        <v>-0.99993940000000003</v>
      </c>
      <c r="N4139">
        <v>-1.080099E-2</v>
      </c>
      <c r="O4139">
        <v>2.119559E-3</v>
      </c>
      <c r="P4139">
        <v>-0.98525549999999995</v>
      </c>
      <c r="Q4139">
        <v>0.16893540000000001</v>
      </c>
      <c r="R4139">
        <v>-2.7069739999999998E-2</v>
      </c>
      <c r="S4139">
        <v>-3.0950470000000001</v>
      </c>
      <c r="T4139">
        <v>-0.30029270000000002</v>
      </c>
      <c r="U4139">
        <v>-0.1381531</v>
      </c>
      <c r="V4139">
        <v>-2.8466479999999999E-2</v>
      </c>
      <c r="W4139">
        <v>0.17967749999999999</v>
      </c>
      <c r="X4139">
        <v>0.98331360000000001</v>
      </c>
      <c r="Y4139">
        <v>-4.6459920000000002E-2</v>
      </c>
      <c r="Z4139">
        <v>-2.6813879999999998E-3</v>
      </c>
      <c r="AA4139">
        <v>0.99891660000000004</v>
      </c>
      <c r="AB4139">
        <v>36</v>
      </c>
      <c r="AC4139">
        <v>-11.155799999999999</v>
      </c>
      <c r="AD4139">
        <v>-1.1188067434747</v>
      </c>
      <c r="AE4139">
        <v>-0.51640000000000397</v>
      </c>
      <c r="AF4139">
        <v>-0.53467932611450897</v>
      </c>
      <c r="AG4139">
        <v>-1.1188067434747</v>
      </c>
      <c r="AH4139">
        <v>11.0438396453123</v>
      </c>
      <c r="AI4139">
        <v>95.777946739302294</v>
      </c>
      <c r="AJ4139">
        <v>92.771768509014507</v>
      </c>
      <c r="AK4139">
        <v>11.1132355604653</v>
      </c>
      <c r="AL4139">
        <v>79.649024235866307</v>
      </c>
      <c r="AM4139">
        <v>91.658223535181406</v>
      </c>
      <c r="AN4139">
        <v>0.99999999021740005</v>
      </c>
    </row>
    <row r="4140" spans="1:40" x14ac:dyDescent="0.25">
      <c r="A4140" t="str">
        <f>"20190303162341991"</f>
        <v>20190303162341991</v>
      </c>
      <c r="B4140" t="str">
        <f>"1551601421978789"</f>
        <v>1551601421978789</v>
      </c>
      <c r="C4140" t="s">
        <v>40</v>
      </c>
      <c r="D4140">
        <v>5.8703760000000003</v>
      </c>
      <c r="E4140">
        <v>0.4924152</v>
      </c>
      <c r="F4140" t="s">
        <v>41</v>
      </c>
      <c r="G4140">
        <v>-249.70400000000001</v>
      </c>
      <c r="H4140" s="1">
        <v>-7.030829E-7</v>
      </c>
      <c r="I4140">
        <v>141.84780000000001</v>
      </c>
      <c r="J4140">
        <v>-239.19069999999999</v>
      </c>
      <c r="K4140">
        <v>1.119057</v>
      </c>
      <c r="L4140">
        <v>142.3954</v>
      </c>
      <c r="M4140">
        <v>-0.99993140000000003</v>
      </c>
      <c r="N4140">
        <v>-1.08004E-2</v>
      </c>
      <c r="O4140">
        <v>4.5301849999999999E-3</v>
      </c>
      <c r="P4140">
        <v>-0.98496379999999994</v>
      </c>
      <c r="Q4140">
        <v>0.16888639999999999</v>
      </c>
      <c r="R4140">
        <v>-3.6380250000000003E-2</v>
      </c>
      <c r="S4140">
        <v>-3.0935969999999999</v>
      </c>
      <c r="T4140">
        <v>-0.30811369999999999</v>
      </c>
      <c r="U4140">
        <v>-0.14958189999999999</v>
      </c>
      <c r="V4140">
        <v>-4.0264250000000001E-2</v>
      </c>
      <c r="W4140">
        <v>0.17964330000000001</v>
      </c>
      <c r="X4140">
        <v>0.98290750000000005</v>
      </c>
      <c r="Y4140">
        <v>-5.2515029999999997E-2</v>
      </c>
      <c r="Z4140">
        <v>-3.292789E-3</v>
      </c>
      <c r="AA4140">
        <v>0.99861469999999997</v>
      </c>
      <c r="AB4140">
        <v>36</v>
      </c>
      <c r="AC4140">
        <v>-10.513299999999999</v>
      </c>
      <c r="AD4140">
        <v>-1.1190577030829001</v>
      </c>
      <c r="AE4140">
        <v>-0.54759999999998799</v>
      </c>
      <c r="AF4140">
        <v>-0.58857390020267697</v>
      </c>
      <c r="AG4140">
        <v>-1.1190577030829001</v>
      </c>
      <c r="AH4140">
        <v>10.393274863071699</v>
      </c>
      <c r="AI4140">
        <v>96.135681883872294</v>
      </c>
      <c r="AJ4140">
        <v>93.241213240226301</v>
      </c>
      <c r="AK4140">
        <v>10.469903139866499</v>
      </c>
      <c r="AL4140">
        <v>79.651016676453594</v>
      </c>
      <c r="AM4140">
        <v>92.345777661252995</v>
      </c>
      <c r="AN4140">
        <v>1.0000000393096</v>
      </c>
    </row>
    <row r="4141" spans="1:40" x14ac:dyDescent="0.25">
      <c r="A4141" t="str">
        <f>"20190303162342013"</f>
        <v>20190303162342013</v>
      </c>
      <c r="B4141" t="str">
        <f>"1551601421998816"</f>
        <v>1551601421998816</v>
      </c>
      <c r="C4141" t="s">
        <v>40</v>
      </c>
      <c r="D4141">
        <v>5.8005389999999997</v>
      </c>
      <c r="E4141">
        <v>0.49317709999999998</v>
      </c>
      <c r="F4141" t="s">
        <v>41</v>
      </c>
      <c r="G4141">
        <v>-250.34399999999999</v>
      </c>
      <c r="H4141" s="1">
        <v>-4.5440970000000004E-6</v>
      </c>
      <c r="I4141">
        <v>141.78739999999999</v>
      </c>
      <c r="J4141">
        <v>-239.53200000000001</v>
      </c>
      <c r="K4141">
        <v>1.119213</v>
      </c>
      <c r="L4141">
        <v>142.39789999999999</v>
      </c>
      <c r="M4141">
        <v>-0.99992729999999996</v>
      </c>
      <c r="N4141">
        <v>-1.080062E-2</v>
      </c>
      <c r="O4141">
        <v>5.3612209999999898E-3</v>
      </c>
      <c r="P4141">
        <v>-0.98520609999999997</v>
      </c>
      <c r="Q4141">
        <v>0.1667486</v>
      </c>
      <c r="R4141">
        <v>-3.9546310000000001E-2</v>
      </c>
      <c r="S4141">
        <v>-3.0927889999999998</v>
      </c>
      <c r="T4141">
        <v>-0.31031409999999998</v>
      </c>
      <c r="U4141">
        <v>-0.16857910000000001</v>
      </c>
      <c r="V4141">
        <v>-4.4327569999999997E-2</v>
      </c>
      <c r="W4141">
        <v>0.17750289999999999</v>
      </c>
      <c r="X4141">
        <v>0.98312149999999998</v>
      </c>
      <c r="Y4141">
        <v>-5.9428000000000002E-2</v>
      </c>
      <c r="Z4141">
        <v>-3.7722160000000001E-3</v>
      </c>
      <c r="AA4141">
        <v>0.99822549999999999</v>
      </c>
      <c r="AB4141">
        <v>36</v>
      </c>
      <c r="AC4141">
        <v>-10.811999999999999</v>
      </c>
      <c r="AD4141">
        <v>-1.119217544097</v>
      </c>
      <c r="AE4141">
        <v>-0.61050000000000104</v>
      </c>
      <c r="AF4141">
        <v>-0.661395396471814</v>
      </c>
      <c r="AG4141">
        <v>-1.119217544097</v>
      </c>
      <c r="AH4141">
        <v>10.6943392077554</v>
      </c>
      <c r="AI4141">
        <v>95.963237545301794</v>
      </c>
      <c r="AJ4141">
        <v>93.538971431985004</v>
      </c>
      <c r="AK4141">
        <v>10.773067477372599</v>
      </c>
      <c r="AL4141">
        <v>79.775656049159096</v>
      </c>
      <c r="AM4141">
        <v>92.581637837117597</v>
      </c>
      <c r="AN4141">
        <v>1.00000004836638</v>
      </c>
    </row>
    <row r="4142" spans="1:40" x14ac:dyDescent="0.25">
      <c r="A4142" t="str">
        <f>"20190303162342034"</f>
        <v>20190303162342034</v>
      </c>
      <c r="B4142" t="str">
        <f>"1551601422029071"</f>
        <v>1551601422029071</v>
      </c>
      <c r="C4142" t="s">
        <v>40</v>
      </c>
      <c r="D4142">
        <v>5.7778210000000003</v>
      </c>
      <c r="E4142">
        <v>0.49341079999999998</v>
      </c>
      <c r="F4142" t="s">
        <v>41</v>
      </c>
      <c r="G4142">
        <v>-250.5385</v>
      </c>
      <c r="H4142" s="1">
        <v>-4.4774009999999999E-6</v>
      </c>
      <c r="I4142">
        <v>141.78460000000001</v>
      </c>
      <c r="J4142">
        <v>-239.88560000000001</v>
      </c>
      <c r="K4142">
        <v>1.119418</v>
      </c>
      <c r="L4142">
        <v>142.4006</v>
      </c>
      <c r="M4142">
        <v>-0.99992409999999998</v>
      </c>
      <c r="N4142">
        <v>-1.080133E-2</v>
      </c>
      <c r="O4142">
        <v>5.9517800000000003E-3</v>
      </c>
      <c r="P4142">
        <v>-0.9855777</v>
      </c>
      <c r="Q4142">
        <v>0.16422919999999999</v>
      </c>
      <c r="R4142">
        <v>-4.0814099999999999E-2</v>
      </c>
      <c r="S4142">
        <v>-3.0913240000000002</v>
      </c>
      <c r="T4142">
        <v>-0.31434889999999999</v>
      </c>
      <c r="U4142">
        <v>-0.17222599999999999</v>
      </c>
      <c r="V4142">
        <v>-4.6278809999999997E-2</v>
      </c>
      <c r="W4142">
        <v>0.17496879999999901</v>
      </c>
      <c r="X4142">
        <v>0.98348579999999997</v>
      </c>
      <c r="Y4142">
        <v>-6.1195590000000001E-2</v>
      </c>
      <c r="Z4142">
        <v>-3.9718590000000003E-3</v>
      </c>
      <c r="AA4142">
        <v>0.9981179</v>
      </c>
      <c r="AB4142">
        <v>36</v>
      </c>
      <c r="AC4142">
        <v>-10.652899999999899</v>
      </c>
      <c r="AD4142">
        <v>-1.119422477401</v>
      </c>
      <c r="AE4142">
        <v>-0.615999999999985</v>
      </c>
      <c r="AF4142">
        <v>-0.67200091061297396</v>
      </c>
      <c r="AG4142">
        <v>-1.119422477401</v>
      </c>
      <c r="AH4142">
        <v>10.533124393445901</v>
      </c>
      <c r="AI4142">
        <v>96.054200849788799</v>
      </c>
      <c r="AJ4142">
        <v>93.650455702983606</v>
      </c>
      <c r="AK4142">
        <v>10.6137364483287</v>
      </c>
      <c r="AL4142">
        <v>79.923158185495296</v>
      </c>
      <c r="AM4142">
        <v>92.694117185673704</v>
      </c>
      <c r="AN4142">
        <v>1.0000000640150399</v>
      </c>
    </row>
    <row r="4143" spans="1:40" x14ac:dyDescent="0.25">
      <c r="A4143" t="str">
        <f>"20190303162342057"</f>
        <v>20190303162342057</v>
      </c>
      <c r="B4143" t="str">
        <f>"1551601422048591"</f>
        <v>1551601422048591</v>
      </c>
      <c r="C4143" t="s">
        <v>40</v>
      </c>
      <c r="D4143">
        <v>5.75434</v>
      </c>
      <c r="E4143">
        <v>0.50056829999999997</v>
      </c>
      <c r="F4143" t="s">
        <v>41</v>
      </c>
      <c r="G4143">
        <v>-250.71379999999999</v>
      </c>
      <c r="H4143" s="1">
        <v>-4.4170640000000003E-6</v>
      </c>
      <c r="I4143">
        <v>141.7807</v>
      </c>
      <c r="J4143">
        <v>-240.23990000000001</v>
      </c>
      <c r="K4143">
        <v>1.1196790000000001</v>
      </c>
      <c r="L4143">
        <v>142.40309999999999</v>
      </c>
      <c r="M4143">
        <v>-0.99992230000000004</v>
      </c>
      <c r="N4143">
        <v>-1.080309E-2</v>
      </c>
      <c r="O4143">
        <v>6.2205759999999898E-3</v>
      </c>
      <c r="P4143">
        <v>-0.98572610000000005</v>
      </c>
      <c r="Q4143">
        <v>0.1634099</v>
      </c>
      <c r="R4143">
        <v>-4.0510629999999999E-2</v>
      </c>
      <c r="S4143">
        <v>-3.0897830000000002</v>
      </c>
      <c r="T4143">
        <v>-0.31942369999999998</v>
      </c>
      <c r="U4143">
        <v>-0.17686459999999901</v>
      </c>
      <c r="V4143">
        <v>-4.6359039999999997E-2</v>
      </c>
      <c r="W4143">
        <v>0.17412179999999999</v>
      </c>
      <c r="X4143">
        <v>0.98363230000000001</v>
      </c>
      <c r="Y4143">
        <v>-6.2961649999999994E-2</v>
      </c>
      <c r="Z4143">
        <v>-4.1584949999999999E-3</v>
      </c>
      <c r="AA4143">
        <v>0.99800730000000004</v>
      </c>
      <c r="AB4143">
        <v>36</v>
      </c>
      <c r="AC4143">
        <v>-10.473899999999899</v>
      </c>
      <c r="AD4143">
        <v>-1.119683417064</v>
      </c>
      <c r="AE4143">
        <v>-0.62239999999999895</v>
      </c>
      <c r="AF4143">
        <v>-0.67980392590763505</v>
      </c>
      <c r="AG4143">
        <v>-1.119683417064</v>
      </c>
      <c r="AH4143">
        <v>10.3519388095996</v>
      </c>
      <c r="AI4143">
        <v>96.160045020667695</v>
      </c>
      <c r="AJ4143">
        <v>93.757175460935002</v>
      </c>
      <c r="AK4143">
        <v>10.4344842445529</v>
      </c>
      <c r="AL4143">
        <v>79.972443965832198</v>
      </c>
      <c r="AM4143">
        <v>92.698379513119505</v>
      </c>
      <c r="AN4143">
        <v>1.00000003171412</v>
      </c>
    </row>
    <row r="4144" spans="1:40" x14ac:dyDescent="0.25">
      <c r="A4144" t="str">
        <f>"20190303162342126"</f>
        <v>20190303162342126</v>
      </c>
      <c r="B4144" t="str">
        <f>"1551601422119369"</f>
        <v>1551601422119369</v>
      </c>
      <c r="C4144" t="s">
        <v>40</v>
      </c>
      <c r="D4144">
        <v>5.7146140000000001</v>
      </c>
      <c r="E4144">
        <v>0.50095699999999999</v>
      </c>
      <c r="F4144" t="s">
        <v>41</v>
      </c>
      <c r="G4144">
        <v>-251.61600000000001</v>
      </c>
      <c r="H4144" s="1">
        <v>-4.1410639999999999E-6</v>
      </c>
      <c r="I4144">
        <v>141.9556</v>
      </c>
      <c r="J4144">
        <v>-241.32560000000001</v>
      </c>
      <c r="K4144">
        <v>1.120938</v>
      </c>
      <c r="L4144">
        <v>142.40819999999999</v>
      </c>
      <c r="M4144">
        <v>-0.99993319999999997</v>
      </c>
      <c r="N4144">
        <v>-1.0826489999999999E-2</v>
      </c>
      <c r="O4144">
        <v>4.0875920000000001E-3</v>
      </c>
      <c r="P4144">
        <v>-0.9861491</v>
      </c>
      <c r="Q4144">
        <v>0.1620615</v>
      </c>
      <c r="R4144">
        <v>-3.5302390000000003E-2</v>
      </c>
      <c r="S4144">
        <v>-3.0888520000000002</v>
      </c>
      <c r="T4144">
        <v>-0.30402089999999998</v>
      </c>
      <c r="U4144">
        <v>-0.12150569999999999</v>
      </c>
      <c r="V4144">
        <v>-3.9581350000000001E-2</v>
      </c>
      <c r="W4144">
        <v>0.1726702</v>
      </c>
      <c r="X4144">
        <v>0.98418410000000001</v>
      </c>
      <c r="Y4144">
        <v>-4.3143979999999998E-2</v>
      </c>
      <c r="Z4144">
        <v>-2.7086300000000001E-3</v>
      </c>
      <c r="AA4144">
        <v>0.99906519999999999</v>
      </c>
      <c r="AB4144">
        <v>36</v>
      </c>
      <c r="AC4144">
        <v>-10.290399999999901</v>
      </c>
      <c r="AD4144">
        <v>-1.1209421410639999</v>
      </c>
      <c r="AE4144">
        <v>-0.45259999999998901</v>
      </c>
      <c r="AF4144">
        <v>-0.48887191258067098</v>
      </c>
      <c r="AG4144">
        <v>-1.1209421410639999</v>
      </c>
      <c r="AH4144">
        <v>10.168043500636699</v>
      </c>
      <c r="AI4144">
        <v>96.283779029841995</v>
      </c>
      <c r="AJ4144">
        <v>92.752618455605301</v>
      </c>
      <c r="AK4144">
        <v>10.2413190391357</v>
      </c>
      <c r="AL4144">
        <v>80.056893556252504</v>
      </c>
      <c r="AM4144">
        <v>92.303047555843406</v>
      </c>
      <c r="AN4144">
        <v>1.00000001196433</v>
      </c>
    </row>
    <row r="4145" spans="1:40" x14ac:dyDescent="0.25">
      <c r="A4145" t="str">
        <f>"20190303162342170"</f>
        <v>20190303162342170</v>
      </c>
      <c r="B4145" t="str">
        <f>"1551601422148649"</f>
        <v>1551601422148649</v>
      </c>
      <c r="C4145" t="s">
        <v>40</v>
      </c>
      <c r="D4145">
        <v>5.825342</v>
      </c>
      <c r="E4145">
        <v>0.50111340000000004</v>
      </c>
      <c r="F4145" t="s">
        <v>41</v>
      </c>
      <c r="G4145">
        <v>-253.19409999999999</v>
      </c>
      <c r="H4145" s="1">
        <v>-3.52814E-6</v>
      </c>
      <c r="I4145">
        <v>141.9693</v>
      </c>
      <c r="J4145">
        <v>-242.0411</v>
      </c>
      <c r="K4145">
        <v>1.1219429999999999</v>
      </c>
      <c r="L4145">
        <v>142.4068</v>
      </c>
      <c r="M4145">
        <v>-0.99994110000000003</v>
      </c>
      <c r="N4145">
        <v>-1.0861869999999999E-2</v>
      </c>
      <c r="O4145">
        <v>-1.9748570000000001E-4</v>
      </c>
      <c r="P4145">
        <v>-0.98598799999999998</v>
      </c>
      <c r="Q4145">
        <v>0.16401470000000001</v>
      </c>
      <c r="R4145">
        <v>-3.0444909999999999E-2</v>
      </c>
      <c r="S4145">
        <v>-3.0859380000000001</v>
      </c>
      <c r="T4145">
        <v>-0.29145749999999998</v>
      </c>
      <c r="U4145">
        <v>-0.11409</v>
      </c>
      <c r="V4145">
        <v>-3.092203E-2</v>
      </c>
      <c r="W4145">
        <v>0.174597</v>
      </c>
      <c r="X4145">
        <v>0.98415430000000004</v>
      </c>
      <c r="Y4145">
        <v>-3.6567700000000002E-2</v>
      </c>
      <c r="Z4145">
        <v>-1.905134E-3</v>
      </c>
      <c r="AA4145">
        <v>0.99932940000000003</v>
      </c>
      <c r="AB4145">
        <v>36</v>
      </c>
      <c r="AC4145">
        <v>-11.152999999999899</v>
      </c>
      <c r="AD4145">
        <v>-1.1219465281400001</v>
      </c>
      <c r="AE4145">
        <v>-0.4375</v>
      </c>
      <c r="AF4145">
        <v>-0.43094305699845498</v>
      </c>
      <c r="AG4145">
        <v>-1.1219465281400001</v>
      </c>
      <c r="AH4145">
        <v>11.0415226906306</v>
      </c>
      <c r="AI4145">
        <v>95.797616850958505</v>
      </c>
      <c r="AJ4145">
        <v>92.2350805446507</v>
      </c>
      <c r="AK4145">
        <v>11.106741162829399</v>
      </c>
      <c r="AL4145">
        <v>79.9447929920711</v>
      </c>
      <c r="AM4145">
        <v>91.799635630380493</v>
      </c>
      <c r="AN4145">
        <v>0.99999998527840495</v>
      </c>
    </row>
    <row r="4146" spans="1:40" x14ac:dyDescent="0.25">
      <c r="A4146" t="str">
        <f>"20190303162342192"</f>
        <v>20190303162342192</v>
      </c>
      <c r="B4146" t="str">
        <f>"1551601422188665"</f>
        <v>1551601422188665</v>
      </c>
      <c r="C4146" t="s">
        <v>40</v>
      </c>
      <c r="D4146">
        <v>5.7481780000000002</v>
      </c>
      <c r="E4146">
        <v>0.50123269999999998</v>
      </c>
      <c r="F4146" t="s">
        <v>41</v>
      </c>
      <c r="G4146">
        <v>-254.30109999999999</v>
      </c>
      <c r="H4146" s="1">
        <v>-3.0652389999999999E-6</v>
      </c>
      <c r="I4146">
        <v>142.01439999999999</v>
      </c>
      <c r="J4146">
        <v>-242.40549999999999</v>
      </c>
      <c r="K4146">
        <v>1.122382</v>
      </c>
      <c r="L4146">
        <v>142.4041</v>
      </c>
      <c r="M4146">
        <v>-0.99993609999999999</v>
      </c>
      <c r="N4146">
        <v>-1.0877080000000001E-2</v>
      </c>
      <c r="O4146">
        <v>-3.0953970000000002E-3</v>
      </c>
      <c r="P4146">
        <v>-0.98579320000000004</v>
      </c>
      <c r="Q4146">
        <v>0.1654861</v>
      </c>
      <c r="R4146">
        <v>-2.8748929999999999E-2</v>
      </c>
      <c r="S4146">
        <v>-3.0865629999999999</v>
      </c>
      <c r="T4146">
        <v>-0.28246070000000001</v>
      </c>
      <c r="U4146">
        <v>-9.8754880000000003E-2</v>
      </c>
      <c r="V4146">
        <v>-2.655925E-2</v>
      </c>
      <c r="W4146">
        <v>0.17607200000000001</v>
      </c>
      <c r="X4146">
        <v>0.98401890000000003</v>
      </c>
      <c r="Y4146">
        <v>-2.876022E-2</v>
      </c>
      <c r="Z4146">
        <v>-1.2207100000000001E-3</v>
      </c>
      <c r="AA4146">
        <v>0.99958559999999996</v>
      </c>
      <c r="AB4146">
        <v>36</v>
      </c>
      <c r="AC4146">
        <v>-11.8956</v>
      </c>
      <c r="AD4146">
        <v>-1.1223850652389999</v>
      </c>
      <c r="AE4146">
        <v>-0.38970000000000399</v>
      </c>
      <c r="AF4146">
        <v>-0.349763923153463</v>
      </c>
      <c r="AG4146">
        <v>-1.1223850652389999</v>
      </c>
      <c r="AH4146">
        <v>11.7918848638004</v>
      </c>
      <c r="AI4146">
        <v>95.434818531861197</v>
      </c>
      <c r="AJ4146">
        <v>91.698975430712807</v>
      </c>
      <c r="AK4146">
        <v>11.8503431037981</v>
      </c>
      <c r="AL4146">
        <v>79.858951772418806</v>
      </c>
      <c r="AM4146">
        <v>91.546071493228794</v>
      </c>
      <c r="AN4146">
        <v>0.99999996925088497</v>
      </c>
    </row>
    <row r="4147" spans="1:40" x14ac:dyDescent="0.25">
      <c r="A4147" t="str">
        <f>"20190303162342215"</f>
        <v>20190303162342215</v>
      </c>
      <c r="B4147" t="str">
        <f>"1551601422199402"</f>
        <v>1551601422199402</v>
      </c>
      <c r="C4147" t="s">
        <v>40</v>
      </c>
      <c r="D4147">
        <v>5.8226899999999997</v>
      </c>
      <c r="E4147">
        <v>0.50334659999999998</v>
      </c>
      <c r="F4147" t="s">
        <v>41</v>
      </c>
      <c r="G4147">
        <v>-254.95310000000001</v>
      </c>
      <c r="H4147" s="1">
        <v>-2.7909510000000002E-6</v>
      </c>
      <c r="I4147">
        <v>142.03489999999999</v>
      </c>
      <c r="J4147">
        <v>-242.77269999999999</v>
      </c>
      <c r="K4147">
        <v>1.12276</v>
      </c>
      <c r="L4147">
        <v>142.4</v>
      </c>
      <c r="M4147">
        <v>-0.99992009999999998</v>
      </c>
      <c r="N4147">
        <v>-1.088919E-2</v>
      </c>
      <c r="O4147">
        <v>-6.4231059999999996E-3</v>
      </c>
      <c r="P4147">
        <v>-0.98590489999999997</v>
      </c>
      <c r="Q4147">
        <v>0.1648472</v>
      </c>
      <c r="R4147">
        <v>-2.8579920000000002E-2</v>
      </c>
      <c r="S4147">
        <v>-3.0869450000000001</v>
      </c>
      <c r="T4147">
        <v>-0.27612829999999999</v>
      </c>
      <c r="U4147">
        <v>-9.0820310000000001E-2</v>
      </c>
      <c r="V4147">
        <v>-2.326692E-2</v>
      </c>
      <c r="W4147">
        <v>0.17544289999999901</v>
      </c>
      <c r="X4147">
        <v>0.98421460000000005</v>
      </c>
      <c r="Y4147">
        <v>-2.2903960000000001E-2</v>
      </c>
      <c r="Z4147">
        <v>-6.4367929999999997E-4</v>
      </c>
      <c r="AA4147">
        <v>0.9997374</v>
      </c>
      <c r="AB4147">
        <v>36</v>
      </c>
      <c r="AC4147">
        <v>-12.180400000000001</v>
      </c>
      <c r="AD4147">
        <v>-1.1227627909510001</v>
      </c>
      <c r="AE4147">
        <v>-0.36510000000001203</v>
      </c>
      <c r="AF4147">
        <v>-0.28443720717374399</v>
      </c>
      <c r="AG4147">
        <v>-1.1227627909510001</v>
      </c>
      <c r="AH4147">
        <v>12.0799457609805</v>
      </c>
      <c r="AI4147">
        <v>95.308600851943297</v>
      </c>
      <c r="AJ4147">
        <v>91.348850483293504</v>
      </c>
      <c r="AK4147">
        <v>12.135344675690099</v>
      </c>
      <c r="AL4147">
        <v>79.895566517927406</v>
      </c>
      <c r="AM4147">
        <v>91.354225050312195</v>
      </c>
      <c r="AN4147">
        <v>0.999999969789927</v>
      </c>
    </row>
    <row r="4148" spans="1:40" x14ac:dyDescent="0.25">
      <c r="A4148" t="str">
        <f>"20190303162342237"</f>
        <v>20190303162342237</v>
      </c>
      <c r="B4148" t="str">
        <f>"1551601422228681"</f>
        <v>1551601422228681</v>
      </c>
      <c r="C4148" t="s">
        <v>40</v>
      </c>
      <c r="D4148">
        <v>5.6830069999999999</v>
      </c>
      <c r="E4148">
        <v>0.50582439999999995</v>
      </c>
      <c r="F4148" t="s">
        <v>41</v>
      </c>
      <c r="G4148">
        <v>-255.2748</v>
      </c>
      <c r="H4148" s="1">
        <v>-2.6750420000000001E-6</v>
      </c>
      <c r="I4148">
        <v>142.11799999999999</v>
      </c>
      <c r="J4148">
        <v>-243.12360000000001</v>
      </c>
      <c r="K4148">
        <v>1.1230719999999901</v>
      </c>
      <c r="L4148">
        <v>142.3947</v>
      </c>
      <c r="M4148">
        <v>-0.99989159999999999</v>
      </c>
      <c r="N4148">
        <v>-1.0899030000000001E-2</v>
      </c>
      <c r="O4148">
        <v>-9.9131459999999994E-3</v>
      </c>
      <c r="P4148">
        <v>-0.98614559999999996</v>
      </c>
      <c r="Q4148">
        <v>0.16315769999999999</v>
      </c>
      <c r="R4148">
        <v>-2.994722E-2</v>
      </c>
      <c r="S4148">
        <v>-3.087234</v>
      </c>
      <c r="T4148">
        <v>-0.27725090000000002</v>
      </c>
      <c r="U4148">
        <v>-6.9625850000000003E-2</v>
      </c>
      <c r="V4148">
        <v>-2.1311610000000002E-2</v>
      </c>
      <c r="W4148">
        <v>0.17376259999999999</v>
      </c>
      <c r="X4148">
        <v>0.98455700000000002</v>
      </c>
      <c r="Y4148">
        <v>-1.2608650000000001E-2</v>
      </c>
      <c r="Z4148">
        <v>1.4664149999999999E-4</v>
      </c>
      <c r="AA4148">
        <v>0.99992049999999999</v>
      </c>
      <c r="AB4148">
        <v>36</v>
      </c>
      <c r="AC4148">
        <v>-12.1511999999999</v>
      </c>
      <c r="AD4148">
        <v>-1.12307467504199</v>
      </c>
      <c r="AE4148">
        <v>-0.276700000000005</v>
      </c>
      <c r="AF4148">
        <v>-0.154900113913784</v>
      </c>
      <c r="AG4148">
        <v>-1.12307467504199</v>
      </c>
      <c r="AH4148">
        <v>12.050459726503499</v>
      </c>
      <c r="AI4148">
        <v>95.324015227068401</v>
      </c>
      <c r="AJ4148">
        <v>90.736456052531494</v>
      </c>
      <c r="AK4148">
        <v>12.103671773106401</v>
      </c>
      <c r="AL4148">
        <v>79.993343446232203</v>
      </c>
      <c r="AM4148">
        <v>91.240024349464505</v>
      </c>
      <c r="AN4148">
        <v>1.0000000560642699</v>
      </c>
    </row>
    <row r="4149" spans="1:40" x14ac:dyDescent="0.25">
      <c r="A4149" t="str">
        <f>"20190303162342258"</f>
        <v>20190303162342258</v>
      </c>
      <c r="B4149" t="str">
        <f>"1551601422249176"</f>
        <v>1551601422249176</v>
      </c>
      <c r="C4149" t="s">
        <v>40</v>
      </c>
      <c r="D4149">
        <v>5.6769210000000001</v>
      </c>
      <c r="E4149">
        <v>0.50700500000000004</v>
      </c>
      <c r="F4149" t="s">
        <v>41</v>
      </c>
      <c r="G4149">
        <v>-255.27520000000001</v>
      </c>
      <c r="H4149" s="1">
        <v>-2.6935309999999999E-6</v>
      </c>
      <c r="I4149">
        <v>142.18799999999999</v>
      </c>
      <c r="J4149">
        <v>-243.47380000000001</v>
      </c>
      <c r="K4149">
        <v>1.1233390000000001</v>
      </c>
      <c r="L4149">
        <v>142.38800000000001</v>
      </c>
      <c r="M4149">
        <v>-0.99984779999999995</v>
      </c>
      <c r="N4149">
        <v>-1.0907689999999999E-2</v>
      </c>
      <c r="O4149">
        <v>-1.3622230000000001E-2</v>
      </c>
      <c r="P4149">
        <v>-0.98603540000000001</v>
      </c>
      <c r="Q4149">
        <v>0.16353879999999901</v>
      </c>
      <c r="R4149">
        <v>-3.1454429999999999E-2</v>
      </c>
      <c r="S4149">
        <v>-3.0877530000000002</v>
      </c>
      <c r="T4149">
        <v>-0.28537750000000001</v>
      </c>
      <c r="U4149">
        <v>-5.2490229999999999E-2</v>
      </c>
      <c r="V4149">
        <v>-1.92774E-2</v>
      </c>
      <c r="W4149">
        <v>0.17415320000000001</v>
      </c>
      <c r="X4149">
        <v>0.98452989999999996</v>
      </c>
      <c r="Y4149">
        <v>-3.403311E-3</v>
      </c>
      <c r="Z4149">
        <v>9.3232359999999997E-4</v>
      </c>
      <c r="AA4149">
        <v>0.99999380000000004</v>
      </c>
      <c r="AB4149">
        <v>36</v>
      </c>
      <c r="AC4149">
        <v>-11.801399999999999</v>
      </c>
      <c r="AD4149">
        <v>-1.1233416935310001</v>
      </c>
      <c r="AE4149">
        <v>-0.200000000000017</v>
      </c>
      <c r="AF4149">
        <v>-3.8858524041065899E-2</v>
      </c>
      <c r="AG4149">
        <v>-1.1233416935310001</v>
      </c>
      <c r="AH4149">
        <v>11.6970774171625</v>
      </c>
      <c r="AI4149">
        <v>95.4856098270551</v>
      </c>
      <c r="AJ4149">
        <v>90.190339958940498</v>
      </c>
      <c r="AK4149">
        <v>11.750958541685399</v>
      </c>
      <c r="AL4149">
        <v>79.970617044275897</v>
      </c>
      <c r="AM4149">
        <v>91.121725749344293</v>
      </c>
      <c r="AN4149">
        <v>1.0000000396074999</v>
      </c>
    </row>
    <row r="4150" spans="1:40" x14ac:dyDescent="0.25">
      <c r="A4150" t="str">
        <f>"20190303162342282"</f>
        <v>20190303162342282</v>
      </c>
      <c r="B4150" t="str">
        <f>"1551601422268697"</f>
        <v>1551601422268697</v>
      </c>
      <c r="C4150" t="s">
        <v>40</v>
      </c>
      <c r="D4150">
        <v>5.9025429999999997</v>
      </c>
      <c r="E4150">
        <v>0.50769699999999995</v>
      </c>
      <c r="F4150" t="s">
        <v>41</v>
      </c>
      <c r="G4150">
        <v>-255.50919999999999</v>
      </c>
      <c r="H4150" s="1">
        <v>-2.594826E-6</v>
      </c>
      <c r="I4150">
        <v>142.1943</v>
      </c>
      <c r="J4150">
        <v>-243.83519999999999</v>
      </c>
      <c r="K4150">
        <v>1.1235759999999999</v>
      </c>
      <c r="L4150">
        <v>142.37970000000001</v>
      </c>
      <c r="M4150">
        <v>-0.99978509999999998</v>
      </c>
      <c r="N4150">
        <v>-1.0915579999999999E-2</v>
      </c>
      <c r="O4150">
        <v>-1.762122E-2</v>
      </c>
      <c r="P4150">
        <v>-0.98572070000000001</v>
      </c>
      <c r="Q4150">
        <v>0.1649427</v>
      </c>
      <c r="R4150">
        <v>-3.3889240000000001E-2</v>
      </c>
      <c r="S4150">
        <v>-3.0887150000000001</v>
      </c>
      <c r="T4150">
        <v>-0.28829129999999997</v>
      </c>
      <c r="U4150">
        <v>-4.969788E-2</v>
      </c>
      <c r="V4150">
        <v>-1.7883699999999999E-2</v>
      </c>
      <c r="W4150">
        <v>0.17556359999999999</v>
      </c>
      <c r="X4150">
        <v>0.9843056</v>
      </c>
      <c r="Y4150">
        <v>1.46760799999999E-3</v>
      </c>
      <c r="Z4150">
        <v>1.525301E-3</v>
      </c>
      <c r="AA4150">
        <v>0.99999769999999999</v>
      </c>
      <c r="AB4150">
        <v>36</v>
      </c>
      <c r="AC4150">
        <v>-11.673999999999999</v>
      </c>
      <c r="AD4150">
        <v>-1.123578594826</v>
      </c>
      <c r="AE4150">
        <v>-0.185400000000015</v>
      </c>
      <c r="AF4150">
        <v>2.0164435288697598E-2</v>
      </c>
      <c r="AG4150">
        <v>-1.123578594826</v>
      </c>
      <c r="AH4150">
        <v>11.568320136176499</v>
      </c>
      <c r="AI4150">
        <v>95.547471336784199</v>
      </c>
      <c r="AJ4150">
        <v>89.9001293312581</v>
      </c>
      <c r="AK4150">
        <v>11.622773603416199</v>
      </c>
      <c r="AL4150">
        <v>79.888541779399702</v>
      </c>
      <c r="AM4150">
        <v>91.040883852709996</v>
      </c>
      <c r="AN4150">
        <v>0.99999995928100405</v>
      </c>
    </row>
    <row r="4151" spans="1:40" x14ac:dyDescent="0.25">
      <c r="A4151" t="str">
        <f>"20190303162342352"</f>
        <v>20190303162342352</v>
      </c>
      <c r="B4151" t="str">
        <f>"1551601422338969"</f>
        <v>1551601422338969</v>
      </c>
      <c r="C4151" t="s">
        <v>40</v>
      </c>
      <c r="D4151">
        <v>5.7478939999999996</v>
      </c>
      <c r="E4151">
        <v>0.50827089999999997</v>
      </c>
      <c r="F4151" t="s">
        <v>41</v>
      </c>
      <c r="G4151">
        <v>-256.01560000000001</v>
      </c>
      <c r="H4151" s="1">
        <v>-2.369159E-6</v>
      </c>
      <c r="I4151">
        <v>142.1627</v>
      </c>
      <c r="J4151">
        <v>-244.94149999999999</v>
      </c>
      <c r="K4151">
        <v>1.1241019999999999</v>
      </c>
      <c r="L4151">
        <v>142.34399999999999</v>
      </c>
      <c r="M4151">
        <v>-0.99947450000000004</v>
      </c>
      <c r="N4151">
        <v>-1.093536E-2</v>
      </c>
      <c r="O4151">
        <v>-3.0514590000000001E-2</v>
      </c>
      <c r="P4151">
        <v>-0.98504510000000001</v>
      </c>
      <c r="Q4151">
        <v>0.16747339999999999</v>
      </c>
      <c r="R4151">
        <v>-4.0481940000000001E-2</v>
      </c>
      <c r="S4151">
        <v>-3.0892789999999999</v>
      </c>
      <c r="T4151">
        <v>-0.28496969999999999</v>
      </c>
      <c r="U4151">
        <v>-5.5007929999999997E-2</v>
      </c>
      <c r="V4151">
        <v>-1.201553E-2</v>
      </c>
      <c r="W4151">
        <v>0.17814199999999999</v>
      </c>
      <c r="X4151">
        <v>0.98393140000000001</v>
      </c>
      <c r="Y4151">
        <v>1.255641E-2</v>
      </c>
      <c r="Z4151">
        <v>3.1216809999999998E-3</v>
      </c>
      <c r="AA4151">
        <v>0.99991629999999998</v>
      </c>
      <c r="AB4151">
        <v>36</v>
      </c>
      <c r="AC4151">
        <v>-11.0741</v>
      </c>
      <c r="AD4151">
        <v>-1.124104369159</v>
      </c>
      <c r="AE4151">
        <v>-0.18129999999999299</v>
      </c>
      <c r="AF4151">
        <v>0.15512828675155599</v>
      </c>
      <c r="AG4151">
        <v>-1.124104369159</v>
      </c>
      <c r="AH4151">
        <v>10.961559850404401</v>
      </c>
      <c r="AI4151">
        <v>95.854613212281606</v>
      </c>
      <c r="AJ4151">
        <v>89.189202729265205</v>
      </c>
      <c r="AK4151">
        <v>11.020139280976</v>
      </c>
      <c r="AL4151">
        <v>79.7384444873489</v>
      </c>
      <c r="AM4151">
        <v>90.699647291525594</v>
      </c>
      <c r="AN4151">
        <v>0.99999997251557005</v>
      </c>
    </row>
    <row r="4152" spans="1:40" x14ac:dyDescent="0.25">
      <c r="A4152" t="str">
        <f>"20190303162342437"</f>
        <v>20190303162342437</v>
      </c>
      <c r="B4152" t="str">
        <f>"1551601422428760"</f>
        <v>1551601422428760</v>
      </c>
      <c r="C4152" t="s">
        <v>40</v>
      </c>
      <c r="D4152">
        <v>6.02278</v>
      </c>
      <c r="E4152">
        <v>0.49308600000000002</v>
      </c>
      <c r="F4152" t="s">
        <v>41</v>
      </c>
      <c r="G4152">
        <v>-271.47750000000002</v>
      </c>
      <c r="H4152" s="1">
        <v>-3.894572E-6</v>
      </c>
      <c r="I4152">
        <v>140.5788</v>
      </c>
      <c r="J4152">
        <v>-246.3425</v>
      </c>
      <c r="K4152">
        <v>1.124369</v>
      </c>
      <c r="L4152">
        <v>142.27780000000001</v>
      </c>
      <c r="M4152">
        <v>-0.99882729999999997</v>
      </c>
      <c r="N4152">
        <v>-1.095373E-2</v>
      </c>
      <c r="O4152">
        <v>-4.7159600000000003E-2</v>
      </c>
      <c r="P4152">
        <v>-0.98382369999999997</v>
      </c>
      <c r="Q4152">
        <v>0.1752503</v>
      </c>
      <c r="R4152">
        <v>-3.7126739999999998E-2</v>
      </c>
      <c r="S4152">
        <v>-3.063599</v>
      </c>
      <c r="T4152">
        <v>-0.1352217</v>
      </c>
      <c r="U4152">
        <v>-0.20649719999999999</v>
      </c>
      <c r="V4152">
        <v>7.5159319999999899E-3</v>
      </c>
      <c r="W4152">
        <v>0.18610470000000001</v>
      </c>
      <c r="X4152">
        <v>0.98250110000000002</v>
      </c>
      <c r="Y4152">
        <v>-2.0121819999999999E-2</v>
      </c>
      <c r="Z4152">
        <v>1.006854E-3</v>
      </c>
      <c r="AA4152">
        <v>0.99979700000000005</v>
      </c>
      <c r="AB4152">
        <v>36</v>
      </c>
      <c r="AC4152">
        <v>-25.135000000000002</v>
      </c>
      <c r="AD4152">
        <v>-1.124372894572</v>
      </c>
      <c r="AE4152">
        <v>-1.6990000000000101</v>
      </c>
      <c r="AF4152">
        <v>-0.51066450852119205</v>
      </c>
      <c r="AG4152">
        <v>-1.124372894572</v>
      </c>
      <c r="AH4152">
        <v>25.1370872172931</v>
      </c>
      <c r="AI4152">
        <v>92.560584907938903</v>
      </c>
      <c r="AJ4152">
        <v>91.163814117045703</v>
      </c>
      <c r="AK4152">
        <v>25.1674024566722</v>
      </c>
      <c r="AL4152">
        <v>79.274453616224903</v>
      </c>
      <c r="AM4152">
        <v>89.561707581890005</v>
      </c>
      <c r="AN4152">
        <v>0.99999993004856103</v>
      </c>
    </row>
    <row r="4153" spans="1:40" x14ac:dyDescent="0.25">
      <c r="A4153" t="str">
        <f>"20190303162342459"</f>
        <v>20190303162342459</v>
      </c>
      <c r="B4153" t="str">
        <f>"1551601422449257"</f>
        <v>1551601422449257</v>
      </c>
      <c r="C4153" t="s">
        <v>40</v>
      </c>
      <c r="D4153">
        <v>6.0862230000000004</v>
      </c>
      <c r="E4153">
        <v>0.4938881</v>
      </c>
      <c r="F4153" t="s">
        <v>41</v>
      </c>
      <c r="G4153">
        <v>-272.91829999999999</v>
      </c>
      <c r="H4153" s="1">
        <v>-3.2728440000000002E-6</v>
      </c>
      <c r="I4153">
        <v>140.5651</v>
      </c>
      <c r="J4153">
        <v>-246.69309999999999</v>
      </c>
      <c r="K4153">
        <v>1.1243350000000001</v>
      </c>
      <c r="L4153">
        <v>142.2576</v>
      </c>
      <c r="M4153">
        <v>-0.99863120000000005</v>
      </c>
      <c r="N4153">
        <v>-1.0954999999999999E-2</v>
      </c>
      <c r="O4153">
        <v>-5.1145339999999997E-2</v>
      </c>
      <c r="P4153">
        <v>-0.98394630000000005</v>
      </c>
      <c r="Q4153">
        <v>0.17512910000000001</v>
      </c>
      <c r="R4153">
        <v>-3.4349400000000002E-2</v>
      </c>
      <c r="S4153">
        <v>-3.064972</v>
      </c>
      <c r="T4153">
        <v>-0.1296735</v>
      </c>
      <c r="U4153">
        <v>-0.19750980000000001</v>
      </c>
      <c r="V4153">
        <v>1.4242329999999999E-2</v>
      </c>
      <c r="W4153">
        <v>0.18604799999999999</v>
      </c>
      <c r="X4153">
        <v>0.98243740000000002</v>
      </c>
      <c r="Y4153">
        <v>-1.3191039999999999E-2</v>
      </c>
      <c r="Z4153">
        <v>1.2481009999999999E-3</v>
      </c>
      <c r="AA4153">
        <v>0.99991220000000003</v>
      </c>
      <c r="AB4153">
        <v>36</v>
      </c>
      <c r="AC4153">
        <v>-26.225200000000001</v>
      </c>
      <c r="AD4153">
        <v>-1.1243382728439999</v>
      </c>
      <c r="AE4153">
        <v>-1.6924999999999899</v>
      </c>
      <c r="AF4153">
        <v>-0.34826996859537601</v>
      </c>
      <c r="AG4153">
        <v>-1.1243382728439999</v>
      </c>
      <c r="AH4153">
        <v>26.2294306271253</v>
      </c>
      <c r="AI4153">
        <v>92.4542948919255</v>
      </c>
      <c r="AJ4153">
        <v>90.760719021330502</v>
      </c>
      <c r="AK4153">
        <v>26.255827154100299</v>
      </c>
      <c r="AL4153">
        <v>79.277760505197193</v>
      </c>
      <c r="AM4153">
        <v>89.169445054673403</v>
      </c>
      <c r="AN4153">
        <v>0.99999997359329396</v>
      </c>
    </row>
    <row r="4154" spans="1:40" x14ac:dyDescent="0.25">
      <c r="A4154" t="str">
        <f>"20190303162342481"</f>
        <v>20190303162342481</v>
      </c>
      <c r="B4154" t="str">
        <f>"1551601422468777"</f>
        <v>1551601422468777</v>
      </c>
      <c r="C4154" t="s">
        <v>40</v>
      </c>
      <c r="D4154">
        <v>6.0180160000000003</v>
      </c>
      <c r="E4154">
        <v>0.49463560000000001</v>
      </c>
      <c r="F4154" t="s">
        <v>41</v>
      </c>
      <c r="G4154">
        <v>-271.31599999999997</v>
      </c>
      <c r="H4154" s="1">
        <v>-4.0229610000000003E-6</v>
      </c>
      <c r="I4154">
        <v>140.80090000000001</v>
      </c>
      <c r="J4154">
        <v>-247.0531</v>
      </c>
      <c r="K4154">
        <v>1.1242000000000001</v>
      </c>
      <c r="L4154">
        <v>142.23570000000001</v>
      </c>
      <c r="M4154">
        <v>-0.99842549999999997</v>
      </c>
      <c r="N4154">
        <v>-1.095318E-2</v>
      </c>
      <c r="O4154">
        <v>-5.5016000000000002E-2</v>
      </c>
      <c r="P4154">
        <v>-0.98442010000000002</v>
      </c>
      <c r="Q4154">
        <v>0.17272379999999901</v>
      </c>
      <c r="R4154">
        <v>-3.2916920000000002E-2</v>
      </c>
      <c r="S4154">
        <v>-3.0675810000000001</v>
      </c>
      <c r="T4154">
        <v>-0.14007310000000001</v>
      </c>
      <c r="U4154">
        <v>-0.18147279999999999</v>
      </c>
      <c r="V4154">
        <v>1.958766E-2</v>
      </c>
      <c r="W4154">
        <v>0.18368989999999999</v>
      </c>
      <c r="X4154">
        <v>0.98278900000000002</v>
      </c>
      <c r="Y4154">
        <v>-4.0699839999999996E-3</v>
      </c>
      <c r="Z4154">
        <v>1.7892489999999999E-3</v>
      </c>
      <c r="AA4154">
        <v>0.99999009999999999</v>
      </c>
      <c r="AB4154">
        <v>36</v>
      </c>
      <c r="AC4154">
        <v>-24.262899999999899</v>
      </c>
      <c r="AD4154">
        <v>-1.124204022961</v>
      </c>
      <c r="AE4154">
        <v>-1.4347999999999901</v>
      </c>
      <c r="AF4154">
        <v>-9.7490481838873502E-2</v>
      </c>
      <c r="AG4154">
        <v>-1.124204022961</v>
      </c>
      <c r="AH4154">
        <v>24.253203542886201</v>
      </c>
      <c r="AI4154">
        <v>92.653899070542906</v>
      </c>
      <c r="AJ4154">
        <v>90.230310319933295</v>
      </c>
      <c r="AK4154">
        <v>24.279440297749101</v>
      </c>
      <c r="AL4154">
        <v>79.415239031358894</v>
      </c>
      <c r="AM4154">
        <v>88.858206918638601</v>
      </c>
      <c r="AN4154">
        <v>0.99999993715364</v>
      </c>
    </row>
    <row r="4155" spans="1:40" x14ac:dyDescent="0.25">
      <c r="A4155" t="str">
        <f>"20190303162342505"</f>
        <v>20190303162342505</v>
      </c>
      <c r="B4155" t="str">
        <f>"1551601422499034"</f>
        <v>1551601422499034</v>
      </c>
      <c r="C4155" t="s">
        <v>40</v>
      </c>
      <c r="D4155">
        <v>6.032743</v>
      </c>
      <c r="E4155">
        <v>0.49440970000000001</v>
      </c>
      <c r="F4155" t="s">
        <v>41</v>
      </c>
      <c r="G4155">
        <v>-269.52069999999998</v>
      </c>
      <c r="H4155" s="1">
        <v>-5.5664749999999898E-7</v>
      </c>
      <c r="I4155">
        <v>141.0018</v>
      </c>
      <c r="J4155">
        <v>-247.43279999999999</v>
      </c>
      <c r="K4155">
        <v>1.123969</v>
      </c>
      <c r="L4155">
        <v>142.21129999999999</v>
      </c>
      <c r="M4155">
        <v>-0.99821420000000005</v>
      </c>
      <c r="N4155">
        <v>-1.0947729999999999E-2</v>
      </c>
      <c r="O4155">
        <v>-5.8725260000000001E-2</v>
      </c>
      <c r="P4155">
        <v>-0.98460449999999999</v>
      </c>
      <c r="Q4155">
        <v>0.17183519999999999</v>
      </c>
      <c r="R4155">
        <v>-3.204274E-2</v>
      </c>
      <c r="S4155">
        <v>-3.0687869999999999</v>
      </c>
      <c r="T4155">
        <v>-0.1535523</v>
      </c>
      <c r="U4155">
        <v>-0.1685181</v>
      </c>
      <c r="V4155">
        <v>2.4235050000000001E-2</v>
      </c>
      <c r="W4155">
        <v>0.18282599999999999</v>
      </c>
      <c r="X4155">
        <v>0.98284660000000001</v>
      </c>
      <c r="Y4155">
        <v>3.853661E-3</v>
      </c>
      <c r="Z4155">
        <v>2.4066729999999998E-3</v>
      </c>
      <c r="AA4155">
        <v>0.99998969999999998</v>
      </c>
      <c r="AB4155">
        <v>36</v>
      </c>
      <c r="AC4155">
        <v>-22.087899999999902</v>
      </c>
      <c r="AD4155">
        <v>-1.1239695566474901</v>
      </c>
      <c r="AE4155">
        <v>-1.20949999999999</v>
      </c>
      <c r="AF4155">
        <v>8.9551778851019295E-2</v>
      </c>
      <c r="AG4155">
        <v>-1.1239695566474901</v>
      </c>
      <c r="AH4155">
        <v>22.063846735132199</v>
      </c>
      <c r="AI4155">
        <v>92.916198798590003</v>
      </c>
      <c r="AJ4155">
        <v>89.767451665927595</v>
      </c>
      <c r="AK4155">
        <v>22.092638136645601</v>
      </c>
      <c r="AL4155">
        <v>79.465590878449603</v>
      </c>
      <c r="AM4155">
        <v>88.5874858196904</v>
      </c>
      <c r="AN4155">
        <v>1.00000006152802</v>
      </c>
    </row>
    <row r="4156" spans="1:40" x14ac:dyDescent="0.25">
      <c r="A4156" t="str">
        <f>"20190303162342527"</f>
        <v>20190303162342527</v>
      </c>
      <c r="B4156" t="str">
        <f>"1551601422518553"</f>
        <v>1551601422518553</v>
      </c>
      <c r="C4156" t="s">
        <v>40</v>
      </c>
      <c r="D4156">
        <v>5.7781039999999999</v>
      </c>
      <c r="E4156">
        <v>0.49443890000000001</v>
      </c>
      <c r="F4156" t="s">
        <v>41</v>
      </c>
      <c r="G4156">
        <v>-268.45150000000001</v>
      </c>
      <c r="H4156" s="1">
        <v>-1.033685E-6</v>
      </c>
      <c r="I4156">
        <v>141.07089999999999</v>
      </c>
      <c r="J4156">
        <v>-247.79490000000001</v>
      </c>
      <c r="K4156">
        <v>1.123664</v>
      </c>
      <c r="L4156">
        <v>142.18709999999999</v>
      </c>
      <c r="M4156">
        <v>-0.99802690000000005</v>
      </c>
      <c r="N4156">
        <v>-1.0941080000000001E-2</v>
      </c>
      <c r="O4156">
        <v>-6.1829790000000003E-2</v>
      </c>
      <c r="P4156">
        <v>-0.98442890000000005</v>
      </c>
      <c r="Q4156">
        <v>0.1728124</v>
      </c>
      <c r="R4156">
        <v>-3.218762E-2</v>
      </c>
      <c r="S4156">
        <v>-3.0701450000000001</v>
      </c>
      <c r="T4156">
        <v>-0.1641754</v>
      </c>
      <c r="U4156">
        <v>-0.16656489999999999</v>
      </c>
      <c r="V4156">
        <v>2.7265089999999999E-2</v>
      </c>
      <c r="W4156">
        <v>0.18379960000000001</v>
      </c>
      <c r="X4156">
        <v>0.9825855</v>
      </c>
      <c r="Y4156">
        <v>7.6042779999999999E-3</v>
      </c>
      <c r="Z4156">
        <v>2.8670499999999999E-3</v>
      </c>
      <c r="AA4156">
        <v>0.99996700000000005</v>
      </c>
      <c r="AB4156">
        <v>36</v>
      </c>
      <c r="AC4156">
        <v>-20.656600000000001</v>
      </c>
      <c r="AD4156">
        <v>-1.123665033685</v>
      </c>
      <c r="AE4156">
        <v>-1.1161999999999901</v>
      </c>
      <c r="AF4156">
        <v>0.16272524226930599</v>
      </c>
      <c r="AG4156">
        <v>-1.123665033685</v>
      </c>
      <c r="AH4156">
        <v>20.625237754619</v>
      </c>
      <c r="AI4156">
        <v>93.118300209697395</v>
      </c>
      <c r="AJ4156">
        <v>89.547967578815602</v>
      </c>
      <c r="AK4156">
        <v>20.656464727705998</v>
      </c>
      <c r="AL4156">
        <v>79.408845183414002</v>
      </c>
      <c r="AM4156">
        <v>88.410546636160703</v>
      </c>
      <c r="AN4156">
        <v>0.99999997145155795</v>
      </c>
    </row>
    <row r="4157" spans="1:40" x14ac:dyDescent="0.25">
      <c r="A4157" t="str">
        <f>"20190303162342550"</f>
        <v>20190303162342550</v>
      </c>
      <c r="B4157" t="str">
        <f>"1551601422539049"</f>
        <v>1551601422539049</v>
      </c>
      <c r="C4157" t="s">
        <v>40</v>
      </c>
      <c r="D4157">
        <v>6.0327310000000001</v>
      </c>
      <c r="E4157">
        <v>0.4941489</v>
      </c>
      <c r="F4157" t="s">
        <v>41</v>
      </c>
      <c r="G4157">
        <v>-268.3272</v>
      </c>
      <c r="H4157" s="1">
        <v>-1.089218E-6</v>
      </c>
      <c r="I4157">
        <v>141.07919999999999</v>
      </c>
      <c r="J4157">
        <v>-248.16059999999999</v>
      </c>
      <c r="K4157">
        <v>1.123346</v>
      </c>
      <c r="L4157">
        <v>142.1619</v>
      </c>
      <c r="M4157">
        <v>-0.99785330000000005</v>
      </c>
      <c r="N4157">
        <v>-1.093533E-2</v>
      </c>
      <c r="O4157">
        <v>-6.4570349999999999E-2</v>
      </c>
      <c r="P4157">
        <v>-0.98437410000000003</v>
      </c>
      <c r="Q4157">
        <v>0.17276559999999999</v>
      </c>
      <c r="R4157">
        <v>-3.405097E-2</v>
      </c>
      <c r="S4157">
        <v>-3.0715479999999999</v>
      </c>
      <c r="T4157">
        <v>-0.16809579999999999</v>
      </c>
      <c r="U4157">
        <v>-0.1657257</v>
      </c>
      <c r="V4157">
        <v>2.82501E-2</v>
      </c>
      <c r="W4157">
        <v>0.18373159999999999</v>
      </c>
      <c r="X4157">
        <v>0.98257039999999995</v>
      </c>
      <c r="Y4157">
        <v>1.063559E-2</v>
      </c>
      <c r="Z4157">
        <v>3.168129E-3</v>
      </c>
      <c r="AA4157">
        <v>0.99993840000000001</v>
      </c>
      <c r="AB4157">
        <v>36</v>
      </c>
      <c r="AC4157">
        <v>-20.166599999999999</v>
      </c>
      <c r="AD4157">
        <v>-1.123347089218</v>
      </c>
      <c r="AE4157">
        <v>-1.08270000000001</v>
      </c>
      <c r="AF4157">
        <v>0.22111777500996799</v>
      </c>
      <c r="AG4157">
        <v>-1.123347089218</v>
      </c>
      <c r="AH4157">
        <v>20.132137221591201</v>
      </c>
      <c r="AI4157">
        <v>93.193526010995598</v>
      </c>
      <c r="AJ4157">
        <v>89.3707272237734</v>
      </c>
      <c r="AK4157">
        <v>20.164665900090199</v>
      </c>
      <c r="AL4157">
        <v>79.412808887750401</v>
      </c>
      <c r="AM4157">
        <v>88.353129991715406</v>
      </c>
      <c r="AN4157">
        <v>0.99999997997236401</v>
      </c>
    </row>
    <row r="4158" spans="1:40" x14ac:dyDescent="0.25">
      <c r="A4158" t="str">
        <f>"20190303162342572"</f>
        <v>20190303162342572</v>
      </c>
      <c r="B4158" t="str">
        <f>"1551601422558569"</f>
        <v>1551601422558569</v>
      </c>
      <c r="C4158" t="s">
        <v>40</v>
      </c>
      <c r="D4158">
        <v>6.0880530000000004</v>
      </c>
      <c r="E4158">
        <v>0.49399470000000001</v>
      </c>
      <c r="F4158" t="s">
        <v>41</v>
      </c>
      <c r="G4158">
        <v>-268.63350000000003</v>
      </c>
      <c r="H4158" s="1">
        <v>-9.4772939999999997E-7</v>
      </c>
      <c r="I4158">
        <v>141.04130000000001</v>
      </c>
      <c r="J4158">
        <v>-248.517</v>
      </c>
      <c r="K4158">
        <v>1.1230100000000001</v>
      </c>
      <c r="L4158">
        <v>142.13679999999999</v>
      </c>
      <c r="M4158">
        <v>-0.99770639999999999</v>
      </c>
      <c r="N4158">
        <v>-1.093121E-2</v>
      </c>
      <c r="O4158">
        <v>-6.6803979999999999E-2</v>
      </c>
      <c r="P4158">
        <v>-0.98425479999999999</v>
      </c>
      <c r="Q4158">
        <v>0.17274870000000001</v>
      </c>
      <c r="R4158">
        <v>-3.7428000000000003E-2</v>
      </c>
      <c r="S4158">
        <v>-3.0713810000000001</v>
      </c>
      <c r="T4158">
        <v>-0.1685266</v>
      </c>
      <c r="U4158">
        <v>-0.16810610000000001</v>
      </c>
      <c r="V4158">
        <v>2.7226759999999999E-2</v>
      </c>
      <c r="W4158">
        <v>0.18368010000000001</v>
      </c>
      <c r="X4158">
        <v>0.98260890000000001</v>
      </c>
      <c r="Y4158">
        <v>1.209316E-2</v>
      </c>
      <c r="Z4158">
        <v>3.3237879999999998E-3</v>
      </c>
      <c r="AA4158">
        <v>0.99992130000000001</v>
      </c>
      <c r="AB4158">
        <v>36</v>
      </c>
      <c r="AC4158">
        <v>-20.116499999999998</v>
      </c>
      <c r="AD4158">
        <v>-1.1230109477293999</v>
      </c>
      <c r="AE4158">
        <v>-1.0954999999999799</v>
      </c>
      <c r="AF4158">
        <v>0.25011268766818601</v>
      </c>
      <c r="AG4158">
        <v>-1.1230109477293999</v>
      </c>
      <c r="AH4158">
        <v>20.082343902812902</v>
      </c>
      <c r="AI4158">
        <v>93.200416745191603</v>
      </c>
      <c r="AJ4158">
        <v>89.286454777889602</v>
      </c>
      <c r="AK4158">
        <v>20.115273962243201</v>
      </c>
      <c r="AL4158">
        <v>79.415810525694695</v>
      </c>
      <c r="AM4158">
        <v>88.412817767785697</v>
      </c>
      <c r="AN4158">
        <v>0.99999996297765803</v>
      </c>
    </row>
    <row r="4159" spans="1:40" x14ac:dyDescent="0.25">
      <c r="A4159" t="str">
        <f>"20190303162342593"</f>
        <v>20190303162342593</v>
      </c>
      <c r="B4159" t="str">
        <f>"1551601422579065"</f>
        <v>1551601422579065</v>
      </c>
      <c r="C4159" t="s">
        <v>40</v>
      </c>
      <c r="D4159">
        <v>5.9734920000000002</v>
      </c>
      <c r="E4159">
        <v>0.49379109999999998</v>
      </c>
      <c r="F4159" t="s">
        <v>41</v>
      </c>
      <c r="G4159">
        <v>-268.76010000000002</v>
      </c>
      <c r="H4159" s="1">
        <v>-8.762679E-7</v>
      </c>
      <c r="I4159">
        <v>140.9769</v>
      </c>
      <c r="J4159">
        <v>-248.8623</v>
      </c>
      <c r="K4159">
        <v>1.1226640000000001</v>
      </c>
      <c r="L4159">
        <v>142.1121</v>
      </c>
      <c r="M4159">
        <v>-0.99759089999999995</v>
      </c>
      <c r="N4159">
        <v>-1.092778E-2</v>
      </c>
      <c r="O4159">
        <v>-6.8505289999999996E-2</v>
      </c>
      <c r="P4159">
        <v>-0.98401090000000002</v>
      </c>
      <c r="Q4159">
        <v>0.1735524</v>
      </c>
      <c r="R4159">
        <v>-4.0026920000000001E-2</v>
      </c>
      <c r="S4159">
        <v>-3.0712130000000002</v>
      </c>
      <c r="T4159">
        <v>-0.170379</v>
      </c>
      <c r="U4159">
        <v>-0.17596439999999999</v>
      </c>
      <c r="V4159">
        <v>2.644753E-2</v>
      </c>
      <c r="W4159">
        <v>0.18445110000000001</v>
      </c>
      <c r="X4159">
        <v>0.98248579999999996</v>
      </c>
      <c r="Y4159">
        <v>1.124257E-2</v>
      </c>
      <c r="Z4159">
        <v>3.4148189999999999E-3</v>
      </c>
      <c r="AA4159">
        <v>0.99993100000000001</v>
      </c>
      <c r="AB4159">
        <v>36</v>
      </c>
      <c r="AC4159">
        <v>-19.8978</v>
      </c>
      <c r="AD4159">
        <v>-1.1226648762678999</v>
      </c>
      <c r="AE4159">
        <v>-1.13519999999999</v>
      </c>
      <c r="AF4159">
        <v>0.229923580265818</v>
      </c>
      <c r="AG4159">
        <v>-1.1226648762678999</v>
      </c>
      <c r="AH4159">
        <v>19.865785999693198</v>
      </c>
      <c r="AI4159">
        <v>93.234270204906295</v>
      </c>
      <c r="AJ4159">
        <v>89.336896985279196</v>
      </c>
      <c r="AK4159">
        <v>19.898811388190399</v>
      </c>
      <c r="AL4159">
        <v>79.370868124884794</v>
      </c>
      <c r="AM4159">
        <v>88.458027599841898</v>
      </c>
      <c r="AN4159">
        <v>1.0000000136679701</v>
      </c>
    </row>
    <row r="4160" spans="1:40" x14ac:dyDescent="0.25">
      <c r="A4160" t="str">
        <f>"20190303162342638"</f>
        <v>20190303162342638</v>
      </c>
      <c r="B4160" t="str">
        <f>"1551601422628841"</f>
        <v>1551601422628841</v>
      </c>
      <c r="C4160" t="s">
        <v>40</v>
      </c>
      <c r="D4160">
        <v>5.970783</v>
      </c>
      <c r="E4160">
        <v>0.49330679999999999</v>
      </c>
      <c r="F4160" t="s">
        <v>41</v>
      </c>
      <c r="G4160">
        <v>-269.29829999999998</v>
      </c>
      <c r="H4160" s="1">
        <v>-6.1974780000000004E-7</v>
      </c>
      <c r="I4160">
        <v>140.88040000000001</v>
      </c>
      <c r="J4160">
        <v>-249.5925</v>
      </c>
      <c r="K4160">
        <v>1.1219110000000001</v>
      </c>
      <c r="L4160">
        <v>142.05930000000001</v>
      </c>
      <c r="M4160">
        <v>-0.99744160000000004</v>
      </c>
      <c r="N4160">
        <v>-1.0923179999999999E-2</v>
      </c>
      <c r="O4160">
        <v>-7.0648740000000002E-2</v>
      </c>
      <c r="P4160">
        <v>-0.98316570000000003</v>
      </c>
      <c r="Q4160">
        <v>0.17752999999999999</v>
      </c>
      <c r="R4160">
        <v>-4.3228419999999997E-2</v>
      </c>
      <c r="S4160">
        <v>-3.0709689999999998</v>
      </c>
      <c r="T4160">
        <v>-0.16870589999999999</v>
      </c>
      <c r="U4160">
        <v>-0.18507390000000001</v>
      </c>
      <c r="V4160">
        <v>2.5648870000000001E-2</v>
      </c>
      <c r="W4160">
        <v>0.188361</v>
      </c>
      <c r="X4160">
        <v>0.98176490000000005</v>
      </c>
      <c r="Y4160">
        <v>1.0432169999999999E-2</v>
      </c>
      <c r="Z4160">
        <v>3.441922E-3</v>
      </c>
      <c r="AA4160">
        <v>0.99993969999999999</v>
      </c>
      <c r="AB4160">
        <v>36</v>
      </c>
      <c r="AC4160">
        <v>-19.705799999999901</v>
      </c>
      <c r="AD4160">
        <v>-1.1219116197478001</v>
      </c>
      <c r="AE4160">
        <v>-1.1788999999999901</v>
      </c>
      <c r="AF4160">
        <v>0.215622490273989</v>
      </c>
      <c r="AG4160">
        <v>-1.1219116197478001</v>
      </c>
      <c r="AH4160">
        <v>19.6762963506978</v>
      </c>
      <c r="AI4160">
        <v>93.263186691273404</v>
      </c>
      <c r="AJ4160">
        <v>89.372149923874602</v>
      </c>
      <c r="AK4160">
        <v>19.709434715925202</v>
      </c>
      <c r="AL4160">
        <v>79.142850809601498</v>
      </c>
      <c r="AM4160">
        <v>88.503472883357503</v>
      </c>
      <c r="AN4160">
        <v>1.0000000248626399</v>
      </c>
    </row>
    <row r="4161" spans="1:40" x14ac:dyDescent="0.25">
      <c r="A4161" t="str">
        <f>"20190303162342661"</f>
        <v>20190303162342661</v>
      </c>
      <c r="B4161" t="str">
        <f>"1551601422649337"</f>
        <v>1551601422649337</v>
      </c>
      <c r="C4161" t="s">
        <v>40</v>
      </c>
      <c r="D4161">
        <v>5.8517270000000003</v>
      </c>
      <c r="E4161">
        <v>0.4931352</v>
      </c>
      <c r="F4161" t="s">
        <v>41</v>
      </c>
      <c r="G4161">
        <v>-271.7516</v>
      </c>
      <c r="H4161" s="1">
        <v>-3.7810880000000002E-6</v>
      </c>
      <c r="I4161">
        <v>140.5942</v>
      </c>
      <c r="J4161">
        <v>-249.96289999999999</v>
      </c>
      <c r="K4161">
        <v>1.1215459999999999</v>
      </c>
      <c r="L4161">
        <v>142.0325</v>
      </c>
      <c r="M4161">
        <v>-0.99740989999999996</v>
      </c>
      <c r="N4161">
        <v>-1.092255E-2</v>
      </c>
      <c r="O4161">
        <v>-7.1095399999999906E-2</v>
      </c>
      <c r="P4161">
        <v>-0.98261240000000005</v>
      </c>
      <c r="Q4161">
        <v>0.18030679999999999</v>
      </c>
      <c r="R4161">
        <v>-4.430448E-2</v>
      </c>
      <c r="S4161">
        <v>-3.0704959999999999</v>
      </c>
      <c r="T4161">
        <v>-0.1554595</v>
      </c>
      <c r="U4161">
        <v>-0.20300289999999999</v>
      </c>
      <c r="V4161">
        <v>2.5144690000000001E-2</v>
      </c>
      <c r="W4161">
        <v>0.1911059</v>
      </c>
      <c r="X4161">
        <v>0.98124730000000004</v>
      </c>
      <c r="Y4161">
        <v>5.078244E-3</v>
      </c>
      <c r="Z4161">
        <v>2.968807E-3</v>
      </c>
      <c r="AA4161">
        <v>0.9999827</v>
      </c>
      <c r="AB4161">
        <v>36</v>
      </c>
      <c r="AC4161">
        <v>-21.788699999999999</v>
      </c>
      <c r="AD4161">
        <v>-1.121549781088</v>
      </c>
      <c r="AE4161">
        <v>-1.4382999999999899</v>
      </c>
      <c r="AF4161">
        <v>0.114207206084962</v>
      </c>
      <c r="AG4161">
        <v>-1.121549781088</v>
      </c>
      <c r="AH4161">
        <v>21.778367331930799</v>
      </c>
      <c r="AI4161">
        <v>92.947992812882006</v>
      </c>
      <c r="AJ4161">
        <v>89.699539877508599</v>
      </c>
      <c r="AK4161">
        <v>21.807526243063201</v>
      </c>
      <c r="AL4161">
        <v>78.982669623502701</v>
      </c>
      <c r="AM4161">
        <v>88.532103583588494</v>
      </c>
      <c r="AN4161">
        <v>0.99999999210364798</v>
      </c>
    </row>
    <row r="4162" spans="1:40" x14ac:dyDescent="0.25">
      <c r="A4162" t="str">
        <f>"20190303162342682"</f>
        <v>20190303162342682</v>
      </c>
      <c r="B4162" t="str">
        <f>"1551601422668858"</f>
        <v>1551601422668858</v>
      </c>
      <c r="C4162" t="s">
        <v>40</v>
      </c>
      <c r="D4162">
        <v>5.9055410000000004</v>
      </c>
      <c r="E4162">
        <v>0.49295620000000001</v>
      </c>
      <c r="F4162" t="s">
        <v>41</v>
      </c>
      <c r="G4162">
        <v>-273.31959999999998</v>
      </c>
      <c r="H4162" s="1">
        <v>-3.0708260000000002E-6</v>
      </c>
      <c r="I4162">
        <v>140.453</v>
      </c>
      <c r="J4162">
        <v>-250.3058</v>
      </c>
      <c r="K4162">
        <v>1.121243</v>
      </c>
      <c r="L4162">
        <v>142.00790000000001</v>
      </c>
      <c r="M4162">
        <v>-0.99740390000000001</v>
      </c>
      <c r="N4162">
        <v>-1.0922070000000001E-2</v>
      </c>
      <c r="O4162">
        <v>-7.1178439999999996E-2</v>
      </c>
      <c r="P4162">
        <v>-0.98224290000000003</v>
      </c>
      <c r="Q4162">
        <v>0.18215880000000001</v>
      </c>
      <c r="R4162">
        <v>-4.4914099999999998E-2</v>
      </c>
      <c r="S4162">
        <v>-3.07077</v>
      </c>
      <c r="T4162">
        <v>-0.14745329999999901</v>
      </c>
      <c r="U4162">
        <v>-0.20765690000000001</v>
      </c>
      <c r="V4162">
        <v>2.4738880000000001E-2</v>
      </c>
      <c r="W4162">
        <v>0.19293289999999999</v>
      </c>
      <c r="X4162">
        <v>0.98089999999999999</v>
      </c>
      <c r="Y4162">
        <v>3.6683190000000002E-3</v>
      </c>
      <c r="Z4162">
        <v>2.738622E-3</v>
      </c>
      <c r="AA4162">
        <v>0.99998949999999998</v>
      </c>
      <c r="AB4162">
        <v>36</v>
      </c>
      <c r="AC4162">
        <v>-23.0137999999999</v>
      </c>
      <c r="AD4162">
        <v>-1.1212460708259999</v>
      </c>
      <c r="AE4162">
        <v>-1.5548999999999999</v>
      </c>
      <c r="AF4162">
        <v>8.7022625871978995E-2</v>
      </c>
      <c r="AG4162">
        <v>-1.1212460708259999</v>
      </c>
      <c r="AH4162">
        <v>23.011728094949301</v>
      </c>
      <c r="AI4162">
        <v>92.789509827036497</v>
      </c>
      <c r="AJ4162">
        <v>89.783327640763503</v>
      </c>
      <c r="AK4162">
        <v>23.039192598800799</v>
      </c>
      <c r="AL4162">
        <v>78.876004986964105</v>
      </c>
      <c r="AM4162">
        <v>88.555272713187904</v>
      </c>
      <c r="AN4162">
        <v>0.99999996304303096</v>
      </c>
    </row>
    <row r="4163" spans="1:40" x14ac:dyDescent="0.25">
      <c r="A4163" t="str">
        <f>"20190303162342705"</f>
        <v>20190303162342705</v>
      </c>
      <c r="B4163" t="str">
        <f>"1551601422699113"</f>
        <v>1551601422699113</v>
      </c>
      <c r="C4163" t="s">
        <v>40</v>
      </c>
      <c r="D4163">
        <v>5.6449299999999996</v>
      </c>
      <c r="E4163">
        <v>0.49266729999999997</v>
      </c>
      <c r="F4163" t="s">
        <v>41</v>
      </c>
      <c r="G4163">
        <v>-274.70679999999999</v>
      </c>
      <c r="H4163" s="1">
        <v>-2.4417319999999999E-6</v>
      </c>
      <c r="I4163">
        <v>140.3252</v>
      </c>
      <c r="J4163">
        <v>-250.6874</v>
      </c>
      <c r="K4163">
        <v>1.120932</v>
      </c>
      <c r="L4163">
        <v>141.98070000000001</v>
      </c>
      <c r="M4163">
        <v>-0.99741970000000002</v>
      </c>
      <c r="N4163">
        <v>-1.092139E-2</v>
      </c>
      <c r="O4163">
        <v>-7.0956389999999994E-2</v>
      </c>
      <c r="P4163">
        <v>-0.98221130000000001</v>
      </c>
      <c r="Q4163">
        <v>0.1825166</v>
      </c>
      <c r="R4163">
        <v>-4.4145520000000001E-2</v>
      </c>
      <c r="S4163">
        <v>-3.0707089999999999</v>
      </c>
      <c r="T4163">
        <v>-0.14110159999999999</v>
      </c>
      <c r="U4163">
        <v>-0.2117462</v>
      </c>
      <c r="V4163">
        <v>2.543246E-2</v>
      </c>
      <c r="W4163">
        <v>0.19327069999999999</v>
      </c>
      <c r="X4163">
        <v>0.98081580000000002</v>
      </c>
      <c r="Y4163">
        <v>2.126626E-3</v>
      </c>
      <c r="Z4163">
        <v>2.5365980000000002E-3</v>
      </c>
      <c r="AA4163">
        <v>0.99999450000000001</v>
      </c>
      <c r="AB4163">
        <v>37</v>
      </c>
      <c r="AC4163">
        <v>-24.019399999999901</v>
      </c>
      <c r="AD4163">
        <v>-1.120934441732</v>
      </c>
      <c r="AE4163">
        <v>-1.65550000000001</v>
      </c>
      <c r="AF4163">
        <v>5.2989903379953199E-2</v>
      </c>
      <c r="AG4163">
        <v>-1.120934441732</v>
      </c>
      <c r="AH4163">
        <v>24.024250410583999</v>
      </c>
      <c r="AI4163">
        <v>92.671388716255606</v>
      </c>
      <c r="AJ4163">
        <v>89.873623824051805</v>
      </c>
      <c r="AK4163">
        <v>24.050445104882499</v>
      </c>
      <c r="AL4163">
        <v>78.856279664301496</v>
      </c>
      <c r="AM4163">
        <v>88.5146587454864</v>
      </c>
      <c r="AN4163">
        <v>1.0000000035148899</v>
      </c>
    </row>
    <row r="4164" spans="1:40" x14ac:dyDescent="0.25">
      <c r="A4164" t="str">
        <f>"20190303162342728"</f>
        <v>20190303162342728</v>
      </c>
      <c r="B4164" t="str">
        <f>"1551601422718633"</f>
        <v>1551601422718633</v>
      </c>
      <c r="C4164" t="s">
        <v>40</v>
      </c>
      <c r="D4164">
        <v>5.8402649999999996</v>
      </c>
      <c r="E4164">
        <v>0.49277609999999999</v>
      </c>
      <c r="F4164" t="s">
        <v>41</v>
      </c>
      <c r="G4164">
        <v>-275.1979</v>
      </c>
      <c r="H4164" s="1">
        <v>-2.2192630000000001E-6</v>
      </c>
      <c r="I4164">
        <v>140.2808</v>
      </c>
      <c r="J4164">
        <v>-251.06450000000001</v>
      </c>
      <c r="K4164">
        <v>1.1206689999999999</v>
      </c>
      <c r="L4164">
        <v>141.95410000000001</v>
      </c>
      <c r="M4164">
        <v>-0.99745189999999995</v>
      </c>
      <c r="N4164">
        <v>-1.092052E-2</v>
      </c>
      <c r="O4164">
        <v>-7.0501980000000006E-2</v>
      </c>
      <c r="P4164">
        <v>-0.98231570000000001</v>
      </c>
      <c r="Q4164">
        <v>0.1818111</v>
      </c>
      <c r="R4164">
        <v>-4.472698E-2</v>
      </c>
      <c r="S4164">
        <v>-3.070862</v>
      </c>
      <c r="T4164">
        <v>-0.1404397</v>
      </c>
      <c r="U4164">
        <v>-0.21296689999999999</v>
      </c>
      <c r="V4164">
        <v>2.4537280000000002E-2</v>
      </c>
      <c r="W4164">
        <v>0.1925492</v>
      </c>
      <c r="X4164">
        <v>0.98098050000000003</v>
      </c>
      <c r="Y4164">
        <v>1.2807599999999999E-3</v>
      </c>
      <c r="Z4164">
        <v>2.4813359999999998E-3</v>
      </c>
      <c r="AA4164">
        <v>0.99999610000000005</v>
      </c>
      <c r="AB4164">
        <v>37</v>
      </c>
      <c r="AC4164">
        <v>-24.133399999999899</v>
      </c>
      <c r="AD4164">
        <v>-1.120671219263</v>
      </c>
      <c r="AE4164">
        <v>-1.67330000000001</v>
      </c>
      <c r="AF4164">
        <v>3.2348730211501003E-2</v>
      </c>
      <c r="AG4164">
        <v>-1.120671219263</v>
      </c>
      <c r="AH4164">
        <v>24.139514009396901</v>
      </c>
      <c r="AI4164">
        <v>92.658032119705794</v>
      </c>
      <c r="AJ4164">
        <v>89.923219473120497</v>
      </c>
      <c r="AK4164">
        <v>24.1655351075018</v>
      </c>
      <c r="AL4164">
        <v>78.898409964020999</v>
      </c>
      <c r="AM4164">
        <v>88.567158575017203</v>
      </c>
      <c r="AN4164">
        <v>1.0000000069553401</v>
      </c>
    </row>
    <row r="4165" spans="1:40" x14ac:dyDescent="0.25">
      <c r="A4165" t="str">
        <f>"20190303162342749"</f>
        <v>20190303162342749</v>
      </c>
      <c r="B4165" t="str">
        <f>"1551601422739129"</f>
        <v>1551601422739129</v>
      </c>
      <c r="C4165" t="s">
        <v>40</v>
      </c>
      <c r="D4165">
        <v>5.7802089999999904</v>
      </c>
      <c r="E4165">
        <v>0.4927762</v>
      </c>
      <c r="F4165" t="s">
        <v>41</v>
      </c>
      <c r="G4165">
        <v>-275.26429999999999</v>
      </c>
      <c r="H4165" s="1">
        <v>-2.1870119999999999E-6</v>
      </c>
      <c r="I4165">
        <v>140.26669999999999</v>
      </c>
      <c r="J4165">
        <v>-251.4068</v>
      </c>
      <c r="K4165">
        <v>1.1204670000000001</v>
      </c>
      <c r="L4165">
        <v>141.93020000000001</v>
      </c>
      <c r="M4165">
        <v>-0.9974904</v>
      </c>
      <c r="N4165">
        <v>-1.0919460000000001E-2</v>
      </c>
      <c r="O4165">
        <v>-6.9956939999999995E-2</v>
      </c>
      <c r="P4165">
        <v>-0.98210810000000004</v>
      </c>
      <c r="Q4165">
        <v>0.1826276</v>
      </c>
      <c r="R4165">
        <v>-4.5946019999999997E-2</v>
      </c>
      <c r="S4165">
        <v>-3.0705870000000002</v>
      </c>
      <c r="T4165">
        <v>-0.14219609999999999</v>
      </c>
      <c r="U4165">
        <v>-0.21409610000000001</v>
      </c>
      <c r="V4165">
        <v>2.286413E-2</v>
      </c>
      <c r="W4165">
        <v>0.1933511</v>
      </c>
      <c r="X4165">
        <v>0.98086320000000005</v>
      </c>
      <c r="Y4165">
        <v>3.6228829999999999E-4</v>
      </c>
      <c r="Z4165">
        <v>2.47678E-3</v>
      </c>
      <c r="AA4165">
        <v>0.99999680000000002</v>
      </c>
      <c r="AB4165">
        <v>37</v>
      </c>
      <c r="AC4165">
        <v>-23.857499999999899</v>
      </c>
      <c r="AD4165">
        <v>-1.120469187012</v>
      </c>
      <c r="AE4165">
        <v>-1.66350000000002</v>
      </c>
      <c r="AF4165">
        <v>9.6518047079643399E-3</v>
      </c>
      <c r="AG4165">
        <v>-1.120469187012</v>
      </c>
      <c r="AH4165">
        <v>23.863042264855299</v>
      </c>
      <c r="AI4165">
        <v>92.688300710575405</v>
      </c>
      <c r="AJ4165">
        <v>89.976825769398602</v>
      </c>
      <c r="AK4165">
        <v>23.8893350784539</v>
      </c>
      <c r="AL4165">
        <v>78.851584670785996</v>
      </c>
      <c r="AM4165">
        <v>88.664665005837904</v>
      </c>
      <c r="AN4165">
        <v>1.0000000167130501</v>
      </c>
    </row>
    <row r="4166" spans="1:40" x14ac:dyDescent="0.25">
      <c r="A4166" t="str">
        <f>"20190303162342773"</f>
        <v>20190303162342773</v>
      </c>
      <c r="B4166" t="str">
        <f>"1551601422758649"</f>
        <v>1551601422758649</v>
      </c>
      <c r="C4166" t="s">
        <v>40</v>
      </c>
      <c r="D4166">
        <v>5.7798970000000001</v>
      </c>
      <c r="E4166">
        <v>0.49281779999999997</v>
      </c>
      <c r="F4166" t="s">
        <v>41</v>
      </c>
      <c r="G4166">
        <v>-276.00189999999998</v>
      </c>
      <c r="H4166" s="1">
        <v>-1.8536900000000001E-6</v>
      </c>
      <c r="I4166">
        <v>140.20330000000001</v>
      </c>
      <c r="J4166">
        <v>-251.7867</v>
      </c>
      <c r="K4166">
        <v>1.120282</v>
      </c>
      <c r="L4166">
        <v>141.904</v>
      </c>
      <c r="M4166">
        <v>-0.99753919999999996</v>
      </c>
      <c r="N4166">
        <v>-1.091817E-2</v>
      </c>
      <c r="O4166">
        <v>-6.9256319999999996E-2</v>
      </c>
      <c r="P4166">
        <v>-0.98161889999999996</v>
      </c>
      <c r="Q4166">
        <v>0.1851196</v>
      </c>
      <c r="R4166">
        <v>-4.6424319999999998E-2</v>
      </c>
      <c r="S4166">
        <v>-3.0705719999999999</v>
      </c>
      <c r="T4166">
        <v>-0.1398848</v>
      </c>
      <c r="U4166">
        <v>-0.21559139999999999</v>
      </c>
      <c r="V4166">
        <v>2.1751260000000001E-2</v>
      </c>
      <c r="W4166">
        <v>0.1958268</v>
      </c>
      <c r="X4166">
        <v>0.98039719999999997</v>
      </c>
      <c r="Y4166">
        <v>-8.2127990000000004E-4</v>
      </c>
      <c r="Z4166">
        <v>2.366745E-3</v>
      </c>
      <c r="AA4166">
        <v>0.99999680000000002</v>
      </c>
      <c r="AB4166">
        <v>37</v>
      </c>
      <c r="AC4166">
        <v>-24.2151999999999</v>
      </c>
      <c r="AD4166">
        <v>-1.1202838536899999</v>
      </c>
      <c r="AE4166">
        <v>-1.7006999999999799</v>
      </c>
      <c r="AF4166">
        <v>-1.9419077187615399E-2</v>
      </c>
      <c r="AG4166">
        <v>-1.1202838536899999</v>
      </c>
      <c r="AH4166">
        <v>24.2232499656272</v>
      </c>
      <c r="AI4166">
        <v>92.647944068584493</v>
      </c>
      <c r="AJ4166">
        <v>90.045932355407004</v>
      </c>
      <c r="AK4166">
        <v>24.249149509016998</v>
      </c>
      <c r="AL4166">
        <v>78.706972570163202</v>
      </c>
      <c r="AM4166">
        <v>88.729034540680701</v>
      </c>
      <c r="AN4166">
        <v>0.99999996133883295</v>
      </c>
    </row>
    <row r="4167" spans="1:40" x14ac:dyDescent="0.25">
      <c r="A4167" t="str">
        <f>"20190303162342795"</f>
        <v>20190303162342795</v>
      </c>
      <c r="B4167" t="str">
        <f>"1551601422788905"</f>
        <v>1551601422788905</v>
      </c>
      <c r="C4167" t="s">
        <v>40</v>
      </c>
      <c r="D4167">
        <v>5.7812060000000001</v>
      </c>
      <c r="E4167">
        <v>0.49302889999999999</v>
      </c>
      <c r="F4167" t="s">
        <v>41</v>
      </c>
      <c r="G4167">
        <v>-277.78309999999999</v>
      </c>
      <c r="H4167" s="1">
        <v>-1.0591519999999999E-6</v>
      </c>
      <c r="I4167">
        <v>140.089</v>
      </c>
      <c r="J4167">
        <v>-252.16069999999999</v>
      </c>
      <c r="K4167">
        <v>1.1201350000000001</v>
      </c>
      <c r="L4167">
        <v>141.8785</v>
      </c>
      <c r="M4167">
        <v>-0.99759070000000005</v>
      </c>
      <c r="N4167">
        <v>-1.091715E-2</v>
      </c>
      <c r="O4167">
        <v>-6.8510230000000005E-2</v>
      </c>
      <c r="P4167">
        <v>-0.98167930000000003</v>
      </c>
      <c r="Q4167">
        <v>0.1851796</v>
      </c>
      <c r="R4167">
        <v>-4.488615E-2</v>
      </c>
      <c r="S4167">
        <v>-3.070999</v>
      </c>
      <c r="T4167">
        <v>-0.13234079999999901</v>
      </c>
      <c r="U4167">
        <v>-0.21440119999999999</v>
      </c>
      <c r="V4167">
        <v>2.2626879999999999E-2</v>
      </c>
      <c r="W4167">
        <v>0.1958773</v>
      </c>
      <c r="X4167">
        <v>0.9803674</v>
      </c>
      <c r="Y4167">
        <v>-1.1674669999999999E-3</v>
      </c>
      <c r="Z4167">
        <v>2.1647419999999999E-3</v>
      </c>
      <c r="AA4167">
        <v>0.99999700000000002</v>
      </c>
      <c r="AB4167">
        <v>37</v>
      </c>
      <c r="AC4167">
        <v>-25.622399999999999</v>
      </c>
      <c r="AD4167">
        <v>-1.120136059152</v>
      </c>
      <c r="AE4167">
        <v>-1.7895000000000001</v>
      </c>
      <c r="AF4167">
        <v>-2.9737258000000301E-2</v>
      </c>
      <c r="AG4167">
        <v>-1.120136059152</v>
      </c>
      <c r="AH4167">
        <v>25.636039846241399</v>
      </c>
      <c r="AI4167">
        <v>92.501877443821201</v>
      </c>
      <c r="AJ4167">
        <v>90.066461849166998</v>
      </c>
      <c r="AK4167">
        <v>25.6605169101014</v>
      </c>
      <c r="AL4167">
        <v>78.7040231846658</v>
      </c>
      <c r="AM4167">
        <v>88.677848115771994</v>
      </c>
      <c r="AN4167">
        <v>1.0000000656682899</v>
      </c>
    </row>
    <row r="4168" spans="1:40" x14ac:dyDescent="0.25">
      <c r="A4168" t="str">
        <f>"20190303162342818"</f>
        <v>20190303162342818</v>
      </c>
      <c r="B4168" t="str">
        <f>"1551601422809401"</f>
        <v>1551601422809401</v>
      </c>
      <c r="C4168" t="s">
        <v>40</v>
      </c>
      <c r="D4168">
        <v>5.5497040000000002</v>
      </c>
      <c r="E4168">
        <v>0.49317810000000001</v>
      </c>
      <c r="F4168" t="s">
        <v>41</v>
      </c>
      <c r="G4168">
        <v>-278.12650000000002</v>
      </c>
      <c r="H4168" s="1">
        <v>-9.230249E-7</v>
      </c>
      <c r="I4168">
        <v>140.131</v>
      </c>
      <c r="J4168">
        <v>-252.524</v>
      </c>
      <c r="K4168">
        <v>1.120009</v>
      </c>
      <c r="L4168">
        <v>141.85409999999999</v>
      </c>
      <c r="M4168">
        <v>-0.99764219999999904</v>
      </c>
      <c r="N4168">
        <v>-1.091657E-2</v>
      </c>
      <c r="O4168">
        <v>-6.7756650000000002E-2</v>
      </c>
      <c r="P4168">
        <v>-0.98231020000000002</v>
      </c>
      <c r="Q4168">
        <v>0.18215229999999999</v>
      </c>
      <c r="R4168">
        <v>-4.3444280000000002E-2</v>
      </c>
      <c r="S4168">
        <v>-3.0715479999999999</v>
      </c>
      <c r="T4168">
        <v>-0.13250329999999999</v>
      </c>
      <c r="U4168">
        <v>-0.2067108</v>
      </c>
      <c r="V4168">
        <v>2.3418069999999999E-2</v>
      </c>
      <c r="W4168">
        <v>0.1928482</v>
      </c>
      <c r="X4168">
        <v>0.98094910000000002</v>
      </c>
      <c r="Y4168">
        <v>5.7986929999999999E-4</v>
      </c>
      <c r="Z4168">
        <v>2.1911650000000001E-3</v>
      </c>
      <c r="AA4168">
        <v>0.99999740000000004</v>
      </c>
      <c r="AB4168">
        <v>37</v>
      </c>
      <c r="AC4168">
        <v>-25.602499999999999</v>
      </c>
      <c r="AD4168">
        <v>-1.1200099230248901</v>
      </c>
      <c r="AE4168">
        <v>-1.7230999999999801</v>
      </c>
      <c r="AF4168">
        <v>1.5673432432082801E-2</v>
      </c>
      <c r="AG4168">
        <v>-1.1200099230248901</v>
      </c>
      <c r="AH4168">
        <v>25.611621209029298</v>
      </c>
      <c r="AI4168">
        <v>92.503979322847698</v>
      </c>
      <c r="AJ4168">
        <v>89.964936955399693</v>
      </c>
      <c r="AK4168">
        <v>25.636103620459899</v>
      </c>
      <c r="AL4168">
        <v>78.880951074150403</v>
      </c>
      <c r="AM4168">
        <v>88.632445080764995</v>
      </c>
      <c r="AN4168">
        <v>0.99999998551828695</v>
      </c>
    </row>
    <row r="4169" spans="1:40" x14ac:dyDescent="0.25">
      <c r="A4169" t="str">
        <f>"20190303162342840"</f>
        <v>20190303162342840</v>
      </c>
      <c r="B4169" t="str">
        <f>"1551601422828922"</f>
        <v>1551601422828922</v>
      </c>
      <c r="C4169" t="s">
        <v>40</v>
      </c>
      <c r="D4169">
        <v>5.7929240000000002</v>
      </c>
      <c r="E4169">
        <v>0.50758559999999997</v>
      </c>
      <c r="F4169" t="s">
        <v>41</v>
      </c>
      <c r="G4169">
        <v>-276.851</v>
      </c>
      <c r="H4169" s="1">
        <v>-1.5101510000000001E-6</v>
      </c>
      <c r="I4169">
        <v>140.28100000000001</v>
      </c>
      <c r="J4169">
        <v>-252.88740000000001</v>
      </c>
      <c r="K4169">
        <v>1.1198980000000001</v>
      </c>
      <c r="L4169">
        <v>141.83000000000001</v>
      </c>
      <c r="M4169">
        <v>-0.99769419999999998</v>
      </c>
      <c r="N4169">
        <v>-1.0916459999999999E-2</v>
      </c>
      <c r="O4169">
        <v>-6.6987899999999906E-2</v>
      </c>
      <c r="P4169">
        <v>-0.98303269999999998</v>
      </c>
      <c r="Q4169">
        <v>0.178361299999999</v>
      </c>
      <c r="R4169">
        <v>-4.2827780000000003E-2</v>
      </c>
      <c r="S4169">
        <v>-3.071472</v>
      </c>
      <c r="T4169">
        <v>-0.1414108</v>
      </c>
      <c r="U4169">
        <v>-0.19860839999999999</v>
      </c>
      <c r="V4169">
        <v>2.336158E-2</v>
      </c>
      <c r="W4169">
        <v>0.1890597</v>
      </c>
      <c r="X4169">
        <v>0.98168770000000005</v>
      </c>
      <c r="Y4169">
        <v>2.4255700000000002E-3</v>
      </c>
      <c r="Z4169">
        <v>2.413859E-3</v>
      </c>
      <c r="AA4169">
        <v>0.99999420000000006</v>
      </c>
      <c r="AB4169">
        <v>37</v>
      </c>
      <c r="AC4169">
        <v>-23.9635999999999</v>
      </c>
      <c r="AD4169">
        <v>-1.1198995101510001</v>
      </c>
      <c r="AE4169">
        <v>-1.5489999999999999</v>
      </c>
      <c r="AF4169">
        <v>5.9716603957449002E-2</v>
      </c>
      <c r="AG4169">
        <v>-1.1198995101510001</v>
      </c>
      <c r="AH4169">
        <v>23.961422528376399</v>
      </c>
      <c r="AI4169">
        <v>92.675911937636499</v>
      </c>
      <c r="AJ4169">
        <v>89.857207881298805</v>
      </c>
      <c r="AK4169">
        <v>23.987653294330499</v>
      </c>
      <c r="AL4169">
        <v>79.102085948828403</v>
      </c>
      <c r="AM4169">
        <v>88.636768752285207</v>
      </c>
      <c r="AN4169">
        <v>1.00000003695773</v>
      </c>
    </row>
    <row r="4170" spans="1:40" x14ac:dyDescent="0.25">
      <c r="A4170" t="str">
        <f>"20190303162342884"</f>
        <v>20190303162342884</v>
      </c>
      <c r="B4170" t="str">
        <f>"1551601422868937"</f>
        <v>1551601422868937</v>
      </c>
      <c r="C4170" t="s">
        <v>40</v>
      </c>
      <c r="D4170">
        <v>5.564095</v>
      </c>
      <c r="E4170">
        <v>0.508254599999999</v>
      </c>
      <c r="F4170" t="s">
        <v>41</v>
      </c>
      <c r="G4170">
        <v>-273.12990000000002</v>
      </c>
      <c r="H4170" s="1">
        <v>-3.3754630000000002E-6</v>
      </c>
      <c r="I4170">
        <v>141.292</v>
      </c>
      <c r="J4170">
        <v>-253.61099999999999</v>
      </c>
      <c r="K4170">
        <v>1.1197619999999999</v>
      </c>
      <c r="L4170">
        <v>141.78290000000001</v>
      </c>
      <c r="M4170">
        <v>-0.99779810000000002</v>
      </c>
      <c r="N4170">
        <v>-1.091753E-2</v>
      </c>
      <c r="O4170">
        <v>-6.5418160000000003E-2</v>
      </c>
      <c r="P4170">
        <v>-0.98322949999999998</v>
      </c>
      <c r="Q4170">
        <v>0.17723729999999999</v>
      </c>
      <c r="R4170">
        <v>-4.2972370000000003E-2</v>
      </c>
      <c r="S4170">
        <v>-3.0791019999999998</v>
      </c>
      <c r="T4170">
        <v>-0.17034879999999999</v>
      </c>
      <c r="U4170">
        <v>-8.1817630000000002E-2</v>
      </c>
      <c r="V4170">
        <v>2.1740019999999999E-2</v>
      </c>
      <c r="W4170">
        <v>0.1879353</v>
      </c>
      <c r="X4170">
        <v>0.98194079999999995</v>
      </c>
      <c r="Y4170">
        <v>3.87582E-2</v>
      </c>
      <c r="Z4170">
        <v>4.1818139999999998E-3</v>
      </c>
      <c r="AA4170">
        <v>0.99923989999999996</v>
      </c>
      <c r="AB4170">
        <v>37</v>
      </c>
      <c r="AC4170">
        <v>-19.518899999999999</v>
      </c>
      <c r="AD4170">
        <v>-1.1197653754629999</v>
      </c>
      <c r="AE4170">
        <v>-0.49090000000001</v>
      </c>
      <c r="AF4170">
        <v>0.78453805978387203</v>
      </c>
      <c r="AG4170">
        <v>-1.1197653754629999</v>
      </c>
      <c r="AH4170">
        <v>19.4452438695334</v>
      </c>
      <c r="AI4170">
        <v>93.293096821302299</v>
      </c>
      <c r="AJ4170">
        <v>87.689596822933396</v>
      </c>
      <c r="AK4170">
        <v>19.493252258383201</v>
      </c>
      <c r="AL4170">
        <v>79.167685095005098</v>
      </c>
      <c r="AM4170">
        <v>88.731687357598503</v>
      </c>
      <c r="AN4170">
        <v>1.00000002008016</v>
      </c>
    </row>
    <row r="4171" spans="1:40" x14ac:dyDescent="0.25">
      <c r="A4171" t="str">
        <f>"20190303162342907"</f>
        <v>20190303162342907</v>
      </c>
      <c r="B4171" t="str">
        <f>"1551601422899193"</f>
        <v>1551601422899193</v>
      </c>
      <c r="C4171" t="s">
        <v>40</v>
      </c>
      <c r="D4171">
        <v>5.7896619999999999</v>
      </c>
      <c r="E4171">
        <v>0.50781989999999999</v>
      </c>
      <c r="F4171" t="s">
        <v>41</v>
      </c>
      <c r="G4171">
        <v>-272.35739999999998</v>
      </c>
      <c r="H4171" s="1">
        <v>-3.721766E-6</v>
      </c>
      <c r="I4171">
        <v>141.34790000000001</v>
      </c>
      <c r="J4171">
        <v>-253.9819</v>
      </c>
      <c r="K4171">
        <v>1.119712</v>
      </c>
      <c r="L4171">
        <v>141.7593</v>
      </c>
      <c r="M4171">
        <v>-0.99785330000000005</v>
      </c>
      <c r="N4171">
        <v>-1.0918860000000001E-2</v>
      </c>
      <c r="O4171">
        <v>-6.4573179999999994E-2</v>
      </c>
      <c r="P4171">
        <v>-0.98273710000000003</v>
      </c>
      <c r="Q4171">
        <v>0.17949889999999999</v>
      </c>
      <c r="R4171">
        <v>-4.4813930000000002E-2</v>
      </c>
      <c r="S4171">
        <v>-3.0812529999999998</v>
      </c>
      <c r="T4171">
        <v>-0.18405099999999999</v>
      </c>
      <c r="U4171">
        <v>-7.1487430000000005E-2</v>
      </c>
      <c r="V4171">
        <v>1.906803E-2</v>
      </c>
      <c r="W4171">
        <v>0.190195</v>
      </c>
      <c r="X4171">
        <v>0.98156109999999996</v>
      </c>
      <c r="Y4171">
        <v>4.1249979999999999E-2</v>
      </c>
      <c r="Z4171">
        <v>4.6016499999999997E-3</v>
      </c>
      <c r="AA4171">
        <v>0.99913819999999998</v>
      </c>
      <c r="AB4171">
        <v>37</v>
      </c>
      <c r="AC4171">
        <v>-18.375499999999899</v>
      </c>
      <c r="AD4171">
        <v>-1.1197157217659901</v>
      </c>
      <c r="AE4171">
        <v>-0.411399999999986</v>
      </c>
      <c r="AF4171">
        <v>0.773224213470731</v>
      </c>
      <c r="AG4171">
        <v>-1.1197157217659901</v>
      </c>
      <c r="AH4171">
        <v>18.295812041084101</v>
      </c>
      <c r="AI4171">
        <v>93.499055558289399</v>
      </c>
      <c r="AJ4171">
        <v>87.5799851981226</v>
      </c>
      <c r="AK4171">
        <v>18.346345064468402</v>
      </c>
      <c r="AL4171">
        <v>79.035835169326702</v>
      </c>
      <c r="AM4171">
        <v>88.887099088477299</v>
      </c>
      <c r="AN4171">
        <v>0.99999996041314398</v>
      </c>
    </row>
    <row r="4172" spans="1:40" x14ac:dyDescent="0.25">
      <c r="A4172" t="str">
        <f>"20190303162342928"</f>
        <v>20190303162342928</v>
      </c>
      <c r="B4172" t="str">
        <f>"1551601422918713"</f>
        <v>1551601422918713</v>
      </c>
      <c r="C4172" t="s">
        <v>40</v>
      </c>
      <c r="D4172">
        <v>5.7251629999999896</v>
      </c>
      <c r="E4172">
        <v>0.50768720000000001</v>
      </c>
      <c r="F4172" t="s">
        <v>41</v>
      </c>
      <c r="G4172">
        <v>-275</v>
      </c>
      <c r="H4172" s="1">
        <v>-2.5511750000000002E-6</v>
      </c>
      <c r="I4172">
        <v>141.20920000000001</v>
      </c>
      <c r="J4172">
        <v>-254.3381</v>
      </c>
      <c r="K4172">
        <v>1.1196600000000001</v>
      </c>
      <c r="L4172">
        <v>141.73699999999999</v>
      </c>
      <c r="M4172">
        <v>-0.99790730000000005</v>
      </c>
      <c r="N4172">
        <v>-1.0920640000000001E-2</v>
      </c>
      <c r="O4172">
        <v>-6.3732549999999999E-2</v>
      </c>
      <c r="P4172">
        <v>-0.98233839999999994</v>
      </c>
      <c r="Q4172">
        <v>0.1809838</v>
      </c>
      <c r="R4172">
        <v>-4.7499909999999999E-2</v>
      </c>
      <c r="S4172">
        <v>-3.0789789999999999</v>
      </c>
      <c r="T4172">
        <v>-0.1640296</v>
      </c>
      <c r="U4172">
        <v>-8.0581669999999994E-2</v>
      </c>
      <c r="V4172">
        <v>1.5561409999999999E-2</v>
      </c>
      <c r="W4172">
        <v>0.19168399999999999</v>
      </c>
      <c r="X4172">
        <v>0.98133329999999996</v>
      </c>
      <c r="Y4172">
        <v>3.7484179999999999E-2</v>
      </c>
      <c r="Z4172">
        <v>3.8963399999999999E-3</v>
      </c>
      <c r="AA4172">
        <v>0.9992896</v>
      </c>
      <c r="AB4172">
        <v>37</v>
      </c>
      <c r="AC4172">
        <v>-20.661899999999999</v>
      </c>
      <c r="AD4172">
        <v>-1.119662551175</v>
      </c>
      <c r="AE4172">
        <v>-0.52779999999998495</v>
      </c>
      <c r="AF4172">
        <v>0.78787508495543501</v>
      </c>
      <c r="AG4172">
        <v>-1.119662551175</v>
      </c>
      <c r="AH4172">
        <v>20.593096966932201</v>
      </c>
      <c r="AI4172">
        <v>93.109880639942702</v>
      </c>
      <c r="AJ4172">
        <v>87.808978861887994</v>
      </c>
      <c r="AK4172">
        <v>20.6385569763845</v>
      </c>
      <c r="AL4172">
        <v>78.948922922519699</v>
      </c>
      <c r="AM4172">
        <v>89.091513154524407</v>
      </c>
      <c r="AN4172">
        <v>0.99999997951303798</v>
      </c>
    </row>
    <row r="4173" spans="1:40" x14ac:dyDescent="0.25">
      <c r="A4173" t="str">
        <f>"20190303162342949"</f>
        <v>20190303162342949</v>
      </c>
      <c r="B4173" t="str">
        <f>"1551601422939209"</f>
        <v>1551601422939209</v>
      </c>
      <c r="C4173" t="s">
        <v>40</v>
      </c>
      <c r="D4173">
        <v>5.7308159999999999</v>
      </c>
      <c r="E4173">
        <v>0.50739499999999904</v>
      </c>
      <c r="F4173" t="s">
        <v>41</v>
      </c>
      <c r="G4173">
        <v>-276.6789</v>
      </c>
      <c r="H4173" s="1">
        <v>-1.7980139999999999E-6</v>
      </c>
      <c r="I4173">
        <v>141.08539999999999</v>
      </c>
      <c r="J4173">
        <v>-254.69139999999999</v>
      </c>
      <c r="K4173">
        <v>1.1196079999999999</v>
      </c>
      <c r="L4173">
        <v>141.71520000000001</v>
      </c>
      <c r="M4173">
        <v>-0.99796300000000004</v>
      </c>
      <c r="N4173">
        <v>-1.0922690000000001E-2</v>
      </c>
      <c r="O4173">
        <v>-6.2854579999999993E-2</v>
      </c>
      <c r="P4173">
        <v>-0.98214129999999999</v>
      </c>
      <c r="Q4173">
        <v>0.1808785</v>
      </c>
      <c r="R4173">
        <v>-5.178402E-2</v>
      </c>
      <c r="S4173">
        <v>-3.078049</v>
      </c>
      <c r="T4173">
        <v>-0.15426429999999999</v>
      </c>
      <c r="U4173">
        <v>-8.9767459999999993E-2</v>
      </c>
      <c r="V4173">
        <v>1.0434860000000001E-2</v>
      </c>
      <c r="W4173">
        <v>0.19158939999999999</v>
      </c>
      <c r="X4173">
        <v>0.98141970000000001</v>
      </c>
      <c r="Y4173">
        <v>3.3638439999999999E-2</v>
      </c>
      <c r="Z4173">
        <v>3.4847469999999998E-3</v>
      </c>
      <c r="AA4173">
        <v>0.99942799999999998</v>
      </c>
      <c r="AB4173">
        <v>37</v>
      </c>
      <c r="AC4173">
        <v>-21.987500000000001</v>
      </c>
      <c r="AD4173">
        <v>-1.1196097980139901</v>
      </c>
      <c r="AE4173">
        <v>-0.62980000000001701</v>
      </c>
      <c r="AF4173">
        <v>0.75159567841907904</v>
      </c>
      <c r="AG4173">
        <v>-1.1196097980139901</v>
      </c>
      <c r="AH4173">
        <v>21.926800158682099</v>
      </c>
      <c r="AI4173">
        <v>92.921342704113698</v>
      </c>
      <c r="AJ4173">
        <v>88.036813115974795</v>
      </c>
      <c r="AK4173">
        <v>21.968226768731402</v>
      </c>
      <c r="AL4173">
        <v>78.954445754923199</v>
      </c>
      <c r="AM4173">
        <v>89.390830538831096</v>
      </c>
      <c r="AN4173">
        <v>1.0000000060218299</v>
      </c>
    </row>
    <row r="4174" spans="1:40" x14ac:dyDescent="0.25">
      <c r="A4174" t="str">
        <f>"20190303162342974"</f>
        <v>20190303162342974</v>
      </c>
      <c r="B4174" t="str">
        <f>"1551601422958730"</f>
        <v>1551601422958730</v>
      </c>
      <c r="C4174" t="s">
        <v>40</v>
      </c>
      <c r="D4174">
        <v>5.7909309999999996</v>
      </c>
      <c r="E4174">
        <v>0.50743260000000001</v>
      </c>
      <c r="F4174" t="s">
        <v>41</v>
      </c>
      <c r="G4174">
        <v>-277.30990000000003</v>
      </c>
      <c r="H4174" s="1">
        <v>-1.49212E-6</v>
      </c>
      <c r="I4174">
        <v>140.95320000000001</v>
      </c>
      <c r="J4174">
        <v>-255.07990000000001</v>
      </c>
      <c r="K4174">
        <v>1.1195539999999999</v>
      </c>
      <c r="L4174">
        <v>141.6917</v>
      </c>
      <c r="M4174">
        <v>-0.99802749999999996</v>
      </c>
      <c r="N4174">
        <v>-1.092545E-2</v>
      </c>
      <c r="O4174">
        <v>-6.1821050000000002E-2</v>
      </c>
      <c r="P4174">
        <v>-0.98161540000000003</v>
      </c>
      <c r="Q4174">
        <v>0.1822734</v>
      </c>
      <c r="R4174">
        <v>-5.663841E-2</v>
      </c>
      <c r="S4174">
        <v>-3.0771480000000002</v>
      </c>
      <c r="T4174">
        <v>-0.1523185</v>
      </c>
      <c r="U4174">
        <v>-0.103653</v>
      </c>
      <c r="V4174">
        <v>4.5744419999999997E-3</v>
      </c>
      <c r="W4174">
        <v>0.19299549999999999</v>
      </c>
      <c r="X4174">
        <v>0.98118899999999998</v>
      </c>
      <c r="Y4174">
        <v>2.8100699999999999E-2</v>
      </c>
      <c r="Z4174">
        <v>3.2282470000000001E-3</v>
      </c>
      <c r="AA4174">
        <v>0.99959989999999999</v>
      </c>
      <c r="AB4174">
        <v>37</v>
      </c>
      <c r="AC4174">
        <v>-22.23</v>
      </c>
      <c r="AD4174">
        <v>-1.1195554921199999</v>
      </c>
      <c r="AE4174">
        <v>-0.73849999999998694</v>
      </c>
      <c r="AF4174">
        <v>0.63566613087150203</v>
      </c>
      <c r="AG4174">
        <v>-1.1195554921199999</v>
      </c>
      <c r="AH4174">
        <v>22.176945157346101</v>
      </c>
      <c r="AI4174">
        <v>92.888816628385996</v>
      </c>
      <c r="AJ4174">
        <v>88.358159035363698</v>
      </c>
      <c r="AK4174">
        <v>22.2142830728747</v>
      </c>
      <c r="AL4174">
        <v>78.872350225017499</v>
      </c>
      <c r="AM4174">
        <v>89.732880901318893</v>
      </c>
      <c r="AN4174">
        <v>1.0000000211304301</v>
      </c>
    </row>
    <row r="4175" spans="1:40" x14ac:dyDescent="0.25">
      <c r="A4175" t="str">
        <f>"20190303162342996"</f>
        <v>20190303162342996</v>
      </c>
      <c r="B4175" t="str">
        <f>"1551601422988986"</f>
        <v>1551601422988986</v>
      </c>
      <c r="C4175" t="s">
        <v>40</v>
      </c>
      <c r="D4175">
        <v>5.8432230000000001</v>
      </c>
      <c r="E4175">
        <v>0.50733919999999999</v>
      </c>
      <c r="F4175" t="s">
        <v>41</v>
      </c>
      <c r="G4175">
        <v>-278.71199999999999</v>
      </c>
      <c r="H4175" s="1">
        <v>-8.5036290000000004E-7</v>
      </c>
      <c r="I4175">
        <v>140.80189999999999</v>
      </c>
      <c r="J4175">
        <v>-255.45359999999999</v>
      </c>
      <c r="K4175">
        <v>1.1194959999999901</v>
      </c>
      <c r="L4175">
        <v>141.6695</v>
      </c>
      <c r="M4175">
        <v>-0.99809309999999996</v>
      </c>
      <c r="N4175">
        <v>-1.092854E-2</v>
      </c>
      <c r="O4175">
        <v>-6.075415E-2</v>
      </c>
      <c r="P4175">
        <v>-0.98102319999999998</v>
      </c>
      <c r="Q4175">
        <v>0.18465500000000001</v>
      </c>
      <c r="R4175">
        <v>-5.9128159999999999E-2</v>
      </c>
      <c r="S4175">
        <v>-3.076584</v>
      </c>
      <c r="T4175">
        <v>-0.14575150000000001</v>
      </c>
      <c r="U4175">
        <v>-0.1158295</v>
      </c>
      <c r="V4175">
        <v>1.0410809999999999E-3</v>
      </c>
      <c r="W4175">
        <v>0.195383</v>
      </c>
      <c r="X4175">
        <v>0.98072649999999995</v>
      </c>
      <c r="Y4175">
        <v>2.309019E-2</v>
      </c>
      <c r="Z4175">
        <v>2.8822129999999998E-3</v>
      </c>
      <c r="AA4175">
        <v>0.99972919999999998</v>
      </c>
      <c r="AB4175">
        <v>37</v>
      </c>
      <c r="AC4175">
        <v>-23.258399999999899</v>
      </c>
      <c r="AD4175">
        <v>-1.1194968503628999</v>
      </c>
      <c r="AE4175">
        <v>-0.86760000000001003</v>
      </c>
      <c r="AF4175">
        <v>0.54586842713249595</v>
      </c>
      <c r="AG4175">
        <v>-1.1194968503628999</v>
      </c>
      <c r="AH4175">
        <v>23.214436315045099</v>
      </c>
      <c r="AI4175">
        <v>92.7601405549525</v>
      </c>
      <c r="AJ4175">
        <v>88.652984970261798</v>
      </c>
      <c r="AK4175">
        <v>23.247823531741599</v>
      </c>
      <c r="AL4175">
        <v>78.732902140774598</v>
      </c>
      <c r="AM4175">
        <v>89.939178226523296</v>
      </c>
      <c r="AN4175">
        <v>1.00000003417044</v>
      </c>
    </row>
    <row r="4176" spans="1:40" x14ac:dyDescent="0.25">
      <c r="A4176" t="str">
        <f>"20190303162343018"</f>
        <v>20190303162343018</v>
      </c>
      <c r="B4176" t="str">
        <f>"1551601423009483"</f>
        <v>1551601423009483</v>
      </c>
      <c r="C4176" t="s">
        <v>40</v>
      </c>
      <c r="D4176">
        <v>5.7772709999999998</v>
      </c>
      <c r="E4176">
        <v>0.50763230000000004</v>
      </c>
      <c r="F4176" t="s">
        <v>55</v>
      </c>
      <c r="G4176">
        <v>-280.51010000000002</v>
      </c>
      <c r="H4176" s="1">
        <v>-4.1826199999999899E-6</v>
      </c>
      <c r="I4176">
        <v>140.6635</v>
      </c>
      <c r="J4176">
        <v>-255.8133</v>
      </c>
      <c r="K4176">
        <v>1.1194470000000001</v>
      </c>
      <c r="L4176">
        <v>141.64859999999999</v>
      </c>
      <c r="M4176">
        <v>-0.99815849999999995</v>
      </c>
      <c r="N4176">
        <v>-1.0931700000000001E-2</v>
      </c>
      <c r="O4176">
        <v>-5.9666459999999998E-2</v>
      </c>
      <c r="P4176">
        <v>-0.98072130000000002</v>
      </c>
      <c r="Q4176">
        <v>0.1861545</v>
      </c>
      <c r="R4176">
        <v>-5.9431890000000001E-2</v>
      </c>
      <c r="S4176">
        <v>-3.0764469999999999</v>
      </c>
      <c r="T4176">
        <v>-0.13745270000000001</v>
      </c>
      <c r="U4176">
        <v>-0.1235199</v>
      </c>
      <c r="V4176">
        <v>-3.1632859999999999E-4</v>
      </c>
      <c r="W4176">
        <v>0.19688530000000001</v>
      </c>
      <c r="X4176">
        <v>0.98042649999999998</v>
      </c>
      <c r="Y4176">
        <v>1.95176E-2</v>
      </c>
      <c r="Z4176">
        <v>2.5516169999999999E-3</v>
      </c>
      <c r="AA4176">
        <v>0.99980630000000004</v>
      </c>
      <c r="AB4176">
        <v>37</v>
      </c>
      <c r="AC4176">
        <v>-24.6968</v>
      </c>
      <c r="AD4176">
        <v>-1.11945118261999</v>
      </c>
      <c r="AE4176">
        <v>-0.98509999999998799</v>
      </c>
      <c r="AF4176">
        <v>0.48931024990764399</v>
      </c>
      <c r="AG4176">
        <v>-1.11945118261999</v>
      </c>
      <c r="AH4176">
        <v>24.660986939778098</v>
      </c>
      <c r="AI4176">
        <v>92.598567197195194</v>
      </c>
      <c r="AJ4176">
        <v>88.863316618319402</v>
      </c>
      <c r="AK4176">
        <v>24.691230676392799</v>
      </c>
      <c r="AL4176">
        <v>78.645121588405601</v>
      </c>
      <c r="AM4176">
        <v>90.018486131383</v>
      </c>
      <c r="AN4176">
        <v>1.0000000216610601</v>
      </c>
    </row>
    <row r="4177" spans="1:40" x14ac:dyDescent="0.25">
      <c r="A4177" t="str">
        <f>"20190303162343109"</f>
        <v>20190303162343109</v>
      </c>
      <c r="B4177" t="str">
        <f>"1551601423099274"</f>
        <v>1551601423099274</v>
      </c>
      <c r="C4177" t="s">
        <v>40</v>
      </c>
      <c r="D4177">
        <v>5.8635020000000004</v>
      </c>
      <c r="E4177">
        <v>0.50781229999999999</v>
      </c>
      <c r="F4177" t="s">
        <v>55</v>
      </c>
      <c r="G4177">
        <v>-281.6728</v>
      </c>
      <c r="H4177" s="1">
        <v>-4.67995799999999E-6</v>
      </c>
      <c r="I4177">
        <v>140.6071</v>
      </c>
      <c r="J4177">
        <v>-257.3091</v>
      </c>
      <c r="K4177">
        <v>1.1193930000000001</v>
      </c>
      <c r="L4177">
        <v>141.56630000000001</v>
      </c>
      <c r="M4177">
        <v>-0.99842220000000004</v>
      </c>
      <c r="N4177">
        <v>-1.094266E-2</v>
      </c>
      <c r="O4177">
        <v>-5.5077309999999997E-2</v>
      </c>
      <c r="P4177">
        <v>-0.9817186</v>
      </c>
      <c r="Q4177">
        <v>0.1848427</v>
      </c>
      <c r="R4177">
        <v>-4.5408539999999997E-2</v>
      </c>
      <c r="S4177">
        <v>-3.0767519999999999</v>
      </c>
      <c r="T4177">
        <v>-0.133191899999999</v>
      </c>
      <c r="U4177">
        <v>-0.1239166</v>
      </c>
      <c r="V4177">
        <v>9.2376420000000008E-3</v>
      </c>
      <c r="W4177">
        <v>0.19556209999999999</v>
      </c>
      <c r="X4177">
        <v>0.98064779999999996</v>
      </c>
      <c r="Y4177">
        <v>1.480852E-2</v>
      </c>
      <c r="Z4177">
        <v>2.1793429999999998E-3</v>
      </c>
      <c r="AA4177">
        <v>0.99988790000000005</v>
      </c>
      <c r="AB4177">
        <v>37</v>
      </c>
      <c r="AC4177">
        <v>-24.363699999999898</v>
      </c>
      <c r="AD4177">
        <v>-1.1193976799580001</v>
      </c>
      <c r="AE4177">
        <v>-0.95920000000000905</v>
      </c>
      <c r="AF4177">
        <v>0.38341533459531602</v>
      </c>
      <c r="AG4177">
        <v>-1.1193976799580001</v>
      </c>
      <c r="AH4177">
        <v>24.3282702561368</v>
      </c>
      <c r="AI4177">
        <v>92.634121157160095</v>
      </c>
      <c r="AJ4177">
        <v>89.097089036640199</v>
      </c>
      <c r="AK4177">
        <v>24.3570275719417</v>
      </c>
      <c r="AL4177">
        <v>78.722438093070593</v>
      </c>
      <c r="AM4177">
        <v>89.460293241992204</v>
      </c>
      <c r="AN4177">
        <v>0.99999998831548498</v>
      </c>
    </row>
    <row r="4178" spans="1:40" x14ac:dyDescent="0.25">
      <c r="A4178" t="str">
        <f>"20190303162343130"</f>
        <v>20190303162343130</v>
      </c>
      <c r="B4178" t="str">
        <f>"1551601423118795"</f>
        <v>1551601423118795</v>
      </c>
      <c r="C4178" t="s">
        <v>40</v>
      </c>
      <c r="D4178">
        <v>5.6003150000000002</v>
      </c>
      <c r="E4178">
        <v>0.54022159999999997</v>
      </c>
      <c r="F4178" t="s">
        <v>55</v>
      </c>
      <c r="G4178">
        <v>-281.76589999999999</v>
      </c>
      <c r="H4178" s="1">
        <v>-4.8047090000000004E-6</v>
      </c>
      <c r="I4178">
        <v>140.86500000000001</v>
      </c>
      <c r="J4178">
        <v>-257.66640000000001</v>
      </c>
      <c r="K4178">
        <v>1.1194440000000001</v>
      </c>
      <c r="L4178">
        <v>141.54750000000001</v>
      </c>
      <c r="M4178">
        <v>-0.99847339999999996</v>
      </c>
      <c r="N4178">
        <v>-1.0944570000000001E-2</v>
      </c>
      <c r="O4178">
        <v>-5.4140750000000001E-2</v>
      </c>
      <c r="P4178">
        <v>-0.98216619999999999</v>
      </c>
      <c r="Q4178">
        <v>0.18419640000000001</v>
      </c>
      <c r="R4178">
        <v>-3.7699950000000003E-2</v>
      </c>
      <c r="S4178">
        <v>-3.0783079999999998</v>
      </c>
      <c r="T4178">
        <v>-0.14089560000000001</v>
      </c>
      <c r="U4178">
        <v>-8.8272089999999998E-2</v>
      </c>
      <c r="V4178">
        <v>1.6006010000000001E-2</v>
      </c>
      <c r="W4178">
        <v>0.1949031</v>
      </c>
      <c r="X4178">
        <v>0.98069189999999995</v>
      </c>
      <c r="Y4178">
        <v>2.543436E-2</v>
      </c>
      <c r="Z4178">
        <v>2.6032680000000002E-3</v>
      </c>
      <c r="AA4178">
        <v>0.99967309999999998</v>
      </c>
      <c r="AB4178">
        <v>37</v>
      </c>
      <c r="AC4178">
        <v>-24.0994999999999</v>
      </c>
      <c r="AD4178">
        <v>-1.1194488047090001</v>
      </c>
      <c r="AE4178">
        <v>-0.68250000000000399</v>
      </c>
      <c r="AF4178">
        <v>0.62200317651596104</v>
      </c>
      <c r="AG4178">
        <v>-1.1194488047090001</v>
      </c>
      <c r="AH4178">
        <v>24.049252991498399</v>
      </c>
      <c r="AI4178">
        <v>92.664200508727504</v>
      </c>
      <c r="AJ4178">
        <v>88.518448221387402</v>
      </c>
      <c r="AK4178">
        <v>24.083326660307002</v>
      </c>
      <c r="AL4178">
        <v>78.760937055442994</v>
      </c>
      <c r="AM4178">
        <v>89.0649505694238</v>
      </c>
      <c r="AN4178">
        <v>1.00000000673566</v>
      </c>
    </row>
    <row r="4179" spans="1:40" x14ac:dyDescent="0.25">
      <c r="A4179" t="str">
        <f>"20190303162343151"</f>
        <v>20190303162343151</v>
      </c>
      <c r="B4179" t="str">
        <f>"1551601423139289"</f>
        <v>1551601423139289</v>
      </c>
      <c r="C4179" t="s">
        <v>40</v>
      </c>
      <c r="D4179">
        <v>5.6057560000000004</v>
      </c>
      <c r="E4179">
        <v>0.54448149999999995</v>
      </c>
      <c r="F4179" t="s">
        <v>41</v>
      </c>
      <c r="G4179">
        <v>-276.1626</v>
      </c>
      <c r="H4179" s="1">
        <v>-2.4442109999999999E-6</v>
      </c>
      <c r="I4179">
        <v>142.6816</v>
      </c>
      <c r="J4179">
        <v>-258.0147</v>
      </c>
      <c r="K4179">
        <v>1.119526</v>
      </c>
      <c r="L4179">
        <v>141.52930000000001</v>
      </c>
      <c r="M4179">
        <v>-0.99851630000000002</v>
      </c>
      <c r="N4179">
        <v>-1.0946569999999999E-2</v>
      </c>
      <c r="O4179">
        <v>-5.3343979999999999E-2</v>
      </c>
      <c r="P4179">
        <v>-0.98275179999999995</v>
      </c>
      <c r="Q4179">
        <v>0.1824576</v>
      </c>
      <c r="R4179">
        <v>-3.013919E-2</v>
      </c>
      <c r="S4179">
        <v>-3.096924</v>
      </c>
      <c r="T4179">
        <v>-0.1874362</v>
      </c>
      <c r="U4179">
        <v>0.18991089999999999</v>
      </c>
      <c r="V4179">
        <v>2.2761130000000001E-2</v>
      </c>
      <c r="W4179">
        <v>0.19315650000000001</v>
      </c>
      <c r="X4179">
        <v>0.98090390000000005</v>
      </c>
      <c r="Y4179">
        <v>0.1140563</v>
      </c>
      <c r="Z4179">
        <v>6.7105109999999997E-3</v>
      </c>
      <c r="AA4179">
        <v>0.99345159999999999</v>
      </c>
      <c r="AB4179">
        <v>37</v>
      </c>
      <c r="AC4179">
        <v>-18.1479</v>
      </c>
      <c r="AD4179">
        <v>-1.1195284442110001</v>
      </c>
      <c r="AE4179">
        <v>1.1522999999999901</v>
      </c>
      <c r="AF4179">
        <v>2.1107977815171699</v>
      </c>
      <c r="AG4179">
        <v>-1.1195284442110001</v>
      </c>
      <c r="AH4179">
        <v>17.9923899024711</v>
      </c>
      <c r="AI4179">
        <v>93.536296928543806</v>
      </c>
      <c r="AJ4179">
        <v>83.308865165420897</v>
      </c>
      <c r="AK4179">
        <v>18.150341749245399</v>
      </c>
      <c r="AL4179">
        <v>78.862948260030294</v>
      </c>
      <c r="AM4179">
        <v>88.670733493796703</v>
      </c>
      <c r="AN4179">
        <v>0.99999998178316796</v>
      </c>
    </row>
    <row r="4180" spans="1:40" x14ac:dyDescent="0.25">
      <c r="A4180" t="str">
        <f>"20190303162343174"</f>
        <v>20190303162343174</v>
      </c>
      <c r="B4180" t="str">
        <f>"1551601423169545"</f>
        <v>1551601423169545</v>
      </c>
      <c r="C4180" t="s">
        <v>40</v>
      </c>
      <c r="D4180">
        <v>5.5899900000000002</v>
      </c>
      <c r="E4180">
        <v>0.54567379999999999</v>
      </c>
      <c r="F4180" t="s">
        <v>41</v>
      </c>
      <c r="G4180">
        <v>-275.23930000000001</v>
      </c>
      <c r="H4180" s="1">
        <v>-2.8983950000000001E-6</v>
      </c>
      <c r="I4180">
        <v>142.9</v>
      </c>
      <c r="J4180">
        <v>-258.39139999999998</v>
      </c>
      <c r="K4180">
        <v>1.1196379999999999</v>
      </c>
      <c r="L4180">
        <v>141.50980000000001</v>
      </c>
      <c r="M4180">
        <v>-0.99855389999999999</v>
      </c>
      <c r="N4180">
        <v>-1.0948889999999999E-2</v>
      </c>
      <c r="O4180">
        <v>-5.2634380000000001E-2</v>
      </c>
      <c r="P4180">
        <v>-0.98319659999999998</v>
      </c>
      <c r="Q4180">
        <v>0.18096200000000001</v>
      </c>
      <c r="R4180">
        <v>-2.4027400000000001E-2</v>
      </c>
      <c r="S4180">
        <v>-3.0975950000000001</v>
      </c>
      <c r="T4180">
        <v>-0.2013317</v>
      </c>
      <c r="U4180">
        <v>0.24652099999999999</v>
      </c>
      <c r="V4180">
        <v>2.81374E-2</v>
      </c>
      <c r="W4180">
        <v>0.19165960000000001</v>
      </c>
      <c r="X4180">
        <v>0.98105810000000004</v>
      </c>
      <c r="Y4180">
        <v>0.13129679999999999</v>
      </c>
      <c r="Z4180">
        <v>7.8143599999999994E-3</v>
      </c>
      <c r="AA4180">
        <v>0.99131230000000004</v>
      </c>
      <c r="AB4180">
        <v>37</v>
      </c>
      <c r="AC4180">
        <v>-16.847899999999999</v>
      </c>
      <c r="AD4180">
        <v>-1.1196408983949999</v>
      </c>
      <c r="AE4180">
        <v>1.3901999999999901</v>
      </c>
      <c r="AF4180">
        <v>2.2651684255340299</v>
      </c>
      <c r="AG4180">
        <v>-1.1196408983949999</v>
      </c>
      <c r="AH4180">
        <v>16.678207689667602</v>
      </c>
      <c r="AI4180">
        <v>93.805779607172397</v>
      </c>
      <c r="AJ4180">
        <v>82.265637407846796</v>
      </c>
      <c r="AK4180">
        <v>16.868526772575098</v>
      </c>
      <c r="AL4180">
        <v>78.950348200668302</v>
      </c>
      <c r="AM4180">
        <v>88.357169221448601</v>
      </c>
      <c r="AN4180">
        <v>1.00000005556326</v>
      </c>
    </row>
    <row r="4181" spans="1:40" x14ac:dyDescent="0.25">
      <c r="A4181" t="str">
        <f>"20190303162343197"</f>
        <v>20190303162343197</v>
      </c>
      <c r="B4181" t="str">
        <f>"1551601423189066"</f>
        <v>1551601423189066</v>
      </c>
      <c r="C4181" t="s">
        <v>40</v>
      </c>
      <c r="D4181">
        <v>5.5898490000000001</v>
      </c>
      <c r="E4181">
        <v>0.54525419999999902</v>
      </c>
      <c r="F4181" t="s">
        <v>41</v>
      </c>
      <c r="G4181">
        <v>-274.26</v>
      </c>
      <c r="H4181" s="1">
        <v>-3.321412E-6</v>
      </c>
      <c r="I4181">
        <v>142.9109</v>
      </c>
      <c r="J4181">
        <v>-258.77910000000003</v>
      </c>
      <c r="K4181">
        <v>1.119745</v>
      </c>
      <c r="L4181">
        <v>141.49</v>
      </c>
      <c r="M4181">
        <v>-0.99858429999999998</v>
      </c>
      <c r="N4181">
        <v>-1.0951310000000001E-2</v>
      </c>
      <c r="O4181">
        <v>-5.2055560000000001E-2</v>
      </c>
      <c r="P4181">
        <v>-0.98364419999999997</v>
      </c>
      <c r="Q4181">
        <v>0.17903540000000001</v>
      </c>
      <c r="R4181">
        <v>-1.9761440000000002E-2</v>
      </c>
      <c r="S4181">
        <v>-3.0982059999999998</v>
      </c>
      <c r="T4181">
        <v>-0.21860109999999999</v>
      </c>
      <c r="U4181">
        <v>0.27355960000000001</v>
      </c>
      <c r="V4181">
        <v>3.1796129999999999E-2</v>
      </c>
      <c r="W4181">
        <v>0.18973950000000001</v>
      </c>
      <c r="X4181">
        <v>0.98131950000000001</v>
      </c>
      <c r="Y4181">
        <v>0.139202399999999</v>
      </c>
      <c r="Z4181">
        <v>8.7539450000000008E-3</v>
      </c>
      <c r="AA4181">
        <v>0.99022529999999997</v>
      </c>
      <c r="AB4181">
        <v>37</v>
      </c>
      <c r="AC4181">
        <v>-15.480899999999901</v>
      </c>
      <c r="AD4181">
        <v>-1.1197483214120001</v>
      </c>
      <c r="AE4181">
        <v>1.4208999999999801</v>
      </c>
      <c r="AF4181">
        <v>2.2134051369672698</v>
      </c>
      <c r="AG4181">
        <v>-1.1197483214120001</v>
      </c>
      <c r="AH4181">
        <v>15.3065269584544</v>
      </c>
      <c r="AI4181">
        <v>94.141096689639596</v>
      </c>
      <c r="AJ4181">
        <v>81.771762188509001</v>
      </c>
      <c r="AK4181">
        <v>15.506217015557</v>
      </c>
      <c r="AL4181">
        <v>79.062418070231701</v>
      </c>
      <c r="AM4181">
        <v>88.144185536723498</v>
      </c>
      <c r="AN4181">
        <v>1.00000001641173</v>
      </c>
    </row>
    <row r="4182" spans="1:40" x14ac:dyDescent="0.25">
      <c r="A4182" t="str">
        <f>"20190303162343218"</f>
        <v>20190303162343218</v>
      </c>
      <c r="B4182" t="str">
        <f>"1551601423209561"</f>
        <v>1551601423209561</v>
      </c>
      <c r="C4182" t="s">
        <v>40</v>
      </c>
      <c r="D4182">
        <v>5.624117</v>
      </c>
      <c r="E4182">
        <v>0.5450467</v>
      </c>
      <c r="F4182" t="s">
        <v>41</v>
      </c>
      <c r="G4182">
        <v>-273.9076</v>
      </c>
      <c r="H4182" s="1">
        <v>-3.4634440000000001E-6</v>
      </c>
      <c r="I4182">
        <v>142.87649999999999</v>
      </c>
      <c r="J4182">
        <v>-259.13799999999998</v>
      </c>
      <c r="K4182">
        <v>1.1198380000000001</v>
      </c>
      <c r="L4182">
        <v>141.4716</v>
      </c>
      <c r="M4182">
        <v>-0.99860660000000001</v>
      </c>
      <c r="N4182">
        <v>-1.0953539999999999E-2</v>
      </c>
      <c r="O4182">
        <v>-5.162709E-2</v>
      </c>
      <c r="P4182">
        <v>-0.98371229999999998</v>
      </c>
      <c r="Q4182">
        <v>0.17869090000000001</v>
      </c>
      <c r="R4182">
        <v>-1.9495499999999999E-2</v>
      </c>
      <c r="S4182">
        <v>-3.097321</v>
      </c>
      <c r="T4182">
        <v>-0.2292525</v>
      </c>
      <c r="U4182">
        <v>0.28388980000000003</v>
      </c>
      <c r="V4182">
        <v>3.1600839999999998E-2</v>
      </c>
      <c r="W4182">
        <v>0.18940570000000001</v>
      </c>
      <c r="X4182">
        <v>0.98139030000000005</v>
      </c>
      <c r="Y4182">
        <v>0.14202200000000001</v>
      </c>
      <c r="Z4182">
        <v>9.2640670000000008E-3</v>
      </c>
      <c r="AA4182">
        <v>0.98982020000000004</v>
      </c>
      <c r="AB4182">
        <v>37</v>
      </c>
      <c r="AC4182">
        <v>-14.769600000000001</v>
      </c>
      <c r="AD4182">
        <v>-1.1198414634439999</v>
      </c>
      <c r="AE4182">
        <v>1.40489999999999</v>
      </c>
      <c r="AF4182">
        <v>2.1533153466741899</v>
      </c>
      <c r="AG4182">
        <v>-1.1198414634439999</v>
      </c>
      <c r="AH4182">
        <v>14.5942195222639</v>
      </c>
      <c r="AI4182">
        <v>94.340998870648804</v>
      </c>
      <c r="AJ4182">
        <v>81.606806454746305</v>
      </c>
      <c r="AK4182">
        <v>14.794663069820199</v>
      </c>
      <c r="AL4182">
        <v>79.081896723999606</v>
      </c>
      <c r="AM4182">
        <v>88.155708914669901</v>
      </c>
      <c r="AN4182">
        <v>1.0000000266076401</v>
      </c>
    </row>
    <row r="4183" spans="1:40" x14ac:dyDescent="0.25">
      <c r="A4183" t="str">
        <f>"20190303162343240"</f>
        <v>20190303162343240</v>
      </c>
      <c r="B4183" t="str">
        <f>"1551601423229081"</f>
        <v>1551601423229081</v>
      </c>
      <c r="C4183" t="s">
        <v>40</v>
      </c>
      <c r="D4183">
        <v>5.6092510000000004</v>
      </c>
      <c r="E4183">
        <v>0.54479909999999998</v>
      </c>
      <c r="F4183" t="s">
        <v>41</v>
      </c>
      <c r="G4183">
        <v>-274.23899999999998</v>
      </c>
      <c r="H4183" s="1">
        <v>-3.3190069999999999E-6</v>
      </c>
      <c r="I4183">
        <v>142.86799999999999</v>
      </c>
      <c r="J4183">
        <v>-259.48950000000002</v>
      </c>
      <c r="K4183">
        <v>1.119907</v>
      </c>
      <c r="L4183">
        <v>141.4538</v>
      </c>
      <c r="M4183">
        <v>-0.99862519999999999</v>
      </c>
      <c r="N4183">
        <v>-1.0955879999999999E-2</v>
      </c>
      <c r="O4183">
        <v>-5.1261849999999998E-2</v>
      </c>
      <c r="P4183">
        <v>-0.98327339999999996</v>
      </c>
      <c r="Q4183">
        <v>0.1807222</v>
      </c>
      <c r="R4183">
        <v>-2.2655020000000001E-2</v>
      </c>
      <c r="S4183">
        <v>-3.0970759999999999</v>
      </c>
      <c r="T4183">
        <v>-0.2296696</v>
      </c>
      <c r="U4183">
        <v>0.28640749999999998</v>
      </c>
      <c r="V4183">
        <v>2.8037449999999998E-2</v>
      </c>
      <c r="W4183">
        <v>0.19144520000000001</v>
      </c>
      <c r="X4183">
        <v>0.98110280000000005</v>
      </c>
      <c r="Y4183">
        <v>0.14246229999999999</v>
      </c>
      <c r="Z4183">
        <v>9.2766689999999995E-3</v>
      </c>
      <c r="AA4183">
        <v>0.98975679999999999</v>
      </c>
      <c r="AB4183">
        <v>37</v>
      </c>
      <c r="AC4183">
        <v>-14.749499999999999</v>
      </c>
      <c r="AD4183">
        <v>-1.1199103190070001</v>
      </c>
      <c r="AE4183">
        <v>1.4141999999999899</v>
      </c>
      <c r="AF4183">
        <v>2.1561550953595701</v>
      </c>
      <c r="AG4183">
        <v>-1.1199103190070001</v>
      </c>
      <c r="AH4183">
        <v>14.5743487226905</v>
      </c>
      <c r="AI4183">
        <v>94.3469130610154</v>
      </c>
      <c r="AJ4183">
        <v>81.584601398174797</v>
      </c>
      <c r="AK4183">
        <v>14.775481197187901</v>
      </c>
      <c r="AL4183">
        <v>78.962863936698596</v>
      </c>
      <c r="AM4183">
        <v>88.363076265807905</v>
      </c>
      <c r="AN4183">
        <v>1.0000000336866901</v>
      </c>
    </row>
    <row r="4184" spans="1:40" x14ac:dyDescent="0.25">
      <c r="A4184" t="str">
        <f>"20190303162343262"</f>
        <v>20190303162343262</v>
      </c>
      <c r="B4184" t="str">
        <f>"1551601423248602"</f>
        <v>1551601423248602</v>
      </c>
      <c r="C4184" t="s">
        <v>40</v>
      </c>
      <c r="D4184">
        <v>5.5907090000000004</v>
      </c>
      <c r="E4184">
        <v>0.54454169999999902</v>
      </c>
      <c r="F4184" t="s">
        <v>41</v>
      </c>
      <c r="G4184">
        <v>-274.911</v>
      </c>
      <c r="H4184" s="1">
        <v>-3.019415E-6</v>
      </c>
      <c r="I4184">
        <v>142.82560000000001</v>
      </c>
      <c r="J4184">
        <v>-259.85550000000001</v>
      </c>
      <c r="K4184">
        <v>1.1199319999999999</v>
      </c>
      <c r="L4184">
        <v>141.43530000000001</v>
      </c>
      <c r="M4184">
        <v>-0.99864489999999995</v>
      </c>
      <c r="N4184">
        <v>-1.0958529999999999E-2</v>
      </c>
      <c r="O4184">
        <v>-5.0876850000000001E-2</v>
      </c>
      <c r="P4184">
        <v>-0.98290370000000005</v>
      </c>
      <c r="Q4184">
        <v>0.1824104</v>
      </c>
      <c r="R4184">
        <v>-2.5039789999999999E-2</v>
      </c>
      <c r="S4184">
        <v>-3.0987550000000001</v>
      </c>
      <c r="T4184">
        <v>-0.22503210000000001</v>
      </c>
      <c r="U4184">
        <v>0.2756653</v>
      </c>
      <c r="V4184">
        <v>2.5249779999999999E-2</v>
      </c>
      <c r="W4184">
        <v>0.19313830000000001</v>
      </c>
      <c r="X4184">
        <v>0.98084660000000001</v>
      </c>
      <c r="Y4184">
        <v>0.13866139999999999</v>
      </c>
      <c r="Z4184">
        <v>8.9085080000000007E-3</v>
      </c>
      <c r="AA4184">
        <v>0.99029979999999995</v>
      </c>
      <c r="AB4184">
        <v>37</v>
      </c>
      <c r="AC4184">
        <v>-15.055499999999901</v>
      </c>
      <c r="AD4184">
        <v>-1.119935019415</v>
      </c>
      <c r="AE4184">
        <v>1.3902999999999901</v>
      </c>
      <c r="AF4184">
        <v>2.1427649896649599</v>
      </c>
      <c r="AG4184">
        <v>-1.119935019415</v>
      </c>
      <c r="AH4184">
        <v>14.8836003245338</v>
      </c>
      <c r="AI4184">
        <v>94.259431127928295</v>
      </c>
      <c r="AJ4184">
        <v>81.807522263630403</v>
      </c>
      <c r="AK4184">
        <v>15.0787020286598</v>
      </c>
      <c r="AL4184">
        <v>78.864011301151905</v>
      </c>
      <c r="AM4184">
        <v>88.525369430617204</v>
      </c>
      <c r="AN4184">
        <v>1.00000000352424</v>
      </c>
    </row>
    <row r="4185" spans="1:40" x14ac:dyDescent="0.25">
      <c r="A4185" t="str">
        <f>"20190303162343309"</f>
        <v>20190303162343309</v>
      </c>
      <c r="B4185" t="str">
        <f>"1551601423299354"</f>
        <v>1551601423299354</v>
      </c>
      <c r="C4185" t="s">
        <v>40</v>
      </c>
      <c r="D4185">
        <v>5.8019860000000003</v>
      </c>
      <c r="E4185">
        <v>0.51239899999999905</v>
      </c>
      <c r="F4185" t="s">
        <v>41</v>
      </c>
      <c r="G4185">
        <v>-275.5659</v>
      </c>
      <c r="H4185" s="1">
        <v>-2.7275460000000001E-6</v>
      </c>
      <c r="I4185">
        <v>142.78440000000001</v>
      </c>
      <c r="J4185">
        <v>-260.63350000000003</v>
      </c>
      <c r="K4185">
        <v>1.1197790000000001</v>
      </c>
      <c r="L4185">
        <v>141.39689999999999</v>
      </c>
      <c r="M4185">
        <v>-0.99870409999999998</v>
      </c>
      <c r="N4185">
        <v>-1.096576E-2</v>
      </c>
      <c r="O4185">
        <v>-4.9698279999999997E-2</v>
      </c>
      <c r="P4185">
        <v>-0.98264240000000003</v>
      </c>
      <c r="Q4185">
        <v>0.18279390000000001</v>
      </c>
      <c r="R4185">
        <v>-3.1628900000000001E-2</v>
      </c>
      <c r="S4185">
        <v>-3.099945</v>
      </c>
      <c r="T4185">
        <v>-0.22098390000000001</v>
      </c>
      <c r="U4185">
        <v>0.26622010000000002</v>
      </c>
      <c r="V4185">
        <v>1.756046E-2</v>
      </c>
      <c r="W4185">
        <v>0.1935345</v>
      </c>
      <c r="X4185">
        <v>0.98093629999999998</v>
      </c>
      <c r="Y4185">
        <v>0.134495899999999</v>
      </c>
      <c r="Z4185">
        <v>8.5082409999999997E-3</v>
      </c>
      <c r="AA4185">
        <v>0.99087760000000003</v>
      </c>
      <c r="AB4185">
        <v>37</v>
      </c>
      <c r="AC4185">
        <v>-14.9323999999999</v>
      </c>
      <c r="AD4185">
        <v>-1.119781727546</v>
      </c>
      <c r="AE4185">
        <v>1.3875000000000099</v>
      </c>
      <c r="AF4185">
        <v>2.1161461250650002</v>
      </c>
      <c r="AG4185">
        <v>-1.119781727546</v>
      </c>
      <c r="AH4185">
        <v>14.7626775210367</v>
      </c>
      <c r="AI4185">
        <v>94.293980694420696</v>
      </c>
      <c r="AJ4185">
        <v>81.842543995949796</v>
      </c>
      <c r="AK4185">
        <v>14.955555259838899</v>
      </c>
      <c r="AL4185">
        <v>78.840874117908598</v>
      </c>
      <c r="AM4185">
        <v>88.9744157851773</v>
      </c>
      <c r="AN4185">
        <v>0.99999999855167498</v>
      </c>
    </row>
    <row r="4186" spans="1:40" x14ac:dyDescent="0.25">
      <c r="A4186" t="str">
        <f>"20190303162343331"</f>
        <v>20190303162343331</v>
      </c>
      <c r="B4186" t="str">
        <f>"1551601423318874"</f>
        <v>1551601423318874</v>
      </c>
      <c r="C4186" t="s">
        <v>40</v>
      </c>
      <c r="D4186">
        <v>5.7110989999999999</v>
      </c>
      <c r="E4186">
        <v>0.45768530000000002</v>
      </c>
      <c r="F4186" t="s">
        <v>42</v>
      </c>
      <c r="G4186">
        <v>-261.59039999999999</v>
      </c>
      <c r="H4186">
        <v>1.0329379999999999</v>
      </c>
      <c r="I4186">
        <v>141.39330000000001</v>
      </c>
      <c r="J4186">
        <v>-261.00029999999998</v>
      </c>
      <c r="K4186">
        <v>1.1196600000000001</v>
      </c>
      <c r="L4186">
        <v>141.37950000000001</v>
      </c>
      <c r="M4186">
        <v>-0.9987433</v>
      </c>
      <c r="N4186">
        <v>-1.097037E-2</v>
      </c>
      <c r="O4186">
        <v>-4.8902010000000003E-2</v>
      </c>
      <c r="P4186">
        <v>-0.9827766</v>
      </c>
      <c r="Q4186">
        <v>0.18179870000000001</v>
      </c>
      <c r="R4186">
        <v>-3.3157199999999998E-2</v>
      </c>
      <c r="S4186">
        <v>-3.1050110000000002</v>
      </c>
      <c r="T4186">
        <v>-0.28183249999999999</v>
      </c>
      <c r="U4186">
        <v>-1.2252809999999999E-2</v>
      </c>
      <c r="V4186">
        <v>1.5310529999999999E-2</v>
      </c>
      <c r="W4186">
        <v>0.19254540000000001</v>
      </c>
      <c r="X4186">
        <v>0.98116859999999995</v>
      </c>
      <c r="Y4186">
        <v>4.4602379999999997E-2</v>
      </c>
      <c r="Z4186">
        <v>6.1577130000000004E-3</v>
      </c>
      <c r="AA4186">
        <v>0.99898580000000003</v>
      </c>
      <c r="AB4186">
        <v>37</v>
      </c>
      <c r="AC4186">
        <v>-0.59010000000000595</v>
      </c>
      <c r="AD4186">
        <v>-8.6722000000000105E-2</v>
      </c>
      <c r="AE4186">
        <v>1.3800000000003299E-2</v>
      </c>
      <c r="AF4186">
        <v>4.1741278580933801E-2</v>
      </c>
      <c r="AG4186">
        <v>-8.6722000000000105E-2</v>
      </c>
      <c r="AH4186">
        <v>0.576279515444581</v>
      </c>
      <c r="AI4186">
        <v>98.535965011103499</v>
      </c>
      <c r="AJ4186">
        <v>85.857167082200306</v>
      </c>
      <c r="AK4186">
        <v>0.58426117408451195</v>
      </c>
      <c r="AL4186">
        <v>78.898631564941994</v>
      </c>
      <c r="AM4186">
        <v>89.106007305242002</v>
      </c>
      <c r="AN4186">
        <v>0.99999998250800004</v>
      </c>
    </row>
    <row r="4187" spans="1:40" x14ac:dyDescent="0.25">
      <c r="A4187" t="str">
        <f>"20190303162343376"</f>
        <v>20190303162343376</v>
      </c>
      <c r="B4187" t="str">
        <f>"1551601423368650"</f>
        <v>1551601423368650</v>
      </c>
      <c r="C4187" t="s">
        <v>40</v>
      </c>
      <c r="D4187">
        <v>5.5702020000000001</v>
      </c>
      <c r="E4187">
        <v>0.46478439999999999</v>
      </c>
      <c r="F4187" t="s">
        <v>41</v>
      </c>
      <c r="G4187">
        <v>-271.3476</v>
      </c>
      <c r="H4187" s="1">
        <v>-3.7604609999999998E-6</v>
      </c>
      <c r="I4187">
        <v>139.86529999999999</v>
      </c>
      <c r="J4187">
        <v>-261.74579999999997</v>
      </c>
      <c r="K4187">
        <v>1.1193360000000001</v>
      </c>
      <c r="L4187">
        <v>141.34549999999999</v>
      </c>
      <c r="M4187">
        <v>-0.99885360000000001</v>
      </c>
      <c r="N4187">
        <v>-1.098206E-2</v>
      </c>
      <c r="O4187">
        <v>-4.659336E-2</v>
      </c>
      <c r="P4187">
        <v>-0.98258999999999996</v>
      </c>
      <c r="Q4187">
        <v>0.18272559999999999</v>
      </c>
      <c r="R4187">
        <v>-3.3594649999999997E-2</v>
      </c>
      <c r="S4187">
        <v>-3.0993040000000001</v>
      </c>
      <c r="T4187">
        <v>-0.33537260000000002</v>
      </c>
      <c r="U4187">
        <v>-0.45350649999999998</v>
      </c>
      <c r="V4187">
        <v>1.274634E-2</v>
      </c>
      <c r="W4187">
        <v>0.1934775</v>
      </c>
      <c r="X4187">
        <v>0.9810219</v>
      </c>
      <c r="Y4187">
        <v>-9.8117399999999994E-2</v>
      </c>
      <c r="Z4187">
        <v>-1.3217719999999999E-3</v>
      </c>
      <c r="AA4187">
        <v>0.995174</v>
      </c>
      <c r="AB4187">
        <v>37</v>
      </c>
      <c r="AC4187">
        <v>-9.6018000000000203</v>
      </c>
      <c r="AD4187">
        <v>-1.119339760461</v>
      </c>
      <c r="AE4187">
        <v>-1.48019999999999</v>
      </c>
      <c r="AF4187">
        <v>-1.01767598377642</v>
      </c>
      <c r="AG4187">
        <v>-1.119339760461</v>
      </c>
      <c r="AH4187">
        <v>9.5337859695254501</v>
      </c>
      <c r="AI4187">
        <v>96.658822350907599</v>
      </c>
      <c r="AJ4187">
        <v>96.092918262287796</v>
      </c>
      <c r="AK4187">
        <v>9.6530648407655804</v>
      </c>
      <c r="AL4187">
        <v>78.844202800268206</v>
      </c>
      <c r="AM4187">
        <v>89.255602352695504</v>
      </c>
      <c r="AN4187">
        <v>0.99999999023462705</v>
      </c>
    </row>
    <row r="4188" spans="1:40" x14ac:dyDescent="0.25">
      <c r="A4188" t="str">
        <f>"20190303162343397"</f>
        <v>20190303162343397</v>
      </c>
      <c r="B4188" t="str">
        <f>"1551601423389146"</f>
        <v>1551601423389146</v>
      </c>
      <c r="C4188" t="s">
        <v>40</v>
      </c>
      <c r="D4188">
        <v>5.756761</v>
      </c>
      <c r="E4188">
        <v>0.46708909999999998</v>
      </c>
      <c r="F4188" t="s">
        <v>41</v>
      </c>
      <c r="G4188">
        <v>-273.1397</v>
      </c>
      <c r="H4188" s="1">
        <v>-2.994051E-6</v>
      </c>
      <c r="I4188">
        <v>139.87430000000001</v>
      </c>
      <c r="J4188">
        <v>-262.1191</v>
      </c>
      <c r="K4188">
        <v>1.1191359999999999</v>
      </c>
      <c r="L4188">
        <v>141.3295</v>
      </c>
      <c r="M4188">
        <v>-0.99892530000000002</v>
      </c>
      <c r="N4188">
        <v>-1.09897E-2</v>
      </c>
      <c r="O4188">
        <v>-4.50278E-2</v>
      </c>
      <c r="P4188">
        <v>-0.98269519999999999</v>
      </c>
      <c r="Q4188">
        <v>0.18230469999999999</v>
      </c>
      <c r="R4188">
        <v>-3.2792290000000002E-2</v>
      </c>
      <c r="S4188">
        <v>-3.0960390000000002</v>
      </c>
      <c r="T4188">
        <v>-0.30415579999999998</v>
      </c>
      <c r="U4188">
        <v>-0.39974979999999999</v>
      </c>
      <c r="V4188">
        <v>1.210664E-2</v>
      </c>
      <c r="W4188">
        <v>0.19306100000000001</v>
      </c>
      <c r="X4188">
        <v>0.98111210000000004</v>
      </c>
      <c r="Y4188">
        <v>-8.2994440000000003E-2</v>
      </c>
      <c r="Z4188">
        <v>-6.1109290000000002E-4</v>
      </c>
      <c r="AA4188">
        <v>0.99654980000000004</v>
      </c>
      <c r="AB4188">
        <v>37</v>
      </c>
      <c r="AC4188">
        <v>-11.0206</v>
      </c>
      <c r="AD4188">
        <v>-1.1191389940509999</v>
      </c>
      <c r="AE4188">
        <v>-1.4551999999999901</v>
      </c>
      <c r="AF4188">
        <v>-0.94785343832128399</v>
      </c>
      <c r="AG4188">
        <v>-1.1191389940509999</v>
      </c>
      <c r="AH4188">
        <v>10.9638239966817</v>
      </c>
      <c r="AI4188">
        <v>95.806803811469507</v>
      </c>
      <c r="AJ4188">
        <v>94.941095753844905</v>
      </c>
      <c r="AK4188">
        <v>11.061479777080301</v>
      </c>
      <c r="AL4188">
        <v>78.868525593689299</v>
      </c>
      <c r="AM4188">
        <v>89.293022508013294</v>
      </c>
      <c r="AN4188">
        <v>1.0000000366097399</v>
      </c>
    </row>
    <row r="4189" spans="1:40" x14ac:dyDescent="0.25">
      <c r="A4189" t="str">
        <f>"20190303162343421"</f>
        <v>20190303162343421</v>
      </c>
      <c r="B4189" t="str">
        <f>"1551601423408665"</f>
        <v>1551601423408665</v>
      </c>
      <c r="C4189" t="s">
        <v>40</v>
      </c>
      <c r="D4189">
        <v>5.7440509999999998</v>
      </c>
      <c r="E4189">
        <v>0.46848400000000001</v>
      </c>
      <c r="F4189" t="s">
        <v>41</v>
      </c>
      <c r="G4189">
        <v>-273.7097</v>
      </c>
      <c r="H4189" s="1">
        <v>-2.760282E-6</v>
      </c>
      <c r="I4189">
        <v>139.91489999999999</v>
      </c>
      <c r="J4189">
        <v>-262.49860000000001</v>
      </c>
      <c r="K4189">
        <v>1.1189009999999999</v>
      </c>
      <c r="L4189">
        <v>141.3141</v>
      </c>
      <c r="M4189">
        <v>-0.99900820000000001</v>
      </c>
      <c r="N4189">
        <v>-1.0998859999999999E-2</v>
      </c>
      <c r="O4189">
        <v>-4.31478E-2</v>
      </c>
      <c r="P4189">
        <v>-0.98274910000000004</v>
      </c>
      <c r="Q4189">
        <v>0.1822307</v>
      </c>
      <c r="R4189">
        <v>-3.1567480000000002E-2</v>
      </c>
      <c r="S4189">
        <v>-3.0957029999999999</v>
      </c>
      <c r="T4189">
        <v>-0.29890670000000003</v>
      </c>
      <c r="U4189">
        <v>-0.37780760000000002</v>
      </c>
      <c r="V4189">
        <v>1.158996E-2</v>
      </c>
      <c r="W4189">
        <v>0.19299179999999999</v>
      </c>
      <c r="X4189">
        <v>0.98113189999999995</v>
      </c>
      <c r="Y4189">
        <v>-7.7955090000000005E-2</v>
      </c>
      <c r="Z4189">
        <v>-5.0711980000000005E-4</v>
      </c>
      <c r="AA4189">
        <v>0.99695679999999998</v>
      </c>
      <c r="AB4189">
        <v>37</v>
      </c>
      <c r="AC4189">
        <v>-11.211099999999901</v>
      </c>
      <c r="AD4189">
        <v>-1.118903760282</v>
      </c>
      <c r="AE4189">
        <v>-1.3992</v>
      </c>
      <c r="AF4189">
        <v>-0.90525457101814399</v>
      </c>
      <c r="AG4189">
        <v>-1.118903760282</v>
      </c>
      <c r="AH4189">
        <v>11.151659418462</v>
      </c>
      <c r="AI4189">
        <v>95.710945900210703</v>
      </c>
      <c r="AJ4189">
        <v>94.640904427928206</v>
      </c>
      <c r="AK4189">
        <v>11.244151335182901</v>
      </c>
      <c r="AL4189">
        <v>78.872565858516793</v>
      </c>
      <c r="AM4189">
        <v>89.323205262079497</v>
      </c>
      <c r="AN4189">
        <v>0.99999998361882503</v>
      </c>
    </row>
    <row r="4190" spans="1:40" x14ac:dyDescent="0.25">
      <c r="A4190" t="str">
        <f>"20190303162343441"</f>
        <v>20190303162343441</v>
      </c>
      <c r="B4190" t="str">
        <f>"1551601423429162"</f>
        <v>1551601423429162</v>
      </c>
      <c r="C4190" t="s">
        <v>40</v>
      </c>
      <c r="D4190">
        <v>5.746245</v>
      </c>
      <c r="E4190">
        <v>0.46945110000000001</v>
      </c>
      <c r="F4190" t="s">
        <v>41</v>
      </c>
      <c r="G4190">
        <v>-274.24829999999997</v>
      </c>
      <c r="H4190" s="1">
        <v>-2.5370049999999999E-6</v>
      </c>
      <c r="I4190">
        <v>139.94390000000001</v>
      </c>
      <c r="J4190">
        <v>-262.85340000000002</v>
      </c>
      <c r="K4190">
        <v>1.118681</v>
      </c>
      <c r="L4190">
        <v>141.3005</v>
      </c>
      <c r="M4190">
        <v>-0.99909349999999997</v>
      </c>
      <c r="N4190">
        <v>-1.10083E-2</v>
      </c>
      <c r="O4190">
        <v>-4.112495E-2</v>
      </c>
      <c r="P4190">
        <v>-0.98265659999999999</v>
      </c>
      <c r="Q4190">
        <v>0.18298310000000001</v>
      </c>
      <c r="R4190">
        <v>-3.005845E-2</v>
      </c>
      <c r="S4190">
        <v>-3.0957340000000002</v>
      </c>
      <c r="T4190">
        <v>-0.29480410000000001</v>
      </c>
      <c r="U4190">
        <v>-0.3609772</v>
      </c>
      <c r="V4190">
        <v>1.121164E-2</v>
      </c>
      <c r="W4190">
        <v>0.1937478</v>
      </c>
      <c r="X4190">
        <v>0.98098730000000001</v>
      </c>
      <c r="Y4190">
        <v>-7.4642769999999997E-2</v>
      </c>
      <c r="Z4190">
        <v>-5.0690749999999997E-4</v>
      </c>
      <c r="AA4190">
        <v>0.99721020000000005</v>
      </c>
      <c r="AB4190">
        <v>37</v>
      </c>
      <c r="AC4190">
        <v>-11.3948999999999</v>
      </c>
      <c r="AD4190">
        <v>-1.1186835370049999</v>
      </c>
      <c r="AE4190">
        <v>-1.35659999999998</v>
      </c>
      <c r="AF4190">
        <v>-0.87846076138502205</v>
      </c>
      <c r="AG4190">
        <v>-1.1186835370049999</v>
      </c>
      <c r="AH4190">
        <v>11.3333465093661</v>
      </c>
      <c r="AI4190">
        <v>95.620498170765799</v>
      </c>
      <c r="AJ4190">
        <v>94.432199951152995</v>
      </c>
      <c r="AK4190">
        <v>11.422254123710401</v>
      </c>
      <c r="AL4190">
        <v>78.828417128262799</v>
      </c>
      <c r="AM4190">
        <v>89.345198774455696</v>
      </c>
      <c r="AN4190">
        <v>0.99999999681880902</v>
      </c>
    </row>
    <row r="4191" spans="1:40" x14ac:dyDescent="0.25">
      <c r="A4191" t="str">
        <f>"20190303162343465"</f>
        <v>20190303162343465</v>
      </c>
      <c r="B4191" t="str">
        <f>"1551601423459418"</f>
        <v>1551601423459418</v>
      </c>
      <c r="C4191" t="s">
        <v>40</v>
      </c>
      <c r="D4191">
        <v>5.6957570000000004</v>
      </c>
      <c r="E4191">
        <v>0.47131610000000002</v>
      </c>
      <c r="F4191" t="s">
        <v>41</v>
      </c>
      <c r="G4191">
        <v>-274.8349</v>
      </c>
      <c r="H4191" s="1">
        <v>-2.286615E-6</v>
      </c>
      <c r="I4191">
        <v>139.94880000000001</v>
      </c>
      <c r="J4191">
        <v>-263.22539999999998</v>
      </c>
      <c r="K4191">
        <v>1.1184430000000001</v>
      </c>
      <c r="L4191">
        <v>141.28729999999999</v>
      </c>
      <c r="M4191">
        <v>-0.99918870000000004</v>
      </c>
      <c r="N4191">
        <v>-1.101854E-2</v>
      </c>
      <c r="O4191">
        <v>-3.8740610000000002E-2</v>
      </c>
      <c r="P4191">
        <v>-0.98270539999999995</v>
      </c>
      <c r="Q4191">
        <v>0.1830735</v>
      </c>
      <c r="R4191">
        <v>-2.7829779999999998E-2</v>
      </c>
      <c r="S4191">
        <v>-3.096069</v>
      </c>
      <c r="T4191">
        <v>-0.2890723</v>
      </c>
      <c r="U4191">
        <v>-0.34927370000000002</v>
      </c>
      <c r="V4191">
        <v>1.120581E-2</v>
      </c>
      <c r="W4191">
        <v>0.1938423</v>
      </c>
      <c r="X4191">
        <v>0.98096870000000003</v>
      </c>
      <c r="Y4191">
        <v>-7.3295029999999997E-2</v>
      </c>
      <c r="Z4191">
        <v>-6.3933499999999999E-4</v>
      </c>
      <c r="AA4191">
        <v>0.99731009999999998</v>
      </c>
      <c r="AB4191">
        <v>37</v>
      </c>
      <c r="AC4191">
        <v>-11.609500000000001</v>
      </c>
      <c r="AD4191">
        <v>-1.1184452866150001</v>
      </c>
      <c r="AE4191">
        <v>-1.33849999999998</v>
      </c>
      <c r="AF4191">
        <v>-0.87965162708456301</v>
      </c>
      <c r="AG4191">
        <v>-1.1184452866150001</v>
      </c>
      <c r="AH4191">
        <v>11.546878532241101</v>
      </c>
      <c r="AI4191">
        <v>95.5165970953705</v>
      </c>
      <c r="AJ4191">
        <v>94.356429636476904</v>
      </c>
      <c r="AK4191">
        <v>11.634221533154401</v>
      </c>
      <c r="AL4191">
        <v>78.822898070244605</v>
      </c>
      <c r="AM4191">
        <v>89.345526830332801</v>
      </c>
      <c r="AN4191">
        <v>0.99999999891336799</v>
      </c>
    </row>
    <row r="4192" spans="1:40" x14ac:dyDescent="0.25">
      <c r="A4192" t="str">
        <f>"20190303162343487"</f>
        <v>20190303162343487</v>
      </c>
      <c r="B4192" t="str">
        <f>"1551601423478938"</f>
        <v>1551601423478938</v>
      </c>
      <c r="C4192" t="s">
        <v>40</v>
      </c>
      <c r="D4192">
        <v>5.4288470000000002</v>
      </c>
      <c r="E4192">
        <v>0.47221639999999998</v>
      </c>
      <c r="F4192" t="s">
        <v>41</v>
      </c>
      <c r="G4192">
        <v>-275.51209999999998</v>
      </c>
      <c r="H4192" s="1">
        <v>-2.006248E-6</v>
      </c>
      <c r="I4192">
        <v>139.98689999999999</v>
      </c>
      <c r="J4192">
        <v>-263.61160000000001</v>
      </c>
      <c r="K4192">
        <v>1.118207</v>
      </c>
      <c r="L4192">
        <v>141.2748</v>
      </c>
      <c r="M4192">
        <v>-0.99929060000000003</v>
      </c>
      <c r="N4192">
        <v>-1.102885E-2</v>
      </c>
      <c r="O4192">
        <v>-3.6012679999999998E-2</v>
      </c>
      <c r="P4192">
        <v>-0.9828462</v>
      </c>
      <c r="Q4192">
        <v>0.18251790000000001</v>
      </c>
      <c r="R4192">
        <v>-2.647186E-2</v>
      </c>
      <c r="S4192">
        <v>-3.0960390000000002</v>
      </c>
      <c r="T4192">
        <v>-0.28183019999999998</v>
      </c>
      <c r="U4192">
        <v>-0.32766719999999999</v>
      </c>
      <c r="V4192">
        <v>9.9895690000000002E-3</v>
      </c>
      <c r="W4192">
        <v>0.19329869999999999</v>
      </c>
      <c r="X4192">
        <v>0.98108910000000005</v>
      </c>
      <c r="Y4192">
        <v>-6.9159780000000004E-2</v>
      </c>
      <c r="Z4192">
        <v>-6.5122819999999997E-4</v>
      </c>
      <c r="AA4192">
        <v>0.99760539999999998</v>
      </c>
      <c r="AB4192">
        <v>37</v>
      </c>
      <c r="AC4192">
        <v>-11.9004999999999</v>
      </c>
      <c r="AD4192">
        <v>-1.1182090062479999</v>
      </c>
      <c r="AE4192">
        <v>-1.2879</v>
      </c>
      <c r="AF4192">
        <v>-0.85104262872221903</v>
      </c>
      <c r="AG4192">
        <v>-1.1182090062479999</v>
      </c>
      <c r="AH4192">
        <v>11.8358729952585</v>
      </c>
      <c r="AI4192">
        <v>95.383255124312598</v>
      </c>
      <c r="AJ4192">
        <v>94.112698455952795</v>
      </c>
      <c r="AK4192">
        <v>11.918999727218999</v>
      </c>
      <c r="AL4192">
        <v>78.854644514882693</v>
      </c>
      <c r="AM4192">
        <v>89.416627537543704</v>
      </c>
      <c r="AN4192">
        <v>1.0000000005246501</v>
      </c>
    </row>
    <row r="4193" spans="1:40" x14ac:dyDescent="0.25">
      <c r="A4193" t="str">
        <f>"20190303162343508"</f>
        <v>20190303162343508</v>
      </c>
      <c r="B4193" t="str">
        <f>"1551601423499434"</f>
        <v>1551601423499434</v>
      </c>
      <c r="C4193" t="s">
        <v>40</v>
      </c>
      <c r="D4193">
        <v>5.7610609999999998</v>
      </c>
      <c r="E4193">
        <v>0.47291909999999998</v>
      </c>
      <c r="F4193" t="s">
        <v>41</v>
      </c>
      <c r="G4193">
        <v>-275.87959999999998</v>
      </c>
      <c r="H4193" s="1">
        <v>-1.8589530000000001E-6</v>
      </c>
      <c r="I4193">
        <v>140.0258</v>
      </c>
      <c r="J4193">
        <v>-263.96409999999997</v>
      </c>
      <c r="K4193">
        <v>1.1180209999999999</v>
      </c>
      <c r="L4193">
        <v>141.2645</v>
      </c>
      <c r="M4193">
        <v>-0.99938260000000001</v>
      </c>
      <c r="N4193">
        <v>-1.1037480000000001E-2</v>
      </c>
      <c r="O4193">
        <v>-3.3358699999999998E-2</v>
      </c>
      <c r="P4193">
        <v>-0.9828443</v>
      </c>
      <c r="Q4193">
        <v>0.18250640000000001</v>
      </c>
      <c r="R4193">
        <v>-2.6621269999999999E-2</v>
      </c>
      <c r="S4193">
        <v>-3.0962519999999998</v>
      </c>
      <c r="T4193">
        <v>-0.28222009999999997</v>
      </c>
      <c r="U4193">
        <v>-0.315216099999999</v>
      </c>
      <c r="V4193">
        <v>7.3163669999999998E-3</v>
      </c>
      <c r="W4193">
        <v>0.1933076</v>
      </c>
      <c r="X4193">
        <v>0.98111090000000001</v>
      </c>
      <c r="Y4193">
        <v>-6.7829990000000007E-2</v>
      </c>
      <c r="Z4193">
        <v>-7.9514679999999902E-4</v>
      </c>
      <c r="AA4193">
        <v>0.99769660000000004</v>
      </c>
      <c r="AB4193">
        <v>37</v>
      </c>
      <c r="AC4193">
        <v>-11.9155</v>
      </c>
      <c r="AD4193">
        <v>-1.1180228589529999</v>
      </c>
      <c r="AE4193">
        <v>-1.2386999999999899</v>
      </c>
      <c r="AF4193">
        <v>-0.83324335823248297</v>
      </c>
      <c r="AG4193">
        <v>-1.1180228589529999</v>
      </c>
      <c r="AH4193">
        <v>11.847006336542</v>
      </c>
      <c r="AI4193">
        <v>95.377929697523697</v>
      </c>
      <c r="AJ4193">
        <v>94.023196794324704</v>
      </c>
      <c r="AK4193">
        <v>11.9287815281045</v>
      </c>
      <c r="AL4193">
        <v>78.854124522908194</v>
      </c>
      <c r="AM4193">
        <v>89.572740268016005</v>
      </c>
      <c r="AN4193">
        <v>0.99999997777132399</v>
      </c>
    </row>
    <row r="4194" spans="1:40" x14ac:dyDescent="0.25">
      <c r="A4194" t="str">
        <f>"20190303162343529"</f>
        <v>20190303162343529</v>
      </c>
      <c r="B4194" t="str">
        <f>"1551601423518954"</f>
        <v>1551601423518954</v>
      </c>
      <c r="C4194" t="s">
        <v>40</v>
      </c>
      <c r="D4194">
        <v>5.6942180000000002</v>
      </c>
      <c r="E4194">
        <v>0.47346830000000001</v>
      </c>
      <c r="F4194" t="s">
        <v>41</v>
      </c>
      <c r="G4194">
        <v>-276.26639999999998</v>
      </c>
      <c r="H4194" s="1">
        <v>-1.6981549999999999E-6</v>
      </c>
      <c r="I4194">
        <v>140.04509999999999</v>
      </c>
      <c r="J4194">
        <v>-264.32960000000003</v>
      </c>
      <c r="K4194">
        <v>1.1178539999999999</v>
      </c>
      <c r="L4194">
        <v>141.25479999999999</v>
      </c>
      <c r="M4194">
        <v>-0.99947490000000005</v>
      </c>
      <c r="N4194">
        <v>-1.1045060000000001E-2</v>
      </c>
      <c r="O4194">
        <v>-3.046186E-2</v>
      </c>
      <c r="P4194">
        <v>-0.98262669999999996</v>
      </c>
      <c r="Q4194">
        <v>0.18362049999999999</v>
      </c>
      <c r="R4194">
        <v>-2.6988870000000002E-2</v>
      </c>
      <c r="S4194">
        <v>-3.0963129999999999</v>
      </c>
      <c r="T4194">
        <v>-0.28138999999999997</v>
      </c>
      <c r="U4194">
        <v>-0.30686950000000002</v>
      </c>
      <c r="V4194">
        <v>4.1781570000000001E-3</v>
      </c>
      <c r="W4194">
        <v>0.19444429999999999</v>
      </c>
      <c r="X4194">
        <v>0.98090460000000002</v>
      </c>
      <c r="Y4194">
        <v>-6.8048029999999995E-2</v>
      </c>
      <c r="Z4194">
        <v>-1.036422E-3</v>
      </c>
      <c r="AA4194">
        <v>0.9976815</v>
      </c>
      <c r="AB4194">
        <v>37</v>
      </c>
      <c r="AC4194">
        <v>-11.9367999999999</v>
      </c>
      <c r="AD4194">
        <v>-1.1178556981550001</v>
      </c>
      <c r="AE4194">
        <v>-1.20969999999999</v>
      </c>
      <c r="AF4194">
        <v>-0.83822281576909097</v>
      </c>
      <c r="AG4194">
        <v>-1.1178556981550001</v>
      </c>
      <c r="AH4194">
        <v>11.865113484460901</v>
      </c>
      <c r="AI4194">
        <v>95.368855439874395</v>
      </c>
      <c r="AJ4194">
        <v>94.041003913180404</v>
      </c>
      <c r="AK4194">
        <v>11.9470974236385</v>
      </c>
      <c r="AL4194">
        <v>78.787736321513506</v>
      </c>
      <c r="AM4194">
        <v>89.755950461971096</v>
      </c>
      <c r="AN4194">
        <v>0.99999993854978098</v>
      </c>
    </row>
    <row r="4195" spans="1:40" x14ac:dyDescent="0.25">
      <c r="A4195" t="str">
        <f>"20190303162343553"</f>
        <v>20190303162343553</v>
      </c>
      <c r="B4195" t="str">
        <f>"1551601423539450"</f>
        <v>1551601423539450</v>
      </c>
      <c r="C4195" t="s">
        <v>40</v>
      </c>
      <c r="D4195">
        <v>5.6473909999999998</v>
      </c>
      <c r="E4195">
        <v>0.47369699999999998</v>
      </c>
      <c r="F4195" t="s">
        <v>41</v>
      </c>
      <c r="G4195">
        <v>-276.8492</v>
      </c>
      <c r="H4195" s="1">
        <v>-1.445855E-6</v>
      </c>
      <c r="I4195">
        <v>140.03649999999999</v>
      </c>
      <c r="J4195">
        <v>-264.7174</v>
      </c>
      <c r="K4195">
        <v>1.1176889999999999</v>
      </c>
      <c r="L4195">
        <v>141.2458</v>
      </c>
      <c r="M4195">
        <v>-0.99956730000000005</v>
      </c>
      <c r="N4195">
        <v>-1.1051989999999999E-2</v>
      </c>
      <c r="O4195">
        <v>-2.7259749999999999E-2</v>
      </c>
      <c r="P4195">
        <v>-0.98236279999999998</v>
      </c>
      <c r="Q4195">
        <v>0.1851196</v>
      </c>
      <c r="R4195">
        <v>-2.6349239999999999E-2</v>
      </c>
      <c r="S4195">
        <v>-3.0964360000000002</v>
      </c>
      <c r="T4195">
        <v>-0.27647569999999999</v>
      </c>
      <c r="U4195">
        <v>-0.30128480000000002</v>
      </c>
      <c r="V4195">
        <v>1.743936E-3</v>
      </c>
      <c r="W4195">
        <v>0.19596230000000001</v>
      </c>
      <c r="X4195">
        <v>0.98060990000000003</v>
      </c>
      <c r="Y4195">
        <v>-6.944852E-2</v>
      </c>
      <c r="Z4195">
        <v>-1.3503580000000001E-3</v>
      </c>
      <c r="AA4195">
        <v>0.99758460000000004</v>
      </c>
      <c r="AB4195">
        <v>37</v>
      </c>
      <c r="AC4195">
        <v>-12.131799999999901</v>
      </c>
      <c r="AD4195">
        <v>-1.1176904458550001</v>
      </c>
      <c r="AE4195">
        <v>-1.20930000000001</v>
      </c>
      <c r="AF4195">
        <v>-0.87080208631732003</v>
      </c>
      <c r="AG4195">
        <v>-1.1176904458550001</v>
      </c>
      <c r="AH4195">
        <v>12.058912259152899</v>
      </c>
      <c r="AI4195">
        <v>95.281703537099006</v>
      </c>
      <c r="AJ4195">
        <v>94.1302920832252</v>
      </c>
      <c r="AK4195">
        <v>12.141865304813701</v>
      </c>
      <c r="AL4195">
        <v>78.699056273608306</v>
      </c>
      <c r="AM4195">
        <v>89.898104162318305</v>
      </c>
      <c r="AN4195">
        <v>1.00000002015603</v>
      </c>
    </row>
    <row r="4196" spans="1:40" x14ac:dyDescent="0.25">
      <c r="A4196" t="str">
        <f>"20190303162343575"</f>
        <v>20190303162343575</v>
      </c>
      <c r="B4196" t="str">
        <f>"1551601423568731"</f>
        <v>1551601423568731</v>
      </c>
      <c r="C4196" t="s">
        <v>40</v>
      </c>
      <c r="D4196">
        <v>5.5774589999999904</v>
      </c>
      <c r="E4196">
        <v>0.4740374</v>
      </c>
      <c r="F4196" t="s">
        <v>41</v>
      </c>
      <c r="G4196">
        <v>-277.43520000000001</v>
      </c>
      <c r="H4196" s="1">
        <v>-1.1912440000000001E-6</v>
      </c>
      <c r="I4196">
        <v>140.02440000000001</v>
      </c>
      <c r="J4196">
        <v>-265.10509999999999</v>
      </c>
      <c r="K4196">
        <v>1.1175459999999999</v>
      </c>
      <c r="L4196">
        <v>141.2381</v>
      </c>
      <c r="M4196">
        <v>-0.99965170000000003</v>
      </c>
      <c r="N4196">
        <v>-1.1058200000000001E-2</v>
      </c>
      <c r="O4196">
        <v>-2.3964820000000001E-2</v>
      </c>
      <c r="P4196">
        <v>-0.9824039</v>
      </c>
      <c r="Q4196">
        <v>0.18516640000000001</v>
      </c>
      <c r="R4196">
        <v>-2.4414140000000001E-2</v>
      </c>
      <c r="S4196">
        <v>-3.0971679999999999</v>
      </c>
      <c r="T4196">
        <v>-0.27219310000000002</v>
      </c>
      <c r="U4196">
        <v>-0.29743960000000003</v>
      </c>
      <c r="V4196">
        <v>5.0261130000000002E-4</v>
      </c>
      <c r="W4196">
        <v>0.19602320000000001</v>
      </c>
      <c r="X4196">
        <v>0.9805992</v>
      </c>
      <c r="Y4196">
        <v>-7.1474499999999996E-2</v>
      </c>
      <c r="Z4196">
        <v>-1.692039E-3</v>
      </c>
      <c r="AA4196">
        <v>0.99744100000000002</v>
      </c>
      <c r="AB4196">
        <v>37</v>
      </c>
      <c r="AC4196">
        <v>-12.3301</v>
      </c>
      <c r="AD4196">
        <v>-1.117547191244</v>
      </c>
      <c r="AE4196">
        <v>-1.21369999999998</v>
      </c>
      <c r="AF4196">
        <v>-0.91043739111914601</v>
      </c>
      <c r="AG4196">
        <v>-1.117547191244</v>
      </c>
      <c r="AH4196">
        <v>12.255932036479599</v>
      </c>
      <c r="AI4196">
        <v>95.195823411718706</v>
      </c>
      <c r="AJ4196">
        <v>94.248439305515504</v>
      </c>
      <c r="AK4196">
        <v>12.340408342134101</v>
      </c>
      <c r="AL4196">
        <v>78.695498511067299</v>
      </c>
      <c r="AM4196">
        <v>89.970632748115804</v>
      </c>
      <c r="AN4196">
        <v>1.0000000692984901</v>
      </c>
    </row>
    <row r="4197" spans="1:40" x14ac:dyDescent="0.25">
      <c r="A4197" t="str">
        <f>"20190303162343598"</f>
        <v>20190303162343598</v>
      </c>
      <c r="B4197" t="str">
        <f>"1551601423589226"</f>
        <v>1551601423589226</v>
      </c>
      <c r="C4197" t="s">
        <v>40</v>
      </c>
      <c r="D4197">
        <v>5.6345330000000002</v>
      </c>
      <c r="E4197">
        <v>0.47417290000000001</v>
      </c>
      <c r="F4197" t="s">
        <v>41</v>
      </c>
      <c r="G4197">
        <v>-277.92489999999998</v>
      </c>
      <c r="H4197" s="1">
        <v>-9.8477789999999996E-7</v>
      </c>
      <c r="I4197">
        <v>140.03790000000001</v>
      </c>
      <c r="J4197">
        <v>-265.48739999999998</v>
      </c>
      <c r="K4197">
        <v>1.1174299999999999</v>
      </c>
      <c r="L4197">
        <v>141.23179999999999</v>
      </c>
      <c r="M4197">
        <v>-0.99972530000000004</v>
      </c>
      <c r="N4197">
        <v>-1.106384E-2</v>
      </c>
      <c r="O4197">
        <v>-2.0657169999999999E-2</v>
      </c>
      <c r="P4197">
        <v>-0.98284439999999995</v>
      </c>
      <c r="Q4197">
        <v>0.18318599999999999</v>
      </c>
      <c r="R4197">
        <v>-2.144306E-2</v>
      </c>
      <c r="S4197">
        <v>-3.0974119999999998</v>
      </c>
      <c r="T4197">
        <v>-0.270014799999999</v>
      </c>
      <c r="U4197">
        <v>-0.28996280000000002</v>
      </c>
      <c r="V4197">
        <v>2.680359E-4</v>
      </c>
      <c r="W4197">
        <v>0.19405420000000001</v>
      </c>
      <c r="X4197">
        <v>0.98099080000000005</v>
      </c>
      <c r="Y4197">
        <v>-7.2370889999999993E-2</v>
      </c>
      <c r="Z4197">
        <v>-1.9785340000000001E-3</v>
      </c>
      <c r="AA4197">
        <v>0.99737580000000003</v>
      </c>
      <c r="AB4197">
        <v>37</v>
      </c>
      <c r="AC4197">
        <v>-12.4375</v>
      </c>
      <c r="AD4197">
        <v>-1.11743098477789</v>
      </c>
      <c r="AE4197">
        <v>-1.19389999999998</v>
      </c>
      <c r="AF4197">
        <v>-0.92927340225252397</v>
      </c>
      <c r="AG4197">
        <v>-1.11743098477789</v>
      </c>
      <c r="AH4197">
        <v>12.360647026655499</v>
      </c>
      <c r="AI4197">
        <v>95.151170673247705</v>
      </c>
      <c r="AJ4197">
        <v>94.299408553908194</v>
      </c>
      <c r="AK4197">
        <v>12.445794308899901</v>
      </c>
      <c r="AL4197">
        <v>78.810522415290393</v>
      </c>
      <c r="AM4197">
        <v>89.984345087185403</v>
      </c>
      <c r="AN4197">
        <v>1.00000002703276</v>
      </c>
    </row>
    <row r="4198" spans="1:40" x14ac:dyDescent="0.25">
      <c r="A4198" t="str">
        <f>"20190303162343622"</f>
        <v>20190303162343622</v>
      </c>
      <c r="B4198" t="str">
        <f>"1551601423608746"</f>
        <v>1551601423608746</v>
      </c>
      <c r="C4198" t="s">
        <v>40</v>
      </c>
      <c r="D4198">
        <v>5.6950940000000001</v>
      </c>
      <c r="E4198">
        <v>0.4742596</v>
      </c>
      <c r="F4198" t="s">
        <v>41</v>
      </c>
      <c r="G4198">
        <v>-278.01799999999997</v>
      </c>
      <c r="H4198" s="1">
        <v>-9.6314139999999998E-7</v>
      </c>
      <c r="I4198">
        <v>140.10679999999999</v>
      </c>
      <c r="J4198">
        <v>-265.87490000000003</v>
      </c>
      <c r="K4198">
        <v>1.1173409999999999</v>
      </c>
      <c r="L4198">
        <v>141.22669999999999</v>
      </c>
      <c r="M4198">
        <v>-0.9997897</v>
      </c>
      <c r="N4198">
        <v>-1.1068969999999999E-2</v>
      </c>
      <c r="O4198">
        <v>-1.726927E-2</v>
      </c>
      <c r="P4198">
        <v>-0.98303010000000002</v>
      </c>
      <c r="Q4198">
        <v>0.18254339999999999</v>
      </c>
      <c r="R4198">
        <v>-1.8167719999999998E-2</v>
      </c>
      <c r="S4198">
        <v>-3.0977779999999999</v>
      </c>
      <c r="T4198">
        <v>-0.27624890000000002</v>
      </c>
      <c r="U4198">
        <v>-0.27809139999999999</v>
      </c>
      <c r="V4198">
        <v>2.5229030000000001E-4</v>
      </c>
      <c r="W4198">
        <v>0.19341849999999999</v>
      </c>
      <c r="X4198">
        <v>0.98111630000000005</v>
      </c>
      <c r="Y4198">
        <v>-7.1930750000000002E-2</v>
      </c>
      <c r="Z4198">
        <v>-2.2512669999999999E-3</v>
      </c>
      <c r="AA4198">
        <v>0.99740709999999999</v>
      </c>
      <c r="AB4198">
        <v>38</v>
      </c>
      <c r="AC4198">
        <v>-12.143099999999899</v>
      </c>
      <c r="AD4198">
        <v>-1.1173419631414001</v>
      </c>
      <c r="AE4198">
        <v>-1.1198999999999999</v>
      </c>
      <c r="AF4198">
        <v>-0.90244143260640297</v>
      </c>
      <c r="AG4198">
        <v>-1.1173419631414001</v>
      </c>
      <c r="AH4198">
        <v>12.059388125323499</v>
      </c>
      <c r="AI4198">
        <v>95.278852824511901</v>
      </c>
      <c r="AJ4198">
        <v>94.279644199822997</v>
      </c>
      <c r="AK4198">
        <v>12.1446159082564</v>
      </c>
      <c r="AL4198">
        <v>78.847648298635093</v>
      </c>
      <c r="AM4198">
        <v>89.985266609999698</v>
      </c>
      <c r="AN4198">
        <v>0.99999998695916703</v>
      </c>
    </row>
    <row r="4199" spans="1:40" x14ac:dyDescent="0.25">
      <c r="A4199" t="str">
        <f>"20190303162343642"</f>
        <v>20190303162343642</v>
      </c>
      <c r="B4199" t="str">
        <f>"1551601423629242"</f>
        <v>1551601423629242</v>
      </c>
      <c r="C4199" t="s">
        <v>40</v>
      </c>
      <c r="D4199">
        <v>5.6286199999999997</v>
      </c>
      <c r="E4199">
        <v>0.47443289999999999</v>
      </c>
      <c r="F4199" t="s">
        <v>41</v>
      </c>
      <c r="G4199">
        <v>-278.26859999999999</v>
      </c>
      <c r="H4199" s="1">
        <v>-8.7244589999999996E-7</v>
      </c>
      <c r="I4199">
        <v>140.16999999999999</v>
      </c>
      <c r="J4199">
        <v>-266.22250000000003</v>
      </c>
      <c r="K4199">
        <v>1.117281</v>
      </c>
      <c r="L4199">
        <v>141.22329999999999</v>
      </c>
      <c r="M4199">
        <v>-0.9998378</v>
      </c>
      <c r="N4199">
        <v>-1.107319E-2</v>
      </c>
      <c r="O4199">
        <v>-1.421444E-2</v>
      </c>
      <c r="P4199">
        <v>-0.98295679999999996</v>
      </c>
      <c r="Q4199">
        <v>0.18316950000000001</v>
      </c>
      <c r="R4199">
        <v>-1.5668270000000002E-2</v>
      </c>
      <c r="S4199">
        <v>-3.0987849999999999</v>
      </c>
      <c r="T4199">
        <v>-0.2793696</v>
      </c>
      <c r="U4199">
        <v>-0.2641907</v>
      </c>
      <c r="V4199">
        <v>-2.1827850000000001E-4</v>
      </c>
      <c r="W4199">
        <v>0.19405140000000001</v>
      </c>
      <c r="X4199">
        <v>0.98099139999999996</v>
      </c>
      <c r="Y4199">
        <v>-7.0500549999999995E-2</v>
      </c>
      <c r="Z4199">
        <v>-2.4382599999999998E-3</v>
      </c>
      <c r="AA4199">
        <v>0.99750879999999997</v>
      </c>
      <c r="AB4199">
        <v>38</v>
      </c>
      <c r="AC4199">
        <v>-12.0460999999999</v>
      </c>
      <c r="AD4199">
        <v>-1.1172818724458999</v>
      </c>
      <c r="AE4199">
        <v>-1.0532999999999999</v>
      </c>
      <c r="AF4199">
        <v>-0.87448868765621901</v>
      </c>
      <c r="AG4199">
        <v>-1.1172818724458999</v>
      </c>
      <c r="AH4199">
        <v>11.957767772333799</v>
      </c>
      <c r="AI4199">
        <v>95.323835354404196</v>
      </c>
      <c r="AJ4199">
        <v>94.182676435774695</v>
      </c>
      <c r="AK4199">
        <v>12.041646870108799</v>
      </c>
      <c r="AL4199">
        <v>78.810686327817194</v>
      </c>
      <c r="AM4199">
        <v>90.012748772927097</v>
      </c>
      <c r="AN4199">
        <v>1.00000006018071</v>
      </c>
    </row>
    <row r="4200" spans="1:40" x14ac:dyDescent="0.25">
      <c r="A4200" t="str">
        <f>"20190303162343666"</f>
        <v>20190303162343666</v>
      </c>
      <c r="B4200" t="str">
        <f>"1551601423659498"</f>
        <v>1551601423659498</v>
      </c>
      <c r="C4200" t="s">
        <v>40</v>
      </c>
      <c r="D4200">
        <v>5.6332760000000004</v>
      </c>
      <c r="E4200">
        <v>0.47446579999999999</v>
      </c>
      <c r="F4200" t="s">
        <v>41</v>
      </c>
      <c r="G4200">
        <v>-278.6816</v>
      </c>
      <c r="H4200" s="1">
        <v>-7.0468119999999999E-7</v>
      </c>
      <c r="I4200">
        <v>140.20529999999999</v>
      </c>
      <c r="J4200">
        <v>-266.61900000000003</v>
      </c>
      <c r="K4200">
        <v>1.1172329999999999</v>
      </c>
      <c r="L4200">
        <v>141.2208</v>
      </c>
      <c r="M4200">
        <v>-0.99988109999999997</v>
      </c>
      <c r="N4200">
        <v>-1.1077679999999999E-2</v>
      </c>
      <c r="O4200">
        <v>-1.073386E-2</v>
      </c>
      <c r="P4200">
        <v>-0.98285540000000005</v>
      </c>
      <c r="Q4200">
        <v>0.1839479</v>
      </c>
      <c r="R4200">
        <v>-1.260241E-2</v>
      </c>
      <c r="S4200">
        <v>-3.0997919999999999</v>
      </c>
      <c r="T4200">
        <v>-0.27797899999999998</v>
      </c>
      <c r="U4200">
        <v>-0.25325009999999998</v>
      </c>
      <c r="V4200">
        <v>-5.4563349999999997E-4</v>
      </c>
      <c r="W4200">
        <v>0.19483529999999999</v>
      </c>
      <c r="X4200">
        <v>0.98083580000000004</v>
      </c>
      <c r="Y4200">
        <v>-7.0441299999999998E-2</v>
      </c>
      <c r="Z4200">
        <v>-2.698209E-3</v>
      </c>
      <c r="AA4200">
        <v>0.99751230000000002</v>
      </c>
      <c r="AB4200">
        <v>38</v>
      </c>
      <c r="AC4200">
        <v>-12.0625999999999</v>
      </c>
      <c r="AD4200">
        <v>-1.1172337046812</v>
      </c>
      <c r="AE4200">
        <v>-1.0155000000000001</v>
      </c>
      <c r="AF4200">
        <v>-0.87847244132497804</v>
      </c>
      <c r="AG4200">
        <v>-1.1172337046812</v>
      </c>
      <c r="AH4200">
        <v>11.970837954255201</v>
      </c>
      <c r="AI4200">
        <v>95.317730543939504</v>
      </c>
      <c r="AJ4200">
        <v>94.197091510559105</v>
      </c>
      <c r="AK4200">
        <v>12.0549112940776</v>
      </c>
      <c r="AL4200">
        <v>78.764897323252896</v>
      </c>
      <c r="AM4200">
        <v>90.031873320168401</v>
      </c>
      <c r="AN4200">
        <v>0.99999997920182304</v>
      </c>
    </row>
    <row r="4201" spans="1:40" x14ac:dyDescent="0.25">
      <c r="A4201" t="str">
        <f>"20190303162343688"</f>
        <v>20190303162343688</v>
      </c>
      <c r="B4201" t="str">
        <f>"1551601423679018"</f>
        <v>1551601423679018</v>
      </c>
      <c r="C4201" t="s">
        <v>40</v>
      </c>
      <c r="D4201">
        <v>5.5737829999999997</v>
      </c>
      <c r="E4201">
        <v>0.47442380000000001</v>
      </c>
      <c r="F4201" t="s">
        <v>41</v>
      </c>
      <c r="G4201">
        <v>-279.18819999999999</v>
      </c>
      <c r="H4201" s="1">
        <v>-4.9680419999999898E-7</v>
      </c>
      <c r="I4201">
        <v>140.24090000000001</v>
      </c>
      <c r="J4201">
        <v>-266.99599999999998</v>
      </c>
      <c r="K4201">
        <v>1.117208</v>
      </c>
      <c r="L4201">
        <v>141.21960000000001</v>
      </c>
      <c r="M4201">
        <v>-0.99991090000000005</v>
      </c>
      <c r="N4201">
        <v>-1.1081509999999999E-2</v>
      </c>
      <c r="O4201">
        <v>-7.4467179999999997E-3</v>
      </c>
      <c r="P4201">
        <v>-0.98282159999999996</v>
      </c>
      <c r="Q4201">
        <v>0.18424019999999999</v>
      </c>
      <c r="R4201">
        <v>-1.082995E-2</v>
      </c>
      <c r="S4201">
        <v>-3.1008300000000002</v>
      </c>
      <c r="T4201">
        <v>-0.27562309999999901</v>
      </c>
      <c r="U4201">
        <v>-0.2417145</v>
      </c>
      <c r="V4201">
        <v>-1.9883600000000002E-3</v>
      </c>
      <c r="W4201">
        <v>0.19514210000000001</v>
      </c>
      <c r="X4201">
        <v>0.98077300000000001</v>
      </c>
      <c r="Y4201">
        <v>-7.0002529999999993E-2</v>
      </c>
      <c r="Z4201">
        <v>-2.912375E-3</v>
      </c>
      <c r="AA4201">
        <v>0.99754259999999995</v>
      </c>
      <c r="AB4201">
        <v>38</v>
      </c>
      <c r="AC4201">
        <v>-12.1922</v>
      </c>
      <c r="AD4201">
        <v>-1.1172084968042</v>
      </c>
      <c r="AE4201">
        <v>-0.97870000000000301</v>
      </c>
      <c r="AF4201">
        <v>-0.880529282301172</v>
      </c>
      <c r="AG4201">
        <v>-1.1172084968042</v>
      </c>
      <c r="AH4201">
        <v>12.098216756235701</v>
      </c>
      <c r="AI4201">
        <v>95.262168743169099</v>
      </c>
      <c r="AJ4201">
        <v>94.162746681588402</v>
      </c>
      <c r="AK4201">
        <v>12.1815571797363</v>
      </c>
      <c r="AL4201">
        <v>78.746975604556496</v>
      </c>
      <c r="AM4201">
        <v>90.116157846996401</v>
      </c>
      <c r="AN4201">
        <v>1.0000000351484399</v>
      </c>
    </row>
    <row r="4202" spans="1:40" x14ac:dyDescent="0.25">
      <c r="A4202" t="str">
        <f>"20190303162343708"</f>
        <v>20190303162343708</v>
      </c>
      <c r="B4202" t="str">
        <f>"1551601423699019"</f>
        <v>1551601423699019</v>
      </c>
      <c r="C4202" t="s">
        <v>40</v>
      </c>
      <c r="D4202">
        <v>5.6403720000000002</v>
      </c>
      <c r="E4202">
        <v>0.47441990000000001</v>
      </c>
      <c r="F4202" t="s">
        <v>41</v>
      </c>
      <c r="G4202">
        <v>-279.59589999999997</v>
      </c>
      <c r="H4202" s="1">
        <v>-3.282905E-7</v>
      </c>
      <c r="I4202">
        <v>140.26480000000001</v>
      </c>
      <c r="J4202">
        <v>-267.346</v>
      </c>
      <c r="K4202">
        <v>1.117208</v>
      </c>
      <c r="L4202">
        <v>141.21960000000001</v>
      </c>
      <c r="M4202">
        <v>-0.99992879999999995</v>
      </c>
      <c r="N4202">
        <v>-1.1084719999999999E-2</v>
      </c>
      <c r="O4202">
        <v>-4.4216610000000003E-3</v>
      </c>
      <c r="P4202">
        <v>-0.98242879999999999</v>
      </c>
      <c r="Q4202">
        <v>0.18630550000000001</v>
      </c>
      <c r="R4202">
        <v>-1.1139639999999999E-2</v>
      </c>
      <c r="S4202">
        <v>-3.1013790000000001</v>
      </c>
      <c r="T4202">
        <v>-0.27499440000000003</v>
      </c>
      <c r="U4202">
        <v>-0.2350006</v>
      </c>
      <c r="V4202">
        <v>-5.2499670000000003E-3</v>
      </c>
      <c r="W4202">
        <v>0.19723170000000001</v>
      </c>
      <c r="X4202">
        <v>0.98034290000000002</v>
      </c>
      <c r="Y4202">
        <v>-7.0848309999999998E-2</v>
      </c>
      <c r="Z4202">
        <v>-3.1826379999999998E-3</v>
      </c>
      <c r="AA4202">
        <v>0.99748199999999998</v>
      </c>
      <c r="AB4202">
        <v>38</v>
      </c>
      <c r="AC4202">
        <v>-12.249899999999901</v>
      </c>
      <c r="AD4202">
        <v>-1.1172083282905001</v>
      </c>
      <c r="AE4202">
        <v>-0.95480000000000598</v>
      </c>
      <c r="AF4202">
        <v>-0.89323761464243001</v>
      </c>
      <c r="AG4202">
        <v>-1.1172083282905001</v>
      </c>
      <c r="AH4202">
        <v>12.153523366006301</v>
      </c>
      <c r="AI4202">
        <v>95.238084367325797</v>
      </c>
      <c r="AJ4202">
        <v>94.203463541799394</v>
      </c>
      <c r="AK4202">
        <v>12.2374081444183</v>
      </c>
      <c r="AL4202">
        <v>78.624877745048195</v>
      </c>
      <c r="AM4202">
        <v>90.306829453470897</v>
      </c>
      <c r="AN4202">
        <v>1.00000005360939</v>
      </c>
    </row>
    <row r="4203" spans="1:40" x14ac:dyDescent="0.25">
      <c r="A4203" t="str">
        <f>"20190303162343732"</f>
        <v>20190303162343732</v>
      </c>
      <c r="B4203" t="str">
        <f>"1551601423719515"</f>
        <v>1551601423719515</v>
      </c>
      <c r="C4203" t="s">
        <v>40</v>
      </c>
      <c r="D4203">
        <v>5.7124639999999998</v>
      </c>
      <c r="E4203">
        <v>0.47450999999999999</v>
      </c>
      <c r="F4203" t="s">
        <v>55</v>
      </c>
      <c r="G4203">
        <v>-280.2944</v>
      </c>
      <c r="H4203" s="1">
        <v>-3.9508850000000004E-6</v>
      </c>
      <c r="I4203">
        <v>140.24299999999999</v>
      </c>
      <c r="J4203">
        <v>-267.7303</v>
      </c>
      <c r="K4203">
        <v>1.1172340000000001</v>
      </c>
      <c r="L4203">
        <v>141.2208</v>
      </c>
      <c r="M4203">
        <v>-0.99993790000000005</v>
      </c>
      <c r="N4203">
        <v>-1.108784E-2</v>
      </c>
      <c r="O4203">
        <v>-1.16281E-3</v>
      </c>
      <c r="P4203">
        <v>-0.98160060000000005</v>
      </c>
      <c r="Q4203">
        <v>0.190613</v>
      </c>
      <c r="R4203">
        <v>-1.1270290000000001E-2</v>
      </c>
      <c r="S4203">
        <v>-3.1017459999999999</v>
      </c>
      <c r="T4203">
        <v>-0.26762520000000001</v>
      </c>
      <c r="U4203">
        <v>-0.23394780000000001</v>
      </c>
      <c r="V4203">
        <v>-8.5546900000000002E-3</v>
      </c>
      <c r="W4203">
        <v>0.20155809999999999</v>
      </c>
      <c r="X4203">
        <v>0.97943919999999995</v>
      </c>
      <c r="Y4203">
        <v>-7.3746790000000007E-2</v>
      </c>
      <c r="Z4203">
        <v>-3.4942810000000001E-3</v>
      </c>
      <c r="AA4203">
        <v>0.99727089999999996</v>
      </c>
      <c r="AB4203">
        <v>38</v>
      </c>
      <c r="AC4203">
        <v>-12.5640999999999</v>
      </c>
      <c r="AD4203">
        <v>-1.1172379508849899</v>
      </c>
      <c r="AE4203">
        <v>-0.977800000000002</v>
      </c>
      <c r="AF4203">
        <v>-0.955677439638554</v>
      </c>
      <c r="AG4203">
        <v>-1.1172379508849899</v>
      </c>
      <c r="AH4203">
        <v>12.467239770709799</v>
      </c>
      <c r="AI4203">
        <v>95.105919822378198</v>
      </c>
      <c r="AJ4203">
        <v>94.383441085567497</v>
      </c>
      <c r="AK4203">
        <v>12.553629256430201</v>
      </c>
      <c r="AL4203">
        <v>78.3719126987897</v>
      </c>
      <c r="AM4203">
        <v>90.500424292351695</v>
      </c>
      <c r="AN4203">
        <v>0.99999999844662202</v>
      </c>
    </row>
    <row r="4204" spans="1:40" x14ac:dyDescent="0.25">
      <c r="A4204" t="str">
        <f>"20190303162343755"</f>
        <v>20190303162343755</v>
      </c>
      <c r="B4204" t="str">
        <f>"1551601423748795"</f>
        <v>1551601423748795</v>
      </c>
      <c r="C4204" t="s">
        <v>40</v>
      </c>
      <c r="D4204">
        <v>5.6371570000000002</v>
      </c>
      <c r="E4204">
        <v>0.49358039999999997</v>
      </c>
      <c r="F4204" t="s">
        <v>55</v>
      </c>
      <c r="G4204">
        <v>-281.39940000000001</v>
      </c>
      <c r="H4204" s="1">
        <v>-4.4274250000000002E-6</v>
      </c>
      <c r="I4204">
        <v>140.20140000000001</v>
      </c>
      <c r="J4204">
        <v>-268.12009999999998</v>
      </c>
      <c r="K4204">
        <v>1.117292</v>
      </c>
      <c r="L4204">
        <v>141.22319999999999</v>
      </c>
      <c r="M4204">
        <v>-0.99993639999999995</v>
      </c>
      <c r="N4204">
        <v>-1.1089770000000001E-2</v>
      </c>
      <c r="O4204">
        <v>2.0282400000000002E-3</v>
      </c>
      <c r="P4204">
        <v>-0.98060290000000006</v>
      </c>
      <c r="Q4204">
        <v>0.19575329999999999</v>
      </c>
      <c r="R4204">
        <v>-9.9433860000000002E-3</v>
      </c>
      <c r="S4204">
        <v>-3.1028440000000002</v>
      </c>
      <c r="T4204">
        <v>-0.25361109999999998</v>
      </c>
      <c r="U4204">
        <v>-0.2314148</v>
      </c>
      <c r="V4204">
        <v>-1.034095E-2</v>
      </c>
      <c r="W4204">
        <v>0.2067013</v>
      </c>
      <c r="X4204">
        <v>0.97834940000000004</v>
      </c>
      <c r="Y4204">
        <v>-7.6105599999999995E-2</v>
      </c>
      <c r="Z4204">
        <v>-3.6670209999999999E-3</v>
      </c>
      <c r="AA4204">
        <v>0.99709300000000001</v>
      </c>
      <c r="AB4204">
        <v>38</v>
      </c>
      <c r="AC4204">
        <v>-13.279299999999999</v>
      </c>
      <c r="AD4204">
        <v>-1.1172964274249999</v>
      </c>
      <c r="AE4204">
        <v>-1.0217999999999801</v>
      </c>
      <c r="AF4204">
        <v>-1.04140420923497</v>
      </c>
      <c r="AG4204">
        <v>-1.1172964274249999</v>
      </c>
      <c r="AH4204">
        <v>13.1844138782001</v>
      </c>
      <c r="AI4204">
        <v>94.828915818628403</v>
      </c>
      <c r="AJ4204">
        <v>94.516274951921702</v>
      </c>
      <c r="AK4204">
        <v>13.2725899260628</v>
      </c>
      <c r="AL4204">
        <v>78.070889770676999</v>
      </c>
      <c r="AM4204">
        <v>90.605581940462599</v>
      </c>
      <c r="AN4204">
        <v>0.99999995557447496</v>
      </c>
    </row>
    <row r="4205" spans="1:40" x14ac:dyDescent="0.25">
      <c r="A4205" t="str">
        <f>"20190303162343777"</f>
        <v>20190303162343777</v>
      </c>
      <c r="B4205" t="str">
        <f>"1551601423769290"</f>
        <v>1551601423769290</v>
      </c>
      <c r="C4205" t="s">
        <v>40</v>
      </c>
      <c r="D4205">
        <v>5.625928</v>
      </c>
      <c r="E4205">
        <v>0.49347600000000003</v>
      </c>
      <c r="F4205" t="s">
        <v>55</v>
      </c>
      <c r="G4205">
        <v>-301.47559999999999</v>
      </c>
      <c r="H4205" s="1">
        <v>-8.4940819999999996E-6</v>
      </c>
      <c r="I4205">
        <v>140.3751</v>
      </c>
      <c r="J4205">
        <v>-268.50450000000001</v>
      </c>
      <c r="K4205">
        <v>1.117386</v>
      </c>
      <c r="L4205">
        <v>141.22669999999999</v>
      </c>
      <c r="M4205">
        <v>-0.99992610000000004</v>
      </c>
      <c r="N4205">
        <v>-1.109007E-2</v>
      </c>
      <c r="O4205">
        <v>4.9982869999999997E-3</v>
      </c>
      <c r="P4205">
        <v>-0.98035349999999999</v>
      </c>
      <c r="Q4205">
        <v>0.19714419999999999</v>
      </c>
      <c r="R4205">
        <v>-6.4279380000000002E-3</v>
      </c>
      <c r="S4205">
        <v>-3.079132</v>
      </c>
      <c r="T4205">
        <v>-0.1031407</v>
      </c>
      <c r="U4205">
        <v>-7.8292849999999997E-2</v>
      </c>
      <c r="V4205">
        <v>-9.7758729999999992E-3</v>
      </c>
      <c r="W4205">
        <v>0.2080825</v>
      </c>
      <c r="X4205">
        <v>0.97806249999999995</v>
      </c>
      <c r="Y4205">
        <v>-3.0391430000000001E-2</v>
      </c>
      <c r="Z4205">
        <v>-7.8933919999999997E-4</v>
      </c>
      <c r="AA4205">
        <v>0.99953780000000003</v>
      </c>
      <c r="AB4205">
        <v>38</v>
      </c>
      <c r="AC4205">
        <v>-32.9710999999999</v>
      </c>
      <c r="AD4205">
        <v>-1.117394494082</v>
      </c>
      <c r="AE4205">
        <v>-0.85159999999999003</v>
      </c>
      <c r="AF4205">
        <v>-1.0152332432071201</v>
      </c>
      <c r="AG4205">
        <v>-1.117394494082</v>
      </c>
      <c r="AH4205">
        <v>32.928636640208502</v>
      </c>
      <c r="AI4205">
        <v>91.942596661353093</v>
      </c>
      <c r="AJ4205">
        <v>91.765944946115894</v>
      </c>
      <c r="AK4205">
        <v>32.963227693543601</v>
      </c>
      <c r="AL4205">
        <v>77.989995433995105</v>
      </c>
      <c r="AM4205">
        <v>90.572660349077694</v>
      </c>
      <c r="AN4205">
        <v>1.0000000742027</v>
      </c>
    </row>
    <row r="4206" spans="1:40" x14ac:dyDescent="0.25">
      <c r="A4206" t="str">
        <f>"20190303162343801"</f>
        <v>20190303162343801</v>
      </c>
      <c r="B4206" t="str">
        <f>"1551601423788812"</f>
        <v>1551601423788812</v>
      </c>
      <c r="C4206" t="s">
        <v>40</v>
      </c>
      <c r="D4206">
        <v>5.6843769999999996</v>
      </c>
      <c r="E4206">
        <v>0.49333179999999999</v>
      </c>
      <c r="F4206" t="s">
        <v>55</v>
      </c>
      <c r="G4206">
        <v>-303.06319999999999</v>
      </c>
      <c r="H4206" s="1">
        <v>-8.7353249999999992E-6</v>
      </c>
      <c r="I4206">
        <v>140.41970000000001</v>
      </c>
      <c r="J4206">
        <v>-268.90230000000003</v>
      </c>
      <c r="K4206">
        <v>1.1175379999999999</v>
      </c>
      <c r="L4206">
        <v>141.2312</v>
      </c>
      <c r="M4206">
        <v>-0.99990809999999997</v>
      </c>
      <c r="N4206">
        <v>-1.1088300000000001E-2</v>
      </c>
      <c r="O4206">
        <v>7.8066609999999899E-3</v>
      </c>
      <c r="P4206">
        <v>-0.98108459999999997</v>
      </c>
      <c r="Q4206">
        <v>0.19356129999999999</v>
      </c>
      <c r="R4206">
        <v>-2.6823680000000001E-3</v>
      </c>
      <c r="S4206">
        <v>-3.0796809999999999</v>
      </c>
      <c r="T4206">
        <v>-9.9575999999999998E-2</v>
      </c>
      <c r="U4206">
        <v>-7.191467E-2</v>
      </c>
      <c r="V4206">
        <v>-8.901295E-3</v>
      </c>
      <c r="W4206">
        <v>0.20449539999999999</v>
      </c>
      <c r="X4206">
        <v>0.97882709999999995</v>
      </c>
      <c r="Y4206">
        <v>-3.1125679999999999E-2</v>
      </c>
      <c r="Z4206">
        <v>-8.4143199999999895E-4</v>
      </c>
      <c r="AA4206">
        <v>0.99951509999999999</v>
      </c>
      <c r="AB4206">
        <v>38</v>
      </c>
      <c r="AC4206">
        <v>-34.160899999999899</v>
      </c>
      <c r="AD4206">
        <v>-1.1175467353249999</v>
      </c>
      <c r="AE4206">
        <v>-0.811499999999995</v>
      </c>
      <c r="AF4206">
        <v>-1.0770222166145</v>
      </c>
      <c r="AG4206">
        <v>-1.1175467353249999</v>
      </c>
      <c r="AH4206">
        <v>34.117031298889401</v>
      </c>
      <c r="AI4206">
        <v>91.875191804982705</v>
      </c>
      <c r="AJ4206">
        <v>91.808139171063203</v>
      </c>
      <c r="AK4206">
        <v>34.152316352044302</v>
      </c>
      <c r="AL4206">
        <v>78.200038712869699</v>
      </c>
      <c r="AM4206">
        <v>90.521024170228301</v>
      </c>
      <c r="AN4206">
        <v>1.0000000466841199</v>
      </c>
    </row>
    <row r="4207" spans="1:40" x14ac:dyDescent="0.25">
      <c r="A4207" t="str">
        <f>"20190303162343824"</f>
        <v>20190303162343824</v>
      </c>
      <c r="B4207" t="str">
        <f>"1551601423808839"</f>
        <v>1551601423808839</v>
      </c>
      <c r="C4207" t="s">
        <v>40</v>
      </c>
      <c r="D4207">
        <v>5.673419</v>
      </c>
      <c r="E4207">
        <v>0.49296489999999998</v>
      </c>
      <c r="F4207" t="s">
        <v>55</v>
      </c>
      <c r="G4207">
        <v>-299.11630000000002</v>
      </c>
      <c r="H4207" s="1">
        <v>-8.3883599999999998E-6</v>
      </c>
      <c r="I4207">
        <v>140.61770000000001</v>
      </c>
      <c r="J4207">
        <v>-269.27960000000002</v>
      </c>
      <c r="K4207">
        <v>1.1177649999999999</v>
      </c>
      <c r="L4207">
        <v>141.2362</v>
      </c>
      <c r="M4207">
        <v>-0.99988750000000004</v>
      </c>
      <c r="N4207">
        <v>-1.108521E-2</v>
      </c>
      <c r="O4207">
        <v>1.0117040000000001E-2</v>
      </c>
      <c r="P4207">
        <v>-0.98192619999999997</v>
      </c>
      <c r="Q4207">
        <v>0.18926290000000001</v>
      </c>
      <c r="R4207">
        <v>-9.1422910000000005E-4</v>
      </c>
      <c r="S4207">
        <v>-3.080139</v>
      </c>
      <c r="T4207">
        <v>-0.113927399999999</v>
      </c>
      <c r="U4207">
        <v>-6.2545779999999995E-2</v>
      </c>
      <c r="V4207">
        <v>-9.5554490000000006E-3</v>
      </c>
      <c r="W4207">
        <v>0.20020160000000001</v>
      </c>
      <c r="X4207">
        <v>0.97970809999999997</v>
      </c>
      <c r="Y4207">
        <v>-3.0386110000000001E-2</v>
      </c>
      <c r="Z4207">
        <v>-9.921540999999999E-4</v>
      </c>
      <c r="AA4207">
        <v>0.99953780000000003</v>
      </c>
      <c r="AB4207">
        <v>38</v>
      </c>
      <c r="AC4207">
        <v>-29.8367</v>
      </c>
      <c r="AD4207">
        <v>-1.1177733883599901</v>
      </c>
      <c r="AE4207">
        <v>-0.61849999999998295</v>
      </c>
      <c r="AF4207">
        <v>-0.91905661743235401</v>
      </c>
      <c r="AG4207">
        <v>-1.1177733883599901</v>
      </c>
      <c r="AH4207">
        <v>29.787127385733498</v>
      </c>
      <c r="AI4207">
        <v>92.148016539212193</v>
      </c>
      <c r="AJ4207">
        <v>91.767252154966499</v>
      </c>
      <c r="AK4207">
        <v>29.822257464982201</v>
      </c>
      <c r="AL4207">
        <v>78.451251402142105</v>
      </c>
      <c r="AM4207">
        <v>90.558808832530204</v>
      </c>
      <c r="AN4207">
        <v>0.99999997422688003</v>
      </c>
    </row>
    <row r="4208" spans="1:40" x14ac:dyDescent="0.25">
      <c r="A4208" t="str">
        <f>"20190303162343844"</f>
        <v>20190303162343844</v>
      </c>
      <c r="B4208" t="str">
        <f>"1551601423829334"</f>
        <v>1551601423829334</v>
      </c>
      <c r="C4208" t="s">
        <v>40</v>
      </c>
      <c r="D4208">
        <v>5.6707890000000001</v>
      </c>
      <c r="E4208">
        <v>0.49265700000000001</v>
      </c>
      <c r="F4208" t="s">
        <v>55</v>
      </c>
      <c r="G4208">
        <v>-295.56790000000001</v>
      </c>
      <c r="H4208" s="1">
        <v>-8.7292529999999993E-6</v>
      </c>
      <c r="I4208">
        <v>140.72829999999999</v>
      </c>
      <c r="J4208">
        <v>-269.63549999999998</v>
      </c>
      <c r="K4208">
        <v>1.11805</v>
      </c>
      <c r="L4208">
        <v>141.2414</v>
      </c>
      <c r="M4208">
        <v>-0.99986750000000002</v>
      </c>
      <c r="N4208">
        <v>-1.1082389999999999E-2</v>
      </c>
      <c r="O4208">
        <v>1.1919000000000001E-2</v>
      </c>
      <c r="P4208">
        <v>-0.98226930000000001</v>
      </c>
      <c r="Q4208">
        <v>0.18747340000000001</v>
      </c>
      <c r="R4208">
        <v>7.9627149999999896E-4</v>
      </c>
      <c r="S4208">
        <v>-3.0804140000000002</v>
      </c>
      <c r="T4208">
        <v>-0.1309786</v>
      </c>
      <c r="U4208">
        <v>-5.9509279999999998E-2</v>
      </c>
      <c r="V4208">
        <v>-9.7693090000000003E-3</v>
      </c>
      <c r="W4208">
        <v>0.19840630000000001</v>
      </c>
      <c r="X4208">
        <v>0.98007120000000003</v>
      </c>
      <c r="Y4208">
        <v>-3.1189729999999999E-2</v>
      </c>
      <c r="Z4208">
        <v>-1.2101639999999999E-3</v>
      </c>
      <c r="AA4208">
        <v>0.99951270000000003</v>
      </c>
      <c r="AB4208">
        <v>38</v>
      </c>
      <c r="AC4208">
        <v>-25.932400000000001</v>
      </c>
      <c r="AD4208">
        <v>-1.118058729253</v>
      </c>
      <c r="AE4208">
        <v>-0.51310000000000799</v>
      </c>
      <c r="AF4208">
        <v>-0.82064596307198001</v>
      </c>
      <c r="AG4208">
        <v>-1.118058729253</v>
      </c>
      <c r="AH4208">
        <v>25.8763602920653</v>
      </c>
      <c r="AI4208">
        <v>92.472839861699299</v>
      </c>
      <c r="AJ4208">
        <v>91.816476323418598</v>
      </c>
      <c r="AK4208">
        <v>25.9135010580111</v>
      </c>
      <c r="AL4208">
        <v>78.556221078187804</v>
      </c>
      <c r="AM4208">
        <v>90.5711030350991</v>
      </c>
      <c r="AN4208">
        <v>1.00000002817373</v>
      </c>
    </row>
    <row r="4209" spans="1:40" x14ac:dyDescent="0.25">
      <c r="A4209" t="str">
        <f>"20190303162343878"</f>
        <v>20190303162343878</v>
      </c>
      <c r="B4209" t="str">
        <f>"1551601423869351"</f>
        <v>1551601423869351</v>
      </c>
      <c r="C4209" t="s">
        <v>40</v>
      </c>
      <c r="D4209">
        <v>5.7374450000000001</v>
      </c>
      <c r="E4209">
        <v>0.49268459999999997</v>
      </c>
      <c r="F4209" t="s">
        <v>55</v>
      </c>
      <c r="G4209">
        <v>-294.62459999999999</v>
      </c>
      <c r="H4209" s="1">
        <v>-8.8230880000000008E-6</v>
      </c>
      <c r="I4209">
        <v>140.77000000000001</v>
      </c>
      <c r="J4209">
        <v>-270.20170000000002</v>
      </c>
      <c r="K4209">
        <v>1.118541</v>
      </c>
      <c r="L4209">
        <v>141.25040000000001</v>
      </c>
      <c r="M4209">
        <v>-0.99983889999999997</v>
      </c>
      <c r="N4209">
        <v>-1.1080380000000001E-2</v>
      </c>
      <c r="O4209">
        <v>1.412586E-2</v>
      </c>
      <c r="P4209">
        <v>-0.98134580000000005</v>
      </c>
      <c r="Q4209">
        <v>0.19212509999999999</v>
      </c>
      <c r="R4209">
        <v>6.9834759999999997E-3</v>
      </c>
      <c r="S4209">
        <v>-3.080505</v>
      </c>
      <c r="T4209">
        <v>-0.13782749999999999</v>
      </c>
      <c r="U4209">
        <v>-5.8120730000000002E-2</v>
      </c>
      <c r="V4209">
        <v>-5.9435209999999898E-3</v>
      </c>
      <c r="W4209">
        <v>0.20301649999999999</v>
      </c>
      <c r="X4209">
        <v>0.97915730000000001</v>
      </c>
      <c r="Y4209">
        <v>-3.2937139999999997E-2</v>
      </c>
      <c r="Z4209">
        <v>-1.394214E-3</v>
      </c>
      <c r="AA4209">
        <v>0.99945649999999997</v>
      </c>
      <c r="AB4209">
        <v>38</v>
      </c>
      <c r="AC4209">
        <v>-24.422899999999899</v>
      </c>
      <c r="AD4209">
        <v>-1.118549823088</v>
      </c>
      <c r="AE4209">
        <v>-0.48040000000000299</v>
      </c>
      <c r="AF4209">
        <v>-0.823640709599615</v>
      </c>
      <c r="AG4209">
        <v>-1.118549823088</v>
      </c>
      <c r="AH4209">
        <v>24.3625939770588</v>
      </c>
      <c r="AI4209">
        <v>92.627252765190306</v>
      </c>
      <c r="AJ4209">
        <v>91.936295033605603</v>
      </c>
      <c r="AK4209">
        <v>24.402162261083799</v>
      </c>
      <c r="AL4209">
        <v>78.286588825622999</v>
      </c>
      <c r="AM4209">
        <v>90.347783227901999</v>
      </c>
      <c r="AN4209">
        <v>1.0000000214286999</v>
      </c>
    </row>
    <row r="4210" spans="1:40" x14ac:dyDescent="0.25">
      <c r="A4210" t="str">
        <f>"20190303162343898"</f>
        <v>20190303162343898</v>
      </c>
      <c r="B4210" t="str">
        <f>"1551601423888870"</f>
        <v>1551601423888870</v>
      </c>
      <c r="C4210" t="s">
        <v>40</v>
      </c>
      <c r="D4210">
        <v>5.7428129999999999</v>
      </c>
      <c r="E4210">
        <v>0.49237389999999998</v>
      </c>
      <c r="F4210" t="s">
        <v>55</v>
      </c>
      <c r="G4210">
        <v>-297.7921</v>
      </c>
      <c r="H4210" s="1">
        <v>-8.5705939999999907E-6</v>
      </c>
      <c r="I4210">
        <v>140.86760000000001</v>
      </c>
      <c r="J4210">
        <v>-270.5455</v>
      </c>
      <c r="K4210">
        <v>1.118838</v>
      </c>
      <c r="L4210">
        <v>141.256</v>
      </c>
      <c r="M4210">
        <v>-0.99982519999999997</v>
      </c>
      <c r="N4210">
        <v>-1.1080029999999999E-2</v>
      </c>
      <c r="O4210">
        <v>1.50583E-2</v>
      </c>
      <c r="P4210">
        <v>-0.98107080000000002</v>
      </c>
      <c r="Q4210">
        <v>0.19350719999999999</v>
      </c>
      <c r="R4210">
        <v>7.417524E-3</v>
      </c>
      <c r="S4210">
        <v>-3.0817869999999998</v>
      </c>
      <c r="T4210">
        <v>-0.1249392</v>
      </c>
      <c r="U4210">
        <v>-4.2755130000000002E-2</v>
      </c>
      <c r="V4210">
        <v>-6.55604E-3</v>
      </c>
      <c r="W4210">
        <v>0.2043932</v>
      </c>
      <c r="X4210">
        <v>0.97886689999999998</v>
      </c>
      <c r="Y4210">
        <v>-2.88916E-2</v>
      </c>
      <c r="Z4210">
        <v>-1.1889419999999999E-3</v>
      </c>
      <c r="AA4210">
        <v>0.99958179999999996</v>
      </c>
      <c r="AB4210">
        <v>38</v>
      </c>
      <c r="AC4210">
        <v>-27.246600000000001</v>
      </c>
      <c r="AD4210">
        <v>-1.1188465705940001</v>
      </c>
      <c r="AE4210">
        <v>-0.38839999999998998</v>
      </c>
      <c r="AF4210">
        <v>-0.79732443295245503</v>
      </c>
      <c r="AG4210">
        <v>-1.1188465705940001</v>
      </c>
      <c r="AH4210">
        <v>27.191819020344902</v>
      </c>
      <c r="AI4210">
        <v>92.3551771751182</v>
      </c>
      <c r="AJ4210">
        <v>91.679558064905706</v>
      </c>
      <c r="AK4210">
        <v>27.226504835088601</v>
      </c>
      <c r="AL4210">
        <v>78.206019952159295</v>
      </c>
      <c r="AM4210">
        <v>90.383737365928397</v>
      </c>
      <c r="AN4210">
        <v>0.99999998489116504</v>
      </c>
    </row>
    <row r="4211" spans="1:40" x14ac:dyDescent="0.25">
      <c r="A4211" t="str">
        <f>"20190303162343922"</f>
        <v>20190303162343922</v>
      </c>
      <c r="B4211" t="str">
        <f>"1551601423908895"</f>
        <v>1551601423908895</v>
      </c>
      <c r="C4211" t="s">
        <v>40</v>
      </c>
      <c r="D4211">
        <v>5.4763669999999998</v>
      </c>
      <c r="E4211">
        <v>0.49224909999999999</v>
      </c>
      <c r="F4211" t="s">
        <v>55</v>
      </c>
      <c r="G4211">
        <v>-298.86090000000002</v>
      </c>
      <c r="H4211" s="1">
        <v>-8.4787399999999899E-6</v>
      </c>
      <c r="I4211">
        <v>140.87530000000001</v>
      </c>
      <c r="J4211">
        <v>-270.95119999999997</v>
      </c>
      <c r="K4211">
        <v>1.119186</v>
      </c>
      <c r="L4211">
        <v>141.2628</v>
      </c>
      <c r="M4211">
        <v>-0.99981419999999999</v>
      </c>
      <c r="N4211">
        <v>-1.108021E-2</v>
      </c>
      <c r="O4211">
        <v>1.5773880000000001E-2</v>
      </c>
      <c r="P4211">
        <v>-0.98078489999999996</v>
      </c>
      <c r="Q4211">
        <v>0.19501650000000001</v>
      </c>
      <c r="R4211">
        <v>5.4344569999999898E-3</v>
      </c>
      <c r="S4211">
        <v>-3.082214</v>
      </c>
      <c r="T4211">
        <v>-0.1217896</v>
      </c>
      <c r="U4211">
        <v>-4.144287E-2</v>
      </c>
      <c r="V4211">
        <v>-9.3955419999999998E-3</v>
      </c>
      <c r="W4211">
        <v>0.205902</v>
      </c>
      <c r="X4211">
        <v>0.97852749999999999</v>
      </c>
      <c r="Y4211">
        <v>-2.9180810000000001E-2</v>
      </c>
      <c r="Z4211">
        <v>-1.1863100000000001E-3</v>
      </c>
      <c r="AA4211">
        <v>0.9995735</v>
      </c>
      <c r="AB4211">
        <v>38</v>
      </c>
      <c r="AC4211">
        <v>-27.909700000000001</v>
      </c>
      <c r="AD4211">
        <v>-1.1191944787399899</v>
      </c>
      <c r="AE4211">
        <v>-0.38749999999998802</v>
      </c>
      <c r="AF4211">
        <v>-0.82639443305149696</v>
      </c>
      <c r="AG4211">
        <v>-1.1191944787399899</v>
      </c>
      <c r="AH4211">
        <v>27.855330166026501</v>
      </c>
      <c r="AI4211">
        <v>92.299828816919202</v>
      </c>
      <c r="AJ4211">
        <v>91.699316750070494</v>
      </c>
      <c r="AK4211">
        <v>27.890050962638401</v>
      </c>
      <c r="AL4211">
        <v>78.117693506849903</v>
      </c>
      <c r="AM4211">
        <v>90.550120830026103</v>
      </c>
      <c r="AN4211">
        <v>0.99999998903486098</v>
      </c>
    </row>
    <row r="4212" spans="1:40" x14ac:dyDescent="0.25">
      <c r="A4212" t="str">
        <f>"20190303162343945"</f>
        <v>20190303162343945</v>
      </c>
      <c r="B4212" t="str">
        <f>"1551601423939152"</f>
        <v>1551601423939152</v>
      </c>
      <c r="C4212" t="s">
        <v>40</v>
      </c>
      <c r="D4212">
        <v>5.7981199999999999</v>
      </c>
      <c r="E4212">
        <v>0.49198520000000001</v>
      </c>
      <c r="F4212" t="s">
        <v>55</v>
      </c>
      <c r="G4212">
        <v>-300.26179999999999</v>
      </c>
      <c r="H4212" s="1">
        <v>-8.4250889999999999E-6</v>
      </c>
      <c r="I4212">
        <v>140.83269999999999</v>
      </c>
      <c r="J4212">
        <v>-271.32549999999998</v>
      </c>
      <c r="K4212">
        <v>1.119494</v>
      </c>
      <c r="L4212">
        <v>141.26900000000001</v>
      </c>
      <c r="M4212">
        <v>-0.99980939999999996</v>
      </c>
      <c r="N4212">
        <v>-1.108072E-2</v>
      </c>
      <c r="O4212">
        <v>1.607813E-2</v>
      </c>
      <c r="P4212">
        <v>-0.98022849999999995</v>
      </c>
      <c r="Q4212">
        <v>0.1978345</v>
      </c>
      <c r="R4212">
        <v>3.711804E-3</v>
      </c>
      <c r="S4212">
        <v>-3.0823969999999998</v>
      </c>
      <c r="T4212">
        <v>-0.1176981</v>
      </c>
      <c r="U4212">
        <v>-4.5227049999999998E-2</v>
      </c>
      <c r="V4212">
        <v>-1.1545100000000001E-2</v>
      </c>
      <c r="W4212">
        <v>0.20871210000000001</v>
      </c>
      <c r="X4212">
        <v>0.97790900000000003</v>
      </c>
      <c r="Y4212">
        <v>-3.0711820000000001E-2</v>
      </c>
      <c r="Z4212">
        <v>-1.191913E-3</v>
      </c>
      <c r="AA4212">
        <v>0.99952759999999996</v>
      </c>
      <c r="AB4212">
        <v>38</v>
      </c>
      <c r="AC4212">
        <v>-28.936299999999999</v>
      </c>
      <c r="AD4212">
        <v>-1.119502425089</v>
      </c>
      <c r="AE4212">
        <v>-0.43630000000001701</v>
      </c>
      <c r="AF4212">
        <v>-0.90016666054286598</v>
      </c>
      <c r="AG4212">
        <v>-1.119502425089</v>
      </c>
      <c r="AH4212">
        <v>28.882322608770099</v>
      </c>
      <c r="AI4212">
        <v>92.2186438253528</v>
      </c>
      <c r="AJ4212">
        <v>91.785142467165002</v>
      </c>
      <c r="AK4212">
        <v>28.9180245690055</v>
      </c>
      <c r="AL4212">
        <v>77.9531115660605</v>
      </c>
      <c r="AM4212">
        <v>90.676397061636195</v>
      </c>
      <c r="AN4212">
        <v>1.0000000211507001</v>
      </c>
    </row>
    <row r="4213" spans="1:40" x14ac:dyDescent="0.25">
      <c r="A4213" t="str">
        <f>"20190303162343966"</f>
        <v>20190303162343966</v>
      </c>
      <c r="B4213" t="str">
        <f>"1551601423958671"</f>
        <v>1551601423958671</v>
      </c>
      <c r="C4213" t="s">
        <v>40</v>
      </c>
      <c r="D4213">
        <v>5.7474669999999897</v>
      </c>
      <c r="E4213">
        <v>0.49183349999999998</v>
      </c>
      <c r="F4213" t="s">
        <v>55</v>
      </c>
      <c r="G4213">
        <v>-302.45769999999999</v>
      </c>
      <c r="H4213" s="1">
        <v>-8.7475429999999998E-6</v>
      </c>
      <c r="I4213">
        <v>140.75309999999999</v>
      </c>
      <c r="J4213">
        <v>-271.70940000000002</v>
      </c>
      <c r="K4213">
        <v>1.119766</v>
      </c>
      <c r="L4213">
        <v>141.27539999999999</v>
      </c>
      <c r="M4213">
        <v>-0.99980840000000004</v>
      </c>
      <c r="N4213">
        <v>-1.108133E-2</v>
      </c>
      <c r="O4213">
        <v>1.613479E-2</v>
      </c>
      <c r="P4213">
        <v>-0.97963169999999999</v>
      </c>
      <c r="Q4213">
        <v>0.2007755</v>
      </c>
      <c r="R4213">
        <v>3.292761E-3</v>
      </c>
      <c r="S4213">
        <v>-3.0831300000000001</v>
      </c>
      <c r="T4213">
        <v>-0.1108683</v>
      </c>
      <c r="U4213">
        <v>-5.1101679999999997E-2</v>
      </c>
      <c r="V4213">
        <v>-1.213882E-2</v>
      </c>
      <c r="W4213">
        <v>0.2116402</v>
      </c>
      <c r="X4213">
        <v>0.97727229999999998</v>
      </c>
      <c r="Y4213">
        <v>-3.267113E-2</v>
      </c>
      <c r="Z4213">
        <v>-1.1695329999999999E-3</v>
      </c>
      <c r="AA4213">
        <v>0.99946550000000001</v>
      </c>
      <c r="AB4213">
        <v>38</v>
      </c>
      <c r="AC4213">
        <v>-30.748299999999901</v>
      </c>
      <c r="AD4213">
        <v>-1.119774747543</v>
      </c>
      <c r="AE4213">
        <v>-0.52230000000000099</v>
      </c>
      <c r="AF4213">
        <v>-1.0170314079934</v>
      </c>
      <c r="AG4213">
        <v>-1.119774747543</v>
      </c>
      <c r="AH4213">
        <v>30.695172013657398</v>
      </c>
      <c r="AI4213">
        <v>92.088106470355299</v>
      </c>
      <c r="AJ4213">
        <v>91.897702268368604</v>
      </c>
      <c r="AK4213">
        <v>30.7324231605335</v>
      </c>
      <c r="AL4213">
        <v>77.781510964963303</v>
      </c>
      <c r="AM4213">
        <v>90.711641360521</v>
      </c>
      <c r="AN4213">
        <v>1.00000003677716</v>
      </c>
    </row>
    <row r="4214" spans="1:40" x14ac:dyDescent="0.25">
      <c r="A4214" t="str">
        <f>"20190303162343989"</f>
        <v>20190303162343989</v>
      </c>
      <c r="B4214" t="str">
        <f>"1551601423979167"</f>
        <v>1551601423979167</v>
      </c>
      <c r="C4214" t="s">
        <v>40</v>
      </c>
      <c r="D4214">
        <v>5.5201159999999998</v>
      </c>
      <c r="E4214">
        <v>0.49163380000000001</v>
      </c>
      <c r="F4214" t="s">
        <v>55</v>
      </c>
      <c r="G4214">
        <v>-305.55680000000001</v>
      </c>
      <c r="H4214" s="1">
        <v>-9.1685539999999998E-6</v>
      </c>
      <c r="I4214">
        <v>140.6722</v>
      </c>
      <c r="J4214">
        <v>-272.09210000000002</v>
      </c>
      <c r="K4214">
        <v>1.119991</v>
      </c>
      <c r="L4214">
        <v>141.2816</v>
      </c>
      <c r="M4214">
        <v>-0.99981050000000005</v>
      </c>
      <c r="N4214">
        <v>-1.1081779999999999E-2</v>
      </c>
      <c r="O4214">
        <v>1.6020530000000002E-2</v>
      </c>
      <c r="P4214">
        <v>-0.97955150000000002</v>
      </c>
      <c r="Q4214">
        <v>0.20119210000000001</v>
      </c>
      <c r="R4214">
        <v>1.0423240000000001E-3</v>
      </c>
      <c r="S4214">
        <v>-3.083466</v>
      </c>
      <c r="T4214">
        <v>-0.1020104</v>
      </c>
      <c r="U4214">
        <v>-5.49469E-2</v>
      </c>
      <c r="V4214">
        <v>-1.438824E-2</v>
      </c>
      <c r="W4214">
        <v>0.21205170000000001</v>
      </c>
      <c r="X4214">
        <v>0.97715249999999998</v>
      </c>
      <c r="Y4214">
        <v>-3.3805139999999997E-2</v>
      </c>
      <c r="Z4214">
        <v>-1.098718E-3</v>
      </c>
      <c r="AA4214">
        <v>0.99942790000000004</v>
      </c>
      <c r="AB4214">
        <v>38</v>
      </c>
      <c r="AC4214">
        <v>-33.464699999999901</v>
      </c>
      <c r="AD4214">
        <v>-1.120000168554</v>
      </c>
      <c r="AE4214">
        <v>-0.60939999999999295</v>
      </c>
      <c r="AF4214">
        <v>-1.1441955960074801</v>
      </c>
      <c r="AG4214">
        <v>-1.120000168554</v>
      </c>
      <c r="AH4214">
        <v>33.413226986752399</v>
      </c>
      <c r="AI4214">
        <v>91.918692730014996</v>
      </c>
      <c r="AJ4214">
        <v>91.961258382549502</v>
      </c>
      <c r="AK4214">
        <v>33.451566803480503</v>
      </c>
      <c r="AL4214">
        <v>77.757385445930296</v>
      </c>
      <c r="AM4214">
        <v>90.843600005608096</v>
      </c>
      <c r="AN4214">
        <v>0.99999997658971795</v>
      </c>
    </row>
    <row r="4215" spans="1:40" x14ac:dyDescent="0.25">
      <c r="A4215" t="str">
        <f>"20190303162344012"</f>
        <v>20190303162344012</v>
      </c>
      <c r="B4215" t="str">
        <f>"1551601423999193"</f>
        <v>1551601423999193</v>
      </c>
      <c r="C4215" t="s">
        <v>40</v>
      </c>
      <c r="D4215">
        <v>5.739382</v>
      </c>
      <c r="E4215">
        <v>0.49144589999999999</v>
      </c>
      <c r="F4215" t="s">
        <v>55</v>
      </c>
      <c r="G4215">
        <v>-305.33190000000002</v>
      </c>
      <c r="H4215" s="1">
        <v>-9.1168390000000006E-6</v>
      </c>
      <c r="I4215">
        <v>140.6069</v>
      </c>
      <c r="J4215">
        <v>-272.47149999999999</v>
      </c>
      <c r="K4215">
        <v>1.1201620000000001</v>
      </c>
      <c r="L4215">
        <v>141.2876</v>
      </c>
      <c r="M4215">
        <v>-0.99981399999999998</v>
      </c>
      <c r="N4215">
        <v>-1.108176E-2</v>
      </c>
      <c r="O4215">
        <v>1.5796609999999999E-2</v>
      </c>
      <c r="P4215">
        <v>-0.97966359999999997</v>
      </c>
      <c r="Q4215">
        <v>0.20062559999999999</v>
      </c>
      <c r="R4215">
        <v>-2.9999430000000001E-3</v>
      </c>
      <c r="S4215">
        <v>-3.0840450000000001</v>
      </c>
      <c r="T4215">
        <v>-0.1039156</v>
      </c>
      <c r="U4215">
        <v>-6.2591549999999996E-2</v>
      </c>
      <c r="V4215">
        <v>-1.8302949999999998E-2</v>
      </c>
      <c r="W4215">
        <v>0.21148259999999999</v>
      </c>
      <c r="X4215">
        <v>0.97721029999999998</v>
      </c>
      <c r="Y4215">
        <v>-3.6051670000000001E-2</v>
      </c>
      <c r="Z4215">
        <v>-1.16405E-3</v>
      </c>
      <c r="AA4215">
        <v>0.99934920000000005</v>
      </c>
      <c r="AB4215">
        <v>38</v>
      </c>
      <c r="AC4215">
        <v>-32.860399999999998</v>
      </c>
      <c r="AD4215">
        <v>-1.1201711168390001</v>
      </c>
      <c r="AE4215">
        <v>-0.68070000000000097</v>
      </c>
      <c r="AF4215">
        <v>-1.1983378327268801</v>
      </c>
      <c r="AG4215">
        <v>-1.1201711168390001</v>
      </c>
      <c r="AH4215">
        <v>32.807438579285197</v>
      </c>
      <c r="AI4215">
        <v>91.954234613540393</v>
      </c>
      <c r="AJ4215">
        <v>92.091878941971203</v>
      </c>
      <c r="AK4215">
        <v>32.848421925960402</v>
      </c>
      <c r="AL4215">
        <v>77.790748572571502</v>
      </c>
      <c r="AM4215">
        <v>91.073012826146694</v>
      </c>
      <c r="AN4215">
        <v>0.99999992925377301</v>
      </c>
    </row>
    <row r="4216" spans="1:40" x14ac:dyDescent="0.25">
      <c r="A4216" t="str">
        <f>"20190303162344034"</f>
        <v>20190303162344034</v>
      </c>
      <c r="B4216" t="str">
        <f>"1551601424029449"</f>
        <v>1551601424029449</v>
      </c>
      <c r="C4216" t="s">
        <v>40</v>
      </c>
      <c r="D4216">
        <v>5.7346430000000002</v>
      </c>
      <c r="E4216">
        <v>0.49111009999999999</v>
      </c>
      <c r="F4216" t="s">
        <v>55</v>
      </c>
      <c r="G4216">
        <v>-304.53530000000001</v>
      </c>
      <c r="H4216" s="1">
        <v>-8.9753830000000007E-6</v>
      </c>
      <c r="I4216">
        <v>140.51599999999999</v>
      </c>
      <c r="J4216">
        <v>-272.84750000000003</v>
      </c>
      <c r="K4216">
        <v>1.1202920000000001</v>
      </c>
      <c r="L4216">
        <v>141.29339999999999</v>
      </c>
      <c r="M4216">
        <v>-0.99981830000000005</v>
      </c>
      <c r="N4216">
        <v>-1.108161E-2</v>
      </c>
      <c r="O4216">
        <v>1.551254E-2</v>
      </c>
      <c r="P4216">
        <v>-0.97994110000000001</v>
      </c>
      <c r="Q4216">
        <v>0.19920560000000001</v>
      </c>
      <c r="R4216">
        <v>-5.7176519999999897E-3</v>
      </c>
      <c r="S4216">
        <v>-3.0841059999999998</v>
      </c>
      <c r="T4216">
        <v>-0.1077452</v>
      </c>
      <c r="U4216">
        <v>-7.421875E-2</v>
      </c>
      <c r="V4216">
        <v>-2.08168E-2</v>
      </c>
      <c r="W4216">
        <v>0.210061</v>
      </c>
      <c r="X4216">
        <v>0.97746659999999996</v>
      </c>
      <c r="Y4216">
        <v>-3.9527890000000003E-2</v>
      </c>
      <c r="Z4216">
        <v>-1.2791580000000001E-3</v>
      </c>
      <c r="AA4216">
        <v>0.99921760000000004</v>
      </c>
      <c r="AB4216">
        <v>38</v>
      </c>
      <c r="AC4216">
        <v>-31.6877999999999</v>
      </c>
      <c r="AD4216">
        <v>-1.120300975383</v>
      </c>
      <c r="AE4216">
        <v>-0.77739999999999998</v>
      </c>
      <c r="AF4216">
        <v>-1.267311781756</v>
      </c>
      <c r="AG4216">
        <v>-1.120300975383</v>
      </c>
      <c r="AH4216">
        <v>31.632411977346699</v>
      </c>
      <c r="AI4216">
        <v>92.026728543008403</v>
      </c>
      <c r="AJ4216">
        <v>92.294254519366206</v>
      </c>
      <c r="AK4216">
        <v>31.677604722141002</v>
      </c>
      <c r="AL4216">
        <v>77.874072465747702</v>
      </c>
      <c r="AM4216">
        <v>91.2200258442342</v>
      </c>
      <c r="AN4216">
        <v>0.99999995849939904</v>
      </c>
    </row>
    <row r="4217" spans="1:40" x14ac:dyDescent="0.25">
      <c r="A4217" t="str">
        <f>"20190303162344056"</f>
        <v>20190303162344056</v>
      </c>
      <c r="B4217" t="str">
        <f>"1551601424048970"</f>
        <v>1551601424048970</v>
      </c>
      <c r="C4217" t="s">
        <v>40</v>
      </c>
      <c r="D4217">
        <v>5.7409619999999997</v>
      </c>
      <c r="E4217">
        <v>0.49112169999999999</v>
      </c>
      <c r="F4217" t="s">
        <v>55</v>
      </c>
      <c r="G4217">
        <v>-303.00659999999999</v>
      </c>
      <c r="H4217" s="1">
        <v>-8.7384239999999999E-6</v>
      </c>
      <c r="I4217">
        <v>140.45740000000001</v>
      </c>
      <c r="J4217">
        <v>-273.23149999999998</v>
      </c>
      <c r="K4217">
        <v>1.120395</v>
      </c>
      <c r="L4217">
        <v>141.29929999999999</v>
      </c>
      <c r="M4217">
        <v>-0.99982320000000002</v>
      </c>
      <c r="N4217">
        <v>-1.108146E-2</v>
      </c>
      <c r="O4217">
        <v>1.519934E-2</v>
      </c>
      <c r="P4217">
        <v>-0.98002679999999998</v>
      </c>
      <c r="Q4217">
        <v>0.19879669999999999</v>
      </c>
      <c r="R4217">
        <v>-5.250635E-3</v>
      </c>
      <c r="S4217">
        <v>-3.0841669999999999</v>
      </c>
      <c r="T4217">
        <v>-0.11456570000000001</v>
      </c>
      <c r="U4217">
        <v>-8.5495000000000002E-2</v>
      </c>
      <c r="V4217">
        <v>-2.0099909999999999E-2</v>
      </c>
      <c r="W4217">
        <v>0.209647</v>
      </c>
      <c r="X4217">
        <v>0.97757050000000001</v>
      </c>
      <c r="Y4217">
        <v>-4.2857680000000002E-2</v>
      </c>
      <c r="Z4217">
        <v>-1.4291519999999999E-3</v>
      </c>
      <c r="AA4217">
        <v>0.99908019999999997</v>
      </c>
      <c r="AB4217">
        <v>38</v>
      </c>
      <c r="AC4217">
        <v>-29.775099999999998</v>
      </c>
      <c r="AD4217">
        <v>-1.120403738424</v>
      </c>
      <c r="AE4217">
        <v>-0.841899999999981</v>
      </c>
      <c r="AF4217">
        <v>-1.2925636148975299</v>
      </c>
      <c r="AG4217">
        <v>-1.120403738424</v>
      </c>
      <c r="AH4217">
        <v>29.716819544411599</v>
      </c>
      <c r="AI4217">
        <v>92.157144080816806</v>
      </c>
      <c r="AJ4217">
        <v>92.490568981935198</v>
      </c>
      <c r="AK4217">
        <v>29.7660106341235</v>
      </c>
      <c r="AL4217">
        <v>77.898333362526699</v>
      </c>
      <c r="AM4217">
        <v>91.177897414377995</v>
      </c>
      <c r="AN4217">
        <v>0.99999997673062802</v>
      </c>
    </row>
    <row r="4218" spans="1:40" x14ac:dyDescent="0.25">
      <c r="A4218" t="str">
        <f>"20190303162344078"</f>
        <v>20190303162344078</v>
      </c>
      <c r="B4218" t="str">
        <f>"1551601424069465"</f>
        <v>1551601424069465</v>
      </c>
      <c r="C4218" t="s">
        <v>40</v>
      </c>
      <c r="D4218">
        <v>5.7953260000000002</v>
      </c>
      <c r="E4218">
        <v>0.49125679999999999</v>
      </c>
      <c r="F4218" t="s">
        <v>55</v>
      </c>
      <c r="G4218">
        <v>-302.6782</v>
      </c>
      <c r="H4218" s="1">
        <v>-8.6922260000000007E-6</v>
      </c>
      <c r="I4218">
        <v>140.4606</v>
      </c>
      <c r="J4218">
        <v>-273.59840000000003</v>
      </c>
      <c r="K4218">
        <v>1.1204719999999999</v>
      </c>
      <c r="L4218">
        <v>141.3047</v>
      </c>
      <c r="M4218">
        <v>-0.99982760000000004</v>
      </c>
      <c r="N4218">
        <v>-1.108161E-2</v>
      </c>
      <c r="O4218">
        <v>1.4905150000000001E-2</v>
      </c>
      <c r="P4218">
        <v>-0.98016930000000002</v>
      </c>
      <c r="Q4218">
        <v>0.19813339999999999</v>
      </c>
      <c r="R4218">
        <v>-3.3549130000000002E-3</v>
      </c>
      <c r="S4218">
        <v>-3.084473</v>
      </c>
      <c r="T4218">
        <v>-0.11735959999999999</v>
      </c>
      <c r="U4218">
        <v>-8.7844850000000002E-2</v>
      </c>
      <c r="V4218">
        <v>-1.7958689999999999E-2</v>
      </c>
      <c r="W4218">
        <v>0.20898159999999999</v>
      </c>
      <c r="X4218">
        <v>0.97775469999999998</v>
      </c>
      <c r="Y4218">
        <v>-4.3319150000000001E-2</v>
      </c>
      <c r="Z4218">
        <v>-1.465556E-3</v>
      </c>
      <c r="AA4218">
        <v>0.99906019999999895</v>
      </c>
      <c r="AB4218">
        <v>38</v>
      </c>
      <c r="AC4218">
        <v>-29.079799999999899</v>
      </c>
      <c r="AD4218">
        <v>-1.120480692226</v>
      </c>
      <c r="AE4218">
        <v>-0.84409999999999696</v>
      </c>
      <c r="AF4218">
        <v>-1.27557937123591</v>
      </c>
      <c r="AG4218">
        <v>-1.120480692226</v>
      </c>
      <c r="AH4218">
        <v>29.020937136350401</v>
      </c>
      <c r="AI4218">
        <v>92.208926290103904</v>
      </c>
      <c r="AJ4218">
        <v>92.516745177047895</v>
      </c>
      <c r="AK4218">
        <v>29.070558508325501</v>
      </c>
      <c r="AL4218">
        <v>77.937322384491694</v>
      </c>
      <c r="AM4218">
        <v>91.052249053297601</v>
      </c>
      <c r="AN4218">
        <v>1.0000000385285801</v>
      </c>
    </row>
    <row r="4219" spans="1:40" x14ac:dyDescent="0.25">
      <c r="A4219" t="str">
        <f>"20190303162344098"</f>
        <v>20190303162344098</v>
      </c>
      <c r="B4219" t="str">
        <f>"1551601424088985"</f>
        <v>1551601424088985</v>
      </c>
      <c r="C4219" t="s">
        <v>40</v>
      </c>
      <c r="D4219">
        <v>5.7373310000000002</v>
      </c>
      <c r="E4219">
        <v>0.49132609999999899</v>
      </c>
      <c r="F4219" t="s">
        <v>55</v>
      </c>
      <c r="G4219">
        <v>-302.3879</v>
      </c>
      <c r="H4219" s="1">
        <v>-8.6690219999999997E-6</v>
      </c>
      <c r="I4219">
        <v>140.52279999999999</v>
      </c>
      <c r="J4219">
        <v>-273.94909999999999</v>
      </c>
      <c r="K4219">
        <v>1.120528</v>
      </c>
      <c r="L4219">
        <v>141.3099</v>
      </c>
      <c r="M4219">
        <v>-0.99983149999999998</v>
      </c>
      <c r="N4219">
        <v>-1.1082059999999999E-2</v>
      </c>
      <c r="O4219">
        <v>1.463883E-2</v>
      </c>
      <c r="P4219">
        <v>-0.98030450000000002</v>
      </c>
      <c r="Q4219">
        <v>0.19748289999999999</v>
      </c>
      <c r="R4219">
        <v>-1.9768229999999999E-3</v>
      </c>
      <c r="S4219">
        <v>-3.0846559999999998</v>
      </c>
      <c r="T4219">
        <v>-0.1200541</v>
      </c>
      <c r="U4219">
        <v>-8.3786009999999994E-2</v>
      </c>
      <c r="V4219">
        <v>-1.63511E-2</v>
      </c>
      <c r="W4219">
        <v>0.20833109999999999</v>
      </c>
      <c r="X4219">
        <v>0.9779217</v>
      </c>
      <c r="Y4219">
        <v>-4.1737370000000003E-2</v>
      </c>
      <c r="Z4219">
        <v>-1.450455E-3</v>
      </c>
      <c r="AA4219">
        <v>0.9991276</v>
      </c>
      <c r="AB4219">
        <v>38</v>
      </c>
      <c r="AC4219">
        <v>-28.438800000000001</v>
      </c>
      <c r="AD4219">
        <v>-1.120536669022</v>
      </c>
      <c r="AE4219">
        <v>-0.78710000000000901</v>
      </c>
      <c r="AF4219">
        <v>-1.20148807197708</v>
      </c>
      <c r="AG4219">
        <v>-1.120536669022</v>
      </c>
      <c r="AH4219">
        <v>28.380203043875898</v>
      </c>
      <c r="AI4219">
        <v>92.259015679433801</v>
      </c>
      <c r="AJ4219">
        <v>92.424193814219095</v>
      </c>
      <c r="AK4219">
        <v>28.427717123000701</v>
      </c>
      <c r="AL4219">
        <v>77.975431998692699</v>
      </c>
      <c r="AM4219">
        <v>90.957910772446496</v>
      </c>
      <c r="AN4219">
        <v>1.00000002851465</v>
      </c>
    </row>
    <row r="4220" spans="1:40" x14ac:dyDescent="0.25">
      <c r="A4220" t="str">
        <f>"20190303162344122"</f>
        <v>20190303162344122</v>
      </c>
      <c r="B4220" t="str">
        <f>"1551601424119241"</f>
        <v>1551601424119241</v>
      </c>
      <c r="C4220" t="s">
        <v>40</v>
      </c>
      <c r="D4220">
        <v>5.3781670000000004</v>
      </c>
      <c r="E4220">
        <v>0.49143710000000002</v>
      </c>
      <c r="F4220" t="s">
        <v>55</v>
      </c>
      <c r="G4220">
        <v>-301.94170000000003</v>
      </c>
      <c r="H4220" s="1">
        <v>-8.6226529999999994E-6</v>
      </c>
      <c r="I4220">
        <v>140.5823</v>
      </c>
      <c r="J4220">
        <v>-274.34230000000002</v>
      </c>
      <c r="K4220">
        <v>1.120571</v>
      </c>
      <c r="L4220">
        <v>141.31549999999999</v>
      </c>
      <c r="M4220">
        <v>-0.99983560000000005</v>
      </c>
      <c r="N4220">
        <v>-1.108287E-2</v>
      </c>
      <c r="O4220">
        <v>1.4357E-2</v>
      </c>
      <c r="P4220">
        <v>-0.98043290000000005</v>
      </c>
      <c r="Q4220">
        <v>0.19685359999999999</v>
      </c>
      <c r="R4220">
        <v>-5.6108830000000005E-4</v>
      </c>
      <c r="S4220">
        <v>-3.084991</v>
      </c>
      <c r="T4220">
        <v>-0.1234914</v>
      </c>
      <c r="U4220">
        <v>-8.0184939999999996E-2</v>
      </c>
      <c r="V4220">
        <v>-1.468649E-2</v>
      </c>
      <c r="W4220">
        <v>0.20770279999999999</v>
      </c>
      <c r="X4220">
        <v>0.97808170000000005</v>
      </c>
      <c r="Y4220">
        <v>-4.0286339999999997E-2</v>
      </c>
      <c r="Z4220">
        <v>-1.444617E-3</v>
      </c>
      <c r="AA4220">
        <v>0.99918709999999999</v>
      </c>
      <c r="AB4220">
        <v>38</v>
      </c>
      <c r="AC4220">
        <v>-27.599399999999999</v>
      </c>
      <c r="AD4220">
        <v>-1.120579622653</v>
      </c>
      <c r="AE4220">
        <v>-0.73319999999998198</v>
      </c>
      <c r="AF4220">
        <v>-1.1275358895118399</v>
      </c>
      <c r="AG4220">
        <v>-1.120579622653</v>
      </c>
      <c r="AH4220">
        <v>27.540659397925801</v>
      </c>
      <c r="AI4220">
        <v>92.328028339583696</v>
      </c>
      <c r="AJ4220">
        <v>92.344424231438794</v>
      </c>
      <c r="AK4220">
        <v>27.586499523234199</v>
      </c>
      <c r="AL4220">
        <v>78.012235413893606</v>
      </c>
      <c r="AM4220">
        <v>90.860266232851103</v>
      </c>
      <c r="AN4220">
        <v>0.99999997899562398</v>
      </c>
    </row>
    <row r="4221" spans="1:40" x14ac:dyDescent="0.25">
      <c r="A4221" t="str">
        <f>"20190303162344145"</f>
        <v>20190303162344145</v>
      </c>
      <c r="B4221" t="str">
        <f>"1551601424138762"</f>
        <v>1551601424138762</v>
      </c>
      <c r="C4221" t="s">
        <v>40</v>
      </c>
      <c r="D4221">
        <v>4.2278989999999999</v>
      </c>
      <c r="E4221">
        <v>0.49212119999999998</v>
      </c>
      <c r="F4221" t="s">
        <v>55</v>
      </c>
      <c r="G4221">
        <v>-301.94589999999999</v>
      </c>
      <c r="H4221" s="1">
        <v>-8.6400410000000008E-6</v>
      </c>
      <c r="I4221">
        <v>140.6387</v>
      </c>
      <c r="J4221">
        <v>-274.73689999999999</v>
      </c>
      <c r="K4221">
        <v>1.120598</v>
      </c>
      <c r="L4221">
        <v>141.321</v>
      </c>
      <c r="M4221">
        <v>-0.99983940000000004</v>
      </c>
      <c r="N4221">
        <v>-1.108409E-2</v>
      </c>
      <c r="O4221">
        <v>1.408964E-2</v>
      </c>
      <c r="P4221">
        <v>-0.98065290000000005</v>
      </c>
      <c r="Q4221">
        <v>0.195743</v>
      </c>
      <c r="R4221">
        <v>2.1761200000000001E-3</v>
      </c>
      <c r="S4221">
        <v>-3.084991</v>
      </c>
      <c r="T4221">
        <v>-0.1252366</v>
      </c>
      <c r="U4221">
        <v>-7.5637819999999995E-2</v>
      </c>
      <c r="V4221">
        <v>-1.170856E-2</v>
      </c>
      <c r="W4221">
        <v>0.20659630000000001</v>
      </c>
      <c r="X4221">
        <v>0.97835620000000001</v>
      </c>
      <c r="Y4221">
        <v>-3.8547940000000003E-2</v>
      </c>
      <c r="Z4221">
        <v>-1.41134299999999E-3</v>
      </c>
      <c r="AA4221">
        <v>0.99925580000000003</v>
      </c>
      <c r="AB4221">
        <v>38</v>
      </c>
      <c r="AC4221">
        <v>-27.209</v>
      </c>
      <c r="AD4221">
        <v>-1.120606640041</v>
      </c>
      <c r="AE4221">
        <v>-0.68229999999999702</v>
      </c>
      <c r="AF4221">
        <v>-1.06381746140443</v>
      </c>
      <c r="AG4221">
        <v>-1.120606640041</v>
      </c>
      <c r="AH4221">
        <v>27.150660395542499</v>
      </c>
      <c r="AI4221">
        <v>92.361653950958399</v>
      </c>
      <c r="AJ4221">
        <v>92.243816047821198</v>
      </c>
      <c r="AK4221">
        <v>27.194591865791502</v>
      </c>
      <c r="AL4221">
        <v>78.077038938077905</v>
      </c>
      <c r="AM4221">
        <v>90.685659321024005</v>
      </c>
      <c r="AN4221">
        <v>0.99999998781470101</v>
      </c>
    </row>
    <row r="4222" spans="1:40" x14ac:dyDescent="0.25">
      <c r="A4222" t="str">
        <f>"20190303162344256"</f>
        <v>20190303162344256</v>
      </c>
      <c r="B4222" t="str">
        <f>"1551601424249050"</f>
        <v>1551601424249050</v>
      </c>
      <c r="C4222" t="s">
        <v>40</v>
      </c>
      <c r="D4222">
        <v>7.149114</v>
      </c>
      <c r="E4222">
        <v>0.49212119999999998</v>
      </c>
      <c r="F4222" t="s">
        <v>55</v>
      </c>
      <c r="G4222">
        <v>-301.02390000000003</v>
      </c>
      <c r="H4222" s="1">
        <v>-8.5480390000000002E-6</v>
      </c>
      <c r="I4222">
        <v>140.78630000000001</v>
      </c>
      <c r="J4222">
        <v>-276.64569999999998</v>
      </c>
      <c r="K4222">
        <v>1.12069</v>
      </c>
      <c r="L4222">
        <v>141.3459</v>
      </c>
      <c r="M4222">
        <v>-0.99985579999999996</v>
      </c>
      <c r="N4222">
        <v>-1.1093270000000001E-2</v>
      </c>
      <c r="O4222">
        <v>1.286727E-2</v>
      </c>
      <c r="P4222">
        <v>-0.98052859999999997</v>
      </c>
      <c r="Q4222">
        <v>0.19621559999999999</v>
      </c>
      <c r="R4222">
        <v>7.9546169999999902E-3</v>
      </c>
      <c r="S4222">
        <v>-3.0855709999999998</v>
      </c>
      <c r="T4222">
        <v>-0.13153719999999999</v>
      </c>
      <c r="U4222">
        <v>-6.2759400000000007E-2</v>
      </c>
      <c r="V4222">
        <v>-4.7725859999999997E-3</v>
      </c>
      <c r="W4222">
        <v>0.2070787</v>
      </c>
      <c r="X4222">
        <v>0.97831270000000004</v>
      </c>
      <c r="Y4222">
        <v>-3.315481E-2</v>
      </c>
      <c r="Z4222">
        <v>-1.2958749999999999E-3</v>
      </c>
      <c r="AA4222">
        <v>0.99944940000000004</v>
      </c>
      <c r="AB4222">
        <v>38</v>
      </c>
      <c r="AC4222">
        <v>-24.3782</v>
      </c>
      <c r="AD4222">
        <v>-1.1206985480389999</v>
      </c>
      <c r="AE4222">
        <v>-0.559599999999989</v>
      </c>
      <c r="AF4222">
        <v>-0.87141316860352702</v>
      </c>
      <c r="AG4222">
        <v>-1.1206985480389999</v>
      </c>
      <c r="AH4222">
        <v>24.317615680925599</v>
      </c>
      <c r="AI4222">
        <v>92.636968825660801</v>
      </c>
      <c r="AJ4222">
        <v>92.052295855767696</v>
      </c>
      <c r="AK4222">
        <v>24.359018012867299</v>
      </c>
      <c r="AL4222">
        <v>78.048789329213704</v>
      </c>
      <c r="AM4222">
        <v>90.279508653987406</v>
      </c>
      <c r="AN4222">
        <v>1.0000000522760499</v>
      </c>
    </row>
    <row r="4223" spans="1:40" x14ac:dyDescent="0.25">
      <c r="A4223" t="str">
        <f>"20190303162344279"</f>
        <v>20190303162344279</v>
      </c>
      <c r="B4223" t="str">
        <f>"1551601424269545"</f>
        <v>1551601424269545</v>
      </c>
      <c r="C4223" t="s">
        <v>40</v>
      </c>
      <c r="D4223">
        <v>5.77074</v>
      </c>
      <c r="E4223">
        <v>0.49166949999999998</v>
      </c>
      <c r="F4223" t="s">
        <v>55</v>
      </c>
      <c r="G4223">
        <v>-303.13850000000002</v>
      </c>
      <c r="H4223" s="1">
        <v>-8.92173E-6</v>
      </c>
      <c r="I4223">
        <v>141.00989999999999</v>
      </c>
      <c r="J4223">
        <v>-277.01929999999999</v>
      </c>
      <c r="K4223">
        <v>1.1207069999999999</v>
      </c>
      <c r="L4223">
        <v>141.35050000000001</v>
      </c>
      <c r="M4223">
        <v>-0.99985880000000005</v>
      </c>
      <c r="N4223">
        <v>-1.1095519999999999E-2</v>
      </c>
      <c r="O4223">
        <v>1.262782E-2</v>
      </c>
      <c r="P4223">
        <v>-0.98024409999999895</v>
      </c>
      <c r="Q4223">
        <v>0.1976946</v>
      </c>
      <c r="R4223">
        <v>6.2378059999999898E-3</v>
      </c>
      <c r="S4223">
        <v>-3.0859990000000002</v>
      </c>
      <c r="T4223">
        <v>-0.1305442</v>
      </c>
      <c r="U4223">
        <v>-3.913879E-2</v>
      </c>
      <c r="V4223">
        <v>-6.2540290000000004E-3</v>
      </c>
      <c r="W4223">
        <v>0.20855589999999999</v>
      </c>
      <c r="X4223">
        <v>0.97799040000000004</v>
      </c>
      <c r="Y4223">
        <v>-2.5273569999999999E-2</v>
      </c>
      <c r="Z4223">
        <v>-1.0684609999999999E-3</v>
      </c>
      <c r="AA4223">
        <v>0.99968000000000001</v>
      </c>
      <c r="AB4223">
        <v>38</v>
      </c>
      <c r="AC4223">
        <v>-26.119199999999999</v>
      </c>
      <c r="AD4223">
        <v>-1.12071592173</v>
      </c>
      <c r="AE4223">
        <v>-0.340600000000023</v>
      </c>
      <c r="AF4223">
        <v>-0.66918984936988302</v>
      </c>
      <c r="AG4223">
        <v>-1.12071592173</v>
      </c>
      <c r="AH4223">
        <v>26.064836708077799</v>
      </c>
      <c r="AI4223">
        <v>92.4612335888351</v>
      </c>
      <c r="AJ4223">
        <v>91.4706914688702</v>
      </c>
      <c r="AK4223">
        <v>26.0975004904776</v>
      </c>
      <c r="AL4223">
        <v>77.962261668314397</v>
      </c>
      <c r="AM4223">
        <v>90.366388649995898</v>
      </c>
      <c r="AN4223">
        <v>0.99999994939784997</v>
      </c>
    </row>
    <row r="4224" spans="1:40" x14ac:dyDescent="0.25">
      <c r="A4224" t="str">
        <f>"20190303162344301"</f>
        <v>20190303162344301</v>
      </c>
      <c r="B4224" t="str">
        <f>"1551601424298825"</f>
        <v>1551601424298825</v>
      </c>
      <c r="C4224" t="s">
        <v>40</v>
      </c>
      <c r="D4224">
        <v>5.8432009999999996</v>
      </c>
      <c r="E4224">
        <v>0.49060559999999998</v>
      </c>
      <c r="F4224" t="s">
        <v>55</v>
      </c>
      <c r="G4224">
        <v>-302.90879999999999</v>
      </c>
      <c r="H4224" s="1">
        <v>-8.8730990000000004E-6</v>
      </c>
      <c r="I4224">
        <v>140.9573</v>
      </c>
      <c r="J4224">
        <v>-277.40699999999998</v>
      </c>
      <c r="K4224">
        <v>1.120709</v>
      </c>
      <c r="L4224">
        <v>141.3552</v>
      </c>
      <c r="M4224">
        <v>-0.99986189999999997</v>
      </c>
      <c r="N4224">
        <v>-1.1098E-2</v>
      </c>
      <c r="O4224">
        <v>1.2378190000000001E-2</v>
      </c>
      <c r="P4224">
        <v>-0.98041990000000001</v>
      </c>
      <c r="Q4224">
        <v>0.1968297</v>
      </c>
      <c r="R4224">
        <v>5.9389999999999998E-3</v>
      </c>
      <c r="S4224">
        <v>-3.0877080000000001</v>
      </c>
      <c r="T4224">
        <v>-0.13366220000000001</v>
      </c>
      <c r="U4224">
        <v>-4.6890260000000003E-2</v>
      </c>
      <c r="V4224">
        <v>-6.3121050000000001E-3</v>
      </c>
      <c r="W4224">
        <v>0.20769489999999999</v>
      </c>
      <c r="X4224">
        <v>0.97817330000000002</v>
      </c>
      <c r="Y4224">
        <v>-2.7521919999999998E-2</v>
      </c>
      <c r="Z4224">
        <v>-1.1464330000000001E-3</v>
      </c>
      <c r="AA4224">
        <v>0.99962059999999997</v>
      </c>
      <c r="AB4224">
        <v>38</v>
      </c>
      <c r="AC4224">
        <v>-25.501799999999999</v>
      </c>
      <c r="AD4224">
        <v>-1.120717873099</v>
      </c>
      <c r="AE4224">
        <v>-0.39789999999999198</v>
      </c>
      <c r="AF4224">
        <v>-0.71217994482938396</v>
      </c>
      <c r="AG4224">
        <v>-1.120717873099</v>
      </c>
      <c r="AH4224">
        <v>25.445788787646102</v>
      </c>
      <c r="AI4224">
        <v>92.520882584318102</v>
      </c>
      <c r="AJ4224">
        <v>91.603182978464503</v>
      </c>
      <c r="AK4224">
        <v>25.480411610694102</v>
      </c>
      <c r="AL4224">
        <v>78.0126985123689</v>
      </c>
      <c r="AM4224">
        <v>90.369721762595105</v>
      </c>
      <c r="AN4224">
        <v>1.0000000094942101</v>
      </c>
    </row>
    <row r="4225" spans="1:40" x14ac:dyDescent="0.25">
      <c r="A4225" t="str">
        <f>"20190303162344325"</f>
        <v>20190303162344325</v>
      </c>
      <c r="B4225" t="str">
        <f>"1551601424319324"</f>
        <v>1551601424319324</v>
      </c>
      <c r="C4225" t="s">
        <v>40</v>
      </c>
      <c r="D4225">
        <v>5.4835699999999896</v>
      </c>
      <c r="E4225">
        <v>0.48927520000000002</v>
      </c>
      <c r="F4225" t="s">
        <v>55</v>
      </c>
      <c r="G4225">
        <v>-302.4522</v>
      </c>
      <c r="H4225" s="1">
        <v>-8.789053E-6</v>
      </c>
      <c r="I4225">
        <v>140.89519999999999</v>
      </c>
      <c r="J4225">
        <v>-277.79129999999998</v>
      </c>
      <c r="K4225">
        <v>1.1207</v>
      </c>
      <c r="L4225">
        <v>141.3597</v>
      </c>
      <c r="M4225">
        <v>-0.99986489999999995</v>
      </c>
      <c r="N4225">
        <v>-1.11007E-2</v>
      </c>
      <c r="O4225">
        <v>1.2130119999999999E-2</v>
      </c>
      <c r="P4225">
        <v>-0.98075349999999994</v>
      </c>
      <c r="Q4225">
        <v>0.19520319999999999</v>
      </c>
      <c r="R4225">
        <v>4.2904589999999999E-3</v>
      </c>
      <c r="S4225">
        <v>-3.0880130000000001</v>
      </c>
      <c r="T4225">
        <v>-0.13818179999999999</v>
      </c>
      <c r="U4225">
        <v>-5.6716919999999997E-2</v>
      </c>
      <c r="V4225">
        <v>-7.7220209999999999E-3</v>
      </c>
      <c r="W4225">
        <v>0.2060737</v>
      </c>
      <c r="X4225">
        <v>0.97850599999999999</v>
      </c>
      <c r="Y4225">
        <v>-3.0446299999999999E-2</v>
      </c>
      <c r="Z4225">
        <v>-1.257808E-3</v>
      </c>
      <c r="AA4225">
        <v>0.99953559999999997</v>
      </c>
      <c r="AB4225">
        <v>38</v>
      </c>
      <c r="AC4225">
        <v>-24.660900000000002</v>
      </c>
      <c r="AD4225">
        <v>-1.1207087890530001</v>
      </c>
      <c r="AE4225">
        <v>-0.46450000000001501</v>
      </c>
      <c r="AF4225">
        <v>-0.76205065355022195</v>
      </c>
      <c r="AG4225">
        <v>-1.1207087890530001</v>
      </c>
      <c r="AH4225">
        <v>24.602658577173202</v>
      </c>
      <c r="AI4225">
        <v>92.606905601740294</v>
      </c>
      <c r="AJ4225">
        <v>91.774130661328002</v>
      </c>
      <c r="AK4225">
        <v>24.6399577607875</v>
      </c>
      <c r="AL4225">
        <v>78.107640305082697</v>
      </c>
      <c r="AM4225">
        <v>90.452148508240995</v>
      </c>
      <c r="AN4225">
        <v>0.99999999573800702</v>
      </c>
    </row>
    <row r="4226" spans="1:40" x14ac:dyDescent="0.25">
      <c r="A4226" t="str">
        <f>"20190303162344346"</f>
        <v>20190303162344346</v>
      </c>
      <c r="B4226" t="str">
        <f>"1551601424338842"</f>
        <v>1551601424338842</v>
      </c>
      <c r="C4226" t="s">
        <v>40</v>
      </c>
      <c r="D4226">
        <v>5.5037570000000002</v>
      </c>
      <c r="E4226">
        <v>0.48868650000000002</v>
      </c>
      <c r="F4226" t="s">
        <v>55</v>
      </c>
      <c r="G4226">
        <v>-303.09129999999999</v>
      </c>
      <c r="H4226" s="1">
        <v>-8.8426030000000006E-6</v>
      </c>
      <c r="I4226">
        <v>140.76669999999999</v>
      </c>
      <c r="J4226">
        <v>-278.16800000000001</v>
      </c>
      <c r="K4226">
        <v>1.1207009999999999</v>
      </c>
      <c r="L4226">
        <v>141.364</v>
      </c>
      <c r="M4226">
        <v>-0.99986790000000003</v>
      </c>
      <c r="N4226">
        <v>-1.110328E-2</v>
      </c>
      <c r="O4226">
        <v>1.188678E-2</v>
      </c>
      <c r="P4226">
        <v>-0.9810354</v>
      </c>
      <c r="Q4226">
        <v>0.19381889999999999</v>
      </c>
      <c r="R4226">
        <v>1.9833659999999999E-3</v>
      </c>
      <c r="S4226">
        <v>-3.086395</v>
      </c>
      <c r="T4226">
        <v>-0.13671710000000001</v>
      </c>
      <c r="U4226">
        <v>-7.2341920000000004E-2</v>
      </c>
      <c r="V4226">
        <v>-9.7942180000000004E-3</v>
      </c>
      <c r="W4226">
        <v>0.20469329999999999</v>
      </c>
      <c r="X4226">
        <v>0.97877720000000001</v>
      </c>
      <c r="Y4226">
        <v>-3.5265329999999998E-2</v>
      </c>
      <c r="Z4226">
        <v>-1.37081799999999E-3</v>
      </c>
      <c r="AA4226">
        <v>0.99937710000000002</v>
      </c>
      <c r="AB4226">
        <v>38</v>
      </c>
      <c r="AC4226">
        <v>-24.923299999999902</v>
      </c>
      <c r="AD4226">
        <v>-1.120709842603</v>
      </c>
      <c r="AE4226">
        <v>-0.59730000000001804</v>
      </c>
      <c r="AF4226">
        <v>-0.89173176190836401</v>
      </c>
      <c r="AG4226">
        <v>-1.120709842603</v>
      </c>
      <c r="AH4226">
        <v>24.864192676217399</v>
      </c>
      <c r="AI4226">
        <v>92.579104061298906</v>
      </c>
      <c r="AJ4226">
        <v>92.0539809339339</v>
      </c>
      <c r="AK4226">
        <v>24.905406110452599</v>
      </c>
      <c r="AL4226">
        <v>78.1884547692502</v>
      </c>
      <c r="AM4226">
        <v>90.573315996665499</v>
      </c>
      <c r="AN4226">
        <v>1.0000000405054801</v>
      </c>
    </row>
    <row r="4227" spans="1:40" x14ac:dyDescent="0.25">
      <c r="A4227" t="str">
        <f>"20190303162344368"</f>
        <v>20190303162344368</v>
      </c>
      <c r="B4227" t="str">
        <f>"1551601424359337"</f>
        <v>1551601424359337</v>
      </c>
      <c r="C4227" t="s">
        <v>40</v>
      </c>
      <c r="D4227">
        <v>5.511552</v>
      </c>
      <c r="E4227">
        <v>0.48820449999999999</v>
      </c>
      <c r="F4227" t="s">
        <v>55</v>
      </c>
      <c r="G4227">
        <v>-303.01620000000003</v>
      </c>
      <c r="H4227" s="1">
        <v>-8.8090459999999905E-6</v>
      </c>
      <c r="I4227">
        <v>140.6902</v>
      </c>
      <c r="J4227">
        <v>-278.54289999999997</v>
      </c>
      <c r="K4227">
        <v>1.120692</v>
      </c>
      <c r="L4227">
        <v>141.3683</v>
      </c>
      <c r="M4227">
        <v>-0.9998705</v>
      </c>
      <c r="N4227">
        <v>-1.110591E-2</v>
      </c>
      <c r="O4227">
        <v>1.1644450000000001E-2</v>
      </c>
      <c r="P4227">
        <v>-0.98121049999999999</v>
      </c>
      <c r="Q4227">
        <v>0.19293979999999999</v>
      </c>
      <c r="R4227" s="1">
        <v>-4.667602E-5</v>
      </c>
      <c r="S4227">
        <v>-3.085693</v>
      </c>
      <c r="T4227">
        <v>-0.13917179999999901</v>
      </c>
      <c r="U4227">
        <v>-8.3679199999999995E-2</v>
      </c>
      <c r="V4227">
        <v>-1.1588559999999999E-2</v>
      </c>
      <c r="W4227">
        <v>0.2038181</v>
      </c>
      <c r="X4227">
        <v>0.97894020000000004</v>
      </c>
      <c r="Y4227">
        <v>-3.8691799999999998E-2</v>
      </c>
      <c r="Z4227">
        <v>-1.482567E-3</v>
      </c>
      <c r="AA4227">
        <v>0.99925010000000003</v>
      </c>
      <c r="AB4227">
        <v>38</v>
      </c>
      <c r="AC4227">
        <v>-24.473299999999998</v>
      </c>
      <c r="AD4227">
        <v>-1.120700809046</v>
      </c>
      <c r="AE4227">
        <v>-0.67810000000000004</v>
      </c>
      <c r="AF4227">
        <v>-0.96103599407750895</v>
      </c>
      <c r="AG4227">
        <v>-1.120700809046</v>
      </c>
      <c r="AH4227">
        <v>24.412590499248001</v>
      </c>
      <c r="AI4227">
        <v>92.626381827306801</v>
      </c>
      <c r="AJ4227">
        <v>92.254364964446395</v>
      </c>
      <c r="AK4227">
        <v>24.4571898502114</v>
      </c>
      <c r="AL4227">
        <v>78.239679669879905</v>
      </c>
      <c r="AM4227">
        <v>90.678227909973998</v>
      </c>
      <c r="AN4227">
        <v>1.0000000138932601</v>
      </c>
    </row>
    <row r="4228" spans="1:40" x14ac:dyDescent="0.25">
      <c r="A4228" t="str">
        <f>"20190303162344390"</f>
        <v>20190303162344390</v>
      </c>
      <c r="B4228" t="str">
        <f>"1551601424378858"</f>
        <v>1551601424378858</v>
      </c>
      <c r="C4228" t="s">
        <v>40</v>
      </c>
      <c r="D4228">
        <v>5.5024089999999903</v>
      </c>
      <c r="E4228">
        <v>0.48754540000000002</v>
      </c>
      <c r="F4228" t="s">
        <v>55</v>
      </c>
      <c r="G4228">
        <v>-303.28120000000001</v>
      </c>
      <c r="H4228" s="1">
        <v>-8.8262289999999996E-6</v>
      </c>
      <c r="I4228">
        <v>140.62</v>
      </c>
      <c r="J4228">
        <v>-278.93049999999999</v>
      </c>
      <c r="K4228">
        <v>1.120682</v>
      </c>
      <c r="L4228">
        <v>141.3725</v>
      </c>
      <c r="M4228">
        <v>-0.99987329999999996</v>
      </c>
      <c r="N4228">
        <v>-1.110858E-2</v>
      </c>
      <c r="O4228">
        <v>1.1393840000000001E-2</v>
      </c>
      <c r="P4228">
        <v>-0.98147689999999999</v>
      </c>
      <c r="Q4228">
        <v>0.19157879999999999</v>
      </c>
      <c r="R4228">
        <v>-7.7567439999999999E-4</v>
      </c>
      <c r="S4228">
        <v>-3.0849000000000002</v>
      </c>
      <c r="T4228">
        <v>-0.13975299999999999</v>
      </c>
      <c r="U4228">
        <v>-9.3307500000000002E-2</v>
      </c>
      <c r="V4228">
        <v>-1.2074690000000001E-2</v>
      </c>
      <c r="W4228">
        <v>0.20246220000000001</v>
      </c>
      <c r="X4228">
        <v>0.97921559999999996</v>
      </c>
      <c r="Y4228">
        <v>-4.1560369999999999E-2</v>
      </c>
      <c r="Z4228">
        <v>-1.5610450000000001E-3</v>
      </c>
      <c r="AA4228">
        <v>0.99913479999999999</v>
      </c>
      <c r="AB4228">
        <v>38</v>
      </c>
      <c r="AC4228">
        <v>-24.3507</v>
      </c>
      <c r="AD4228">
        <v>-1.1206908262289901</v>
      </c>
      <c r="AE4228">
        <v>-0.75249999999999695</v>
      </c>
      <c r="AF4228">
        <v>-1.02774147662382</v>
      </c>
      <c r="AG4228">
        <v>-1.1206908262289901</v>
      </c>
      <c r="AH4228">
        <v>24.289146732696899</v>
      </c>
      <c r="AI4228">
        <v>92.639370836799102</v>
      </c>
      <c r="AJ4228">
        <v>92.422898804399495</v>
      </c>
      <c r="AK4228">
        <v>24.336697587660598</v>
      </c>
      <c r="AL4228">
        <v>78.319020754513801</v>
      </c>
      <c r="AM4228">
        <v>90.706477423582498</v>
      </c>
      <c r="AN4228">
        <v>0.99999996592539697</v>
      </c>
    </row>
    <row r="4229" spans="1:40" x14ac:dyDescent="0.25">
      <c r="A4229" t="str">
        <f>"20190303162344413"</f>
        <v>20190303162344413</v>
      </c>
      <c r="B4229" t="str">
        <f>"1551601424399354"</f>
        <v>1551601424399354</v>
      </c>
      <c r="C4229" t="s">
        <v>40</v>
      </c>
      <c r="D4229">
        <v>5.2539680000000004</v>
      </c>
      <c r="E4229">
        <v>0.4870198</v>
      </c>
      <c r="F4229" t="s">
        <v>55</v>
      </c>
      <c r="G4229">
        <v>-303.04169999999999</v>
      </c>
      <c r="H4229" s="1">
        <v>-8.7805849999999992E-6</v>
      </c>
      <c r="I4229">
        <v>140.5822</v>
      </c>
      <c r="J4229">
        <v>-279.32159999999999</v>
      </c>
      <c r="K4229">
        <v>1.120663</v>
      </c>
      <c r="L4229">
        <v>141.3768</v>
      </c>
      <c r="M4229">
        <v>-0.99987630000000005</v>
      </c>
      <c r="N4229">
        <v>-1.111126E-2</v>
      </c>
      <c r="O4229">
        <v>1.1140499999999999E-2</v>
      </c>
      <c r="P4229">
        <v>-0.98195200000000005</v>
      </c>
      <c r="Q4229">
        <v>0.18912519999999999</v>
      </c>
      <c r="R4229">
        <v>-1.567887E-3</v>
      </c>
      <c r="S4229">
        <v>-3.0845030000000002</v>
      </c>
      <c r="T4229">
        <v>-0.14336779999999999</v>
      </c>
      <c r="U4229">
        <v>-0.10110470000000001</v>
      </c>
      <c r="V4229">
        <v>-1.26228E-2</v>
      </c>
      <c r="W4229">
        <v>0.2000161</v>
      </c>
      <c r="X4229">
        <v>0.97971129999999995</v>
      </c>
      <c r="Y4229">
        <v>-4.3828319999999997E-2</v>
      </c>
      <c r="Z4229">
        <v>-1.6551840000000001E-3</v>
      </c>
      <c r="AA4229">
        <v>0.99903770000000003</v>
      </c>
      <c r="AB4229">
        <v>38</v>
      </c>
      <c r="AC4229">
        <v>-23.720099999999999</v>
      </c>
      <c r="AD4229">
        <v>-1.1206717805849999</v>
      </c>
      <c r="AE4229">
        <v>-0.79460000000000197</v>
      </c>
      <c r="AF4229">
        <v>-1.0564651985917</v>
      </c>
      <c r="AG4229">
        <v>-1.1206717805849999</v>
      </c>
      <c r="AH4229">
        <v>23.657028126085301</v>
      </c>
      <c r="AI4229">
        <v>92.709470055733306</v>
      </c>
      <c r="AJ4229">
        <v>92.556990924405795</v>
      </c>
      <c r="AK4229">
        <v>23.707108716881201</v>
      </c>
      <c r="AL4229">
        <v>78.4620995208235</v>
      </c>
      <c r="AM4229">
        <v>90.738169652701799</v>
      </c>
      <c r="AN4229">
        <v>1.00000000334337</v>
      </c>
    </row>
    <row r="4230" spans="1:40" x14ac:dyDescent="0.25">
      <c r="A4230" t="str">
        <f>"20190303162344438"</f>
        <v>20190303162344438</v>
      </c>
      <c r="B4230" t="str">
        <f>"1551601424429610"</f>
        <v>1551601424429610</v>
      </c>
      <c r="C4230" t="s">
        <v>40</v>
      </c>
      <c r="D4230">
        <v>5.4936489999999996</v>
      </c>
      <c r="E4230">
        <v>0.48636269999999998</v>
      </c>
      <c r="F4230" t="s">
        <v>55</v>
      </c>
      <c r="G4230">
        <v>-302.37009999999998</v>
      </c>
      <c r="H4230" s="1">
        <v>-8.6798699999999993E-6</v>
      </c>
      <c r="I4230">
        <v>140.56790000000001</v>
      </c>
      <c r="J4230">
        <v>-279.73149999999998</v>
      </c>
      <c r="K4230">
        <v>1.1206419999999999</v>
      </c>
      <c r="L4230">
        <v>141.3811</v>
      </c>
      <c r="M4230">
        <v>-0.99987910000000002</v>
      </c>
      <c r="N4230">
        <v>-1.111437E-2</v>
      </c>
      <c r="O4230">
        <v>1.087541E-2</v>
      </c>
      <c r="P4230">
        <v>-0.98219979999999996</v>
      </c>
      <c r="Q4230">
        <v>0.18781780000000001</v>
      </c>
      <c r="R4230">
        <v>-2.8813160000000001E-3</v>
      </c>
      <c r="S4230">
        <v>-3.0838930000000002</v>
      </c>
      <c r="T4230">
        <v>-0.1499462</v>
      </c>
      <c r="U4230">
        <v>-0.1082306</v>
      </c>
      <c r="V4230">
        <v>-1.3678539999999999E-2</v>
      </c>
      <c r="W4230">
        <v>0.1987139</v>
      </c>
      <c r="X4230">
        <v>0.97996209999999995</v>
      </c>
      <c r="Y4230">
        <v>-4.586701E-2</v>
      </c>
      <c r="Z4230">
        <v>-1.7767939999999999E-3</v>
      </c>
      <c r="AA4230">
        <v>0.998946</v>
      </c>
      <c r="AB4230">
        <v>38</v>
      </c>
      <c r="AC4230">
        <v>-22.6386</v>
      </c>
      <c r="AD4230">
        <v>-1.12065067987</v>
      </c>
      <c r="AE4230">
        <v>-0.81319999999999404</v>
      </c>
      <c r="AF4230">
        <v>-1.05678492989425</v>
      </c>
      <c r="AG4230">
        <v>-1.12065067987</v>
      </c>
      <c r="AH4230">
        <v>22.5731739944715</v>
      </c>
      <c r="AI4230">
        <v>92.839025009725205</v>
      </c>
      <c r="AJ4230">
        <v>92.680400125449495</v>
      </c>
      <c r="AK4230">
        <v>22.625667648028202</v>
      </c>
      <c r="AL4230">
        <v>78.538238717381802</v>
      </c>
      <c r="AM4230">
        <v>90.799695947112099</v>
      </c>
      <c r="AN4230">
        <v>1.0000000169730701</v>
      </c>
    </row>
    <row r="4231" spans="1:40" x14ac:dyDescent="0.25">
      <c r="A4231" t="str">
        <f>"20190303162344458"</f>
        <v>20190303162344458</v>
      </c>
      <c r="B4231" t="str">
        <f>"1551601424449130"</f>
        <v>1551601424449130</v>
      </c>
      <c r="C4231" t="s">
        <v>40</v>
      </c>
      <c r="D4231">
        <v>5.5560210000000003</v>
      </c>
      <c r="E4231">
        <v>0.48588320000000002</v>
      </c>
      <c r="F4231" t="s">
        <v>55</v>
      </c>
      <c r="G4231">
        <v>-302.52850000000001</v>
      </c>
      <c r="H4231" s="1">
        <v>-8.686317E-6</v>
      </c>
      <c r="I4231">
        <v>140.51310000000001</v>
      </c>
      <c r="J4231">
        <v>-280.09309999999999</v>
      </c>
      <c r="K4231">
        <v>1.120609</v>
      </c>
      <c r="L4231">
        <v>141.38480000000001</v>
      </c>
      <c r="M4231">
        <v>-0.99988169999999998</v>
      </c>
      <c r="N4231">
        <v>-1.111729E-2</v>
      </c>
      <c r="O4231">
        <v>1.06415E-2</v>
      </c>
      <c r="P4231">
        <v>-0.98260519999999996</v>
      </c>
      <c r="Q4231">
        <v>0.18565999999999999</v>
      </c>
      <c r="R4231">
        <v>-4.2195189999999997E-3</v>
      </c>
      <c r="S4231">
        <v>-3.083008</v>
      </c>
      <c r="T4231">
        <v>-0.15155399999999999</v>
      </c>
      <c r="U4231">
        <v>-0.1173859</v>
      </c>
      <c r="V4231">
        <v>-1.4789729999999999E-2</v>
      </c>
      <c r="W4231">
        <v>0.19656270000000001</v>
      </c>
      <c r="X4231">
        <v>0.98037969999999997</v>
      </c>
      <c r="Y4231">
        <v>-4.8600259999999999E-2</v>
      </c>
      <c r="Z4231">
        <v>-1.868268E-3</v>
      </c>
      <c r="AA4231">
        <v>0.9988165</v>
      </c>
      <c r="AB4231">
        <v>38</v>
      </c>
      <c r="AC4231">
        <v>-22.435400000000001</v>
      </c>
      <c r="AD4231">
        <v>-1.1206176863170001</v>
      </c>
      <c r="AE4231">
        <v>-0.87170000000000403</v>
      </c>
      <c r="AF4231">
        <v>-1.10765239128867</v>
      </c>
      <c r="AG4231">
        <v>-1.1206176863170001</v>
      </c>
      <c r="AH4231">
        <v>22.369128861674199</v>
      </c>
      <c r="AI4231">
        <v>92.864423470395593</v>
      </c>
      <c r="AJ4231">
        <v>92.834800320554805</v>
      </c>
      <c r="AK4231">
        <v>22.4245535930818</v>
      </c>
      <c r="AL4231">
        <v>78.663973273733205</v>
      </c>
      <c r="AM4231">
        <v>90.864282313582393</v>
      </c>
      <c r="AN4231">
        <v>0.99999999365842596</v>
      </c>
    </row>
    <row r="4232" spans="1:40" x14ac:dyDescent="0.25">
      <c r="A4232" t="str">
        <f>"20190303162344479"</f>
        <v>20190303162344479</v>
      </c>
      <c r="B4232" t="str">
        <f>"1551601424468650"</f>
        <v>1551601424468650</v>
      </c>
      <c r="C4232" t="s">
        <v>40</v>
      </c>
      <c r="D4232">
        <v>5.4951860000000003</v>
      </c>
      <c r="E4232">
        <v>0.48536580000000001</v>
      </c>
      <c r="F4232" t="s">
        <v>55</v>
      </c>
      <c r="G4232">
        <v>-302.09539999999998</v>
      </c>
      <c r="H4232" s="1">
        <v>-8.61762E-6</v>
      </c>
      <c r="I4232">
        <v>140.49119999999999</v>
      </c>
      <c r="J4232">
        <v>-280.4479</v>
      </c>
      <c r="K4232">
        <v>1.1205579999999999</v>
      </c>
      <c r="L4232">
        <v>141.38829999999999</v>
      </c>
      <c r="M4232">
        <v>-0.999884</v>
      </c>
      <c r="N4232">
        <v>-1.112019E-2</v>
      </c>
      <c r="O4232">
        <v>1.041188E-2</v>
      </c>
      <c r="P4232">
        <v>-0.98359459999999999</v>
      </c>
      <c r="Q4232">
        <v>0.18031420000000001</v>
      </c>
      <c r="R4232">
        <v>-5.3327260000000003E-3</v>
      </c>
      <c r="S4232">
        <v>-3.082306</v>
      </c>
      <c r="T4232">
        <v>-0.15698770000000001</v>
      </c>
      <c r="U4232">
        <v>-0.12518309999999999</v>
      </c>
      <c r="V4232">
        <v>-1.568543E-2</v>
      </c>
      <c r="W4232">
        <v>0.19123039999999999</v>
      </c>
      <c r="X4232">
        <v>0.98141990000000001</v>
      </c>
      <c r="Y4232">
        <v>-5.0893239999999999E-2</v>
      </c>
      <c r="Z4232">
        <v>-1.992073E-3</v>
      </c>
      <c r="AA4232">
        <v>0.99870210000000004</v>
      </c>
      <c r="AB4232">
        <v>38</v>
      </c>
      <c r="AC4232">
        <v>-21.647499999999901</v>
      </c>
      <c r="AD4232">
        <v>-1.12056661762</v>
      </c>
      <c r="AE4232">
        <v>-0.89709999999999401</v>
      </c>
      <c r="AF4232">
        <v>-1.1194619692248899</v>
      </c>
      <c r="AG4232">
        <v>-1.12056661762</v>
      </c>
      <c r="AH4232">
        <v>21.579262063090599</v>
      </c>
      <c r="AI4232">
        <v>92.968597129987998</v>
      </c>
      <c r="AJ4232">
        <v>92.969656724574406</v>
      </c>
      <c r="AK4232">
        <v>21.637315356407001</v>
      </c>
      <c r="AL4232">
        <v>78.975403020006695</v>
      </c>
      <c r="AM4232">
        <v>90.915645209068202</v>
      </c>
      <c r="AN4232">
        <v>1.00000005935722</v>
      </c>
    </row>
    <row r="4233" spans="1:40" x14ac:dyDescent="0.25">
      <c r="A4233" t="str">
        <f>"20190303162344502"</f>
        <v>20190303162344502</v>
      </c>
      <c r="B4233" t="str">
        <f>"1551601424489146"</f>
        <v>1551601424489146</v>
      </c>
      <c r="C4233" t="s">
        <v>40</v>
      </c>
      <c r="D4233">
        <v>5.4371589999999896</v>
      </c>
      <c r="E4233">
        <v>0.48494209999999899</v>
      </c>
      <c r="F4233" t="s">
        <v>55</v>
      </c>
      <c r="G4233">
        <v>-300.40480000000002</v>
      </c>
      <c r="H4233" s="1">
        <v>-8.372444E-6</v>
      </c>
      <c r="I4233">
        <v>140.5369</v>
      </c>
      <c r="J4233">
        <v>-280.85359999999997</v>
      </c>
      <c r="K4233">
        <v>1.120506</v>
      </c>
      <c r="L4233">
        <v>141.39230000000001</v>
      </c>
      <c r="M4233">
        <v>-0.99988659999999996</v>
      </c>
      <c r="N4233">
        <v>-1.112347E-2</v>
      </c>
      <c r="O4233">
        <v>1.014924E-2</v>
      </c>
      <c r="P4233">
        <v>-0.98497509999999999</v>
      </c>
      <c r="Q4233">
        <v>0.17257259999999999</v>
      </c>
      <c r="R4233">
        <v>-6.5329699999999999E-3</v>
      </c>
      <c r="S4233">
        <v>-3.0810240000000002</v>
      </c>
      <c r="T4233">
        <v>-0.1729976</v>
      </c>
      <c r="U4233">
        <v>-0.13143920000000001</v>
      </c>
      <c r="V4233">
        <v>-1.663742E-2</v>
      </c>
      <c r="W4233">
        <v>0.18350759999999999</v>
      </c>
      <c r="X4233">
        <v>0.98287749999999996</v>
      </c>
      <c r="Y4233">
        <v>-5.2651070000000001E-2</v>
      </c>
      <c r="Z4233">
        <v>-2.2259979999999999E-3</v>
      </c>
      <c r="AA4233">
        <v>0.99861049999999996</v>
      </c>
      <c r="AB4233">
        <v>38</v>
      </c>
      <c r="AC4233">
        <v>-19.551200000000001</v>
      </c>
      <c r="AD4233">
        <v>-1.1205143724439901</v>
      </c>
      <c r="AE4233">
        <v>-0.85540000000000205</v>
      </c>
      <c r="AF4233">
        <v>-1.0503545931681399</v>
      </c>
      <c r="AG4233">
        <v>-1.1205143724439901</v>
      </c>
      <c r="AH4233">
        <v>19.477655804458799</v>
      </c>
      <c r="AI4233">
        <v>93.287727359974795</v>
      </c>
      <c r="AJ4233">
        <v>93.086749836314695</v>
      </c>
      <c r="AK4233">
        <v>19.538113339501599</v>
      </c>
      <c r="AL4233">
        <v>79.425865470338593</v>
      </c>
      <c r="AM4233">
        <v>90.969767766285102</v>
      </c>
      <c r="AN4233">
        <v>1.0000000115041301</v>
      </c>
    </row>
    <row r="4234" spans="1:40" x14ac:dyDescent="0.25">
      <c r="A4234" t="str">
        <f>"20190303162344526"</f>
        <v>20190303162344526</v>
      </c>
      <c r="B4234" t="str">
        <f>"1551601424519402"</f>
        <v>1551601424519402</v>
      </c>
      <c r="C4234" t="s">
        <v>40</v>
      </c>
      <c r="D4234">
        <v>5.4958070000000001</v>
      </c>
      <c r="E4234">
        <v>0.48431649999999998</v>
      </c>
      <c r="F4234" t="s">
        <v>55</v>
      </c>
      <c r="G4234">
        <v>-298.46530000000001</v>
      </c>
      <c r="H4234" s="1">
        <v>-8.4433159999999997E-6</v>
      </c>
      <c r="I4234">
        <v>140.60919999999999</v>
      </c>
      <c r="J4234">
        <v>-281.2527</v>
      </c>
      <c r="K4234">
        <v>1.1204639999999999</v>
      </c>
      <c r="L4234">
        <v>141.39609999999999</v>
      </c>
      <c r="M4234">
        <v>-0.99988929999999998</v>
      </c>
      <c r="N4234">
        <v>-1.112667E-2</v>
      </c>
      <c r="O4234">
        <v>9.8907160000000008E-3</v>
      </c>
      <c r="P4234">
        <v>-0.98613850000000003</v>
      </c>
      <c r="Q4234">
        <v>0.16573750000000001</v>
      </c>
      <c r="R4234">
        <v>-7.8793800000000001E-3</v>
      </c>
      <c r="S4234">
        <v>-3.079224</v>
      </c>
      <c r="T4234">
        <v>-0.19591120000000001</v>
      </c>
      <c r="U4234">
        <v>-0.13691710000000001</v>
      </c>
      <c r="V4234">
        <v>-1.7736450000000001E-2</v>
      </c>
      <c r="W4234">
        <v>0.17668819999999999</v>
      </c>
      <c r="X4234">
        <v>0.98410710000000001</v>
      </c>
      <c r="Y4234">
        <v>-5.4158249999999998E-2</v>
      </c>
      <c r="Z4234">
        <v>-2.540559E-3</v>
      </c>
      <c r="AA4234">
        <v>0.99852909999999995</v>
      </c>
      <c r="AB4234">
        <v>38</v>
      </c>
      <c r="AC4234">
        <v>-17.212599999999998</v>
      </c>
      <c r="AD4234">
        <v>-1.1204724433159901</v>
      </c>
      <c r="AE4234">
        <v>-0.78690000000000204</v>
      </c>
      <c r="AF4234">
        <v>-0.95308668290061604</v>
      </c>
      <c r="AG4234">
        <v>-1.1204724433159901</v>
      </c>
      <c r="AH4234">
        <v>17.131531062476402</v>
      </c>
      <c r="AI4234">
        <v>93.736288231296996</v>
      </c>
      <c r="AJ4234">
        <v>93.184281078649605</v>
      </c>
      <c r="AK4234">
        <v>17.194568597843599</v>
      </c>
      <c r="AL4234">
        <v>79.823084535923499</v>
      </c>
      <c r="AM4234">
        <v>91.032523511473102</v>
      </c>
      <c r="AN4234">
        <v>1.00000004297412</v>
      </c>
    </row>
    <row r="4235" spans="1:40" x14ac:dyDescent="0.25">
      <c r="A4235" t="str">
        <f>"20190303162344547"</f>
        <v>20190303162344547</v>
      </c>
      <c r="B4235" t="str">
        <f>"1551601424538922"</f>
        <v>1551601424538922</v>
      </c>
      <c r="C4235" t="s">
        <v>40</v>
      </c>
      <c r="D4235">
        <v>5.5709559999999998</v>
      </c>
      <c r="E4235">
        <v>0.48394290000000001</v>
      </c>
      <c r="F4235" t="s">
        <v>55</v>
      </c>
      <c r="G4235">
        <v>-297.30860000000001</v>
      </c>
      <c r="H4235" s="1">
        <v>-8.5550119999999997E-6</v>
      </c>
      <c r="I4235">
        <v>140.64750000000001</v>
      </c>
      <c r="J4235">
        <v>-281.62040000000002</v>
      </c>
      <c r="K4235">
        <v>1.1204379999999901</v>
      </c>
      <c r="L4235">
        <v>141.39949999999999</v>
      </c>
      <c r="M4235">
        <v>-0.99989159999999999</v>
      </c>
      <c r="N4235">
        <v>-1.1129460000000001E-2</v>
      </c>
      <c r="O4235">
        <v>9.6523430000000007E-3</v>
      </c>
      <c r="P4235">
        <v>-0.98682809999999999</v>
      </c>
      <c r="Q4235">
        <v>0.16155320000000001</v>
      </c>
      <c r="R4235">
        <v>-8.4424469999999901E-3</v>
      </c>
      <c r="S4235">
        <v>-3.077118</v>
      </c>
      <c r="T4235">
        <v>-0.2147396</v>
      </c>
      <c r="U4235">
        <v>-0.14347839999999901</v>
      </c>
      <c r="V4235">
        <v>-1.8069120000000001E-2</v>
      </c>
      <c r="W4235">
        <v>0.17251429999999901</v>
      </c>
      <c r="X4235">
        <v>0.98484130000000003</v>
      </c>
      <c r="Y4235">
        <v>-5.6042870000000002E-2</v>
      </c>
      <c r="Z4235">
        <v>-2.8297410000000002E-3</v>
      </c>
      <c r="AA4235">
        <v>0.99842439999999999</v>
      </c>
      <c r="AB4235">
        <v>38</v>
      </c>
      <c r="AC4235">
        <v>-15.688199999999901</v>
      </c>
      <c r="AD4235">
        <v>-1.12044655501199</v>
      </c>
      <c r="AE4235">
        <v>-0.75199999999998102</v>
      </c>
      <c r="AF4235">
        <v>-0.89882800372150096</v>
      </c>
      <c r="AG4235">
        <v>-1.12044655501199</v>
      </c>
      <c r="AH4235">
        <v>15.600816253209601</v>
      </c>
      <c r="AI4235">
        <v>94.1011369170444</v>
      </c>
      <c r="AJ4235">
        <v>93.297403267793499</v>
      </c>
      <c r="AK4235">
        <v>15.6668043974935</v>
      </c>
      <c r="AL4235">
        <v>80.065962251881501</v>
      </c>
      <c r="AM4235">
        <v>91.051101505132493</v>
      </c>
      <c r="AN4235">
        <v>1.00000003149387</v>
      </c>
    </row>
    <row r="4236" spans="1:40" x14ac:dyDescent="0.25">
      <c r="A4236" t="str">
        <f>"20190303162344569"</f>
        <v>20190303162344569</v>
      </c>
      <c r="B4236" t="str">
        <f>"1551601424559418"</f>
        <v>1551601424559418</v>
      </c>
      <c r="C4236" t="s">
        <v>40</v>
      </c>
      <c r="D4236">
        <v>5.5116540000000001</v>
      </c>
      <c r="E4236">
        <v>0.48360589999999998</v>
      </c>
      <c r="F4236" t="s">
        <v>55</v>
      </c>
      <c r="G4236">
        <v>-296.90839999999997</v>
      </c>
      <c r="H4236" s="1">
        <v>-8.5960560000000002E-6</v>
      </c>
      <c r="I4236">
        <v>140.66980000000001</v>
      </c>
      <c r="J4236">
        <v>-281.98410000000001</v>
      </c>
      <c r="K4236">
        <v>1.120417</v>
      </c>
      <c r="L4236">
        <v>141.40280000000001</v>
      </c>
      <c r="M4236">
        <v>-0.9998937</v>
      </c>
      <c r="N4236">
        <v>-1.113221E-2</v>
      </c>
      <c r="O4236">
        <v>9.4168900000000007E-3</v>
      </c>
      <c r="P4236">
        <v>-0.9870411</v>
      </c>
      <c r="Q4236">
        <v>0.1602751</v>
      </c>
      <c r="R4236">
        <v>-7.87198699999999E-3</v>
      </c>
      <c r="S4236">
        <v>-3.0756839999999999</v>
      </c>
      <c r="T4236">
        <v>-0.22541430000000001</v>
      </c>
      <c r="U4236">
        <v>-0.14680480000000001</v>
      </c>
      <c r="V4236">
        <v>-1.7267629999999999E-2</v>
      </c>
      <c r="W4236">
        <v>0.1712417</v>
      </c>
      <c r="X4236">
        <v>0.98507769999999995</v>
      </c>
      <c r="Y4236">
        <v>-5.6887559999999997E-2</v>
      </c>
      <c r="Z4236">
        <v>-2.9821909999999999E-3</v>
      </c>
      <c r="AA4236">
        <v>0.99837609999999999</v>
      </c>
      <c r="AB4236">
        <v>38</v>
      </c>
      <c r="AC4236">
        <v>-14.924299999999899</v>
      </c>
      <c r="AD4236">
        <v>-1.1204255960559999</v>
      </c>
      <c r="AE4236">
        <v>-0.73300000000000398</v>
      </c>
      <c r="AF4236">
        <v>-0.86863278088015805</v>
      </c>
      <c r="AG4236">
        <v>-1.1204255960559999</v>
      </c>
      <c r="AH4236">
        <v>14.8333343083392</v>
      </c>
      <c r="AI4236">
        <v>94.312234762830499</v>
      </c>
      <c r="AJ4236">
        <v>93.351385364863106</v>
      </c>
      <c r="AK4236">
        <v>14.9009289350453</v>
      </c>
      <c r="AL4236">
        <v>80.139977870266407</v>
      </c>
      <c r="AM4236">
        <v>91.004246675235905</v>
      </c>
      <c r="AN4236">
        <v>0.99999998295099801</v>
      </c>
    </row>
    <row r="4237" spans="1:40" x14ac:dyDescent="0.25">
      <c r="A4237" t="str">
        <f>"20190303162344590"</f>
        <v>20190303162344590</v>
      </c>
      <c r="B4237" t="str">
        <f>"1551601424578938"</f>
        <v>1551601424578938</v>
      </c>
      <c r="C4237" t="s">
        <v>40</v>
      </c>
      <c r="D4237">
        <v>5.2624870000000001</v>
      </c>
      <c r="E4237">
        <v>0.48327789999999998</v>
      </c>
      <c r="F4237" t="s">
        <v>55</v>
      </c>
      <c r="G4237">
        <v>-297.20940000000002</v>
      </c>
      <c r="H4237" s="1">
        <v>-8.5680489999999905E-6</v>
      </c>
      <c r="I4237">
        <v>140.66380000000001</v>
      </c>
      <c r="J4237">
        <v>-282.36630000000002</v>
      </c>
      <c r="K4237">
        <v>1.1204190000000001</v>
      </c>
      <c r="L4237">
        <v>141.40620000000001</v>
      </c>
      <c r="M4237">
        <v>-0.99989600000000001</v>
      </c>
      <c r="N4237">
        <v>-1.113514E-2</v>
      </c>
      <c r="O4237">
        <v>9.1681939999999993E-3</v>
      </c>
      <c r="P4237">
        <v>-0.98698189999999997</v>
      </c>
      <c r="Q4237">
        <v>0.16070950000000001</v>
      </c>
      <c r="R4237">
        <v>-6.2842030000000004E-3</v>
      </c>
      <c r="S4237">
        <v>-3.0750120000000001</v>
      </c>
      <c r="T4237">
        <v>-0.2262895</v>
      </c>
      <c r="U4237">
        <v>-0.1492462</v>
      </c>
      <c r="V4237">
        <v>-1.543402E-2</v>
      </c>
      <c r="W4237">
        <v>0.17168</v>
      </c>
      <c r="X4237">
        <v>0.98503180000000001</v>
      </c>
      <c r="Y4237">
        <v>-5.7437700000000001E-2</v>
      </c>
      <c r="Z4237">
        <v>-3.001306E-3</v>
      </c>
      <c r="AA4237">
        <v>0.99834460000000003</v>
      </c>
      <c r="AB4237">
        <v>38</v>
      </c>
      <c r="AC4237">
        <v>-14.8430999999999</v>
      </c>
      <c r="AD4237">
        <v>-1.1204275680489999</v>
      </c>
      <c r="AE4237">
        <v>-0.74240000000000295</v>
      </c>
      <c r="AF4237">
        <v>-0.87349692928953704</v>
      </c>
      <c r="AG4237">
        <v>-1.1204275680489999</v>
      </c>
      <c r="AH4237">
        <v>14.7518238492696</v>
      </c>
      <c r="AI4237">
        <v>94.335813188702701</v>
      </c>
      <c r="AJ4237">
        <v>93.3886873269864</v>
      </c>
      <c r="AK4237">
        <v>14.820076305491799</v>
      </c>
      <c r="AL4237">
        <v>80.114487206065604</v>
      </c>
      <c r="AM4237">
        <v>90.897668330096394</v>
      </c>
      <c r="AN4237">
        <v>0.99999993919229802</v>
      </c>
    </row>
    <row r="4238" spans="1:40" x14ac:dyDescent="0.25">
      <c r="A4238" t="str">
        <f>"20190303162344615"</f>
        <v>20190303162344615</v>
      </c>
      <c r="B4238" t="str">
        <f>"1551601424609194"</f>
        <v>1551601424609194</v>
      </c>
      <c r="C4238" t="s">
        <v>40</v>
      </c>
      <c r="D4238">
        <v>5.525836</v>
      </c>
      <c r="E4238">
        <v>0.48281790000000002</v>
      </c>
      <c r="F4238" t="s">
        <v>55</v>
      </c>
      <c r="G4238">
        <v>-297.95</v>
      </c>
      <c r="H4238" s="1">
        <v>-8.4999160000000002E-6</v>
      </c>
      <c r="I4238">
        <v>140.65219999999999</v>
      </c>
      <c r="J4238">
        <v>-282.77620000000002</v>
      </c>
      <c r="K4238">
        <v>1.1204339999999999</v>
      </c>
      <c r="L4238">
        <v>141.40969999999999</v>
      </c>
      <c r="M4238">
        <v>-0.99989859999999997</v>
      </c>
      <c r="N4238">
        <v>-1.113828E-2</v>
      </c>
      <c r="O4238">
        <v>8.8954440000000006E-3</v>
      </c>
      <c r="P4238">
        <v>-0.98630649999999997</v>
      </c>
      <c r="Q4238">
        <v>0.1648445</v>
      </c>
      <c r="R4238">
        <v>-5.1092179999999996E-3</v>
      </c>
      <c r="S4238">
        <v>-3.074646</v>
      </c>
      <c r="T4238">
        <v>-0.22105920000000001</v>
      </c>
      <c r="U4238">
        <v>-0.1487579</v>
      </c>
      <c r="V4238">
        <v>-1.398777E-2</v>
      </c>
      <c r="W4238">
        <v>0.175811</v>
      </c>
      <c r="X4238">
        <v>0.98432459999999999</v>
      </c>
      <c r="Y4238">
        <v>-5.7023209999999998E-2</v>
      </c>
      <c r="Z4238">
        <v>-2.903793E-3</v>
      </c>
      <c r="AA4238">
        <v>0.99836860000000005</v>
      </c>
      <c r="AB4238">
        <v>39</v>
      </c>
      <c r="AC4238">
        <v>-15.1737999999999</v>
      </c>
      <c r="AD4238">
        <v>-1.1204424999160001</v>
      </c>
      <c r="AE4238">
        <v>-0.75749999999999296</v>
      </c>
      <c r="AF4238">
        <v>-0.88762835646739002</v>
      </c>
      <c r="AG4238">
        <v>-1.1204424999160001</v>
      </c>
      <c r="AH4238">
        <v>15.0844185179975</v>
      </c>
      <c r="AI4238">
        <v>94.240713923645998</v>
      </c>
      <c r="AJ4238">
        <v>93.367632649765497</v>
      </c>
      <c r="AK4238">
        <v>15.1519951663445</v>
      </c>
      <c r="AL4238">
        <v>79.874143686539398</v>
      </c>
      <c r="AM4238">
        <v>90.814148345963602</v>
      </c>
      <c r="AN4238">
        <v>1.0000000417978601</v>
      </c>
    </row>
    <row r="4239" spans="1:40" x14ac:dyDescent="0.25">
      <c r="A4239" t="str">
        <f>"20190303162344636"</f>
        <v>20190303162344636</v>
      </c>
      <c r="B4239" t="str">
        <f>"1551601424629690"</f>
        <v>1551601424629690</v>
      </c>
      <c r="C4239" t="s">
        <v>40</v>
      </c>
      <c r="D4239">
        <v>5.5219459999999998</v>
      </c>
      <c r="E4239">
        <v>0.48248479999999999</v>
      </c>
      <c r="F4239" t="s">
        <v>55</v>
      </c>
      <c r="G4239">
        <v>-299.76900000000001</v>
      </c>
      <c r="H4239" s="1">
        <v>-8.3227719999999994E-6</v>
      </c>
      <c r="I4239">
        <v>140.5864</v>
      </c>
      <c r="J4239">
        <v>-283.15899999999999</v>
      </c>
      <c r="K4239">
        <v>1.1204559999999999</v>
      </c>
      <c r="L4239">
        <v>141.4128</v>
      </c>
      <c r="M4239">
        <v>-0.99990060000000003</v>
      </c>
      <c r="N4239">
        <v>-1.114119E-2</v>
      </c>
      <c r="O4239">
        <v>8.6341709999999995E-3</v>
      </c>
      <c r="P4239">
        <v>-0.98542079999999999</v>
      </c>
      <c r="Q4239">
        <v>0.17005789999999901</v>
      </c>
      <c r="R4239">
        <v>-5.104552E-3</v>
      </c>
      <c r="S4239">
        <v>-3.0747990000000001</v>
      </c>
      <c r="T4239">
        <v>-0.2027408</v>
      </c>
      <c r="U4239">
        <v>-0.14897160000000001</v>
      </c>
      <c r="V4239">
        <v>-1.372349E-2</v>
      </c>
      <c r="W4239">
        <v>0.1810166</v>
      </c>
      <c r="X4239">
        <v>0.98338429999999999</v>
      </c>
      <c r="Y4239">
        <v>-5.6858230000000003E-2</v>
      </c>
      <c r="Z4239">
        <v>-2.6610430000000001E-3</v>
      </c>
      <c r="AA4239">
        <v>0.99837869999999995</v>
      </c>
      <c r="AB4239">
        <v>39</v>
      </c>
      <c r="AC4239">
        <v>-16.61</v>
      </c>
      <c r="AD4239">
        <v>-1.1204643227719999</v>
      </c>
      <c r="AE4239">
        <v>-0.82640000000000602</v>
      </c>
      <c r="AF4239">
        <v>-0.96540945744306905</v>
      </c>
      <c r="AG4239">
        <v>-1.1204643227719999</v>
      </c>
      <c r="AH4239">
        <v>16.527224034497099</v>
      </c>
      <c r="AI4239">
        <v>93.8718568508462</v>
      </c>
      <c r="AJ4239">
        <v>93.343035914065595</v>
      </c>
      <c r="AK4239">
        <v>16.593269418821102</v>
      </c>
      <c r="AL4239">
        <v>79.571020660626402</v>
      </c>
      <c r="AM4239">
        <v>90.799531799217803</v>
      </c>
      <c r="AN4239">
        <v>1.00000001256991</v>
      </c>
    </row>
    <row r="4240" spans="1:40" x14ac:dyDescent="0.25">
      <c r="A4240" t="str">
        <f>"20190303162344659"</f>
        <v>20190303162344659</v>
      </c>
      <c r="B4240" t="str">
        <f>"1551601424649209"</f>
        <v>1551601424649209</v>
      </c>
      <c r="C4240" t="s">
        <v>40</v>
      </c>
      <c r="D4240">
        <v>5.527768</v>
      </c>
      <c r="E4240">
        <v>0.4821858</v>
      </c>
      <c r="F4240" t="s">
        <v>55</v>
      </c>
      <c r="G4240">
        <v>-302.05180000000001</v>
      </c>
      <c r="H4240" s="1">
        <v>-8.6104029999999996E-6</v>
      </c>
      <c r="I4240">
        <v>140.488</v>
      </c>
      <c r="J4240">
        <v>-283.54739999999998</v>
      </c>
      <c r="K4240">
        <v>1.120479</v>
      </c>
      <c r="L4240">
        <v>141.41589999999999</v>
      </c>
      <c r="M4240">
        <v>-0.99990290000000004</v>
      </c>
      <c r="N4240">
        <v>-1.114414E-2</v>
      </c>
      <c r="O4240">
        <v>8.3636530000000004E-3</v>
      </c>
      <c r="P4240">
        <v>-0.98466989999999999</v>
      </c>
      <c r="Q4240">
        <v>0.17433509999999999</v>
      </c>
      <c r="R4240">
        <v>-5.7023780000000001E-3</v>
      </c>
      <c r="S4240">
        <v>-3.0750730000000002</v>
      </c>
      <c r="T4240">
        <v>-0.1823717</v>
      </c>
      <c r="U4240">
        <v>-0.150528</v>
      </c>
      <c r="V4240">
        <v>-1.405348E-2</v>
      </c>
      <c r="W4240">
        <v>0.18528800000000001</v>
      </c>
      <c r="X4240">
        <v>0.98258380000000001</v>
      </c>
      <c r="Y4240">
        <v>-5.711625E-2</v>
      </c>
      <c r="Z4240">
        <v>-2.4121989999999999E-3</v>
      </c>
      <c r="AA4240">
        <v>0.99836460000000005</v>
      </c>
      <c r="AB4240">
        <v>39</v>
      </c>
      <c r="AC4240">
        <v>-18.5044</v>
      </c>
      <c r="AD4240">
        <v>-1.1204876104029999</v>
      </c>
      <c r="AE4240">
        <v>-0.92789999999999395</v>
      </c>
      <c r="AF4240">
        <v>-1.0786963044617199</v>
      </c>
      <c r="AG4240">
        <v>-1.1204876104029999</v>
      </c>
      <c r="AH4240">
        <v>18.428590715433302</v>
      </c>
      <c r="AI4240">
        <v>93.473460393604299</v>
      </c>
      <c r="AJ4240">
        <v>93.349920021260601</v>
      </c>
      <c r="AK4240">
        <v>18.494108087693199</v>
      </c>
      <c r="AL4240">
        <v>79.322076479832404</v>
      </c>
      <c r="AM4240">
        <v>90.819421399952304</v>
      </c>
      <c r="AN4240">
        <v>1.0000000336332699</v>
      </c>
    </row>
    <row r="4241" spans="1:40" x14ac:dyDescent="0.25">
      <c r="A4241" t="str">
        <f>"20190303162344680"</f>
        <v>20190303162344680</v>
      </c>
      <c r="B4241" t="str">
        <f>"1551601424668730"</f>
        <v>1551601424668730</v>
      </c>
      <c r="C4241" t="s">
        <v>40</v>
      </c>
      <c r="D4241">
        <v>5.5168439999999999</v>
      </c>
      <c r="E4241">
        <v>0.48187380000000002</v>
      </c>
      <c r="F4241" t="s">
        <v>55</v>
      </c>
      <c r="G4241">
        <v>-304.3707</v>
      </c>
      <c r="H4241" s="1">
        <v>-8.9105090000000001E-6</v>
      </c>
      <c r="I4241">
        <v>140.37739999999999</v>
      </c>
      <c r="J4241">
        <v>-283.9015</v>
      </c>
      <c r="K4241">
        <v>1.1204989999999999</v>
      </c>
      <c r="L4241">
        <v>141.4186</v>
      </c>
      <c r="M4241">
        <v>-0.99990509999999999</v>
      </c>
      <c r="N4241">
        <v>-1.114677E-2</v>
      </c>
      <c r="O4241">
        <v>8.1131180000000008E-3</v>
      </c>
      <c r="P4241">
        <v>-0.98390540000000004</v>
      </c>
      <c r="Q4241">
        <v>0.17851049999999999</v>
      </c>
      <c r="R4241">
        <v>-8.0307929999999996E-3</v>
      </c>
      <c r="S4241">
        <v>-3.0751040000000001</v>
      </c>
      <c r="T4241">
        <v>-0.16546910000000001</v>
      </c>
      <c r="U4241">
        <v>-0.15336610000000001</v>
      </c>
      <c r="V4241">
        <v>-1.6133789999999999E-2</v>
      </c>
      <c r="W4241">
        <v>0.18945580000000001</v>
      </c>
      <c r="X4241">
        <v>0.98175670000000004</v>
      </c>
      <c r="Y4241">
        <v>-5.7805330000000002E-2</v>
      </c>
      <c r="Z4241">
        <v>-2.2214729999999999E-3</v>
      </c>
      <c r="AA4241">
        <v>0.99832540000000003</v>
      </c>
      <c r="AB4241">
        <v>39</v>
      </c>
      <c r="AC4241">
        <v>-20.469200000000001</v>
      </c>
      <c r="AD4241">
        <v>-1.1205079105089999</v>
      </c>
      <c r="AE4241">
        <v>-1.0411999999999999</v>
      </c>
      <c r="AF4241">
        <v>-1.2036475211212401</v>
      </c>
      <c r="AG4241">
        <v>-1.1205079105089999</v>
      </c>
      <c r="AH4241">
        <v>20.399108214865802</v>
      </c>
      <c r="AI4241">
        <v>93.138607215362399</v>
      </c>
      <c r="AJ4241">
        <v>93.376816994856995</v>
      </c>
      <c r="AK4241">
        <v>20.465285761367198</v>
      </c>
      <c r="AL4241">
        <v>79.078973075409294</v>
      </c>
      <c r="AM4241">
        <v>90.941490771389198</v>
      </c>
      <c r="AN4241">
        <v>1.0000000086641401</v>
      </c>
    </row>
    <row r="4242" spans="1:40" x14ac:dyDescent="0.25">
      <c r="A4242" t="str">
        <f>"20190303162344703"</f>
        <v>20190303162344703</v>
      </c>
      <c r="B4242" t="str">
        <f>"1551601424698986"</f>
        <v>1551601424698986</v>
      </c>
      <c r="C4242" t="s">
        <v>40</v>
      </c>
      <c r="D4242">
        <v>5.4656539999999998</v>
      </c>
      <c r="E4242">
        <v>0.4814388</v>
      </c>
      <c r="F4242" t="s">
        <v>55</v>
      </c>
      <c r="G4242">
        <v>-306.97890000000001</v>
      </c>
      <c r="H4242" s="1">
        <v>-9.2318369999999998E-6</v>
      </c>
      <c r="I4242">
        <v>140.19839999999999</v>
      </c>
      <c r="J4242">
        <v>-284.31040000000002</v>
      </c>
      <c r="K4242">
        <v>1.1205240000000001</v>
      </c>
      <c r="L4242">
        <v>141.42169999999999</v>
      </c>
      <c r="M4242">
        <v>-0.99990730000000005</v>
      </c>
      <c r="N4242">
        <v>-1.114969E-2</v>
      </c>
      <c r="O4242">
        <v>7.8202110000000005E-3</v>
      </c>
      <c r="P4242">
        <v>-0.98321619999999998</v>
      </c>
      <c r="Q4242">
        <v>0.18217610000000001</v>
      </c>
      <c r="R4242">
        <v>-9.8970540000000006E-3</v>
      </c>
      <c r="S4242">
        <v>-3.0748600000000001</v>
      </c>
      <c r="T4242">
        <v>-0.1492976</v>
      </c>
      <c r="U4242">
        <v>-0.16258239999999999</v>
      </c>
      <c r="V4242">
        <v>-1.7710690000000001E-2</v>
      </c>
      <c r="W4242">
        <v>0.19311490000000001</v>
      </c>
      <c r="X4242">
        <v>0.98101629999999995</v>
      </c>
      <c r="Y4242">
        <v>-6.0516220000000003E-2</v>
      </c>
      <c r="Z4242">
        <v>-2.0972730000000002E-3</v>
      </c>
      <c r="AA4242">
        <v>0.99816499999999997</v>
      </c>
      <c r="AB4242">
        <v>39</v>
      </c>
      <c r="AC4242">
        <v>-22.668499999999899</v>
      </c>
      <c r="AD4242">
        <v>-1.120533231837</v>
      </c>
      <c r="AE4242">
        <v>-1.2232999999999901</v>
      </c>
      <c r="AF4242">
        <v>-1.39714211717582</v>
      </c>
      <c r="AG4242">
        <v>-1.120533231837</v>
      </c>
      <c r="AH4242">
        <v>22.603170288882701</v>
      </c>
      <c r="AI4242">
        <v>92.8326694561366</v>
      </c>
      <c r="AJ4242">
        <v>93.537053847181596</v>
      </c>
      <c r="AK4242">
        <v>22.674013935063801</v>
      </c>
      <c r="AL4242">
        <v>78.865377786554106</v>
      </c>
      <c r="AM4242">
        <v>91.034271873682002</v>
      </c>
      <c r="AN4242">
        <v>1.0000000070039801</v>
      </c>
    </row>
    <row r="4243" spans="1:40" x14ac:dyDescent="0.25">
      <c r="A4243" t="str">
        <f>"20190303162344727"</f>
        <v>20190303162344727</v>
      </c>
      <c r="B4243" t="str">
        <f>"1551601424719482"</f>
        <v>1551601424719482</v>
      </c>
      <c r="C4243" t="s">
        <v>40</v>
      </c>
      <c r="D4243">
        <v>5.3459059999999896</v>
      </c>
      <c r="E4243">
        <v>0.4811357</v>
      </c>
      <c r="F4243" t="s">
        <v>55</v>
      </c>
      <c r="G4243">
        <v>-310.05450000000002</v>
      </c>
      <c r="H4243" s="1">
        <v>-9.549844E-6</v>
      </c>
      <c r="I4243">
        <v>139.9736</v>
      </c>
      <c r="J4243">
        <v>-284.71539999999999</v>
      </c>
      <c r="K4243">
        <v>1.1205499999999999</v>
      </c>
      <c r="L4243">
        <v>141.4246</v>
      </c>
      <c r="M4243">
        <v>-0.99990950000000001</v>
      </c>
      <c r="N4243">
        <v>-1.1152509999999999E-2</v>
      </c>
      <c r="O4243">
        <v>7.5262549999999999E-3</v>
      </c>
      <c r="P4243">
        <v>-0.9828287</v>
      </c>
      <c r="Q4243">
        <v>0.18413669999999999</v>
      </c>
      <c r="R4243">
        <v>-1.1894770000000001E-2</v>
      </c>
      <c r="S4243">
        <v>-3.074249</v>
      </c>
      <c r="T4243">
        <v>-0.1338094</v>
      </c>
      <c r="U4243">
        <v>-0.1729279</v>
      </c>
      <c r="V4243">
        <v>-1.9418830000000002E-2</v>
      </c>
      <c r="W4243">
        <v>0.19507240000000001</v>
      </c>
      <c r="X4243">
        <v>0.98059660000000004</v>
      </c>
      <c r="Y4243">
        <v>-6.3595499999999999E-2</v>
      </c>
      <c r="Z4243">
        <v>-1.9807549999999998E-3</v>
      </c>
      <c r="AA4243">
        <v>0.99797380000000002</v>
      </c>
      <c r="AB4243">
        <v>39</v>
      </c>
      <c r="AC4243">
        <v>-25.339099999999998</v>
      </c>
      <c r="AD4243">
        <v>-1.120559549844</v>
      </c>
      <c r="AE4243">
        <v>-1.4509999999999901</v>
      </c>
      <c r="AF4243">
        <v>-1.6384854802706601</v>
      </c>
      <c r="AG4243">
        <v>-1.120559549844</v>
      </c>
      <c r="AH4243">
        <v>25.278187660765699</v>
      </c>
      <c r="AI4243">
        <v>92.532900835530199</v>
      </c>
      <c r="AJ4243">
        <v>93.708618722254002</v>
      </c>
      <c r="AK4243">
        <v>25.356006384813298</v>
      </c>
      <c r="AL4243">
        <v>78.751047108778394</v>
      </c>
      <c r="AM4243">
        <v>91.134484449885207</v>
      </c>
      <c r="AN4243">
        <v>1.00000001206594</v>
      </c>
    </row>
    <row r="4244" spans="1:40" x14ac:dyDescent="0.25">
      <c r="A4244" t="str">
        <f>"20190303162344747"</f>
        <v>20190303162344747</v>
      </c>
      <c r="B4244" t="str">
        <f>"1551601424739002"</f>
        <v>1551601424739002</v>
      </c>
      <c r="C4244" t="s">
        <v>40</v>
      </c>
      <c r="D4244">
        <v>5.3938899999999999</v>
      </c>
      <c r="E4244">
        <v>0.4808907</v>
      </c>
      <c r="F4244" t="s">
        <v>55</v>
      </c>
      <c r="G4244">
        <v>-312.12889999999999</v>
      </c>
      <c r="H4244" s="1">
        <v>-8.7181069999999996E-6</v>
      </c>
      <c r="I4244">
        <v>139.80179999999999</v>
      </c>
      <c r="J4244">
        <v>-285.07130000000001</v>
      </c>
      <c r="K4244">
        <v>1.1205639999999999</v>
      </c>
      <c r="L4244">
        <v>141.42699999999999</v>
      </c>
      <c r="M4244">
        <v>-0.99991149999999995</v>
      </c>
      <c r="N4244">
        <v>-1.115496E-2</v>
      </c>
      <c r="O4244">
        <v>7.2665859999999898E-3</v>
      </c>
      <c r="P4244">
        <v>-0.9827456</v>
      </c>
      <c r="Q4244">
        <v>0.18444240000000001</v>
      </c>
      <c r="R4244">
        <v>-1.387858E-2</v>
      </c>
      <c r="S4244">
        <v>-3.0737920000000001</v>
      </c>
      <c r="T4244">
        <v>-0.12564500000000001</v>
      </c>
      <c r="U4244">
        <v>-0.18196109999999999</v>
      </c>
      <c r="V4244">
        <v>-2.114802E-2</v>
      </c>
      <c r="W4244">
        <v>0.1953783</v>
      </c>
      <c r="X4244">
        <v>0.98049989999999998</v>
      </c>
      <c r="Y4244">
        <v>-6.6273470000000001E-2</v>
      </c>
      <c r="Z4244">
        <v>-1.9386259999999999E-3</v>
      </c>
      <c r="AA4244">
        <v>0.99779960000000001</v>
      </c>
      <c r="AB4244">
        <v>39</v>
      </c>
      <c r="AC4244">
        <v>-27.057599999999901</v>
      </c>
      <c r="AD4244">
        <v>-1.120572718107</v>
      </c>
      <c r="AE4244">
        <v>-1.62520000000003</v>
      </c>
      <c r="AF4244">
        <v>-1.81867758578883</v>
      </c>
      <c r="AG4244">
        <v>-1.120572718107</v>
      </c>
      <c r="AH4244">
        <v>26.998934449130701</v>
      </c>
      <c r="AI4244">
        <v>92.371291309853603</v>
      </c>
      <c r="AJ4244">
        <v>93.853684334874998</v>
      </c>
      <c r="AK4244">
        <v>27.083310963877199</v>
      </c>
      <c r="AL4244">
        <v>78.733176177323699</v>
      </c>
      <c r="AM4244">
        <v>91.235598747543904</v>
      </c>
      <c r="AN4244">
        <v>0.99999998638040999</v>
      </c>
    </row>
    <row r="4245" spans="1:40" x14ac:dyDescent="0.25">
      <c r="A4245" t="str">
        <f>"20190303162344770"</f>
        <v>20190303162344770</v>
      </c>
      <c r="B4245" t="str">
        <f>"1551601424759497"</f>
        <v>1551601424759497</v>
      </c>
      <c r="C4245" t="s">
        <v>40</v>
      </c>
      <c r="D4245">
        <v>5.34978</v>
      </c>
      <c r="E4245">
        <v>0.4806127</v>
      </c>
      <c r="F4245" t="s">
        <v>55</v>
      </c>
      <c r="G4245">
        <v>-312.75150000000002</v>
      </c>
      <c r="H4245" s="1">
        <v>-8.4632659999999994E-6</v>
      </c>
      <c r="I4245">
        <v>139.7242</v>
      </c>
      <c r="J4245">
        <v>-285.45710000000003</v>
      </c>
      <c r="K4245">
        <v>1.120571</v>
      </c>
      <c r="L4245">
        <v>141.42949999999999</v>
      </c>
      <c r="M4245">
        <v>-0.99991350000000001</v>
      </c>
      <c r="N4245">
        <v>-1.115761E-2</v>
      </c>
      <c r="O4245">
        <v>6.9843279999999997E-3</v>
      </c>
      <c r="P4245">
        <v>-0.98276379999999997</v>
      </c>
      <c r="Q4245">
        <v>0.1842413</v>
      </c>
      <c r="R4245">
        <v>-1.518864E-2</v>
      </c>
      <c r="S4245">
        <v>-3.073334</v>
      </c>
      <c r="T4245">
        <v>-0.1244171</v>
      </c>
      <c r="U4245">
        <v>-0.18905640000000001</v>
      </c>
      <c r="V4245">
        <v>-2.2181699999999999E-2</v>
      </c>
      <c r="W4245">
        <v>0.19517909999999999</v>
      </c>
      <c r="X4245">
        <v>0.98051670000000002</v>
      </c>
      <c r="Y4245">
        <v>-6.8294969999999997E-2</v>
      </c>
      <c r="Z4245">
        <v>-1.9666359999999999E-3</v>
      </c>
      <c r="AA4245">
        <v>0.99766330000000003</v>
      </c>
      <c r="AB4245">
        <v>39</v>
      </c>
      <c r="AC4245">
        <v>-27.2944</v>
      </c>
      <c r="AD4245">
        <v>-1.120579463266</v>
      </c>
      <c r="AE4245">
        <v>-1.70529999999999</v>
      </c>
      <c r="AF4245">
        <v>-1.8927254306108301</v>
      </c>
      <c r="AG4245">
        <v>-1.120579463266</v>
      </c>
      <c r="AH4245">
        <v>27.236094139679601</v>
      </c>
      <c r="AI4245">
        <v>92.350339609019798</v>
      </c>
      <c r="AJ4245">
        <v>93.975280394458494</v>
      </c>
      <c r="AK4245">
        <v>27.324767736884201</v>
      </c>
      <c r="AL4245">
        <v>78.744813171813206</v>
      </c>
      <c r="AM4245">
        <v>91.295950441937805</v>
      </c>
      <c r="AN4245">
        <v>0.99999995393529395</v>
      </c>
    </row>
    <row r="4246" spans="1:40" x14ac:dyDescent="0.25">
      <c r="A4246" t="str">
        <f>"20190303162344792"</f>
        <v>20190303162344792</v>
      </c>
      <c r="B4246" t="str">
        <f>"1551601424779018"</f>
        <v>1551601424779018</v>
      </c>
      <c r="C4246" t="s">
        <v>40</v>
      </c>
      <c r="D4246">
        <v>5.3548019999999896</v>
      </c>
      <c r="E4246">
        <v>0.48036220000000002</v>
      </c>
      <c r="F4246" t="s">
        <v>55</v>
      </c>
      <c r="G4246">
        <v>-313.24200000000002</v>
      </c>
      <c r="H4246" s="1">
        <v>-8.2637729999999999E-6</v>
      </c>
      <c r="I4246">
        <v>139.66800000000001</v>
      </c>
      <c r="J4246">
        <v>-285.84589999999997</v>
      </c>
      <c r="K4246">
        <v>1.120563</v>
      </c>
      <c r="L4246">
        <v>141.43199999999999</v>
      </c>
      <c r="M4246">
        <v>-0.99991540000000001</v>
      </c>
      <c r="N4246">
        <v>-1.116029E-2</v>
      </c>
      <c r="O4246">
        <v>6.6996900000000003E-3</v>
      </c>
      <c r="P4246">
        <v>-0.98286019999999996</v>
      </c>
      <c r="Q4246">
        <v>0.18364130000000001</v>
      </c>
      <c r="R4246">
        <v>-1.6194E-2</v>
      </c>
      <c r="S4246">
        <v>-3.072845</v>
      </c>
      <c r="T4246">
        <v>-0.12392930000000001</v>
      </c>
      <c r="U4246">
        <v>-0.19480900000000001</v>
      </c>
      <c r="V4246">
        <v>-2.290822E-2</v>
      </c>
      <c r="W4246">
        <v>0.1945828</v>
      </c>
      <c r="X4246">
        <v>0.98061849999999995</v>
      </c>
      <c r="Y4246">
        <v>-6.9880020000000001E-2</v>
      </c>
      <c r="Z4246">
        <v>-1.9928709999999998E-3</v>
      </c>
      <c r="AA4246">
        <v>0.99755340000000003</v>
      </c>
      <c r="AB4246">
        <v>39</v>
      </c>
      <c r="AC4246">
        <v>-27.396100000000001</v>
      </c>
      <c r="AD4246">
        <v>-1.1205712637730001</v>
      </c>
      <c r="AE4246">
        <v>-1.76400000000001</v>
      </c>
      <c r="AF4246">
        <v>-1.9442778035558801</v>
      </c>
      <c r="AG4246">
        <v>-1.1205712637730001</v>
      </c>
      <c r="AH4246">
        <v>27.338117666025401</v>
      </c>
      <c r="AI4246">
        <v>92.341294890059004</v>
      </c>
      <c r="AJ4246">
        <v>94.068007271829302</v>
      </c>
      <c r="AK4246">
        <v>27.4300669641189</v>
      </c>
      <c r="AL4246">
        <v>78.779646437970598</v>
      </c>
      <c r="AM4246">
        <v>91.338242785332795</v>
      </c>
      <c r="AN4246">
        <v>0.999999947570827</v>
      </c>
    </row>
    <row r="4247" spans="1:40" x14ac:dyDescent="0.25">
      <c r="A4247" t="str">
        <f>"20190303162344816"</f>
        <v>20190303162344816</v>
      </c>
      <c r="B4247" t="str">
        <f>"1551601424809274"</f>
        <v>1551601424809274</v>
      </c>
      <c r="C4247" t="s">
        <v>40</v>
      </c>
      <c r="D4247">
        <v>4.9641929999999999</v>
      </c>
      <c r="E4247">
        <v>0.48000229999999999</v>
      </c>
      <c r="F4247" t="s">
        <v>55</v>
      </c>
      <c r="G4247">
        <v>-313.48820000000001</v>
      </c>
      <c r="H4247" s="1">
        <v>-8.1608399999999993E-6</v>
      </c>
      <c r="I4247">
        <v>139.62909999999999</v>
      </c>
      <c r="J4247">
        <v>-286.24459999999999</v>
      </c>
      <c r="K4247">
        <v>1.1205590000000001</v>
      </c>
      <c r="L4247">
        <v>141.43440000000001</v>
      </c>
      <c r="M4247">
        <v>-0.9999171</v>
      </c>
      <c r="N4247">
        <v>-1.1163050000000001E-2</v>
      </c>
      <c r="O4247">
        <v>6.4087909999999996E-3</v>
      </c>
      <c r="P4247">
        <v>-0.98324489999999998</v>
      </c>
      <c r="Q4247">
        <v>0.18152670000000001</v>
      </c>
      <c r="R4247">
        <v>-1.6657749999999999E-2</v>
      </c>
      <c r="S4247">
        <v>-3.0722659999999999</v>
      </c>
      <c r="T4247">
        <v>-0.12454469999999999</v>
      </c>
      <c r="U4247">
        <v>-0.20037840000000001</v>
      </c>
      <c r="V4247">
        <v>-2.3087739999999999E-2</v>
      </c>
      <c r="W4247">
        <v>0.1924748</v>
      </c>
      <c r="X4247">
        <v>0.98103030000000002</v>
      </c>
      <c r="Y4247">
        <v>-7.1400399999999906E-2</v>
      </c>
      <c r="Z4247">
        <v>-2.032257E-3</v>
      </c>
      <c r="AA4247">
        <v>0.99744560000000004</v>
      </c>
      <c r="AB4247">
        <v>39</v>
      </c>
      <c r="AC4247">
        <v>-27.243600000000001</v>
      </c>
      <c r="AD4247">
        <v>-1.1205671608399901</v>
      </c>
      <c r="AE4247">
        <v>-1.8053000000000099</v>
      </c>
      <c r="AF4247">
        <v>-1.9765430690053301</v>
      </c>
      <c r="AG4247">
        <v>-1.1205671608399901</v>
      </c>
      <c r="AH4247">
        <v>27.1856785079734</v>
      </c>
      <c r="AI4247">
        <v>92.354133198240802</v>
      </c>
      <c r="AJ4247">
        <v>94.158390300974702</v>
      </c>
      <c r="AK4247">
        <v>27.280460208810101</v>
      </c>
      <c r="AL4247">
        <v>78.902754184570995</v>
      </c>
      <c r="AM4247">
        <v>91.348160114788101</v>
      </c>
      <c r="AN4247">
        <v>1.0000000209457101</v>
      </c>
    </row>
    <row r="4248" spans="1:40" x14ac:dyDescent="0.25">
      <c r="A4248" t="str">
        <f>"20190303162344838"</f>
        <v>20190303162344838</v>
      </c>
      <c r="B4248" t="str">
        <f>"1551601424828794"</f>
        <v>1551601424828794</v>
      </c>
      <c r="C4248" t="s">
        <v>40</v>
      </c>
      <c r="D4248">
        <v>5.143491</v>
      </c>
      <c r="E4248">
        <v>0.47980620000000002</v>
      </c>
      <c r="F4248" t="s">
        <v>55</v>
      </c>
      <c r="G4248">
        <v>-312.70979999999997</v>
      </c>
      <c r="H4248" s="1">
        <v>-8.4642309999999992E-6</v>
      </c>
      <c r="I4248">
        <v>139.66839999999999</v>
      </c>
      <c r="J4248">
        <v>-286.64280000000002</v>
      </c>
      <c r="K4248">
        <v>1.1205430000000001</v>
      </c>
      <c r="L4248">
        <v>141.4367</v>
      </c>
      <c r="M4248">
        <v>-0.999919</v>
      </c>
      <c r="N4248">
        <v>-1.1165639999999999E-2</v>
      </c>
      <c r="O4248">
        <v>6.1180150000000001E-3</v>
      </c>
      <c r="P4248">
        <v>-0.98384559999999999</v>
      </c>
      <c r="Q4248">
        <v>0.1782754</v>
      </c>
      <c r="R4248">
        <v>-1.6304579999999999E-2</v>
      </c>
      <c r="S4248">
        <v>-3.0716860000000001</v>
      </c>
      <c r="T4248">
        <v>-0.1300588</v>
      </c>
      <c r="U4248">
        <v>-0.2049713</v>
      </c>
      <c r="V4248">
        <v>-2.2450979999999999E-2</v>
      </c>
      <c r="W4248">
        <v>0.1892334</v>
      </c>
      <c r="X4248">
        <v>0.98167539999999998</v>
      </c>
      <c r="Y4248">
        <v>-7.259989E-2</v>
      </c>
      <c r="Z4248">
        <v>-2.131034E-3</v>
      </c>
      <c r="AA4248">
        <v>0.99735890000000005</v>
      </c>
      <c r="AB4248">
        <v>39</v>
      </c>
      <c r="AC4248">
        <v>-26.066999999999901</v>
      </c>
      <c r="AD4248">
        <v>-1.1205514642309999</v>
      </c>
      <c r="AE4248">
        <v>-1.76830000000001</v>
      </c>
      <c r="AF4248">
        <v>-1.9242156373580801</v>
      </c>
      <c r="AG4248">
        <v>-1.1205514642309999</v>
      </c>
      <c r="AH4248">
        <v>26.007852832893999</v>
      </c>
      <c r="AI4248">
        <v>92.460353334682793</v>
      </c>
      <c r="AJ4248">
        <v>94.231373046506903</v>
      </c>
      <c r="AK4248">
        <v>26.103000792639001</v>
      </c>
      <c r="AL4248">
        <v>79.091949854437004</v>
      </c>
      <c r="AM4248">
        <v>91.310129804759498</v>
      </c>
      <c r="AN4248">
        <v>0.99999995857183899</v>
      </c>
    </row>
    <row r="4249" spans="1:40" x14ac:dyDescent="0.25">
      <c r="A4249" t="str">
        <f>"20190303162344860"</f>
        <v>20190303162344860</v>
      </c>
      <c r="B4249" t="str">
        <f>"1551601424849290"</f>
        <v>1551601424849290</v>
      </c>
      <c r="C4249" t="s">
        <v>40</v>
      </c>
      <c r="D4249">
        <v>5.4383319999999999</v>
      </c>
      <c r="E4249">
        <v>0.4796763</v>
      </c>
      <c r="F4249" t="s">
        <v>55</v>
      </c>
      <c r="G4249">
        <v>-311.3245</v>
      </c>
      <c r="H4249" s="1">
        <v>-9.0160089999999993E-6</v>
      </c>
      <c r="I4249">
        <v>139.78319999999999</v>
      </c>
      <c r="J4249">
        <v>-287.0213</v>
      </c>
      <c r="K4249">
        <v>1.1205290000000001</v>
      </c>
      <c r="L4249">
        <v>141.43879999999999</v>
      </c>
      <c r="M4249">
        <v>-0.9999207</v>
      </c>
      <c r="N4249">
        <v>-1.116822E-2</v>
      </c>
      <c r="O4249">
        <v>5.8420240000000003E-3</v>
      </c>
      <c r="P4249">
        <v>-0.98442379999999996</v>
      </c>
      <c r="Q4249">
        <v>0.1751162</v>
      </c>
      <c r="R4249">
        <v>-1.5634889999999999E-2</v>
      </c>
      <c r="S4249">
        <v>-3.0711059999999999</v>
      </c>
      <c r="T4249">
        <v>-0.13942839999999901</v>
      </c>
      <c r="U4249">
        <v>-0.20573430000000001</v>
      </c>
      <c r="V4249">
        <v>-2.1511559999999999E-2</v>
      </c>
      <c r="W4249">
        <v>0.1860841</v>
      </c>
      <c r="X4249">
        <v>0.98229829999999996</v>
      </c>
      <c r="Y4249">
        <v>-7.2572429999999993E-2</v>
      </c>
      <c r="Z4249">
        <v>-2.2503470000000002E-3</v>
      </c>
      <c r="AA4249">
        <v>0.99736060000000004</v>
      </c>
      <c r="AB4249">
        <v>39</v>
      </c>
      <c r="AC4249">
        <v>-24.3032</v>
      </c>
      <c r="AD4249">
        <v>-1.1205380160089999</v>
      </c>
      <c r="AE4249">
        <v>-1.65559999999999</v>
      </c>
      <c r="AF4249">
        <v>-1.79376485329158</v>
      </c>
      <c r="AG4249">
        <v>-1.1205380160089999</v>
      </c>
      <c r="AH4249">
        <v>24.241816897923801</v>
      </c>
      <c r="AI4249">
        <v>92.639313872331599</v>
      </c>
      <c r="AJ4249">
        <v>94.231869168434201</v>
      </c>
      <c r="AK4249">
        <v>24.333904008742401</v>
      </c>
      <c r="AL4249">
        <v>79.275655596453404</v>
      </c>
      <c r="AM4249">
        <v>91.254531975007396</v>
      </c>
      <c r="AN4249">
        <v>0.99999999483466595</v>
      </c>
    </row>
    <row r="4250" spans="1:40" x14ac:dyDescent="0.25">
      <c r="A4250" t="str">
        <f>"20190303162344882"</f>
        <v>20190303162344882</v>
      </c>
      <c r="B4250" t="str">
        <f>"1551601424868810"</f>
        <v>1551601424868810</v>
      </c>
      <c r="C4250" t="s">
        <v>40</v>
      </c>
      <c r="D4250">
        <v>5.2708389999999996</v>
      </c>
      <c r="E4250">
        <v>0.47971589999999997</v>
      </c>
      <c r="F4250" t="s">
        <v>55</v>
      </c>
      <c r="G4250">
        <v>-310.10300000000001</v>
      </c>
      <c r="H4250" s="1">
        <v>-9.5059180000000008E-6</v>
      </c>
      <c r="I4250">
        <v>139.8972</v>
      </c>
      <c r="J4250">
        <v>-287.40359999999998</v>
      </c>
      <c r="K4250">
        <v>1.120519</v>
      </c>
      <c r="L4250">
        <v>141.4408</v>
      </c>
      <c r="M4250">
        <v>-0.99992219999999998</v>
      </c>
      <c r="N4250">
        <v>-1.11743E-2</v>
      </c>
      <c r="O4250">
        <v>5.56363E-3</v>
      </c>
      <c r="P4250">
        <v>-0.98477349999999997</v>
      </c>
      <c r="Q4250">
        <v>0.17324809999999999</v>
      </c>
      <c r="R4250">
        <v>-1.4366449999999999E-2</v>
      </c>
      <c r="S4250">
        <v>-3.0707399999999998</v>
      </c>
      <c r="T4250">
        <v>-0.14907409999999999</v>
      </c>
      <c r="U4250">
        <v>-0.20509340000000001</v>
      </c>
      <c r="V4250">
        <v>-1.9969649999999999E-2</v>
      </c>
      <c r="W4250">
        <v>0.184227</v>
      </c>
      <c r="X4250">
        <v>0.98268080000000002</v>
      </c>
      <c r="Y4250">
        <v>-7.2083759999999997E-2</v>
      </c>
      <c r="Z4250">
        <v>-2.3578100000000001E-3</v>
      </c>
      <c r="AA4250">
        <v>0.99739580000000005</v>
      </c>
      <c r="AB4250">
        <v>39</v>
      </c>
      <c r="AC4250">
        <v>-22.699400000000001</v>
      </c>
      <c r="AD4250">
        <v>-1.1205285059179999</v>
      </c>
      <c r="AE4250">
        <v>-1.5435999999999901</v>
      </c>
      <c r="AF4250">
        <v>-1.6658344462752701</v>
      </c>
      <c r="AG4250">
        <v>-1.1205285059179999</v>
      </c>
      <c r="AH4250">
        <v>22.6355560061285</v>
      </c>
      <c r="AI4250">
        <v>92.826369913517297</v>
      </c>
      <c r="AJ4250">
        <v>94.209020944131694</v>
      </c>
      <c r="AK4250">
        <v>22.724413837138901</v>
      </c>
      <c r="AL4250">
        <v>79.383931460800298</v>
      </c>
      <c r="AM4250">
        <v>91.164181898886298</v>
      </c>
      <c r="AN4250">
        <v>0.99999996456938001</v>
      </c>
    </row>
    <row r="4251" spans="1:40" x14ac:dyDescent="0.25">
      <c r="A4251" t="str">
        <f>"20190303162344905"</f>
        <v>20190303162344905</v>
      </c>
      <c r="B4251" t="str">
        <f>"1551601424899067"</f>
        <v>1551601424899067</v>
      </c>
      <c r="C4251" t="s">
        <v>40</v>
      </c>
      <c r="D4251">
        <v>5.1822480000000004</v>
      </c>
      <c r="E4251">
        <v>0.50683650000000002</v>
      </c>
      <c r="F4251" t="s">
        <v>55</v>
      </c>
      <c r="G4251">
        <v>-309.483</v>
      </c>
      <c r="H4251" s="1">
        <v>-9.5311749999999994E-6</v>
      </c>
      <c r="I4251">
        <v>139.99590000000001</v>
      </c>
      <c r="J4251">
        <v>-287.79750000000001</v>
      </c>
      <c r="K4251">
        <v>1.1205160000000001</v>
      </c>
      <c r="L4251">
        <v>141.4427</v>
      </c>
      <c r="M4251">
        <v>-0.99992349999999997</v>
      </c>
      <c r="N4251">
        <v>-1.119012E-2</v>
      </c>
      <c r="O4251">
        <v>5.2763559999999899E-3</v>
      </c>
      <c r="P4251">
        <v>-0.98517699999999997</v>
      </c>
      <c r="Q4251">
        <v>0.17109170000000001</v>
      </c>
      <c r="R4251">
        <v>-1.2402979999999999E-2</v>
      </c>
      <c r="S4251">
        <v>-3.070862</v>
      </c>
      <c r="T4251">
        <v>-0.1558464</v>
      </c>
      <c r="U4251">
        <v>-0.20095830000000001</v>
      </c>
      <c r="V4251">
        <v>-1.7724779999999999E-2</v>
      </c>
      <c r="W4251">
        <v>0.1820927</v>
      </c>
      <c r="X4251">
        <v>0.98312160000000004</v>
      </c>
      <c r="Y4251">
        <v>-7.0450810000000003E-2</v>
      </c>
      <c r="Z4251">
        <v>-2.3879330000000001E-3</v>
      </c>
      <c r="AA4251">
        <v>0.99751239999999997</v>
      </c>
      <c r="AB4251">
        <v>39</v>
      </c>
      <c r="AC4251">
        <v>-21.685499999999902</v>
      </c>
      <c r="AD4251">
        <v>-1.120525531175</v>
      </c>
      <c r="AE4251">
        <v>-1.4467999999999901</v>
      </c>
      <c r="AF4251">
        <v>-1.55706855022072</v>
      </c>
      <c r="AG4251">
        <v>-1.120525531175</v>
      </c>
      <c r="AH4251">
        <v>21.6200948234283</v>
      </c>
      <c r="AI4251">
        <v>92.959218268744806</v>
      </c>
      <c r="AJ4251">
        <v>94.119301553688899</v>
      </c>
      <c r="AK4251">
        <v>21.705034902301701</v>
      </c>
      <c r="AL4251">
        <v>79.508322547555807</v>
      </c>
      <c r="AM4251">
        <v>91.032878408534501</v>
      </c>
      <c r="AN4251">
        <v>0.99999999980294896</v>
      </c>
    </row>
    <row r="4252" spans="1:40" x14ac:dyDescent="0.25">
      <c r="A4252" t="str">
        <f>"20190303162344939"</f>
        <v>20190303162344939</v>
      </c>
      <c r="B4252" t="str">
        <f>"1551601424929322"</f>
        <v>1551601424929322</v>
      </c>
      <c r="C4252" t="s">
        <v>40</v>
      </c>
      <c r="D4252">
        <v>5.2055339999999903</v>
      </c>
      <c r="E4252">
        <v>0.50971409999999995</v>
      </c>
      <c r="F4252" t="s">
        <v>42</v>
      </c>
      <c r="G4252">
        <v>-288.76850000000002</v>
      </c>
      <c r="H4252">
        <v>0.90081</v>
      </c>
      <c r="I4252">
        <v>141.4502</v>
      </c>
      <c r="J4252">
        <v>-288.3741</v>
      </c>
      <c r="K4252">
        <v>1.1205309999999999</v>
      </c>
      <c r="L4252">
        <v>141.4453</v>
      </c>
      <c r="M4252">
        <v>-0.99992510000000001</v>
      </c>
      <c r="N4252">
        <v>-1.124445E-2</v>
      </c>
      <c r="O4252">
        <v>4.8558059999999998E-3</v>
      </c>
      <c r="P4252">
        <v>-0.98527050000000005</v>
      </c>
      <c r="Q4252">
        <v>0.1707187</v>
      </c>
      <c r="R4252">
        <v>-9.8708509999999999E-3</v>
      </c>
      <c r="S4252">
        <v>-3.170013</v>
      </c>
      <c r="T4252">
        <v>-0.7172809</v>
      </c>
      <c r="U4252">
        <v>2.4597170000000002E-2</v>
      </c>
      <c r="V4252">
        <v>-1.4779250000000001E-2</v>
      </c>
      <c r="W4252">
        <v>0.1817763</v>
      </c>
      <c r="X4252">
        <v>0.98322889999999996</v>
      </c>
      <c r="Y4252">
        <v>2.935881E-3</v>
      </c>
      <c r="Z4252">
        <v>-6.8630839999999998E-4</v>
      </c>
      <c r="AA4252">
        <v>0.99999550000000004</v>
      </c>
      <c r="AB4252">
        <v>39</v>
      </c>
      <c r="AC4252">
        <v>-0.39440000000001801</v>
      </c>
      <c r="AD4252">
        <v>-0.219720999999999</v>
      </c>
      <c r="AE4252">
        <v>4.8999999999921303E-3</v>
      </c>
      <c r="AF4252">
        <v>2.2778433004451001E-3</v>
      </c>
      <c r="AG4252">
        <v>-0.219720999999999</v>
      </c>
      <c r="AH4252">
        <v>0.30101101439531702</v>
      </c>
      <c r="AI4252">
        <v>126.126546922822</v>
      </c>
      <c r="AJ4252">
        <v>89.566433418863198</v>
      </c>
      <c r="AK4252">
        <v>0.372679671029155</v>
      </c>
      <c r="AL4252">
        <v>79.526759251985595</v>
      </c>
      <c r="AM4252">
        <v>90.861167611311302</v>
      </c>
      <c r="AN4252">
        <v>1.00000005963372</v>
      </c>
    </row>
    <row r="4253" spans="1:40" x14ac:dyDescent="0.25">
      <c r="A4253" t="str">
        <f>"20190303162344958"</f>
        <v>20190303162344958</v>
      </c>
      <c r="B4253" t="str">
        <f>"1551601424948843"</f>
        <v>1551601424948843</v>
      </c>
      <c r="C4253" t="s">
        <v>40</v>
      </c>
      <c r="D4253">
        <v>5.1924789999999996</v>
      </c>
      <c r="E4253">
        <v>0.5099226</v>
      </c>
      <c r="F4253" t="s">
        <v>42</v>
      </c>
      <c r="G4253">
        <v>-289.12860000000001</v>
      </c>
      <c r="H4253">
        <v>0.93162809999999996</v>
      </c>
      <c r="I4253">
        <v>141.4588</v>
      </c>
      <c r="J4253">
        <v>-288.73320000000001</v>
      </c>
      <c r="K4253">
        <v>1.120552</v>
      </c>
      <c r="L4253">
        <v>141.4469</v>
      </c>
      <c r="M4253">
        <v>-0.99992570000000003</v>
      </c>
      <c r="N4253">
        <v>-1.129554E-2</v>
      </c>
      <c r="O4253">
        <v>4.5945909999999899E-3</v>
      </c>
      <c r="P4253">
        <v>-0.98508359999999995</v>
      </c>
      <c r="Q4253">
        <v>0.17188580000000001</v>
      </c>
      <c r="R4253">
        <v>-8.1024430000000008E-3</v>
      </c>
      <c r="S4253">
        <v>-3.1835019999999998</v>
      </c>
      <c r="T4253">
        <v>-0.79714499999999999</v>
      </c>
      <c r="U4253">
        <v>5.6152340000000002E-2</v>
      </c>
      <c r="V4253">
        <v>-1.2754649999999999E-2</v>
      </c>
      <c r="W4253">
        <v>0.18299289999999999</v>
      </c>
      <c r="X4253">
        <v>0.98303149999999995</v>
      </c>
      <c r="Y4253">
        <v>1.275864E-2</v>
      </c>
      <c r="Z4253">
        <v>5.6443680000000003E-4</v>
      </c>
      <c r="AA4253">
        <v>0.99991850000000004</v>
      </c>
      <c r="AB4253">
        <v>39</v>
      </c>
      <c r="AC4253">
        <v>-0.39539999999999498</v>
      </c>
      <c r="AD4253">
        <v>-0.18892390000000001</v>
      </c>
      <c r="AE4253">
        <v>1.18999999999971E-2</v>
      </c>
      <c r="AF4253">
        <v>8.2103533336764893E-3</v>
      </c>
      <c r="AG4253">
        <v>-0.18892390000000001</v>
      </c>
      <c r="AH4253">
        <v>0.322004356514551</v>
      </c>
      <c r="AI4253">
        <v>120.392544759892</v>
      </c>
      <c r="AJ4253">
        <v>88.539408923663302</v>
      </c>
      <c r="AK4253">
        <v>0.37342530110776401</v>
      </c>
      <c r="AL4253">
        <v>79.455863531428406</v>
      </c>
      <c r="AM4253">
        <v>90.743360319554697</v>
      </c>
      <c r="AN4253">
        <v>1.0000000062696399</v>
      </c>
    </row>
    <row r="4254" spans="1:40" x14ac:dyDescent="0.25">
      <c r="A4254" t="str">
        <f>"20190303162344982"</f>
        <v>20190303162344982</v>
      </c>
      <c r="B4254" t="str">
        <f>"1551601424969338"</f>
        <v>1551601424969338</v>
      </c>
      <c r="C4254" t="s">
        <v>40</v>
      </c>
      <c r="D4254">
        <v>5.2315209999999999</v>
      </c>
      <c r="E4254">
        <v>0.5105288</v>
      </c>
      <c r="F4254" t="s">
        <v>42</v>
      </c>
      <c r="G4254">
        <v>-289.47469999999998</v>
      </c>
      <c r="H4254">
        <v>0.92944360000000004</v>
      </c>
      <c r="I4254">
        <v>141.46100000000001</v>
      </c>
      <c r="J4254">
        <v>-289.13479999999998</v>
      </c>
      <c r="K4254">
        <v>1.120579</v>
      </c>
      <c r="L4254">
        <v>141.44839999999999</v>
      </c>
      <c r="M4254">
        <v>-0.99992610000000004</v>
      </c>
      <c r="N4254">
        <v>-1.137814E-2</v>
      </c>
      <c r="O4254">
        <v>4.2999020000000004E-3</v>
      </c>
      <c r="P4254">
        <v>-0.9849521</v>
      </c>
      <c r="Q4254">
        <v>0.17269129999999999</v>
      </c>
      <c r="R4254">
        <v>-6.8667939999999998E-3</v>
      </c>
      <c r="S4254">
        <v>-3.189362</v>
      </c>
      <c r="T4254">
        <v>-0.82208029999999999</v>
      </c>
      <c r="U4254">
        <v>6.063843E-2</v>
      </c>
      <c r="V4254">
        <v>-1.122979E-2</v>
      </c>
      <c r="W4254">
        <v>0.18387880000000001</v>
      </c>
      <c r="X4254">
        <v>0.9828848</v>
      </c>
      <c r="Y4254">
        <v>1.434788E-2</v>
      </c>
      <c r="Z4254">
        <v>8.6002129999999998E-4</v>
      </c>
      <c r="AA4254">
        <v>0.99989669999999997</v>
      </c>
      <c r="AB4254">
        <v>39</v>
      </c>
      <c r="AC4254">
        <v>-0.33989999999999998</v>
      </c>
      <c r="AD4254">
        <v>-0.19113540000000001</v>
      </c>
      <c r="AE4254">
        <v>1.26000000000203E-2</v>
      </c>
      <c r="AF4254">
        <v>8.4651377226647E-3</v>
      </c>
      <c r="AG4254">
        <v>-0.19113540000000001</v>
      </c>
      <c r="AH4254">
        <v>0.25836480345652801</v>
      </c>
      <c r="AI4254">
        <v>126.47892814574899</v>
      </c>
      <c r="AJ4254">
        <v>88.123416135374598</v>
      </c>
      <c r="AK4254">
        <v>0.32149147944378498</v>
      </c>
      <c r="AL4254">
        <v>79.404229256451799</v>
      </c>
      <c r="AM4254">
        <v>90.654595103149404</v>
      </c>
      <c r="AN4254">
        <v>1.0000000256719599</v>
      </c>
    </row>
    <row r="4255" spans="1:40" x14ac:dyDescent="0.25">
      <c r="A4255" t="str">
        <f>"20190303162345005"</f>
        <v>20190303162345005</v>
      </c>
      <c r="B4255" t="str">
        <f>"1551601424999594"</f>
        <v>1551601424999594</v>
      </c>
      <c r="C4255" t="s">
        <v>40</v>
      </c>
      <c r="D4255">
        <v>5.2220440000000004</v>
      </c>
      <c r="E4255">
        <v>0.51094499999999998</v>
      </c>
      <c r="F4255" t="s">
        <v>42</v>
      </c>
      <c r="G4255">
        <v>-289.8263</v>
      </c>
      <c r="H4255">
        <v>0.9394865</v>
      </c>
      <c r="I4255">
        <v>141.46340000000001</v>
      </c>
      <c r="J4255">
        <v>-289.5378</v>
      </c>
      <c r="K4255">
        <v>1.120609</v>
      </c>
      <c r="L4255">
        <v>141.44990000000001</v>
      </c>
      <c r="M4255">
        <v>-0.99992599999999998</v>
      </c>
      <c r="N4255">
        <v>-1.14968E-2</v>
      </c>
      <c r="O4255">
        <v>4.0029840000000002E-3</v>
      </c>
      <c r="P4255">
        <v>-0.98486359999999995</v>
      </c>
      <c r="Q4255">
        <v>0.1732032</v>
      </c>
      <c r="R4255">
        <v>-6.6540139999999998E-3</v>
      </c>
      <c r="S4255">
        <v>-3.192993</v>
      </c>
      <c r="T4255">
        <v>-0.83631800000000001</v>
      </c>
      <c r="U4255">
        <v>6.8328860000000005E-2</v>
      </c>
      <c r="V4255">
        <v>-1.0727489999999999E-2</v>
      </c>
      <c r="W4255">
        <v>0.18450639999999999</v>
      </c>
      <c r="X4255">
        <v>0.9827728</v>
      </c>
      <c r="Y4255">
        <v>1.6919219999999999E-2</v>
      </c>
      <c r="Z4255">
        <v>1.2920659999999999E-3</v>
      </c>
      <c r="AA4255">
        <v>0.99985599999999997</v>
      </c>
      <c r="AB4255">
        <v>39</v>
      </c>
      <c r="AC4255">
        <v>-0.28849999999999898</v>
      </c>
      <c r="AD4255">
        <v>-0.18112249999999999</v>
      </c>
      <c r="AE4255">
        <v>1.3499999999993399E-2</v>
      </c>
      <c r="AF4255">
        <v>8.8603464688385807E-3</v>
      </c>
      <c r="AG4255">
        <v>-0.18112249999999999</v>
      </c>
      <c r="AH4255">
        <v>0.20710228402628</v>
      </c>
      <c r="AI4255">
        <v>131.14554823431899</v>
      </c>
      <c r="AJ4255">
        <v>87.550239151338701</v>
      </c>
      <c r="AK4255">
        <v>0.27527299503347602</v>
      </c>
      <c r="AL4255">
        <v>79.367644550711006</v>
      </c>
      <c r="AM4255">
        <v>90.625389197070007</v>
      </c>
      <c r="AN4255">
        <v>1.00000003355124</v>
      </c>
    </row>
    <row r="4256" spans="1:40" x14ac:dyDescent="0.25">
      <c r="A4256" t="str">
        <f>"20190303162345026"</f>
        <v>20190303162345026</v>
      </c>
      <c r="B4256" t="str">
        <f>"1551601425019515"</f>
        <v>1551601425019515</v>
      </c>
      <c r="C4256" t="s">
        <v>40</v>
      </c>
      <c r="D4256">
        <v>5.4584549999999998</v>
      </c>
      <c r="E4256">
        <v>0.51251670000000005</v>
      </c>
      <c r="F4256" t="s">
        <v>42</v>
      </c>
      <c r="G4256">
        <v>-290.48919999999998</v>
      </c>
      <c r="H4256">
        <v>0.86913469999999904</v>
      </c>
      <c r="I4256">
        <v>141.4717</v>
      </c>
      <c r="J4256">
        <v>-289.90679999999998</v>
      </c>
      <c r="K4256">
        <v>1.120649</v>
      </c>
      <c r="L4256">
        <v>141.4511</v>
      </c>
      <c r="M4256">
        <v>-0.99992539999999996</v>
      </c>
      <c r="N4256">
        <v>-1.163425E-2</v>
      </c>
      <c r="O4256">
        <v>3.7409589999999999E-3</v>
      </c>
      <c r="P4256">
        <v>-0.98471439999999999</v>
      </c>
      <c r="Q4256">
        <v>0.17405279999999901</v>
      </c>
      <c r="R4256">
        <v>-6.5773309999999996E-3</v>
      </c>
      <c r="S4256">
        <v>-3.1951290000000001</v>
      </c>
      <c r="T4256">
        <v>-0.84464319999999904</v>
      </c>
      <c r="U4256">
        <v>7.2677610000000004E-2</v>
      </c>
      <c r="V4256">
        <v>-1.0394219999999999E-2</v>
      </c>
      <c r="W4256">
        <v>0.1854895</v>
      </c>
      <c r="X4256">
        <v>0.98259129999999995</v>
      </c>
      <c r="Y4256">
        <v>1.8454970000000001E-2</v>
      </c>
      <c r="Z4256">
        <v>1.5778120000000001E-3</v>
      </c>
      <c r="AA4256">
        <v>0.99982850000000001</v>
      </c>
      <c r="AB4256">
        <v>39</v>
      </c>
      <c r="AC4256">
        <v>-0.58240000000000602</v>
      </c>
      <c r="AD4256">
        <v>-0.25151430000000002</v>
      </c>
      <c r="AE4256">
        <v>2.06000000000017E-2</v>
      </c>
      <c r="AF4256">
        <v>1.5528501874163299E-2</v>
      </c>
      <c r="AG4256">
        <v>-0.25151430000000002</v>
      </c>
      <c r="AH4256">
        <v>0.49101274220751301</v>
      </c>
      <c r="AI4256">
        <v>117.11153037767301</v>
      </c>
      <c r="AJ4256">
        <v>88.18859858783</v>
      </c>
      <c r="AK4256">
        <v>0.551900435300687</v>
      </c>
      <c r="AL4256">
        <v>79.310327664775599</v>
      </c>
      <c r="AM4256">
        <v>90.606073679455406</v>
      </c>
      <c r="AN4256">
        <v>1.00000002862767</v>
      </c>
    </row>
    <row r="4257" spans="1:40" x14ac:dyDescent="0.25">
      <c r="A4257" t="str">
        <f>"20190303162345049"</f>
        <v>20190303162345049</v>
      </c>
      <c r="B4257" t="str">
        <f>"1551601425039035"</f>
        <v>1551601425039035</v>
      </c>
      <c r="C4257" t="s">
        <v>40</v>
      </c>
      <c r="D4257">
        <v>5.2744450000000001</v>
      </c>
      <c r="E4257">
        <v>0.53135399999999999</v>
      </c>
      <c r="F4257" t="s">
        <v>42</v>
      </c>
      <c r="G4257">
        <v>-290.8372</v>
      </c>
      <c r="H4257">
        <v>0.87256929999999999</v>
      </c>
      <c r="I4257">
        <v>141.47540000000001</v>
      </c>
      <c r="J4257">
        <v>-290.30709999999999</v>
      </c>
      <c r="K4257">
        <v>1.120692</v>
      </c>
      <c r="L4257">
        <v>141.45230000000001</v>
      </c>
      <c r="M4257">
        <v>-0.99992440000000005</v>
      </c>
      <c r="N4257">
        <v>-1.180018E-2</v>
      </c>
      <c r="O4257">
        <v>3.460397E-3</v>
      </c>
      <c r="P4257">
        <v>-0.98454509999999995</v>
      </c>
      <c r="Q4257">
        <v>0.1750401</v>
      </c>
      <c r="R4257">
        <v>-5.6720099999999999E-3</v>
      </c>
      <c r="S4257">
        <v>-3.197845</v>
      </c>
      <c r="T4257">
        <v>-0.85258020000000001</v>
      </c>
      <c r="U4257">
        <v>8.3694459999999998E-2</v>
      </c>
      <c r="V4257">
        <v>-9.2128650000000006E-3</v>
      </c>
      <c r="W4257">
        <v>0.18663930000000001</v>
      </c>
      <c r="X4257">
        <v>0.98238530000000002</v>
      </c>
      <c r="Y4257">
        <v>2.2010370000000001E-2</v>
      </c>
      <c r="Z4257">
        <v>2.1490620000000002E-3</v>
      </c>
      <c r="AA4257">
        <v>0.99975539999999996</v>
      </c>
      <c r="AB4257">
        <v>39</v>
      </c>
      <c r="AC4257">
        <v>-0.53010000000000401</v>
      </c>
      <c r="AD4257">
        <v>-0.248122699999999</v>
      </c>
      <c r="AE4257">
        <v>2.3099999999999399E-2</v>
      </c>
      <c r="AF4257">
        <v>1.7449629508009601E-2</v>
      </c>
      <c r="AG4257">
        <v>-0.248122699999999</v>
      </c>
      <c r="AH4257">
        <v>0.43504462304563901</v>
      </c>
      <c r="AI4257">
        <v>119.677962353811</v>
      </c>
      <c r="AJ4257">
        <v>87.7030988745109</v>
      </c>
      <c r="AK4257">
        <v>0.50113190665350704</v>
      </c>
      <c r="AL4257">
        <v>79.243277721139293</v>
      </c>
      <c r="AM4257">
        <v>90.537307315018097</v>
      </c>
      <c r="AN4257">
        <v>0.99999999142104401</v>
      </c>
    </row>
    <row r="4258" spans="1:40" x14ac:dyDescent="0.25">
      <c r="A4258" t="str">
        <f>"20190303162345073"</f>
        <v>20190303162345073</v>
      </c>
      <c r="B4258" t="str">
        <f>"1551601425069290"</f>
        <v>1551601425069290</v>
      </c>
      <c r="C4258" t="s">
        <v>40</v>
      </c>
      <c r="D4258">
        <v>5.2470140000000001</v>
      </c>
      <c r="E4258">
        <v>0.53177640000000004</v>
      </c>
      <c r="F4258" t="s">
        <v>42</v>
      </c>
      <c r="G4258">
        <v>-291.16539999999998</v>
      </c>
      <c r="H4258">
        <v>0.8294878</v>
      </c>
      <c r="I4258">
        <v>141.51480000000001</v>
      </c>
      <c r="J4258">
        <v>-290.7099</v>
      </c>
      <c r="K4258">
        <v>1.1207279999999999</v>
      </c>
      <c r="L4258">
        <v>141.45339999999999</v>
      </c>
      <c r="M4258">
        <v>-0.99992320000000001</v>
      </c>
      <c r="N4258">
        <v>-1.198464E-2</v>
      </c>
      <c r="O4258">
        <v>3.173595E-3</v>
      </c>
      <c r="P4258">
        <v>-0.98443420000000004</v>
      </c>
      <c r="Q4258">
        <v>0.17570450000000001</v>
      </c>
      <c r="R4258">
        <v>-4.1824280000000002E-3</v>
      </c>
      <c r="S4258">
        <v>-3.2441409999999999</v>
      </c>
      <c r="T4258">
        <v>-1.1006129999999901</v>
      </c>
      <c r="U4258">
        <v>0.2353973</v>
      </c>
      <c r="V4258">
        <v>-7.4381259999999998E-3</v>
      </c>
      <c r="W4258">
        <v>0.18748480000000001</v>
      </c>
      <c r="X4258">
        <v>0.98223939999999998</v>
      </c>
      <c r="Y4258">
        <v>6.5579860000000004E-2</v>
      </c>
      <c r="Z4258">
        <v>1.020385E-2</v>
      </c>
      <c r="AA4258">
        <v>0.99779519999999999</v>
      </c>
      <c r="AB4258">
        <v>39</v>
      </c>
      <c r="AC4258">
        <v>-0.45549999999997198</v>
      </c>
      <c r="AD4258">
        <v>-0.2912402</v>
      </c>
      <c r="AE4258">
        <v>6.1400000000020299E-2</v>
      </c>
      <c r="AF4258">
        <v>4.2777899247668297E-2</v>
      </c>
      <c r="AG4258">
        <v>-0.2912402</v>
      </c>
      <c r="AH4258">
        <v>0.32514205063718699</v>
      </c>
      <c r="AI4258">
        <v>131.60760452977399</v>
      </c>
      <c r="AJ4258">
        <v>82.504826492311594</v>
      </c>
      <c r="AK4258">
        <v>0.43859794328363999</v>
      </c>
      <c r="AL4258">
        <v>79.193964372308798</v>
      </c>
      <c r="AM4258">
        <v>90.433870888630096</v>
      </c>
      <c r="AN4258">
        <v>1.00000005743089</v>
      </c>
    </row>
    <row r="4259" spans="1:40" x14ac:dyDescent="0.25">
      <c r="A4259" t="str">
        <f>"20190303162345096"</f>
        <v>20190303162345096</v>
      </c>
      <c r="B4259" t="str">
        <f>"1551601425088811"</f>
        <v>1551601425088811</v>
      </c>
      <c r="C4259" t="s">
        <v>40</v>
      </c>
      <c r="D4259">
        <v>5.2440629999999997</v>
      </c>
      <c r="E4259">
        <v>0.53171269999999904</v>
      </c>
      <c r="F4259" t="s">
        <v>42</v>
      </c>
      <c r="G4259">
        <v>-291.51609999999999</v>
      </c>
      <c r="H4259">
        <v>0.8401573</v>
      </c>
      <c r="I4259">
        <v>141.51320000000001</v>
      </c>
      <c r="J4259">
        <v>-291.11380000000003</v>
      </c>
      <c r="K4259">
        <v>1.120757</v>
      </c>
      <c r="L4259">
        <v>141.45439999999999</v>
      </c>
      <c r="M4259">
        <v>-0.99992159999999997</v>
      </c>
      <c r="N4259">
        <v>-1.218443E-2</v>
      </c>
      <c r="O4259">
        <v>2.8797430000000001E-3</v>
      </c>
      <c r="P4259">
        <v>-0.9843054</v>
      </c>
      <c r="Q4259">
        <v>0.17643739999999999</v>
      </c>
      <c r="R4259">
        <v>-3.5643530000000001E-3</v>
      </c>
      <c r="S4259">
        <v>-3.2503359999999999</v>
      </c>
      <c r="T4259">
        <v>-1.1312340000000001</v>
      </c>
      <c r="U4259">
        <v>0.24208070000000001</v>
      </c>
      <c r="V4259">
        <v>-6.5273719999999896E-3</v>
      </c>
      <c r="W4259">
        <v>0.188413</v>
      </c>
      <c r="X4259">
        <v>0.98206819999999895</v>
      </c>
      <c r="Y4259">
        <v>6.7462910000000001E-2</v>
      </c>
      <c r="Z4259">
        <v>1.087524E-2</v>
      </c>
      <c r="AA4259">
        <v>0.99766250000000001</v>
      </c>
      <c r="AB4259">
        <v>39</v>
      </c>
      <c r="AC4259">
        <v>-0.40229999999996802</v>
      </c>
      <c r="AD4259">
        <v>-0.28059970000000001</v>
      </c>
      <c r="AE4259">
        <v>5.8800000000019198E-2</v>
      </c>
      <c r="AF4259">
        <v>3.9043933281964399E-2</v>
      </c>
      <c r="AG4259">
        <v>-0.28059970000000001</v>
      </c>
      <c r="AH4259">
        <v>0.27261637058338201</v>
      </c>
      <c r="AI4259">
        <v>135.53601102959601</v>
      </c>
      <c r="AJ4259">
        <v>81.849562054987402</v>
      </c>
      <c r="AK4259">
        <v>0.393167020331401</v>
      </c>
      <c r="AL4259">
        <v>79.139816917350203</v>
      </c>
      <c r="AM4259">
        <v>90.380814041049604</v>
      </c>
      <c r="AN4259">
        <v>1.00000000730273</v>
      </c>
    </row>
    <row r="4260" spans="1:40" x14ac:dyDescent="0.25">
      <c r="A4260" t="str">
        <f>"20190303162345116"</f>
        <v>20190303162345116</v>
      </c>
      <c r="B4260" t="str">
        <f>"1551601425109306"</f>
        <v>1551601425109306</v>
      </c>
      <c r="C4260" t="s">
        <v>40</v>
      </c>
      <c r="D4260">
        <v>5.2782400000000003</v>
      </c>
      <c r="E4260">
        <v>0.53169719999999998</v>
      </c>
      <c r="F4260" t="s">
        <v>42</v>
      </c>
      <c r="G4260">
        <v>-291.86919999999998</v>
      </c>
      <c r="H4260">
        <v>0.85807449999999996</v>
      </c>
      <c r="I4260">
        <v>141.51089999999999</v>
      </c>
      <c r="J4260">
        <v>-291.4606</v>
      </c>
      <c r="K4260">
        <v>1.1207819999999999</v>
      </c>
      <c r="L4260">
        <v>141.45519999999999</v>
      </c>
      <c r="M4260">
        <v>-0.99992009999999998</v>
      </c>
      <c r="N4260">
        <v>-1.236925E-2</v>
      </c>
      <c r="O4260">
        <v>2.6247369999999998E-3</v>
      </c>
      <c r="P4260">
        <v>-0.98407889999999998</v>
      </c>
      <c r="Q4260">
        <v>0.17770439999999901</v>
      </c>
      <c r="R4260">
        <v>-3.2105900000000001E-3</v>
      </c>
      <c r="S4260">
        <v>-3.2513429999999999</v>
      </c>
      <c r="T4260">
        <v>-1.13056</v>
      </c>
      <c r="U4260">
        <v>0.24270630000000001</v>
      </c>
      <c r="V4260">
        <v>-5.919728E-3</v>
      </c>
      <c r="W4260">
        <v>0.1898589</v>
      </c>
      <c r="X4260">
        <v>0.98179349999999999</v>
      </c>
      <c r="Y4260">
        <v>6.7852250000000003E-2</v>
      </c>
      <c r="Z4260">
        <v>1.1024330000000001E-2</v>
      </c>
      <c r="AA4260">
        <v>0.99763449999999998</v>
      </c>
      <c r="AB4260">
        <v>39</v>
      </c>
      <c r="AC4260">
        <v>-0.40859999999997798</v>
      </c>
      <c r="AD4260">
        <v>-0.26270749999999898</v>
      </c>
      <c r="AE4260">
        <v>5.5700000000001602E-2</v>
      </c>
      <c r="AF4260">
        <v>3.8857457492014497E-2</v>
      </c>
      <c r="AG4260">
        <v>-0.26270749999999898</v>
      </c>
      <c r="AH4260">
        <v>0.29074832163282099</v>
      </c>
      <c r="AI4260">
        <v>131.847418809239</v>
      </c>
      <c r="AJ4260">
        <v>82.387735015549694</v>
      </c>
      <c r="AK4260">
        <v>0.39377622971847398</v>
      </c>
      <c r="AL4260">
        <v>79.055449685194105</v>
      </c>
      <c r="AM4260">
        <v>90.345460955000306</v>
      </c>
      <c r="AN4260">
        <v>0.99999996086552601</v>
      </c>
    </row>
    <row r="4261" spans="1:40" x14ac:dyDescent="0.25">
      <c r="A4261" t="str">
        <f>"20190303162345138"</f>
        <v>20190303162345138</v>
      </c>
      <c r="B4261" t="str">
        <f>"1551601425128827"</f>
        <v>1551601425128827</v>
      </c>
      <c r="C4261" t="s">
        <v>40</v>
      </c>
      <c r="D4261">
        <v>5.2682710000000004</v>
      </c>
      <c r="E4261">
        <v>0.53154250000000003</v>
      </c>
      <c r="F4261" t="s">
        <v>42</v>
      </c>
      <c r="G4261">
        <v>-292.21570000000003</v>
      </c>
      <c r="H4261">
        <v>0.85954050000000004</v>
      </c>
      <c r="I4261">
        <v>141.51179999999999</v>
      </c>
      <c r="J4261">
        <v>-291.83749999999998</v>
      </c>
      <c r="K4261">
        <v>1.1208</v>
      </c>
      <c r="L4261">
        <v>141.45590000000001</v>
      </c>
      <c r="M4261">
        <v>-0.99991810000000003</v>
      </c>
      <c r="N4261">
        <v>-1.2592040000000001E-2</v>
      </c>
      <c r="O4261">
        <v>2.3491039999999999E-3</v>
      </c>
      <c r="P4261">
        <v>-0.98409899999999995</v>
      </c>
      <c r="Q4261">
        <v>0.17759440000000001</v>
      </c>
      <c r="R4261">
        <v>-3.1170360000000001E-3</v>
      </c>
      <c r="S4261">
        <v>-3.2525629999999999</v>
      </c>
      <c r="T4261">
        <v>-1.1253029999999999</v>
      </c>
      <c r="U4261">
        <v>0.24348449999999999</v>
      </c>
      <c r="V4261">
        <v>-5.5535109999999997E-3</v>
      </c>
      <c r="W4261">
        <v>0.18996840000000001</v>
      </c>
      <c r="X4261">
        <v>0.98177449999999999</v>
      </c>
      <c r="Y4261">
        <v>6.8328509999999995E-2</v>
      </c>
      <c r="Z4261">
        <v>1.1154600000000001E-2</v>
      </c>
      <c r="AA4261">
        <v>0.9976005</v>
      </c>
      <c r="AB4261">
        <v>39</v>
      </c>
      <c r="AC4261">
        <v>-0.378200000000049</v>
      </c>
      <c r="AD4261">
        <v>-0.26125949999999998</v>
      </c>
      <c r="AE4261">
        <v>5.5899999999979799E-2</v>
      </c>
      <c r="AF4261">
        <v>3.7499250147546299E-2</v>
      </c>
      <c r="AG4261">
        <v>-0.26125949999999998</v>
      </c>
      <c r="AH4261">
        <v>0.25789411352249297</v>
      </c>
      <c r="AI4261">
        <v>135.07173099662299</v>
      </c>
      <c r="AJ4261">
        <v>81.726853058147299</v>
      </c>
      <c r="AK4261">
        <v>0.36901503206702901</v>
      </c>
      <c r="AL4261">
        <v>79.049059953150007</v>
      </c>
      <c r="AM4261">
        <v>90.324096162700499</v>
      </c>
      <c r="AN4261">
        <v>1.00000000166661</v>
      </c>
    </row>
    <row r="4262" spans="1:40" x14ac:dyDescent="0.25">
      <c r="A4262" t="str">
        <f>"20190303162345161"</f>
        <v>20190303162345161</v>
      </c>
      <c r="B4262" t="str">
        <f>"1551601425149323"</f>
        <v>1551601425149323</v>
      </c>
      <c r="C4262" t="s">
        <v>40</v>
      </c>
      <c r="D4262">
        <v>5.2904269999999904</v>
      </c>
      <c r="E4262">
        <v>0.53136729999999999</v>
      </c>
      <c r="F4262" t="s">
        <v>42</v>
      </c>
      <c r="G4262">
        <v>-292.56459999999998</v>
      </c>
      <c r="H4262">
        <v>0.86841389999999996</v>
      </c>
      <c r="I4262">
        <v>141.51009999999999</v>
      </c>
      <c r="J4262">
        <v>-292.22750000000002</v>
      </c>
      <c r="K4262">
        <v>1.120835</v>
      </c>
      <c r="L4262">
        <v>141.45660000000001</v>
      </c>
      <c r="M4262">
        <v>-0.99991540000000001</v>
      </c>
      <c r="N4262">
        <v>-1.283989E-2</v>
      </c>
      <c r="O4262">
        <v>2.0672170000000001E-3</v>
      </c>
      <c r="P4262">
        <v>-0.98426709999999995</v>
      </c>
      <c r="Q4262">
        <v>0.1766645</v>
      </c>
      <c r="R4262">
        <v>-2.7749390000000001E-3</v>
      </c>
      <c r="S4262">
        <v>-3.2530519999999998</v>
      </c>
      <c r="T4262">
        <v>-1.129148</v>
      </c>
      <c r="U4262">
        <v>0.24076839999999999</v>
      </c>
      <c r="V4262">
        <v>-4.9329420000000001E-3</v>
      </c>
      <c r="W4262">
        <v>0.18928490000000001</v>
      </c>
      <c r="X4262">
        <v>0.98190980000000005</v>
      </c>
      <c r="Y4262">
        <v>6.7760929999999997E-2</v>
      </c>
      <c r="Z4262">
        <v>1.1189320000000001E-2</v>
      </c>
      <c r="AA4262">
        <v>0.99763880000000005</v>
      </c>
      <c r="AB4262">
        <v>39</v>
      </c>
      <c r="AC4262">
        <v>-0.33709999999996398</v>
      </c>
      <c r="AD4262">
        <v>-0.25242109999999901</v>
      </c>
      <c r="AE4262">
        <v>5.34999999999854E-2</v>
      </c>
      <c r="AF4262">
        <v>3.4134077211722298E-2</v>
      </c>
      <c r="AG4262">
        <v>-0.25242109999999901</v>
      </c>
      <c r="AH4262">
        <v>0.21798676073842799</v>
      </c>
      <c r="AI4262">
        <v>138.84306399452399</v>
      </c>
      <c r="AJ4262">
        <v>81.100446025695305</v>
      </c>
      <c r="AK4262">
        <v>0.335260756441219</v>
      </c>
      <c r="AL4262">
        <v>79.088945063200597</v>
      </c>
      <c r="AM4262">
        <v>90.287841489527807</v>
      </c>
      <c r="AN4262">
        <v>0.99999998131041201</v>
      </c>
    </row>
    <row r="4263" spans="1:40" x14ac:dyDescent="0.25">
      <c r="A4263" t="str">
        <f>"20190303162345183"</f>
        <v>20190303162345183</v>
      </c>
      <c r="B4263" t="str">
        <f>"1551601425178603"</f>
        <v>1551601425178603</v>
      </c>
      <c r="C4263" t="s">
        <v>40</v>
      </c>
      <c r="D4263">
        <v>5.3310389999999996</v>
      </c>
      <c r="E4263">
        <v>0.53111799999999998</v>
      </c>
      <c r="F4263" t="s">
        <v>42</v>
      </c>
      <c r="G4263">
        <v>-292.91469999999998</v>
      </c>
      <c r="H4263">
        <v>0.88096280000000005</v>
      </c>
      <c r="I4263">
        <v>141.50700000000001</v>
      </c>
      <c r="J4263">
        <v>-292.62099999999998</v>
      </c>
      <c r="K4263">
        <v>1.120868</v>
      </c>
      <c r="L4263">
        <v>141.4571</v>
      </c>
      <c r="M4263">
        <v>-0.99991289999999999</v>
      </c>
      <c r="N4263">
        <v>-1.308639E-2</v>
      </c>
      <c r="O4263">
        <v>1.785156E-3</v>
      </c>
      <c r="P4263">
        <v>-0.98419270000000003</v>
      </c>
      <c r="Q4263">
        <v>0.17708850000000001</v>
      </c>
      <c r="R4263">
        <v>-2.171039E-3</v>
      </c>
      <c r="S4263">
        <v>-3.2524109999999999</v>
      </c>
      <c r="T4263">
        <v>-1.1352089999999999</v>
      </c>
      <c r="U4263">
        <v>0.23881530000000001</v>
      </c>
      <c r="V4263">
        <v>-4.0521730000000001E-3</v>
      </c>
      <c r="W4263">
        <v>0.1899506</v>
      </c>
      <c r="X4263">
        <v>0.98178529999999997</v>
      </c>
      <c r="Y4263">
        <v>6.7420499999999994E-2</v>
      </c>
      <c r="Z4263">
        <v>1.128708E-2</v>
      </c>
      <c r="AA4263">
        <v>0.99766080000000001</v>
      </c>
      <c r="AB4263">
        <v>39</v>
      </c>
      <c r="AC4263">
        <v>-0.29370000000000102</v>
      </c>
      <c r="AD4263">
        <v>-0.23990520000000001</v>
      </c>
      <c r="AE4263">
        <v>4.9900000000008E-2</v>
      </c>
      <c r="AF4263">
        <v>2.9951753592615302E-2</v>
      </c>
      <c r="AG4263">
        <v>-0.23990520000000001</v>
      </c>
      <c r="AH4263">
        <v>0.178215327358512</v>
      </c>
      <c r="AI4263">
        <v>143.010179005211</v>
      </c>
      <c r="AJ4263">
        <v>80.459743969988395</v>
      </c>
      <c r="AK4263">
        <v>0.300353650611765</v>
      </c>
      <c r="AL4263">
        <v>79.0500988569475</v>
      </c>
      <c r="AM4263">
        <v>90.236478476929307</v>
      </c>
      <c r="AN4263">
        <v>1.0000000129212301</v>
      </c>
    </row>
    <row r="4264" spans="1:40" x14ac:dyDescent="0.25">
      <c r="A4264" t="str">
        <f>"20190303162345206"</f>
        <v>20190303162345206</v>
      </c>
      <c r="B4264" t="str">
        <f>"1551601425199099"</f>
        <v>1551601425199099</v>
      </c>
      <c r="C4264" t="s">
        <v>40</v>
      </c>
      <c r="D4264">
        <v>5.2910740000000001</v>
      </c>
      <c r="E4264">
        <v>0.53125409999999995</v>
      </c>
      <c r="F4264" t="s">
        <v>42</v>
      </c>
      <c r="G4264">
        <v>-293.56740000000002</v>
      </c>
      <c r="H4264">
        <v>0.79006679999999996</v>
      </c>
      <c r="I4264">
        <v>141.52619999999999</v>
      </c>
      <c r="J4264">
        <v>-293.02730000000003</v>
      </c>
      <c r="K4264">
        <v>1.12090499999999</v>
      </c>
      <c r="L4264">
        <v>141.45760000000001</v>
      </c>
      <c r="M4264">
        <v>-0.99991019999999997</v>
      </c>
      <c r="N4264">
        <v>-1.332009E-2</v>
      </c>
      <c r="O4264">
        <v>1.4952699999999999E-3</v>
      </c>
      <c r="P4264">
        <v>-0.98407420000000001</v>
      </c>
      <c r="Q4264">
        <v>0.1777561</v>
      </c>
      <c r="R4264">
        <v>-1.0646080000000001E-3</v>
      </c>
      <c r="S4264">
        <v>-3.2533259999999999</v>
      </c>
      <c r="T4264">
        <v>-1.1372059999999999</v>
      </c>
      <c r="U4264">
        <v>0.2371674</v>
      </c>
      <c r="V4264">
        <v>-2.661287E-3</v>
      </c>
      <c r="W4264">
        <v>0.19084660000000001</v>
      </c>
      <c r="X4264">
        <v>0.9816163</v>
      </c>
      <c r="Y4264">
        <v>6.7171430000000004E-2</v>
      </c>
      <c r="Z4264">
        <v>1.136152E-2</v>
      </c>
      <c r="AA4264">
        <v>0.99767669999999997</v>
      </c>
      <c r="AB4264">
        <v>39</v>
      </c>
      <c r="AC4264">
        <v>-0.54009999999999503</v>
      </c>
      <c r="AD4264">
        <v>-0.33083819999999903</v>
      </c>
      <c r="AE4264">
        <v>6.8599999999975098E-2</v>
      </c>
      <c r="AF4264">
        <v>4.9510130271191097E-2</v>
      </c>
      <c r="AG4264">
        <v>-0.33083819999999903</v>
      </c>
      <c r="AH4264">
        <v>0.39452102467945999</v>
      </c>
      <c r="AI4264">
        <v>129.76233795055501</v>
      </c>
      <c r="AJ4264">
        <v>82.847101124545503</v>
      </c>
      <c r="AK4264">
        <v>0.51725429577031201</v>
      </c>
      <c r="AL4264">
        <v>78.997805455425507</v>
      </c>
      <c r="AM4264">
        <v>90.155335786077103</v>
      </c>
      <c r="AN4264">
        <v>1.0000000338028701</v>
      </c>
    </row>
    <row r="4265" spans="1:40" x14ac:dyDescent="0.25">
      <c r="A4265" t="str">
        <f>"20190303162345228"</f>
        <v>20190303162345228</v>
      </c>
      <c r="B4265" t="str">
        <f>"1551601425219594"</f>
        <v>1551601425219594</v>
      </c>
      <c r="C4265" t="s">
        <v>40</v>
      </c>
      <c r="D4265">
        <v>5.3009089999999999</v>
      </c>
      <c r="E4265">
        <v>0.531448699999999</v>
      </c>
      <c r="F4265" t="s">
        <v>42</v>
      </c>
      <c r="G4265">
        <v>-293.91890000000001</v>
      </c>
      <c r="H4265">
        <v>0.80969740000000001</v>
      </c>
      <c r="I4265">
        <v>141.52430000000001</v>
      </c>
      <c r="J4265">
        <v>-293.3852</v>
      </c>
      <c r="K4265">
        <v>1.1209279999999999</v>
      </c>
      <c r="L4265">
        <v>141.4579</v>
      </c>
      <c r="M4265">
        <v>-0.99990809999999997</v>
      </c>
      <c r="N4265">
        <v>-1.3507069999999999E-2</v>
      </c>
      <c r="O4265">
        <v>1.239729E-3</v>
      </c>
      <c r="P4265">
        <v>-0.98410920000000002</v>
      </c>
      <c r="Q4265">
        <v>0.1775649</v>
      </c>
      <c r="R4265">
        <v>-1.9734630000000001E-4</v>
      </c>
      <c r="S4265">
        <v>-3.2539980000000002</v>
      </c>
      <c r="T4265">
        <v>-1.135785</v>
      </c>
      <c r="U4265">
        <v>0.24240110000000001</v>
      </c>
      <c r="V4265">
        <v>-1.5435339999999901E-3</v>
      </c>
      <c r="W4265">
        <v>0.1908405</v>
      </c>
      <c r="X4265">
        <v>0.98161980000000004</v>
      </c>
      <c r="Y4265">
        <v>6.8897070000000005E-2</v>
      </c>
      <c r="Z4265">
        <v>1.174005E-2</v>
      </c>
      <c r="AA4265">
        <v>0.99755470000000002</v>
      </c>
      <c r="AB4265">
        <v>38</v>
      </c>
      <c r="AC4265">
        <v>-0.53370000000001006</v>
      </c>
      <c r="AD4265">
        <v>-0.31123060000000002</v>
      </c>
      <c r="AE4265">
        <v>6.6400000000015696E-2</v>
      </c>
      <c r="AF4265">
        <v>4.92462725190125E-2</v>
      </c>
      <c r="AG4265">
        <v>-0.31123060000000002</v>
      </c>
      <c r="AH4265">
        <v>0.39987026651944502</v>
      </c>
      <c r="AI4265">
        <v>127.68582313517599</v>
      </c>
      <c r="AJ4265">
        <v>82.979056307071701</v>
      </c>
      <c r="AK4265">
        <v>0.50910304632727199</v>
      </c>
      <c r="AL4265">
        <v>78.998160629717802</v>
      </c>
      <c r="AM4265">
        <v>90.090093853899205</v>
      </c>
      <c r="AN4265">
        <v>0.99999995534474795</v>
      </c>
    </row>
    <row r="4266" spans="1:40" x14ac:dyDescent="0.25">
      <c r="A4266" t="str">
        <f>"20190303162345250"</f>
        <v>20190303162345250</v>
      </c>
      <c r="B4266" t="str">
        <f>"1551601425239115"</f>
        <v>1551601425239115</v>
      </c>
      <c r="C4266" t="s">
        <v>40</v>
      </c>
      <c r="D4266">
        <v>5.3010039999999998</v>
      </c>
      <c r="E4266">
        <v>0.53158749999999999</v>
      </c>
      <c r="F4266" t="s">
        <v>42</v>
      </c>
      <c r="G4266">
        <v>-294.26400000000001</v>
      </c>
      <c r="H4266">
        <v>0.8137645</v>
      </c>
      <c r="I4266">
        <v>141.52440000000001</v>
      </c>
      <c r="J4266">
        <v>-293.7697</v>
      </c>
      <c r="K4266">
        <v>1.1209450000000001</v>
      </c>
      <c r="L4266">
        <v>141.4581</v>
      </c>
      <c r="M4266">
        <v>-0.99990590000000001</v>
      </c>
      <c r="N4266">
        <v>-1.3687960000000001E-2</v>
      </c>
      <c r="O4266">
        <v>9.646724E-4</v>
      </c>
      <c r="P4266">
        <v>-0.98410050000000004</v>
      </c>
      <c r="Q4266">
        <v>0.17761179999999999</v>
      </c>
      <c r="R4266">
        <v>6.6725490000000003E-4</v>
      </c>
      <c r="S4266">
        <v>-3.2536619999999998</v>
      </c>
      <c r="T4266">
        <v>-1.137167</v>
      </c>
      <c r="U4266">
        <v>0.24571229999999999</v>
      </c>
      <c r="V4266">
        <v>-4.089063E-4</v>
      </c>
      <c r="W4266">
        <v>0.19106519999999999</v>
      </c>
      <c r="X4266">
        <v>0.98157729999999999</v>
      </c>
      <c r="Y4266">
        <v>7.008789E-2</v>
      </c>
      <c r="Z4266">
        <v>1.206019E-2</v>
      </c>
      <c r="AA4266">
        <v>0.99746789999999996</v>
      </c>
      <c r="AB4266">
        <v>38</v>
      </c>
      <c r="AC4266">
        <v>-0.49430000000000901</v>
      </c>
      <c r="AD4266">
        <v>-0.30718050000000002</v>
      </c>
      <c r="AE4266">
        <v>6.6300000000012405E-2</v>
      </c>
      <c r="AF4266">
        <v>4.77196950172908E-2</v>
      </c>
      <c r="AG4266">
        <v>-0.30718050000000002</v>
      </c>
      <c r="AH4266">
        <v>0.35839836299498301</v>
      </c>
      <c r="AI4266">
        <v>130.35104833301401</v>
      </c>
      <c r="AJ4266">
        <v>82.415842092112399</v>
      </c>
      <c r="AK4266">
        <v>0.47443273018445598</v>
      </c>
      <c r="AL4266">
        <v>78.985045837337296</v>
      </c>
      <c r="AM4266">
        <v>90.023868322801505</v>
      </c>
      <c r="AN4266">
        <v>1.0000000368653399</v>
      </c>
    </row>
    <row r="4267" spans="1:40" x14ac:dyDescent="0.25">
      <c r="A4267" t="str">
        <f>"20190303162345273"</f>
        <v>20190303162345273</v>
      </c>
      <c r="B4267" t="str">
        <f>"1551601425259611"</f>
        <v>1551601425259611</v>
      </c>
      <c r="C4267" t="s">
        <v>40</v>
      </c>
      <c r="D4267">
        <v>5.339175</v>
      </c>
      <c r="E4267">
        <v>0.53165509999999905</v>
      </c>
      <c r="F4267" t="s">
        <v>42</v>
      </c>
      <c r="G4267">
        <v>-294.6121</v>
      </c>
      <c r="H4267">
        <v>0.82650109999999999</v>
      </c>
      <c r="I4267">
        <v>141.52279999999999</v>
      </c>
      <c r="J4267">
        <v>-294.15010000000001</v>
      </c>
      <c r="K4267">
        <v>1.120954</v>
      </c>
      <c r="L4267">
        <v>141.45820000000001</v>
      </c>
      <c r="M4267">
        <v>-0.99990400000000002</v>
      </c>
      <c r="N4267">
        <v>-1.384787E-2</v>
      </c>
      <c r="O4267">
        <v>6.9119419999999997E-4</v>
      </c>
      <c r="P4267">
        <v>-0.98414950000000001</v>
      </c>
      <c r="Q4267">
        <v>0.17733950000000001</v>
      </c>
      <c r="R4267">
        <v>8.780188E-4</v>
      </c>
      <c r="S4267">
        <v>-3.2535400000000001</v>
      </c>
      <c r="T4267">
        <v>-1.137132</v>
      </c>
      <c r="U4267">
        <v>0.249115</v>
      </c>
      <c r="V4267" s="1">
        <v>7.1279330000000003E-5</v>
      </c>
      <c r="W4267">
        <v>0.1909505</v>
      </c>
      <c r="X4267">
        <v>0.98159969999999996</v>
      </c>
      <c r="Y4267">
        <v>7.1308899999999995E-2</v>
      </c>
      <c r="Z4267">
        <v>1.237049E-2</v>
      </c>
      <c r="AA4267">
        <v>0.99737759999999998</v>
      </c>
      <c r="AB4267">
        <v>38</v>
      </c>
      <c r="AC4267">
        <v>-0.46199999999998898</v>
      </c>
      <c r="AD4267">
        <v>-0.29445290000000002</v>
      </c>
      <c r="AE4267">
        <v>6.4599999999984406E-2</v>
      </c>
      <c r="AF4267">
        <v>4.5966685115143097E-2</v>
      </c>
      <c r="AG4267">
        <v>-0.29445290000000002</v>
      </c>
      <c r="AH4267">
        <v>0.33040526621218502</v>
      </c>
      <c r="AI4267">
        <v>131.43438775148601</v>
      </c>
      <c r="AJ4267">
        <v>82.079726770149193</v>
      </c>
      <c r="AK4267">
        <v>0.44495290357478301</v>
      </c>
      <c r="AL4267">
        <v>78.991740906449905</v>
      </c>
      <c r="AM4267">
        <v>89.995839439673404</v>
      </c>
      <c r="AN4267">
        <v>1.00000003478554</v>
      </c>
    </row>
    <row r="4268" spans="1:40" x14ac:dyDescent="0.25">
      <c r="A4268" t="str">
        <f>"20190303162345296"</f>
        <v>20190303162345296</v>
      </c>
      <c r="B4268" t="str">
        <f>"1551601425288892"</f>
        <v>1551601425288892</v>
      </c>
      <c r="C4268" t="s">
        <v>40</v>
      </c>
      <c r="D4268">
        <v>5.3586119999999999</v>
      </c>
      <c r="E4268">
        <v>0.53176999999999996</v>
      </c>
      <c r="F4268" t="s">
        <v>42</v>
      </c>
      <c r="G4268">
        <v>-294.95920000000001</v>
      </c>
      <c r="H4268">
        <v>0.83768390000000004</v>
      </c>
      <c r="I4268">
        <v>141.52029999999999</v>
      </c>
      <c r="J4268">
        <v>-294.553</v>
      </c>
      <c r="K4268">
        <v>1.120965</v>
      </c>
      <c r="L4268">
        <v>141.45820000000001</v>
      </c>
      <c r="M4268">
        <v>-0.99990199999999996</v>
      </c>
      <c r="N4268">
        <v>-1.3997249999999999E-2</v>
      </c>
      <c r="O4268">
        <v>4.005643E-4</v>
      </c>
      <c r="P4268">
        <v>-0.98413010000000001</v>
      </c>
      <c r="Q4268">
        <v>0.17744360000000001</v>
      </c>
      <c r="R4268">
        <v>1.387786E-3</v>
      </c>
      <c r="S4268">
        <v>-3.2533259999999999</v>
      </c>
      <c r="T4268">
        <v>-1.1391659999999999</v>
      </c>
      <c r="U4268">
        <v>0.24940490000000001</v>
      </c>
      <c r="V4268">
        <v>8.6712919999999997E-4</v>
      </c>
      <c r="W4268">
        <v>0.19120229999999999</v>
      </c>
      <c r="X4268">
        <v>0.98155029999999999</v>
      </c>
      <c r="Y4268">
        <v>7.1638549999999995E-2</v>
      </c>
      <c r="Z4268">
        <v>1.2549950000000001E-2</v>
      </c>
      <c r="AA4268">
        <v>0.99735169999999995</v>
      </c>
      <c r="AB4268">
        <v>38</v>
      </c>
      <c r="AC4268">
        <v>-0.406200000000012</v>
      </c>
      <c r="AD4268">
        <v>-0.28328109999999901</v>
      </c>
      <c r="AE4268">
        <v>6.2099999999986701E-2</v>
      </c>
      <c r="AF4268">
        <v>4.1984267892892203E-2</v>
      </c>
      <c r="AG4268">
        <v>-0.28328109999999901</v>
      </c>
      <c r="AH4268">
        <v>0.27536009820514601</v>
      </c>
      <c r="AI4268">
        <v>135.48325089902599</v>
      </c>
      <c r="AJ4268">
        <v>81.330855236578302</v>
      </c>
      <c r="AK4268">
        <v>0.39728332969212299</v>
      </c>
      <c r="AL4268">
        <v>78.977042986211202</v>
      </c>
      <c r="AM4268">
        <v>89.949383306665297</v>
      </c>
      <c r="AN4268">
        <v>1.0000000314342099</v>
      </c>
    </row>
    <row r="4269" spans="1:40" x14ac:dyDescent="0.25">
      <c r="A4269" t="str">
        <f>"20190303162345319"</f>
        <v>20190303162345319</v>
      </c>
      <c r="B4269" t="str">
        <f>"1551601425309388"</f>
        <v>1551601425309388</v>
      </c>
      <c r="C4269" t="s">
        <v>40</v>
      </c>
      <c r="D4269">
        <v>5.3747379999999998</v>
      </c>
      <c r="E4269">
        <v>0.53180799999999995</v>
      </c>
      <c r="F4269" t="s">
        <v>42</v>
      </c>
      <c r="G4269">
        <v>-295.30880000000002</v>
      </c>
      <c r="H4269">
        <v>0.85616589999999904</v>
      </c>
      <c r="I4269">
        <v>141.51679999999999</v>
      </c>
      <c r="J4269">
        <v>-294.94220000000001</v>
      </c>
      <c r="K4269">
        <v>1.1209819999999999</v>
      </c>
      <c r="L4269">
        <v>141.4581</v>
      </c>
      <c r="M4269">
        <v>-0.99990040000000002</v>
      </c>
      <c r="N4269">
        <v>-1.4123770000000001E-2</v>
      </c>
      <c r="O4269">
        <v>1.190371E-4</v>
      </c>
      <c r="P4269">
        <v>-0.98387029999999998</v>
      </c>
      <c r="Q4269">
        <v>0.17887639999999999</v>
      </c>
      <c r="R4269">
        <v>1.6911090000000001E-3</v>
      </c>
      <c r="S4269">
        <v>-3.253571</v>
      </c>
      <c r="T4269">
        <v>-1.1398629999999901</v>
      </c>
      <c r="U4269">
        <v>0.25125120000000001</v>
      </c>
      <c r="V4269">
        <v>1.4467359999999999E-3</v>
      </c>
      <c r="W4269">
        <v>0.1927555</v>
      </c>
      <c r="X4269">
        <v>0.98124579999999995</v>
      </c>
      <c r="Y4269">
        <v>7.2407360000000004E-2</v>
      </c>
      <c r="Z4269">
        <v>1.2788549999999999E-2</v>
      </c>
      <c r="AA4269">
        <v>0.99729319999999999</v>
      </c>
      <c r="AB4269">
        <v>38</v>
      </c>
      <c r="AC4269">
        <v>-0.36660000000000498</v>
      </c>
      <c r="AD4269">
        <v>-0.264816099999999</v>
      </c>
      <c r="AE4269">
        <v>5.8699999999987498E-2</v>
      </c>
      <c r="AF4269">
        <v>3.8877297028264597E-2</v>
      </c>
      <c r="AG4269">
        <v>-0.264816099999999</v>
      </c>
      <c r="AH4269">
        <v>0.24298626074525301</v>
      </c>
      <c r="AI4269">
        <v>137.10064500740299</v>
      </c>
      <c r="AJ4269">
        <v>80.909839114064397</v>
      </c>
      <c r="AK4269">
        <v>0.361498732991409</v>
      </c>
      <c r="AL4269">
        <v>78.886364653306003</v>
      </c>
      <c r="AM4269">
        <v>89.915523911739697</v>
      </c>
      <c r="AN4269">
        <v>1.0000000479214699</v>
      </c>
    </row>
    <row r="4270" spans="1:40" x14ac:dyDescent="0.25">
      <c r="A4270" t="str">
        <f>"20190303162345340"</f>
        <v>20190303162345340</v>
      </c>
      <c r="B4270" t="str">
        <f>"1551601425328908"</f>
        <v>1551601425328908</v>
      </c>
      <c r="C4270" t="s">
        <v>40</v>
      </c>
      <c r="D4270">
        <v>5.3943529999999997</v>
      </c>
      <c r="E4270">
        <v>0.53181269999999903</v>
      </c>
      <c r="F4270" t="s">
        <v>42</v>
      </c>
      <c r="G4270">
        <v>-295.6567</v>
      </c>
      <c r="H4270">
        <v>0.87154009999999904</v>
      </c>
      <c r="I4270">
        <v>141.5138</v>
      </c>
      <c r="J4270">
        <v>-295.2987</v>
      </c>
      <c r="K4270">
        <v>1.120995</v>
      </c>
      <c r="L4270">
        <v>141.4579</v>
      </c>
      <c r="M4270">
        <v>-0.99989879999999998</v>
      </c>
      <c r="N4270">
        <v>-1.4225089999999999E-2</v>
      </c>
      <c r="O4270">
        <v>-1.400284E-4</v>
      </c>
      <c r="P4270">
        <v>-0.98361430000000005</v>
      </c>
      <c r="Q4270">
        <v>0.1802735</v>
      </c>
      <c r="R4270">
        <v>2.0995100000000002E-3</v>
      </c>
      <c r="S4270">
        <v>-3.255341</v>
      </c>
      <c r="T4270">
        <v>-1.1365540000000001</v>
      </c>
      <c r="U4270">
        <v>0.2533417</v>
      </c>
      <c r="V4270">
        <v>2.1089279999999999E-3</v>
      </c>
      <c r="W4270">
        <v>0.1942488</v>
      </c>
      <c r="X4270">
        <v>0.98094999999999999</v>
      </c>
      <c r="Y4270">
        <v>7.3224629999999999E-2</v>
      </c>
      <c r="Z4270">
        <v>1.298063E-2</v>
      </c>
      <c r="AA4270">
        <v>0.99723099999999998</v>
      </c>
      <c r="AB4270">
        <v>38</v>
      </c>
      <c r="AC4270">
        <v>-0.35800000000000398</v>
      </c>
      <c r="AD4270">
        <v>-0.24945490000000001</v>
      </c>
      <c r="AE4270">
        <v>5.59000000000082E-2</v>
      </c>
      <c r="AF4270">
        <v>3.7958646597864097E-2</v>
      </c>
      <c r="AG4270">
        <v>-0.24945490000000001</v>
      </c>
      <c r="AH4270">
        <v>0.24287516498085601</v>
      </c>
      <c r="AI4270">
        <v>135.420084582188</v>
      </c>
      <c r="AJ4270">
        <v>81.117175714932401</v>
      </c>
      <c r="AK4270">
        <v>0.35022414501291799</v>
      </c>
      <c r="AL4270">
        <v>78.799155768017698</v>
      </c>
      <c r="AM4270">
        <v>89.876820951593103</v>
      </c>
      <c r="AN4270">
        <v>0.99999997318937395</v>
      </c>
    </row>
    <row r="4271" spans="1:40" x14ac:dyDescent="0.25">
      <c r="A4271" t="str">
        <f>"20190303162345363"</f>
        <v>20190303162345363</v>
      </c>
      <c r="B4271" t="str">
        <f>"1551601425359164"</f>
        <v>1551601425359164</v>
      </c>
      <c r="C4271" t="s">
        <v>40</v>
      </c>
      <c r="D4271">
        <v>5.4012359999999999</v>
      </c>
      <c r="E4271">
        <v>0.53182680000000004</v>
      </c>
      <c r="F4271" t="s">
        <v>42</v>
      </c>
      <c r="G4271">
        <v>-296.00029999999998</v>
      </c>
      <c r="H4271">
        <v>0.87695529999999999</v>
      </c>
      <c r="I4271">
        <v>141.5129</v>
      </c>
      <c r="J4271">
        <v>-295.6943</v>
      </c>
      <c r="K4271">
        <v>1.1210039999999999</v>
      </c>
      <c r="L4271">
        <v>141.45760000000001</v>
      </c>
      <c r="M4271">
        <v>-0.99989729999999999</v>
      </c>
      <c r="N4271">
        <v>-1.432345E-2</v>
      </c>
      <c r="O4271">
        <v>-4.3008229999999997E-4</v>
      </c>
      <c r="P4271">
        <v>-0.98358089999999998</v>
      </c>
      <c r="Q4271">
        <v>0.1804576</v>
      </c>
      <c r="R4271">
        <v>1.90138E-3</v>
      </c>
      <c r="S4271">
        <v>-3.2570800000000002</v>
      </c>
      <c r="T4271">
        <v>-1.132995</v>
      </c>
      <c r="U4271">
        <v>0.255722</v>
      </c>
      <c r="V4271">
        <v>2.1956110000000001E-3</v>
      </c>
      <c r="W4271">
        <v>0.19452900000000001</v>
      </c>
      <c r="X4271">
        <v>0.9808943</v>
      </c>
      <c r="Y4271">
        <v>7.4155059999999995E-2</v>
      </c>
      <c r="Z4271">
        <v>1.319858E-2</v>
      </c>
      <c r="AA4271">
        <v>0.99715940000000003</v>
      </c>
      <c r="AB4271">
        <v>38</v>
      </c>
      <c r="AC4271">
        <v>-0.30599999999998301</v>
      </c>
      <c r="AD4271">
        <v>-0.24404870000000001</v>
      </c>
      <c r="AE4271">
        <v>5.5299999999988303E-2</v>
      </c>
      <c r="AF4271">
        <v>3.4302573397443401E-2</v>
      </c>
      <c r="AG4271">
        <v>-0.24404870000000001</v>
      </c>
      <c r="AH4271">
        <v>0.18934629341099901</v>
      </c>
      <c r="AI4271">
        <v>141.74480125133999</v>
      </c>
      <c r="AJ4271">
        <v>79.731486580331307</v>
      </c>
      <c r="AK4271">
        <v>0.310786829421488</v>
      </c>
      <c r="AL4271">
        <v>78.782789484891595</v>
      </c>
      <c r="AM4271">
        <v>89.871750673182007</v>
      </c>
      <c r="AN4271">
        <v>0.99999999016057595</v>
      </c>
    </row>
    <row r="4272" spans="1:40" x14ac:dyDescent="0.25">
      <c r="A4272" t="str">
        <f>"20190303162345385"</f>
        <v>20190303162345385</v>
      </c>
      <c r="B4272" t="str">
        <f>"1551601425378683"</f>
        <v>1551601425378683</v>
      </c>
      <c r="C4272" t="s">
        <v>40</v>
      </c>
      <c r="D4272">
        <v>5.3949870000000004</v>
      </c>
      <c r="E4272">
        <v>0.53179869999999996</v>
      </c>
      <c r="F4272" t="s">
        <v>42</v>
      </c>
      <c r="G4272">
        <v>-296.6472</v>
      </c>
      <c r="H4272">
        <v>0.78941269999999997</v>
      </c>
      <c r="I4272">
        <v>141.53219999999999</v>
      </c>
      <c r="J4272">
        <v>-296.06979999999999</v>
      </c>
      <c r="K4272">
        <v>1.121011</v>
      </c>
      <c r="L4272">
        <v>141.4572</v>
      </c>
      <c r="M4272">
        <v>-0.99989609999999995</v>
      </c>
      <c r="N4272">
        <v>-1.440319E-2</v>
      </c>
      <c r="O4272">
        <v>-7.082201E-4</v>
      </c>
      <c r="P4272">
        <v>-0.98363230000000001</v>
      </c>
      <c r="Q4272">
        <v>0.1801739</v>
      </c>
      <c r="R4272">
        <v>2.2622649999999998E-3</v>
      </c>
      <c r="S4272">
        <v>-3.257568</v>
      </c>
      <c r="T4272">
        <v>-1.1335280000000001</v>
      </c>
      <c r="U4272">
        <v>0.25502010000000003</v>
      </c>
      <c r="V4272">
        <v>2.8295130000000001E-3</v>
      </c>
      <c r="W4272">
        <v>0.19432459999999999</v>
      </c>
      <c r="X4272">
        <v>0.98093319999999995</v>
      </c>
      <c r="Y4272">
        <v>7.4186349999999998E-2</v>
      </c>
      <c r="Z4272">
        <v>1.330104E-2</v>
      </c>
      <c r="AA4272">
        <v>0.99715569999999998</v>
      </c>
      <c r="AB4272">
        <v>38</v>
      </c>
      <c r="AC4272">
        <v>-0.57740000000001102</v>
      </c>
      <c r="AD4272">
        <v>-0.33159829999999901</v>
      </c>
      <c r="AE4272">
        <v>7.4999999999988604E-2</v>
      </c>
      <c r="AF4272">
        <v>5.6940643387499497E-2</v>
      </c>
      <c r="AG4272">
        <v>-0.33159829999999901</v>
      </c>
      <c r="AH4272">
        <v>0.43594950603974197</v>
      </c>
      <c r="AI4272">
        <v>127.024635214021</v>
      </c>
      <c r="AJ4272">
        <v>82.558555776743603</v>
      </c>
      <c r="AK4272">
        <v>0.55068288628626105</v>
      </c>
      <c r="AL4272">
        <v>78.794728682658103</v>
      </c>
      <c r="AM4272">
        <v>89.834730129077798</v>
      </c>
      <c r="AN4272">
        <v>0.99999999958560803</v>
      </c>
    </row>
    <row r="4273" spans="1:40" x14ac:dyDescent="0.25">
      <c r="A4273" t="str">
        <f>"20190303162345406"</f>
        <v>20190303162345406</v>
      </c>
      <c r="B4273" t="str">
        <f>"1551601425399179"</f>
        <v>1551601425399179</v>
      </c>
      <c r="C4273" t="s">
        <v>40</v>
      </c>
      <c r="D4273">
        <v>5.4256869999999999</v>
      </c>
      <c r="E4273">
        <v>0.53177079999999999</v>
      </c>
      <c r="F4273" t="s">
        <v>42</v>
      </c>
      <c r="G4273">
        <v>-296.99149999999997</v>
      </c>
      <c r="H4273">
        <v>0.79960779999999998</v>
      </c>
      <c r="I4273">
        <v>141.5291</v>
      </c>
      <c r="J4273">
        <v>-296.44549999999998</v>
      </c>
      <c r="K4273">
        <v>1.1210169999999999</v>
      </c>
      <c r="L4273">
        <v>141.45660000000001</v>
      </c>
      <c r="M4273">
        <v>-0.99989490000000003</v>
      </c>
      <c r="N4273">
        <v>-1.4472250000000001E-2</v>
      </c>
      <c r="O4273">
        <v>-9.8938309999999996E-4</v>
      </c>
      <c r="P4273">
        <v>-0.98350879999999996</v>
      </c>
      <c r="Q4273">
        <v>0.1808545</v>
      </c>
      <c r="R4273">
        <v>1.5033129999999901E-3</v>
      </c>
      <c r="S4273">
        <v>-3.2574459999999998</v>
      </c>
      <c r="T4273">
        <v>-1.1358999999999999</v>
      </c>
      <c r="U4273">
        <v>0.2539978</v>
      </c>
      <c r="V4273">
        <v>2.3454439999999999E-3</v>
      </c>
      <c r="W4273">
        <v>0.1950711</v>
      </c>
      <c r="X4273">
        <v>0.9807863</v>
      </c>
      <c r="Y4273">
        <v>7.4127349999999995E-2</v>
      </c>
      <c r="Z4273">
        <v>1.341024E-2</v>
      </c>
      <c r="AA4273">
        <v>0.99715860000000001</v>
      </c>
      <c r="AB4273">
        <v>38</v>
      </c>
      <c r="AC4273">
        <v>-0.54599999999999205</v>
      </c>
      <c r="AD4273">
        <v>-0.32140919999999901</v>
      </c>
      <c r="AE4273">
        <v>7.2499999999990905E-2</v>
      </c>
      <c r="AF4273">
        <v>5.4486545573072601E-2</v>
      </c>
      <c r="AG4273">
        <v>-0.32140919999999901</v>
      </c>
      <c r="AH4273">
        <v>0.40725135912677901</v>
      </c>
      <c r="AI4273">
        <v>128.03414303389999</v>
      </c>
      <c r="AJ4273">
        <v>82.379596746705005</v>
      </c>
      <c r="AK4273">
        <v>0.52165728884367701</v>
      </c>
      <c r="AL4273">
        <v>78.7511229228936</v>
      </c>
      <c r="AM4273">
        <v>89.862983622308505</v>
      </c>
      <c r="AN4273">
        <v>1.0000000007152201</v>
      </c>
    </row>
    <row r="4274" spans="1:40" x14ac:dyDescent="0.25">
      <c r="A4274" t="str">
        <f>"20190303162345428"</f>
        <v>20190303162345428</v>
      </c>
      <c r="B4274" t="str">
        <f>"1551601425418699"</f>
        <v>1551601425418699</v>
      </c>
      <c r="C4274" t="s">
        <v>40</v>
      </c>
      <c r="D4274">
        <v>5.4507810000000001</v>
      </c>
      <c r="E4274">
        <v>0.53177759999999996</v>
      </c>
      <c r="F4274" t="s">
        <v>42</v>
      </c>
      <c r="G4274">
        <v>-297.33589999999998</v>
      </c>
      <c r="H4274">
        <v>0.81091190000000002</v>
      </c>
      <c r="I4274">
        <v>141.52590000000001</v>
      </c>
      <c r="J4274">
        <v>-296.80549999999999</v>
      </c>
      <c r="K4274">
        <v>1.12103</v>
      </c>
      <c r="L4274">
        <v>141.45599999999999</v>
      </c>
      <c r="M4274">
        <v>-0.99989360000000005</v>
      </c>
      <c r="N4274">
        <v>-1.452957E-2</v>
      </c>
      <c r="O4274">
        <v>-1.262958E-3</v>
      </c>
      <c r="P4274">
        <v>-0.98338879999999995</v>
      </c>
      <c r="Q4274">
        <v>0.1815097</v>
      </c>
      <c r="R4274">
        <v>7.3859100000000003E-4</v>
      </c>
      <c r="S4274">
        <v>-3.258575</v>
      </c>
      <c r="T4274">
        <v>-1.134789</v>
      </c>
      <c r="U4274">
        <v>0.25296020000000002</v>
      </c>
      <c r="V4274">
        <v>1.847961E-3</v>
      </c>
      <c r="W4274">
        <v>0.19578000000000001</v>
      </c>
      <c r="X4274">
        <v>0.98064609999999997</v>
      </c>
      <c r="Y4274">
        <v>7.4057960000000006E-2</v>
      </c>
      <c r="Z4274">
        <v>1.3472720000000001E-2</v>
      </c>
      <c r="AA4274">
        <v>0.99716289999999996</v>
      </c>
      <c r="AB4274">
        <v>38</v>
      </c>
      <c r="AC4274">
        <v>-0.53039999999998599</v>
      </c>
      <c r="AD4274">
        <v>-0.31011809999999901</v>
      </c>
      <c r="AE4274">
        <v>6.9899999999989804E-2</v>
      </c>
      <c r="AF4274">
        <v>5.2820858075689002E-2</v>
      </c>
      <c r="AG4274">
        <v>-0.31011809999999901</v>
      </c>
      <c r="AH4274">
        <v>0.39693271515070699</v>
      </c>
      <c r="AI4274">
        <v>127.756321850105</v>
      </c>
      <c r="AJ4274">
        <v>82.420036578838506</v>
      </c>
      <c r="AK4274">
        <v>0.50647690900215203</v>
      </c>
      <c r="AL4274">
        <v>78.709707365473193</v>
      </c>
      <c r="AM4274">
        <v>89.892030121085398</v>
      </c>
      <c r="AN4274">
        <v>0.99999999840253295</v>
      </c>
    </row>
    <row r="4275" spans="1:40" x14ac:dyDescent="0.25">
      <c r="A4275" t="str">
        <f>"20190303162345451"</f>
        <v>20190303162345451</v>
      </c>
      <c r="B4275" t="str">
        <f>"1551601425439194"</f>
        <v>1551601425439194</v>
      </c>
      <c r="C4275" t="s">
        <v>40</v>
      </c>
      <c r="D4275">
        <v>5.4600809999999997</v>
      </c>
      <c r="E4275">
        <v>0.53176959999999995</v>
      </c>
      <c r="F4275" t="s">
        <v>42</v>
      </c>
      <c r="G4275">
        <v>-297.67809999999997</v>
      </c>
      <c r="H4275">
        <v>0.81766989999999995</v>
      </c>
      <c r="I4275">
        <v>141.52359999999999</v>
      </c>
      <c r="J4275">
        <v>-297.19959999999998</v>
      </c>
      <c r="K4275">
        <v>1.12104</v>
      </c>
      <c r="L4275">
        <v>141.45519999999999</v>
      </c>
      <c r="M4275">
        <v>-0.99989249999999996</v>
      </c>
      <c r="N4275">
        <v>-1.4583260000000001E-2</v>
      </c>
      <c r="O4275">
        <v>-1.567035E-3</v>
      </c>
      <c r="P4275">
        <v>-0.98325709999999999</v>
      </c>
      <c r="Q4275">
        <v>0.18222379999999999</v>
      </c>
      <c r="R4275" s="1">
        <v>-9.0338290000000002E-7</v>
      </c>
      <c r="S4275">
        <v>-3.2596129999999999</v>
      </c>
      <c r="T4275">
        <v>-1.1332249999999999</v>
      </c>
      <c r="U4275">
        <v>0.25199890000000003</v>
      </c>
      <c r="V4275">
        <v>1.40539299999999E-3</v>
      </c>
      <c r="W4275">
        <v>0.19654450000000001</v>
      </c>
      <c r="X4275">
        <v>0.98049390000000003</v>
      </c>
      <c r="Y4275">
        <v>7.4042960000000005E-2</v>
      </c>
      <c r="Z4275">
        <v>1.354967E-2</v>
      </c>
      <c r="AA4275">
        <v>0.99716300000000002</v>
      </c>
      <c r="AB4275">
        <v>38</v>
      </c>
      <c r="AC4275">
        <v>-0.47849999999999598</v>
      </c>
      <c r="AD4275">
        <v>-0.30337009999999998</v>
      </c>
      <c r="AE4275">
        <v>6.8399999999996894E-2</v>
      </c>
      <c r="AF4275">
        <v>4.9608532214154497E-2</v>
      </c>
      <c r="AG4275">
        <v>-0.30337009999999998</v>
      </c>
      <c r="AH4275">
        <v>0.34320168846861399</v>
      </c>
      <c r="AI4275">
        <v>131.18102552300499</v>
      </c>
      <c r="AJ4275">
        <v>81.775074541078098</v>
      </c>
      <c r="AK4275">
        <v>0.46074051591992699</v>
      </c>
      <c r="AL4275">
        <v>78.665036896311193</v>
      </c>
      <c r="AM4275">
        <v>89.917875029806396</v>
      </c>
      <c r="AN4275">
        <v>1.00000000177347</v>
      </c>
    </row>
    <row r="4276" spans="1:40" x14ac:dyDescent="0.25">
      <c r="A4276" t="str">
        <f>"20190303162345475"</f>
        <v>20190303162345475</v>
      </c>
      <c r="B4276" t="str">
        <f>"1551601425469451"</f>
        <v>1551601425469451</v>
      </c>
      <c r="C4276" t="s">
        <v>40</v>
      </c>
      <c r="D4276">
        <v>5.462396</v>
      </c>
      <c r="E4276">
        <v>0.53172730000000001</v>
      </c>
      <c r="F4276" t="s">
        <v>42</v>
      </c>
      <c r="G4276">
        <v>-298.02409999999998</v>
      </c>
      <c r="H4276">
        <v>0.83477080000000004</v>
      </c>
      <c r="I4276">
        <v>141.51859999999999</v>
      </c>
      <c r="J4276">
        <v>-297.58850000000001</v>
      </c>
      <c r="K4276">
        <v>1.121048</v>
      </c>
      <c r="L4276">
        <v>141.45429999999999</v>
      </c>
      <c r="M4276">
        <v>-0.99989139999999999</v>
      </c>
      <c r="N4276">
        <v>-1.462862E-2</v>
      </c>
      <c r="O4276">
        <v>-1.872484E-3</v>
      </c>
      <c r="P4276">
        <v>-0.983178</v>
      </c>
      <c r="Q4276">
        <v>0.18265010000000001</v>
      </c>
      <c r="R4276">
        <v>-4.768223E-4</v>
      </c>
      <c r="S4276">
        <v>-3.2608950000000001</v>
      </c>
      <c r="T4276">
        <v>-1.1322110000000001</v>
      </c>
      <c r="U4276">
        <v>0.24922179999999999</v>
      </c>
      <c r="V4276">
        <v>1.227709E-3</v>
      </c>
      <c r="W4276">
        <v>0.19701389999999999</v>
      </c>
      <c r="X4276">
        <v>0.98039989999999999</v>
      </c>
      <c r="Y4276">
        <v>7.3500159999999995E-2</v>
      </c>
      <c r="Z4276">
        <v>1.353889E-2</v>
      </c>
      <c r="AA4276">
        <v>0.99720330000000001</v>
      </c>
      <c r="AB4276">
        <v>38</v>
      </c>
      <c r="AC4276">
        <v>-0.43559999999996502</v>
      </c>
      <c r="AD4276">
        <v>-0.28627720000000001</v>
      </c>
      <c r="AE4276">
        <v>6.4300000000002897E-2</v>
      </c>
      <c r="AF4276">
        <v>4.5768921740454903E-2</v>
      </c>
      <c r="AG4276">
        <v>-0.28627720000000001</v>
      </c>
      <c r="AH4276">
        <v>0.30609235644806299</v>
      </c>
      <c r="AI4276">
        <v>132.76823389774199</v>
      </c>
      <c r="AJ4276">
        <v>81.495768250082506</v>
      </c>
      <c r="AK4276">
        <v>0.42159454469080998</v>
      </c>
      <c r="AL4276">
        <v>78.637605602209206</v>
      </c>
      <c r="AM4276">
        <v>89.928251209122607</v>
      </c>
      <c r="AN4276">
        <v>0.99999997399130303</v>
      </c>
    </row>
    <row r="4277" spans="1:40" x14ac:dyDescent="0.25">
      <c r="A4277" t="str">
        <f>"20190303162345496"</f>
        <v>20190303162345496</v>
      </c>
      <c r="B4277" t="str">
        <f>"1551601425488971"</f>
        <v>1551601425488971</v>
      </c>
      <c r="C4277" t="s">
        <v>40</v>
      </c>
      <c r="D4277">
        <v>5.4781849999999999</v>
      </c>
      <c r="E4277">
        <v>0.53168740000000003</v>
      </c>
      <c r="F4277" t="s">
        <v>42</v>
      </c>
      <c r="G4277">
        <v>-298.36880000000002</v>
      </c>
      <c r="H4277">
        <v>0.84995370000000003</v>
      </c>
      <c r="I4277">
        <v>141.51329999999999</v>
      </c>
      <c r="J4277">
        <v>-297.96710000000002</v>
      </c>
      <c r="K4277">
        <v>1.1210580000000001</v>
      </c>
      <c r="L4277">
        <v>141.45330000000001</v>
      </c>
      <c r="M4277">
        <v>-0.9998901</v>
      </c>
      <c r="N4277">
        <v>-1.4666240000000001E-2</v>
      </c>
      <c r="O4277">
        <v>-2.1754949999999999E-3</v>
      </c>
      <c r="P4277">
        <v>-0.98321230000000004</v>
      </c>
      <c r="Q4277">
        <v>0.18246390000000001</v>
      </c>
      <c r="R4277">
        <v>-8.7502689999999998E-4</v>
      </c>
      <c r="S4277">
        <v>-3.2619630000000002</v>
      </c>
      <c r="T4277">
        <v>-1.1332990000000001</v>
      </c>
      <c r="U4277">
        <v>0.24603269999999999</v>
      </c>
      <c r="V4277">
        <v>1.12597E-3</v>
      </c>
      <c r="W4277">
        <v>0.19686519999999999</v>
      </c>
      <c r="X4277">
        <v>0.98042989999999997</v>
      </c>
      <c r="Y4277">
        <v>7.2826520000000006E-2</v>
      </c>
      <c r="Z4277">
        <v>1.352768E-2</v>
      </c>
      <c r="AA4277">
        <v>0.9972529</v>
      </c>
      <c r="AB4277">
        <v>38</v>
      </c>
      <c r="AC4277">
        <v>-0.401700000000005</v>
      </c>
      <c r="AD4277">
        <v>-0.27110429999999902</v>
      </c>
      <c r="AE4277">
        <v>5.9999999999973803E-2</v>
      </c>
      <c r="AF4277">
        <v>4.2111497829907002E-2</v>
      </c>
      <c r="AG4277">
        <v>-0.27110429999999902</v>
      </c>
      <c r="AH4277">
        <v>0.277798294609788</v>
      </c>
      <c r="AI4277">
        <v>133.97601479456199</v>
      </c>
      <c r="AJ4277">
        <v>81.380148643249399</v>
      </c>
      <c r="AK4277">
        <v>0.39043925547525898</v>
      </c>
      <c r="AL4277">
        <v>78.646295764224305</v>
      </c>
      <c r="AM4277">
        <v>89.934198966702596</v>
      </c>
      <c r="AN4277">
        <v>0.99999998179674499</v>
      </c>
    </row>
    <row r="4278" spans="1:40" x14ac:dyDescent="0.25">
      <c r="A4278" t="str">
        <f>"20190303162345518"</f>
        <v>20190303162345518</v>
      </c>
      <c r="B4278" t="str">
        <f>"1551601425509467"</f>
        <v>1551601425509467</v>
      </c>
      <c r="C4278" t="s">
        <v>40</v>
      </c>
      <c r="D4278">
        <v>5.4727139999999999</v>
      </c>
      <c r="E4278">
        <v>0.53165669999999898</v>
      </c>
      <c r="F4278" t="s">
        <v>42</v>
      </c>
      <c r="G4278">
        <v>-298.71190000000001</v>
      </c>
      <c r="H4278">
        <v>0.86185069999999997</v>
      </c>
      <c r="I4278">
        <v>141.5094</v>
      </c>
      <c r="J4278">
        <v>-298.33580000000001</v>
      </c>
      <c r="K4278">
        <v>1.12107</v>
      </c>
      <c r="L4278">
        <v>141.4522</v>
      </c>
      <c r="M4278">
        <v>-0.99988889999999997</v>
      </c>
      <c r="N4278">
        <v>-1.4697399999999999E-2</v>
      </c>
      <c r="O4278">
        <v>-2.4751230000000001E-3</v>
      </c>
      <c r="P4278">
        <v>-0.98315819999999998</v>
      </c>
      <c r="Q4278">
        <v>0.182754</v>
      </c>
      <c r="R4278">
        <v>-1.0276839999999901E-3</v>
      </c>
      <c r="S4278">
        <v>-3.262146</v>
      </c>
      <c r="T4278">
        <v>-1.135424</v>
      </c>
      <c r="U4278">
        <v>0.24508669999999999</v>
      </c>
      <c r="V4278">
        <v>1.2659100000000001E-3</v>
      </c>
      <c r="W4278">
        <v>0.19718540000000001</v>
      </c>
      <c r="X4278">
        <v>0.98036540000000005</v>
      </c>
      <c r="Y4278">
        <v>7.2802539999999999E-2</v>
      </c>
      <c r="Z4278">
        <v>1.3644E-2</v>
      </c>
      <c r="AA4278">
        <v>0.9972531</v>
      </c>
      <c r="AB4278">
        <v>38</v>
      </c>
      <c r="AC4278">
        <v>-0.37610000000000798</v>
      </c>
      <c r="AD4278">
        <v>-0.25921929999999999</v>
      </c>
      <c r="AE4278">
        <v>5.7199999999994498E-2</v>
      </c>
      <c r="AF4278">
        <v>3.9698758608277901E-2</v>
      </c>
      <c r="AG4278">
        <v>-0.25921929999999999</v>
      </c>
      <c r="AH4278">
        <v>0.25674911451601001</v>
      </c>
      <c r="AI4278">
        <v>134.935882595745</v>
      </c>
      <c r="AJ4278">
        <v>81.210483939816697</v>
      </c>
      <c r="AK4278">
        <v>0.36700237701176203</v>
      </c>
      <c r="AL4278">
        <v>78.627583073658002</v>
      </c>
      <c r="AM4278">
        <v>89.926016095701101</v>
      </c>
      <c r="AN4278">
        <v>1.00000000100922</v>
      </c>
    </row>
    <row r="4279" spans="1:40" x14ac:dyDescent="0.25">
      <c r="A4279" t="str">
        <f>"20190303162345540"</f>
        <v>20190303162345540</v>
      </c>
      <c r="B4279" t="str">
        <f>"1551601425528987"</f>
        <v>1551601425528987</v>
      </c>
      <c r="C4279" t="s">
        <v>40</v>
      </c>
      <c r="D4279">
        <v>5.5065910000000002</v>
      </c>
      <c r="E4279">
        <v>0.53160549999999995</v>
      </c>
      <c r="F4279" t="s">
        <v>42</v>
      </c>
      <c r="G4279">
        <v>-299.05360000000002</v>
      </c>
      <c r="H4279">
        <v>0.87124999999999997</v>
      </c>
      <c r="I4279">
        <v>141.5061</v>
      </c>
      <c r="J4279">
        <v>-298.69659999999999</v>
      </c>
      <c r="K4279">
        <v>1.121078</v>
      </c>
      <c r="L4279">
        <v>141.45099999999999</v>
      </c>
      <c r="M4279">
        <v>-0.99988779999999999</v>
      </c>
      <c r="N4279">
        <v>-1.472334E-2</v>
      </c>
      <c r="O4279">
        <v>-2.773041E-3</v>
      </c>
      <c r="P4279">
        <v>-0.98302849999999997</v>
      </c>
      <c r="Q4279">
        <v>0.18344959999999999</v>
      </c>
      <c r="R4279">
        <v>-1.1814600000000001E-3</v>
      </c>
      <c r="S4279">
        <v>-3.262756</v>
      </c>
      <c r="T4279">
        <v>-1.135659</v>
      </c>
      <c r="U4279">
        <v>0.244812</v>
      </c>
      <c r="V4279">
        <v>1.4022220000000001E-3</v>
      </c>
      <c r="W4279">
        <v>0.19790440000000001</v>
      </c>
      <c r="X4279">
        <v>0.98022030000000004</v>
      </c>
      <c r="Y4279">
        <v>7.2975100000000001E-2</v>
      </c>
      <c r="Z4279">
        <v>1.377198E-2</v>
      </c>
      <c r="AA4279">
        <v>0.99723870000000003</v>
      </c>
      <c r="AB4279">
        <v>38</v>
      </c>
      <c r="AC4279">
        <v>-0.35700000000002702</v>
      </c>
      <c r="AD4279">
        <v>-0.24982799999999999</v>
      </c>
      <c r="AE4279">
        <v>5.5100000000010099E-2</v>
      </c>
      <c r="AF4279">
        <v>3.7941543910589799E-2</v>
      </c>
      <c r="AG4279">
        <v>-0.24982799999999999</v>
      </c>
      <c r="AH4279">
        <v>0.24138549349239</v>
      </c>
      <c r="AI4279">
        <v>135.635199182121</v>
      </c>
      <c r="AJ4279">
        <v>81.067200560042807</v>
      </c>
      <c r="AK4279">
        <v>0.34945750357787903</v>
      </c>
      <c r="AL4279">
        <v>78.585559003567695</v>
      </c>
      <c r="AM4279">
        <v>89.918037457765905</v>
      </c>
      <c r="AN4279">
        <v>0.99999997714899302</v>
      </c>
    </row>
    <row r="4280" spans="1:40" x14ac:dyDescent="0.25">
      <c r="A4280" t="str">
        <f>"20190303162345563"</f>
        <v>20190303162345563</v>
      </c>
      <c r="B4280" t="str">
        <f>"1551601425549483"</f>
        <v>1551601425549483</v>
      </c>
      <c r="C4280" t="s">
        <v>40</v>
      </c>
      <c r="D4280">
        <v>5.5426229999999999</v>
      </c>
      <c r="E4280">
        <v>0.53156719999999902</v>
      </c>
      <c r="F4280" t="s">
        <v>42</v>
      </c>
      <c r="G4280">
        <v>-299.39400000000001</v>
      </c>
      <c r="H4280">
        <v>0.87845209999999996</v>
      </c>
      <c r="I4280">
        <v>141.50319999999999</v>
      </c>
      <c r="J4280">
        <v>-299.0797</v>
      </c>
      <c r="K4280">
        <v>1.1210819999999999</v>
      </c>
      <c r="L4280">
        <v>141.44970000000001</v>
      </c>
      <c r="M4280">
        <v>-0.99988650000000001</v>
      </c>
      <c r="N4280">
        <v>-1.474658E-2</v>
      </c>
      <c r="O4280">
        <v>-3.09407E-3</v>
      </c>
      <c r="P4280">
        <v>-0.98304130000000001</v>
      </c>
      <c r="Q4280">
        <v>0.18338090000000001</v>
      </c>
      <c r="R4280">
        <v>-1.096248E-3</v>
      </c>
      <c r="S4280">
        <v>-3.264008</v>
      </c>
      <c r="T4280">
        <v>-1.135553</v>
      </c>
      <c r="U4280">
        <v>0.24311830000000001</v>
      </c>
      <c r="V4280">
        <v>1.8012480000000001E-3</v>
      </c>
      <c r="W4280">
        <v>0.19785900000000001</v>
      </c>
      <c r="X4280">
        <v>0.98022880000000001</v>
      </c>
      <c r="Y4280">
        <v>7.2752159999999996E-2</v>
      </c>
      <c r="Z4280">
        <v>1.38315E-2</v>
      </c>
      <c r="AA4280">
        <v>0.99725410000000003</v>
      </c>
      <c r="AB4280">
        <v>38</v>
      </c>
      <c r="AC4280">
        <v>-0.31430000000000202</v>
      </c>
      <c r="AD4280">
        <v>-0.24262989999999901</v>
      </c>
      <c r="AE4280">
        <v>5.34999999999854E-2</v>
      </c>
      <c r="AF4280">
        <v>3.4494586405876798E-2</v>
      </c>
      <c r="AG4280">
        <v>-0.24262989999999901</v>
      </c>
      <c r="AH4280">
        <v>0.19892464344961699</v>
      </c>
      <c r="AI4280">
        <v>140.23602899289901</v>
      </c>
      <c r="AJ4280">
        <v>80.162433268260202</v>
      </c>
      <c r="AK4280">
        <v>0.31564245379365502</v>
      </c>
      <c r="AL4280">
        <v>78.588212558705905</v>
      </c>
      <c r="AM4280">
        <v>89.894714588987895</v>
      </c>
      <c r="AN4280">
        <v>0.99999996436239802</v>
      </c>
    </row>
    <row r="4281" spans="1:40" x14ac:dyDescent="0.25">
      <c r="A4281" t="str">
        <f>"20190303162345586"</f>
        <v>20190303162345586</v>
      </c>
      <c r="B4281" t="str">
        <f>"1551601425578763"</f>
        <v>1551601425578763</v>
      </c>
      <c r="C4281" t="s">
        <v>40</v>
      </c>
      <c r="D4281">
        <v>5.5553999999999997</v>
      </c>
      <c r="E4281">
        <v>0.53152500000000003</v>
      </c>
      <c r="F4281" t="s">
        <v>42</v>
      </c>
      <c r="G4281">
        <v>-299.73700000000002</v>
      </c>
      <c r="H4281">
        <v>0.89195999999999998</v>
      </c>
      <c r="I4281">
        <v>141.49850000000001</v>
      </c>
      <c r="J4281">
        <v>-299.47269999999997</v>
      </c>
      <c r="K4281">
        <v>1.121086</v>
      </c>
      <c r="L4281">
        <v>141.44810000000001</v>
      </c>
      <c r="M4281">
        <v>-0.99988509999999997</v>
      </c>
      <c r="N4281">
        <v>-1.4766299999999901E-2</v>
      </c>
      <c r="O4281">
        <v>-3.4279419999999998E-3</v>
      </c>
      <c r="P4281">
        <v>-0.9830835</v>
      </c>
      <c r="Q4281">
        <v>0.1831556</v>
      </c>
      <c r="R4281">
        <v>-1.046104E-3</v>
      </c>
      <c r="S4281">
        <v>-3.2642519999999999</v>
      </c>
      <c r="T4281">
        <v>-1.1378170000000001</v>
      </c>
      <c r="U4281">
        <v>0.24197389999999999</v>
      </c>
      <c r="V4281">
        <v>2.1780300000000001E-3</v>
      </c>
      <c r="W4281">
        <v>0.19765379999999999</v>
      </c>
      <c r="X4281">
        <v>0.98026950000000002</v>
      </c>
      <c r="Y4281">
        <v>7.2699730000000004E-2</v>
      </c>
      <c r="Z4281">
        <v>1.39554E-2</v>
      </c>
      <c r="AA4281">
        <v>0.99725620000000004</v>
      </c>
      <c r="AB4281">
        <v>38</v>
      </c>
      <c r="AC4281">
        <v>-0.264300000000048</v>
      </c>
      <c r="AD4281">
        <v>-0.229125999999999</v>
      </c>
      <c r="AE4281">
        <v>5.0399999999996198E-2</v>
      </c>
      <c r="AF4281">
        <v>2.97394959727444E-2</v>
      </c>
      <c r="AG4281">
        <v>-0.229125999999999</v>
      </c>
      <c r="AH4281">
        <v>0.153100873928085</v>
      </c>
      <c r="AI4281">
        <v>145.75748348029799</v>
      </c>
      <c r="AJ4281">
        <v>79.007320293212601</v>
      </c>
      <c r="AK4281">
        <v>0.27716969367926197</v>
      </c>
      <c r="AL4281">
        <v>78.600207284147302</v>
      </c>
      <c r="AM4281">
        <v>89.8726965173352</v>
      </c>
      <c r="AN4281">
        <v>1.0000000305496799</v>
      </c>
    </row>
    <row r="4282" spans="1:40" x14ac:dyDescent="0.25">
      <c r="A4282" t="str">
        <f>"20190303162345607"</f>
        <v>20190303162345607</v>
      </c>
      <c r="B4282" t="str">
        <f>"1551601425599259"</f>
        <v>1551601425599259</v>
      </c>
      <c r="C4282" t="s">
        <v>40</v>
      </c>
      <c r="D4282">
        <v>5.5533140000000003</v>
      </c>
      <c r="E4282">
        <v>0.53150189999999997</v>
      </c>
      <c r="F4282" t="s">
        <v>42</v>
      </c>
      <c r="G4282">
        <v>-300.37549999999999</v>
      </c>
      <c r="H4282">
        <v>0.80569290000000005</v>
      </c>
      <c r="I4282">
        <v>141.5153</v>
      </c>
      <c r="J4282">
        <v>-299.83659999999998</v>
      </c>
      <c r="K4282">
        <v>1.121094</v>
      </c>
      <c r="L4282">
        <v>141.44659999999999</v>
      </c>
      <c r="M4282">
        <v>-0.99988379999999999</v>
      </c>
      <c r="N4282">
        <v>-1.478163E-2</v>
      </c>
      <c r="O4282">
        <v>-3.7398259999999999E-3</v>
      </c>
      <c r="P4282">
        <v>-0.98311040000000005</v>
      </c>
      <c r="Q4282">
        <v>0.18300939999999999</v>
      </c>
      <c r="R4282">
        <v>-1.258817E-3</v>
      </c>
      <c r="S4282">
        <v>-3.2643740000000001</v>
      </c>
      <c r="T4282">
        <v>-1.1404669999999999</v>
      </c>
      <c r="U4282">
        <v>0.24263000000000001</v>
      </c>
      <c r="V4282">
        <v>2.2710690000000001E-3</v>
      </c>
      <c r="W4282">
        <v>0.197523</v>
      </c>
      <c r="X4282">
        <v>0.98029569999999999</v>
      </c>
      <c r="Y4282">
        <v>7.3142670000000007E-2</v>
      </c>
      <c r="Z4282">
        <v>1.4164670000000001E-2</v>
      </c>
      <c r="AA4282">
        <v>0.99722089999999997</v>
      </c>
      <c r="AB4282">
        <v>38</v>
      </c>
      <c r="AC4282">
        <v>-0.53890000000001204</v>
      </c>
      <c r="AD4282">
        <v>-0.31540109999999999</v>
      </c>
      <c r="AE4282">
        <v>6.8700000000006797E-2</v>
      </c>
      <c r="AF4282">
        <v>5.2888477367729697E-2</v>
      </c>
      <c r="AG4282">
        <v>-0.31540109999999999</v>
      </c>
      <c r="AH4282">
        <v>0.40285311575656302</v>
      </c>
      <c r="AI4282">
        <v>127.820662104086</v>
      </c>
      <c r="AJ4282">
        <v>82.520711443717005</v>
      </c>
      <c r="AK4282">
        <v>0.51435948304105095</v>
      </c>
      <c r="AL4282">
        <v>78.607852821537406</v>
      </c>
      <c r="AM4282">
        <v>89.867262055840499</v>
      </c>
      <c r="AN4282">
        <v>1.00000007636094</v>
      </c>
    </row>
    <row r="4283" spans="1:40" x14ac:dyDescent="0.25">
      <c r="A4283" t="str">
        <f>"20190303162345629"</f>
        <v>20190303162345629</v>
      </c>
      <c r="B4283" t="str">
        <f>"1551601425619285"</f>
        <v>1551601425619285</v>
      </c>
      <c r="C4283" t="s">
        <v>40</v>
      </c>
      <c r="D4283">
        <v>5.5583159999999996</v>
      </c>
      <c r="E4283">
        <v>0.53147349999999904</v>
      </c>
      <c r="F4283" t="s">
        <v>42</v>
      </c>
      <c r="G4283">
        <v>-300.71469999999999</v>
      </c>
      <c r="H4283">
        <v>0.81390319999999905</v>
      </c>
      <c r="I4283">
        <v>141.5121</v>
      </c>
      <c r="J4283">
        <v>-300.19560000000001</v>
      </c>
      <c r="K4283">
        <v>1.121097</v>
      </c>
      <c r="L4283">
        <v>141.44489999999999</v>
      </c>
      <c r="M4283">
        <v>-0.9998823</v>
      </c>
      <c r="N4283">
        <v>-1.479423E-2</v>
      </c>
      <c r="O4283">
        <v>-4.0494090000000003E-3</v>
      </c>
      <c r="P4283">
        <v>-0.98307800000000001</v>
      </c>
      <c r="Q4283">
        <v>0.18318490000000001</v>
      </c>
      <c r="R4283">
        <v>-8.8913269999999997E-4</v>
      </c>
      <c r="S4283">
        <v>-3.2644350000000002</v>
      </c>
      <c r="T4283">
        <v>-1.141964</v>
      </c>
      <c r="U4283">
        <v>0.24272160000000001</v>
      </c>
      <c r="V4283">
        <v>2.9438620000000002E-3</v>
      </c>
      <c r="W4283">
        <v>0.19771089999999999</v>
      </c>
      <c r="X4283">
        <v>0.98025600000000002</v>
      </c>
      <c r="Y4283">
        <v>7.3431339999999998E-2</v>
      </c>
      <c r="Z4283">
        <v>1.433359E-2</v>
      </c>
      <c r="AA4283">
        <v>0.99719729999999995</v>
      </c>
      <c r="AB4283">
        <v>38</v>
      </c>
      <c r="AC4283">
        <v>-0.51909999999998002</v>
      </c>
      <c r="AD4283">
        <v>-0.30719380000000002</v>
      </c>
      <c r="AE4283">
        <v>6.7200000000013901E-2</v>
      </c>
      <c r="AF4283">
        <v>5.1547170631188598E-2</v>
      </c>
      <c r="AG4283">
        <v>-0.30719380000000002</v>
      </c>
      <c r="AH4283">
        <v>0.38590507487619202</v>
      </c>
      <c r="AI4283">
        <v>128.27438455012799</v>
      </c>
      <c r="AJ4283">
        <v>82.391766991945801</v>
      </c>
      <c r="AK4283">
        <v>0.495931314169332</v>
      </c>
      <c r="AL4283">
        <v>78.596870012058105</v>
      </c>
      <c r="AM4283">
        <v>89.827932335029004</v>
      </c>
      <c r="AN4283">
        <v>1.00000004591914</v>
      </c>
    </row>
    <row r="4284" spans="1:40" x14ac:dyDescent="0.25">
      <c r="A4284" t="str">
        <f>"20190303162345653"</f>
        <v>20190303162345653</v>
      </c>
      <c r="B4284" t="str">
        <f>"1551601425649541"</f>
        <v>1551601425649541</v>
      </c>
      <c r="C4284" t="s">
        <v>40</v>
      </c>
      <c r="D4284">
        <v>5.6002780000000003</v>
      </c>
      <c r="E4284">
        <v>0.53142519999999904</v>
      </c>
      <c r="F4284" t="s">
        <v>42</v>
      </c>
      <c r="G4284">
        <v>-301.05329999999998</v>
      </c>
      <c r="H4284">
        <v>0.82098189999999904</v>
      </c>
      <c r="I4284">
        <v>141.5094</v>
      </c>
      <c r="J4284">
        <v>-300.59930000000003</v>
      </c>
      <c r="K4284">
        <v>1.121103</v>
      </c>
      <c r="L4284">
        <v>141.44290000000001</v>
      </c>
      <c r="M4284">
        <v>-0.99988069999999896</v>
      </c>
      <c r="N4284">
        <v>-1.4805769999999999E-2</v>
      </c>
      <c r="O4284">
        <v>-4.399381E-3</v>
      </c>
      <c r="P4284">
        <v>-0.98309559999999996</v>
      </c>
      <c r="Q4284">
        <v>0.18308949999999999</v>
      </c>
      <c r="R4284">
        <v>-1.194227E-3</v>
      </c>
      <c r="S4284">
        <v>-3.2647710000000001</v>
      </c>
      <c r="T4284">
        <v>-1.1425749999999999</v>
      </c>
      <c r="U4284">
        <v>0.24429319999999999</v>
      </c>
      <c r="V4284">
        <v>2.9824040000000001E-3</v>
      </c>
      <c r="W4284">
        <v>0.1976272</v>
      </c>
      <c r="X4284">
        <v>0.9802727</v>
      </c>
      <c r="Y4284">
        <v>7.4180830000000003E-2</v>
      </c>
      <c r="Z4284">
        <v>1.4586109999999999E-2</v>
      </c>
      <c r="AA4284">
        <v>0.99713810000000003</v>
      </c>
      <c r="AB4284">
        <v>38</v>
      </c>
      <c r="AC4284">
        <v>-0.45399999999995</v>
      </c>
      <c r="AD4284">
        <v>-0.30012109999999997</v>
      </c>
      <c r="AE4284">
        <v>6.6499999999990594E-2</v>
      </c>
      <c r="AF4284">
        <v>4.7973027809553197E-2</v>
      </c>
      <c r="AG4284">
        <v>-0.30012109999999997</v>
      </c>
      <c r="AH4284">
        <v>0.31775903961038499</v>
      </c>
      <c r="AI4284">
        <v>133.04270273066001</v>
      </c>
      <c r="AJ4284">
        <v>81.414721493884102</v>
      </c>
      <c r="AK4284">
        <v>0.43971001048024899</v>
      </c>
      <c r="AL4284">
        <v>78.601761500900295</v>
      </c>
      <c r="AM4284">
        <v>89.825682552653404</v>
      </c>
      <c r="AN4284">
        <v>0.99999998563937398</v>
      </c>
    </row>
    <row r="4285" spans="1:40" x14ac:dyDescent="0.25">
      <c r="A4285" t="str">
        <f>"20190303162345675"</f>
        <v>20190303162345675</v>
      </c>
      <c r="B4285" t="str">
        <f>"1551601425669062"</f>
        <v>1551601425669062</v>
      </c>
      <c r="C4285" t="s">
        <v>40</v>
      </c>
      <c r="D4285">
        <v>5.5990659999999997</v>
      </c>
      <c r="E4285">
        <v>0.53138509999999906</v>
      </c>
      <c r="F4285" t="s">
        <v>42</v>
      </c>
      <c r="G4285">
        <v>-301.39670000000001</v>
      </c>
      <c r="H4285">
        <v>0.84161790000000003</v>
      </c>
      <c r="I4285">
        <v>141.50239999999999</v>
      </c>
      <c r="J4285">
        <v>-300.97030000000001</v>
      </c>
      <c r="K4285">
        <v>1.1211100000000001</v>
      </c>
      <c r="L4285">
        <v>141.441</v>
      </c>
      <c r="M4285">
        <v>-0.99987919999999997</v>
      </c>
      <c r="N4285">
        <v>-1.4814259999999999E-2</v>
      </c>
      <c r="O4285">
        <v>-4.7216659999999898E-3</v>
      </c>
      <c r="P4285">
        <v>-0.98306729999999998</v>
      </c>
      <c r="Q4285">
        <v>0.1832375</v>
      </c>
      <c r="R4285">
        <v>-1.69075E-3</v>
      </c>
      <c r="S4285">
        <v>-3.265015</v>
      </c>
      <c r="T4285">
        <v>-1.14439</v>
      </c>
      <c r="U4285">
        <v>0.24284359999999999</v>
      </c>
      <c r="V4285">
        <v>2.8021209999999999E-3</v>
      </c>
      <c r="W4285">
        <v>0.1977833</v>
      </c>
      <c r="X4285">
        <v>0.98024180000000005</v>
      </c>
      <c r="Y4285">
        <v>7.4033650000000006E-2</v>
      </c>
      <c r="Z4285">
        <v>1.468557E-2</v>
      </c>
      <c r="AA4285">
        <v>0.99714760000000002</v>
      </c>
      <c r="AB4285">
        <v>38</v>
      </c>
      <c r="AC4285">
        <v>-0.426400000000001</v>
      </c>
      <c r="AD4285">
        <v>-0.27949209999999902</v>
      </c>
      <c r="AE4285">
        <v>6.1399999999991899E-2</v>
      </c>
      <c r="AF4285">
        <v>4.4628264947150803E-2</v>
      </c>
      <c r="AG4285">
        <v>-0.27949209999999902</v>
      </c>
      <c r="AH4285">
        <v>0.29988147536589599</v>
      </c>
      <c r="AI4285">
        <v>132.67160095659699</v>
      </c>
      <c r="AJ4285">
        <v>81.535385084381204</v>
      </c>
      <c r="AK4285">
        <v>0.41235472018909802</v>
      </c>
      <c r="AL4285">
        <v>78.592638119139394</v>
      </c>
      <c r="AM4285">
        <v>89.836214626155595</v>
      </c>
      <c r="AN4285">
        <v>1.0000000360541099</v>
      </c>
    </row>
    <row r="4286" spans="1:40" x14ac:dyDescent="0.25">
      <c r="A4286" t="str">
        <f>"20190303162345697"</f>
        <v>20190303162345697</v>
      </c>
      <c r="B4286" t="str">
        <f>"1551601425689557"</f>
        <v>1551601425689557</v>
      </c>
      <c r="C4286" t="s">
        <v>40</v>
      </c>
      <c r="D4286">
        <v>5.5929229999999999</v>
      </c>
      <c r="E4286">
        <v>0.53135969999999999</v>
      </c>
      <c r="F4286" t="s">
        <v>42</v>
      </c>
      <c r="G4286">
        <v>-301.73599999999999</v>
      </c>
      <c r="H4286">
        <v>0.85263940000000005</v>
      </c>
      <c r="I4286">
        <v>141.4975</v>
      </c>
      <c r="J4286">
        <v>-301.34019999999998</v>
      </c>
      <c r="K4286">
        <v>1.1211199999999999</v>
      </c>
      <c r="L4286">
        <v>141.43889999999999</v>
      </c>
      <c r="M4286">
        <v>-0.99987749999999997</v>
      </c>
      <c r="N4286">
        <v>-1.4820979999999999E-2</v>
      </c>
      <c r="O4286">
        <v>-5.042861E-3</v>
      </c>
      <c r="P4286">
        <v>-0.98290469999999996</v>
      </c>
      <c r="Q4286">
        <v>0.1840956</v>
      </c>
      <c r="R4286">
        <v>-2.6536960000000001E-3</v>
      </c>
      <c r="S4286">
        <v>-3.2654719999999999</v>
      </c>
      <c r="T4286">
        <v>-1.1449609999999999</v>
      </c>
      <c r="U4286">
        <v>0.2406006</v>
      </c>
      <c r="V4286">
        <v>2.1532949999999999E-3</v>
      </c>
      <c r="W4286">
        <v>0.19864470000000001</v>
      </c>
      <c r="X4286">
        <v>0.98006919999999997</v>
      </c>
      <c r="Y4286">
        <v>7.3664049999999995E-2</v>
      </c>
      <c r="Z4286">
        <v>1.4729880000000001E-2</v>
      </c>
      <c r="AA4286">
        <v>0.99717429999999996</v>
      </c>
      <c r="AB4286">
        <v>38</v>
      </c>
      <c r="AC4286">
        <v>-0.39580000000000798</v>
      </c>
      <c r="AD4286">
        <v>-0.26848060000000001</v>
      </c>
      <c r="AE4286">
        <v>5.86000000000126E-2</v>
      </c>
      <c r="AF4286">
        <v>4.1782647371193297E-2</v>
      </c>
      <c r="AG4286">
        <v>-0.26848060000000001</v>
      </c>
      <c r="AH4286">
        <v>0.27271051031451299</v>
      </c>
      <c r="AI4286">
        <v>134.21991234133799</v>
      </c>
      <c r="AJ4286">
        <v>81.289309763626903</v>
      </c>
      <c r="AK4286">
        <v>0.38496577072995403</v>
      </c>
      <c r="AL4286">
        <v>78.542283981035297</v>
      </c>
      <c r="AM4286">
        <v>89.874116524598605</v>
      </c>
      <c r="AN4286">
        <v>0.99999999515304305</v>
      </c>
    </row>
    <row r="4287" spans="1:40" x14ac:dyDescent="0.25">
      <c r="A4287" t="str">
        <f>"20190303162345718"</f>
        <v>20190303162345718</v>
      </c>
      <c r="B4287" t="str">
        <f>"1551601425708608"</f>
        <v>1551601425708608</v>
      </c>
      <c r="C4287" t="s">
        <v>40</v>
      </c>
      <c r="D4287">
        <v>5.5942699999999999</v>
      </c>
      <c r="E4287">
        <v>0.53133580000000002</v>
      </c>
      <c r="F4287" t="s">
        <v>42</v>
      </c>
      <c r="G4287">
        <v>-302.07499999999999</v>
      </c>
      <c r="H4287">
        <v>0.86410159999999903</v>
      </c>
      <c r="I4287">
        <v>141.49279999999999</v>
      </c>
      <c r="J4287">
        <v>-301.6977</v>
      </c>
      <c r="K4287">
        <v>1.1211340000000001</v>
      </c>
      <c r="L4287">
        <v>141.43680000000001</v>
      </c>
      <c r="M4287">
        <v>-0.99987579999999998</v>
      </c>
      <c r="N4287">
        <v>-1.482603E-2</v>
      </c>
      <c r="O4287">
        <v>-5.3537849999999998E-3</v>
      </c>
      <c r="P4287">
        <v>-0.98265709999999995</v>
      </c>
      <c r="Q4287">
        <v>0.1853987</v>
      </c>
      <c r="R4287">
        <v>-3.543441E-3</v>
      </c>
      <c r="S4287">
        <v>-3.2668460000000001</v>
      </c>
      <c r="T4287">
        <v>-1.1426430000000001</v>
      </c>
      <c r="U4287">
        <v>0.23855589999999999</v>
      </c>
      <c r="V4287">
        <v>1.56679E-3</v>
      </c>
      <c r="W4287">
        <v>0.1999484</v>
      </c>
      <c r="X4287">
        <v>0.97980520000000004</v>
      </c>
      <c r="Y4287">
        <v>7.3347560000000006E-2</v>
      </c>
      <c r="Z4287">
        <v>1.474231E-2</v>
      </c>
      <c r="AA4287">
        <v>0.99719740000000001</v>
      </c>
      <c r="AB4287">
        <v>37</v>
      </c>
      <c r="AC4287">
        <v>-0.37729999999999098</v>
      </c>
      <c r="AD4287">
        <v>-0.25703239999999999</v>
      </c>
      <c r="AE4287">
        <v>5.5999999999983098E-2</v>
      </c>
      <c r="AF4287">
        <v>3.9900924537390102E-2</v>
      </c>
      <c r="AG4287">
        <v>-0.25703239999999999</v>
      </c>
      <c r="AH4287">
        <v>0.25926566530700201</v>
      </c>
      <c r="AI4287">
        <v>134.41689465696501</v>
      </c>
      <c r="AJ4287">
        <v>81.250837182522702</v>
      </c>
      <c r="AK4287">
        <v>0.36725525678440701</v>
      </c>
      <c r="AL4287">
        <v>78.466058654932695</v>
      </c>
      <c r="AM4287">
        <v>89.908379361665894</v>
      </c>
      <c r="AN4287">
        <v>1.00000002372025</v>
      </c>
    </row>
    <row r="4288" spans="1:40" x14ac:dyDescent="0.25">
      <c r="A4288" t="str">
        <f>"20190303162345741"</f>
        <v>20190303162345741</v>
      </c>
      <c r="B4288" t="str">
        <f>"1551601425729104"</f>
        <v>1551601425729104</v>
      </c>
      <c r="C4288" t="s">
        <v>40</v>
      </c>
      <c r="D4288">
        <v>5.6091379999999997</v>
      </c>
      <c r="E4288">
        <v>0.53129300000000002</v>
      </c>
      <c r="F4288" t="s">
        <v>42</v>
      </c>
      <c r="G4288">
        <v>-302.41230000000002</v>
      </c>
      <c r="H4288">
        <v>0.87210359999999998</v>
      </c>
      <c r="I4288">
        <v>141.48840000000001</v>
      </c>
      <c r="J4288">
        <v>-302.07619999999997</v>
      </c>
      <c r="K4288">
        <v>1.121148</v>
      </c>
      <c r="L4288">
        <v>141.43450000000001</v>
      </c>
      <c r="M4288">
        <v>-0.99987389999999998</v>
      </c>
      <c r="N4288">
        <v>-1.4830080000000001E-2</v>
      </c>
      <c r="O4288">
        <v>-5.6826990000000003E-3</v>
      </c>
      <c r="P4288">
        <v>-0.98254859999999999</v>
      </c>
      <c r="Q4288">
        <v>0.1859613</v>
      </c>
      <c r="R4288">
        <v>-4.0752419999999998E-3</v>
      </c>
      <c r="S4288">
        <v>-3.268707</v>
      </c>
      <c r="T4288">
        <v>-1.1390119999999999</v>
      </c>
      <c r="U4288">
        <v>0.2358856</v>
      </c>
      <c r="V4288">
        <v>1.3571869999999999E-3</v>
      </c>
      <c r="W4288">
        <v>0.20051369999999999</v>
      </c>
      <c r="X4288">
        <v>0.97968999999999995</v>
      </c>
      <c r="Y4288">
        <v>7.2869569999999995E-2</v>
      </c>
      <c r="Z4288">
        <v>1.471428E-2</v>
      </c>
      <c r="AA4288">
        <v>0.99723289999999998</v>
      </c>
      <c r="AB4288">
        <v>37</v>
      </c>
      <c r="AC4288">
        <v>-0.33610000000004397</v>
      </c>
      <c r="AD4288">
        <v>-0.2490444</v>
      </c>
      <c r="AE4288">
        <v>5.3899999999998699E-2</v>
      </c>
      <c r="AF4288">
        <v>3.6350998153902699E-2</v>
      </c>
      <c r="AG4288">
        <v>-0.2490444</v>
      </c>
      <c r="AH4288">
        <v>0.21871334861885899</v>
      </c>
      <c r="AI4288">
        <v>138.32269057369001</v>
      </c>
      <c r="AJ4288">
        <v>80.563481101051295</v>
      </c>
      <c r="AK4288">
        <v>0.33343670629104299</v>
      </c>
      <c r="AL4288">
        <v>78.433000070155501</v>
      </c>
      <c r="AM4288">
        <v>89.920626894868903</v>
      </c>
      <c r="AN4288">
        <v>1.0000000409721199</v>
      </c>
    </row>
    <row r="4289" spans="1:40" x14ac:dyDescent="0.25">
      <c r="A4289" t="str">
        <f>"20190303162345765"</f>
        <v>20190303162345765</v>
      </c>
      <c r="B4289" t="str">
        <f>"1551601425759361"</f>
        <v>1551601425759361</v>
      </c>
      <c r="C4289" t="s">
        <v>40</v>
      </c>
      <c r="D4289">
        <v>5.6327740000000004</v>
      </c>
      <c r="E4289">
        <v>0.53128809999999904</v>
      </c>
      <c r="F4289" t="s">
        <v>42</v>
      </c>
      <c r="G4289">
        <v>-302.75170000000003</v>
      </c>
      <c r="H4289">
        <v>0.88591839999999999</v>
      </c>
      <c r="I4289">
        <v>141.4828</v>
      </c>
      <c r="J4289">
        <v>-302.45080000000002</v>
      </c>
      <c r="K4289">
        <v>1.121157</v>
      </c>
      <c r="L4289">
        <v>141.43199999999999</v>
      </c>
      <c r="M4289">
        <v>-0.99987210000000004</v>
      </c>
      <c r="N4289">
        <v>-1.4832919999999999E-2</v>
      </c>
      <c r="O4289">
        <v>-6.0087389999999999E-3</v>
      </c>
      <c r="P4289">
        <v>-0.9825045</v>
      </c>
      <c r="Q4289">
        <v>0.18618699999999999</v>
      </c>
      <c r="R4289">
        <v>-4.4334969999999998E-3</v>
      </c>
      <c r="S4289">
        <v>-3.269714</v>
      </c>
      <c r="T4289">
        <v>-1.1386559999999999</v>
      </c>
      <c r="U4289">
        <v>0.23291020000000001</v>
      </c>
      <c r="V4289">
        <v>1.3188690000000001E-3</v>
      </c>
      <c r="W4289">
        <v>0.20074110000000001</v>
      </c>
      <c r="X4289">
        <v>0.97964340000000005</v>
      </c>
      <c r="Y4289">
        <v>7.2292830000000002E-2</v>
      </c>
      <c r="Z4289">
        <v>1.4710040000000001E-2</v>
      </c>
      <c r="AA4289">
        <v>0.99727500000000002</v>
      </c>
      <c r="AB4289">
        <v>37</v>
      </c>
      <c r="AC4289">
        <v>-0.30090000000001199</v>
      </c>
      <c r="AD4289">
        <v>-0.23523859999999899</v>
      </c>
      <c r="AE4289">
        <v>5.0799999999980999E-2</v>
      </c>
      <c r="AF4289">
        <v>3.2998205953887E-2</v>
      </c>
      <c r="AG4289">
        <v>-0.23523859999999899</v>
      </c>
      <c r="AH4289">
        <v>0.18854617548576499</v>
      </c>
      <c r="AI4289">
        <v>140.86499684886601</v>
      </c>
      <c r="AJ4289">
        <v>80.072980436495996</v>
      </c>
      <c r="AK4289">
        <v>0.30327502504565701</v>
      </c>
      <c r="AL4289">
        <v>78.419699648764805</v>
      </c>
      <c r="AM4289">
        <v>89.922864195504602</v>
      </c>
      <c r="AN4289">
        <v>0.99999995990410295</v>
      </c>
    </row>
    <row r="4290" spans="1:40" x14ac:dyDescent="0.25">
      <c r="A4290" t="str">
        <f>"20190303162345786"</f>
        <v>20190303162345786</v>
      </c>
      <c r="B4290" t="str">
        <f>"1551601425778879"</f>
        <v>1551601425778879</v>
      </c>
      <c r="C4290" t="s">
        <v>40</v>
      </c>
      <c r="D4290">
        <v>5.6870960000000004</v>
      </c>
      <c r="E4290">
        <v>0.53126030000000002</v>
      </c>
      <c r="F4290" t="s">
        <v>42</v>
      </c>
      <c r="G4290">
        <v>-303.38249999999999</v>
      </c>
      <c r="H4290">
        <v>0.79674650000000002</v>
      </c>
      <c r="I4290">
        <v>141.49850000000001</v>
      </c>
      <c r="J4290">
        <v>-302.83569999999997</v>
      </c>
      <c r="K4290">
        <v>1.1211599999999999</v>
      </c>
      <c r="L4290">
        <v>141.42939999999999</v>
      </c>
      <c r="M4290">
        <v>-0.99986989999999998</v>
      </c>
      <c r="N4290">
        <v>-1.483479E-2</v>
      </c>
      <c r="O4290">
        <v>-6.3429949999999997E-3</v>
      </c>
      <c r="P4290">
        <v>-0.98233000000000004</v>
      </c>
      <c r="Q4290">
        <v>0.1870945</v>
      </c>
      <c r="R4290">
        <v>-4.8723109999999998E-3</v>
      </c>
      <c r="S4290">
        <v>-3.2702330000000002</v>
      </c>
      <c r="T4290">
        <v>-1.138684</v>
      </c>
      <c r="U4290">
        <v>0.2323151</v>
      </c>
      <c r="V4290">
        <v>1.206946E-3</v>
      </c>
      <c r="W4290">
        <v>0.20164779999999999</v>
      </c>
      <c r="X4290">
        <v>0.97945740000000003</v>
      </c>
      <c r="Y4290">
        <v>7.2410299999999997E-2</v>
      </c>
      <c r="Z4290">
        <v>1.483725E-2</v>
      </c>
      <c r="AA4290">
        <v>0.99726459999999995</v>
      </c>
      <c r="AB4290">
        <v>37</v>
      </c>
      <c r="AC4290">
        <v>-0.54680000000001805</v>
      </c>
      <c r="AD4290">
        <v>-0.32441349999999902</v>
      </c>
      <c r="AE4290">
        <v>6.9100000000020104E-2</v>
      </c>
      <c r="AF4290">
        <v>5.3894688845504399E-2</v>
      </c>
      <c r="AG4290">
        <v>-0.32441349999999902</v>
      </c>
      <c r="AH4290">
        <v>0.40576653196961299</v>
      </c>
      <c r="AI4290">
        <v>128.39849334917</v>
      </c>
      <c r="AJ4290">
        <v>82.434148700369406</v>
      </c>
      <c r="AK4290">
        <v>0.52229803267354002</v>
      </c>
      <c r="AL4290">
        <v>78.366666080319106</v>
      </c>
      <c r="AM4290">
        <v>89.929396748752694</v>
      </c>
      <c r="AN4290">
        <v>1.00000004518912</v>
      </c>
    </row>
    <row r="4291" spans="1:40" x14ac:dyDescent="0.25">
      <c r="A4291" t="str">
        <f>"20190303162345808"</f>
        <v>20190303162345808</v>
      </c>
      <c r="B4291" t="str">
        <f>"1551601425799376"</f>
        <v>1551601425799376</v>
      </c>
      <c r="C4291" t="s">
        <v>40</v>
      </c>
      <c r="D4291">
        <v>5.6214620000000002</v>
      </c>
      <c r="E4291">
        <v>0.52573130000000001</v>
      </c>
      <c r="F4291" t="s">
        <v>42</v>
      </c>
      <c r="G4291">
        <v>-303.72179999999997</v>
      </c>
      <c r="H4291">
        <v>0.81365980000000004</v>
      </c>
      <c r="I4291">
        <v>141.4922</v>
      </c>
      <c r="J4291">
        <v>-303.19080000000002</v>
      </c>
      <c r="K4291">
        <v>1.121167</v>
      </c>
      <c r="L4291">
        <v>141.42679999999999</v>
      </c>
      <c r="M4291">
        <v>-0.99986790000000003</v>
      </c>
      <c r="N4291">
        <v>-1.483572E-2</v>
      </c>
      <c r="O4291">
        <v>-6.6519680000000003E-3</v>
      </c>
      <c r="P4291">
        <v>-0.98221899999999995</v>
      </c>
      <c r="Q4291">
        <v>0.18767919999999999</v>
      </c>
      <c r="R4291">
        <v>-4.7307829999999997E-3</v>
      </c>
      <c r="S4291">
        <v>-3.2713320000000001</v>
      </c>
      <c r="T4291">
        <v>-1.135219</v>
      </c>
      <c r="U4291">
        <v>0.2315979</v>
      </c>
      <c r="V4291">
        <v>1.6509980000000001E-3</v>
      </c>
      <c r="W4291">
        <v>0.202232</v>
      </c>
      <c r="X4291">
        <v>0.97933630000000005</v>
      </c>
      <c r="Y4291">
        <v>7.2486780000000001E-2</v>
      </c>
      <c r="Z4291">
        <v>1.490446E-2</v>
      </c>
      <c r="AA4291">
        <v>0.99725799999999998</v>
      </c>
      <c r="AB4291">
        <v>37</v>
      </c>
      <c r="AC4291">
        <v>-0.53099999999994896</v>
      </c>
      <c r="AD4291">
        <v>-0.30750719999999998</v>
      </c>
      <c r="AE4291">
        <v>6.5400000000010894E-2</v>
      </c>
      <c r="AF4291">
        <v>5.1814027853433302E-2</v>
      </c>
      <c r="AG4291">
        <v>-0.30750719999999998</v>
      </c>
      <c r="AH4291">
        <v>0.39880521130848401</v>
      </c>
      <c r="AI4291">
        <v>127.403139715744</v>
      </c>
      <c r="AJ4291">
        <v>82.597418120540596</v>
      </c>
      <c r="AK4291">
        <v>0.50625188207160399</v>
      </c>
      <c r="AL4291">
        <v>78.332489817942104</v>
      </c>
      <c r="AM4291">
        <v>89.903408943617805</v>
      </c>
      <c r="AN4291">
        <v>1.00000004805804</v>
      </c>
    </row>
    <row r="4292" spans="1:40" x14ac:dyDescent="0.25">
      <c r="A4292" t="str">
        <f>"20190303162345831"</f>
        <v>20190303162345831</v>
      </c>
      <c r="B4292" t="str">
        <f>"1551601425819209"</f>
        <v>1551601425819209</v>
      </c>
      <c r="C4292" t="s">
        <v>40</v>
      </c>
      <c r="D4292">
        <v>5.6254049999999998</v>
      </c>
      <c r="E4292">
        <v>0.52194979999999902</v>
      </c>
      <c r="F4292" t="s">
        <v>42</v>
      </c>
      <c r="G4292">
        <v>-304.1105</v>
      </c>
      <c r="H4292">
        <v>0.94568609999999997</v>
      </c>
      <c r="I4292">
        <v>141.48159999999999</v>
      </c>
      <c r="J4292">
        <v>-303.57040000000001</v>
      </c>
      <c r="K4292">
        <v>1.12117</v>
      </c>
      <c r="L4292">
        <v>141.42400000000001</v>
      </c>
      <c r="M4292">
        <v>-0.99986569999999997</v>
      </c>
      <c r="N4292">
        <v>-1.4836E-2</v>
      </c>
      <c r="O4292">
        <v>-6.9826289999999997E-3</v>
      </c>
      <c r="P4292">
        <v>-0.98215819999999998</v>
      </c>
      <c r="Q4292">
        <v>0.18801019999999999</v>
      </c>
      <c r="R4292">
        <v>-4.2040769999999996E-3</v>
      </c>
      <c r="S4292">
        <v>-3.1708069999999999</v>
      </c>
      <c r="T4292">
        <v>-0.60494349999999997</v>
      </c>
      <c r="U4292">
        <v>0.18888849999999999</v>
      </c>
      <c r="V4292">
        <v>2.502144E-3</v>
      </c>
      <c r="W4292">
        <v>0.20256260000000001</v>
      </c>
      <c r="X4292">
        <v>0.97926610000000003</v>
      </c>
      <c r="Y4292">
        <v>6.5066059999999995E-2</v>
      </c>
      <c r="Z4292">
        <v>7.8503469999999902E-3</v>
      </c>
      <c r="AA4292">
        <v>0.99785009999999996</v>
      </c>
      <c r="AB4292">
        <v>37</v>
      </c>
      <c r="AC4292">
        <v>-0.54009999999999503</v>
      </c>
      <c r="AD4292">
        <v>-0.1754839</v>
      </c>
      <c r="AE4292">
        <v>5.7599999999979397E-2</v>
      </c>
      <c r="AF4292">
        <v>5.5569970388308999E-2</v>
      </c>
      <c r="AG4292">
        <v>-0.1754839</v>
      </c>
      <c r="AH4292">
        <v>0.48867681625725801</v>
      </c>
      <c r="AI4292">
        <v>109.63643077691501</v>
      </c>
      <c r="AJ4292">
        <v>83.512468272965407</v>
      </c>
      <c r="AK4292">
        <v>0.52219503206703999</v>
      </c>
      <c r="AL4292">
        <v>78.313146722757395</v>
      </c>
      <c r="AM4292">
        <v>89.853602632677706</v>
      </c>
      <c r="AN4292">
        <v>0.99999998112628297</v>
      </c>
    </row>
    <row r="4293" spans="1:40" x14ac:dyDescent="0.25">
      <c r="A4293" t="str">
        <f>"20190303162345853"</f>
        <v>20190303162345853</v>
      </c>
      <c r="B4293" t="str">
        <f>"1551601425849465"</f>
        <v>1551601425849465</v>
      </c>
      <c r="C4293" t="s">
        <v>40</v>
      </c>
      <c r="D4293">
        <v>5.8352899999999996</v>
      </c>
      <c r="E4293">
        <v>0.52130679999999996</v>
      </c>
      <c r="F4293" t="s">
        <v>42</v>
      </c>
      <c r="G4293">
        <v>-304.46280000000002</v>
      </c>
      <c r="H4293">
        <v>0.98681209999999997</v>
      </c>
      <c r="I4293">
        <v>141.46950000000001</v>
      </c>
      <c r="J4293">
        <v>-303.93799999999999</v>
      </c>
      <c r="K4293">
        <v>1.1211709999999999</v>
      </c>
      <c r="L4293">
        <v>141.4211</v>
      </c>
      <c r="M4293">
        <v>-0.99986330000000001</v>
      </c>
      <c r="N4293">
        <v>-1.483571E-2</v>
      </c>
      <c r="O4293">
        <v>-7.3027939999999996E-3</v>
      </c>
      <c r="P4293">
        <v>-0.98224909999999999</v>
      </c>
      <c r="Q4293">
        <v>0.1875414</v>
      </c>
      <c r="R4293">
        <v>-3.9102770000000002E-3</v>
      </c>
      <c r="S4293">
        <v>-3.1458439999999999</v>
      </c>
      <c r="T4293">
        <v>-0.47364260000000002</v>
      </c>
      <c r="U4293">
        <v>0.16035460000000001</v>
      </c>
      <c r="V4293">
        <v>3.1117419999999998E-3</v>
      </c>
      <c r="W4293">
        <v>0.2020961</v>
      </c>
      <c r="X4293">
        <v>0.97936080000000003</v>
      </c>
      <c r="Y4293">
        <v>5.742336E-2</v>
      </c>
      <c r="Z4293">
        <v>5.7097559999999999E-3</v>
      </c>
      <c r="AA4293">
        <v>0.99833360000000004</v>
      </c>
      <c r="AB4293">
        <v>37</v>
      </c>
      <c r="AC4293">
        <v>-0.52480000000002702</v>
      </c>
      <c r="AD4293">
        <v>-0.134358899999999</v>
      </c>
      <c r="AE4293">
        <v>4.8400000000015098E-2</v>
      </c>
      <c r="AF4293">
        <v>4.9044110711996401E-2</v>
      </c>
      <c r="AG4293">
        <v>-0.134358899999999</v>
      </c>
      <c r="AH4293">
        <v>0.49242810350139699</v>
      </c>
      <c r="AI4293">
        <v>105.18999601762501</v>
      </c>
      <c r="AJ4293">
        <v>84.312298287687796</v>
      </c>
      <c r="AK4293">
        <v>0.51277975381514695</v>
      </c>
      <c r="AL4293">
        <v>78.340440464381103</v>
      </c>
      <c r="AM4293">
        <v>89.817953624883501</v>
      </c>
      <c r="AN4293">
        <v>1.00000004657506</v>
      </c>
    </row>
    <row r="4294" spans="1:40" x14ac:dyDescent="0.25">
      <c r="A4294" t="str">
        <f>"20190303162345877"</f>
        <v>20190303162345877</v>
      </c>
      <c r="B4294" t="str">
        <f>"1551601425868986"</f>
        <v>1551601425868986</v>
      </c>
      <c r="C4294" t="s">
        <v>40</v>
      </c>
      <c r="D4294">
        <v>5.6722950000000001</v>
      </c>
      <c r="E4294">
        <v>0.5206364</v>
      </c>
      <c r="F4294" t="s">
        <v>42</v>
      </c>
      <c r="G4294">
        <v>-304.80220000000003</v>
      </c>
      <c r="H4294">
        <v>1.002839</v>
      </c>
      <c r="I4294">
        <v>141.46440000000001</v>
      </c>
      <c r="J4294">
        <v>-304.3329</v>
      </c>
      <c r="K4294">
        <v>1.121176</v>
      </c>
      <c r="L4294">
        <v>141.4179</v>
      </c>
      <c r="M4294">
        <v>-0.99986079999999999</v>
      </c>
      <c r="N4294">
        <v>-1.483487E-2</v>
      </c>
      <c r="O4294">
        <v>-7.6465569999999896E-3</v>
      </c>
      <c r="P4294">
        <v>-0.98215660000000005</v>
      </c>
      <c r="Q4294">
        <v>0.1880336</v>
      </c>
      <c r="R4294">
        <v>-3.4121519999999999E-3</v>
      </c>
      <c r="S4294">
        <v>-3.136841</v>
      </c>
      <c r="T4294">
        <v>-0.42954779999999998</v>
      </c>
      <c r="U4294">
        <v>0.15631099999999901</v>
      </c>
      <c r="V4294">
        <v>3.9466470000000002E-3</v>
      </c>
      <c r="W4294">
        <v>0.2025864</v>
      </c>
      <c r="X4294">
        <v>0.97925649999999997</v>
      </c>
      <c r="Y4294">
        <v>5.6762460000000001E-2</v>
      </c>
      <c r="Z4294">
        <v>5.2182249999999999E-3</v>
      </c>
      <c r="AA4294">
        <v>0.99837410000000004</v>
      </c>
      <c r="AB4294">
        <v>37</v>
      </c>
      <c r="AC4294">
        <v>-0.46930000000003202</v>
      </c>
      <c r="AD4294">
        <v>-0.118336999999999</v>
      </c>
      <c r="AE4294">
        <v>4.6500000000008798E-2</v>
      </c>
      <c r="AF4294">
        <v>4.7120628332458399E-2</v>
      </c>
      <c r="AG4294">
        <v>-0.118336999999999</v>
      </c>
      <c r="AH4294">
        <v>0.44115357464230598</v>
      </c>
      <c r="AI4294">
        <v>104.934657408649</v>
      </c>
      <c r="AJ4294">
        <v>83.9032216196333</v>
      </c>
      <c r="AK4294">
        <v>0.459173687838415</v>
      </c>
      <c r="AL4294">
        <v>78.311755136755707</v>
      </c>
      <c r="AM4294">
        <v>89.769085023153195</v>
      </c>
      <c r="AN4294">
        <v>1.0000000591398699</v>
      </c>
    </row>
    <row r="4295" spans="1:40" x14ac:dyDescent="0.25">
      <c r="A4295" t="str">
        <f>"20190303162345899"</f>
        <v>20190303162345899</v>
      </c>
      <c r="B4295" t="str">
        <f>"1551601425889482"</f>
        <v>1551601425889482</v>
      </c>
      <c r="C4295" t="s">
        <v>40</v>
      </c>
      <c r="D4295">
        <v>5.6675250000000004</v>
      </c>
      <c r="E4295">
        <v>0.52035640000000005</v>
      </c>
      <c r="F4295" t="s">
        <v>42</v>
      </c>
      <c r="G4295">
        <v>-305.1395</v>
      </c>
      <c r="H4295">
        <v>1.0153589999999999</v>
      </c>
      <c r="I4295">
        <v>141.4571</v>
      </c>
      <c r="J4295">
        <v>-304.69139999999999</v>
      </c>
      <c r="K4295">
        <v>1.121184</v>
      </c>
      <c r="L4295">
        <v>141.41489999999999</v>
      </c>
      <c r="M4295">
        <v>-0.99985840000000004</v>
      </c>
      <c r="N4295">
        <v>-1.483366E-2</v>
      </c>
      <c r="O4295">
        <v>-7.9586120000000003E-3</v>
      </c>
      <c r="P4295">
        <v>-0.98210359999999997</v>
      </c>
      <c r="Q4295">
        <v>0.18831639999999999</v>
      </c>
      <c r="R4295">
        <v>-3.1097249999999998E-3</v>
      </c>
      <c r="S4295">
        <v>-3.1336979999999999</v>
      </c>
      <c r="T4295">
        <v>-0.41108600000000001</v>
      </c>
      <c r="U4295">
        <v>0.15232850000000001</v>
      </c>
      <c r="V4295">
        <v>4.5552379999999996E-3</v>
      </c>
      <c r="W4295">
        <v>0.20286750000000001</v>
      </c>
      <c r="X4295">
        <v>0.97919560000000005</v>
      </c>
      <c r="Y4295">
        <v>5.5914930000000002E-2</v>
      </c>
      <c r="Z4295">
        <v>4.9881730000000003E-3</v>
      </c>
      <c r="AA4295">
        <v>0.99842310000000001</v>
      </c>
      <c r="AB4295">
        <v>37</v>
      </c>
      <c r="AC4295">
        <v>-0.44810000000000999</v>
      </c>
      <c r="AD4295">
        <v>-0.105824999999999</v>
      </c>
      <c r="AE4295">
        <v>4.2200000000008203E-2</v>
      </c>
      <c r="AF4295">
        <v>4.33678053779619E-2</v>
      </c>
      <c r="AG4295">
        <v>-0.105824999999999</v>
      </c>
      <c r="AH4295">
        <v>0.42429367268050699</v>
      </c>
      <c r="AI4295">
        <v>103.934915312808</v>
      </c>
      <c r="AJ4295">
        <v>84.163964405677703</v>
      </c>
      <c r="AK4295">
        <v>0.43943693272756901</v>
      </c>
      <c r="AL4295">
        <v>78.295307042629204</v>
      </c>
      <c r="AM4295">
        <v>89.733460782157394</v>
      </c>
      <c r="AN4295">
        <v>0.99999999790442295</v>
      </c>
    </row>
    <row r="4296" spans="1:40" x14ac:dyDescent="0.25">
      <c r="A4296" t="str">
        <f>"20190303162345921"</f>
        <v>20190303162345921</v>
      </c>
      <c r="B4296" t="str">
        <f>"1551601425909508"</f>
        <v>1551601425909508</v>
      </c>
      <c r="C4296" t="s">
        <v>40</v>
      </c>
      <c r="D4296">
        <v>5.6806400000000004</v>
      </c>
      <c r="E4296">
        <v>0.520300599999999</v>
      </c>
      <c r="F4296" t="s">
        <v>42</v>
      </c>
      <c r="G4296">
        <v>-305.47230000000002</v>
      </c>
      <c r="H4296">
        <v>1.019563</v>
      </c>
      <c r="I4296">
        <v>141.45259999999999</v>
      </c>
      <c r="J4296">
        <v>-305.04820000000001</v>
      </c>
      <c r="K4296">
        <v>1.1211850000000001</v>
      </c>
      <c r="L4296">
        <v>141.4117</v>
      </c>
      <c r="M4296">
        <v>-0.99985590000000002</v>
      </c>
      <c r="N4296">
        <v>-1.4832089999999999E-2</v>
      </c>
      <c r="O4296">
        <v>-8.2694710000000005E-3</v>
      </c>
      <c r="P4296">
        <v>-0.982124</v>
      </c>
      <c r="Q4296">
        <v>0.1882153</v>
      </c>
      <c r="R4296">
        <v>-2.7647879999999998E-3</v>
      </c>
      <c r="S4296">
        <v>-3.1333310000000001</v>
      </c>
      <c r="T4296">
        <v>-0.40783409999999998</v>
      </c>
      <c r="U4296">
        <v>0.15025329999999901</v>
      </c>
      <c r="V4296">
        <v>5.2059469999999998E-3</v>
      </c>
      <c r="W4296">
        <v>0.20276530000000001</v>
      </c>
      <c r="X4296">
        <v>0.97921349999999996</v>
      </c>
      <c r="Y4296">
        <v>5.558109E-2</v>
      </c>
      <c r="Z4296">
        <v>4.9634969999999999E-3</v>
      </c>
      <c r="AA4296">
        <v>0.99844180000000005</v>
      </c>
      <c r="AB4296">
        <v>37</v>
      </c>
      <c r="AC4296">
        <v>-0.42410000000000903</v>
      </c>
      <c r="AD4296">
        <v>-0.101622</v>
      </c>
      <c r="AE4296">
        <v>4.0899999999993497E-2</v>
      </c>
      <c r="AF4296">
        <v>4.2015882263609403E-2</v>
      </c>
      <c r="AG4296">
        <v>-0.101622</v>
      </c>
      <c r="AH4296">
        <v>0.40093875202219997</v>
      </c>
      <c r="AI4296">
        <v>104.14834271056699</v>
      </c>
      <c r="AJ4296">
        <v>84.017594713129199</v>
      </c>
      <c r="AK4296">
        <v>0.41574541262593501</v>
      </c>
      <c r="AL4296">
        <v>78.301286665632702</v>
      </c>
      <c r="AM4296">
        <v>89.695392290587407</v>
      </c>
      <c r="AN4296">
        <v>0.99999997367525295</v>
      </c>
    </row>
    <row r="4297" spans="1:40" x14ac:dyDescent="0.25">
      <c r="A4297" t="str">
        <f>"20190303162345942"</f>
        <v>20190303162345942</v>
      </c>
      <c r="B4297" t="str">
        <f>"1551601425929028"</f>
        <v>1551601425929028</v>
      </c>
      <c r="C4297" t="s">
        <v>40</v>
      </c>
      <c r="D4297">
        <v>5.6496120000000003</v>
      </c>
      <c r="E4297">
        <v>0.51970329999999998</v>
      </c>
      <c r="F4297" t="s">
        <v>42</v>
      </c>
      <c r="G4297">
        <v>-305.80439999999999</v>
      </c>
      <c r="H4297">
        <v>1.0230600000000001</v>
      </c>
      <c r="I4297">
        <v>141.4479</v>
      </c>
      <c r="J4297">
        <v>-305.4126</v>
      </c>
      <c r="K4297">
        <v>1.1211770000000001</v>
      </c>
      <c r="L4297">
        <v>141.4084</v>
      </c>
      <c r="M4297">
        <v>-0.99985329999999994</v>
      </c>
      <c r="N4297">
        <v>-1.483016E-2</v>
      </c>
      <c r="O4297">
        <v>-8.5865260000000006E-3</v>
      </c>
      <c r="P4297">
        <v>-0.9821706</v>
      </c>
      <c r="Q4297">
        <v>0.18797369999999999</v>
      </c>
      <c r="R4297">
        <v>-2.676969E-3</v>
      </c>
      <c r="S4297">
        <v>-3.1329039999999999</v>
      </c>
      <c r="T4297">
        <v>-0.406557</v>
      </c>
      <c r="U4297">
        <v>0.14976500000000001</v>
      </c>
      <c r="V4297">
        <v>5.6061720000000004E-3</v>
      </c>
      <c r="W4297">
        <v>0.20252249999999999</v>
      </c>
      <c r="X4297">
        <v>0.97926159999999995</v>
      </c>
      <c r="Y4297">
        <v>5.5748619999999999E-2</v>
      </c>
      <c r="Z4297">
        <v>4.9979209999999998E-3</v>
      </c>
      <c r="AA4297">
        <v>0.99843230000000005</v>
      </c>
      <c r="AB4297">
        <v>37</v>
      </c>
      <c r="AC4297">
        <v>-0.39179999999998899</v>
      </c>
      <c r="AD4297">
        <v>-9.8116999999999996E-2</v>
      </c>
      <c r="AE4297">
        <v>3.9500000000003803E-2</v>
      </c>
      <c r="AF4297">
        <v>4.0357620244589998E-2</v>
      </c>
      <c r="AG4297">
        <v>-9.8116999999999996E-2</v>
      </c>
      <c r="AH4297">
        <v>0.368564987761064</v>
      </c>
      <c r="AI4297">
        <v>104.822513906663</v>
      </c>
      <c r="AJ4297">
        <v>83.751046217002596</v>
      </c>
      <c r="AK4297">
        <v>0.38353074636086198</v>
      </c>
      <c r="AL4297">
        <v>78.315493570475098</v>
      </c>
      <c r="AM4297">
        <v>89.671991135225397</v>
      </c>
      <c r="AN4297">
        <v>1.00000003670265</v>
      </c>
    </row>
    <row r="4298" spans="1:40" x14ac:dyDescent="0.25">
      <c r="A4298" t="str">
        <f>"20190303162345966"</f>
        <v>20190303162345966</v>
      </c>
      <c r="B4298" t="str">
        <f>"1551601425959284"</f>
        <v>1551601425959284</v>
      </c>
      <c r="C4298" t="s">
        <v>40</v>
      </c>
      <c r="D4298">
        <v>5.6541389999999998</v>
      </c>
      <c r="E4298">
        <v>0.51951170000000002</v>
      </c>
      <c r="F4298" t="s">
        <v>42</v>
      </c>
      <c r="G4298">
        <v>-306.13600000000002</v>
      </c>
      <c r="H4298">
        <v>1.0264470000000001</v>
      </c>
      <c r="I4298">
        <v>141.44210000000001</v>
      </c>
      <c r="J4298">
        <v>-305.78109999999998</v>
      </c>
      <c r="K4298">
        <v>1.1211770000000001</v>
      </c>
      <c r="L4298">
        <v>141.4049</v>
      </c>
      <c r="M4298">
        <v>-0.99985040000000003</v>
      </c>
      <c r="N4298">
        <v>-1.482789E-2</v>
      </c>
      <c r="O4298">
        <v>-8.9076260000000001E-3</v>
      </c>
      <c r="P4298">
        <v>-0.98215839999999999</v>
      </c>
      <c r="Q4298">
        <v>0.18804399999999999</v>
      </c>
      <c r="R4298">
        <v>-2.0731510000000001E-3</v>
      </c>
      <c r="S4298">
        <v>-3.1333920000000002</v>
      </c>
      <c r="T4298">
        <v>-0.41038659999999999</v>
      </c>
      <c r="U4298">
        <v>0.14471439999999999</v>
      </c>
      <c r="V4298">
        <v>6.5254359999999999E-3</v>
      </c>
      <c r="W4298">
        <v>0.20259160000000001</v>
      </c>
      <c r="X4298">
        <v>0.97924149999999999</v>
      </c>
      <c r="Y4298">
        <v>5.4455730000000001E-2</v>
      </c>
      <c r="Z4298">
        <v>4.9845449999999999E-3</v>
      </c>
      <c r="AA4298">
        <v>0.99850369999999999</v>
      </c>
      <c r="AB4298">
        <v>37</v>
      </c>
      <c r="AC4298">
        <v>-0.354899999999986</v>
      </c>
      <c r="AD4298">
        <v>-9.4730000000000203E-2</v>
      </c>
      <c r="AE4298">
        <v>3.7200000000012702E-2</v>
      </c>
      <c r="AF4298">
        <v>3.7703164506447999E-2</v>
      </c>
      <c r="AG4298">
        <v>-9.4730000000000203E-2</v>
      </c>
      <c r="AH4298">
        <v>0.33121320758072298</v>
      </c>
      <c r="AI4298">
        <v>105.863765012833</v>
      </c>
      <c r="AJ4298">
        <v>83.505774471137102</v>
      </c>
      <c r="AK4298">
        <v>0.346550848202268</v>
      </c>
      <c r="AL4298">
        <v>78.3114493177371</v>
      </c>
      <c r="AM4298">
        <v>89.6181999963365</v>
      </c>
      <c r="AN4298">
        <v>0.99999992651389702</v>
      </c>
    </row>
    <row r="4299" spans="1:40" x14ac:dyDescent="0.25">
      <c r="A4299" t="str">
        <f>"20190303162345999"</f>
        <v>20190303162345999</v>
      </c>
      <c r="B4299" t="str">
        <f>"1551601425989540"</f>
        <v>1551601425989540</v>
      </c>
      <c r="C4299" t="s">
        <v>40</v>
      </c>
      <c r="D4299">
        <v>5.660825</v>
      </c>
      <c r="E4299">
        <v>0.51886369999999904</v>
      </c>
      <c r="F4299" t="s">
        <v>42</v>
      </c>
      <c r="G4299">
        <v>-306.7765</v>
      </c>
      <c r="H4299">
        <v>0.98937799999999998</v>
      </c>
      <c r="I4299">
        <v>141.45089999999999</v>
      </c>
      <c r="J4299">
        <v>-306.34109999999998</v>
      </c>
      <c r="K4299">
        <v>1.121183</v>
      </c>
      <c r="L4299">
        <v>141.39940000000001</v>
      </c>
      <c r="M4299">
        <v>-0.99984600000000001</v>
      </c>
      <c r="N4299">
        <v>-1.482412E-2</v>
      </c>
      <c r="O4299">
        <v>-9.3961889999999992E-3</v>
      </c>
      <c r="P4299">
        <v>-0.98208709999999999</v>
      </c>
      <c r="Q4299">
        <v>0.18842490000000001</v>
      </c>
      <c r="R4299">
        <v>-9.7305980000000002E-4</v>
      </c>
      <c r="S4299">
        <v>-3.134277</v>
      </c>
      <c r="T4299">
        <v>-0.4150932</v>
      </c>
      <c r="U4299">
        <v>0.14384459999999999</v>
      </c>
      <c r="V4299">
        <v>8.1050199999999992E-3</v>
      </c>
      <c r="W4299">
        <v>0.20296839999999999</v>
      </c>
      <c r="X4299">
        <v>0.97915169999999996</v>
      </c>
      <c r="Y4299">
        <v>5.4636530000000003E-2</v>
      </c>
      <c r="Z4299">
        <v>5.10722E-3</v>
      </c>
      <c r="AA4299">
        <v>0.99849330000000003</v>
      </c>
      <c r="AB4299">
        <v>37</v>
      </c>
      <c r="AC4299">
        <v>-0.435400000000015</v>
      </c>
      <c r="AD4299">
        <v>-0.13180499999999901</v>
      </c>
      <c r="AE4299">
        <v>5.1499999999975898E-2</v>
      </c>
      <c r="AF4299">
        <v>5.0981750941929499E-2</v>
      </c>
      <c r="AG4299">
        <v>-0.13180499999999901</v>
      </c>
      <c r="AH4299">
        <v>0.39885033214079302</v>
      </c>
      <c r="AI4299">
        <v>108.148902067969</v>
      </c>
      <c r="AJ4299">
        <v>82.715851762967105</v>
      </c>
      <c r="AK4299">
        <v>0.42314688277585799</v>
      </c>
      <c r="AL4299">
        <v>78.289402587062</v>
      </c>
      <c r="AM4299">
        <v>89.5257396448267</v>
      </c>
      <c r="AN4299">
        <v>0.99999995718032397</v>
      </c>
    </row>
    <row r="4300" spans="1:40" x14ac:dyDescent="0.25">
      <c r="A4300" t="str">
        <f>"20190303162346020"</f>
        <v>20190303162346020</v>
      </c>
      <c r="B4300" t="str">
        <f>"1551601426009566"</f>
        <v>1551601426009566</v>
      </c>
      <c r="C4300" t="s">
        <v>40</v>
      </c>
      <c r="D4300">
        <v>5.6176459999999997</v>
      </c>
      <c r="E4300">
        <v>0.51876999999999995</v>
      </c>
      <c r="F4300" t="s">
        <v>42</v>
      </c>
      <c r="G4300">
        <v>-307.12139999999999</v>
      </c>
      <c r="H4300">
        <v>1.021768</v>
      </c>
      <c r="I4300">
        <v>141.4348</v>
      </c>
      <c r="J4300">
        <v>-306.6848</v>
      </c>
      <c r="K4300">
        <v>1.1211719999999901</v>
      </c>
      <c r="L4300">
        <v>141.39590000000001</v>
      </c>
      <c r="M4300">
        <v>-0.99984320000000004</v>
      </c>
      <c r="N4300">
        <v>-1.48215E-2</v>
      </c>
      <c r="O4300">
        <v>-9.6963099999999997E-3</v>
      </c>
      <c r="P4300">
        <v>-0.98220249999999998</v>
      </c>
      <c r="Q4300">
        <v>0.1878252</v>
      </c>
      <c r="R4300">
        <v>-2.879817E-4</v>
      </c>
      <c r="S4300">
        <v>-3.1314090000000001</v>
      </c>
      <c r="T4300">
        <v>-0.39896700000000002</v>
      </c>
      <c r="U4300">
        <v>0.14218140000000001</v>
      </c>
      <c r="V4300">
        <v>9.0867169999999994E-3</v>
      </c>
      <c r="W4300">
        <v>0.20236879999999999</v>
      </c>
      <c r="X4300">
        <v>0.9792672</v>
      </c>
      <c r="Y4300">
        <v>5.4491089999999999E-2</v>
      </c>
      <c r="Z4300">
        <v>4.948147E-3</v>
      </c>
      <c r="AA4300">
        <v>0.998502</v>
      </c>
      <c r="AB4300">
        <v>37</v>
      </c>
      <c r="AC4300">
        <v>-0.43659999999999799</v>
      </c>
      <c r="AD4300">
        <v>-9.9403999999999798E-2</v>
      </c>
      <c r="AE4300">
        <v>3.8899999999983899E-2</v>
      </c>
      <c r="AF4300">
        <v>4.1022316688364098E-2</v>
      </c>
      <c r="AG4300">
        <v>-9.9403999999999798E-2</v>
      </c>
      <c r="AH4300">
        <v>0.41486617876358201</v>
      </c>
      <c r="AI4300">
        <v>103.411305717001</v>
      </c>
      <c r="AJ4300">
        <v>84.352902073457301</v>
      </c>
      <c r="AK4300">
        <v>0.428576634879197</v>
      </c>
      <c r="AL4300">
        <v>78.324485397389196</v>
      </c>
      <c r="AM4300">
        <v>89.468362064904099</v>
      </c>
      <c r="AN4300">
        <v>0.99999997431755805</v>
      </c>
    </row>
    <row r="4301" spans="1:40" x14ac:dyDescent="0.25">
      <c r="A4301" t="str">
        <f>"20190303162346067"</f>
        <v>20190303162346067</v>
      </c>
      <c r="B4301" t="str">
        <f>"1551601426059342"</f>
        <v>1551601426059342</v>
      </c>
      <c r="C4301" t="s">
        <v>40</v>
      </c>
      <c r="D4301">
        <v>5.7095010000000004</v>
      </c>
      <c r="E4301">
        <v>0.51833090000000004</v>
      </c>
      <c r="F4301" t="s">
        <v>42</v>
      </c>
      <c r="G4301">
        <v>-307.45150000000001</v>
      </c>
      <c r="H4301">
        <v>1.0250729999999999</v>
      </c>
      <c r="I4301">
        <v>141.4315</v>
      </c>
      <c r="J4301">
        <v>-307.44049999999999</v>
      </c>
      <c r="K4301">
        <v>1.121176</v>
      </c>
      <c r="L4301">
        <v>141.3878</v>
      </c>
      <c r="M4301">
        <v>-0.99983659999999996</v>
      </c>
      <c r="N4301">
        <v>-1.481506E-2</v>
      </c>
      <c r="O4301">
        <v>-1.0355899999999999E-2</v>
      </c>
      <c r="P4301">
        <v>-0.98231429999999997</v>
      </c>
      <c r="Q4301">
        <v>0.18724009999999999</v>
      </c>
      <c r="R4301">
        <v>3.1278000000000002E-4</v>
      </c>
      <c r="S4301">
        <v>-3.1293950000000001</v>
      </c>
      <c r="T4301">
        <v>-0.39233489999999999</v>
      </c>
      <c r="U4301">
        <v>0.14427190000000001</v>
      </c>
      <c r="V4301">
        <v>1.033768E-2</v>
      </c>
      <c r="W4301">
        <v>0.2017795</v>
      </c>
      <c r="X4301">
        <v>0.97937640000000004</v>
      </c>
      <c r="Y4301">
        <v>5.5845550000000001E-2</v>
      </c>
      <c r="Z4301">
        <v>5.0407769999999998E-3</v>
      </c>
      <c r="AA4301">
        <v>0.9984267</v>
      </c>
      <c r="AB4301">
        <v>37</v>
      </c>
      <c r="AC4301">
        <v>-1.10000000000241E-2</v>
      </c>
      <c r="AD4301">
        <v>-9.6102999999999994E-2</v>
      </c>
      <c r="AE4301">
        <v>4.3700000000001099E-2</v>
      </c>
      <c r="AF4301">
        <v>7.8966785847347804E-3</v>
      </c>
      <c r="AG4301">
        <v>-9.6102999999999994E-2</v>
      </c>
      <c r="AH4301">
        <v>1.90097554530602E-3</v>
      </c>
      <c r="AI4301">
        <v>175.169054427199</v>
      </c>
      <c r="AJ4301">
        <v>13.5353302984858</v>
      </c>
      <c r="AK4301">
        <v>9.6445621205394599E-2</v>
      </c>
      <c r="AL4301">
        <v>78.358961135321394</v>
      </c>
      <c r="AM4301">
        <v>89.395244322788699</v>
      </c>
      <c r="AN4301">
        <v>0.99999998356249598</v>
      </c>
    </row>
    <row r="4302" spans="1:40" x14ac:dyDescent="0.25">
      <c r="A4302" t="str">
        <f>"20190303162346111"</f>
        <v>20190303162346111</v>
      </c>
      <c r="B4302" t="str">
        <f>"1551601426099359"</f>
        <v>1551601426099359</v>
      </c>
      <c r="C4302" t="s">
        <v>40</v>
      </c>
      <c r="D4302">
        <v>5.5244949999999999</v>
      </c>
      <c r="E4302">
        <v>0.51774039999999999</v>
      </c>
      <c r="F4302" t="s">
        <v>42</v>
      </c>
      <c r="G4302">
        <v>-308.4237</v>
      </c>
      <c r="H4302">
        <v>1.0030159999999999</v>
      </c>
      <c r="I4302">
        <v>141.43289999999999</v>
      </c>
      <c r="J4302">
        <v>-308.16550000000001</v>
      </c>
      <c r="K4302">
        <v>1.1211979999999999</v>
      </c>
      <c r="L4302">
        <v>141.37960000000001</v>
      </c>
      <c r="M4302">
        <v>-0.99982990000000005</v>
      </c>
      <c r="N4302">
        <v>-1.4808490000000001E-2</v>
      </c>
      <c r="O4302">
        <v>-1.0989270000000001E-2</v>
      </c>
      <c r="P4302">
        <v>-0.98191399999999995</v>
      </c>
      <c r="Q4302">
        <v>0.18932560000000001</v>
      </c>
      <c r="R4302">
        <v>-9.2395859999999999E-4</v>
      </c>
      <c r="S4302">
        <v>-3.1255799999999998</v>
      </c>
      <c r="T4302">
        <v>-0.37562879999999998</v>
      </c>
      <c r="U4302">
        <v>0.14306640000000001</v>
      </c>
      <c r="V4302">
        <v>9.7180719999999995E-3</v>
      </c>
      <c r="W4302">
        <v>0.20385220000000001</v>
      </c>
      <c r="X4302">
        <v>0.97895339999999997</v>
      </c>
      <c r="Y4302">
        <v>5.6186760000000002E-2</v>
      </c>
      <c r="Z4302">
        <v>4.9335070000000002E-3</v>
      </c>
      <c r="AA4302">
        <v>0.99840810000000002</v>
      </c>
      <c r="AB4302">
        <v>37</v>
      </c>
      <c r="AC4302">
        <v>-0.25819999999998799</v>
      </c>
      <c r="AD4302">
        <v>-0.118182</v>
      </c>
      <c r="AE4302">
        <v>5.3299999999978802E-2</v>
      </c>
      <c r="AF4302">
        <v>4.674214134739E-2</v>
      </c>
      <c r="AG4302">
        <v>-0.118182</v>
      </c>
      <c r="AH4302">
        <v>0.21449743269329899</v>
      </c>
      <c r="AI4302">
        <v>118.295263725791</v>
      </c>
      <c r="AJ4302">
        <v>77.706594887761497</v>
      </c>
      <c r="AK4302">
        <v>0.24932100098819501</v>
      </c>
      <c r="AL4302">
        <v>78.237683340350301</v>
      </c>
      <c r="AM4302">
        <v>89.431243385519295</v>
      </c>
      <c r="AN4302">
        <v>0.99999995986989698</v>
      </c>
    </row>
    <row r="4303" spans="1:40" x14ac:dyDescent="0.25">
      <c r="A4303" t="str">
        <f>"20190303162346135"</f>
        <v>20190303162346135</v>
      </c>
      <c r="B4303" t="str">
        <f>"1551601426129614"</f>
        <v>1551601426129614</v>
      </c>
      <c r="C4303" t="s">
        <v>40</v>
      </c>
      <c r="D4303">
        <v>5.4073880000000001</v>
      </c>
      <c r="E4303">
        <v>0.51724550000000002</v>
      </c>
      <c r="F4303" t="s">
        <v>42</v>
      </c>
      <c r="G4303">
        <v>-309.0849</v>
      </c>
      <c r="H4303">
        <v>1.0184089999999999</v>
      </c>
      <c r="I4303">
        <v>141.4188</v>
      </c>
      <c r="J4303">
        <v>-308.52800000000002</v>
      </c>
      <c r="K4303">
        <v>1.1212059999999999</v>
      </c>
      <c r="L4303">
        <v>141.37520000000001</v>
      </c>
      <c r="M4303">
        <v>-0.99982660000000001</v>
      </c>
      <c r="N4303">
        <v>-1.4804990000000001E-2</v>
      </c>
      <c r="O4303">
        <v>-1.1306419999999999E-2</v>
      </c>
      <c r="P4303">
        <v>-0.9815062</v>
      </c>
      <c r="Q4303">
        <v>0.19142480000000001</v>
      </c>
      <c r="R4303">
        <v>-1.6338349999999999E-3</v>
      </c>
      <c r="S4303">
        <v>-3.1227109999999998</v>
      </c>
      <c r="T4303">
        <v>-0.3491592</v>
      </c>
      <c r="U4303">
        <v>0.13278199999999901</v>
      </c>
      <c r="V4303">
        <v>9.3140419999999998E-3</v>
      </c>
      <c r="W4303">
        <v>0.20594170000000001</v>
      </c>
      <c r="X4303">
        <v>0.9785199</v>
      </c>
      <c r="Y4303">
        <v>5.3348600000000003E-2</v>
      </c>
      <c r="Z4303">
        <v>4.4613359999999998E-3</v>
      </c>
      <c r="AA4303">
        <v>0.99856599999999995</v>
      </c>
      <c r="AB4303">
        <v>37</v>
      </c>
      <c r="AC4303">
        <v>-0.55689999999998396</v>
      </c>
      <c r="AD4303">
        <v>-0.102796999999999</v>
      </c>
      <c r="AE4303">
        <v>4.35999999999978E-2</v>
      </c>
      <c r="AF4303">
        <v>4.8260112726860503E-2</v>
      </c>
      <c r="AG4303">
        <v>-0.102796999999999</v>
      </c>
      <c r="AH4303">
        <v>0.538146970462687</v>
      </c>
      <c r="AI4303">
        <v>100.772167229464</v>
      </c>
      <c r="AJ4303">
        <v>84.875519151499105</v>
      </c>
      <c r="AK4303">
        <v>0.54999856682320303</v>
      </c>
      <c r="AL4303">
        <v>78.115368757010899</v>
      </c>
      <c r="AM4303">
        <v>89.454646572885395</v>
      </c>
      <c r="AN4303">
        <v>0.99999996493663801</v>
      </c>
    </row>
    <row r="4304" spans="1:40" x14ac:dyDescent="0.25">
      <c r="A4304" t="str">
        <f>"20190303162346155"</f>
        <v>20190303162346155</v>
      </c>
      <c r="B4304" t="str">
        <f>"1551601426149135"</f>
        <v>1551601426149135</v>
      </c>
      <c r="C4304" t="s">
        <v>40</v>
      </c>
      <c r="D4304">
        <v>5.3466110000000002</v>
      </c>
      <c r="E4304">
        <v>0.50867099999999998</v>
      </c>
      <c r="F4304" t="s">
        <v>42</v>
      </c>
      <c r="G4304">
        <v>-309.41550000000001</v>
      </c>
      <c r="H4304">
        <v>1.0272380000000001</v>
      </c>
      <c r="I4304">
        <v>141.4111</v>
      </c>
      <c r="J4304">
        <v>-308.90300000000002</v>
      </c>
      <c r="K4304">
        <v>1.1212040000000001</v>
      </c>
      <c r="L4304">
        <v>141.3707</v>
      </c>
      <c r="M4304">
        <v>-0.99982269999999895</v>
      </c>
      <c r="N4304">
        <v>-1.48013E-2</v>
      </c>
      <c r="O4304">
        <v>-1.1634419999999999E-2</v>
      </c>
      <c r="P4304">
        <v>-0.98137940000000001</v>
      </c>
      <c r="Q4304">
        <v>0.19207630000000001</v>
      </c>
      <c r="R4304">
        <v>-1.099011E-3</v>
      </c>
      <c r="S4304">
        <v>-3.121216</v>
      </c>
      <c r="T4304">
        <v>-0.33053779999999999</v>
      </c>
      <c r="U4304">
        <v>0.12551880000000001</v>
      </c>
      <c r="V4304">
        <v>1.016915E-2</v>
      </c>
      <c r="W4304">
        <v>0.20658789999999999</v>
      </c>
      <c r="X4304">
        <v>0.9783752</v>
      </c>
      <c r="Y4304">
        <v>5.1430179999999999E-2</v>
      </c>
      <c r="Z4304">
        <v>4.1530439999999998E-3</v>
      </c>
      <c r="AA4304">
        <v>0.998668</v>
      </c>
      <c r="AB4304">
        <v>37</v>
      </c>
      <c r="AC4304">
        <v>-0.51249999999998797</v>
      </c>
      <c r="AD4304">
        <v>-9.3966000000000202E-2</v>
      </c>
      <c r="AE4304">
        <v>4.04000000000053E-2</v>
      </c>
      <c r="AF4304">
        <v>4.48617723734899E-2</v>
      </c>
      <c r="AG4304">
        <v>-9.3966000000000202E-2</v>
      </c>
      <c r="AH4304">
        <v>0.495442973276711</v>
      </c>
      <c r="AI4304">
        <v>100.696450696311</v>
      </c>
      <c r="AJ4304">
        <v>84.826045047934699</v>
      </c>
      <c r="AK4304">
        <v>0.50626665656130099</v>
      </c>
      <c r="AL4304">
        <v>78.077531005917194</v>
      </c>
      <c r="AM4304">
        <v>89.404493904064495</v>
      </c>
      <c r="AN4304">
        <v>1.00000000200658</v>
      </c>
    </row>
    <row r="4305" spans="1:40" x14ac:dyDescent="0.25">
      <c r="A4305" t="str">
        <f>"20190303162346177"</f>
        <v>20190303162346177</v>
      </c>
      <c r="B4305" t="str">
        <f>"1551601426168655"</f>
        <v>1551601426168655</v>
      </c>
      <c r="C4305" t="s">
        <v>40</v>
      </c>
      <c r="D4305">
        <v>5.3149389999999999</v>
      </c>
      <c r="E4305">
        <v>0.50738479999999997</v>
      </c>
      <c r="F4305" t="s">
        <v>41</v>
      </c>
      <c r="G4305">
        <v>-332.7251</v>
      </c>
      <c r="H4305" s="1">
        <v>-4.0089139999999998E-6</v>
      </c>
      <c r="I4305">
        <v>141.83199999999999</v>
      </c>
      <c r="J4305">
        <v>-309.25689999999997</v>
      </c>
      <c r="K4305">
        <v>1.121205</v>
      </c>
      <c r="L4305">
        <v>141.3663</v>
      </c>
      <c r="M4305">
        <v>-0.99981920000000002</v>
      </c>
      <c r="N4305">
        <v>-1.479783E-2</v>
      </c>
      <c r="O4305">
        <v>-1.194431E-2</v>
      </c>
      <c r="P4305">
        <v>-0.98147819999999997</v>
      </c>
      <c r="Q4305">
        <v>0.19157299999999999</v>
      </c>
      <c r="R4305">
        <v>-6.2213739999999996E-4</v>
      </c>
      <c r="S4305">
        <v>-3.085388</v>
      </c>
      <c r="T4305">
        <v>-0.14521619999999999</v>
      </c>
      <c r="U4305">
        <v>5.9753420000000002E-2</v>
      </c>
      <c r="V4305">
        <v>1.0952089999999999E-2</v>
      </c>
      <c r="W4305">
        <v>0.20608299999999999</v>
      </c>
      <c r="X4305">
        <v>0.97847320000000004</v>
      </c>
      <c r="Y4305">
        <v>3.1253259999999998E-2</v>
      </c>
      <c r="Z4305">
        <v>1.3515840000000001E-3</v>
      </c>
      <c r="AA4305">
        <v>0.99951060000000003</v>
      </c>
      <c r="AB4305">
        <v>36</v>
      </c>
      <c r="AC4305">
        <v>-23.4682</v>
      </c>
      <c r="AD4305">
        <v>-1.1212090089139899</v>
      </c>
      <c r="AE4305">
        <v>0.465699999999998</v>
      </c>
      <c r="AF4305">
        <v>0.74431068142041401</v>
      </c>
      <c r="AG4305">
        <v>-1.1212090089139899</v>
      </c>
      <c r="AH4305">
        <v>23.407555375974798</v>
      </c>
      <c r="AI4305">
        <v>92.740957023599705</v>
      </c>
      <c r="AJ4305">
        <v>88.178729236407406</v>
      </c>
      <c r="AK4305">
        <v>23.44620985813</v>
      </c>
      <c r="AL4305">
        <v>78.107095541669196</v>
      </c>
      <c r="AM4305">
        <v>89.358712808697902</v>
      </c>
      <c r="AN4305">
        <v>0.99999997714130295</v>
      </c>
    </row>
    <row r="4306" spans="1:40" x14ac:dyDescent="0.25">
      <c r="A4306" t="str">
        <f>"20190303162346198"</f>
        <v>20190303162346198</v>
      </c>
      <c r="B4306" t="str">
        <f>"1551601426189151"</f>
        <v>1551601426189151</v>
      </c>
      <c r="C4306" t="s">
        <v>40</v>
      </c>
      <c r="D4306">
        <v>5.2589489999999897</v>
      </c>
      <c r="E4306">
        <v>0.49165789999999998</v>
      </c>
      <c r="F4306" t="s">
        <v>41</v>
      </c>
      <c r="G4306">
        <v>-333.4624</v>
      </c>
      <c r="H4306" s="1">
        <v>-3.6418609999999998E-6</v>
      </c>
      <c r="I4306">
        <v>141.76240000000001</v>
      </c>
      <c r="J4306">
        <v>-309.60039999999998</v>
      </c>
      <c r="K4306">
        <v>1.1211990000000001</v>
      </c>
      <c r="L4306">
        <v>141.36189999999999</v>
      </c>
      <c r="M4306">
        <v>-0.99981560000000003</v>
      </c>
      <c r="N4306">
        <v>-1.4794399999999999E-2</v>
      </c>
      <c r="O4306">
        <v>-1.224478E-2</v>
      </c>
      <c r="P4306">
        <v>-0.9816532</v>
      </c>
      <c r="Q4306">
        <v>0.19067429999999999</v>
      </c>
      <c r="R4306">
        <v>-4.8949289999999999E-4</v>
      </c>
      <c r="S4306">
        <v>-3.0845639999999999</v>
      </c>
      <c r="T4306">
        <v>-0.1428787</v>
      </c>
      <c r="U4306">
        <v>5.0476069999999998E-2</v>
      </c>
      <c r="V4306">
        <v>1.138261E-2</v>
      </c>
      <c r="W4306">
        <v>0.20518429999999999</v>
      </c>
      <c r="X4306">
        <v>0.9786572</v>
      </c>
      <c r="Y4306">
        <v>2.8558670000000001E-2</v>
      </c>
      <c r="Z4306">
        <v>1.2582190000000001E-3</v>
      </c>
      <c r="AA4306">
        <v>0.99959140000000002</v>
      </c>
      <c r="AB4306">
        <v>36</v>
      </c>
      <c r="AC4306">
        <v>-23.861999999999998</v>
      </c>
      <c r="AD4306">
        <v>-1.1212026418609999</v>
      </c>
      <c r="AE4306">
        <v>0.40050000000002201</v>
      </c>
      <c r="AF4306">
        <v>0.691161384969324</v>
      </c>
      <c r="AG4306">
        <v>-1.1212026418609999</v>
      </c>
      <c r="AH4306">
        <v>23.802769772326801</v>
      </c>
      <c r="AI4306">
        <v>92.695725187983598</v>
      </c>
      <c r="AJ4306">
        <v>88.3367689309746</v>
      </c>
      <c r="AK4306">
        <v>23.839183045116801</v>
      </c>
      <c r="AL4306">
        <v>78.159712450483894</v>
      </c>
      <c r="AM4306">
        <v>89.333631728032799</v>
      </c>
      <c r="AN4306">
        <v>1.0000000379443701</v>
      </c>
    </row>
    <row r="4307" spans="1:40" x14ac:dyDescent="0.25">
      <c r="A4307" t="str">
        <f>"20190303162346221"</f>
        <v>20190303162346221</v>
      </c>
      <c r="B4307" t="str">
        <f>"1551601426209178"</f>
        <v>1551601426209178</v>
      </c>
      <c r="C4307" t="s">
        <v>40</v>
      </c>
      <c r="D4307">
        <v>5.1914049999999996</v>
      </c>
      <c r="E4307">
        <v>0.4915351</v>
      </c>
      <c r="F4307" t="s">
        <v>41</v>
      </c>
      <c r="G4307">
        <v>-355.75150000000002</v>
      </c>
      <c r="H4307" s="1">
        <v>-1.972241E-6</v>
      </c>
      <c r="I4307">
        <v>140.24510000000001</v>
      </c>
      <c r="J4307">
        <v>-309.97289999999998</v>
      </c>
      <c r="K4307">
        <v>1.121192</v>
      </c>
      <c r="L4307">
        <v>141.357</v>
      </c>
      <c r="M4307">
        <v>-0.99981160000000002</v>
      </c>
      <c r="N4307">
        <v>-1.4790599999999999E-2</v>
      </c>
      <c r="O4307">
        <v>-1.2570639999999999E-2</v>
      </c>
      <c r="P4307">
        <v>-0.98178270000000001</v>
      </c>
      <c r="Q4307">
        <v>0.19000449999999999</v>
      </c>
      <c r="R4307">
        <v>-9.0613680000000004E-4</v>
      </c>
      <c r="S4307">
        <v>-3.0704959999999999</v>
      </c>
      <c r="T4307">
        <v>-7.4595090000000003E-2</v>
      </c>
      <c r="U4307">
        <v>-7.4295040000000007E-2</v>
      </c>
      <c r="V4307">
        <v>1.1288380000000001E-2</v>
      </c>
      <c r="W4307">
        <v>0.20451220000000001</v>
      </c>
      <c r="X4307">
        <v>0.97879890000000003</v>
      </c>
      <c r="Y4307">
        <v>-1.161416E-2</v>
      </c>
      <c r="Z4307">
        <v>-1.075889E-4</v>
      </c>
      <c r="AA4307">
        <v>0.9999325</v>
      </c>
      <c r="AB4307">
        <v>36</v>
      </c>
      <c r="AC4307">
        <v>-45.778599999999997</v>
      </c>
      <c r="AD4307">
        <v>-1.121193972241</v>
      </c>
      <c r="AE4307">
        <v>-1.1118999999999899</v>
      </c>
      <c r="AF4307">
        <v>-0.53596157271017597</v>
      </c>
      <c r="AG4307">
        <v>-1.121193972241</v>
      </c>
      <c r="AH4307">
        <v>45.7615274211336</v>
      </c>
      <c r="AI4307">
        <v>91.403415355406693</v>
      </c>
      <c r="AJ4307">
        <v>90.671020698672606</v>
      </c>
      <c r="AK4307">
        <v>45.778397991257599</v>
      </c>
      <c r="AL4307">
        <v>78.1990545279549</v>
      </c>
      <c r="AM4307">
        <v>89.3392433742614</v>
      </c>
      <c r="AN4307">
        <v>0.99999997705653698</v>
      </c>
    </row>
    <row r="4308" spans="1:40" x14ac:dyDescent="0.25">
      <c r="A4308" t="str">
        <f>"20190303162346244"</f>
        <v>20190303162346244</v>
      </c>
      <c r="B4308" t="str">
        <f>"1551601426239434"</f>
        <v>1551601426239434</v>
      </c>
      <c r="C4308" t="s">
        <v>40</v>
      </c>
      <c r="D4308">
        <v>5.1965859999999999</v>
      </c>
      <c r="E4308">
        <v>0.49147839999999998</v>
      </c>
      <c r="F4308" t="s">
        <v>41</v>
      </c>
      <c r="G4308">
        <v>-353.90440000000001</v>
      </c>
      <c r="H4308" s="1">
        <v>-2.772236E-6</v>
      </c>
      <c r="I4308">
        <v>140.27369999999999</v>
      </c>
      <c r="J4308">
        <v>-310.33699999999999</v>
      </c>
      <c r="K4308">
        <v>1.121192</v>
      </c>
      <c r="L4308">
        <v>141.35210000000001</v>
      </c>
      <c r="M4308">
        <v>-0.99980760000000002</v>
      </c>
      <c r="N4308">
        <v>-1.478692E-2</v>
      </c>
      <c r="O4308">
        <v>-1.288947E-2</v>
      </c>
      <c r="P4308">
        <v>-0.98183229999999999</v>
      </c>
      <c r="Q4308">
        <v>0.18974650000000001</v>
      </c>
      <c r="R4308">
        <v>-1.227683E-3</v>
      </c>
      <c r="S4308">
        <v>-3.07077</v>
      </c>
      <c r="T4308">
        <v>-7.8370449999999994E-2</v>
      </c>
      <c r="U4308">
        <v>-7.5714110000000001E-2</v>
      </c>
      <c r="V4308">
        <v>1.128118E-2</v>
      </c>
      <c r="W4308">
        <v>0.2042513</v>
      </c>
      <c r="X4308">
        <v>0.97885350000000004</v>
      </c>
      <c r="Y4308">
        <v>-1.1754590000000001E-2</v>
      </c>
      <c r="Z4308" s="1">
        <v>-9.8638400000000001E-5</v>
      </c>
      <c r="AA4308">
        <v>0.99993089999999996</v>
      </c>
      <c r="AB4308">
        <v>36</v>
      </c>
      <c r="AC4308">
        <v>-43.567399999999999</v>
      </c>
      <c r="AD4308">
        <v>-1.1211947722360001</v>
      </c>
      <c r="AE4308">
        <v>-1.07840000000001</v>
      </c>
      <c r="AF4308">
        <v>-0.51634654961978199</v>
      </c>
      <c r="AG4308">
        <v>-1.1211947722360001</v>
      </c>
      <c r="AH4308">
        <v>43.548857780567303</v>
      </c>
      <c r="AI4308">
        <v>91.474689161218095</v>
      </c>
      <c r="AJ4308">
        <v>90.679308099863405</v>
      </c>
      <c r="AK4308">
        <v>43.566348314595601</v>
      </c>
      <c r="AL4308">
        <v>78.214325816685502</v>
      </c>
      <c r="AM4308">
        <v>89.339701613318297</v>
      </c>
      <c r="AN4308">
        <v>1.00000001651806</v>
      </c>
    </row>
    <row r="4309" spans="1:40" x14ac:dyDescent="0.25">
      <c r="A4309" t="str">
        <f>"20190303162346266"</f>
        <v>20190303162346266</v>
      </c>
      <c r="B4309" t="str">
        <f>"1551601426258954"</f>
        <v>1551601426258954</v>
      </c>
      <c r="C4309" t="s">
        <v>40</v>
      </c>
      <c r="D4309">
        <v>4.8020300000000002</v>
      </c>
      <c r="E4309">
        <v>0.49186190000000002</v>
      </c>
      <c r="F4309" t="s">
        <v>41</v>
      </c>
      <c r="G4309">
        <v>-354.03039999999999</v>
      </c>
      <c r="H4309" s="1">
        <v>-2.7147859999999999E-6</v>
      </c>
      <c r="I4309">
        <v>140.261</v>
      </c>
      <c r="J4309">
        <v>-310.70499999999998</v>
      </c>
      <c r="K4309">
        <v>1.1211949999999999</v>
      </c>
      <c r="L4309">
        <v>141.34700000000001</v>
      </c>
      <c r="M4309">
        <v>-0.99980349999999996</v>
      </c>
      <c r="N4309">
        <v>-1.478319E-2</v>
      </c>
      <c r="O4309">
        <v>-1.320875E-2</v>
      </c>
      <c r="P4309">
        <v>-0.9816684</v>
      </c>
      <c r="Q4309">
        <v>0.1905877</v>
      </c>
      <c r="R4309">
        <v>-1.9817810000000002E-3</v>
      </c>
      <c r="S4309">
        <v>-3.0706479999999998</v>
      </c>
      <c r="T4309">
        <v>-7.879448E-2</v>
      </c>
      <c r="U4309">
        <v>-7.6675419999999994E-2</v>
      </c>
      <c r="V4309">
        <v>1.0839029999999999E-2</v>
      </c>
      <c r="W4309">
        <v>0.2050863</v>
      </c>
      <c r="X4309">
        <v>0.97868390000000005</v>
      </c>
      <c r="Y4309">
        <v>-1.174909E-2</v>
      </c>
      <c r="Z4309" s="1">
        <v>-9.4013690000000003E-5</v>
      </c>
      <c r="AA4309">
        <v>0.99993100000000001</v>
      </c>
      <c r="AB4309">
        <v>36</v>
      </c>
      <c r="AC4309">
        <v>-43.325400000000002</v>
      </c>
      <c r="AD4309">
        <v>-1.1211977147859999</v>
      </c>
      <c r="AE4309">
        <v>-1.0860000000000101</v>
      </c>
      <c r="AF4309">
        <v>-0.51322484164272497</v>
      </c>
      <c r="AG4309">
        <v>-1.1211977147859999</v>
      </c>
      <c r="AH4309">
        <v>43.306981360472001</v>
      </c>
      <c r="AI4309">
        <v>91.482925861761402</v>
      </c>
      <c r="AJ4309">
        <v>90.678972303243995</v>
      </c>
      <c r="AK4309">
        <v>43.324532526156403</v>
      </c>
      <c r="AL4309">
        <v>78.165449293087804</v>
      </c>
      <c r="AM4309">
        <v>89.365468990120206</v>
      </c>
      <c r="AN4309">
        <v>1.0000000255691199</v>
      </c>
    </row>
    <row r="4310" spans="1:40" x14ac:dyDescent="0.25">
      <c r="A4310" t="str">
        <f>"20190303162346290"</f>
        <v>20190303162346290</v>
      </c>
      <c r="B4310" t="str">
        <f>"1551601426279451"</f>
        <v>1551601426279451</v>
      </c>
      <c r="C4310" t="s">
        <v>40</v>
      </c>
      <c r="D4310">
        <v>4.7774349999999997</v>
      </c>
      <c r="E4310">
        <v>0.4920602</v>
      </c>
      <c r="F4310" t="s">
        <v>41</v>
      </c>
      <c r="G4310">
        <v>-356.56740000000002</v>
      </c>
      <c r="H4310" s="1">
        <v>-1.6099400000000001E-6</v>
      </c>
      <c r="I4310">
        <v>140.19890000000001</v>
      </c>
      <c r="J4310">
        <v>-311.08159999999998</v>
      </c>
      <c r="K4310">
        <v>1.1211990000000001</v>
      </c>
      <c r="L4310">
        <v>141.3417</v>
      </c>
      <c r="M4310">
        <v>-0.99979929999999995</v>
      </c>
      <c r="N4310">
        <v>-1.477941E-2</v>
      </c>
      <c r="O4310">
        <v>-1.3532290000000001E-2</v>
      </c>
      <c r="P4310">
        <v>-0.98186580000000001</v>
      </c>
      <c r="Q4310">
        <v>0.18956120000000001</v>
      </c>
      <c r="R4310">
        <v>-2.4747110000000001E-3</v>
      </c>
      <c r="S4310">
        <v>-3.0704349999999998</v>
      </c>
      <c r="T4310">
        <v>-7.5062989999999996E-2</v>
      </c>
      <c r="U4310">
        <v>-7.685852E-2</v>
      </c>
      <c r="V4310">
        <v>1.066864E-2</v>
      </c>
      <c r="W4310">
        <v>0.20405899999999999</v>
      </c>
      <c r="X4310">
        <v>0.97890049999999995</v>
      </c>
      <c r="Y4310">
        <v>-1.1487270000000001E-2</v>
      </c>
      <c r="Z4310" s="1">
        <v>-9.4576179999999996E-5</v>
      </c>
      <c r="AA4310">
        <v>0.99993399999999999</v>
      </c>
      <c r="AB4310">
        <v>36</v>
      </c>
      <c r="AC4310">
        <v>-45.485799999999998</v>
      </c>
      <c r="AD4310">
        <v>-1.12120060994</v>
      </c>
      <c r="AE4310">
        <v>-1.14279999999999</v>
      </c>
      <c r="AF4310">
        <v>-0.52678125481628102</v>
      </c>
      <c r="AG4310">
        <v>-1.12120060994</v>
      </c>
      <c r="AH4310">
        <v>45.469490886598201</v>
      </c>
      <c r="AI4310">
        <v>91.412435861890401</v>
      </c>
      <c r="AJ4310">
        <v>90.663763586964393</v>
      </c>
      <c r="AK4310">
        <v>45.486362690201901</v>
      </c>
      <c r="AL4310">
        <v>78.225581148016701</v>
      </c>
      <c r="AM4310">
        <v>89.375581231332603</v>
      </c>
      <c r="AN4310">
        <v>1.0000000421303401</v>
      </c>
    </row>
    <row r="4311" spans="1:40" x14ac:dyDescent="0.25">
      <c r="A4311" t="str">
        <f>"20190303162346314"</f>
        <v>20190303162346314</v>
      </c>
      <c r="B4311" t="str">
        <f>"1551601426298971"</f>
        <v>1551601426298971</v>
      </c>
      <c r="C4311" t="s">
        <v>40</v>
      </c>
      <c r="D4311">
        <v>4.8927759999999996</v>
      </c>
      <c r="E4311">
        <v>0.49212139999999999</v>
      </c>
      <c r="F4311" t="s">
        <v>41</v>
      </c>
      <c r="G4311">
        <v>-356.8023</v>
      </c>
      <c r="H4311" s="1">
        <v>-1.506487E-6</v>
      </c>
      <c r="I4311">
        <v>140.18889999999999</v>
      </c>
      <c r="J4311">
        <v>-311.46170000000001</v>
      </c>
      <c r="K4311">
        <v>1.121189</v>
      </c>
      <c r="L4311">
        <v>141.33619999999999</v>
      </c>
      <c r="M4311">
        <v>-0.99979490000000004</v>
      </c>
      <c r="N4311">
        <v>-1.4775659999999999E-2</v>
      </c>
      <c r="O4311">
        <v>-1.385379E-2</v>
      </c>
      <c r="P4311">
        <v>-0.98214449999999998</v>
      </c>
      <c r="Q4311">
        <v>0.18808749999999999</v>
      </c>
      <c r="R4311">
        <v>-3.9171600000000003E-3</v>
      </c>
      <c r="S4311">
        <v>-3.0697329999999998</v>
      </c>
      <c r="T4311">
        <v>-7.5278639999999994E-2</v>
      </c>
      <c r="U4311">
        <v>-7.7392580000000002E-2</v>
      </c>
      <c r="V4311">
        <v>9.5491180000000005E-3</v>
      </c>
      <c r="W4311">
        <v>0.20258499999999999</v>
      </c>
      <c r="X4311">
        <v>0.97921809999999998</v>
      </c>
      <c r="Y4311">
        <v>-1.134537E-2</v>
      </c>
      <c r="Z4311" s="1">
        <v>-8.7995610000000002E-5</v>
      </c>
      <c r="AA4311">
        <v>0.99993560000000004</v>
      </c>
      <c r="AB4311">
        <v>36</v>
      </c>
      <c r="AC4311">
        <v>-45.340600000000002</v>
      </c>
      <c r="AD4311">
        <v>-1.121190506487</v>
      </c>
      <c r="AE4311">
        <v>-1.1473</v>
      </c>
      <c r="AF4311">
        <v>-0.518665217883301</v>
      </c>
      <c r="AG4311">
        <v>-1.121190506487</v>
      </c>
      <c r="AH4311">
        <v>45.324446586948397</v>
      </c>
      <c r="AI4311">
        <v>91.4169435580353</v>
      </c>
      <c r="AJ4311">
        <v>90.655629205253604</v>
      </c>
      <c r="AK4311">
        <v>45.341278545859502</v>
      </c>
      <c r="AL4311">
        <v>78.311836083121506</v>
      </c>
      <c r="AM4311">
        <v>89.441281960433798</v>
      </c>
      <c r="AN4311">
        <v>0.99999997762359305</v>
      </c>
    </row>
    <row r="4312" spans="1:40" x14ac:dyDescent="0.25">
      <c r="A4312" t="str">
        <f>"20190303162346334"</f>
        <v>20190303162346334</v>
      </c>
      <c r="B4312" t="str">
        <f>"1551601426319000"</f>
        <v>1551601426319000</v>
      </c>
      <c r="C4312" t="s">
        <v>40</v>
      </c>
      <c r="D4312">
        <v>4.886215</v>
      </c>
      <c r="E4312">
        <v>0.4923187</v>
      </c>
      <c r="F4312" t="s">
        <v>41</v>
      </c>
      <c r="G4312">
        <v>-354.86860000000001</v>
      </c>
      <c r="H4312" s="1">
        <v>-2.3404960000000002E-6</v>
      </c>
      <c r="I4312">
        <v>140.2056</v>
      </c>
      <c r="J4312">
        <v>-311.79820000000001</v>
      </c>
      <c r="K4312">
        <v>1.1211880000000001</v>
      </c>
      <c r="L4312">
        <v>141.3313</v>
      </c>
      <c r="M4312">
        <v>-0.99979110000000004</v>
      </c>
      <c r="N4312">
        <v>-1.4772220000000001E-2</v>
      </c>
      <c r="O4312">
        <v>-1.413297E-2</v>
      </c>
      <c r="P4312">
        <v>-0.98211470000000001</v>
      </c>
      <c r="Q4312">
        <v>0.18820880000000001</v>
      </c>
      <c r="R4312">
        <v>-5.3400130000000002E-3</v>
      </c>
      <c r="S4312">
        <v>-3.0694270000000001</v>
      </c>
      <c r="T4312">
        <v>-7.928288E-2</v>
      </c>
      <c r="U4312">
        <v>-7.9940800000000006E-2</v>
      </c>
      <c r="V4312">
        <v>8.4025950000000005E-3</v>
      </c>
      <c r="W4312">
        <v>0.2027022</v>
      </c>
      <c r="X4312">
        <v>0.97920439999999997</v>
      </c>
      <c r="Y4312">
        <v>-1.1897690000000001E-2</v>
      </c>
      <c r="Z4312" s="1">
        <v>-8.5373830000000001E-5</v>
      </c>
      <c r="AA4312">
        <v>0.99992919999999996</v>
      </c>
      <c r="AB4312">
        <v>36</v>
      </c>
      <c r="AC4312">
        <v>-43.070399999999999</v>
      </c>
      <c r="AD4312">
        <v>-1.12119034049599</v>
      </c>
      <c r="AE4312">
        <v>-1.1256999999999899</v>
      </c>
      <c r="AF4312">
        <v>-0.51645877368204895</v>
      </c>
      <c r="AG4312">
        <v>-1.12119034049599</v>
      </c>
      <c r="AH4312">
        <v>43.052854062263698</v>
      </c>
      <c r="AI4312">
        <v>91.491662772944906</v>
      </c>
      <c r="AJ4312">
        <v>90.687282861789697</v>
      </c>
      <c r="AK4312">
        <v>43.070547249264401</v>
      </c>
      <c r="AL4312">
        <v>78.304979262602401</v>
      </c>
      <c r="AM4312">
        <v>89.508354523004797</v>
      </c>
      <c r="AN4312">
        <v>1.0000000212334601</v>
      </c>
    </row>
    <row r="4313" spans="1:40" x14ac:dyDescent="0.25">
      <c r="A4313" t="str">
        <f>"20190303162346357"</f>
        <v>20190303162346357</v>
      </c>
      <c r="B4313" t="str">
        <f>"1551601426349256"</f>
        <v>1551601426349256</v>
      </c>
      <c r="C4313" t="s">
        <v>40</v>
      </c>
      <c r="D4313">
        <v>4.7474959999999999</v>
      </c>
      <c r="E4313">
        <v>0.49244690000000002</v>
      </c>
      <c r="F4313" t="s">
        <v>41</v>
      </c>
      <c r="G4313">
        <v>-356.11239999999998</v>
      </c>
      <c r="H4313" s="1">
        <v>-1.7922679999999999E-6</v>
      </c>
      <c r="I4313">
        <v>140.1507</v>
      </c>
      <c r="J4313">
        <v>-312.15289999999999</v>
      </c>
      <c r="K4313">
        <v>1.1211880000000001</v>
      </c>
      <c r="L4313">
        <v>141.32589999999999</v>
      </c>
      <c r="M4313">
        <v>-0.99978710000000004</v>
      </c>
      <c r="N4313">
        <v>-1.476857E-2</v>
      </c>
      <c r="O4313">
        <v>-1.441577E-2</v>
      </c>
      <c r="P4313">
        <v>-0.98182230000000004</v>
      </c>
      <c r="Q4313">
        <v>0.1896891</v>
      </c>
      <c r="R4313">
        <v>-6.5768859999999997E-3</v>
      </c>
      <c r="S4313">
        <v>-3.0690309999999998</v>
      </c>
      <c r="T4313">
        <v>-7.7649239999999994E-2</v>
      </c>
      <c r="U4313">
        <v>-8.1756590000000004E-2</v>
      </c>
      <c r="V4313">
        <v>7.4423739999999999E-3</v>
      </c>
      <c r="W4313">
        <v>0.20417379999999999</v>
      </c>
      <c r="X4313">
        <v>0.97890639999999995</v>
      </c>
      <c r="Y4313">
        <v>-1.2209390000000001E-2</v>
      </c>
      <c r="Z4313" s="1">
        <v>-9.2897210000000003E-5</v>
      </c>
      <c r="AA4313">
        <v>0.99992539999999996</v>
      </c>
      <c r="AB4313">
        <v>36</v>
      </c>
      <c r="AC4313">
        <v>-43.959499999999899</v>
      </c>
      <c r="AD4313">
        <v>-1.1211897922680001</v>
      </c>
      <c r="AE4313">
        <v>-1.17519999999998</v>
      </c>
      <c r="AF4313">
        <v>-0.54094710798933998</v>
      </c>
      <c r="AG4313">
        <v>-1.1211897922680001</v>
      </c>
      <c r="AH4313">
        <v>43.943309248816099</v>
      </c>
      <c r="AI4313">
        <v>91.461443079905294</v>
      </c>
      <c r="AJ4313">
        <v>90.705281903017394</v>
      </c>
      <c r="AK4313">
        <v>43.960938548454799</v>
      </c>
      <c r="AL4313">
        <v>78.218862046706903</v>
      </c>
      <c r="AM4313">
        <v>89.564403293130297</v>
      </c>
      <c r="AN4313">
        <v>1.0000000347490701</v>
      </c>
    </row>
    <row r="4314" spans="1:40" x14ac:dyDescent="0.25">
      <c r="A4314" t="str">
        <f>"20190303162346378"</f>
        <v>20190303162346378</v>
      </c>
      <c r="B4314" t="str">
        <f>"1551601426368775"</f>
        <v>1551601426368775</v>
      </c>
      <c r="C4314" t="s">
        <v>40</v>
      </c>
      <c r="D4314">
        <v>4.8663319999999999</v>
      </c>
      <c r="E4314">
        <v>0.49249860000000001</v>
      </c>
      <c r="F4314" t="s">
        <v>41</v>
      </c>
      <c r="G4314">
        <v>-359.56130000000002</v>
      </c>
      <c r="H4314" s="1">
        <v>-2.7717370000000001E-7</v>
      </c>
      <c r="I4314">
        <v>140.0172</v>
      </c>
      <c r="J4314">
        <v>-312.51409999999998</v>
      </c>
      <c r="K4314">
        <v>1.1211770000000001</v>
      </c>
      <c r="L4314">
        <v>141.32040000000001</v>
      </c>
      <c r="M4314">
        <v>-0.99978319999999998</v>
      </c>
      <c r="N4314">
        <v>-1.476479E-2</v>
      </c>
      <c r="O4314">
        <v>-1.468321E-2</v>
      </c>
      <c r="P4314">
        <v>-0.98163800000000001</v>
      </c>
      <c r="Q4314">
        <v>0.19060270000000001</v>
      </c>
      <c r="R4314">
        <v>-7.5757819999999997E-3</v>
      </c>
      <c r="S4314">
        <v>-3.069</v>
      </c>
      <c r="T4314">
        <v>-7.2580459999999999E-2</v>
      </c>
      <c r="U4314">
        <v>-8.4716799999999995E-2</v>
      </c>
      <c r="V4314">
        <v>6.7098339999999996E-3</v>
      </c>
      <c r="W4314">
        <v>0.20508019999999999</v>
      </c>
      <c r="X4314">
        <v>0.97872219999999999</v>
      </c>
      <c r="Y4314">
        <v>-1.2906050000000001E-2</v>
      </c>
      <c r="Z4314">
        <v>-1.1754410000000001E-4</v>
      </c>
      <c r="AA4314">
        <v>0.99991669999999999</v>
      </c>
      <c r="AB4314">
        <v>36</v>
      </c>
      <c r="AC4314">
        <v>-47.047199999999997</v>
      </c>
      <c r="AD4314">
        <v>-1.1211772771736901</v>
      </c>
      <c r="AE4314">
        <v>-1.3031999999999999</v>
      </c>
      <c r="AF4314">
        <v>-0.61183306573723395</v>
      </c>
      <c r="AG4314">
        <v>-1.1211772771736901</v>
      </c>
      <c r="AH4314">
        <v>47.034573239346599</v>
      </c>
      <c r="AI4314">
        <v>91.365402668812493</v>
      </c>
      <c r="AJ4314">
        <v>90.745270403251396</v>
      </c>
      <c r="AK4314">
        <v>47.0519123734056</v>
      </c>
      <c r="AL4314">
        <v>78.165806411187205</v>
      </c>
      <c r="AM4314">
        <v>89.607202997403704</v>
      </c>
      <c r="AN4314">
        <v>1.0000000275385901</v>
      </c>
    </row>
    <row r="4315" spans="1:40" x14ac:dyDescent="0.25">
      <c r="A4315" t="str">
        <f>"20190303162346400"</f>
        <v>20190303162346400</v>
      </c>
      <c r="B4315" t="str">
        <f>"1551601426389271"</f>
        <v>1551601426389271</v>
      </c>
      <c r="C4315" t="s">
        <v>40</v>
      </c>
      <c r="D4315">
        <v>4.8396889999999999</v>
      </c>
      <c r="E4315">
        <v>0.4924731</v>
      </c>
      <c r="F4315" t="s">
        <v>41</v>
      </c>
      <c r="G4315">
        <v>-362.5958</v>
      </c>
      <c r="H4315" s="1">
        <v>-3.2326569999999999E-6</v>
      </c>
      <c r="I4315">
        <v>139.89420000000001</v>
      </c>
      <c r="J4315">
        <v>-312.85180000000003</v>
      </c>
      <c r="K4315">
        <v>1.121157</v>
      </c>
      <c r="L4315">
        <v>141.31530000000001</v>
      </c>
      <c r="M4315">
        <v>-0.99978009999999995</v>
      </c>
      <c r="N4315">
        <v>-1.476122E-2</v>
      </c>
      <c r="O4315">
        <v>-1.4907149999999999E-2</v>
      </c>
      <c r="P4315">
        <v>-0.98157559999999999</v>
      </c>
      <c r="Q4315">
        <v>0.19086439999999999</v>
      </c>
      <c r="R4315">
        <v>-8.9677369999999999E-3</v>
      </c>
      <c r="S4315">
        <v>-3.0688170000000001</v>
      </c>
      <c r="T4315">
        <v>-6.8701739999999997E-2</v>
      </c>
      <c r="U4315">
        <v>-8.7387080000000006E-2</v>
      </c>
      <c r="V4315">
        <v>5.5468760000000001E-3</v>
      </c>
      <c r="W4315">
        <v>0.2053364</v>
      </c>
      <c r="X4315">
        <v>0.97867570000000004</v>
      </c>
      <c r="Y4315">
        <v>-1.355319E-2</v>
      </c>
      <c r="Z4315">
        <v>-1.381683E-4</v>
      </c>
      <c r="AA4315">
        <v>0.99990809999999997</v>
      </c>
      <c r="AB4315">
        <v>36</v>
      </c>
      <c r="AC4315">
        <v>-49.7439999999999</v>
      </c>
      <c r="AD4315">
        <v>-1.121160232657</v>
      </c>
      <c r="AE4315">
        <v>-1.42109999999999</v>
      </c>
      <c r="AF4315">
        <v>-0.67897548974444299</v>
      </c>
      <c r="AG4315">
        <v>-1.121160232657</v>
      </c>
      <c r="AH4315">
        <v>49.734414299641898</v>
      </c>
      <c r="AI4315">
        <v>91.291276670293101</v>
      </c>
      <c r="AJ4315">
        <v>90.782154850387798</v>
      </c>
      <c r="AK4315">
        <v>49.751683124406902</v>
      </c>
      <c r="AL4315">
        <v>78.1508072952345</v>
      </c>
      <c r="AM4315">
        <v>89.675266095508803</v>
      </c>
      <c r="AN4315">
        <v>0.99999996538440405</v>
      </c>
    </row>
    <row r="4316" spans="1:40" x14ac:dyDescent="0.25">
      <c r="A4316" t="str">
        <f>"20190303162346426"</f>
        <v>20190303162346426</v>
      </c>
      <c r="B4316" t="str">
        <f>"1551601426419527"</f>
        <v>1551601426419527</v>
      </c>
      <c r="C4316" t="s">
        <v>40</v>
      </c>
      <c r="D4316">
        <v>4.8591920000000002</v>
      </c>
      <c r="E4316">
        <v>0.4925891</v>
      </c>
      <c r="F4316" t="s">
        <v>41</v>
      </c>
      <c r="G4316">
        <v>-364.46690000000001</v>
      </c>
      <c r="H4316" s="1">
        <v>-2.3995839999999998E-6</v>
      </c>
      <c r="I4316">
        <v>139.78</v>
      </c>
      <c r="J4316">
        <v>-313.2697</v>
      </c>
      <c r="K4316">
        <v>1.1211199999999999</v>
      </c>
      <c r="L4316">
        <v>141.30879999999999</v>
      </c>
      <c r="M4316">
        <v>-0.99977660000000002</v>
      </c>
      <c r="N4316">
        <v>-1.4756740000000001E-2</v>
      </c>
      <c r="O4316">
        <v>-1.513953E-2</v>
      </c>
      <c r="P4316">
        <v>-0.98171459999999999</v>
      </c>
      <c r="Q4316">
        <v>0.19006919999999999</v>
      </c>
      <c r="R4316">
        <v>-1.049601E-2</v>
      </c>
      <c r="S4316">
        <v>-3.068451</v>
      </c>
      <c r="T4316">
        <v>-6.6651580000000002E-2</v>
      </c>
      <c r="U4316">
        <v>-9.1262819999999995E-2</v>
      </c>
      <c r="V4316">
        <v>4.2660160000000001E-3</v>
      </c>
      <c r="W4316">
        <v>0.20453830000000001</v>
      </c>
      <c r="X4316">
        <v>0.97884919999999997</v>
      </c>
      <c r="Y4316">
        <v>-1.4585860000000001E-2</v>
      </c>
      <c r="Z4316">
        <v>-1.606995E-4</v>
      </c>
      <c r="AA4316">
        <v>0.99989360000000005</v>
      </c>
      <c r="AB4316">
        <v>36</v>
      </c>
      <c r="AC4316">
        <v>-51.197200000000002</v>
      </c>
      <c r="AD4316">
        <v>-1.1211223995840001</v>
      </c>
      <c r="AE4316">
        <v>-1.52879999999998</v>
      </c>
      <c r="AF4316">
        <v>-0.75307807851675901</v>
      </c>
      <c r="AG4316">
        <v>-1.1211223995840001</v>
      </c>
      <c r="AH4316">
        <v>51.189953752965899</v>
      </c>
      <c r="AI4316">
        <v>91.254511147043502</v>
      </c>
      <c r="AJ4316">
        <v>90.842842784155593</v>
      </c>
      <c r="AK4316">
        <v>51.207767059870697</v>
      </c>
      <c r="AL4316">
        <v>78.197526319040406</v>
      </c>
      <c r="AM4316">
        <v>89.750295382956295</v>
      </c>
      <c r="AN4316">
        <v>0.99999993570001899</v>
      </c>
    </row>
    <row r="4317" spans="1:40" x14ac:dyDescent="0.25">
      <c r="A4317" t="str">
        <f>"20190303162346444"</f>
        <v>20190303162346444</v>
      </c>
      <c r="B4317" t="str">
        <f>"1551601426439047"</f>
        <v>1551601426439047</v>
      </c>
      <c r="C4317" t="s">
        <v>40</v>
      </c>
      <c r="D4317">
        <v>4.8356279999999998</v>
      </c>
      <c r="E4317">
        <v>0.49570690000000001</v>
      </c>
      <c r="F4317" t="s">
        <v>41</v>
      </c>
      <c r="G4317">
        <v>-363.1465</v>
      </c>
      <c r="H4317" s="1">
        <v>-2.9654929999999998E-6</v>
      </c>
      <c r="I4317">
        <v>139.77799999999999</v>
      </c>
      <c r="J4317">
        <v>-313.5684</v>
      </c>
      <c r="K4317">
        <v>1.121089</v>
      </c>
      <c r="L4317">
        <v>141.30410000000001</v>
      </c>
      <c r="M4317">
        <v>-0.99977450000000001</v>
      </c>
      <c r="N4317">
        <v>-1.475341E-2</v>
      </c>
      <c r="O4317">
        <v>-1.527333E-2</v>
      </c>
      <c r="P4317">
        <v>-0.98181070000000004</v>
      </c>
      <c r="Q4317">
        <v>0.18954560000000001</v>
      </c>
      <c r="R4317">
        <v>-1.0966500000000001E-2</v>
      </c>
      <c r="S4317">
        <v>-3.0682369999999999</v>
      </c>
      <c r="T4317">
        <v>-6.8967459999999994E-2</v>
      </c>
      <c r="U4317">
        <v>-9.4161990000000001E-2</v>
      </c>
      <c r="V4317">
        <v>3.942765E-3</v>
      </c>
      <c r="W4317">
        <v>0.20401269999999999</v>
      </c>
      <c r="X4317">
        <v>0.97896030000000001</v>
      </c>
      <c r="Y4317">
        <v>-1.539747E-2</v>
      </c>
      <c r="Z4317">
        <v>-1.6877299999999999E-4</v>
      </c>
      <c r="AA4317">
        <v>0.99988140000000003</v>
      </c>
      <c r="AB4317">
        <v>36</v>
      </c>
      <c r="AC4317">
        <v>-49.578099999999999</v>
      </c>
      <c r="AD4317">
        <v>-1.1210919654930001</v>
      </c>
      <c r="AE4317">
        <v>-1.52610000000001</v>
      </c>
      <c r="AF4317">
        <v>-0.76822439544687104</v>
      </c>
      <c r="AG4317">
        <v>-1.1210919654930001</v>
      </c>
      <c r="AH4317">
        <v>49.570304039508301</v>
      </c>
      <c r="AI4317">
        <v>91.295436502168897</v>
      </c>
      <c r="AJ4317">
        <v>90.887880214725101</v>
      </c>
      <c r="AK4317">
        <v>49.588930806039201</v>
      </c>
      <c r="AL4317">
        <v>78.228290421282296</v>
      </c>
      <c r="AM4317">
        <v>89.769242355712606</v>
      </c>
      <c r="AN4317">
        <v>0.99999999806661199</v>
      </c>
    </row>
    <row r="4318" spans="1:40" x14ac:dyDescent="0.25">
      <c r="A4318" t="str">
        <f>"20190303162346467"</f>
        <v>20190303162346467</v>
      </c>
      <c r="B4318" t="str">
        <f>"1551601426459543"</f>
        <v>1551601426459543</v>
      </c>
      <c r="C4318" t="s">
        <v>40</v>
      </c>
      <c r="D4318">
        <v>4.7255209999999996</v>
      </c>
      <c r="E4318">
        <v>0.49467840000000002</v>
      </c>
      <c r="F4318" t="s">
        <v>41</v>
      </c>
      <c r="G4318">
        <v>-343.63569999999999</v>
      </c>
      <c r="H4318" s="1">
        <v>-2.977074E-6</v>
      </c>
      <c r="I4318">
        <v>140.6104</v>
      </c>
      <c r="J4318">
        <v>-313.93950000000001</v>
      </c>
      <c r="K4318">
        <v>1.121059</v>
      </c>
      <c r="L4318">
        <v>141.29830000000001</v>
      </c>
      <c r="M4318">
        <v>-0.99977249999999995</v>
      </c>
      <c r="N4318">
        <v>-1.474936E-2</v>
      </c>
      <c r="O4318">
        <v>-1.540212E-2</v>
      </c>
      <c r="P4318">
        <v>-0.98162720000000003</v>
      </c>
      <c r="Q4318">
        <v>0.1904999</v>
      </c>
      <c r="R4318">
        <v>-1.0865730000000001E-2</v>
      </c>
      <c r="S4318">
        <v>-3.0769039999999999</v>
      </c>
      <c r="T4318">
        <v>-0.1147262</v>
      </c>
      <c r="U4318">
        <v>-7.0983889999999994E-2</v>
      </c>
      <c r="V4318">
        <v>4.1839750000000004E-3</v>
      </c>
      <c r="W4318">
        <v>0.2049598</v>
      </c>
      <c r="X4318">
        <v>0.9787614</v>
      </c>
      <c r="Y4318">
        <v>-7.6578130000000003E-3</v>
      </c>
      <c r="Z4318">
        <v>1.476374E-4</v>
      </c>
      <c r="AA4318">
        <v>0.99997069999999999</v>
      </c>
      <c r="AB4318">
        <v>36</v>
      </c>
      <c r="AC4318">
        <v>-29.696199999999902</v>
      </c>
      <c r="AD4318">
        <v>-1.121061977074</v>
      </c>
      <c r="AE4318">
        <v>-0.68790000000001295</v>
      </c>
      <c r="AF4318">
        <v>-0.23005646133177199</v>
      </c>
      <c r="AG4318">
        <v>-1.121061977074</v>
      </c>
      <c r="AH4318">
        <v>29.661024512994999</v>
      </c>
      <c r="AI4318">
        <v>92.164444156125398</v>
      </c>
      <c r="AJ4318">
        <v>90.4443878857371</v>
      </c>
      <c r="AK4318">
        <v>29.683094196736501</v>
      </c>
      <c r="AL4318">
        <v>78.172853630779997</v>
      </c>
      <c r="AM4318">
        <v>89.755075497567105</v>
      </c>
      <c r="AN4318">
        <v>0.99999995169639899</v>
      </c>
    </row>
    <row r="4319" spans="1:40" x14ac:dyDescent="0.25">
      <c r="A4319" t="str">
        <f>"20190303162346489"</f>
        <v>20190303162346489</v>
      </c>
      <c r="B4319" t="str">
        <f>"1551601426479062"</f>
        <v>1551601426479062</v>
      </c>
      <c r="C4319" t="s">
        <v>40</v>
      </c>
      <c r="D4319">
        <v>4.7810420000000002</v>
      </c>
      <c r="E4319">
        <v>0.49551430000000002</v>
      </c>
      <c r="F4319" t="s">
        <v>41</v>
      </c>
      <c r="G4319">
        <v>-345.12759999999997</v>
      </c>
      <c r="H4319" s="1">
        <v>-2.3048010000000002E-6</v>
      </c>
      <c r="I4319">
        <v>140.48910000000001</v>
      </c>
      <c r="J4319">
        <v>-314.29219999999998</v>
      </c>
      <c r="K4319">
        <v>1.1210329999999999</v>
      </c>
      <c r="L4319">
        <v>141.2927</v>
      </c>
      <c r="M4319">
        <v>-0.99977139999999998</v>
      </c>
      <c r="N4319">
        <v>-1.474541E-2</v>
      </c>
      <c r="O4319">
        <v>-1.5489019999999999E-2</v>
      </c>
      <c r="P4319">
        <v>-0.98140570000000005</v>
      </c>
      <c r="Q4319">
        <v>0.19162570000000001</v>
      </c>
      <c r="R4319">
        <v>-1.10712E-2</v>
      </c>
      <c r="S4319">
        <v>-3.076721</v>
      </c>
      <c r="T4319">
        <v>-0.1105937</v>
      </c>
      <c r="U4319">
        <v>-7.9818730000000004E-2</v>
      </c>
      <c r="V4319">
        <v>4.0754830000000004E-3</v>
      </c>
      <c r="W4319">
        <v>0.20607790000000001</v>
      </c>
      <c r="X4319">
        <v>0.97852709999999998</v>
      </c>
      <c r="Y4319">
        <v>-1.043943E-2</v>
      </c>
      <c r="Z4319" s="1">
        <v>6.3547619999999996E-5</v>
      </c>
      <c r="AA4319">
        <v>0.99994550000000004</v>
      </c>
      <c r="AB4319">
        <v>36</v>
      </c>
      <c r="AC4319">
        <v>-30.8354</v>
      </c>
      <c r="AD4319">
        <v>-1.121035304801</v>
      </c>
      <c r="AE4319">
        <v>-0.80359999999998799</v>
      </c>
      <c r="AF4319">
        <v>-0.32541175298775799</v>
      </c>
      <c r="AG4319">
        <v>-1.121035304801</v>
      </c>
      <c r="AH4319">
        <v>30.803462531998999</v>
      </c>
      <c r="AI4319">
        <v>92.084138367583606</v>
      </c>
      <c r="AJ4319">
        <v>90.605257493001901</v>
      </c>
      <c r="AK4319">
        <v>30.8255724508703</v>
      </c>
      <c r="AL4319">
        <v>78.107394410849807</v>
      </c>
      <c r="AM4319">
        <v>89.761369281231396</v>
      </c>
      <c r="AN4319">
        <v>0.99999999793225103</v>
      </c>
    </row>
    <row r="4320" spans="1:40" x14ac:dyDescent="0.25">
      <c r="A4320" t="str">
        <f>"20190303162346512"</f>
        <v>20190303162346512</v>
      </c>
      <c r="B4320" t="str">
        <f>"1551601426499559"</f>
        <v>1551601426499559</v>
      </c>
      <c r="C4320" t="s">
        <v>40</v>
      </c>
      <c r="D4320">
        <v>4.9828710000000003</v>
      </c>
      <c r="E4320">
        <v>0.49427549999999998</v>
      </c>
      <c r="F4320" t="s">
        <v>41</v>
      </c>
      <c r="G4320">
        <v>-346.0154</v>
      </c>
      <c r="H4320" s="1">
        <v>-1.9350110000000002E-6</v>
      </c>
      <c r="I4320">
        <v>140.5307</v>
      </c>
      <c r="J4320">
        <v>-314.65210000000002</v>
      </c>
      <c r="K4320">
        <v>1.1210089999999999</v>
      </c>
      <c r="L4320">
        <v>141.28710000000001</v>
      </c>
      <c r="M4320">
        <v>-0.99977059999999995</v>
      </c>
      <c r="N4320">
        <v>-1.4741489999999999E-2</v>
      </c>
      <c r="O4320">
        <v>-1.5545450000000001E-2</v>
      </c>
      <c r="P4320">
        <v>-0.98109809999999997</v>
      </c>
      <c r="Q4320">
        <v>0.19319349999999999</v>
      </c>
      <c r="R4320">
        <v>-1.1113029999999999E-2</v>
      </c>
      <c r="S4320">
        <v>-3.0772400000000002</v>
      </c>
      <c r="T4320">
        <v>-0.1087441</v>
      </c>
      <c r="U4320">
        <v>-7.3913569999999998E-2</v>
      </c>
      <c r="V4320">
        <v>4.0983809999999999E-3</v>
      </c>
      <c r="W4320">
        <v>0.20763699999999999</v>
      </c>
      <c r="X4320">
        <v>0.97819730000000005</v>
      </c>
      <c r="Y4320">
        <v>-8.4627680000000007E-3</v>
      </c>
      <c r="Z4320">
        <v>1.08059E-4</v>
      </c>
      <c r="AA4320">
        <v>0.99996419999999997</v>
      </c>
      <c r="AB4320">
        <v>36</v>
      </c>
      <c r="AC4320">
        <v>-31.363299999999899</v>
      </c>
      <c r="AD4320">
        <v>-1.121010935011</v>
      </c>
      <c r="AE4320">
        <v>-0.75640000000001295</v>
      </c>
      <c r="AF4320">
        <v>-0.26835639881519502</v>
      </c>
      <c r="AG4320">
        <v>-1.121010935011</v>
      </c>
      <c r="AH4320">
        <v>31.3312653274516</v>
      </c>
      <c r="AI4320">
        <v>92.049054037161397</v>
      </c>
      <c r="AJ4320">
        <v>90.490733869791001</v>
      </c>
      <c r="AK4320">
        <v>31.352461907996499</v>
      </c>
      <c r="AL4320">
        <v>78.016089014264097</v>
      </c>
      <c r="AM4320">
        <v>89.759947650483994</v>
      </c>
      <c r="AN4320">
        <v>0.99999993911155305</v>
      </c>
    </row>
    <row r="4321" spans="1:40" x14ac:dyDescent="0.25">
      <c r="A4321" t="str">
        <f>"20190303162346534"</f>
        <v>20190303162346534</v>
      </c>
      <c r="B4321" t="str">
        <f>"1551601426528840"</f>
        <v>1551601426528840</v>
      </c>
      <c r="C4321" t="s">
        <v>40</v>
      </c>
      <c r="D4321">
        <v>4.9801589999999996</v>
      </c>
      <c r="E4321">
        <v>0.46634910000000002</v>
      </c>
      <c r="F4321" t="s">
        <v>41</v>
      </c>
      <c r="G4321">
        <v>-350.13810000000001</v>
      </c>
      <c r="H4321" s="1">
        <v>-4.3527970000000002E-6</v>
      </c>
      <c r="I4321">
        <v>140.3141</v>
      </c>
      <c r="J4321">
        <v>-315.0147</v>
      </c>
      <c r="K4321">
        <v>1.120994</v>
      </c>
      <c r="L4321">
        <v>141.28139999999999</v>
      </c>
      <c r="M4321">
        <v>-0.99977009999999999</v>
      </c>
      <c r="N4321">
        <v>-1.473754E-2</v>
      </c>
      <c r="O4321">
        <v>-1.55768E-2</v>
      </c>
      <c r="P4321">
        <v>-0.98088509999999995</v>
      </c>
      <c r="Q4321">
        <v>0.1943156</v>
      </c>
      <c r="R4321">
        <v>-1.029215E-2</v>
      </c>
      <c r="S4321">
        <v>-3.0759889999999999</v>
      </c>
      <c r="T4321">
        <v>-9.7171430000000003E-2</v>
      </c>
      <c r="U4321">
        <v>-8.433533E-2</v>
      </c>
      <c r="V4321">
        <v>4.9586140000000001E-3</v>
      </c>
      <c r="W4321">
        <v>0.20875170000000001</v>
      </c>
      <c r="X4321">
        <v>0.97795609999999999</v>
      </c>
      <c r="Y4321">
        <v>-1.1824599999999999E-2</v>
      </c>
      <c r="Z4321" s="1">
        <v>-1.157745E-5</v>
      </c>
      <c r="AA4321">
        <v>0.99993010000000004</v>
      </c>
      <c r="AB4321">
        <v>36</v>
      </c>
      <c r="AC4321">
        <v>-35.123399999999997</v>
      </c>
      <c r="AD4321">
        <v>-1.120998352797</v>
      </c>
      <c r="AE4321">
        <v>-0.96729999999999405</v>
      </c>
      <c r="AF4321">
        <v>-0.41958595838874602</v>
      </c>
      <c r="AG4321">
        <v>-1.120998352797</v>
      </c>
      <c r="AH4321">
        <v>35.098481475655497</v>
      </c>
      <c r="AI4321">
        <v>91.829197773287106</v>
      </c>
      <c r="AJ4321">
        <v>90.684911666537005</v>
      </c>
      <c r="AK4321">
        <v>35.118885113004197</v>
      </c>
      <c r="AL4321">
        <v>77.950791252408493</v>
      </c>
      <c r="AM4321">
        <v>89.709490825014896</v>
      </c>
      <c r="AN4321">
        <v>0.99999999681645002</v>
      </c>
    </row>
    <row r="4322" spans="1:40" x14ac:dyDescent="0.25">
      <c r="A4322" t="str">
        <f>"20190303162346557"</f>
        <v>20190303162346557</v>
      </c>
      <c r="B4322" t="str">
        <f>"1551601426549337"</f>
        <v>1551601426549337</v>
      </c>
      <c r="C4322" t="s">
        <v>40</v>
      </c>
      <c r="D4322">
        <v>5.0349680000000001</v>
      </c>
      <c r="E4322">
        <v>0.46591349999999998</v>
      </c>
      <c r="F4322" t="s">
        <v>41</v>
      </c>
      <c r="G4322">
        <v>-350.26940000000002</v>
      </c>
      <c r="H4322" s="1">
        <v>-4.4838420000000001E-6</v>
      </c>
      <c r="I4322">
        <v>137.77199999999999</v>
      </c>
      <c r="J4322">
        <v>-315.36329999999998</v>
      </c>
      <c r="K4322">
        <v>1.120978</v>
      </c>
      <c r="L4322">
        <v>141.27600000000001</v>
      </c>
      <c r="M4322">
        <v>-0.99976989999999999</v>
      </c>
      <c r="N4322">
        <v>-1.4733710000000001E-2</v>
      </c>
      <c r="O4322">
        <v>-1.5591209999999999E-2</v>
      </c>
      <c r="P4322">
        <v>-0.980854</v>
      </c>
      <c r="Q4322">
        <v>0.1945654</v>
      </c>
      <c r="R4322">
        <v>-8.3601509999999997E-3</v>
      </c>
      <c r="S4322">
        <v>-3.074646</v>
      </c>
      <c r="T4322">
        <v>-9.7765089999999999E-2</v>
      </c>
      <c r="U4322">
        <v>-0.30606080000000002</v>
      </c>
      <c r="V4322">
        <v>6.9137510000000001E-3</v>
      </c>
      <c r="W4322">
        <v>0.20899699999999999</v>
      </c>
      <c r="X4322">
        <v>0.97789190000000004</v>
      </c>
      <c r="Y4322">
        <v>-8.3466579999999999E-2</v>
      </c>
      <c r="Z4322">
        <v>-1.6749429999999999E-3</v>
      </c>
      <c r="AA4322">
        <v>0.99650919999999998</v>
      </c>
      <c r="AB4322">
        <v>36</v>
      </c>
      <c r="AC4322">
        <v>-34.906100000000002</v>
      </c>
      <c r="AD4322">
        <v>-1.1209824838419999</v>
      </c>
      <c r="AE4322">
        <v>-3.5039999999999898</v>
      </c>
      <c r="AF4322">
        <v>-2.9562681320099</v>
      </c>
      <c r="AG4322">
        <v>-1.1209824838419999</v>
      </c>
      <c r="AH4322">
        <v>34.920838368409903</v>
      </c>
      <c r="AI4322">
        <v>91.8320531762499</v>
      </c>
      <c r="AJ4322">
        <v>94.838909687646705</v>
      </c>
      <c r="AK4322">
        <v>35.063671732293301</v>
      </c>
      <c r="AL4322">
        <v>77.936420331803106</v>
      </c>
      <c r="AM4322">
        <v>89.594922349960399</v>
      </c>
      <c r="AN4322">
        <v>1.00000005702374</v>
      </c>
    </row>
    <row r="4323" spans="1:40" x14ac:dyDescent="0.25">
      <c r="A4323" t="str">
        <f>"20190303162346578"</f>
        <v>20190303162346578</v>
      </c>
      <c r="B4323" t="str">
        <f>"1551601426568856"</f>
        <v>1551601426568856</v>
      </c>
      <c r="C4323" t="s">
        <v>40</v>
      </c>
      <c r="D4323">
        <v>4.8686309999999997</v>
      </c>
      <c r="E4323">
        <v>0.46549309999999999</v>
      </c>
      <c r="F4323" t="s">
        <v>41</v>
      </c>
      <c r="G4323">
        <v>-349.81150000000002</v>
      </c>
      <c r="H4323" s="1">
        <v>-5.1411890000000003E-7</v>
      </c>
      <c r="I4323">
        <v>137.87270000000001</v>
      </c>
      <c r="J4323">
        <v>-315.70620000000002</v>
      </c>
      <c r="K4323">
        <v>1.120965</v>
      </c>
      <c r="L4323">
        <v>141.2706</v>
      </c>
      <c r="M4323">
        <v>-0.99976989999999999</v>
      </c>
      <c r="N4323">
        <v>-1.472994E-2</v>
      </c>
      <c r="O4323">
        <v>-1.559616E-2</v>
      </c>
      <c r="P4323">
        <v>-0.98081779999999996</v>
      </c>
      <c r="Q4323">
        <v>0.194797</v>
      </c>
      <c r="R4323">
        <v>-7.13424E-3</v>
      </c>
      <c r="S4323">
        <v>-3.0758359999999998</v>
      </c>
      <c r="T4323">
        <v>-0.100091</v>
      </c>
      <c r="U4323">
        <v>-0.30386350000000001</v>
      </c>
      <c r="V4323">
        <v>8.1513239999999997E-3</v>
      </c>
      <c r="W4323">
        <v>0.2092241</v>
      </c>
      <c r="X4323">
        <v>0.97783370000000003</v>
      </c>
      <c r="Y4323">
        <v>-8.2717009999999994E-2</v>
      </c>
      <c r="Z4323">
        <v>-1.6763489999999999E-3</v>
      </c>
      <c r="AA4323">
        <v>0.99657169999999895</v>
      </c>
      <c r="AB4323">
        <v>36</v>
      </c>
      <c r="AC4323">
        <v>-34.1053</v>
      </c>
      <c r="AD4323">
        <v>-1.1209655141189001</v>
      </c>
      <c r="AE4323">
        <v>-3.3978999999999902</v>
      </c>
      <c r="AF4323">
        <v>-2.86245532741935</v>
      </c>
      <c r="AG4323">
        <v>-1.1209655141189001</v>
      </c>
      <c r="AH4323">
        <v>34.117656150818597</v>
      </c>
      <c r="AI4323">
        <v>91.8752423942326</v>
      </c>
      <c r="AJ4323">
        <v>94.795857147793598</v>
      </c>
      <c r="AK4323">
        <v>34.255870670744898</v>
      </c>
      <c r="AL4323">
        <v>77.9231130586018</v>
      </c>
      <c r="AM4323">
        <v>89.522387452105704</v>
      </c>
      <c r="AN4323">
        <v>0.99999995647972495</v>
      </c>
    </row>
    <row r="4324" spans="1:40" x14ac:dyDescent="0.25">
      <c r="A4324" t="str">
        <f>"20190303162346601"</f>
        <v>20190303162346601</v>
      </c>
      <c r="B4324" t="str">
        <f>"1551601426589351"</f>
        <v>1551601426589351</v>
      </c>
      <c r="C4324" t="s">
        <v>40</v>
      </c>
      <c r="D4324">
        <v>4.9681889999999997</v>
      </c>
      <c r="E4324">
        <v>0.465254</v>
      </c>
      <c r="F4324" t="s">
        <v>41</v>
      </c>
      <c r="G4324">
        <v>-349.57709999999997</v>
      </c>
      <c r="H4324" s="1">
        <v>-5.7621009999999999E-7</v>
      </c>
      <c r="I4324">
        <v>137.9391</v>
      </c>
      <c r="J4324">
        <v>-316.06470000000002</v>
      </c>
      <c r="K4324">
        <v>1.120951</v>
      </c>
      <c r="L4324">
        <v>141.26499999999999</v>
      </c>
      <c r="M4324">
        <v>-0.99977000000000005</v>
      </c>
      <c r="N4324">
        <v>-1.4726009999999999E-2</v>
      </c>
      <c r="O4324">
        <v>-1.5595929999999999E-2</v>
      </c>
      <c r="P4324">
        <v>-0.98084059999999995</v>
      </c>
      <c r="Q4324">
        <v>0.19468859999999999</v>
      </c>
      <c r="R4324">
        <v>-6.9548789999999997E-3</v>
      </c>
      <c r="S4324">
        <v>-3.0766909999999998</v>
      </c>
      <c r="T4324">
        <v>-0.10182380000000001</v>
      </c>
      <c r="U4324">
        <v>-0.3026123</v>
      </c>
      <c r="V4324">
        <v>8.3366159999999998E-3</v>
      </c>
      <c r="W4324">
        <v>0.2091112</v>
      </c>
      <c r="X4324">
        <v>0.97785630000000001</v>
      </c>
      <c r="Y4324">
        <v>-8.2287449999999998E-2</v>
      </c>
      <c r="Z4324">
        <v>-1.6801139999999999E-3</v>
      </c>
      <c r="AA4324">
        <v>0.99660720000000003</v>
      </c>
      <c r="AB4324">
        <v>36</v>
      </c>
      <c r="AC4324">
        <v>-33.5123999999999</v>
      </c>
      <c r="AD4324">
        <v>-1.1209515762101001</v>
      </c>
      <c r="AE4324">
        <v>-3.3258999999999901</v>
      </c>
      <c r="AF4324">
        <v>-2.7996799114403799</v>
      </c>
      <c r="AG4324">
        <v>-1.1209515762101001</v>
      </c>
      <c r="AH4324">
        <v>33.523058665936396</v>
      </c>
      <c r="AI4324">
        <v>91.908516367252801</v>
      </c>
      <c r="AJ4324">
        <v>94.773981313450406</v>
      </c>
      <c r="AK4324">
        <v>33.658434342116202</v>
      </c>
      <c r="AL4324">
        <v>77.929728222698998</v>
      </c>
      <c r="AM4324">
        <v>89.511542401067501</v>
      </c>
      <c r="AN4324">
        <v>0.99999996829073001</v>
      </c>
    </row>
    <row r="4325" spans="1:40" x14ac:dyDescent="0.25">
      <c r="A4325" t="str">
        <f>"20190303162346624"</f>
        <v>20190303162346624</v>
      </c>
      <c r="B4325" t="str">
        <f>"1551601426619607"</f>
        <v>1551601426619607</v>
      </c>
      <c r="C4325" t="s">
        <v>40</v>
      </c>
      <c r="D4325">
        <v>5.0260150000000001</v>
      </c>
      <c r="E4325">
        <v>0.46402749999999998</v>
      </c>
      <c r="F4325" t="s">
        <v>41</v>
      </c>
      <c r="G4325">
        <v>-349.25020000000001</v>
      </c>
      <c r="H4325" s="1">
        <v>-6.7223790000000005E-7</v>
      </c>
      <c r="I4325">
        <v>137.99639999999999</v>
      </c>
      <c r="J4325">
        <v>-316.43630000000002</v>
      </c>
      <c r="K4325">
        <v>1.120949</v>
      </c>
      <c r="L4325">
        <v>141.25919999999999</v>
      </c>
      <c r="M4325">
        <v>-0.99977020000000005</v>
      </c>
      <c r="N4325">
        <v>-1.4721929999999999E-2</v>
      </c>
      <c r="O4325">
        <v>-1.5593360000000001E-2</v>
      </c>
      <c r="P4325">
        <v>-0.98092990000000002</v>
      </c>
      <c r="Q4325">
        <v>0.19420570000000001</v>
      </c>
      <c r="R4325">
        <v>-7.8348410000000004E-3</v>
      </c>
      <c r="S4325">
        <v>-3.0770870000000001</v>
      </c>
      <c r="T4325">
        <v>-0.10393910000000001</v>
      </c>
      <c r="U4325">
        <v>-0.30307009999999901</v>
      </c>
      <c r="V4325">
        <v>7.4600450000000002E-3</v>
      </c>
      <c r="W4325">
        <v>0.2086258</v>
      </c>
      <c r="X4325">
        <v>0.97796709999999998</v>
      </c>
      <c r="Y4325">
        <v>-8.2422140000000005E-2</v>
      </c>
      <c r="Z4325">
        <v>-1.7005970000000001E-3</v>
      </c>
      <c r="AA4325">
        <v>0.99659600000000004</v>
      </c>
      <c r="AB4325">
        <v>36</v>
      </c>
      <c r="AC4325">
        <v>-32.813899999999897</v>
      </c>
      <c r="AD4325">
        <v>-1.1209496722379</v>
      </c>
      <c r="AE4325">
        <v>-3.2627999999999902</v>
      </c>
      <c r="AF4325">
        <v>-2.7474940533271202</v>
      </c>
      <c r="AG4325">
        <v>-1.1209496722379</v>
      </c>
      <c r="AH4325">
        <v>32.822864992764401</v>
      </c>
      <c r="AI4325">
        <v>91.949164405863101</v>
      </c>
      <c r="AJ4325">
        <v>94.7848864239823</v>
      </c>
      <c r="AK4325">
        <v>32.956724929428198</v>
      </c>
      <c r="AL4325">
        <v>77.958167387759303</v>
      </c>
      <c r="AM4325">
        <v>89.562949711361597</v>
      </c>
      <c r="AN4325">
        <v>1.0000000126897199</v>
      </c>
    </row>
    <row r="4326" spans="1:40" x14ac:dyDescent="0.25">
      <c r="A4326" t="str">
        <f>"20190303162346645"</f>
        <v>20190303162346645</v>
      </c>
      <c r="B4326" t="str">
        <f>"1551601426639127"</f>
        <v>1551601426639127</v>
      </c>
      <c r="C4326" t="s">
        <v>40</v>
      </c>
      <c r="D4326">
        <v>5.0724729999999996</v>
      </c>
      <c r="E4326">
        <v>0.4635341</v>
      </c>
      <c r="F4326" t="s">
        <v>41</v>
      </c>
      <c r="G4326">
        <v>-334.83300000000003</v>
      </c>
      <c r="H4326" s="1">
        <v>-2.4654510000000001E-6</v>
      </c>
      <c r="I4326">
        <v>139.3768</v>
      </c>
      <c r="J4326">
        <v>-316.78190000000001</v>
      </c>
      <c r="K4326">
        <v>1.1209439999999999</v>
      </c>
      <c r="L4326">
        <v>141.25380000000001</v>
      </c>
      <c r="M4326">
        <v>-0.99977020000000005</v>
      </c>
      <c r="N4326">
        <v>-1.4718119999999999E-2</v>
      </c>
      <c r="O4326">
        <v>-1.559049E-2</v>
      </c>
      <c r="P4326">
        <v>-0.98092959999999996</v>
      </c>
      <c r="Q4326">
        <v>0.1941542</v>
      </c>
      <c r="R4326">
        <v>-9.0381019999999992E-3</v>
      </c>
      <c r="S4326">
        <v>-3.09314</v>
      </c>
      <c r="T4326">
        <v>-0.1884719</v>
      </c>
      <c r="U4326">
        <v>-0.3164978</v>
      </c>
      <c r="V4326">
        <v>6.2570600000000001E-3</v>
      </c>
      <c r="W4326">
        <v>0.2085708</v>
      </c>
      <c r="X4326">
        <v>0.9779873</v>
      </c>
      <c r="Y4326">
        <v>-8.6087399999999994E-2</v>
      </c>
      <c r="Z4326">
        <v>-2.5318129999999999E-3</v>
      </c>
      <c r="AA4326">
        <v>0.99628439999999996</v>
      </c>
      <c r="AB4326">
        <v>36</v>
      </c>
      <c r="AC4326">
        <v>-18.051100000000002</v>
      </c>
      <c r="AD4326">
        <v>-1.120946465451</v>
      </c>
      <c r="AE4326">
        <v>-1.877</v>
      </c>
      <c r="AF4326">
        <v>-1.58925289854032</v>
      </c>
      <c r="AG4326">
        <v>-1.120946465451</v>
      </c>
      <c r="AH4326">
        <v>18.009466440415402</v>
      </c>
      <c r="AI4326">
        <v>93.547861485759498</v>
      </c>
      <c r="AJ4326">
        <v>95.043026657634698</v>
      </c>
      <c r="AK4326">
        <v>18.114169239089499</v>
      </c>
      <c r="AL4326">
        <v>77.961389923238201</v>
      </c>
      <c r="AM4326">
        <v>89.633432623575999</v>
      </c>
      <c r="AN4326">
        <v>1.0000000441868799</v>
      </c>
    </row>
    <row r="4327" spans="1:40" x14ac:dyDescent="0.25">
      <c r="A4327" t="str">
        <f>"20190303162346667"</f>
        <v>20190303162346667</v>
      </c>
      <c r="B4327" t="str">
        <f>"1551601426659623"</f>
        <v>1551601426659623</v>
      </c>
      <c r="C4327" t="s">
        <v>40</v>
      </c>
      <c r="D4327">
        <v>5.2196989999999897</v>
      </c>
      <c r="E4327">
        <v>0.46362969999999998</v>
      </c>
      <c r="F4327" t="s">
        <v>41</v>
      </c>
      <c r="G4327">
        <v>-335.5052</v>
      </c>
      <c r="H4327" s="1">
        <v>-2.1633199999999998E-6</v>
      </c>
      <c r="I4327">
        <v>139.2885</v>
      </c>
      <c r="J4327">
        <v>-317.12369999999999</v>
      </c>
      <c r="K4327">
        <v>1.1209420000000001</v>
      </c>
      <c r="L4327">
        <v>141.2484</v>
      </c>
      <c r="M4327">
        <v>-0.9997703</v>
      </c>
      <c r="N4327">
        <v>-1.4714349999999999E-2</v>
      </c>
      <c r="O4327">
        <v>-1.5588589999999999E-2</v>
      </c>
      <c r="P4327">
        <v>-0.9809871</v>
      </c>
      <c r="Q4327">
        <v>0.19381280000000001</v>
      </c>
      <c r="R4327">
        <v>-1.006161E-2</v>
      </c>
      <c r="S4327">
        <v>-3.092041</v>
      </c>
      <c r="T4327">
        <v>-0.18511739999999999</v>
      </c>
      <c r="U4327">
        <v>-0.32455440000000002</v>
      </c>
      <c r="V4327">
        <v>5.2348680000000002E-3</v>
      </c>
      <c r="W4327">
        <v>0.2082271</v>
      </c>
      <c r="X4327">
        <v>0.97806649999999995</v>
      </c>
      <c r="Y4327">
        <v>-8.8692850000000004E-2</v>
      </c>
      <c r="Z4327">
        <v>-2.599414E-3</v>
      </c>
      <c r="AA4327">
        <v>0.99605560000000004</v>
      </c>
      <c r="AB4327">
        <v>35</v>
      </c>
      <c r="AC4327">
        <v>-18.381499999999999</v>
      </c>
      <c r="AD4327">
        <v>-1.1209441633199999</v>
      </c>
      <c r="AE4327">
        <v>-1.9599</v>
      </c>
      <c r="AF4327">
        <v>-1.6669596815277099</v>
      </c>
      <c r="AG4327">
        <v>-1.1209441633199999</v>
      </c>
      <c r="AH4327">
        <v>18.342375994474001</v>
      </c>
      <c r="AI4327">
        <v>93.482808156130005</v>
      </c>
      <c r="AJ4327">
        <v>95.192789879167506</v>
      </c>
      <c r="AK4327">
        <v>18.452046702731302</v>
      </c>
      <c r="AL4327">
        <v>77.981524066269202</v>
      </c>
      <c r="AM4327">
        <v>89.693340914243294</v>
      </c>
      <c r="AN4327">
        <v>1.00000000371981</v>
      </c>
    </row>
    <row r="4328" spans="1:40" x14ac:dyDescent="0.25">
      <c r="A4328" t="str">
        <f>"20190303162346690"</f>
        <v>20190303162346690</v>
      </c>
      <c r="B4328" t="str">
        <f>"1551601426679144"</f>
        <v>1551601426679144</v>
      </c>
      <c r="C4328" t="s">
        <v>40</v>
      </c>
      <c r="D4328">
        <v>5.1509580000000001</v>
      </c>
      <c r="E4328">
        <v>0.46336149999999998</v>
      </c>
      <c r="F4328" t="s">
        <v>41</v>
      </c>
      <c r="G4328">
        <v>-347.72710000000001</v>
      </c>
      <c r="H4328" s="1">
        <v>-1.2437470000000001E-6</v>
      </c>
      <c r="I4328">
        <v>138.00190000000001</v>
      </c>
      <c r="J4328">
        <v>-317.49189999999999</v>
      </c>
      <c r="K4328">
        <v>1.1209309999999999</v>
      </c>
      <c r="L4328">
        <v>141.24270000000001</v>
      </c>
      <c r="M4328">
        <v>-0.9997703</v>
      </c>
      <c r="N4328">
        <v>-1.4710310000000001E-2</v>
      </c>
      <c r="O4328">
        <v>-1.5587429999999999E-2</v>
      </c>
      <c r="P4328">
        <v>-0.98110120000000001</v>
      </c>
      <c r="Q4328">
        <v>0.19323109999999999</v>
      </c>
      <c r="R4328">
        <v>-1.012266E-2</v>
      </c>
      <c r="S4328">
        <v>-3.077026</v>
      </c>
      <c r="T4328">
        <v>-0.1127056</v>
      </c>
      <c r="U4328">
        <v>-0.32641599999999998</v>
      </c>
      <c r="V4328">
        <v>5.1764539999999996E-3</v>
      </c>
      <c r="W4328">
        <v>0.2076431</v>
      </c>
      <c r="X4328">
        <v>0.97819100000000003</v>
      </c>
      <c r="Y4328">
        <v>-8.9894740000000001E-2</v>
      </c>
      <c r="Z4328">
        <v>-1.9642280000000002E-3</v>
      </c>
      <c r="AA4328">
        <v>0.99594930000000004</v>
      </c>
      <c r="AB4328">
        <v>35</v>
      </c>
      <c r="AC4328">
        <v>-30.235199999999999</v>
      </c>
      <c r="AD4328">
        <v>-1.120932243747</v>
      </c>
      <c r="AE4328">
        <v>-3.2408000000000001</v>
      </c>
      <c r="AF4328">
        <v>-2.7653084823619101</v>
      </c>
      <c r="AG4328">
        <v>-1.120932243747</v>
      </c>
      <c r="AH4328">
        <v>30.240954141162</v>
      </c>
      <c r="AI4328">
        <v>92.113981559834102</v>
      </c>
      <c r="AJ4328">
        <v>95.224739090480398</v>
      </c>
      <c r="AK4328">
        <v>30.387805571734798</v>
      </c>
      <c r="AL4328">
        <v>78.015732981174096</v>
      </c>
      <c r="AM4328">
        <v>89.696801341917805</v>
      </c>
      <c r="AN4328">
        <v>1.0000000425673099</v>
      </c>
    </row>
    <row r="4329" spans="1:40" x14ac:dyDescent="0.25">
      <c r="A4329" t="str">
        <f>"20190303162346714"</f>
        <v>20190303162346714</v>
      </c>
      <c r="B4329" t="str">
        <f>"1551601426709399"</f>
        <v>1551601426709399</v>
      </c>
      <c r="C4329" t="s">
        <v>40</v>
      </c>
      <c r="D4329">
        <v>5.1086169999999997</v>
      </c>
      <c r="E4329">
        <v>0.46455249999999998</v>
      </c>
      <c r="F4329" t="s">
        <v>41</v>
      </c>
      <c r="G4329">
        <v>-347.59879999999998</v>
      </c>
      <c r="H4329" s="1">
        <v>-1.294882E-6</v>
      </c>
      <c r="I4329">
        <v>138.02379999999999</v>
      </c>
      <c r="J4329">
        <v>-317.84969999999998</v>
      </c>
      <c r="K4329">
        <v>1.1209290000000001</v>
      </c>
      <c r="L4329">
        <v>141.2371</v>
      </c>
      <c r="M4329">
        <v>-0.99977039999999995</v>
      </c>
      <c r="N4329">
        <v>-1.470638E-2</v>
      </c>
      <c r="O4329">
        <v>-1.5587230000000001E-2</v>
      </c>
      <c r="P4329">
        <v>-0.98127140000000002</v>
      </c>
      <c r="Q4329">
        <v>0.19239609999999999</v>
      </c>
      <c r="R4329">
        <v>-9.508117E-3</v>
      </c>
      <c r="S4329">
        <v>-3.076965</v>
      </c>
      <c r="T4329">
        <v>-0.1145611</v>
      </c>
      <c r="U4329">
        <v>-0.32896419999999998</v>
      </c>
      <c r="V4329">
        <v>5.7944969999999896E-3</v>
      </c>
      <c r="W4329">
        <v>0.20680670000000001</v>
      </c>
      <c r="X4329">
        <v>0.97836460000000003</v>
      </c>
      <c r="Y4329">
        <v>-9.0709570000000003E-2</v>
      </c>
      <c r="Z4329">
        <v>-2.002766E-3</v>
      </c>
      <c r="AA4329">
        <v>0.99587539999999997</v>
      </c>
      <c r="AB4329">
        <v>35</v>
      </c>
      <c r="AC4329">
        <v>-29.749099999999999</v>
      </c>
      <c r="AD4329">
        <v>-1.1209302948819999</v>
      </c>
      <c r="AE4329">
        <v>-3.2132999999999998</v>
      </c>
      <c r="AF4329">
        <v>-2.7453006709178198</v>
      </c>
      <c r="AG4329">
        <v>-1.1209302948819999</v>
      </c>
      <c r="AH4329">
        <v>29.753821309709501</v>
      </c>
      <c r="AI4329">
        <v>92.148394757673103</v>
      </c>
      <c r="AJ4329">
        <v>95.271593391207702</v>
      </c>
      <c r="AK4329">
        <v>29.9012214304006</v>
      </c>
      <c r="AL4329">
        <v>78.064717227823706</v>
      </c>
      <c r="AM4329">
        <v>89.660661944782206</v>
      </c>
      <c r="AN4329">
        <v>0.99999993894676398</v>
      </c>
    </row>
    <row r="4330" spans="1:40" x14ac:dyDescent="0.25">
      <c r="A4330" t="str">
        <f>"20190303162346735"</f>
        <v>20190303162346735</v>
      </c>
      <c r="B4330" t="str">
        <f>"1551601426728920"</f>
        <v>1551601426728920</v>
      </c>
      <c r="C4330" t="s">
        <v>40</v>
      </c>
      <c r="D4330">
        <v>5.2035109999999998</v>
      </c>
      <c r="E4330">
        <v>0.46229500000000001</v>
      </c>
      <c r="F4330" t="s">
        <v>41</v>
      </c>
      <c r="G4330">
        <v>-334.34890000000001</v>
      </c>
      <c r="H4330" s="1">
        <v>-2.665404E-6</v>
      </c>
      <c r="I4330">
        <v>139.53960000000001</v>
      </c>
      <c r="J4330">
        <v>-318.20260000000002</v>
      </c>
      <c r="K4330">
        <v>1.12093</v>
      </c>
      <c r="L4330">
        <v>141.23159999999999</v>
      </c>
      <c r="M4330">
        <v>-0.99977039999999995</v>
      </c>
      <c r="N4330">
        <v>-1.470251E-2</v>
      </c>
      <c r="O4330">
        <v>-1.558729E-2</v>
      </c>
      <c r="P4330">
        <v>-0.98137229999999998</v>
      </c>
      <c r="Q4330">
        <v>0.19192600000000001</v>
      </c>
      <c r="R4330">
        <v>-8.5336249999999995E-3</v>
      </c>
      <c r="S4330">
        <v>-3.0954280000000001</v>
      </c>
      <c r="T4330">
        <v>-0.21029870000000001</v>
      </c>
      <c r="U4330">
        <v>-0.31848140000000003</v>
      </c>
      <c r="V4330">
        <v>6.7713490000000003E-3</v>
      </c>
      <c r="W4330">
        <v>0.20633409999999999</v>
      </c>
      <c r="X4330">
        <v>0.97845819999999994</v>
      </c>
      <c r="Y4330">
        <v>-8.6608950000000004E-2</v>
      </c>
      <c r="Z4330">
        <v>-2.7439119999999998E-3</v>
      </c>
      <c r="AA4330">
        <v>0.99623859999999997</v>
      </c>
      <c r="AB4330">
        <v>35</v>
      </c>
      <c r="AC4330">
        <v>-16.146299999999901</v>
      </c>
      <c r="AD4330">
        <v>-1.1209326654039999</v>
      </c>
      <c r="AE4330">
        <v>-1.69199999999997</v>
      </c>
      <c r="AF4330">
        <v>-1.43325739957026</v>
      </c>
      <c r="AG4330">
        <v>-1.1209326654039999</v>
      </c>
      <c r="AH4330">
        <v>16.093990101140399</v>
      </c>
      <c r="AI4330">
        <v>93.9685126947534</v>
      </c>
      <c r="AJ4330">
        <v>95.089075693862</v>
      </c>
      <c r="AK4330">
        <v>16.196519199797201</v>
      </c>
      <c r="AL4330">
        <v>78.092393221377193</v>
      </c>
      <c r="AM4330">
        <v>89.603495043632293</v>
      </c>
      <c r="AN4330">
        <v>1.00000003056866</v>
      </c>
    </row>
    <row r="4331" spans="1:40" x14ac:dyDescent="0.25">
      <c r="A4331" t="str">
        <f>"20190303162346757"</f>
        <v>20190303162346757</v>
      </c>
      <c r="B4331" t="str">
        <f>"1551601426749415"</f>
        <v>1551601426749415</v>
      </c>
      <c r="C4331" t="s">
        <v>40</v>
      </c>
      <c r="D4331">
        <v>5.3990710000000002</v>
      </c>
      <c r="E4331">
        <v>0.46266889999999999</v>
      </c>
      <c r="F4331" t="s">
        <v>41</v>
      </c>
      <c r="G4331">
        <v>-334.63819999999998</v>
      </c>
      <c r="H4331" s="1">
        <v>-2.5427989999999998E-6</v>
      </c>
      <c r="I4331">
        <v>139.4599</v>
      </c>
      <c r="J4331">
        <v>-318.53910000000002</v>
      </c>
      <c r="K4331">
        <v>1.120935</v>
      </c>
      <c r="L4331">
        <v>141.22640000000001</v>
      </c>
      <c r="M4331">
        <v>-0.99977039999999995</v>
      </c>
      <c r="N4331">
        <v>-1.4698920000000001E-2</v>
      </c>
      <c r="O4331">
        <v>-1.5587480000000001E-2</v>
      </c>
      <c r="P4331">
        <v>-0.98135209999999995</v>
      </c>
      <c r="Q4331">
        <v>0.1920732</v>
      </c>
      <c r="R4331">
        <v>-7.4798149999999999E-3</v>
      </c>
      <c r="S4331">
        <v>-3.0953369999999998</v>
      </c>
      <c r="T4331">
        <v>-0.21110709999999999</v>
      </c>
      <c r="U4331">
        <v>-0.33366390000000001</v>
      </c>
      <c r="V4331">
        <v>7.8254919999999999E-3</v>
      </c>
      <c r="W4331">
        <v>0.2064773</v>
      </c>
      <c r="X4331">
        <v>0.97842010000000001</v>
      </c>
      <c r="Y4331">
        <v>-9.1428750000000003E-2</v>
      </c>
      <c r="Z4331">
        <v>-2.949854E-3</v>
      </c>
      <c r="AA4331">
        <v>0.9958072</v>
      </c>
      <c r="AB4331">
        <v>35</v>
      </c>
      <c r="AC4331">
        <v>-16.0990999999999</v>
      </c>
      <c r="AD4331">
        <v>-1.120937542799</v>
      </c>
      <c r="AE4331">
        <v>-1.7665</v>
      </c>
      <c r="AF4331">
        <v>-1.50808962015649</v>
      </c>
      <c r="AG4331">
        <v>-1.120937542799</v>
      </c>
      <c r="AH4331">
        <v>16.047808236107802</v>
      </c>
      <c r="AI4331">
        <v>93.978143018476501</v>
      </c>
      <c r="AJ4331">
        <v>95.368592829042697</v>
      </c>
      <c r="AK4331">
        <v>16.1574436239205</v>
      </c>
      <c r="AL4331">
        <v>78.084007566292001</v>
      </c>
      <c r="AM4331">
        <v>89.541752970967806</v>
      </c>
      <c r="AN4331">
        <v>1.0000000029121701</v>
      </c>
    </row>
    <row r="4332" spans="1:40" x14ac:dyDescent="0.25">
      <c r="A4332" t="str">
        <f>"20190303162346779"</f>
        <v>20190303162346779</v>
      </c>
      <c r="B4332" t="str">
        <f>"1551601426768935"</f>
        <v>1551601426768935</v>
      </c>
      <c r="C4332" t="s">
        <v>40</v>
      </c>
      <c r="D4332">
        <v>5.3360190000000003</v>
      </c>
      <c r="E4332">
        <v>0.46236539999999998</v>
      </c>
      <c r="F4332" t="s">
        <v>41</v>
      </c>
      <c r="G4332">
        <v>-336.2962</v>
      </c>
      <c r="H4332" s="1">
        <v>-1.7790489999999999E-6</v>
      </c>
      <c r="I4332">
        <v>139.34700000000001</v>
      </c>
      <c r="J4332">
        <v>-318.88810000000001</v>
      </c>
      <c r="K4332">
        <v>1.1209340000000001</v>
      </c>
      <c r="L4332">
        <v>141.2209</v>
      </c>
      <c r="M4332">
        <v>-0.99977059999999995</v>
      </c>
      <c r="N4332">
        <v>-1.469518E-2</v>
      </c>
      <c r="O4332">
        <v>-1.558768E-2</v>
      </c>
      <c r="P4332">
        <v>-0.98131009999999996</v>
      </c>
      <c r="Q4332">
        <v>0.19231680000000001</v>
      </c>
      <c r="R4332">
        <v>-6.7130330000000002E-3</v>
      </c>
      <c r="S4332">
        <v>-3.0927120000000001</v>
      </c>
      <c r="T4332">
        <v>-0.19523080000000001</v>
      </c>
      <c r="U4332">
        <v>-0.3273315</v>
      </c>
      <c r="V4332">
        <v>8.5923890000000006E-3</v>
      </c>
      <c r="W4332">
        <v>0.2067157</v>
      </c>
      <c r="X4332">
        <v>0.97836330000000005</v>
      </c>
      <c r="Y4332">
        <v>-8.9536580000000004E-2</v>
      </c>
      <c r="Z4332">
        <v>-2.7242130000000001E-3</v>
      </c>
      <c r="AA4332">
        <v>0.99597979999999997</v>
      </c>
      <c r="AB4332">
        <v>35</v>
      </c>
      <c r="AC4332">
        <v>-17.408099999999902</v>
      </c>
      <c r="AD4332">
        <v>-1.120935779049</v>
      </c>
      <c r="AE4332">
        <v>-1.8738999999999899</v>
      </c>
      <c r="AF4332">
        <v>-1.5957504690077999</v>
      </c>
      <c r="AG4332">
        <v>-1.120935779049</v>
      </c>
      <c r="AH4332">
        <v>17.364026017907001</v>
      </c>
      <c r="AI4332">
        <v>93.678150866351302</v>
      </c>
      <c r="AJ4332">
        <v>95.250721875532193</v>
      </c>
      <c r="AK4332">
        <v>17.473188493536099</v>
      </c>
      <c r="AL4332">
        <v>78.070046773786103</v>
      </c>
      <c r="AM4332">
        <v>89.496817829462501</v>
      </c>
      <c r="AN4332">
        <v>0.99999997828105303</v>
      </c>
    </row>
    <row r="4333" spans="1:40" x14ac:dyDescent="0.25">
      <c r="A4333" t="str">
        <f>"20190303162346804"</f>
        <v>20190303162346804</v>
      </c>
      <c r="B4333" t="str">
        <f>"1551601426789432"</f>
        <v>1551601426789432</v>
      </c>
      <c r="C4333" t="s">
        <v>40</v>
      </c>
      <c r="D4333">
        <v>5.3968790000000002</v>
      </c>
      <c r="E4333">
        <v>0.46214369999999999</v>
      </c>
      <c r="F4333" t="s">
        <v>41</v>
      </c>
      <c r="G4333">
        <v>-338.40969999999999</v>
      </c>
      <c r="H4333" s="1">
        <v>-8.143491E-7</v>
      </c>
      <c r="I4333">
        <v>139.1533</v>
      </c>
      <c r="J4333">
        <v>-319.26</v>
      </c>
      <c r="K4333">
        <v>1.120935</v>
      </c>
      <c r="L4333">
        <v>141.21520000000001</v>
      </c>
      <c r="M4333">
        <v>-0.99977050000000001</v>
      </c>
      <c r="N4333">
        <v>-1.469111E-2</v>
      </c>
      <c r="O4333">
        <v>-1.558787E-2</v>
      </c>
      <c r="P4333">
        <v>-0.98130870000000003</v>
      </c>
      <c r="Q4333">
        <v>0.19233520000000001</v>
      </c>
      <c r="R4333">
        <v>-6.3594599999999999E-3</v>
      </c>
      <c r="S4333">
        <v>-3.0896910000000002</v>
      </c>
      <c r="T4333">
        <v>-0.17741080000000001</v>
      </c>
      <c r="U4333">
        <v>-0.32725520000000002</v>
      </c>
      <c r="V4333">
        <v>8.9462459999999997E-3</v>
      </c>
      <c r="W4333">
        <v>0.20673069999999999</v>
      </c>
      <c r="X4333">
        <v>0.97835700000000003</v>
      </c>
      <c r="Y4333">
        <v>-8.9643940000000005E-2</v>
      </c>
      <c r="Z4333">
        <v>-2.5621160000000001E-3</v>
      </c>
      <c r="AA4333">
        <v>0.99597060000000004</v>
      </c>
      <c r="AB4333">
        <v>35</v>
      </c>
      <c r="AC4333">
        <v>-19.149699999999999</v>
      </c>
      <c r="AD4333">
        <v>-1.1209358143490999</v>
      </c>
      <c r="AE4333">
        <v>-2.0619000000000001</v>
      </c>
      <c r="AF4333">
        <v>-1.7571624229065601</v>
      </c>
      <c r="AG4333">
        <v>-1.1209358143490999</v>
      </c>
      <c r="AH4333">
        <v>19.114772770015701</v>
      </c>
      <c r="AI4333">
        <v>93.342058101877996</v>
      </c>
      <c r="AJ4333">
        <v>95.252263581469194</v>
      </c>
      <c r="AK4333">
        <v>19.2280694540481</v>
      </c>
      <c r="AL4333">
        <v>78.069168850373998</v>
      </c>
      <c r="AM4333">
        <v>89.476093233458698</v>
      </c>
      <c r="AN4333">
        <v>1.0000000185444899</v>
      </c>
    </row>
    <row r="4334" spans="1:40" x14ac:dyDescent="0.25">
      <c r="A4334" t="str">
        <f>"20190303162346824"</f>
        <v>20190303162346824</v>
      </c>
      <c r="B4334" t="str">
        <f>"1551601426818711"</f>
        <v>1551601426818711</v>
      </c>
      <c r="C4334" t="s">
        <v>40</v>
      </c>
      <c r="D4334">
        <v>5.3428550000000001</v>
      </c>
      <c r="E4334">
        <v>0.46175640000000001</v>
      </c>
      <c r="F4334" t="s">
        <v>41</v>
      </c>
      <c r="G4334">
        <v>-339.95049999999998</v>
      </c>
      <c r="H4334" s="1">
        <v>-1.6281539999999999E-7</v>
      </c>
      <c r="I4334">
        <v>139.01650000000001</v>
      </c>
      <c r="J4334">
        <v>-319.6019</v>
      </c>
      <c r="K4334">
        <v>1.120933</v>
      </c>
      <c r="L4334">
        <v>141.2098</v>
      </c>
      <c r="M4334">
        <v>-0.99977070000000001</v>
      </c>
      <c r="N4334">
        <v>-1.4687260000000001E-2</v>
      </c>
      <c r="O4334">
        <v>-1.5588319999999999E-2</v>
      </c>
      <c r="P4334">
        <v>-0.98129270000000002</v>
      </c>
      <c r="Q4334">
        <v>0.1924275</v>
      </c>
      <c r="R4334">
        <v>-6.0718059999999999E-3</v>
      </c>
      <c r="S4334">
        <v>-3.087799</v>
      </c>
      <c r="T4334">
        <v>-0.16728579999999901</v>
      </c>
      <c r="U4334">
        <v>-0.328125</v>
      </c>
      <c r="V4334">
        <v>9.2345010000000009E-3</v>
      </c>
      <c r="W4334">
        <v>0.20681840000000001</v>
      </c>
      <c r="X4334">
        <v>0.97833579999999998</v>
      </c>
      <c r="Y4334">
        <v>-9.0000289999999997E-2</v>
      </c>
      <c r="Z4334">
        <v>-2.479682E-3</v>
      </c>
      <c r="AA4334">
        <v>0.99593869999999896</v>
      </c>
      <c r="AB4334">
        <v>35</v>
      </c>
      <c r="AC4334">
        <v>-20.348599999999902</v>
      </c>
      <c r="AD4334">
        <v>-1.1209331628154</v>
      </c>
      <c r="AE4334">
        <v>-2.19329999999999</v>
      </c>
      <c r="AF4334">
        <v>-1.87018881037329</v>
      </c>
      <c r="AG4334">
        <v>-1.1209331628154</v>
      </c>
      <c r="AH4334">
        <v>20.3193690966106</v>
      </c>
      <c r="AI4334">
        <v>93.144300695867202</v>
      </c>
      <c r="AJ4334">
        <v>95.258670972738699</v>
      </c>
      <c r="AK4334">
        <v>20.436018639310301</v>
      </c>
      <c r="AL4334">
        <v>78.064033182038898</v>
      </c>
      <c r="AM4334">
        <v>89.459201819244598</v>
      </c>
      <c r="AN4334">
        <v>1.00000003207445</v>
      </c>
    </row>
    <row r="4335" spans="1:40" x14ac:dyDescent="0.25">
      <c r="A4335" t="str">
        <f>"20190303162346847"</f>
        <v>20190303162346847</v>
      </c>
      <c r="B4335" t="str">
        <f>"1551601426839207"</f>
        <v>1551601426839207</v>
      </c>
      <c r="C4335" t="s">
        <v>40</v>
      </c>
      <c r="D4335">
        <v>5.245152</v>
      </c>
      <c r="E4335">
        <v>0.46176729999999999</v>
      </c>
      <c r="F4335" t="s">
        <v>41</v>
      </c>
      <c r="G4335">
        <v>-341.3981</v>
      </c>
      <c r="H4335" s="1">
        <v>-3.8039250000000002E-6</v>
      </c>
      <c r="I4335">
        <v>138.87540000000001</v>
      </c>
      <c r="J4335">
        <v>-319.94650000000001</v>
      </c>
      <c r="K4335">
        <v>1.120938</v>
      </c>
      <c r="L4335">
        <v>141.2045</v>
      </c>
      <c r="M4335">
        <v>-0.99977070000000001</v>
      </c>
      <c r="N4335">
        <v>-1.468335E-2</v>
      </c>
      <c r="O4335">
        <v>-1.558852E-2</v>
      </c>
      <c r="P4335">
        <v>-0.98123260000000001</v>
      </c>
      <c r="Q4335">
        <v>0.19274150000000001</v>
      </c>
      <c r="R4335">
        <v>-5.7955400000000001E-3</v>
      </c>
      <c r="S4335">
        <v>-3.0862430000000001</v>
      </c>
      <c r="T4335">
        <v>-0.1587199</v>
      </c>
      <c r="U4335">
        <v>-0.33053589999999999</v>
      </c>
      <c r="V4335">
        <v>9.5100540000000004E-3</v>
      </c>
      <c r="W4335">
        <v>0.2071277</v>
      </c>
      <c r="X4335">
        <v>0.97826769999999996</v>
      </c>
      <c r="Y4335">
        <v>-9.0833780000000003E-2</v>
      </c>
      <c r="Z4335">
        <v>-2.426405E-3</v>
      </c>
      <c r="AA4335">
        <v>0.9958631</v>
      </c>
      <c r="AB4335">
        <v>35</v>
      </c>
      <c r="AC4335">
        <v>-21.4515999999999</v>
      </c>
      <c r="AD4335">
        <v>-1.1209418039250001</v>
      </c>
      <c r="AE4335">
        <v>-2.32909999999998</v>
      </c>
      <c r="AF4335">
        <v>-1.9890144102094001</v>
      </c>
      <c r="AG4335">
        <v>-1.1209418039250001</v>
      </c>
      <c r="AH4335">
        <v>21.427477369026398</v>
      </c>
      <c r="AI4335">
        <v>92.981805264459993</v>
      </c>
      <c r="AJ4335">
        <v>95.303307086297394</v>
      </c>
      <c r="AK4335">
        <v>21.548769692303601</v>
      </c>
      <c r="AL4335">
        <v>78.045919093886496</v>
      </c>
      <c r="AM4335">
        <v>89.443026900032706</v>
      </c>
      <c r="AN4335">
        <v>1.0000000090488299</v>
      </c>
    </row>
    <row r="4336" spans="1:40" x14ac:dyDescent="0.25">
      <c r="A4336" t="str">
        <f>"20190303162346868"</f>
        <v>20190303162346868</v>
      </c>
      <c r="B4336" t="str">
        <f>"1551601426858728"</f>
        <v>1551601426858728</v>
      </c>
      <c r="C4336" t="s">
        <v>40</v>
      </c>
      <c r="D4336">
        <v>5.2183339999999996</v>
      </c>
      <c r="E4336">
        <v>0.46170630000000001</v>
      </c>
      <c r="F4336" t="s">
        <v>41</v>
      </c>
      <c r="G4336">
        <v>-342.51240000000001</v>
      </c>
      <c r="H4336" s="1">
        <v>-3.340438E-6</v>
      </c>
      <c r="I4336">
        <v>138.79349999999999</v>
      </c>
      <c r="J4336">
        <v>-320.28730000000002</v>
      </c>
      <c r="K4336">
        <v>1.1209389999999999</v>
      </c>
      <c r="L4336">
        <v>141.19919999999999</v>
      </c>
      <c r="M4336">
        <v>-0.99977079999999996</v>
      </c>
      <c r="N4336">
        <v>-1.4679499999999899E-2</v>
      </c>
      <c r="O4336">
        <v>-1.558872E-2</v>
      </c>
      <c r="P4336">
        <v>-0.98116029999999999</v>
      </c>
      <c r="Q4336">
        <v>0.19311400000000001</v>
      </c>
      <c r="R4336">
        <v>-5.6249610000000004E-3</v>
      </c>
      <c r="S4336">
        <v>-3.0855100000000002</v>
      </c>
      <c r="T4336">
        <v>-0.15327079999999901</v>
      </c>
      <c r="U4336">
        <v>-0.32965090000000002</v>
      </c>
      <c r="V4336">
        <v>9.6798720000000008E-3</v>
      </c>
      <c r="W4336">
        <v>0.20749519999999999</v>
      </c>
      <c r="X4336">
        <v>0.97818819999999995</v>
      </c>
      <c r="Y4336">
        <v>-9.0584750000000006E-2</v>
      </c>
      <c r="Z4336">
        <v>-2.3660809999999999E-3</v>
      </c>
      <c r="AA4336">
        <v>0.99588600000000005</v>
      </c>
      <c r="AB4336">
        <v>35</v>
      </c>
      <c r="AC4336">
        <v>-22.225100000000001</v>
      </c>
      <c r="AD4336">
        <v>-1.1209423404379999</v>
      </c>
      <c r="AE4336">
        <v>-2.4056999999999902</v>
      </c>
      <c r="AF4336">
        <v>-2.0537456758624399</v>
      </c>
      <c r="AG4336">
        <v>-1.1209423404379999</v>
      </c>
      <c r="AH4336">
        <v>22.204076514815199</v>
      </c>
      <c r="AI4336">
        <v>92.877782362365096</v>
      </c>
      <c r="AJ4336">
        <v>95.284484897545198</v>
      </c>
      <c r="AK4336">
        <v>22.3270104785096</v>
      </c>
      <c r="AL4336">
        <v>78.024395864227301</v>
      </c>
      <c r="AM4336">
        <v>89.4330357805663</v>
      </c>
      <c r="AN4336">
        <v>1.0000000562821001</v>
      </c>
    </row>
    <row r="4337" spans="1:40" x14ac:dyDescent="0.25">
      <c r="A4337" t="str">
        <f>"20190303162346892"</f>
        <v>20190303162346892</v>
      </c>
      <c r="B4337" t="str">
        <f>"1551601426879224"</f>
        <v>1551601426879224</v>
      </c>
      <c r="C4337" t="s">
        <v>40</v>
      </c>
      <c r="D4337">
        <v>5.231007</v>
      </c>
      <c r="E4337">
        <v>0.46175080000000002</v>
      </c>
      <c r="F4337" t="s">
        <v>41</v>
      </c>
      <c r="G4337">
        <v>-343.435</v>
      </c>
      <c r="H4337" s="1">
        <v>-2.9563509999999999E-6</v>
      </c>
      <c r="I4337">
        <v>138.72739999999999</v>
      </c>
      <c r="J4337">
        <v>-320.65699999999998</v>
      </c>
      <c r="K4337">
        <v>1.120941</v>
      </c>
      <c r="L4337">
        <v>141.1934</v>
      </c>
      <c r="M4337">
        <v>-0.99977090000000002</v>
      </c>
      <c r="N4337">
        <v>-1.467535E-2</v>
      </c>
      <c r="O4337">
        <v>-1.5588930000000001E-2</v>
      </c>
      <c r="P4337">
        <v>-0.98111389999999998</v>
      </c>
      <c r="Q4337">
        <v>0.19334599999999999</v>
      </c>
      <c r="R4337">
        <v>-5.7686719999999999E-3</v>
      </c>
      <c r="S4337">
        <v>-3.0851440000000001</v>
      </c>
      <c r="T4337">
        <v>-0.14940020000000001</v>
      </c>
      <c r="U4337">
        <v>-0.32942199999999999</v>
      </c>
      <c r="V4337">
        <v>9.5358300000000003E-3</v>
      </c>
      <c r="W4337">
        <v>0.2077224</v>
      </c>
      <c r="X4337">
        <v>0.97814129999999999</v>
      </c>
      <c r="Y4337">
        <v>-9.0529700000000005E-2</v>
      </c>
      <c r="Z4337">
        <v>-2.3271490000000001E-3</v>
      </c>
      <c r="AA4337">
        <v>0.99589099999999997</v>
      </c>
      <c r="AB4337">
        <v>35</v>
      </c>
      <c r="AC4337">
        <v>-22.777999999999999</v>
      </c>
      <c r="AD4337">
        <v>-1.120943956351</v>
      </c>
      <c r="AE4337">
        <v>-2.4660000000000002</v>
      </c>
      <c r="AF4337">
        <v>-2.1055373340087802</v>
      </c>
      <c r="AG4337">
        <v>-1.120943956351</v>
      </c>
      <c r="AH4337">
        <v>22.759198500992301</v>
      </c>
      <c r="AI4337">
        <v>92.807702790886196</v>
      </c>
      <c r="AJ4337">
        <v>95.285598564836405</v>
      </c>
      <c r="AK4337">
        <v>22.883857175435999</v>
      </c>
      <c r="AL4337">
        <v>78.011087209231803</v>
      </c>
      <c r="AM4337">
        <v>89.441445213413203</v>
      </c>
      <c r="AN4337">
        <v>0.99999996514061795</v>
      </c>
    </row>
    <row r="4338" spans="1:40" x14ac:dyDescent="0.25">
      <c r="A4338" t="str">
        <f>"20190303162346915"</f>
        <v>20190303162346915</v>
      </c>
      <c r="B4338" t="str">
        <f>"1551601426909479"</f>
        <v>1551601426909479</v>
      </c>
      <c r="C4338" t="s">
        <v>40</v>
      </c>
      <c r="D4338">
        <v>5.2337930000000004</v>
      </c>
      <c r="E4338">
        <v>0.4617348</v>
      </c>
      <c r="F4338" t="s">
        <v>41</v>
      </c>
      <c r="G4338">
        <v>-344.39449999999999</v>
      </c>
      <c r="H4338" s="1">
        <v>-2.5565060000000002E-6</v>
      </c>
      <c r="I4338">
        <v>138.6611</v>
      </c>
      <c r="J4338">
        <v>-321.00700000000001</v>
      </c>
      <c r="K4338">
        <v>1.120935</v>
      </c>
      <c r="L4338">
        <v>141.18790000000001</v>
      </c>
      <c r="M4338">
        <v>-0.99977090000000002</v>
      </c>
      <c r="N4338">
        <v>-1.4671439999999999E-2</v>
      </c>
      <c r="O4338">
        <v>-1.5588899999999999E-2</v>
      </c>
      <c r="P4338">
        <v>-0.98106789999999999</v>
      </c>
      <c r="Q4338">
        <v>0.1935605</v>
      </c>
      <c r="R4338">
        <v>-6.3597489999999996E-3</v>
      </c>
      <c r="S4338">
        <v>-3.0845030000000002</v>
      </c>
      <c r="T4338">
        <v>-0.1456586</v>
      </c>
      <c r="U4338">
        <v>-0.32904050000000001</v>
      </c>
      <c r="V4338">
        <v>8.9441169999999997E-3</v>
      </c>
      <c r="W4338">
        <v>0.2079328</v>
      </c>
      <c r="X4338">
        <v>0.97810220000000003</v>
      </c>
      <c r="Y4338">
        <v>-9.0435299999999996E-2</v>
      </c>
      <c r="Z4338">
        <v>-2.2884419999999999E-3</v>
      </c>
      <c r="AA4338">
        <v>0.99589970000000005</v>
      </c>
      <c r="AB4338">
        <v>35</v>
      </c>
      <c r="AC4338">
        <v>-23.3874999999999</v>
      </c>
      <c r="AD4338">
        <v>-1.120937556506</v>
      </c>
      <c r="AE4338">
        <v>-2.5268000000000002</v>
      </c>
      <c r="AF4338">
        <v>-2.15697048805422</v>
      </c>
      <c r="AG4338">
        <v>-1.120937556506</v>
      </c>
      <c r="AH4338">
        <v>23.3709838105305</v>
      </c>
      <c r="AI4338">
        <v>92.734357921420994</v>
      </c>
      <c r="AJ4338">
        <v>95.273042492999394</v>
      </c>
      <c r="AK4338">
        <v>23.497061666600001</v>
      </c>
      <c r="AL4338">
        <v>77.998763267455999</v>
      </c>
      <c r="AM4338">
        <v>89.476081464251394</v>
      </c>
      <c r="AN4338">
        <v>0.99999998009479396</v>
      </c>
    </row>
    <row r="4339" spans="1:40" x14ac:dyDescent="0.25">
      <c r="A4339" t="str">
        <f>"20190303162346938"</f>
        <v>20190303162346938</v>
      </c>
      <c r="B4339" t="str">
        <f>"1551601426928999"</f>
        <v>1551601426928999</v>
      </c>
      <c r="C4339" t="s">
        <v>40</v>
      </c>
      <c r="D4339">
        <v>5.4898179999999996</v>
      </c>
      <c r="E4339">
        <v>0.48653010000000002</v>
      </c>
      <c r="F4339" t="s">
        <v>41</v>
      </c>
      <c r="G4339">
        <v>-345.41739999999999</v>
      </c>
      <c r="H4339" s="1">
        <v>-2.1342039999999999E-6</v>
      </c>
      <c r="I4339">
        <v>138.56780000000001</v>
      </c>
      <c r="J4339">
        <v>-321.38049999999998</v>
      </c>
      <c r="K4339">
        <v>1.1209340000000001</v>
      </c>
      <c r="L4339">
        <v>141.18209999999999</v>
      </c>
      <c r="M4339">
        <v>-0.99977090000000002</v>
      </c>
      <c r="N4339">
        <v>-1.4667299999999999E-2</v>
      </c>
      <c r="O4339">
        <v>-1.558899E-2</v>
      </c>
      <c r="P4339">
        <v>-0.98109849999999998</v>
      </c>
      <c r="Q4339">
        <v>0.19339709999999999</v>
      </c>
      <c r="R4339">
        <v>-6.5884280000000003E-3</v>
      </c>
      <c r="S4339">
        <v>-3.08371</v>
      </c>
      <c r="T4339">
        <v>-0.1416055</v>
      </c>
      <c r="U4339">
        <v>-0.33097840000000001</v>
      </c>
      <c r="V4339">
        <v>8.7160309999999904E-3</v>
      </c>
      <c r="W4339">
        <v>0.2077658</v>
      </c>
      <c r="X4339">
        <v>0.9781398</v>
      </c>
      <c r="Y4339">
        <v>-9.108571E-2</v>
      </c>
      <c r="Z4339">
        <v>-2.2693919999999999E-3</v>
      </c>
      <c r="AA4339">
        <v>0.99584050000000002</v>
      </c>
      <c r="AB4339">
        <v>35</v>
      </c>
      <c r="AC4339">
        <v>-24.036899999999999</v>
      </c>
      <c r="AD4339">
        <v>-1.1209361342039901</v>
      </c>
      <c r="AE4339">
        <v>-2.6142999999999801</v>
      </c>
      <c r="AF4339">
        <v>-2.2344284832672998</v>
      </c>
      <c r="AG4339">
        <v>-1.1209361342039901</v>
      </c>
      <c r="AH4339">
        <v>24.023104263338599</v>
      </c>
      <c r="AI4339">
        <v>92.660061560370096</v>
      </c>
      <c r="AJ4339">
        <v>95.313886215056101</v>
      </c>
      <c r="AK4339">
        <v>24.152819854233101</v>
      </c>
      <c r="AL4339">
        <v>78.008545932799606</v>
      </c>
      <c r="AM4339">
        <v>89.489460940719098</v>
      </c>
      <c r="AN4339">
        <v>1.00000003259503</v>
      </c>
    </row>
    <row r="4340" spans="1:40" x14ac:dyDescent="0.25">
      <c r="A4340" t="str">
        <f>"20190303162346959"</f>
        <v>20190303162346959</v>
      </c>
      <c r="B4340" t="str">
        <f>"1551601426949496"</f>
        <v>1551601426949496</v>
      </c>
      <c r="C4340" t="s">
        <v>40</v>
      </c>
      <c r="D4340">
        <v>5.2825499999999996</v>
      </c>
      <c r="E4340">
        <v>0.50465689999999996</v>
      </c>
      <c r="F4340" t="s">
        <v>41</v>
      </c>
      <c r="G4340">
        <v>-358.71039999999999</v>
      </c>
      <c r="H4340" s="1">
        <v>-5.4507999999999995E-7</v>
      </c>
      <c r="I4340">
        <v>139.5625</v>
      </c>
      <c r="J4340">
        <v>-321.69159999999999</v>
      </c>
      <c r="K4340">
        <v>1.1209370000000001</v>
      </c>
      <c r="L4340">
        <v>141.1772</v>
      </c>
      <c r="M4340">
        <v>-0.99977090000000002</v>
      </c>
      <c r="N4340">
        <v>-1.4663850000000001E-2</v>
      </c>
      <c r="O4340">
        <v>-1.5588960000000001E-2</v>
      </c>
      <c r="P4340">
        <v>-0.98114959999999996</v>
      </c>
      <c r="Q4340">
        <v>0.19312199999999999</v>
      </c>
      <c r="R4340">
        <v>-7.0549660000000002E-3</v>
      </c>
      <c r="S4340">
        <v>-3.0751040000000001</v>
      </c>
      <c r="T4340">
        <v>-9.2338680000000006E-2</v>
      </c>
      <c r="U4340">
        <v>-0.13340759999999999</v>
      </c>
      <c r="V4340">
        <v>8.250383E-3</v>
      </c>
      <c r="W4340">
        <v>0.20748820000000001</v>
      </c>
      <c r="X4340">
        <v>0.97820269999999998</v>
      </c>
      <c r="Y4340">
        <v>-2.7744350000000001E-2</v>
      </c>
      <c r="Z4340">
        <v>-3.806312E-4</v>
      </c>
      <c r="AA4340">
        <v>0.99961500000000003</v>
      </c>
      <c r="AB4340">
        <v>35</v>
      </c>
      <c r="AC4340">
        <v>-37.018799999999999</v>
      </c>
      <c r="AD4340">
        <v>-1.1209375450799901</v>
      </c>
      <c r="AE4340">
        <v>-1.61469999999999</v>
      </c>
      <c r="AF4340">
        <v>-1.0364085998760399</v>
      </c>
      <c r="AG4340">
        <v>-1.1209375450799901</v>
      </c>
      <c r="AH4340">
        <v>37.005609172710201</v>
      </c>
      <c r="AI4340">
        <v>91.734337280356101</v>
      </c>
      <c r="AJ4340">
        <v>91.604251930034195</v>
      </c>
      <c r="AK4340">
        <v>37.037086197610698</v>
      </c>
      <c r="AL4340">
        <v>78.024804834676502</v>
      </c>
      <c r="AM4340">
        <v>89.516765884240996</v>
      </c>
      <c r="AN4340">
        <v>0.999999972123088</v>
      </c>
    </row>
    <row r="4341" spans="1:40" x14ac:dyDescent="0.25">
      <c r="A4341" t="str">
        <f>"20190303162346980"</f>
        <v>20190303162346980</v>
      </c>
      <c r="B4341" t="str">
        <f>"1551601426969015"</f>
        <v>1551601426969015</v>
      </c>
      <c r="C4341" t="s">
        <v>40</v>
      </c>
      <c r="D4341">
        <v>5.2322480000000002</v>
      </c>
      <c r="E4341">
        <v>0.51355699999999904</v>
      </c>
      <c r="F4341" t="s">
        <v>41</v>
      </c>
      <c r="G4341">
        <v>-356.07510000000002</v>
      </c>
      <c r="H4341" s="1">
        <v>-2.1114919999999998E-6</v>
      </c>
      <c r="I4341">
        <v>141.29040000000001</v>
      </c>
      <c r="J4341">
        <v>-322.03250000000003</v>
      </c>
      <c r="K4341">
        <v>1.1209439999999999</v>
      </c>
      <c r="L4341">
        <v>141.17189999999999</v>
      </c>
      <c r="M4341">
        <v>-0.99977099999999997</v>
      </c>
      <c r="N4341">
        <v>-1.4660050000000001E-2</v>
      </c>
      <c r="O4341">
        <v>-1.5588930000000001E-2</v>
      </c>
      <c r="P4341">
        <v>-0.98111130000000002</v>
      </c>
      <c r="Q4341">
        <v>0.193296</v>
      </c>
      <c r="R4341">
        <v>-7.5580739999999997E-3</v>
      </c>
      <c r="S4341">
        <v>-3.0774539999999999</v>
      </c>
      <c r="T4341">
        <v>-0.1003283</v>
      </c>
      <c r="U4341">
        <v>1.013184E-2</v>
      </c>
      <c r="V4341">
        <v>7.746691E-3</v>
      </c>
      <c r="W4341">
        <v>0.20765800000000001</v>
      </c>
      <c r="X4341">
        <v>0.97817080000000001</v>
      </c>
      <c r="Y4341">
        <v>1.8865349999999999E-2</v>
      </c>
      <c r="Z4341">
        <v>7.2532679999999896E-4</v>
      </c>
      <c r="AA4341">
        <v>0.99982179999999998</v>
      </c>
      <c r="AB4341">
        <v>35</v>
      </c>
      <c r="AC4341">
        <v>-34.042599999999901</v>
      </c>
      <c r="AD4341">
        <v>-1.1209461114920001</v>
      </c>
      <c r="AE4341">
        <v>0.118500000000011</v>
      </c>
      <c r="AF4341">
        <v>0.64852719777912304</v>
      </c>
      <c r="AG4341">
        <v>-1.1209461114920001</v>
      </c>
      <c r="AH4341">
        <v>33.999751620552701</v>
      </c>
      <c r="AI4341">
        <v>91.887971383889493</v>
      </c>
      <c r="AJ4341">
        <v>88.907245962228501</v>
      </c>
      <c r="AK4341">
        <v>34.024406210401501</v>
      </c>
      <c r="AL4341">
        <v>78.014859552032505</v>
      </c>
      <c r="AM4341">
        <v>89.546251615337297</v>
      </c>
      <c r="AN4341">
        <v>0.99999998507904397</v>
      </c>
    </row>
    <row r="4342" spans="1:40" x14ac:dyDescent="0.25">
      <c r="A4342" t="str">
        <f>"20190303162347004"</f>
        <v>20190303162347004</v>
      </c>
      <c r="B4342" t="str">
        <f>"1551601426999272"</f>
        <v>1551601426999272</v>
      </c>
      <c r="C4342" t="s">
        <v>40</v>
      </c>
      <c r="D4342">
        <v>5.217346</v>
      </c>
      <c r="E4342">
        <v>0.5184763</v>
      </c>
      <c r="F4342" t="s">
        <v>41</v>
      </c>
      <c r="G4342">
        <v>-352.83069999999998</v>
      </c>
      <c r="H4342" s="1">
        <v>-3.6859309999999999E-6</v>
      </c>
      <c r="I4342">
        <v>141.97659999999999</v>
      </c>
      <c r="J4342">
        <v>-322.38830000000002</v>
      </c>
      <c r="K4342">
        <v>1.1209439999999999</v>
      </c>
      <c r="L4342">
        <v>141.16640000000001</v>
      </c>
      <c r="M4342">
        <v>-0.99977110000000002</v>
      </c>
      <c r="N4342">
        <v>-1.465606E-2</v>
      </c>
      <c r="O4342">
        <v>-1.5588899999999999E-2</v>
      </c>
      <c r="P4342">
        <v>-0.98106260000000001</v>
      </c>
      <c r="Q4342">
        <v>0.1935249</v>
      </c>
      <c r="R4342">
        <v>-8.0271460000000006E-3</v>
      </c>
      <c r="S4342">
        <v>-3.0804749999999999</v>
      </c>
      <c r="T4342">
        <v>-0.1121187</v>
      </c>
      <c r="U4342">
        <v>8.0490110000000004E-2</v>
      </c>
      <c r="V4342">
        <v>7.2768590000000001E-3</v>
      </c>
      <c r="W4342">
        <v>0.20788239999999999</v>
      </c>
      <c r="X4342">
        <v>0.97812679999999996</v>
      </c>
      <c r="Y4342">
        <v>4.1659929999999998E-2</v>
      </c>
      <c r="Z4342">
        <v>1.4019690000000001E-3</v>
      </c>
      <c r="AA4342">
        <v>0.99913079999999999</v>
      </c>
      <c r="AB4342">
        <v>35</v>
      </c>
      <c r="AC4342">
        <v>-30.4423999999999</v>
      </c>
      <c r="AD4342">
        <v>-1.1209476859309999</v>
      </c>
      <c r="AE4342">
        <v>0.81019999999998005</v>
      </c>
      <c r="AF4342">
        <v>1.28297771880861</v>
      </c>
      <c r="AG4342">
        <v>-1.1209476859309999</v>
      </c>
      <c r="AH4342">
        <v>30.384900208873201</v>
      </c>
      <c r="AI4342">
        <v>92.110895832157993</v>
      </c>
      <c r="AJ4342">
        <v>87.582168492132297</v>
      </c>
      <c r="AK4342">
        <v>30.4326258519493</v>
      </c>
      <c r="AL4342">
        <v>78.001716225600404</v>
      </c>
      <c r="AM4342">
        <v>89.573750952328098</v>
      </c>
      <c r="AN4342">
        <v>1.0000000408924501</v>
      </c>
    </row>
    <row r="4343" spans="1:40" x14ac:dyDescent="0.25">
      <c r="A4343" t="str">
        <f>"20190303162347025"</f>
        <v>20190303162347025</v>
      </c>
      <c r="B4343" t="str">
        <f>"1551601427018792"</f>
        <v>1551601427018792</v>
      </c>
      <c r="C4343" t="s">
        <v>40</v>
      </c>
      <c r="D4343">
        <v>5.2284940000000004</v>
      </c>
      <c r="E4343">
        <v>0.51980439999999895</v>
      </c>
      <c r="F4343" t="s">
        <v>41</v>
      </c>
      <c r="G4343">
        <v>-351.65219999999999</v>
      </c>
      <c r="H4343" s="1">
        <v>-4.1886860000000003E-6</v>
      </c>
      <c r="I4343">
        <v>142.2937</v>
      </c>
      <c r="J4343">
        <v>-322.73039999999997</v>
      </c>
      <c r="K4343">
        <v>1.1209450000000001</v>
      </c>
      <c r="L4343">
        <v>141.161</v>
      </c>
      <c r="M4343">
        <v>-0.99977119999999997</v>
      </c>
      <c r="N4343">
        <v>-1.465224E-2</v>
      </c>
      <c r="O4343">
        <v>-1.558911E-2</v>
      </c>
      <c r="P4343">
        <v>-0.98100580000000004</v>
      </c>
      <c r="Q4343">
        <v>0.1937874</v>
      </c>
      <c r="R4343">
        <v>-8.6137290000000005E-3</v>
      </c>
      <c r="S4343">
        <v>-3.082214</v>
      </c>
      <c r="T4343">
        <v>-0.1180638</v>
      </c>
      <c r="U4343">
        <v>0.1187439</v>
      </c>
      <c r="V4343">
        <v>6.6897709999999997E-3</v>
      </c>
      <c r="W4343">
        <v>0.2081403</v>
      </c>
      <c r="X4343">
        <v>0.9780761</v>
      </c>
      <c r="Y4343">
        <v>5.4012440000000002E-2</v>
      </c>
      <c r="Z4343">
        <v>1.7982219999999999E-3</v>
      </c>
      <c r="AA4343">
        <v>0.9985387</v>
      </c>
      <c r="AB4343">
        <v>35</v>
      </c>
      <c r="AC4343">
        <v>-28.921800000000001</v>
      </c>
      <c r="AD4343">
        <v>-1.1209491886859999</v>
      </c>
      <c r="AE4343">
        <v>1.13269999999999</v>
      </c>
      <c r="AF4343">
        <v>1.58110435658622</v>
      </c>
      <c r="AG4343">
        <v>-1.1209491886859999</v>
      </c>
      <c r="AH4343">
        <v>28.857342601115</v>
      </c>
      <c r="AI4343">
        <v>92.221179662725703</v>
      </c>
      <c r="AJ4343">
        <v>86.863878969732099</v>
      </c>
      <c r="AK4343">
        <v>28.9223553686099</v>
      </c>
      <c r="AL4343">
        <v>77.986608670184793</v>
      </c>
      <c r="AM4343">
        <v>89.608118767766399</v>
      </c>
      <c r="AN4343">
        <v>0.99999999745566603</v>
      </c>
    </row>
    <row r="4344" spans="1:40" x14ac:dyDescent="0.25">
      <c r="A4344" t="str">
        <f>"20190303162347047"</f>
        <v>20190303162347047</v>
      </c>
      <c r="B4344" t="str">
        <f>"1551601427039287"</f>
        <v>1551601427039287</v>
      </c>
      <c r="C4344" t="s">
        <v>40</v>
      </c>
      <c r="D4344">
        <v>5.2157559999999998</v>
      </c>
      <c r="E4344">
        <v>0.52108299999999996</v>
      </c>
      <c r="F4344" t="s">
        <v>41</v>
      </c>
      <c r="G4344">
        <v>-351.38679999999999</v>
      </c>
      <c r="H4344" s="1">
        <v>-4.2886589999999996E-6</v>
      </c>
      <c r="I4344">
        <v>142.34809999999999</v>
      </c>
      <c r="J4344">
        <v>-323.06380000000001</v>
      </c>
      <c r="K4344">
        <v>1.120946</v>
      </c>
      <c r="L4344">
        <v>141.1558</v>
      </c>
      <c r="M4344">
        <v>-0.99977119999999997</v>
      </c>
      <c r="N4344">
        <v>-1.464852E-2</v>
      </c>
      <c r="O4344">
        <v>-1.558908E-2</v>
      </c>
      <c r="P4344">
        <v>-0.98097460000000003</v>
      </c>
      <c r="Q4344">
        <v>0.19388830000000001</v>
      </c>
      <c r="R4344">
        <v>-9.8185419999999995E-3</v>
      </c>
      <c r="S4344">
        <v>-3.0830380000000002</v>
      </c>
      <c r="T4344">
        <v>-0.12059889999999999</v>
      </c>
      <c r="U4344">
        <v>0.1277161</v>
      </c>
      <c r="V4344">
        <v>5.484666E-3</v>
      </c>
      <c r="W4344">
        <v>0.2082378</v>
      </c>
      <c r="X4344">
        <v>0.97806289999999996</v>
      </c>
      <c r="Y4344">
        <v>5.689785E-2</v>
      </c>
      <c r="Z4344">
        <v>1.910215E-3</v>
      </c>
      <c r="AA4344">
        <v>0.99837819999999999</v>
      </c>
      <c r="AB4344">
        <v>35</v>
      </c>
      <c r="AC4344">
        <v>-28.322999999999901</v>
      </c>
      <c r="AD4344">
        <v>-1.1209502886589999</v>
      </c>
      <c r="AE4344">
        <v>1.1922999999999799</v>
      </c>
      <c r="AF4344">
        <v>1.6311814518483101</v>
      </c>
      <c r="AG4344">
        <v>-1.1209502886589999</v>
      </c>
      <c r="AH4344">
        <v>28.256786408244501</v>
      </c>
      <c r="AI4344">
        <v>92.267967813580199</v>
      </c>
      <c r="AJ4344">
        <v>86.696149274282106</v>
      </c>
      <c r="AK4344">
        <v>28.3260173797809</v>
      </c>
      <c r="AL4344">
        <v>77.980897821549505</v>
      </c>
      <c r="AM4344">
        <v>89.678706839876298</v>
      </c>
      <c r="AN4344">
        <v>1.00000004963318</v>
      </c>
    </row>
    <row r="4345" spans="1:40" x14ac:dyDescent="0.25">
      <c r="A4345" t="str">
        <f>"20190303162347070"</f>
        <v>20190303162347070</v>
      </c>
      <c r="B4345" t="str">
        <f>"1551601427058807"</f>
        <v>1551601427058807</v>
      </c>
      <c r="C4345" t="s">
        <v>40</v>
      </c>
      <c r="D4345">
        <v>5.2513399999999999</v>
      </c>
      <c r="E4345">
        <v>0.52145050000000004</v>
      </c>
      <c r="F4345" t="s">
        <v>41</v>
      </c>
      <c r="G4345">
        <v>-349.87959999999998</v>
      </c>
      <c r="H4345" s="1">
        <v>-7.5464329999999999E-7</v>
      </c>
      <c r="I4345">
        <v>142.32490000000001</v>
      </c>
      <c r="J4345">
        <v>-323.41789999999997</v>
      </c>
      <c r="K4345">
        <v>1.120946</v>
      </c>
      <c r="L4345">
        <v>141.15029999999999</v>
      </c>
      <c r="M4345">
        <v>-0.99977130000000003</v>
      </c>
      <c r="N4345">
        <v>-1.4644620000000001E-2</v>
      </c>
      <c r="O4345">
        <v>-1.558905E-2</v>
      </c>
      <c r="P4345">
        <v>-0.98091950000000006</v>
      </c>
      <c r="Q4345">
        <v>0.19409960000000001</v>
      </c>
      <c r="R4345">
        <v>-1.105361E-2</v>
      </c>
      <c r="S4345">
        <v>-3.0850219999999999</v>
      </c>
      <c r="T4345">
        <v>-0.1289595</v>
      </c>
      <c r="U4345">
        <v>0.13450619999999999</v>
      </c>
      <c r="V4345">
        <v>4.2487410000000003E-3</v>
      </c>
      <c r="W4345">
        <v>0.20844489999999999</v>
      </c>
      <c r="X4345">
        <v>0.97802489999999997</v>
      </c>
      <c r="Y4345">
        <v>5.9053719999999997E-2</v>
      </c>
      <c r="Z4345">
        <v>2.089016E-3</v>
      </c>
      <c r="AA4345">
        <v>0.99825260000000005</v>
      </c>
      <c r="AB4345">
        <v>35</v>
      </c>
      <c r="AC4345">
        <v>-26.4617</v>
      </c>
      <c r="AD4345">
        <v>-1.1209467546433001</v>
      </c>
      <c r="AE4345">
        <v>1.1746000000000201</v>
      </c>
      <c r="AF4345">
        <v>1.58417705747783</v>
      </c>
      <c r="AG4345">
        <v>-1.1209467546433001</v>
      </c>
      <c r="AH4345">
        <v>26.392902962815199</v>
      </c>
      <c r="AI4345">
        <v>92.427613503079002</v>
      </c>
      <c r="AJ4345">
        <v>86.565065555572801</v>
      </c>
      <c r="AK4345">
        <v>26.4641543484911</v>
      </c>
      <c r="AL4345">
        <v>77.968765236086497</v>
      </c>
      <c r="AM4345">
        <v>89.751096934051603</v>
      </c>
      <c r="AN4345">
        <v>1.00000001657805</v>
      </c>
    </row>
    <row r="4346" spans="1:40" x14ac:dyDescent="0.25">
      <c r="A4346" t="str">
        <f>"20190303162347093"</f>
        <v>20190303162347093</v>
      </c>
      <c r="B4346" t="str">
        <f>"1551601427079304"</f>
        <v>1551601427079304</v>
      </c>
      <c r="C4346" t="s">
        <v>40</v>
      </c>
      <c r="D4346">
        <v>5.2622790000000004</v>
      </c>
      <c r="E4346">
        <v>0.52228859999999999</v>
      </c>
      <c r="F4346" t="s">
        <v>41</v>
      </c>
      <c r="G4346">
        <v>-348.50199999999899</v>
      </c>
      <c r="H4346" s="1">
        <v>-1.320488E-6</v>
      </c>
      <c r="I4346">
        <v>142.2303</v>
      </c>
      <c r="J4346">
        <v>-323.78160000000003</v>
      </c>
      <c r="K4346">
        <v>1.120946</v>
      </c>
      <c r="L4346">
        <v>141.1446</v>
      </c>
      <c r="M4346">
        <v>-0.99977130000000003</v>
      </c>
      <c r="N4346">
        <v>-1.464061E-2</v>
      </c>
      <c r="O4346">
        <v>-1.558915E-2</v>
      </c>
      <c r="P4346">
        <v>-0.98093609999999998</v>
      </c>
      <c r="Q4346">
        <v>0.19399710000000001</v>
      </c>
      <c r="R4346">
        <v>-1.1373080000000001E-2</v>
      </c>
      <c r="S4346">
        <v>-3.0871580000000001</v>
      </c>
      <c r="T4346">
        <v>-0.13795829999999901</v>
      </c>
      <c r="U4346">
        <v>0.13293460000000001</v>
      </c>
      <c r="V4346">
        <v>3.9296940000000001E-3</v>
      </c>
      <c r="W4346">
        <v>0.20833850000000001</v>
      </c>
      <c r="X4346">
        <v>0.9780489</v>
      </c>
      <c r="Y4346">
        <v>5.8507320000000002E-2</v>
      </c>
      <c r="Z4346">
        <v>2.202781E-3</v>
      </c>
      <c r="AA4346">
        <v>0.99828459999999997</v>
      </c>
      <c r="AB4346">
        <v>35</v>
      </c>
      <c r="AC4346">
        <v>-24.720399999999898</v>
      </c>
      <c r="AD4346">
        <v>-1.1209473204880001</v>
      </c>
      <c r="AE4346">
        <v>1.0857000000000001</v>
      </c>
      <c r="AF4346">
        <v>1.4679667860563499</v>
      </c>
      <c r="AG4346">
        <v>-1.1209473204880001</v>
      </c>
      <c r="AH4346">
        <v>24.649881606614802</v>
      </c>
      <c r="AI4346">
        <v>92.599119213460696</v>
      </c>
      <c r="AJ4346">
        <v>86.591907295262004</v>
      </c>
      <c r="AK4346">
        <v>24.718982839113799</v>
      </c>
      <c r="AL4346">
        <v>77.974998295515903</v>
      </c>
      <c r="AM4346">
        <v>89.769793034481694</v>
      </c>
      <c r="AN4346">
        <v>1.0000000119341901</v>
      </c>
    </row>
    <row r="4347" spans="1:40" x14ac:dyDescent="0.25">
      <c r="A4347" t="str">
        <f>"20190303162347115"</f>
        <v>20190303162347115</v>
      </c>
      <c r="B4347" t="str">
        <f>"1551601427109560"</f>
        <v>1551601427109560</v>
      </c>
      <c r="C4347" t="s">
        <v>40</v>
      </c>
      <c r="D4347">
        <v>5.2993750000000004</v>
      </c>
      <c r="E4347">
        <v>0.52286650000000001</v>
      </c>
      <c r="F4347" t="s">
        <v>41</v>
      </c>
      <c r="G4347">
        <v>-347.95030000000003</v>
      </c>
      <c r="H4347" s="1">
        <v>-1.5551149999999999E-6</v>
      </c>
      <c r="I4347">
        <v>142.2227</v>
      </c>
      <c r="J4347">
        <v>-324.11430000000001</v>
      </c>
      <c r="K4347">
        <v>1.1209549999999999</v>
      </c>
      <c r="L4347">
        <v>141.13939999999999</v>
      </c>
      <c r="M4347">
        <v>-0.99977139999999998</v>
      </c>
      <c r="N4347">
        <v>-1.4636939999999999E-2</v>
      </c>
      <c r="O4347">
        <v>-1.558912E-2</v>
      </c>
      <c r="P4347">
        <v>-0.98100449999999995</v>
      </c>
      <c r="Q4347">
        <v>0.19369239999999999</v>
      </c>
      <c r="R4347">
        <v>-1.0656590000000001E-2</v>
      </c>
      <c r="S4347">
        <v>-3.0881959999999999</v>
      </c>
      <c r="T4347">
        <v>-0.14323069999999999</v>
      </c>
      <c r="U4347">
        <v>0.13777159999999999</v>
      </c>
      <c r="V4347">
        <v>4.6472120000000004E-3</v>
      </c>
      <c r="W4347">
        <v>0.2080312</v>
      </c>
      <c r="X4347">
        <v>0.97811110000000001</v>
      </c>
      <c r="Y4347">
        <v>6.0045229999999998E-2</v>
      </c>
      <c r="Z4347">
        <v>2.3253409999999999E-3</v>
      </c>
      <c r="AA4347">
        <v>0.998193</v>
      </c>
      <c r="AB4347">
        <v>35</v>
      </c>
      <c r="AC4347">
        <v>-23.835999999999999</v>
      </c>
      <c r="AD4347">
        <v>-1.120956555115</v>
      </c>
      <c r="AE4347">
        <v>1.0832999999999999</v>
      </c>
      <c r="AF4347">
        <v>1.4515866424360899</v>
      </c>
      <c r="AG4347">
        <v>-1.120956555115</v>
      </c>
      <c r="AH4347">
        <v>23.763765259500602</v>
      </c>
      <c r="AI4347">
        <v>92.695670622905894</v>
      </c>
      <c r="AJ4347">
        <v>86.504485901519502</v>
      </c>
      <c r="AK4347">
        <v>23.834432795592299</v>
      </c>
      <c r="AL4347">
        <v>77.992998957912306</v>
      </c>
      <c r="AM4347">
        <v>89.727777723236898</v>
      </c>
      <c r="AN4347">
        <v>0.99999995034801004</v>
      </c>
    </row>
    <row r="4348" spans="1:40" x14ac:dyDescent="0.25">
      <c r="A4348" t="str">
        <f>"20190303162347138"</f>
        <v>20190303162347138</v>
      </c>
      <c r="B4348" t="str">
        <f>"1551601427129079"</f>
        <v>1551601427129079</v>
      </c>
      <c r="C4348" t="s">
        <v>40</v>
      </c>
      <c r="D4348">
        <v>5.2631670000000002</v>
      </c>
      <c r="E4348">
        <v>0.52330159999999903</v>
      </c>
      <c r="F4348" t="s">
        <v>41</v>
      </c>
      <c r="G4348">
        <v>-347.23599999999999</v>
      </c>
      <c r="H4348" s="1">
        <v>-1.8610569999999999E-6</v>
      </c>
      <c r="I4348">
        <v>142.2209</v>
      </c>
      <c r="J4348">
        <v>-324.47489999999999</v>
      </c>
      <c r="K4348">
        <v>1.120954</v>
      </c>
      <c r="L4348">
        <v>141.13380000000001</v>
      </c>
      <c r="M4348">
        <v>-0.99977150000000004</v>
      </c>
      <c r="N4348">
        <v>-1.463299E-2</v>
      </c>
      <c r="O4348">
        <v>-1.558933E-2</v>
      </c>
      <c r="P4348">
        <v>-0.98101119999999997</v>
      </c>
      <c r="Q4348">
        <v>0.19372629999999999</v>
      </c>
      <c r="R4348">
        <v>-9.3779380000000006E-3</v>
      </c>
      <c r="S4348">
        <v>-3.0892029999999999</v>
      </c>
      <c r="T4348">
        <v>-0.1497667</v>
      </c>
      <c r="U4348">
        <v>0.14450070000000001</v>
      </c>
      <c r="V4348">
        <v>5.9261599999999998E-3</v>
      </c>
      <c r="W4348">
        <v>0.20806060000000001</v>
      </c>
      <c r="X4348">
        <v>0.97809800000000002</v>
      </c>
      <c r="Y4348">
        <v>6.2189389999999997E-2</v>
      </c>
      <c r="Z4348">
        <v>2.4884859999999998E-3</v>
      </c>
      <c r="AA4348">
        <v>0.99806119999999998</v>
      </c>
      <c r="AB4348">
        <v>35</v>
      </c>
      <c r="AC4348">
        <v>-22.761099999999999</v>
      </c>
      <c r="AD4348">
        <v>-1.1209558610570001</v>
      </c>
      <c r="AE4348">
        <v>1.08709999999999</v>
      </c>
      <c r="AF4348">
        <v>1.4383554194278001</v>
      </c>
      <c r="AG4348">
        <v>-1.1209558610570001</v>
      </c>
      <c r="AH4348">
        <v>22.6864850091604</v>
      </c>
      <c r="AI4348">
        <v>92.8230668327476</v>
      </c>
      <c r="AJ4348">
        <v>86.372221789084094</v>
      </c>
      <c r="AK4348">
        <v>22.759657519960498</v>
      </c>
      <c r="AL4348">
        <v>77.9912775684965</v>
      </c>
      <c r="AM4348">
        <v>89.652857073680394</v>
      </c>
      <c r="AN4348">
        <v>1.00000001512435</v>
      </c>
    </row>
    <row r="4349" spans="1:40" x14ac:dyDescent="0.25">
      <c r="A4349" t="str">
        <f>"20190303162347159"</f>
        <v>20190303162347159</v>
      </c>
      <c r="B4349" t="str">
        <f>"1551601427149576"</f>
        <v>1551601427149576</v>
      </c>
      <c r="C4349" t="s">
        <v>40</v>
      </c>
      <c r="D4349">
        <v>5.2994589999999997</v>
      </c>
      <c r="E4349">
        <v>0.52372259999999904</v>
      </c>
      <c r="F4349" t="s">
        <v>41</v>
      </c>
      <c r="G4349">
        <v>-346.7482</v>
      </c>
      <c r="H4349" s="1">
        <v>-2.073303E-6</v>
      </c>
      <c r="I4349">
        <v>142.232</v>
      </c>
      <c r="J4349">
        <v>-324.79689999999999</v>
      </c>
      <c r="K4349">
        <v>1.1209499999999999</v>
      </c>
      <c r="L4349">
        <v>141.12880000000001</v>
      </c>
      <c r="M4349">
        <v>-0.99977150000000004</v>
      </c>
      <c r="N4349">
        <v>-1.462946E-2</v>
      </c>
      <c r="O4349">
        <v>-1.55893E-2</v>
      </c>
      <c r="P4349">
        <v>-0.98106780000000005</v>
      </c>
      <c r="Q4349">
        <v>0.1935113</v>
      </c>
      <c r="R4349">
        <v>-7.7169559999999996E-3</v>
      </c>
      <c r="S4349">
        <v>-3.0902400000000001</v>
      </c>
      <c r="T4349">
        <v>-0.1555241</v>
      </c>
      <c r="U4349">
        <v>0.15237429999999999</v>
      </c>
      <c r="V4349">
        <v>7.587608E-3</v>
      </c>
      <c r="W4349">
        <v>0.20784320000000001</v>
      </c>
      <c r="X4349">
        <v>0.97813269999999997</v>
      </c>
      <c r="Y4349">
        <v>6.4699030000000005E-2</v>
      </c>
      <c r="Z4349">
        <v>2.6558409999999999E-3</v>
      </c>
      <c r="AA4349">
        <v>0.99790129999999999</v>
      </c>
      <c r="AB4349">
        <v>35</v>
      </c>
      <c r="AC4349">
        <v>-21.9513</v>
      </c>
      <c r="AD4349">
        <v>-1.1209520733029901</v>
      </c>
      <c r="AE4349">
        <v>1.10319999999998</v>
      </c>
      <c r="AF4349">
        <v>1.4415582733610599</v>
      </c>
      <c r="AG4349">
        <v>-1.1209520733029901</v>
      </c>
      <c r="AH4349">
        <v>21.874533956387001</v>
      </c>
      <c r="AI4349">
        <v>92.927195737765601</v>
      </c>
      <c r="AJ4349">
        <v>86.229590707111399</v>
      </c>
      <c r="AK4349">
        <v>21.9506232170129</v>
      </c>
      <c r="AL4349">
        <v>78.004011548350306</v>
      </c>
      <c r="AM4349">
        <v>89.555551925383597</v>
      </c>
      <c r="AN4349">
        <v>0.99999997319534495</v>
      </c>
    </row>
    <row r="4350" spans="1:40" x14ac:dyDescent="0.25">
      <c r="A4350" t="str">
        <f>"20190303162347183"</f>
        <v>20190303162347183</v>
      </c>
      <c r="B4350" t="str">
        <f>"1551601427169096"</f>
        <v>1551601427169096</v>
      </c>
      <c r="C4350" t="s">
        <v>40</v>
      </c>
      <c r="D4350">
        <v>5.2781960000000003</v>
      </c>
      <c r="E4350">
        <v>0.52410920000000005</v>
      </c>
      <c r="F4350" t="s">
        <v>41</v>
      </c>
      <c r="G4350">
        <v>-346.3415</v>
      </c>
      <c r="H4350" s="1">
        <v>-2.252047E-6</v>
      </c>
      <c r="I4350">
        <v>142.24809999999999</v>
      </c>
      <c r="J4350">
        <v>-325.142</v>
      </c>
      <c r="K4350">
        <v>1.120951</v>
      </c>
      <c r="L4350">
        <v>141.1234</v>
      </c>
      <c r="M4350">
        <v>-0.99977150000000004</v>
      </c>
      <c r="N4350">
        <v>-1.462572E-2</v>
      </c>
      <c r="O4350">
        <v>-1.558928E-2</v>
      </c>
      <c r="P4350">
        <v>-0.98110719999999996</v>
      </c>
      <c r="Q4350">
        <v>0.19334580000000001</v>
      </c>
      <c r="R4350">
        <v>-6.7922599999999996E-3</v>
      </c>
      <c r="S4350">
        <v>-3.090881</v>
      </c>
      <c r="T4350">
        <v>-0.16081709999999999</v>
      </c>
      <c r="U4350">
        <v>0.16059880000000001</v>
      </c>
      <c r="V4350">
        <v>8.5127339999999992E-3</v>
      </c>
      <c r="W4350">
        <v>0.20767440000000001</v>
      </c>
      <c r="X4350">
        <v>0.97816099999999995</v>
      </c>
      <c r="Y4350">
        <v>6.7325200000000002E-2</v>
      </c>
      <c r="Z4350">
        <v>2.8245430000000001E-3</v>
      </c>
      <c r="AA4350">
        <v>0.99772709999999998</v>
      </c>
      <c r="AB4350">
        <v>34</v>
      </c>
      <c r="AC4350">
        <v>-21.1995</v>
      </c>
      <c r="AD4350">
        <v>-1.120953252047</v>
      </c>
      <c r="AE4350">
        <v>1.12469999999999</v>
      </c>
      <c r="AF4350">
        <v>1.45103800281979</v>
      </c>
      <c r="AG4350">
        <v>-1.120953252047</v>
      </c>
      <c r="AH4350">
        <v>21.1205027793496</v>
      </c>
      <c r="AI4350">
        <v>93.030944370256904</v>
      </c>
      <c r="AJ4350">
        <v>86.069794498965607</v>
      </c>
      <c r="AK4350">
        <v>21.199945403972599</v>
      </c>
      <c r="AL4350">
        <v>78.013899536777402</v>
      </c>
      <c r="AM4350">
        <v>89.501379203222598</v>
      </c>
      <c r="AN4350">
        <v>1.0000000324882501</v>
      </c>
    </row>
    <row r="4351" spans="1:40" x14ac:dyDescent="0.25">
      <c r="A4351" t="str">
        <f>"20190303162347205"</f>
        <v>20190303162347205</v>
      </c>
      <c r="B4351" t="str">
        <f>"1551601427199352"</f>
        <v>1551601427199352</v>
      </c>
      <c r="C4351" t="s">
        <v>40</v>
      </c>
      <c r="D4351">
        <v>5.2821360000000004</v>
      </c>
      <c r="E4351">
        <v>0.52453319999999903</v>
      </c>
      <c r="F4351" t="s">
        <v>41</v>
      </c>
      <c r="G4351">
        <v>-346.17160000000001</v>
      </c>
      <c r="H4351" s="1">
        <v>-2.32639E-6</v>
      </c>
      <c r="I4351">
        <v>142.25360000000001</v>
      </c>
      <c r="J4351">
        <v>-325.48680000000002</v>
      </c>
      <c r="K4351">
        <v>1.1209519999999999</v>
      </c>
      <c r="L4351">
        <v>141.11799999999999</v>
      </c>
      <c r="M4351">
        <v>-0.99977159999999998</v>
      </c>
      <c r="N4351">
        <v>-1.462199E-2</v>
      </c>
      <c r="O4351">
        <v>-1.558937E-2</v>
      </c>
      <c r="P4351">
        <v>-0.98111490000000001</v>
      </c>
      <c r="Q4351">
        <v>0.19331509999999999</v>
      </c>
      <c r="R4351">
        <v>-6.5904049999999997E-3</v>
      </c>
      <c r="S4351">
        <v>-3.0914000000000001</v>
      </c>
      <c r="T4351">
        <v>-0.16478319999999999</v>
      </c>
      <c r="U4351">
        <v>0.166153</v>
      </c>
      <c r="V4351">
        <v>8.714978E-3</v>
      </c>
      <c r="W4351">
        <v>0.20763989999999999</v>
      </c>
      <c r="X4351">
        <v>0.97816650000000005</v>
      </c>
      <c r="Y4351">
        <v>6.9095019999999993E-2</v>
      </c>
      <c r="Z4351">
        <v>2.9470669999999998E-3</v>
      </c>
      <c r="AA4351">
        <v>0.99760570000000004</v>
      </c>
      <c r="AB4351">
        <v>34</v>
      </c>
      <c r="AC4351">
        <v>-20.684799999999999</v>
      </c>
      <c r="AD4351">
        <v>-1.1209543263899999</v>
      </c>
      <c r="AE4351">
        <v>1.1356000000000099</v>
      </c>
      <c r="AF4351">
        <v>1.4537030404642199</v>
      </c>
      <c r="AG4351">
        <v>-1.1209543263899999</v>
      </c>
      <c r="AH4351">
        <v>20.604252062256201</v>
      </c>
      <c r="AI4351">
        <v>93.1063447396143</v>
      </c>
      <c r="AJ4351">
        <v>85.964267094129099</v>
      </c>
      <c r="AK4351">
        <v>20.685864598239402</v>
      </c>
      <c r="AL4351">
        <v>78.015919777277603</v>
      </c>
      <c r="AM4351">
        <v>89.489536549869399</v>
      </c>
      <c r="AN4351">
        <v>0.99999999031789999</v>
      </c>
    </row>
    <row r="4352" spans="1:40" x14ac:dyDescent="0.25">
      <c r="A4352" t="str">
        <f>"20190303162347238"</f>
        <v>20190303162347238</v>
      </c>
      <c r="B4352" t="str">
        <f>"1551601427228632"</f>
        <v>1551601427228632</v>
      </c>
      <c r="C4352" t="s">
        <v>40</v>
      </c>
      <c r="D4352">
        <v>5.2558870000000004</v>
      </c>
      <c r="E4352">
        <v>0.52484809999999904</v>
      </c>
      <c r="F4352" t="s">
        <v>41</v>
      </c>
      <c r="G4352">
        <v>-345.96940000000001</v>
      </c>
      <c r="H4352" s="1">
        <v>-2.411712E-6</v>
      </c>
      <c r="I4352">
        <v>142.24809999999999</v>
      </c>
      <c r="J4352">
        <v>-326.00110000000001</v>
      </c>
      <c r="K4352">
        <v>1.1209519999999999</v>
      </c>
      <c r="L4352">
        <v>141.11000000000001</v>
      </c>
      <c r="M4352">
        <v>-0.99977179999999999</v>
      </c>
      <c r="N4352">
        <v>-1.4616399999999899E-2</v>
      </c>
      <c r="O4352">
        <v>-1.5589449999999999E-2</v>
      </c>
      <c r="P4352">
        <v>-0.98088900000000001</v>
      </c>
      <c r="Q4352">
        <v>0.1944101</v>
      </c>
      <c r="R4352">
        <v>-7.8809780000000003E-3</v>
      </c>
      <c r="S4352">
        <v>-3.0922239999999999</v>
      </c>
      <c r="T4352">
        <v>-0.16922909999999999</v>
      </c>
      <c r="U4352">
        <v>0.17062379999999999</v>
      </c>
      <c r="V4352">
        <v>7.4211569999999899E-3</v>
      </c>
      <c r="W4352">
        <v>0.20872599999999999</v>
      </c>
      <c r="X4352">
        <v>0.97794599999999998</v>
      </c>
      <c r="Y4352">
        <v>7.0509359999999993E-2</v>
      </c>
      <c r="Z4352">
        <v>3.0670839999999999E-3</v>
      </c>
      <c r="AA4352">
        <v>0.99750640000000002</v>
      </c>
      <c r="AB4352">
        <v>34</v>
      </c>
      <c r="AC4352">
        <v>-19.968299999999999</v>
      </c>
      <c r="AD4352">
        <v>-1.1209544117120001</v>
      </c>
      <c r="AE4352">
        <v>1.1380999999999799</v>
      </c>
      <c r="AF4352">
        <v>1.4447515422133801</v>
      </c>
      <c r="AG4352">
        <v>-1.1209544117120001</v>
      </c>
      <c r="AH4352">
        <v>19.885665272592298</v>
      </c>
      <c r="AI4352">
        <v>93.217883468116995</v>
      </c>
      <c r="AJ4352">
        <v>85.844595716111201</v>
      </c>
      <c r="AK4352">
        <v>19.969565071514399</v>
      </c>
      <c r="AL4352">
        <v>77.952296933510397</v>
      </c>
      <c r="AM4352">
        <v>89.565218515464196</v>
      </c>
      <c r="AN4352">
        <v>0.99999999778160897</v>
      </c>
    </row>
    <row r="4353" spans="1:40" x14ac:dyDescent="0.25">
      <c r="A4353" t="str">
        <f>"20190303162347258"</f>
        <v>20190303162347258</v>
      </c>
      <c r="B4353" t="str">
        <f>"1551601427249128"</f>
        <v>1551601427249128</v>
      </c>
      <c r="C4353" t="s">
        <v>40</v>
      </c>
      <c r="D4353">
        <v>5.2302989999999996</v>
      </c>
      <c r="E4353">
        <v>0.52497469999999902</v>
      </c>
      <c r="F4353" t="s">
        <v>41</v>
      </c>
      <c r="G4353">
        <v>-346.56970000000001</v>
      </c>
      <c r="H4353" s="1">
        <v>-2.152128E-6</v>
      </c>
      <c r="I4353">
        <v>142.24039999999999</v>
      </c>
      <c r="J4353">
        <v>-326.32249999999999</v>
      </c>
      <c r="K4353">
        <v>1.120957</v>
      </c>
      <c r="L4353">
        <v>141.10499999999999</v>
      </c>
      <c r="M4353">
        <v>-0.99977190000000005</v>
      </c>
      <c r="N4353">
        <v>-1.461287E-2</v>
      </c>
      <c r="O4353">
        <v>-1.558942E-2</v>
      </c>
      <c r="P4353">
        <v>-0.98072709999999996</v>
      </c>
      <c r="Q4353">
        <v>0.19518340000000001</v>
      </c>
      <c r="R4353">
        <v>-8.8537609999999999E-3</v>
      </c>
      <c r="S4353">
        <v>-3.0932309999999998</v>
      </c>
      <c r="T4353">
        <v>-0.168577</v>
      </c>
      <c r="U4353">
        <v>0.17001340000000001</v>
      </c>
      <c r="V4353">
        <v>6.4459720000000003E-3</v>
      </c>
      <c r="W4353">
        <v>0.2094936</v>
      </c>
      <c r="X4353">
        <v>0.97778880000000001</v>
      </c>
      <c r="Y4353">
        <v>7.0296769999999995E-2</v>
      </c>
      <c r="Z4353">
        <v>3.048088E-3</v>
      </c>
      <c r="AA4353">
        <v>0.99752149999999995</v>
      </c>
      <c r="AB4353">
        <v>34</v>
      </c>
      <c r="AC4353">
        <v>-20.247199999999999</v>
      </c>
      <c r="AD4353">
        <v>-1.120959152128</v>
      </c>
      <c r="AE4353">
        <v>1.1354</v>
      </c>
      <c r="AF4353">
        <v>1.4465178646230199</v>
      </c>
      <c r="AG4353">
        <v>-1.120959152128</v>
      </c>
      <c r="AH4353">
        <v>20.165420891701899</v>
      </c>
      <c r="AI4353">
        <v>93.173556246947697</v>
      </c>
      <c r="AJ4353">
        <v>85.897053047543807</v>
      </c>
      <c r="AK4353">
        <v>20.248287905225499</v>
      </c>
      <c r="AL4353">
        <v>77.907322775785104</v>
      </c>
      <c r="AM4353">
        <v>89.622288943870998</v>
      </c>
      <c r="AN4353">
        <v>1.00000002820071</v>
      </c>
    </row>
    <row r="4354" spans="1:40" x14ac:dyDescent="0.25">
      <c r="A4354" t="str">
        <f>"20190303162347283"</f>
        <v>20190303162347283</v>
      </c>
      <c r="B4354" t="str">
        <f>"1551601427268648"</f>
        <v>1551601427268648</v>
      </c>
      <c r="C4354" t="s">
        <v>40</v>
      </c>
      <c r="D4354">
        <v>5.2087969999999997</v>
      </c>
      <c r="E4354">
        <v>0.52517899999999995</v>
      </c>
      <c r="F4354" t="s">
        <v>41</v>
      </c>
      <c r="G4354">
        <v>-346.88389999999998</v>
      </c>
      <c r="H4354" s="1">
        <v>-2.0121420000000001E-6</v>
      </c>
      <c r="I4354">
        <v>142.2209</v>
      </c>
      <c r="J4354">
        <v>-326.68970000000002</v>
      </c>
      <c r="K4354">
        <v>1.1209639999999901</v>
      </c>
      <c r="L4354">
        <v>141.0992</v>
      </c>
      <c r="M4354">
        <v>-0.99977169999999904</v>
      </c>
      <c r="N4354">
        <v>-1.460882E-2</v>
      </c>
      <c r="O4354">
        <v>-1.5589270000000001E-2</v>
      </c>
      <c r="P4354">
        <v>-0.98071770000000003</v>
      </c>
      <c r="Q4354">
        <v>0.19516649999999999</v>
      </c>
      <c r="R4354">
        <v>-1.012622E-2</v>
      </c>
      <c r="S4354">
        <v>-3.0940859999999999</v>
      </c>
      <c r="T4354">
        <v>-0.16868269999999999</v>
      </c>
      <c r="U4354">
        <v>0.16793820000000001</v>
      </c>
      <c r="V4354">
        <v>5.1731420000000004E-3</v>
      </c>
      <c r="W4354">
        <v>0.20947360000000001</v>
      </c>
      <c r="X4354">
        <v>0.97780060000000002</v>
      </c>
      <c r="Y4354">
        <v>6.9615640000000006E-2</v>
      </c>
      <c r="Z4354">
        <v>3.0254829999999998E-3</v>
      </c>
      <c r="AA4354">
        <v>0.99756929999999999</v>
      </c>
      <c r="AB4354">
        <v>34</v>
      </c>
      <c r="AC4354">
        <v>-20.194199999999899</v>
      </c>
      <c r="AD4354">
        <v>-1.12096601214199</v>
      </c>
      <c r="AE4354">
        <v>1.1216999999999999</v>
      </c>
      <c r="AF4354">
        <v>1.43201125327995</v>
      </c>
      <c r="AG4354">
        <v>-1.12096601214199</v>
      </c>
      <c r="AH4354">
        <v>20.1124755120128</v>
      </c>
      <c r="AI4354">
        <v>93.182033026439996</v>
      </c>
      <c r="AJ4354">
        <v>85.927404637368795</v>
      </c>
      <c r="AK4354">
        <v>20.1945262943009</v>
      </c>
      <c r="AL4354">
        <v>77.908494125700599</v>
      </c>
      <c r="AM4354">
        <v>89.6968743545156</v>
      </c>
      <c r="AN4354">
        <v>0.99999998192773598</v>
      </c>
    </row>
    <row r="4355" spans="1:40" x14ac:dyDescent="0.25">
      <c r="A4355" t="str">
        <f>"20190303162347305"</f>
        <v>20190303162347305</v>
      </c>
      <c r="B4355" t="str">
        <f>"1551601427298904"</f>
        <v>1551601427298904</v>
      </c>
      <c r="C4355" t="s">
        <v>40</v>
      </c>
      <c r="D4355">
        <v>5.1792049999999996</v>
      </c>
      <c r="E4355">
        <v>0.52550730000000001</v>
      </c>
      <c r="F4355" t="s">
        <v>41</v>
      </c>
      <c r="G4355">
        <v>-347.10039999999998</v>
      </c>
      <c r="H4355" s="1">
        <v>-1.9112410000000001E-6</v>
      </c>
      <c r="I4355">
        <v>142.1908</v>
      </c>
      <c r="J4355">
        <v>-327.03460000000001</v>
      </c>
      <c r="K4355">
        <v>1.120965</v>
      </c>
      <c r="L4355">
        <v>141.09389999999999</v>
      </c>
      <c r="M4355">
        <v>-0.99977169999999904</v>
      </c>
      <c r="N4355">
        <v>-1.460499E-2</v>
      </c>
      <c r="O4355">
        <v>-1.5589250000000001E-2</v>
      </c>
      <c r="P4355">
        <v>-0.98079530000000004</v>
      </c>
      <c r="Q4355">
        <v>0.19468340000000001</v>
      </c>
      <c r="R4355">
        <v>-1.1786939999999999E-2</v>
      </c>
      <c r="S4355">
        <v>-3.0945130000000001</v>
      </c>
      <c r="T4355">
        <v>-0.1699522</v>
      </c>
      <c r="U4355">
        <v>0.1655121</v>
      </c>
      <c r="V4355">
        <v>3.513899E-3</v>
      </c>
      <c r="W4355">
        <v>0.20898810000000001</v>
      </c>
      <c r="X4355">
        <v>0.97791189999999995</v>
      </c>
      <c r="Y4355">
        <v>6.8827810000000003E-2</v>
      </c>
      <c r="Z4355">
        <v>3.0183279999999998E-3</v>
      </c>
      <c r="AA4355">
        <v>0.99762399999999996</v>
      </c>
      <c r="AB4355">
        <v>34</v>
      </c>
      <c r="AC4355">
        <v>-20.0657999999999</v>
      </c>
      <c r="AD4355">
        <v>-1.1209669112409999</v>
      </c>
      <c r="AE4355">
        <v>1.0969</v>
      </c>
      <c r="AF4355">
        <v>1.4052383813521401</v>
      </c>
      <c r="AG4355">
        <v>-1.1209669112409999</v>
      </c>
      <c r="AH4355">
        <v>19.9840779583641</v>
      </c>
      <c r="AI4355">
        <v>93.202636225890799</v>
      </c>
      <c r="AJ4355">
        <v>85.977701988247802</v>
      </c>
      <c r="AK4355">
        <v>20.064760989618001</v>
      </c>
      <c r="AL4355">
        <v>77.936941433561103</v>
      </c>
      <c r="AM4355">
        <v>89.794121826475703</v>
      </c>
      <c r="AN4355">
        <v>1.0000000287947</v>
      </c>
    </row>
    <row r="4356" spans="1:40" x14ac:dyDescent="0.25">
      <c r="A4356" t="str">
        <f>"20190303162347328"</f>
        <v>20190303162347328</v>
      </c>
      <c r="B4356" t="str">
        <f>"1551601427319399"</f>
        <v>1551601427319399</v>
      </c>
      <c r="C4356" t="s">
        <v>40</v>
      </c>
      <c r="D4356">
        <v>5.1790289999999999</v>
      </c>
      <c r="E4356">
        <v>0.52569999999999995</v>
      </c>
      <c r="F4356" t="s">
        <v>41</v>
      </c>
      <c r="G4356">
        <v>-347.12119999999999</v>
      </c>
      <c r="H4356" s="1">
        <v>-1.892673E-6</v>
      </c>
      <c r="I4356">
        <v>142.15459999999999</v>
      </c>
      <c r="J4356">
        <v>-327.3741</v>
      </c>
      <c r="K4356">
        <v>1.120965</v>
      </c>
      <c r="L4356">
        <v>141.08860000000001</v>
      </c>
      <c r="M4356">
        <v>-0.99977199999999999</v>
      </c>
      <c r="N4356">
        <v>-1.460121E-2</v>
      </c>
      <c r="O4356">
        <v>-1.558958E-2</v>
      </c>
      <c r="P4356">
        <v>-0.98075520000000005</v>
      </c>
      <c r="Q4356">
        <v>0.1948298</v>
      </c>
      <c r="R4356">
        <v>-1.267969E-2</v>
      </c>
      <c r="S4356">
        <v>-3.0950319999999998</v>
      </c>
      <c r="T4356">
        <v>-0.17272379999999901</v>
      </c>
      <c r="U4356">
        <v>0.16345209999999999</v>
      </c>
      <c r="V4356">
        <v>2.620795E-3</v>
      </c>
      <c r="W4356">
        <v>0.20913039999999999</v>
      </c>
      <c r="X4356">
        <v>0.97788419999999998</v>
      </c>
      <c r="Y4356">
        <v>6.8154049999999994E-2</v>
      </c>
      <c r="Z4356">
        <v>3.0388099999999999E-3</v>
      </c>
      <c r="AA4356">
        <v>0.99767019999999995</v>
      </c>
      <c r="AB4356">
        <v>34</v>
      </c>
      <c r="AC4356">
        <v>-19.7470999999999</v>
      </c>
      <c r="AD4356">
        <v>-1.1209668926729901</v>
      </c>
      <c r="AE4356">
        <v>1.0659999999999701</v>
      </c>
      <c r="AF4356">
        <v>1.36935242544782</v>
      </c>
      <c r="AG4356">
        <v>-1.1209668926729901</v>
      </c>
      <c r="AH4356">
        <v>19.664895506605799</v>
      </c>
      <c r="AI4356">
        <v>93.254662139342003</v>
      </c>
      <c r="AJ4356">
        <v>86.016675029665095</v>
      </c>
      <c r="AK4356">
        <v>19.744361426120399</v>
      </c>
      <c r="AL4356">
        <v>77.928603055137202</v>
      </c>
      <c r="AM4356">
        <v>89.846443849948301</v>
      </c>
      <c r="AN4356">
        <v>0.99999995069011405</v>
      </c>
    </row>
    <row r="4357" spans="1:40" x14ac:dyDescent="0.25">
      <c r="A4357" t="str">
        <f>"20190303162347350"</f>
        <v>20190303162347350</v>
      </c>
      <c r="B4357" t="str">
        <f>"1551601427338920"</f>
        <v>1551601427338920</v>
      </c>
      <c r="C4357" t="s">
        <v>40</v>
      </c>
      <c r="D4357">
        <v>5.1597200000000001</v>
      </c>
      <c r="E4357">
        <v>0.52595449999999999</v>
      </c>
      <c r="F4357" t="s">
        <v>41</v>
      </c>
      <c r="G4357">
        <v>-347.41829999999999</v>
      </c>
      <c r="H4357" s="1">
        <v>-1.7606659999999901E-6</v>
      </c>
      <c r="I4357">
        <v>142.13749999999999</v>
      </c>
      <c r="J4357">
        <v>-327.71769999999998</v>
      </c>
      <c r="K4357">
        <v>1.120959</v>
      </c>
      <c r="L4357">
        <v>141.08320000000001</v>
      </c>
      <c r="M4357">
        <v>-0.99977199999999999</v>
      </c>
      <c r="N4357">
        <v>-1.459741E-2</v>
      </c>
      <c r="O4357">
        <v>-1.5589550000000001E-2</v>
      </c>
      <c r="P4357">
        <v>-0.98076079999999999</v>
      </c>
      <c r="Q4357">
        <v>0.19481950000000001</v>
      </c>
      <c r="R4357">
        <v>-1.241096E-2</v>
      </c>
      <c r="S4357">
        <v>-3.095367</v>
      </c>
      <c r="T4357">
        <v>-0.17310809999999999</v>
      </c>
      <c r="U4357">
        <v>0.161987299999999</v>
      </c>
      <c r="V4357">
        <v>2.889609E-3</v>
      </c>
      <c r="W4357">
        <v>0.20911589999999999</v>
      </c>
      <c r="X4357">
        <v>0.97788660000000005</v>
      </c>
      <c r="Y4357">
        <v>6.7677829999999994E-2</v>
      </c>
      <c r="Z4357">
        <v>3.027835E-3</v>
      </c>
      <c r="AA4357">
        <v>0.99770270000000005</v>
      </c>
      <c r="AB4357">
        <v>34</v>
      </c>
      <c r="AC4357">
        <v>-19.700600000000001</v>
      </c>
      <c r="AD4357">
        <v>-1.1209607606659999</v>
      </c>
      <c r="AE4357">
        <v>1.05429999999998</v>
      </c>
      <c r="AF4357">
        <v>1.3569473453066001</v>
      </c>
      <c r="AG4357">
        <v>-1.1209607606659999</v>
      </c>
      <c r="AH4357">
        <v>19.618432513403</v>
      </c>
      <c r="AI4357">
        <v>93.262440918286899</v>
      </c>
      <c r="AJ4357">
        <v>86.0433267215124</v>
      </c>
      <c r="AK4357">
        <v>19.697227048694799</v>
      </c>
      <c r="AL4357">
        <v>77.9294533058995</v>
      </c>
      <c r="AM4357">
        <v>89.830694153839005</v>
      </c>
      <c r="AN4357">
        <v>1.0000000059662699</v>
      </c>
    </row>
    <row r="4358" spans="1:40" x14ac:dyDescent="0.25">
      <c r="A4358" t="str">
        <f>"20190303162347372"</f>
        <v>20190303162347372</v>
      </c>
      <c r="B4358" t="str">
        <f>"1551601427359416"</f>
        <v>1551601427359416</v>
      </c>
      <c r="C4358" t="s">
        <v>40</v>
      </c>
      <c r="D4358">
        <v>5.1510400000000001</v>
      </c>
      <c r="E4358">
        <v>0.52617080000000005</v>
      </c>
      <c r="F4358" t="s">
        <v>41</v>
      </c>
      <c r="G4358">
        <v>-347.62699999999899</v>
      </c>
      <c r="H4358" s="1">
        <v>-1.6712289999999999E-6</v>
      </c>
      <c r="I4358">
        <v>142.1378</v>
      </c>
      <c r="J4358">
        <v>-328.048</v>
      </c>
      <c r="K4358">
        <v>1.1209639999999901</v>
      </c>
      <c r="L4358">
        <v>141.07810000000001</v>
      </c>
      <c r="M4358">
        <v>-0.99977210000000005</v>
      </c>
      <c r="N4358">
        <v>-1.4593760000000001E-2</v>
      </c>
      <c r="O4358">
        <v>-1.5589520000000001E-2</v>
      </c>
      <c r="P4358">
        <v>-0.98087820000000003</v>
      </c>
      <c r="Q4358">
        <v>0.19426189999999999</v>
      </c>
      <c r="R4358">
        <v>-1.1849470000000001E-2</v>
      </c>
      <c r="S4358">
        <v>-3.09552</v>
      </c>
      <c r="T4358">
        <v>-0.17428829999999901</v>
      </c>
      <c r="U4358">
        <v>0.1639862</v>
      </c>
      <c r="V4358">
        <v>3.4528979999999998E-3</v>
      </c>
      <c r="W4358">
        <v>0.20855679999999999</v>
      </c>
      <c r="X4358">
        <v>0.97800419999999999</v>
      </c>
      <c r="Y4358">
        <v>6.8314570000000005E-2</v>
      </c>
      <c r="Z4358">
        <v>3.0689469999999998E-3</v>
      </c>
      <c r="AA4358">
        <v>0.99765910000000002</v>
      </c>
      <c r="AB4358">
        <v>34</v>
      </c>
      <c r="AC4358">
        <v>-19.578999999999901</v>
      </c>
      <c r="AD4358">
        <v>-1.1209656712289999</v>
      </c>
      <c r="AE4358">
        <v>1.0596999999999901</v>
      </c>
      <c r="AF4358">
        <v>1.3603846132136199</v>
      </c>
      <c r="AG4358">
        <v>-1.1209656712289999</v>
      </c>
      <c r="AH4358">
        <v>19.4963765365288</v>
      </c>
      <c r="AI4358">
        <v>93.282697074274594</v>
      </c>
      <c r="AJ4358">
        <v>86.008583010511202</v>
      </c>
      <c r="AK4358">
        <v>19.575901215168901</v>
      </c>
      <c r="AL4358">
        <v>77.962210028592594</v>
      </c>
      <c r="AM4358">
        <v>89.797714917280999</v>
      </c>
      <c r="AN4358">
        <v>1.00000003827423</v>
      </c>
    </row>
    <row r="4359" spans="1:40" x14ac:dyDescent="0.25">
      <c r="A4359" t="str">
        <f>"20190303162347394"</f>
        <v>20190303162347394</v>
      </c>
      <c r="B4359" t="str">
        <f>"1551601427388697"</f>
        <v>1551601427388697</v>
      </c>
      <c r="C4359" t="s">
        <v>40</v>
      </c>
      <c r="D4359">
        <v>5.1647429999999996</v>
      </c>
      <c r="E4359">
        <v>0.52645509999999995</v>
      </c>
      <c r="F4359" t="s">
        <v>41</v>
      </c>
      <c r="G4359">
        <v>-347.68340000000001</v>
      </c>
      <c r="H4359" s="1">
        <v>-1.648562E-6</v>
      </c>
      <c r="I4359">
        <v>142.14359999999999</v>
      </c>
      <c r="J4359">
        <v>-328.39150000000001</v>
      </c>
      <c r="K4359">
        <v>1.1209629999999999</v>
      </c>
      <c r="L4359">
        <v>141.0727</v>
      </c>
      <c r="M4359">
        <v>-0.9997722</v>
      </c>
      <c r="N4359">
        <v>-1.4589960000000001E-2</v>
      </c>
      <c r="O4359">
        <v>-1.558962E-2</v>
      </c>
      <c r="P4359">
        <v>-0.98097420000000002</v>
      </c>
      <c r="Q4359">
        <v>0.1938385</v>
      </c>
      <c r="R4359">
        <v>-1.079666E-2</v>
      </c>
      <c r="S4359">
        <v>-3.09552</v>
      </c>
      <c r="T4359">
        <v>-0.1767204</v>
      </c>
      <c r="U4359">
        <v>0.16798399999999999</v>
      </c>
      <c r="V4359">
        <v>4.507184E-3</v>
      </c>
      <c r="W4359">
        <v>0.2081305</v>
      </c>
      <c r="X4359">
        <v>0.97809069999999998</v>
      </c>
      <c r="Y4359">
        <v>6.9592840000000003E-2</v>
      </c>
      <c r="Z4359">
        <v>3.1535650000000001E-3</v>
      </c>
      <c r="AA4359">
        <v>0.99757050000000003</v>
      </c>
      <c r="AB4359">
        <v>34</v>
      </c>
      <c r="AC4359">
        <v>-19.291899999999998</v>
      </c>
      <c r="AD4359">
        <v>-1.120964648562</v>
      </c>
      <c r="AE4359">
        <v>1.07089999999999</v>
      </c>
      <c r="AF4359">
        <v>1.3669541892439301</v>
      </c>
      <c r="AG4359">
        <v>-1.120964648562</v>
      </c>
      <c r="AH4359">
        <v>19.208205974354598</v>
      </c>
      <c r="AI4359">
        <v>93.331508741281198</v>
      </c>
      <c r="AJ4359">
        <v>85.929401811908505</v>
      </c>
      <c r="AK4359">
        <v>19.2893831485626</v>
      </c>
      <c r="AL4359">
        <v>77.987182998536497</v>
      </c>
      <c r="AM4359">
        <v>89.735974595418696</v>
      </c>
      <c r="AN4359">
        <v>1.00000001858217</v>
      </c>
    </row>
    <row r="4360" spans="1:40" x14ac:dyDescent="0.25">
      <c r="A4360" t="str">
        <f>"20190303162347417"</f>
        <v>20190303162347417</v>
      </c>
      <c r="B4360" t="str">
        <f>"1551601427409192"</f>
        <v>1551601427409192</v>
      </c>
      <c r="C4360" t="s">
        <v>40</v>
      </c>
      <c r="D4360">
        <v>5.1661530000000004</v>
      </c>
      <c r="E4360">
        <v>0.52669509999999997</v>
      </c>
      <c r="F4360" t="s">
        <v>41</v>
      </c>
      <c r="G4360">
        <v>-347.7688</v>
      </c>
      <c r="H4360" s="1">
        <v>-1.6169970000000001E-6</v>
      </c>
      <c r="I4360">
        <v>142.1626</v>
      </c>
      <c r="J4360">
        <v>-328.7278</v>
      </c>
      <c r="K4360">
        <v>1.1209549999999999</v>
      </c>
      <c r="L4360">
        <v>141.0675</v>
      </c>
      <c r="M4360">
        <v>-0.99977210000000005</v>
      </c>
      <c r="N4360">
        <v>-1.458622E-2</v>
      </c>
      <c r="O4360">
        <v>-1.5589469999999999E-2</v>
      </c>
      <c r="P4360">
        <v>-0.9810818</v>
      </c>
      <c r="Q4360">
        <v>0.19332550000000001</v>
      </c>
      <c r="R4360">
        <v>-1.018313E-2</v>
      </c>
      <c r="S4360">
        <v>-3.095459</v>
      </c>
      <c r="T4360">
        <v>-0.17907089999999901</v>
      </c>
      <c r="U4360">
        <v>0.17411799999999999</v>
      </c>
      <c r="V4360">
        <v>5.1220989999999997E-3</v>
      </c>
      <c r="W4360">
        <v>0.20761560000000001</v>
      </c>
      <c r="X4360">
        <v>0.97819710000000004</v>
      </c>
      <c r="Y4360">
        <v>7.1556410000000001E-2</v>
      </c>
      <c r="Z4360">
        <v>3.2626370000000001E-3</v>
      </c>
      <c r="AA4360">
        <v>0.99743119999999996</v>
      </c>
      <c r="AB4360">
        <v>34</v>
      </c>
      <c r="AC4360">
        <v>-19.041</v>
      </c>
      <c r="AD4360">
        <v>-1.120956616997</v>
      </c>
      <c r="AE4360">
        <v>1.0951</v>
      </c>
      <c r="AF4360">
        <v>1.3870462493711799</v>
      </c>
      <c r="AG4360">
        <v>-1.120956616997</v>
      </c>
      <c r="AH4360">
        <v>18.956130989083501</v>
      </c>
      <c r="AI4360">
        <v>93.375199524435104</v>
      </c>
      <c r="AJ4360">
        <v>85.815046972035603</v>
      </c>
      <c r="AK4360">
        <v>19.039835690214701</v>
      </c>
      <c r="AL4360">
        <v>78.017343440690695</v>
      </c>
      <c r="AM4360">
        <v>89.699986870965205</v>
      </c>
      <c r="AN4360">
        <v>1.0000000198549599</v>
      </c>
    </row>
    <row r="4361" spans="1:40" x14ac:dyDescent="0.25">
      <c r="A4361" t="str">
        <f>"20190303162347438"</f>
        <v>20190303162347438</v>
      </c>
      <c r="B4361" t="str">
        <f>"1551601427428712"</f>
        <v>1551601427428712</v>
      </c>
      <c r="C4361" t="s">
        <v>40</v>
      </c>
      <c r="D4361">
        <v>5.1738390000000001</v>
      </c>
      <c r="E4361">
        <v>0.52688219999999997</v>
      </c>
      <c r="F4361" t="s">
        <v>41</v>
      </c>
      <c r="G4361">
        <v>-347.93209999999999</v>
      </c>
      <c r="H4361" s="1">
        <v>-1.5483380000000001E-6</v>
      </c>
      <c r="I4361">
        <v>142.1678</v>
      </c>
      <c r="J4361">
        <v>-329.05119999999999</v>
      </c>
      <c r="K4361">
        <v>1.12096</v>
      </c>
      <c r="L4361">
        <v>141.0624</v>
      </c>
      <c r="M4361">
        <v>-0.99977229999999995</v>
      </c>
      <c r="N4361">
        <v>-1.4582329999999999E-2</v>
      </c>
      <c r="O4361">
        <v>-1.5589560000000001E-2</v>
      </c>
      <c r="P4361">
        <v>-0.98107940000000005</v>
      </c>
      <c r="Q4361">
        <v>0.19339049999999999</v>
      </c>
      <c r="R4361">
        <v>-9.1388790000000008E-3</v>
      </c>
      <c r="S4361">
        <v>-3.0953369999999998</v>
      </c>
      <c r="T4361">
        <v>-0.180676</v>
      </c>
      <c r="U4361">
        <v>0.1773682</v>
      </c>
      <c r="V4361">
        <v>6.1662899999999996E-3</v>
      </c>
      <c r="W4361">
        <v>0.20767620000000001</v>
      </c>
      <c r="X4361">
        <v>0.9781782</v>
      </c>
      <c r="Y4361">
        <v>7.2597620000000002E-2</v>
      </c>
      <c r="Z4361">
        <v>3.327118E-3</v>
      </c>
      <c r="AA4361">
        <v>0.99735580000000001</v>
      </c>
      <c r="AB4361">
        <v>34</v>
      </c>
      <c r="AC4361">
        <v>-18.8809</v>
      </c>
      <c r="AD4361">
        <v>-1.120961548338</v>
      </c>
      <c r="AE4361">
        <v>1.1053999999999999</v>
      </c>
      <c r="AF4361">
        <v>1.39474240093089</v>
      </c>
      <c r="AG4361">
        <v>-1.120961548338</v>
      </c>
      <c r="AH4361">
        <v>18.7953467177799</v>
      </c>
      <c r="AI4361">
        <v>93.4037622055193</v>
      </c>
      <c r="AJ4361">
        <v>85.756042544144194</v>
      </c>
      <c r="AK4361">
        <v>18.880331548978798</v>
      </c>
      <c r="AL4361">
        <v>78.013793820851305</v>
      </c>
      <c r="AM4361">
        <v>89.638820705206896</v>
      </c>
      <c r="AN4361">
        <v>1.00000000906702</v>
      </c>
    </row>
    <row r="4362" spans="1:40" x14ac:dyDescent="0.25">
      <c r="A4362" t="str">
        <f>"20190303162347461"</f>
        <v>20190303162347461</v>
      </c>
      <c r="B4362" t="str">
        <f>"1551601427449208"</f>
        <v>1551601427449208</v>
      </c>
      <c r="C4362" t="s">
        <v>40</v>
      </c>
      <c r="D4362">
        <v>5.1878289999999998</v>
      </c>
      <c r="E4362">
        <v>0.52703459999999902</v>
      </c>
      <c r="F4362" t="s">
        <v>41</v>
      </c>
      <c r="G4362">
        <v>-348.21980000000002</v>
      </c>
      <c r="H4362" s="1">
        <v>-1.4301319999999999E-6</v>
      </c>
      <c r="I4362">
        <v>142.1874</v>
      </c>
      <c r="J4362">
        <v>-329.3913</v>
      </c>
      <c r="K4362">
        <v>1.120965</v>
      </c>
      <c r="L4362">
        <v>141.05719999999999</v>
      </c>
      <c r="M4362">
        <v>-0.99977229999999995</v>
      </c>
      <c r="N4362">
        <v>-1.457842E-2</v>
      </c>
      <c r="O4362">
        <v>-1.5589530000000001E-2</v>
      </c>
      <c r="P4362">
        <v>-0.98105929999999997</v>
      </c>
      <c r="Q4362">
        <v>0.19354560000000001</v>
      </c>
      <c r="R4362">
        <v>-7.9418749999999993E-3</v>
      </c>
      <c r="S4362">
        <v>-3.0951840000000002</v>
      </c>
      <c r="T4362">
        <v>-0.1810042</v>
      </c>
      <c r="U4362">
        <v>0.1816711</v>
      </c>
      <c r="V4362">
        <v>7.3628829999999998E-3</v>
      </c>
      <c r="W4362">
        <v>0.20782729999999999</v>
      </c>
      <c r="X4362">
        <v>0.97813779999999995</v>
      </c>
      <c r="Y4362">
        <v>7.3978719999999998E-2</v>
      </c>
      <c r="Z4362">
        <v>3.3829820000000001E-3</v>
      </c>
      <c r="AA4362">
        <v>0.99725410000000003</v>
      </c>
      <c r="AB4362">
        <v>34</v>
      </c>
      <c r="AC4362">
        <v>-18.828499999999998</v>
      </c>
      <c r="AD4362">
        <v>-1.1209664301319999</v>
      </c>
      <c r="AE4362">
        <v>1.1302000000000001</v>
      </c>
      <c r="AF4362">
        <v>1.4186110544778801</v>
      </c>
      <c r="AG4362">
        <v>-1.1209664301319999</v>
      </c>
      <c r="AH4362">
        <v>18.742396505142601</v>
      </c>
      <c r="AI4362">
        <v>93.412994095207395</v>
      </c>
      <c r="AJ4362">
        <v>85.671538595899506</v>
      </c>
      <c r="AK4362">
        <v>18.829403862505799</v>
      </c>
      <c r="AL4362">
        <v>78.004942937266605</v>
      </c>
      <c r="AM4362">
        <v>89.568717052649404</v>
      </c>
      <c r="AN4362">
        <v>0.99999997723010003</v>
      </c>
    </row>
    <row r="4363" spans="1:40" x14ac:dyDescent="0.25">
      <c r="A4363" t="str">
        <f>"20190303162347484"</f>
        <v>20190303162347484</v>
      </c>
      <c r="B4363" t="str">
        <f>"1551601427479464"</f>
        <v>1551601427479464</v>
      </c>
      <c r="C4363" t="s">
        <v>40</v>
      </c>
      <c r="D4363">
        <v>5.2235639999999997</v>
      </c>
      <c r="E4363">
        <v>0.53313840000000001</v>
      </c>
      <c r="F4363" t="s">
        <v>41</v>
      </c>
      <c r="G4363">
        <v>-348.48579999999998</v>
      </c>
      <c r="H4363" s="1">
        <v>-1.3209299999999999E-6</v>
      </c>
      <c r="I4363">
        <v>142.20590000000001</v>
      </c>
      <c r="J4363">
        <v>-329.73869999999999</v>
      </c>
      <c r="K4363">
        <v>1.120967</v>
      </c>
      <c r="L4363">
        <v>141.05170000000001</v>
      </c>
      <c r="M4363">
        <v>-0.9997722</v>
      </c>
      <c r="N4363">
        <v>-1.4574709999999999E-2</v>
      </c>
      <c r="O4363">
        <v>-1.5589510000000001E-2</v>
      </c>
      <c r="P4363">
        <v>-0.98111800000000005</v>
      </c>
      <c r="Q4363">
        <v>0.19326860000000001</v>
      </c>
      <c r="R4363">
        <v>-7.4174729999999999E-3</v>
      </c>
      <c r="S4363">
        <v>-3.0952760000000001</v>
      </c>
      <c r="T4363">
        <v>-0.1817124</v>
      </c>
      <c r="U4363">
        <v>0.1862335</v>
      </c>
      <c r="V4363">
        <v>7.8882109999999991E-3</v>
      </c>
      <c r="W4363">
        <v>0.20754700000000001</v>
      </c>
      <c r="X4363">
        <v>0.97819319999999998</v>
      </c>
      <c r="Y4363">
        <v>7.5437290000000004E-2</v>
      </c>
      <c r="Z4363">
        <v>3.4480969999999998E-3</v>
      </c>
      <c r="AA4363">
        <v>0.99714460000000005</v>
      </c>
      <c r="AB4363">
        <v>34</v>
      </c>
      <c r="AC4363">
        <v>-18.7470999999999</v>
      </c>
      <c r="AD4363">
        <v>-1.1209683209299901</v>
      </c>
      <c r="AE4363">
        <v>1.1541999999999999</v>
      </c>
      <c r="AF4363">
        <v>1.4412154790852101</v>
      </c>
      <c r="AG4363">
        <v>-1.1209683209299901</v>
      </c>
      <c r="AH4363">
        <v>18.660360599143399</v>
      </c>
      <c r="AI4363">
        <v>93.427567199582498</v>
      </c>
      <c r="AJ4363">
        <v>85.583581650408902</v>
      </c>
      <c r="AK4363">
        <v>18.749472785221101</v>
      </c>
      <c r="AL4363">
        <v>78.021360710190095</v>
      </c>
      <c r="AM4363">
        <v>89.537973273874798</v>
      </c>
      <c r="AN4363">
        <v>0.99999995880400905</v>
      </c>
    </row>
    <row r="4364" spans="1:40" x14ac:dyDescent="0.25">
      <c r="A4364" t="str">
        <f>"20190303162347505"</f>
        <v>20190303162347505</v>
      </c>
      <c r="B4364" t="str">
        <f>"1551601427498984"</f>
        <v>1551601427498984</v>
      </c>
      <c r="C4364" t="s">
        <v>40</v>
      </c>
      <c r="D4364">
        <v>5.2666130000000004</v>
      </c>
      <c r="E4364">
        <v>0.53109680000000004</v>
      </c>
      <c r="F4364" t="s">
        <v>42</v>
      </c>
      <c r="G4364">
        <v>-330.71089999999998</v>
      </c>
      <c r="H4364">
        <v>0.94604619999999995</v>
      </c>
      <c r="I4364">
        <v>141.12360000000001</v>
      </c>
      <c r="J4364">
        <v>-330.07780000000002</v>
      </c>
      <c r="K4364">
        <v>1.1209659999999999</v>
      </c>
      <c r="L4364">
        <v>141.04650000000001</v>
      </c>
      <c r="M4364">
        <v>-0.99977240000000001</v>
      </c>
      <c r="N4364">
        <v>-1.457118E-2</v>
      </c>
      <c r="O4364">
        <v>-1.5589479999999999E-2</v>
      </c>
      <c r="P4364">
        <v>-0.98127249999999999</v>
      </c>
      <c r="Q4364">
        <v>0.1924872</v>
      </c>
      <c r="R4364">
        <v>-7.2873080000000002E-3</v>
      </c>
      <c r="S4364">
        <v>-3.1719360000000001</v>
      </c>
      <c r="T4364">
        <v>-0.57074939999999996</v>
      </c>
      <c r="U4364">
        <v>0.23371890000000001</v>
      </c>
      <c r="V4364">
        <v>8.0205550000000004E-3</v>
      </c>
      <c r="W4364">
        <v>0.2067647</v>
      </c>
      <c r="X4364">
        <v>0.9783579</v>
      </c>
      <c r="Y4364">
        <v>8.7303580000000006E-2</v>
      </c>
      <c r="Z4364">
        <v>1.097836E-2</v>
      </c>
      <c r="AA4364">
        <v>0.99612129999999999</v>
      </c>
      <c r="AB4364">
        <v>34</v>
      </c>
      <c r="AC4364">
        <v>-0.63309999999995603</v>
      </c>
      <c r="AD4364">
        <v>-0.17491979999999899</v>
      </c>
      <c r="AE4364">
        <v>7.7100000000001501E-2</v>
      </c>
      <c r="AF4364">
        <v>8.0877668064959093E-2</v>
      </c>
      <c r="AG4364">
        <v>-0.17491979999999899</v>
      </c>
      <c r="AH4364">
        <v>0.58761957929533404</v>
      </c>
      <c r="AI4364">
        <v>106.43053221888</v>
      </c>
      <c r="AJ4364">
        <v>82.163270284534093</v>
      </c>
      <c r="AK4364">
        <v>0.61841321427900497</v>
      </c>
      <c r="AL4364">
        <v>78.067178464723696</v>
      </c>
      <c r="AM4364">
        <v>89.530301072400107</v>
      </c>
      <c r="AN4364">
        <v>1.0000000754805001</v>
      </c>
    </row>
    <row r="4365" spans="1:40" x14ac:dyDescent="0.25">
      <c r="A4365" t="str">
        <f>"20190303162347529"</f>
        <v>20190303162347529</v>
      </c>
      <c r="B4365" t="str">
        <f>"1551601427518506"</f>
        <v>1551601427518506</v>
      </c>
      <c r="C4365" t="s">
        <v>40</v>
      </c>
      <c r="D4365">
        <v>5.2425059999999997</v>
      </c>
      <c r="E4365">
        <v>0.530254</v>
      </c>
      <c r="F4365" t="s">
        <v>42</v>
      </c>
      <c r="G4365">
        <v>-330.9597</v>
      </c>
      <c r="H4365">
        <v>0.82438769999999995</v>
      </c>
      <c r="I4365">
        <v>141.10419999999999</v>
      </c>
      <c r="J4365">
        <v>-330.41770000000002</v>
      </c>
      <c r="K4365">
        <v>1.120968</v>
      </c>
      <c r="L4365">
        <v>141.0412</v>
      </c>
      <c r="M4365">
        <v>-0.99977240000000001</v>
      </c>
      <c r="N4365">
        <v>-1.456765E-2</v>
      </c>
      <c r="O4365">
        <v>-1.5589459999999999E-2</v>
      </c>
      <c r="P4365">
        <v>-0.9813482</v>
      </c>
      <c r="Q4365">
        <v>0.192083</v>
      </c>
      <c r="R4365">
        <v>-7.727818E-3</v>
      </c>
      <c r="S4365">
        <v>-3.2748719999999998</v>
      </c>
      <c r="T4365">
        <v>-1.101362</v>
      </c>
      <c r="U4365">
        <v>0.21353150000000001</v>
      </c>
      <c r="V4365">
        <v>7.5811239999999998E-3</v>
      </c>
      <c r="W4365">
        <v>0.20635829999999999</v>
      </c>
      <c r="X4365">
        <v>0.97844710000000001</v>
      </c>
      <c r="Y4365">
        <v>7.5503539999999994E-2</v>
      </c>
      <c r="Z4365">
        <v>1.778683E-2</v>
      </c>
      <c r="AA4365">
        <v>0.99698690000000001</v>
      </c>
      <c r="AB4365">
        <v>34</v>
      </c>
      <c r="AC4365">
        <v>-0.54199999999997295</v>
      </c>
      <c r="AD4365">
        <v>-0.29658029999999902</v>
      </c>
      <c r="AE4365">
        <v>6.2999999999988093E-2</v>
      </c>
      <c r="AF4365">
        <v>5.5149728094953901E-2</v>
      </c>
      <c r="AG4365">
        <v>-0.29658029999999902</v>
      </c>
      <c r="AH4365">
        <v>0.41758413731763599</v>
      </c>
      <c r="AI4365">
        <v>125.149942057038</v>
      </c>
      <c r="AJ4365">
        <v>82.476569808112998</v>
      </c>
      <c r="AK4365">
        <v>0.51514840443929499</v>
      </c>
      <c r="AL4365">
        <v>78.090975489200204</v>
      </c>
      <c r="AM4365">
        <v>89.556074398582098</v>
      </c>
      <c r="AN4365">
        <v>0.99999997445920097</v>
      </c>
    </row>
    <row r="4366" spans="1:40" x14ac:dyDescent="0.25">
      <c r="A4366" t="str">
        <f>"20190303162347551"</f>
        <v>20190303162347551</v>
      </c>
      <c r="B4366" t="str">
        <f>"1551601427539000"</f>
        <v>1551601427539000</v>
      </c>
      <c r="C4366" t="s">
        <v>40</v>
      </c>
      <c r="D4366">
        <v>5.2318730000000002</v>
      </c>
      <c r="E4366">
        <v>0.53007769999999899</v>
      </c>
      <c r="F4366" t="s">
        <v>42</v>
      </c>
      <c r="G4366">
        <v>-331.26069999999999</v>
      </c>
      <c r="H4366">
        <v>0.82431460000000001</v>
      </c>
      <c r="I4366">
        <v>141.09440000000001</v>
      </c>
      <c r="J4366">
        <v>-330.76389999999998</v>
      </c>
      <c r="K4366">
        <v>1.120965</v>
      </c>
      <c r="L4366">
        <v>141.03579999999999</v>
      </c>
      <c r="M4366">
        <v>-0.99977249999999995</v>
      </c>
      <c r="N4366">
        <v>-1.456402E-2</v>
      </c>
      <c r="O4366">
        <v>-1.558967E-2</v>
      </c>
      <c r="P4366">
        <v>-0.98130519999999999</v>
      </c>
      <c r="Q4366">
        <v>0.19228039999999999</v>
      </c>
      <c r="R4366">
        <v>-8.2884840000000005E-3</v>
      </c>
      <c r="S4366">
        <v>-3.2848510000000002</v>
      </c>
      <c r="T4366">
        <v>-1.1559200000000001</v>
      </c>
      <c r="U4366">
        <v>0.2062378</v>
      </c>
      <c r="V4366">
        <v>7.020175E-3</v>
      </c>
      <c r="W4366">
        <v>0.20655200000000001</v>
      </c>
      <c r="X4366">
        <v>0.97841040000000001</v>
      </c>
      <c r="Y4366">
        <v>7.2803720000000002E-2</v>
      </c>
      <c r="Z4366">
        <v>1.807247E-2</v>
      </c>
      <c r="AA4366">
        <v>0.99718249999999997</v>
      </c>
      <c r="AB4366">
        <v>34</v>
      </c>
      <c r="AC4366">
        <v>-0.49680000000000701</v>
      </c>
      <c r="AD4366">
        <v>-0.29665039999999898</v>
      </c>
      <c r="AE4366">
        <v>5.86000000000126E-2</v>
      </c>
      <c r="AF4366">
        <v>4.9079303396375798E-2</v>
      </c>
      <c r="AG4366">
        <v>-0.29665039999999898</v>
      </c>
      <c r="AH4366">
        <v>0.36682679426814402</v>
      </c>
      <c r="AI4366">
        <v>128.71395241875001</v>
      </c>
      <c r="AJ4366">
        <v>82.379412811573104</v>
      </c>
      <c r="AK4366">
        <v>0.47431227565294598</v>
      </c>
      <c r="AL4366">
        <v>78.079632772659394</v>
      </c>
      <c r="AM4366">
        <v>89.588905129473702</v>
      </c>
      <c r="AN4366">
        <v>0.999999961194594</v>
      </c>
    </row>
    <row r="4367" spans="1:40" x14ac:dyDescent="0.25">
      <c r="A4367" t="str">
        <f>"20190303162347573"</f>
        <v>20190303162347573</v>
      </c>
      <c r="B4367" t="str">
        <f>"1551601427569257"</f>
        <v>1551601427569257</v>
      </c>
      <c r="C4367" t="s">
        <v>40</v>
      </c>
      <c r="D4367">
        <v>5.2843910000000003</v>
      </c>
      <c r="E4367">
        <v>0.52988590000000002</v>
      </c>
      <c r="F4367" t="s">
        <v>42</v>
      </c>
      <c r="G4367">
        <v>-331.56689999999998</v>
      </c>
      <c r="H4367">
        <v>0.8380263</v>
      </c>
      <c r="I4367">
        <v>141.0855</v>
      </c>
      <c r="J4367">
        <v>-331.08449999999999</v>
      </c>
      <c r="K4367">
        <v>1.120959</v>
      </c>
      <c r="L4367">
        <v>141.0308</v>
      </c>
      <c r="M4367">
        <v>-0.99977249999999995</v>
      </c>
      <c r="N4367">
        <v>-1.456066E-2</v>
      </c>
      <c r="O4367">
        <v>-1.558964E-2</v>
      </c>
      <c r="P4367">
        <v>-0.98135419999999995</v>
      </c>
      <c r="Q4367">
        <v>0.19200329999999999</v>
      </c>
      <c r="R4367">
        <v>-8.8769350000000007E-3</v>
      </c>
      <c r="S4367">
        <v>-3.285736</v>
      </c>
      <c r="T4367">
        <v>-1.1578010000000001</v>
      </c>
      <c r="U4367">
        <v>0.20254520000000001</v>
      </c>
      <c r="V4367">
        <v>6.4325789999999999E-3</v>
      </c>
      <c r="W4367">
        <v>0.2062725</v>
      </c>
      <c r="X4367">
        <v>0.97847340000000005</v>
      </c>
      <c r="Y4367">
        <v>7.1723679999999998E-2</v>
      </c>
      <c r="Z4367">
        <v>1.7903039999999999E-2</v>
      </c>
      <c r="AA4367">
        <v>0.99726380000000003</v>
      </c>
      <c r="AB4367">
        <v>34</v>
      </c>
      <c r="AC4367">
        <v>-0.48239999999998401</v>
      </c>
      <c r="AD4367">
        <v>-0.28293269999999898</v>
      </c>
      <c r="AE4367">
        <v>5.46999999999968E-2</v>
      </c>
      <c r="AF4367">
        <v>4.6441696767290097E-2</v>
      </c>
      <c r="AG4367">
        <v>-0.28293269999999898</v>
      </c>
      <c r="AH4367">
        <v>0.35941961013807699</v>
      </c>
      <c r="AI4367">
        <v>127.97926315315399</v>
      </c>
      <c r="AJ4367">
        <v>82.637433041467602</v>
      </c>
      <c r="AK4367">
        <v>0.45977190005449697</v>
      </c>
      <c r="AL4367">
        <v>78.0959993635704</v>
      </c>
      <c r="AM4367">
        <v>89.623337416571601</v>
      </c>
      <c r="AN4367">
        <v>0.999999958418199</v>
      </c>
    </row>
    <row r="4368" spans="1:40" x14ac:dyDescent="0.25">
      <c r="A4368" t="str">
        <f>"20190303162347595"</f>
        <v>20190303162347595</v>
      </c>
      <c r="B4368" t="str">
        <f>"1551601427589752"</f>
        <v>1551601427589752</v>
      </c>
      <c r="C4368" t="s">
        <v>40</v>
      </c>
      <c r="D4368">
        <v>5.2927169999999997</v>
      </c>
      <c r="E4368">
        <v>0.53012569999999903</v>
      </c>
      <c r="F4368" t="s">
        <v>42</v>
      </c>
      <c r="G4368">
        <v>-331.86989999999997</v>
      </c>
      <c r="H4368">
        <v>0.84458899999999903</v>
      </c>
      <c r="I4368">
        <v>141.07859999999999</v>
      </c>
      <c r="J4368">
        <v>-331.41899999999998</v>
      </c>
      <c r="K4368">
        <v>1.1209579999999999</v>
      </c>
      <c r="L4368">
        <v>141.02549999999999</v>
      </c>
      <c r="M4368">
        <v>-0.99977249999999995</v>
      </c>
      <c r="N4368">
        <v>-1.455706E-2</v>
      </c>
      <c r="O4368">
        <v>-1.558962E-2</v>
      </c>
      <c r="P4368">
        <v>-0.98155570000000003</v>
      </c>
      <c r="Q4368">
        <v>0.19096109999999999</v>
      </c>
      <c r="R4368">
        <v>-9.0727259999999997E-3</v>
      </c>
      <c r="S4368">
        <v>-3.2849729999999999</v>
      </c>
      <c r="T4368">
        <v>-1.1559539999999999</v>
      </c>
      <c r="U4368">
        <v>0.19895940000000001</v>
      </c>
      <c r="V4368">
        <v>6.2397719999999898E-3</v>
      </c>
      <c r="W4368">
        <v>0.20522960000000001</v>
      </c>
      <c r="X4368">
        <v>0.97869399999999995</v>
      </c>
      <c r="Y4368">
        <v>7.0729199999999895E-2</v>
      </c>
      <c r="Z4368">
        <v>1.7703590000000002E-2</v>
      </c>
      <c r="AA4368">
        <v>0.99733839999999996</v>
      </c>
      <c r="AB4368">
        <v>34</v>
      </c>
      <c r="AC4368">
        <v>-0.45089999999993302</v>
      </c>
      <c r="AD4368">
        <v>-0.27636899999999998</v>
      </c>
      <c r="AE4368">
        <v>5.3100000000000501E-2</v>
      </c>
      <c r="AF4368">
        <v>4.38685446818377E-2</v>
      </c>
      <c r="AG4368">
        <v>-0.27636899999999998</v>
      </c>
      <c r="AH4368">
        <v>0.32835005507199999</v>
      </c>
      <c r="AI4368">
        <v>129.83747342432801</v>
      </c>
      <c r="AJ4368">
        <v>82.390177612980494</v>
      </c>
      <c r="AK4368">
        <v>0.431413991473721</v>
      </c>
      <c r="AL4368">
        <v>78.157060474144302</v>
      </c>
      <c r="AM4368">
        <v>89.634709360908005</v>
      </c>
      <c r="AN4368">
        <v>1.0000000345533799</v>
      </c>
    </row>
    <row r="4369" spans="1:40" x14ac:dyDescent="0.25">
      <c r="A4369" t="str">
        <f>"20190303162347617"</f>
        <v>20190303162347617</v>
      </c>
      <c r="B4369" t="str">
        <f>"1551601427609272"</f>
        <v>1551601427609272</v>
      </c>
      <c r="C4369" t="s">
        <v>40</v>
      </c>
      <c r="D4369">
        <v>5.3008089999999903</v>
      </c>
      <c r="E4369">
        <v>0.53044840000000004</v>
      </c>
      <c r="F4369" t="s">
        <v>42</v>
      </c>
      <c r="G4369">
        <v>-332.17419999999998</v>
      </c>
      <c r="H4369">
        <v>0.85519080000000003</v>
      </c>
      <c r="I4369">
        <v>141.0719</v>
      </c>
      <c r="J4369">
        <v>-331.74669999999998</v>
      </c>
      <c r="K4369">
        <v>1.1209530000000001</v>
      </c>
      <c r="L4369">
        <v>141.0204</v>
      </c>
      <c r="M4369">
        <v>-0.99977269999999896</v>
      </c>
      <c r="N4369">
        <v>-1.4553480000000001E-2</v>
      </c>
      <c r="O4369">
        <v>-1.558959E-2</v>
      </c>
      <c r="P4369">
        <v>-0.98160840000000005</v>
      </c>
      <c r="Q4369">
        <v>0.19069630000000001</v>
      </c>
      <c r="R4369">
        <v>-8.94965E-3</v>
      </c>
      <c r="S4369">
        <v>-3.28302</v>
      </c>
      <c r="T4369">
        <v>-1.1554169999999999</v>
      </c>
      <c r="U4369">
        <v>0.20019529999999999</v>
      </c>
      <c r="V4369">
        <v>6.3636780000000002E-3</v>
      </c>
      <c r="W4369">
        <v>0.20496210000000001</v>
      </c>
      <c r="X4369">
        <v>0.97874919999999999</v>
      </c>
      <c r="Y4369">
        <v>7.1113839999999998E-2</v>
      </c>
      <c r="Z4369">
        <v>1.7773980000000002E-2</v>
      </c>
      <c r="AA4369">
        <v>0.99730989999999997</v>
      </c>
      <c r="AB4369">
        <v>34</v>
      </c>
      <c r="AC4369">
        <v>-0.42750000000000898</v>
      </c>
      <c r="AD4369">
        <v>-0.265762199999999</v>
      </c>
      <c r="AE4369">
        <v>5.1500000000004299E-2</v>
      </c>
      <c r="AF4369">
        <v>4.2115506326088903E-2</v>
      </c>
      <c r="AG4369">
        <v>-0.265762199999999</v>
      </c>
      <c r="AH4369">
        <v>0.30895262163880199</v>
      </c>
      <c r="AI4369">
        <v>130.44165630724001</v>
      </c>
      <c r="AJ4369">
        <v>82.237455135835901</v>
      </c>
      <c r="AK4369">
        <v>0.409701092553378</v>
      </c>
      <c r="AL4369">
        <v>78.172719303726595</v>
      </c>
      <c r="AM4369">
        <v>89.627476830795402</v>
      </c>
      <c r="AN4369">
        <v>0.99999997766736803</v>
      </c>
    </row>
    <row r="4370" spans="1:40" x14ac:dyDescent="0.25">
      <c r="A4370" t="str">
        <f>"20190303162347639"</f>
        <v>20190303162347639</v>
      </c>
      <c r="B4370" t="str">
        <f>"1551601427628844"</f>
        <v>1551601427628844</v>
      </c>
      <c r="C4370" t="s">
        <v>40</v>
      </c>
      <c r="D4370">
        <v>5.3118169999999996</v>
      </c>
      <c r="E4370">
        <v>0.53067900000000001</v>
      </c>
      <c r="F4370" t="s">
        <v>42</v>
      </c>
      <c r="G4370">
        <v>-332.47789999999998</v>
      </c>
      <c r="H4370">
        <v>0.86514439999999904</v>
      </c>
      <c r="I4370">
        <v>141.066</v>
      </c>
      <c r="J4370">
        <v>-332.07400000000001</v>
      </c>
      <c r="K4370">
        <v>1.120957</v>
      </c>
      <c r="L4370">
        <v>141.0153</v>
      </c>
      <c r="M4370">
        <v>-0.99977269999999896</v>
      </c>
      <c r="N4370">
        <v>-1.4549970000000001E-2</v>
      </c>
      <c r="O4370">
        <v>-1.558969E-2</v>
      </c>
      <c r="P4370">
        <v>-0.98166070000000005</v>
      </c>
      <c r="Q4370">
        <v>0.19043689999999999</v>
      </c>
      <c r="R4370">
        <v>-8.7556170000000003E-3</v>
      </c>
      <c r="S4370">
        <v>-3.2810969999999999</v>
      </c>
      <c r="T4370">
        <v>-1.14789599999999</v>
      </c>
      <c r="U4370">
        <v>0.2033691</v>
      </c>
      <c r="V4370">
        <v>6.5587340000000001E-3</v>
      </c>
      <c r="W4370">
        <v>0.20469979999999999</v>
      </c>
      <c r="X4370">
        <v>0.97880279999999997</v>
      </c>
      <c r="Y4370">
        <v>7.2109679999999995E-2</v>
      </c>
      <c r="Z4370">
        <v>1.7852050000000001E-2</v>
      </c>
      <c r="AA4370">
        <v>0.99723689999999998</v>
      </c>
      <c r="AB4370">
        <v>34</v>
      </c>
      <c r="AC4370">
        <v>-0.40389999999996401</v>
      </c>
      <c r="AD4370">
        <v>-0.2558126</v>
      </c>
      <c r="AE4370">
        <v>5.0700000000006101E-2</v>
      </c>
      <c r="AF4370">
        <v>4.0856307081491898E-2</v>
      </c>
      <c r="AG4370">
        <v>-0.2558126</v>
      </c>
      <c r="AH4370">
        <v>0.288949285156689</v>
      </c>
      <c r="AI4370">
        <v>131.237823115276</v>
      </c>
      <c r="AJ4370">
        <v>81.951950747031404</v>
      </c>
      <c r="AK4370">
        <v>0.38807346410139798</v>
      </c>
      <c r="AL4370">
        <v>78.188073483771504</v>
      </c>
      <c r="AM4370">
        <v>89.616079814067206</v>
      </c>
      <c r="AN4370">
        <v>0.99999997319978096</v>
      </c>
    </row>
    <row r="4371" spans="1:40" x14ac:dyDescent="0.25">
      <c r="A4371" t="str">
        <f>"20190303162347662"</f>
        <v>20190303162347662</v>
      </c>
      <c r="B4371" t="str">
        <f>"1551601427649340"</f>
        <v>1551601427649340</v>
      </c>
      <c r="C4371" t="s">
        <v>40</v>
      </c>
      <c r="D4371">
        <v>5.3160350000000003</v>
      </c>
      <c r="E4371">
        <v>0.53075839999999996</v>
      </c>
      <c r="F4371" t="s">
        <v>42</v>
      </c>
      <c r="G4371">
        <v>-332.78120000000001</v>
      </c>
      <c r="H4371">
        <v>0.87499150000000003</v>
      </c>
      <c r="I4371">
        <v>141.06</v>
      </c>
      <c r="J4371">
        <v>-332.42099999999999</v>
      </c>
      <c r="K4371">
        <v>1.1209519999999999</v>
      </c>
      <c r="L4371">
        <v>141.00989999999999</v>
      </c>
      <c r="M4371">
        <v>-0.99977280000000002</v>
      </c>
      <c r="N4371">
        <v>-1.45463E-2</v>
      </c>
      <c r="O4371">
        <v>-1.558966E-2</v>
      </c>
      <c r="P4371">
        <v>-0.98156449999999995</v>
      </c>
      <c r="Q4371">
        <v>0.1909623</v>
      </c>
      <c r="R4371">
        <v>-8.0696469999999992E-3</v>
      </c>
      <c r="S4371">
        <v>-3.2791440000000001</v>
      </c>
      <c r="T4371">
        <v>-1.1404780000000001</v>
      </c>
      <c r="U4371">
        <v>0.20593259999999999</v>
      </c>
      <c r="V4371">
        <v>7.2431830000000003E-3</v>
      </c>
      <c r="W4371">
        <v>0.20522019999999999</v>
      </c>
      <c r="X4371">
        <v>0.97868900000000003</v>
      </c>
      <c r="Y4371">
        <v>7.2932739999999996E-2</v>
      </c>
      <c r="Z4371">
        <v>1.789922E-2</v>
      </c>
      <c r="AA4371">
        <v>0.99717619999999896</v>
      </c>
      <c r="AB4371">
        <v>34</v>
      </c>
      <c r="AC4371">
        <v>-0.36020000000002</v>
      </c>
      <c r="AD4371">
        <v>-0.245960499999999</v>
      </c>
      <c r="AE4371">
        <v>5.0100000000014598E-2</v>
      </c>
      <c r="AF4371">
        <v>3.82248310511333E-2</v>
      </c>
      <c r="AG4371">
        <v>-0.245960499999999</v>
      </c>
      <c r="AH4371">
        <v>0.246581889377715</v>
      </c>
      <c r="AI4371">
        <v>134.587584605779</v>
      </c>
      <c r="AJ4371">
        <v>81.188214570233995</v>
      </c>
      <c r="AK4371">
        <v>0.35037170753104602</v>
      </c>
      <c r="AL4371">
        <v>78.157610069537</v>
      </c>
      <c r="AM4371">
        <v>89.575967197611604</v>
      </c>
      <c r="AN4371">
        <v>0.999999976454505</v>
      </c>
    </row>
    <row r="4372" spans="1:40" x14ac:dyDescent="0.25">
      <c r="A4372" t="str">
        <f>"20190303162347685"</f>
        <v>20190303162347685</v>
      </c>
      <c r="B4372" t="str">
        <f>"1551601427679596"</f>
        <v>1551601427679596</v>
      </c>
      <c r="C4372" t="s">
        <v>40</v>
      </c>
      <c r="D4372">
        <v>5.321383</v>
      </c>
      <c r="E4372">
        <v>0.53057659999999995</v>
      </c>
      <c r="F4372" t="s">
        <v>42</v>
      </c>
      <c r="G4372">
        <v>-333.08670000000001</v>
      </c>
      <c r="H4372">
        <v>0.89043719999999904</v>
      </c>
      <c r="I4372">
        <v>141.05240000000001</v>
      </c>
      <c r="J4372">
        <v>-332.75349999999997</v>
      </c>
      <c r="K4372">
        <v>1.120959</v>
      </c>
      <c r="L4372">
        <v>141.00470000000001</v>
      </c>
      <c r="M4372">
        <v>-0.99977280000000002</v>
      </c>
      <c r="N4372">
        <v>-1.454275E-2</v>
      </c>
      <c r="O4372">
        <v>-1.558963E-2</v>
      </c>
      <c r="P4372">
        <v>-0.98161690000000001</v>
      </c>
      <c r="Q4372">
        <v>0.19072629999999999</v>
      </c>
      <c r="R4372">
        <v>-7.2300330000000003E-3</v>
      </c>
      <c r="S4372">
        <v>-3.2789920000000001</v>
      </c>
      <c r="T4372">
        <v>-1.135486</v>
      </c>
      <c r="U4372">
        <v>0.20819090000000001</v>
      </c>
      <c r="V4372">
        <v>8.0834469999999901E-3</v>
      </c>
      <c r="W4372">
        <v>0.20498130000000001</v>
      </c>
      <c r="X4372">
        <v>0.97873250000000001</v>
      </c>
      <c r="Y4372">
        <v>7.3622229999999997E-2</v>
      </c>
      <c r="Z4372">
        <v>1.7947769999999998E-2</v>
      </c>
      <c r="AA4372">
        <v>0.99712469999999997</v>
      </c>
      <c r="AB4372">
        <v>33</v>
      </c>
      <c r="AC4372">
        <v>-0.33320000000003303</v>
      </c>
      <c r="AD4372">
        <v>-0.2305218</v>
      </c>
      <c r="AE4372">
        <v>4.7699999999991798E-2</v>
      </c>
      <c r="AF4372">
        <v>3.6002737385685199E-2</v>
      </c>
      <c r="AG4372">
        <v>-0.2305218</v>
      </c>
      <c r="AH4372">
        <v>0.22628202051204999</v>
      </c>
      <c r="AI4372">
        <v>135.17370806592601</v>
      </c>
      <c r="AJ4372">
        <v>80.959696066115299</v>
      </c>
      <c r="AK4372">
        <v>0.32502315330068099</v>
      </c>
      <c r="AL4372">
        <v>78.171595521182596</v>
      </c>
      <c r="AM4372">
        <v>89.526799338322206</v>
      </c>
      <c r="AN4372">
        <v>0.99999999101067005</v>
      </c>
    </row>
    <row r="4373" spans="1:40" x14ac:dyDescent="0.25">
      <c r="A4373" t="str">
        <f>"20190303162347705"</f>
        <v>20190303162347705</v>
      </c>
      <c r="B4373" t="str">
        <f>"1551601427699116"</f>
        <v>1551601427699116</v>
      </c>
      <c r="C4373" t="s">
        <v>40</v>
      </c>
      <c r="D4373">
        <v>5.3550339999999998</v>
      </c>
      <c r="E4373">
        <v>0.53043719999999905</v>
      </c>
      <c r="F4373" t="s">
        <v>42</v>
      </c>
      <c r="G4373">
        <v>-333.65129999999999</v>
      </c>
      <c r="H4373">
        <v>0.80893000000000004</v>
      </c>
      <c r="I4373">
        <v>141.0624</v>
      </c>
      <c r="J4373">
        <v>-333.08109999999999</v>
      </c>
      <c r="K4373">
        <v>1.1209659999999999</v>
      </c>
      <c r="L4373">
        <v>140.99959999999999</v>
      </c>
      <c r="M4373">
        <v>-0.99977269999999896</v>
      </c>
      <c r="N4373">
        <v>-1.453921E-2</v>
      </c>
      <c r="O4373">
        <v>-1.558961E-2</v>
      </c>
      <c r="P4373">
        <v>-0.98152729999999999</v>
      </c>
      <c r="Q4373">
        <v>0.19121099999999999</v>
      </c>
      <c r="R4373">
        <v>-6.5220429999999999E-3</v>
      </c>
      <c r="S4373">
        <v>-3.279175</v>
      </c>
      <c r="T4373">
        <v>-1.139713</v>
      </c>
      <c r="U4373">
        <v>0.20890810000000001</v>
      </c>
      <c r="V4373">
        <v>8.7898170000000001E-3</v>
      </c>
      <c r="W4373">
        <v>0.205461</v>
      </c>
      <c r="X4373">
        <v>0.97862579999999999</v>
      </c>
      <c r="Y4373">
        <v>7.3788380000000001E-2</v>
      </c>
      <c r="Z4373">
        <v>1.803803E-2</v>
      </c>
      <c r="AA4373">
        <v>0.99711079999999996</v>
      </c>
      <c r="AB4373">
        <v>33</v>
      </c>
      <c r="AC4373">
        <v>-0.57019999999999904</v>
      </c>
      <c r="AD4373">
        <v>-0.31203599999999898</v>
      </c>
      <c r="AE4373">
        <v>6.2800000000009903E-2</v>
      </c>
      <c r="AF4373">
        <v>5.5315606828327001E-2</v>
      </c>
      <c r="AG4373">
        <v>-0.31203599999999898</v>
      </c>
      <c r="AH4373">
        <v>0.43920012374876299</v>
      </c>
      <c r="AI4373">
        <v>125.179840298267</v>
      </c>
      <c r="AJ4373">
        <v>82.821608071410594</v>
      </c>
      <c r="AK4373">
        <v>0.54159304865896696</v>
      </c>
      <c r="AL4373">
        <v>78.143512762940006</v>
      </c>
      <c r="AM4373">
        <v>89.485394851968707</v>
      </c>
      <c r="AN4373">
        <v>0.99999996991476603</v>
      </c>
    </row>
    <row r="4374" spans="1:40" x14ac:dyDescent="0.25">
      <c r="A4374" t="str">
        <f>"20190303162347729"</f>
        <v>20190303162347729</v>
      </c>
      <c r="B4374" t="str">
        <f>"1551601427719613"</f>
        <v>1551601427719613</v>
      </c>
      <c r="C4374" t="s">
        <v>40</v>
      </c>
      <c r="D4374">
        <v>5.4086189999999998</v>
      </c>
      <c r="E4374">
        <v>0.53031729999999999</v>
      </c>
      <c r="F4374" t="s">
        <v>42</v>
      </c>
      <c r="G4374">
        <v>-333.95280000000002</v>
      </c>
      <c r="H4374">
        <v>0.81769259999999999</v>
      </c>
      <c r="I4374">
        <v>141.0556</v>
      </c>
      <c r="J4374">
        <v>-333.41590000000002</v>
      </c>
      <c r="K4374">
        <v>1.1209709999999999</v>
      </c>
      <c r="L4374">
        <v>140.99440000000001</v>
      </c>
      <c r="M4374">
        <v>-0.99977289999999996</v>
      </c>
      <c r="N4374">
        <v>-1.453552E-2</v>
      </c>
      <c r="O4374">
        <v>-1.55897E-2</v>
      </c>
      <c r="P4374">
        <v>-0.98142450000000003</v>
      </c>
      <c r="Q4374">
        <v>0.19178239999999999</v>
      </c>
      <c r="R4374">
        <v>-5.0711439999999997E-3</v>
      </c>
      <c r="S4374">
        <v>-3.2801819999999999</v>
      </c>
      <c r="T4374">
        <v>-1.141297</v>
      </c>
      <c r="U4374">
        <v>0.21009829999999999</v>
      </c>
      <c r="V4374">
        <v>1.0239079999999999E-2</v>
      </c>
      <c r="W4374">
        <v>0.20602709999999999</v>
      </c>
      <c r="X4374">
        <v>0.97849269999999999</v>
      </c>
      <c r="Y4374">
        <v>7.4099319999999996E-2</v>
      </c>
      <c r="Z4374">
        <v>1.8110790000000002E-2</v>
      </c>
      <c r="AA4374">
        <v>0.99708640000000004</v>
      </c>
      <c r="AB4374">
        <v>33</v>
      </c>
      <c r="AC4374">
        <v>-0.53690000000000204</v>
      </c>
      <c r="AD4374">
        <v>-0.303278399999999</v>
      </c>
      <c r="AE4374">
        <v>6.1199999999985197E-2</v>
      </c>
      <c r="AF4374">
        <v>5.2900652191083301E-2</v>
      </c>
      <c r="AG4374">
        <v>-0.303278399999999</v>
      </c>
      <c r="AH4374">
        <v>0.40751842929050303</v>
      </c>
      <c r="AI4374">
        <v>126.427904817829</v>
      </c>
      <c r="AJ4374">
        <v>82.603698713419803</v>
      </c>
      <c r="AK4374">
        <v>0.51073235370416903</v>
      </c>
      <c r="AL4374">
        <v>78.1103687012953</v>
      </c>
      <c r="AM4374">
        <v>89.400471093015696</v>
      </c>
      <c r="AN4374">
        <v>0.99999998432347303</v>
      </c>
    </row>
    <row r="4375" spans="1:40" x14ac:dyDescent="0.25">
      <c r="A4375" t="str">
        <f>"20190303162347762"</f>
        <v>20190303162347762</v>
      </c>
      <c r="B4375" t="str">
        <f>"1551601427759628"</f>
        <v>1551601427759628</v>
      </c>
      <c r="C4375" t="s">
        <v>40</v>
      </c>
      <c r="D4375">
        <v>5.365551</v>
      </c>
      <c r="E4375">
        <v>0.53060289999999999</v>
      </c>
      <c r="F4375" t="s">
        <v>42</v>
      </c>
      <c r="G4375">
        <v>-334.25490000000002</v>
      </c>
      <c r="H4375">
        <v>0.82904829999999996</v>
      </c>
      <c r="I4375">
        <v>141.04939999999999</v>
      </c>
      <c r="J4375">
        <v>-333.91930000000002</v>
      </c>
      <c r="K4375">
        <v>1.1209769999999999</v>
      </c>
      <c r="L4375">
        <v>140.98660000000001</v>
      </c>
      <c r="M4375">
        <v>-0.99977309999999997</v>
      </c>
      <c r="N4375">
        <v>-1.452989E-2</v>
      </c>
      <c r="O4375">
        <v>-1.55899E-2</v>
      </c>
      <c r="P4375">
        <v>-0.98124509999999998</v>
      </c>
      <c r="Q4375">
        <v>0.1927548</v>
      </c>
      <c r="R4375">
        <v>-2.0197499999999998E-3</v>
      </c>
      <c r="S4375">
        <v>-3.2808839999999901</v>
      </c>
      <c r="T4375">
        <v>-1.141505</v>
      </c>
      <c r="U4375">
        <v>0.21400449999999999</v>
      </c>
      <c r="V4375">
        <v>1.328755E-2</v>
      </c>
      <c r="W4375">
        <v>0.20699000000000001</v>
      </c>
      <c r="X4375">
        <v>0.97825280000000003</v>
      </c>
      <c r="Y4375">
        <v>7.5201480000000001E-2</v>
      </c>
      <c r="Z4375">
        <v>1.830393E-2</v>
      </c>
      <c r="AA4375">
        <v>0.99700029999999995</v>
      </c>
      <c r="AB4375">
        <v>33</v>
      </c>
      <c r="AC4375">
        <v>-0.33559999999999901</v>
      </c>
      <c r="AD4375">
        <v>-0.29192869999999999</v>
      </c>
      <c r="AE4375">
        <v>6.2799999999981496E-2</v>
      </c>
      <c r="AF4375">
        <v>3.9296311524734902E-2</v>
      </c>
      <c r="AG4375">
        <v>-0.29192869999999999</v>
      </c>
      <c r="AH4375">
        <v>0.19327870331788599</v>
      </c>
      <c r="AI4375">
        <v>145.95623473411499</v>
      </c>
      <c r="AJ4375">
        <v>78.507596341950503</v>
      </c>
      <c r="AK4375">
        <v>0.35231125888819098</v>
      </c>
      <c r="AL4375">
        <v>78.053983136922199</v>
      </c>
      <c r="AM4375">
        <v>89.221802666977993</v>
      </c>
      <c r="AN4375">
        <v>0.99999997989642098</v>
      </c>
    </row>
    <row r="4376" spans="1:40" x14ac:dyDescent="0.25">
      <c r="A4376" t="str">
        <f>"20190303162347785"</f>
        <v>20190303162347785</v>
      </c>
      <c r="B4376" t="str">
        <f>"1551601427779148"</f>
        <v>1551601427779148</v>
      </c>
      <c r="C4376" t="s">
        <v>40</v>
      </c>
      <c r="D4376">
        <v>5.4086589999999903</v>
      </c>
      <c r="E4376">
        <v>0.54083230000000004</v>
      </c>
      <c r="F4376" t="s">
        <v>42</v>
      </c>
      <c r="G4376">
        <v>-334.57909999999998</v>
      </c>
      <c r="H4376">
        <v>0.89581679999999997</v>
      </c>
      <c r="I4376">
        <v>141.03200000000001</v>
      </c>
      <c r="J4376">
        <v>-334.26280000000003</v>
      </c>
      <c r="K4376">
        <v>1.1209800000000001</v>
      </c>
      <c r="L4376">
        <v>140.9812</v>
      </c>
      <c r="M4376">
        <v>-0.99977309999999997</v>
      </c>
      <c r="N4376">
        <v>-1.4526030000000001E-2</v>
      </c>
      <c r="O4376">
        <v>-1.558987E-2</v>
      </c>
      <c r="P4376">
        <v>-0.98117949999999998</v>
      </c>
      <c r="Q4376">
        <v>0.19309760000000001</v>
      </c>
      <c r="R4376">
        <v>-6.3127089999999995E-4</v>
      </c>
      <c r="S4376">
        <v>-3.2775270000000001</v>
      </c>
      <c r="T4376">
        <v>-1.118484</v>
      </c>
      <c r="U4376">
        <v>0.22470090000000001</v>
      </c>
      <c r="V4376">
        <v>1.467478E-2</v>
      </c>
      <c r="W4376">
        <v>0.20732780000000001</v>
      </c>
      <c r="X4376">
        <v>0.97816150000000002</v>
      </c>
      <c r="Y4376">
        <v>7.8511830000000005E-2</v>
      </c>
      <c r="Z4376">
        <v>1.854917E-2</v>
      </c>
      <c r="AA4376">
        <v>0.99674059999999998</v>
      </c>
      <c r="AB4376">
        <v>33</v>
      </c>
      <c r="AC4376">
        <v>-0.31629999999995501</v>
      </c>
      <c r="AD4376">
        <v>-0.22516319999999901</v>
      </c>
      <c r="AE4376">
        <v>5.0800000000009497E-2</v>
      </c>
      <c r="AF4376">
        <v>3.7299220451387997E-2</v>
      </c>
      <c r="AG4376">
        <v>-0.22516319999999901</v>
      </c>
      <c r="AH4376">
        <v>0.21115617344038201</v>
      </c>
      <c r="AI4376">
        <v>136.39930997362501</v>
      </c>
      <c r="AJ4376">
        <v>79.982450749876094</v>
      </c>
      <c r="AK4376">
        <v>0.31092865429629601</v>
      </c>
      <c r="AL4376">
        <v>78.034200226578903</v>
      </c>
      <c r="AM4376">
        <v>89.140489696934296</v>
      </c>
      <c r="AN4376">
        <v>1.0000000429515601</v>
      </c>
    </row>
    <row r="4377" spans="1:40" x14ac:dyDescent="0.25">
      <c r="A4377" t="str">
        <f>"20190303162347806"</f>
        <v>20190303162347806</v>
      </c>
      <c r="B4377" t="str">
        <f>"1551601427799645"</f>
        <v>1551601427799645</v>
      </c>
      <c r="C4377" t="s">
        <v>40</v>
      </c>
      <c r="D4377">
        <v>5.3897950000000003</v>
      </c>
      <c r="E4377">
        <v>0.54085329999999998</v>
      </c>
      <c r="F4377" t="s">
        <v>42</v>
      </c>
      <c r="G4377">
        <v>-335.25029999999998</v>
      </c>
      <c r="H4377">
        <v>1.0457449999999999</v>
      </c>
      <c r="I4377">
        <v>141.08240000000001</v>
      </c>
      <c r="J4377">
        <v>-334.57350000000002</v>
      </c>
      <c r="K4377">
        <v>1.120976</v>
      </c>
      <c r="L4377">
        <v>140.97640000000001</v>
      </c>
      <c r="M4377">
        <v>-0.99977309999999997</v>
      </c>
      <c r="N4377">
        <v>-1.452255E-2</v>
      </c>
      <c r="O4377">
        <v>-1.5589850000000001E-2</v>
      </c>
      <c r="P4377">
        <v>-0.98118850000000002</v>
      </c>
      <c r="Q4377">
        <v>0.19304370000000001</v>
      </c>
      <c r="R4377">
        <v>1.84318E-3</v>
      </c>
      <c r="S4377">
        <v>-3.1043090000000002</v>
      </c>
      <c r="T4377">
        <v>-0.23650299999999999</v>
      </c>
      <c r="U4377">
        <v>0.31777949999999999</v>
      </c>
      <c r="V4377">
        <v>1.714895E-2</v>
      </c>
      <c r="W4377">
        <v>0.20727000000000001</v>
      </c>
      <c r="X4377">
        <v>0.97813349999999999</v>
      </c>
      <c r="Y4377">
        <v>0.1169038</v>
      </c>
      <c r="Z4377">
        <v>6.2453719999999999E-3</v>
      </c>
      <c r="AA4377">
        <v>0.9931236</v>
      </c>
      <c r="AB4377">
        <v>33</v>
      </c>
      <c r="AC4377">
        <v>-0.67679999999995699</v>
      </c>
      <c r="AD4377">
        <v>-7.5230999999999798E-2</v>
      </c>
      <c r="AE4377">
        <v>0.105999999999994</v>
      </c>
      <c r="AF4377">
        <v>0.115150716178219</v>
      </c>
      <c r="AG4377">
        <v>-7.5230999999999798E-2</v>
      </c>
      <c r="AH4377">
        <v>0.66702074232129205</v>
      </c>
      <c r="AI4377">
        <v>96.341973115014198</v>
      </c>
      <c r="AJ4377">
        <v>80.205319258317601</v>
      </c>
      <c r="AK4377">
        <v>0.681055108992073</v>
      </c>
      <c r="AL4377">
        <v>78.037585441294794</v>
      </c>
      <c r="AM4377">
        <v>88.995574936801702</v>
      </c>
      <c r="AN4377">
        <v>1.0000000416041701</v>
      </c>
    </row>
    <row r="4378" spans="1:40" x14ac:dyDescent="0.25">
      <c r="A4378" t="str">
        <f>"20190303162347828"</f>
        <v>20190303162347828</v>
      </c>
      <c r="B4378" t="str">
        <f>"1551601427819672"</f>
        <v>1551601427819672</v>
      </c>
      <c r="C4378" t="s">
        <v>40</v>
      </c>
      <c r="D4378">
        <v>5.4078609999999996</v>
      </c>
      <c r="E4378">
        <v>0.54017139999999997</v>
      </c>
      <c r="F4378" t="s">
        <v>41</v>
      </c>
      <c r="G4378">
        <v>-351.12610000000001</v>
      </c>
      <c r="H4378" s="1">
        <v>-4.4435589999999996E-6</v>
      </c>
      <c r="I4378">
        <v>142.72120000000001</v>
      </c>
      <c r="J4378">
        <v>-334.89859999999999</v>
      </c>
      <c r="K4378">
        <v>1.1209739999999999</v>
      </c>
      <c r="L4378">
        <v>140.97130000000001</v>
      </c>
      <c r="M4378">
        <v>-0.99977309999999997</v>
      </c>
      <c r="N4378">
        <v>-1.451889E-2</v>
      </c>
      <c r="O4378">
        <v>-1.5589820000000001E-2</v>
      </c>
      <c r="P4378">
        <v>-0.98136009999999996</v>
      </c>
      <c r="Q4378">
        <v>0.1921361</v>
      </c>
      <c r="R4378">
        <v>4.0270699999999998E-3</v>
      </c>
      <c r="S4378">
        <v>-3.0982059999999998</v>
      </c>
      <c r="T4378">
        <v>-0.20981720000000001</v>
      </c>
      <c r="U4378">
        <v>0.32659909999999998</v>
      </c>
      <c r="V4378">
        <v>1.9335169999999999E-2</v>
      </c>
      <c r="W4378">
        <v>0.20636109999999999</v>
      </c>
      <c r="X4378">
        <v>0.97828479999999995</v>
      </c>
      <c r="Y4378">
        <v>0.1199749</v>
      </c>
      <c r="Z4378">
        <v>5.7476169999999896E-3</v>
      </c>
      <c r="AA4378">
        <v>0.99276030000000004</v>
      </c>
      <c r="AB4378">
        <v>33</v>
      </c>
      <c r="AC4378">
        <v>-16.227499999999999</v>
      </c>
      <c r="AD4378">
        <v>-1.120978443559</v>
      </c>
      <c r="AE4378">
        <v>1.74989999999999</v>
      </c>
      <c r="AF4378">
        <v>1.9932952848493499</v>
      </c>
      <c r="AG4378">
        <v>-1.120978443559</v>
      </c>
      <c r="AH4378">
        <v>16.122194821526001</v>
      </c>
      <c r="AI4378">
        <v>93.947422569795293</v>
      </c>
      <c r="AJ4378">
        <v>82.951905013753702</v>
      </c>
      <c r="AK4378">
        <v>16.283580215258802</v>
      </c>
      <c r="AL4378">
        <v>78.090811250389507</v>
      </c>
      <c r="AM4378">
        <v>88.867733178187706</v>
      </c>
      <c r="AN4378">
        <v>0.99999995115158802</v>
      </c>
    </row>
    <row r="4379" spans="1:40" x14ac:dyDescent="0.25">
      <c r="A4379" t="str">
        <f>"20190303162347851"</f>
        <v>20190303162347851</v>
      </c>
      <c r="B4379" t="str">
        <f>"1551601427839192"</f>
        <v>1551601427839192</v>
      </c>
      <c r="C4379" t="s">
        <v>40</v>
      </c>
      <c r="D4379">
        <v>5.3972179999999996</v>
      </c>
      <c r="E4379">
        <v>0.53979049999999995</v>
      </c>
      <c r="F4379" t="s">
        <v>41</v>
      </c>
      <c r="G4379">
        <v>-350.95229999999998</v>
      </c>
      <c r="H4379" s="1">
        <v>-4.4937150000000001E-6</v>
      </c>
      <c r="I4379">
        <v>142.67060000000001</v>
      </c>
      <c r="J4379">
        <v>-335.24110000000002</v>
      </c>
      <c r="K4379">
        <v>1.1209750000000001</v>
      </c>
      <c r="L4379">
        <v>140.96600000000001</v>
      </c>
      <c r="M4379">
        <v>-0.99977320000000003</v>
      </c>
      <c r="N4379">
        <v>-1.451503E-2</v>
      </c>
      <c r="O4379">
        <v>-1.558991E-2</v>
      </c>
      <c r="P4379">
        <v>-0.98141560000000005</v>
      </c>
      <c r="Q4379">
        <v>0.1918204</v>
      </c>
      <c r="R4379">
        <v>5.3292579999999999E-3</v>
      </c>
      <c r="S4379">
        <v>-3.0979920000000001</v>
      </c>
      <c r="T4379">
        <v>-0.21632270000000001</v>
      </c>
      <c r="U4379">
        <v>0.32792660000000001</v>
      </c>
      <c r="V4379">
        <v>2.063823E-2</v>
      </c>
      <c r="W4379">
        <v>0.206042</v>
      </c>
      <c r="X4379">
        <v>0.97832549999999996</v>
      </c>
      <c r="Y4379">
        <v>0.1203809</v>
      </c>
      <c r="Z4379">
        <v>5.9225869999999896E-3</v>
      </c>
      <c r="AA4379">
        <v>0.99271010000000004</v>
      </c>
      <c r="AB4379">
        <v>33</v>
      </c>
      <c r="AC4379">
        <v>-15.7111999999999</v>
      </c>
      <c r="AD4379">
        <v>-1.1209794937149999</v>
      </c>
      <c r="AE4379">
        <v>1.7045999999999899</v>
      </c>
      <c r="AF4379">
        <v>1.93959577080143</v>
      </c>
      <c r="AG4379">
        <v>-1.1209794937149999</v>
      </c>
      <c r="AH4379">
        <v>15.604200904796199</v>
      </c>
      <c r="AI4379">
        <v>94.077700276744295</v>
      </c>
      <c r="AJ4379">
        <v>82.914500209637694</v>
      </c>
      <c r="AK4379">
        <v>15.7641908341876</v>
      </c>
      <c r="AL4379">
        <v>78.109496623514204</v>
      </c>
      <c r="AM4379">
        <v>88.791498214653203</v>
      </c>
      <c r="AN4379">
        <v>1.0000000131258899</v>
      </c>
    </row>
    <row r="4380" spans="1:40" x14ac:dyDescent="0.25">
      <c r="A4380" t="str">
        <f>"20190303162347874"</f>
        <v>20190303162347874</v>
      </c>
      <c r="B4380" t="str">
        <f>"1551601427869448"</f>
        <v>1551601427869448</v>
      </c>
      <c r="C4380" t="s">
        <v>40</v>
      </c>
      <c r="D4380">
        <v>5.3724220000000003</v>
      </c>
      <c r="E4380">
        <v>0.53994529999999996</v>
      </c>
      <c r="F4380" t="s">
        <v>41</v>
      </c>
      <c r="G4380">
        <v>-351.00029999999998</v>
      </c>
      <c r="H4380" s="1">
        <v>-4.4725300000000004E-6</v>
      </c>
      <c r="I4380">
        <v>142.6431</v>
      </c>
      <c r="J4380">
        <v>-335.57400000000001</v>
      </c>
      <c r="K4380">
        <v>1.1209690000000001</v>
      </c>
      <c r="L4380">
        <v>140.96080000000001</v>
      </c>
      <c r="M4380">
        <v>-0.99977320000000003</v>
      </c>
      <c r="N4380">
        <v>-1.451129E-2</v>
      </c>
      <c r="O4380">
        <v>-1.558989E-2</v>
      </c>
      <c r="P4380">
        <v>-0.98137430000000003</v>
      </c>
      <c r="Q4380">
        <v>0.19200619999999999</v>
      </c>
      <c r="R4380">
        <v>6.2135510000000003E-3</v>
      </c>
      <c r="S4380">
        <v>-3.0980829999999999</v>
      </c>
      <c r="T4380">
        <v>-0.22037329999999999</v>
      </c>
      <c r="U4380">
        <v>0.3297119</v>
      </c>
      <c r="V4380">
        <v>2.152194E-2</v>
      </c>
      <c r="W4380">
        <v>0.20622299999999999</v>
      </c>
      <c r="X4380">
        <v>0.97826829999999998</v>
      </c>
      <c r="Y4380">
        <v>0.1209287</v>
      </c>
      <c r="Z4380">
        <v>6.0440249999999997E-3</v>
      </c>
      <c r="AA4380">
        <v>0.99264280000000005</v>
      </c>
      <c r="AB4380">
        <v>33</v>
      </c>
      <c r="AC4380">
        <v>-15.4262999999999</v>
      </c>
      <c r="AD4380">
        <v>-1.12097347253</v>
      </c>
      <c r="AE4380">
        <v>1.6822999999999899</v>
      </c>
      <c r="AF4380">
        <v>1.9126343618261501</v>
      </c>
      <c r="AG4380">
        <v>-1.12097347253</v>
      </c>
      <c r="AH4380">
        <v>15.3182592862597</v>
      </c>
      <c r="AI4380">
        <v>94.153246928503506</v>
      </c>
      <c r="AJ4380">
        <v>82.882894653224795</v>
      </c>
      <c r="AK4380">
        <v>15.477849310845301</v>
      </c>
      <c r="AL4380">
        <v>78.098898242301402</v>
      </c>
      <c r="AM4380">
        <v>88.739693964091401</v>
      </c>
      <c r="AN4380">
        <v>0.999999993207626</v>
      </c>
    </row>
    <row r="4381" spans="1:40" x14ac:dyDescent="0.25">
      <c r="A4381" t="str">
        <f>"20190303162347896"</f>
        <v>20190303162347896</v>
      </c>
      <c r="B4381" t="str">
        <f>"1551601427888967"</f>
        <v>1551601427888967</v>
      </c>
      <c r="C4381" t="s">
        <v>40</v>
      </c>
      <c r="D4381">
        <v>5.375934</v>
      </c>
      <c r="E4381">
        <v>0.54001109999999997</v>
      </c>
      <c r="F4381" t="s">
        <v>41</v>
      </c>
      <c r="G4381">
        <v>-351.16059999999999</v>
      </c>
      <c r="H4381" s="1">
        <v>-4.4179609999999999E-6</v>
      </c>
      <c r="I4381">
        <v>142.643</v>
      </c>
      <c r="J4381">
        <v>-335.90449999999998</v>
      </c>
      <c r="K4381">
        <v>1.1209709999999999</v>
      </c>
      <c r="L4381">
        <v>140.95570000000001</v>
      </c>
      <c r="M4381">
        <v>-0.99977320000000003</v>
      </c>
      <c r="N4381">
        <v>-1.4507610000000001E-2</v>
      </c>
      <c r="O4381">
        <v>-1.5589860000000001E-2</v>
      </c>
      <c r="P4381">
        <v>-0.98137549999999996</v>
      </c>
      <c r="Q4381">
        <v>0.19200680000000001</v>
      </c>
      <c r="R4381">
        <v>5.9631750000000002E-3</v>
      </c>
      <c r="S4381">
        <v>-3.0984189999999998</v>
      </c>
      <c r="T4381">
        <v>-0.22283629999999999</v>
      </c>
      <c r="U4381">
        <v>0.33441159999999998</v>
      </c>
      <c r="V4381">
        <v>2.1271419999999999E-2</v>
      </c>
      <c r="W4381">
        <v>0.20622019999999999</v>
      </c>
      <c r="X4381">
        <v>0.97827430000000004</v>
      </c>
      <c r="Y4381">
        <v>0.12239319999999999</v>
      </c>
      <c r="Z4381">
        <v>6.166141E-3</v>
      </c>
      <c r="AA4381">
        <v>0.99246250000000003</v>
      </c>
      <c r="AB4381">
        <v>33</v>
      </c>
      <c r="AC4381">
        <v>-15.2561</v>
      </c>
      <c r="AD4381">
        <v>-1.1209754179610001</v>
      </c>
      <c r="AE4381">
        <v>1.68729999999999</v>
      </c>
      <c r="AF4381">
        <v>1.9147477934574899</v>
      </c>
      <c r="AG4381">
        <v>-1.1209754179610001</v>
      </c>
      <c r="AH4381">
        <v>15.1471483178771</v>
      </c>
      <c r="AI4381">
        <v>94.199202492675298</v>
      </c>
      <c r="AJ4381">
        <v>82.795465340884604</v>
      </c>
      <c r="AK4381">
        <v>15.308786599988601</v>
      </c>
      <c r="AL4381">
        <v>78.099061372407306</v>
      </c>
      <c r="AM4381">
        <v>88.7543671848521</v>
      </c>
      <c r="AN4381">
        <v>0.99999992511866997</v>
      </c>
    </row>
    <row r="4382" spans="1:40" x14ac:dyDescent="0.25">
      <c r="A4382" t="str">
        <f>"20190303162347920"</f>
        <v>20190303162347920</v>
      </c>
      <c r="B4382" t="str">
        <f>"1551601427909464"</f>
        <v>1551601427909464</v>
      </c>
      <c r="C4382" t="s">
        <v>40</v>
      </c>
      <c r="D4382">
        <v>5.3788839999999896</v>
      </c>
      <c r="E4382">
        <v>0.54003909999999999</v>
      </c>
      <c r="F4382" t="s">
        <v>41</v>
      </c>
      <c r="G4382">
        <v>-351.38389999999998</v>
      </c>
      <c r="H4382" s="1">
        <v>-4.3387240000000003E-6</v>
      </c>
      <c r="I4382">
        <v>142.62479999999999</v>
      </c>
      <c r="J4382">
        <v>-336.2364</v>
      </c>
      <c r="K4382">
        <v>1.120978</v>
      </c>
      <c r="L4382">
        <v>140.95050000000001</v>
      </c>
      <c r="M4382">
        <v>-0.99977340000000003</v>
      </c>
      <c r="N4382">
        <v>-1.45038999999999E-2</v>
      </c>
      <c r="O4382">
        <v>-1.5590069999999999E-2</v>
      </c>
      <c r="P4382">
        <v>-0.98139149999999997</v>
      </c>
      <c r="Q4382">
        <v>0.19194230000000001</v>
      </c>
      <c r="R4382">
        <v>5.4174679999999999E-3</v>
      </c>
      <c r="S4382">
        <v>-3.0988159999999998</v>
      </c>
      <c r="T4382">
        <v>-0.2244083</v>
      </c>
      <c r="U4382">
        <v>0.33415220000000001</v>
      </c>
      <c r="V4382">
        <v>2.07262E-2</v>
      </c>
      <c r="W4382">
        <v>0.20615259999999999</v>
      </c>
      <c r="X4382">
        <v>0.97830030000000001</v>
      </c>
      <c r="Y4382">
        <v>0.12229279999999999</v>
      </c>
      <c r="Z4382">
        <v>6.199665E-3</v>
      </c>
      <c r="AA4382">
        <v>0.99247470000000004</v>
      </c>
      <c r="AB4382">
        <v>33</v>
      </c>
      <c r="AC4382">
        <v>-15.1474999999999</v>
      </c>
      <c r="AD4382">
        <v>-1.1209823387240001</v>
      </c>
      <c r="AE4382">
        <v>1.6742999999999799</v>
      </c>
      <c r="AF4382">
        <v>1.8999918631000601</v>
      </c>
      <c r="AG4382">
        <v>-1.1209823387240001</v>
      </c>
      <c r="AH4382">
        <v>15.0381885687015</v>
      </c>
      <c r="AI4382">
        <v>94.229578214616495</v>
      </c>
      <c r="AJ4382">
        <v>82.799149282208802</v>
      </c>
      <c r="AK4382">
        <v>15.199134380332399</v>
      </c>
      <c r="AL4382">
        <v>78.103020202317694</v>
      </c>
      <c r="AM4382">
        <v>88.786317286853006</v>
      </c>
      <c r="AN4382">
        <v>0.99999997341664404</v>
      </c>
    </row>
    <row r="4383" spans="1:40" x14ac:dyDescent="0.25">
      <c r="A4383" t="str">
        <f>"20190303162347941"</f>
        <v>20190303162347941</v>
      </c>
      <c r="B4383" t="str">
        <f>"1551601427928984"</f>
        <v>1551601427928984</v>
      </c>
      <c r="C4383" t="s">
        <v>40</v>
      </c>
      <c r="D4383">
        <v>5.3642640000000004</v>
      </c>
      <c r="E4383">
        <v>0.54009010000000002</v>
      </c>
      <c r="F4383" t="s">
        <v>41</v>
      </c>
      <c r="G4383">
        <v>-351.62569999999999</v>
      </c>
      <c r="H4383" s="1">
        <v>-4.2518499999999998E-6</v>
      </c>
      <c r="I4383">
        <v>142.59889999999999</v>
      </c>
      <c r="J4383">
        <v>-336.5616</v>
      </c>
      <c r="K4383">
        <v>1.1209769999999999</v>
      </c>
      <c r="L4383">
        <v>140.94540000000001</v>
      </c>
      <c r="M4383">
        <v>-0.99977340000000003</v>
      </c>
      <c r="N4383">
        <v>-1.4500270000000001E-2</v>
      </c>
      <c r="O4383">
        <v>-1.5590049999999999E-2</v>
      </c>
      <c r="P4383">
        <v>-0.98151359999999999</v>
      </c>
      <c r="Q4383">
        <v>0.19131960000000001</v>
      </c>
      <c r="R4383">
        <v>5.3075040000000002E-3</v>
      </c>
      <c r="S4383">
        <v>-3.0992130000000002</v>
      </c>
      <c r="T4383">
        <v>-0.22575139999999999</v>
      </c>
      <c r="U4383">
        <v>0.33198549999999999</v>
      </c>
      <c r="V4383">
        <v>2.0618040000000001E-2</v>
      </c>
      <c r="W4383">
        <v>0.20552819999999999</v>
      </c>
      <c r="X4383">
        <v>0.97843400000000003</v>
      </c>
      <c r="Y4383">
        <v>0.121591</v>
      </c>
      <c r="Z4383">
        <v>6.2014419999999997E-3</v>
      </c>
      <c r="AA4383">
        <v>0.99256089999999997</v>
      </c>
      <c r="AB4383">
        <v>33</v>
      </c>
      <c r="AC4383">
        <v>-15.0640999999999</v>
      </c>
      <c r="AD4383">
        <v>-1.12098125185</v>
      </c>
      <c r="AE4383">
        <v>1.65349999999997</v>
      </c>
      <c r="AF4383">
        <v>1.87789876379276</v>
      </c>
      <c r="AG4383">
        <v>-1.12098125185</v>
      </c>
      <c r="AH4383">
        <v>14.9546630345076</v>
      </c>
      <c r="AI4383">
        <v>94.253516380961798</v>
      </c>
      <c r="AJ4383">
        <v>82.842672370589696</v>
      </c>
      <c r="AK4383">
        <v>15.1137371027064</v>
      </c>
      <c r="AL4383">
        <v>78.139579107027402</v>
      </c>
      <c r="AM4383">
        <v>88.792813961448502</v>
      </c>
      <c r="AN4383">
        <v>1.0000000184623401</v>
      </c>
    </row>
    <row r="4384" spans="1:40" x14ac:dyDescent="0.25">
      <c r="A4384" t="str">
        <f>"20190303162347967"</f>
        <v>20190303162347967</v>
      </c>
      <c r="B4384" t="str">
        <f>"1551601427960216"</f>
        <v>1551601427960216</v>
      </c>
      <c r="C4384" t="s">
        <v>40</v>
      </c>
      <c r="D4384">
        <v>5.3863789999999998</v>
      </c>
      <c r="E4384">
        <v>0.5400857</v>
      </c>
      <c r="F4384" t="s">
        <v>41</v>
      </c>
      <c r="G4384">
        <v>-351.75830000000002</v>
      </c>
      <c r="H4384" s="1">
        <v>-4.2014080000000003E-6</v>
      </c>
      <c r="I4384">
        <v>142.56880000000001</v>
      </c>
      <c r="J4384">
        <v>-336.91849999999999</v>
      </c>
      <c r="K4384">
        <v>1.120976</v>
      </c>
      <c r="L4384">
        <v>140.93979999999999</v>
      </c>
      <c r="M4384">
        <v>-0.99977340000000003</v>
      </c>
      <c r="N4384">
        <v>-1.449629E-2</v>
      </c>
      <c r="O4384">
        <v>-1.5589779999999999E-2</v>
      </c>
      <c r="P4384">
        <v>-0.9815642</v>
      </c>
      <c r="Q4384">
        <v>0.1910762</v>
      </c>
      <c r="R4384">
        <v>4.6522919999999997E-3</v>
      </c>
      <c r="S4384">
        <v>-3.099243</v>
      </c>
      <c r="T4384">
        <v>-0.2286155</v>
      </c>
      <c r="U4384">
        <v>0.33110050000000002</v>
      </c>
      <c r="V4384">
        <v>1.996359E-2</v>
      </c>
      <c r="W4384">
        <v>0.2052813</v>
      </c>
      <c r="X4384">
        <v>0.97849940000000002</v>
      </c>
      <c r="Y4384">
        <v>0.12130059999999999</v>
      </c>
      <c r="Z4384">
        <v>6.2586289999999999E-3</v>
      </c>
      <c r="AA4384">
        <v>0.99259609999999998</v>
      </c>
      <c r="AB4384">
        <v>33</v>
      </c>
      <c r="AC4384">
        <v>-14.8398</v>
      </c>
      <c r="AD4384">
        <v>-1.1209802014079999</v>
      </c>
      <c r="AE4384">
        <v>1.62900000000001</v>
      </c>
      <c r="AF4384">
        <v>1.8497463381831301</v>
      </c>
      <c r="AG4384">
        <v>-1.1209802014079999</v>
      </c>
      <c r="AH4384">
        <v>14.7295501063409</v>
      </c>
      <c r="AI4384">
        <v>94.318270960203094</v>
      </c>
      <c r="AJ4384">
        <v>82.842229558610498</v>
      </c>
      <c r="AK4384">
        <v>14.887504977758301</v>
      </c>
      <c r="AL4384">
        <v>78.154033622859302</v>
      </c>
      <c r="AM4384">
        <v>88.831199300152093</v>
      </c>
      <c r="AN4384">
        <v>1.00000001642786</v>
      </c>
    </row>
    <row r="4385" spans="1:40" x14ac:dyDescent="0.25">
      <c r="A4385" t="str">
        <f>"20190303162347986"</f>
        <v>20190303162347986</v>
      </c>
      <c r="B4385" t="str">
        <f>"1551601427979736"</f>
        <v>1551601427979736</v>
      </c>
      <c r="C4385" t="s">
        <v>40</v>
      </c>
      <c r="D4385">
        <v>5.4155430000000004</v>
      </c>
      <c r="E4385">
        <v>0.53979549999999998</v>
      </c>
      <c r="F4385" t="s">
        <v>41</v>
      </c>
      <c r="G4385">
        <v>-352.0204</v>
      </c>
      <c r="H4385" s="1">
        <v>-4.1076259999999997E-6</v>
      </c>
      <c r="I4385">
        <v>142.54310000000001</v>
      </c>
      <c r="J4385">
        <v>-337.22190000000001</v>
      </c>
      <c r="K4385">
        <v>1.1209789999999999</v>
      </c>
      <c r="L4385">
        <v>140.93510000000001</v>
      </c>
      <c r="M4385">
        <v>-0.99977349999999998</v>
      </c>
      <c r="N4385">
        <v>-1.449304E-2</v>
      </c>
      <c r="O4385">
        <v>-1.559E-2</v>
      </c>
      <c r="P4385">
        <v>-0.98156849999999995</v>
      </c>
      <c r="Q4385">
        <v>0.19106919999999999</v>
      </c>
      <c r="R4385">
        <v>3.9911909999999998E-3</v>
      </c>
      <c r="S4385">
        <v>-3.0995180000000002</v>
      </c>
      <c r="T4385">
        <v>-0.23007069999999999</v>
      </c>
      <c r="U4385">
        <v>0.329071</v>
      </c>
      <c r="V4385">
        <v>1.9302739999999999E-2</v>
      </c>
      <c r="W4385">
        <v>0.2052716</v>
      </c>
      <c r="X4385">
        <v>0.97851469999999896</v>
      </c>
      <c r="Y4385">
        <v>0.12064610000000001</v>
      </c>
      <c r="Z4385">
        <v>6.2647689999999999E-3</v>
      </c>
      <c r="AA4385">
        <v>0.9926758</v>
      </c>
      <c r="AB4385">
        <v>33</v>
      </c>
      <c r="AC4385">
        <v>-14.798499999999899</v>
      </c>
      <c r="AD4385">
        <v>-1.120983107626</v>
      </c>
      <c r="AE4385">
        <v>1.6080000000000001</v>
      </c>
      <c r="AF4385">
        <v>1.8281696877892899</v>
      </c>
      <c r="AG4385">
        <v>-1.120983107626</v>
      </c>
      <c r="AH4385">
        <v>14.6883312165894</v>
      </c>
      <c r="AI4385">
        <v>94.330947158458102</v>
      </c>
      <c r="AJ4385">
        <v>82.905218981664902</v>
      </c>
      <c r="AK4385">
        <v>14.8440520567387</v>
      </c>
      <c r="AL4385">
        <v>78.154601549970593</v>
      </c>
      <c r="AM4385">
        <v>88.869897293390693</v>
      </c>
      <c r="AN4385">
        <v>1.0000000218270699</v>
      </c>
    </row>
    <row r="4386" spans="1:40" x14ac:dyDescent="0.25">
      <c r="A4386" t="str">
        <f>"20190303162348008"</f>
        <v>20190303162348008</v>
      </c>
      <c r="B4386" t="str">
        <f>"1551601427999256"</f>
        <v>1551601427999256</v>
      </c>
      <c r="C4386" t="s">
        <v>40</v>
      </c>
      <c r="D4386">
        <v>5.3490979999999997</v>
      </c>
      <c r="E4386">
        <v>0.52842060000000002</v>
      </c>
      <c r="F4386" t="s">
        <v>41</v>
      </c>
      <c r="G4386">
        <v>-352.25409999999999</v>
      </c>
      <c r="H4386" s="1">
        <v>-4.0222659999999999E-6</v>
      </c>
      <c r="I4386">
        <v>142.51009999999999</v>
      </c>
      <c r="J4386">
        <v>-337.53109999999998</v>
      </c>
      <c r="K4386">
        <v>1.1209769999999999</v>
      </c>
      <c r="L4386">
        <v>140.93029999999999</v>
      </c>
      <c r="M4386">
        <v>-0.99977360000000004</v>
      </c>
      <c r="N4386">
        <v>-1.4489800000000001E-2</v>
      </c>
      <c r="O4386">
        <v>-1.5590089999999999E-2</v>
      </c>
      <c r="P4386">
        <v>-0.98160979999999998</v>
      </c>
      <c r="Q4386">
        <v>0.19086259999999999</v>
      </c>
      <c r="R4386">
        <v>3.7591059999999999E-3</v>
      </c>
      <c r="S4386">
        <v>-3.1000369999999999</v>
      </c>
      <c r="T4386">
        <v>-0.2311763</v>
      </c>
      <c r="U4386">
        <v>0.32482909999999998</v>
      </c>
      <c r="V4386">
        <v>1.907149E-2</v>
      </c>
      <c r="W4386">
        <v>0.20506250000000001</v>
      </c>
      <c r="X4386">
        <v>0.97856310000000002</v>
      </c>
      <c r="Y4386">
        <v>0.119286</v>
      </c>
      <c r="Z4386">
        <v>6.230518E-3</v>
      </c>
      <c r="AA4386">
        <v>0.99284039999999996</v>
      </c>
      <c r="AB4386">
        <v>33</v>
      </c>
      <c r="AC4386">
        <v>-14.723000000000001</v>
      </c>
      <c r="AD4386">
        <v>-1.1209810222659999</v>
      </c>
      <c r="AE4386">
        <v>1.5798000000000001</v>
      </c>
      <c r="AF4386">
        <v>1.79885564389485</v>
      </c>
      <c r="AG4386">
        <v>-1.1209810222659999</v>
      </c>
      <c r="AH4386">
        <v>14.612832010838501</v>
      </c>
      <c r="AI4386">
        <v>94.353950375181796</v>
      </c>
      <c r="AJ4386">
        <v>82.982133889995794</v>
      </c>
      <c r="AK4386">
        <v>14.7657488620402</v>
      </c>
      <c r="AL4386">
        <v>78.166842785393399</v>
      </c>
      <c r="AM4386">
        <v>88.883487873136303</v>
      </c>
      <c r="AN4386">
        <v>1.0000000456593301</v>
      </c>
    </row>
    <row r="4387" spans="1:40" x14ac:dyDescent="0.25">
      <c r="A4387" t="str">
        <f>"20190303162348030"</f>
        <v>20190303162348030</v>
      </c>
      <c r="B4387" t="str">
        <f>"1551601428019752"</f>
        <v>1551601428019752</v>
      </c>
      <c r="C4387" t="s">
        <v>40</v>
      </c>
      <c r="D4387">
        <v>5.3452380000000002</v>
      </c>
      <c r="E4387">
        <v>0.52153930000000004</v>
      </c>
      <c r="F4387" t="s">
        <v>41</v>
      </c>
      <c r="G4387">
        <v>-355.26249999999999</v>
      </c>
      <c r="H4387" s="1">
        <v>-2.7202900000000002E-6</v>
      </c>
      <c r="I4387">
        <v>142.2681</v>
      </c>
      <c r="J4387">
        <v>-337.85700000000003</v>
      </c>
      <c r="K4387">
        <v>1.120978</v>
      </c>
      <c r="L4387">
        <v>140.92519999999999</v>
      </c>
      <c r="M4387">
        <v>-0.99977360000000004</v>
      </c>
      <c r="N4387">
        <v>-1.4486479999999999E-2</v>
      </c>
      <c r="O4387">
        <v>-1.5590069999999999E-2</v>
      </c>
      <c r="P4387">
        <v>-0.98165789999999997</v>
      </c>
      <c r="Q4387">
        <v>0.19061990000000001</v>
      </c>
      <c r="R4387">
        <v>3.5135019999999999E-3</v>
      </c>
      <c r="S4387">
        <v>-3.0933229999999998</v>
      </c>
      <c r="T4387">
        <v>-0.19556129999999999</v>
      </c>
      <c r="U4387">
        <v>0.23339840000000001</v>
      </c>
      <c r="V4387">
        <v>1.882665E-2</v>
      </c>
      <c r="W4387">
        <v>0.20481750000000001</v>
      </c>
      <c r="X4387">
        <v>0.97861909999999996</v>
      </c>
      <c r="Y4387">
        <v>9.0537210000000007E-2</v>
      </c>
      <c r="Z4387">
        <v>4.2705629999999998E-3</v>
      </c>
      <c r="AA4387">
        <v>0.99588390000000004</v>
      </c>
      <c r="AB4387">
        <v>33</v>
      </c>
      <c r="AC4387">
        <v>-17.4055</v>
      </c>
      <c r="AD4387">
        <v>-1.12098072029</v>
      </c>
      <c r="AE4387">
        <v>1.34290000000001</v>
      </c>
      <c r="AF4387">
        <v>1.60749000327188</v>
      </c>
      <c r="AG4387">
        <v>-1.12098072029</v>
      </c>
      <c r="AH4387">
        <v>17.311067269147902</v>
      </c>
      <c r="AI4387">
        <v>93.689196412248506</v>
      </c>
      <c r="AJ4387">
        <v>84.694779621276794</v>
      </c>
      <c r="AK4387">
        <v>17.421643776717598</v>
      </c>
      <c r="AL4387">
        <v>78.1811840799934</v>
      </c>
      <c r="AM4387">
        <v>88.897881164457402</v>
      </c>
      <c r="AN4387">
        <v>0.99999999697064101</v>
      </c>
    </row>
    <row r="4388" spans="1:40" x14ac:dyDescent="0.25">
      <c r="A4388" t="str">
        <f>"20190303162348075"</f>
        <v>20190303162348075</v>
      </c>
      <c r="B4388" t="str">
        <f>"1551601428069529"</f>
        <v>1551601428069529</v>
      </c>
      <c r="C4388" t="s">
        <v>40</v>
      </c>
      <c r="D4388">
        <v>5.2618479999999996</v>
      </c>
      <c r="E4388">
        <v>0.52489229999999998</v>
      </c>
      <c r="F4388" t="s">
        <v>41</v>
      </c>
      <c r="G4388">
        <v>-363.59780000000001</v>
      </c>
      <c r="H4388" s="1">
        <v>-3.4732040000000002E-6</v>
      </c>
      <c r="I4388">
        <v>142.41390000000001</v>
      </c>
      <c r="J4388">
        <v>-338.51900000000001</v>
      </c>
      <c r="K4388">
        <v>1.120987</v>
      </c>
      <c r="L4388">
        <v>140.91489999999999</v>
      </c>
      <c r="M4388">
        <v>-0.99977369999999999</v>
      </c>
      <c r="N4388">
        <v>-1.447975E-2</v>
      </c>
      <c r="O4388">
        <v>-1.559026E-2</v>
      </c>
      <c r="P4388">
        <v>-0.98154710000000001</v>
      </c>
      <c r="Q4388">
        <v>0.1912026</v>
      </c>
      <c r="R4388">
        <v>2.7028389999999998E-3</v>
      </c>
      <c r="S4388">
        <v>-3.0814819999999998</v>
      </c>
      <c r="T4388">
        <v>-0.13419500000000001</v>
      </c>
      <c r="U4388">
        <v>0.17822270000000001</v>
      </c>
      <c r="V4388">
        <v>1.8014430000000001E-2</v>
      </c>
      <c r="W4388">
        <v>0.20539199999999999</v>
      </c>
      <c r="X4388">
        <v>0.97851399999999999</v>
      </c>
      <c r="Y4388">
        <v>7.320024E-2</v>
      </c>
      <c r="Z4388">
        <v>2.5752040000000002E-3</v>
      </c>
      <c r="AA4388">
        <v>0.99731389999999998</v>
      </c>
      <c r="AB4388">
        <v>33</v>
      </c>
      <c r="AC4388">
        <v>-25.078800000000001</v>
      </c>
      <c r="AD4388">
        <v>-1.1209904732039999</v>
      </c>
      <c r="AE4388">
        <v>1.4990000000000201</v>
      </c>
      <c r="AF4388">
        <v>1.8860888075657301</v>
      </c>
      <c r="AG4388">
        <v>-1.1209904732039999</v>
      </c>
      <c r="AH4388">
        <v>25.002602375952701</v>
      </c>
      <c r="AI4388">
        <v>92.559870826643504</v>
      </c>
      <c r="AJ4388">
        <v>85.686023354210505</v>
      </c>
      <c r="AK4388">
        <v>25.098686742557501</v>
      </c>
      <c r="AL4388">
        <v>78.1475529369892</v>
      </c>
      <c r="AM4388">
        <v>88.945304589508297</v>
      </c>
      <c r="AN4388">
        <v>1.00000002077411</v>
      </c>
    </row>
    <row r="4389" spans="1:40" x14ac:dyDescent="0.25">
      <c r="A4389" t="str">
        <f>"20190303162348096"</f>
        <v>20190303162348096</v>
      </c>
      <c r="B4389" t="str">
        <f>"1551601428089049"</f>
        <v>1551601428089049</v>
      </c>
      <c r="C4389" t="s">
        <v>40</v>
      </c>
      <c r="D4389">
        <v>5.2405819999999999</v>
      </c>
      <c r="E4389">
        <v>0.52583880000000005</v>
      </c>
      <c r="F4389" t="s">
        <v>41</v>
      </c>
      <c r="G4389">
        <v>-364.71859999999998</v>
      </c>
      <c r="H4389" s="1">
        <v>-3.0529969999999902E-6</v>
      </c>
      <c r="I4389">
        <v>142.64160000000001</v>
      </c>
      <c r="J4389">
        <v>-338.83670000000001</v>
      </c>
      <c r="K4389">
        <v>1.1209899999999999</v>
      </c>
      <c r="L4389">
        <v>140.90989999999999</v>
      </c>
      <c r="M4389">
        <v>-0.99977369999999999</v>
      </c>
      <c r="N4389">
        <v>-1.4476330000000001E-2</v>
      </c>
      <c r="O4389">
        <v>-1.559023E-2</v>
      </c>
      <c r="P4389">
        <v>-0.98157439999999996</v>
      </c>
      <c r="Q4389">
        <v>0.19106049999999999</v>
      </c>
      <c r="R4389">
        <v>2.8004060000000001E-3</v>
      </c>
      <c r="S4389">
        <v>-3.0815429999999999</v>
      </c>
      <c r="T4389">
        <v>-0.1318491</v>
      </c>
      <c r="U4389">
        <v>0.2031097</v>
      </c>
      <c r="V4389">
        <v>1.8112340000000001E-2</v>
      </c>
      <c r="W4389">
        <v>0.20524729999999999</v>
      </c>
      <c r="X4389">
        <v>0.97854249999999998</v>
      </c>
      <c r="Y4389">
        <v>8.1213750000000001E-2</v>
      </c>
      <c r="Z4389">
        <v>2.7643519999999999E-3</v>
      </c>
      <c r="AA4389">
        <v>0.99669289999999999</v>
      </c>
      <c r="AB4389">
        <v>33</v>
      </c>
      <c r="AC4389">
        <v>-25.881899999999899</v>
      </c>
      <c r="AD4389">
        <v>-1.120993052997</v>
      </c>
      <c r="AE4389">
        <v>1.73170000000001</v>
      </c>
      <c r="AF4389">
        <v>2.1310566718262001</v>
      </c>
      <c r="AG4389">
        <v>-1.120993052997</v>
      </c>
      <c r="AH4389">
        <v>25.803563747615001</v>
      </c>
      <c r="AI4389">
        <v>92.479126240121502</v>
      </c>
      <c r="AJ4389">
        <v>85.278788614233605</v>
      </c>
      <c r="AK4389">
        <v>25.915669585033601</v>
      </c>
      <c r="AL4389">
        <v>78.1560234766485</v>
      </c>
      <c r="AM4389">
        <v>88.939604411104099</v>
      </c>
      <c r="AN4389">
        <v>0.99999996766190702</v>
      </c>
    </row>
    <row r="4390" spans="1:40" x14ac:dyDescent="0.25">
      <c r="A4390" t="str">
        <f>"20190303162348119"</f>
        <v>20190303162348119</v>
      </c>
      <c r="B4390" t="str">
        <f>"1551601428109544"</f>
        <v>1551601428109544</v>
      </c>
      <c r="C4390" t="s">
        <v>40</v>
      </c>
      <c r="D4390">
        <v>5.2077410000000004</v>
      </c>
      <c r="E4390">
        <v>0.52653269999999996</v>
      </c>
      <c r="F4390" t="s">
        <v>41</v>
      </c>
      <c r="G4390">
        <v>-364.53129999999999</v>
      </c>
      <c r="H4390" s="1">
        <v>-3.1405459999999998E-6</v>
      </c>
      <c r="I4390">
        <v>142.6687</v>
      </c>
      <c r="J4390">
        <v>-339.16059999999999</v>
      </c>
      <c r="K4390">
        <v>1.1209849999999999</v>
      </c>
      <c r="L4390">
        <v>140.9049</v>
      </c>
      <c r="M4390">
        <v>-0.99977389999999999</v>
      </c>
      <c r="N4390">
        <v>-1.44729E-2</v>
      </c>
      <c r="O4390">
        <v>-1.5590329999999999E-2</v>
      </c>
      <c r="P4390">
        <v>-0.98151980000000005</v>
      </c>
      <c r="Q4390">
        <v>0.19134499999999999</v>
      </c>
      <c r="R4390">
        <v>2.4891309999999999E-3</v>
      </c>
      <c r="S4390">
        <v>-3.081909</v>
      </c>
      <c r="T4390">
        <v>-0.13445660000000001</v>
      </c>
      <c r="U4390">
        <v>0.21096799999999999</v>
      </c>
      <c r="V4390">
        <v>1.7800360000000001E-2</v>
      </c>
      <c r="W4390">
        <v>0.20552780000000001</v>
      </c>
      <c r="X4390">
        <v>0.97848939999999995</v>
      </c>
      <c r="Y4390">
        <v>8.3728810000000001E-2</v>
      </c>
      <c r="Z4390">
        <v>2.884303E-3</v>
      </c>
      <c r="AA4390">
        <v>0.99648440000000005</v>
      </c>
      <c r="AB4390">
        <v>33</v>
      </c>
      <c r="AC4390">
        <v>-25.370699999999999</v>
      </c>
      <c r="AD4390">
        <v>-1.120988140546</v>
      </c>
      <c r="AE4390">
        <v>1.7638</v>
      </c>
      <c r="AF4390">
        <v>2.1549776963847398</v>
      </c>
      <c r="AG4390">
        <v>-1.120988140546</v>
      </c>
      <c r="AH4390">
        <v>25.2909777710078</v>
      </c>
      <c r="AI4390">
        <v>92.528745124464294</v>
      </c>
      <c r="AJ4390">
        <v>85.129741098768903</v>
      </c>
      <c r="AK4390">
        <v>25.407363103965999</v>
      </c>
      <c r="AL4390">
        <v>78.139602515522995</v>
      </c>
      <c r="AM4390">
        <v>88.957808824296393</v>
      </c>
      <c r="AN4390">
        <v>1.00000001765066</v>
      </c>
    </row>
    <row r="4391" spans="1:40" x14ac:dyDescent="0.25">
      <c r="A4391" t="str">
        <f>"20190303162348142"</f>
        <v>20190303162348142</v>
      </c>
      <c r="B4391" t="str">
        <f>"1551601428129064"</f>
        <v>1551601428129064</v>
      </c>
      <c r="C4391" t="s">
        <v>40</v>
      </c>
      <c r="D4391">
        <v>5.1166320000000001</v>
      </c>
      <c r="E4391">
        <v>0.526833199999999</v>
      </c>
      <c r="F4391" t="s">
        <v>41</v>
      </c>
      <c r="G4391">
        <v>-365.15050000000002</v>
      </c>
      <c r="H4391" s="1">
        <v>-2.8892190000000001E-6</v>
      </c>
      <c r="I4391">
        <v>142.72239999999999</v>
      </c>
      <c r="J4391">
        <v>-339.4984</v>
      </c>
      <c r="K4391">
        <v>1.120992</v>
      </c>
      <c r="L4391">
        <v>140.89959999999999</v>
      </c>
      <c r="M4391">
        <v>-0.99977369999999999</v>
      </c>
      <c r="N4391">
        <v>-1.4469559999999999E-2</v>
      </c>
      <c r="O4391">
        <v>-1.559019E-2</v>
      </c>
      <c r="P4391">
        <v>-0.98148500000000005</v>
      </c>
      <c r="Q4391">
        <v>0.1915279</v>
      </c>
      <c r="R4391">
        <v>2.0254549999999998E-3</v>
      </c>
      <c r="S4391">
        <v>-3.0818180000000002</v>
      </c>
      <c r="T4391">
        <v>-0.13292470000000001</v>
      </c>
      <c r="U4391">
        <v>0.21553040000000001</v>
      </c>
      <c r="V4391">
        <v>1.7336069999999999E-2</v>
      </c>
      <c r="W4391">
        <v>0.205707</v>
      </c>
      <c r="X4391">
        <v>0.97846010000000005</v>
      </c>
      <c r="Y4391">
        <v>8.5199280000000002E-2</v>
      </c>
      <c r="Z4391">
        <v>2.8980239999999999E-3</v>
      </c>
      <c r="AA4391">
        <v>0.99635969999999996</v>
      </c>
      <c r="AB4391">
        <v>33</v>
      </c>
      <c r="AC4391">
        <v>-25.652100000000001</v>
      </c>
      <c r="AD4391">
        <v>-1.120994889219</v>
      </c>
      <c r="AE4391">
        <v>1.8228</v>
      </c>
      <c r="AF4391">
        <v>2.2183264122417401</v>
      </c>
      <c r="AG4391">
        <v>-1.120994889219</v>
      </c>
      <c r="AH4391">
        <v>25.571971924679598</v>
      </c>
      <c r="AI4391">
        <v>92.500680378063606</v>
      </c>
      <c r="AJ4391">
        <v>85.042097242955805</v>
      </c>
      <c r="AK4391">
        <v>25.692476519975699</v>
      </c>
      <c r="AL4391">
        <v>78.129111180529407</v>
      </c>
      <c r="AM4391">
        <v>88.984956333269196</v>
      </c>
      <c r="AN4391">
        <v>1.00000003823202</v>
      </c>
    </row>
    <row r="4392" spans="1:40" x14ac:dyDescent="0.25">
      <c r="A4392" t="str">
        <f>"20190303162348167"</f>
        <v>20190303162348167</v>
      </c>
      <c r="B4392" t="str">
        <f>"1551601428159320"</f>
        <v>1551601428159320</v>
      </c>
      <c r="C4392" t="s">
        <v>40</v>
      </c>
      <c r="D4392">
        <v>5.1175739999999896</v>
      </c>
      <c r="E4392">
        <v>0.53040189999999998</v>
      </c>
      <c r="F4392" t="s">
        <v>41</v>
      </c>
      <c r="G4392">
        <v>-365.78719999999998</v>
      </c>
      <c r="H4392" s="1">
        <v>-2.6227310000000001E-6</v>
      </c>
      <c r="I4392">
        <v>142.7474</v>
      </c>
      <c r="J4392">
        <v>-339.84</v>
      </c>
      <c r="K4392">
        <v>1.120997</v>
      </c>
      <c r="L4392">
        <v>140.89429999999999</v>
      </c>
      <c r="M4392">
        <v>-0.99977380000000005</v>
      </c>
      <c r="N4392">
        <v>-1.446625E-2</v>
      </c>
      <c r="O4392">
        <v>-1.559028E-2</v>
      </c>
      <c r="P4392">
        <v>-0.98126559999999896</v>
      </c>
      <c r="Q4392">
        <v>0.1926495</v>
      </c>
      <c r="R4392">
        <v>2.068467E-3</v>
      </c>
      <c r="S4392">
        <v>-3.0818180000000002</v>
      </c>
      <c r="T4392">
        <v>-0.13141359999999999</v>
      </c>
      <c r="U4392">
        <v>0.21662899999999999</v>
      </c>
      <c r="V4392">
        <v>1.7375890000000001E-2</v>
      </c>
      <c r="W4392">
        <v>0.20682159999999999</v>
      </c>
      <c r="X4392">
        <v>0.97822430000000005</v>
      </c>
      <c r="Y4392">
        <v>8.5554699999999997E-2</v>
      </c>
      <c r="Z4392">
        <v>2.87959E-3</v>
      </c>
      <c r="AA4392">
        <v>0.99632929999999997</v>
      </c>
      <c r="AB4392">
        <v>33</v>
      </c>
      <c r="AC4392">
        <v>-25.947199999999999</v>
      </c>
      <c r="AD4392">
        <v>-1.120999622731</v>
      </c>
      <c r="AE4392">
        <v>1.85310000000001</v>
      </c>
      <c r="AF4392">
        <v>2.2532568065611498</v>
      </c>
      <c r="AG4392">
        <v>-1.120999622731</v>
      </c>
      <c r="AH4392">
        <v>25.8671162770544</v>
      </c>
      <c r="AI4392">
        <v>92.472116779572701</v>
      </c>
      <c r="AJ4392">
        <v>85.021592601342903</v>
      </c>
      <c r="AK4392">
        <v>25.989257605424701</v>
      </c>
      <c r="AL4392">
        <v>78.063844649788805</v>
      </c>
      <c r="AM4392">
        <v>88.982380137637904</v>
      </c>
      <c r="AN4392">
        <v>0.99999993844516899</v>
      </c>
    </row>
    <row r="4393" spans="1:40" x14ac:dyDescent="0.25">
      <c r="A4393" t="str">
        <f>"20190303162348186"</f>
        <v>20190303162348186</v>
      </c>
      <c r="B4393" t="str">
        <f>"1551601428178841"</f>
        <v>1551601428178841</v>
      </c>
      <c r="C4393" t="s">
        <v>40</v>
      </c>
      <c r="D4393">
        <v>5.1211710000000004</v>
      </c>
      <c r="E4393">
        <v>0.53067519999999901</v>
      </c>
      <c r="F4393" t="s">
        <v>41</v>
      </c>
      <c r="G4393">
        <v>-360.86630000000002</v>
      </c>
      <c r="H4393" s="1">
        <v>-4.5031790000000004E-6</v>
      </c>
      <c r="I4393">
        <v>142.55889999999999</v>
      </c>
      <c r="J4393">
        <v>-340.13979999999998</v>
      </c>
      <c r="K4393">
        <v>1.120994</v>
      </c>
      <c r="L4393">
        <v>140.8896</v>
      </c>
      <c r="M4393">
        <v>-0.99977400000000005</v>
      </c>
      <c r="N4393">
        <v>-1.446332E-2</v>
      </c>
      <c r="O4393">
        <v>-1.5590379999999999E-2</v>
      </c>
      <c r="P4393">
        <v>-0.98112489999999997</v>
      </c>
      <c r="Q4393">
        <v>0.19336970000000001</v>
      </c>
      <c r="R4393">
        <v>1.63686E-3</v>
      </c>
      <c r="S4393">
        <v>-3.0890499999999999</v>
      </c>
      <c r="T4393">
        <v>-0.1646909</v>
      </c>
      <c r="U4393">
        <v>0.2445679</v>
      </c>
      <c r="V4393">
        <v>1.6942309999999999E-2</v>
      </c>
      <c r="W4393">
        <v>0.20753720000000001</v>
      </c>
      <c r="X4393">
        <v>0.97808039999999996</v>
      </c>
      <c r="Y4393">
        <v>9.4278189999999998E-2</v>
      </c>
      <c r="Z4393">
        <v>3.7954E-3</v>
      </c>
      <c r="AA4393">
        <v>0.9955387</v>
      </c>
      <c r="AB4393">
        <v>32</v>
      </c>
      <c r="AC4393">
        <v>-20.726500000000001</v>
      </c>
      <c r="AD4393">
        <v>-1.120998503179</v>
      </c>
      <c r="AE4393">
        <v>1.66929999999999</v>
      </c>
      <c r="AF4393">
        <v>1.9864913725715301</v>
      </c>
      <c r="AG4393">
        <v>-1.120998503179</v>
      </c>
      <c r="AH4393">
        <v>20.637971216072401</v>
      </c>
      <c r="AI4393">
        <v>93.094820255761306</v>
      </c>
      <c r="AJ4393">
        <v>84.5019784194115</v>
      </c>
      <c r="AK4393">
        <v>20.763637483178702</v>
      </c>
      <c r="AL4393">
        <v>78.021935208481196</v>
      </c>
      <c r="AM4393">
        <v>89.007621677468293</v>
      </c>
      <c r="AN4393">
        <v>1.00000000005806</v>
      </c>
    </row>
    <row r="4394" spans="1:40" x14ac:dyDescent="0.25">
      <c r="A4394" t="str">
        <f>"20190303162348209"</f>
        <v>20190303162348209</v>
      </c>
      <c r="B4394" t="str">
        <f>"1551601428199336"</f>
        <v>1551601428199336</v>
      </c>
      <c r="C4394" t="s">
        <v>40</v>
      </c>
      <c r="D4394">
        <v>5.1279649999999997</v>
      </c>
      <c r="E4394">
        <v>0.53105939999999996</v>
      </c>
      <c r="F4394" t="s">
        <v>41</v>
      </c>
      <c r="G4394">
        <v>-362.52440000000001</v>
      </c>
      <c r="H4394" s="1">
        <v>-3.958035E-6</v>
      </c>
      <c r="I4394">
        <v>142.66659999999999</v>
      </c>
      <c r="J4394">
        <v>-340.46749999999997</v>
      </c>
      <c r="K4394">
        <v>1.1210009999999999</v>
      </c>
      <c r="L4394">
        <v>140.8845</v>
      </c>
      <c r="M4394">
        <v>-0.99977400000000005</v>
      </c>
      <c r="N4394">
        <v>-1.446005E-2</v>
      </c>
      <c r="O4394">
        <v>-1.559024E-2</v>
      </c>
      <c r="P4394">
        <v>-0.98101590000000005</v>
      </c>
      <c r="Q4394">
        <v>0.1939216</v>
      </c>
      <c r="R4394">
        <v>1.520516E-3</v>
      </c>
      <c r="S4394">
        <v>-3.087799</v>
      </c>
      <c r="T4394">
        <v>-0.1546341</v>
      </c>
      <c r="U4394">
        <v>0.2451324</v>
      </c>
      <c r="V4394">
        <v>1.6824019999999999E-2</v>
      </c>
      <c r="W4394">
        <v>0.2080843</v>
      </c>
      <c r="X4394">
        <v>0.97796620000000001</v>
      </c>
      <c r="Y4394">
        <v>9.4510029999999995E-2</v>
      </c>
      <c r="Z4394">
        <v>3.6004299999999999E-3</v>
      </c>
      <c r="AA4394">
        <v>0.9955174</v>
      </c>
      <c r="AB4394">
        <v>32</v>
      </c>
      <c r="AC4394">
        <v>-22.056899999999999</v>
      </c>
      <c r="AD4394">
        <v>-1.1210049580350001</v>
      </c>
      <c r="AE4394">
        <v>1.78209999999998</v>
      </c>
      <c r="AF4394">
        <v>2.1203502879551399</v>
      </c>
      <c r="AG4394">
        <v>-1.1210049580350001</v>
      </c>
      <c r="AH4394">
        <v>21.970051664180701</v>
      </c>
      <c r="AI4394">
        <v>92.907454084604495</v>
      </c>
      <c r="AJ4394">
        <v>84.487403723342496</v>
      </c>
      <c r="AK4394">
        <v>22.100581611947199</v>
      </c>
      <c r="AL4394">
        <v>77.989889161668799</v>
      </c>
      <c r="AM4394">
        <v>89.014433969663799</v>
      </c>
      <c r="AN4394">
        <v>1.00000000594894</v>
      </c>
    </row>
    <row r="4395" spans="1:40" x14ac:dyDescent="0.25">
      <c r="A4395" t="str">
        <f>"20190303162348232"</f>
        <v>20190303162348232</v>
      </c>
      <c r="B4395" t="str">
        <f>"1551601428218856"</f>
        <v>1551601428218856</v>
      </c>
      <c r="C4395" t="s">
        <v>40</v>
      </c>
      <c r="D4395">
        <v>5.0899839999999896</v>
      </c>
      <c r="E4395">
        <v>0.53111919999999901</v>
      </c>
      <c r="F4395" t="s">
        <v>41</v>
      </c>
      <c r="G4395">
        <v>-362.899</v>
      </c>
      <c r="H4395" s="1">
        <v>-3.8346550000000001E-6</v>
      </c>
      <c r="I4395">
        <v>142.68969999999999</v>
      </c>
      <c r="J4395">
        <v>-340.79050000000001</v>
      </c>
      <c r="K4395">
        <v>1.1210039999999999</v>
      </c>
      <c r="L4395">
        <v>140.8794</v>
      </c>
      <c r="M4395">
        <v>-0.9997741</v>
      </c>
      <c r="N4395">
        <v>-1.4456770000000001E-2</v>
      </c>
      <c r="O4395">
        <v>-1.5590329999999999E-2</v>
      </c>
      <c r="P4395">
        <v>-0.98097780000000001</v>
      </c>
      <c r="Q4395">
        <v>0.19411610000000001</v>
      </c>
      <c r="R4395">
        <v>1.3640499999999999E-3</v>
      </c>
      <c r="S4395">
        <v>-3.0881959999999999</v>
      </c>
      <c r="T4395">
        <v>-0.15433139999999901</v>
      </c>
      <c r="U4395">
        <v>0.24853520000000001</v>
      </c>
      <c r="V4395">
        <v>1.666724E-2</v>
      </c>
      <c r="W4395">
        <v>0.20827509999999999</v>
      </c>
      <c r="X4395">
        <v>0.97792829999999997</v>
      </c>
      <c r="Y4395">
        <v>9.558883E-2</v>
      </c>
      <c r="Z4395">
        <v>3.628404E-3</v>
      </c>
      <c r="AA4395">
        <v>0.99541429999999997</v>
      </c>
      <c r="AB4395">
        <v>32</v>
      </c>
      <c r="AC4395">
        <v>-22.1084999999999</v>
      </c>
      <c r="AD4395">
        <v>-1.1210078346549901</v>
      </c>
      <c r="AE4395">
        <v>1.81029999999998</v>
      </c>
      <c r="AF4395">
        <v>2.14930569845452</v>
      </c>
      <c r="AG4395">
        <v>-1.1210078346549901</v>
      </c>
      <c r="AH4395">
        <v>22.021346950707098</v>
      </c>
      <c r="AI4395">
        <v>92.900397145775401</v>
      </c>
      <c r="AJ4395">
        <v>84.425530044279895</v>
      </c>
      <c r="AK4395">
        <v>22.154365147170999</v>
      </c>
      <c r="AL4395">
        <v>77.978712626969298</v>
      </c>
      <c r="AM4395">
        <v>89.023578662135193</v>
      </c>
      <c r="AN4395">
        <v>1.0000000370550499</v>
      </c>
    </row>
    <row r="4396" spans="1:40" x14ac:dyDescent="0.25">
      <c r="A4396" t="str">
        <f>"20190303162348253"</f>
        <v>20190303162348253</v>
      </c>
      <c r="B4396" t="str">
        <f>"1551601428249113"</f>
        <v>1551601428249113</v>
      </c>
      <c r="C4396" t="s">
        <v>40</v>
      </c>
      <c r="D4396">
        <v>5.0809259999999998</v>
      </c>
      <c r="E4396">
        <v>0.53139939999999997</v>
      </c>
      <c r="F4396" t="s">
        <v>41</v>
      </c>
      <c r="G4396">
        <v>-363.21570000000003</v>
      </c>
      <c r="H4396" s="1">
        <v>-3.708848E-6</v>
      </c>
      <c r="I4396">
        <v>142.6833</v>
      </c>
      <c r="J4396">
        <v>-341.11619999999999</v>
      </c>
      <c r="K4396">
        <v>1.1210009999999999</v>
      </c>
      <c r="L4396">
        <v>140.87440000000001</v>
      </c>
      <c r="M4396">
        <v>-0.99977400000000005</v>
      </c>
      <c r="N4396">
        <v>-1.445342E-2</v>
      </c>
      <c r="O4396">
        <v>-1.559031E-2</v>
      </c>
      <c r="P4396">
        <v>-0.98099689999999995</v>
      </c>
      <c r="Q4396">
        <v>0.19401779999999999</v>
      </c>
      <c r="R4396">
        <v>1.5631950000000001E-3</v>
      </c>
      <c r="S4396">
        <v>-3.0883790000000002</v>
      </c>
      <c r="T4396">
        <v>-0.1543851</v>
      </c>
      <c r="U4396">
        <v>0.24844359999999999</v>
      </c>
      <c r="V4396">
        <v>1.6866740000000002E-2</v>
      </c>
      <c r="W4396">
        <v>0.2081739</v>
      </c>
      <c r="X4396">
        <v>0.97794639999999999</v>
      </c>
      <c r="Y4396">
        <v>9.5554749999999994E-2</v>
      </c>
      <c r="Z4396">
        <v>3.6281109999999998E-3</v>
      </c>
      <c r="AA4396">
        <v>0.99541749999999996</v>
      </c>
      <c r="AB4396">
        <v>32</v>
      </c>
      <c r="AC4396">
        <v>-22.099499999999999</v>
      </c>
      <c r="AD4396">
        <v>-1.121004708848</v>
      </c>
      <c r="AE4396">
        <v>1.80889999999999</v>
      </c>
      <c r="AF4396">
        <v>2.1477646051340802</v>
      </c>
      <c r="AG4396">
        <v>-1.121004708848</v>
      </c>
      <c r="AH4396">
        <v>22.012347139188002</v>
      </c>
      <c r="AI4396">
        <v>92.901581308307996</v>
      </c>
      <c r="AJ4396">
        <v>84.427238716451797</v>
      </c>
      <c r="AK4396">
        <v>22.145269719117099</v>
      </c>
      <c r="AL4396">
        <v>77.984640576275496</v>
      </c>
      <c r="AM4396">
        <v>89.011911888673197</v>
      </c>
      <c r="AN4396">
        <v>1.0000000104161899</v>
      </c>
    </row>
    <row r="4397" spans="1:40" x14ac:dyDescent="0.25">
      <c r="A4397" t="str">
        <f>"20190303162348276"</f>
        <v>20190303162348276</v>
      </c>
      <c r="B4397" t="str">
        <f>"1551601428269608"</f>
        <v>1551601428269608</v>
      </c>
      <c r="C4397" t="s">
        <v>40</v>
      </c>
      <c r="D4397">
        <v>5.0732299999999997</v>
      </c>
      <c r="E4397">
        <v>0.53147749999999905</v>
      </c>
      <c r="F4397" t="s">
        <v>41</v>
      </c>
      <c r="G4397">
        <v>-363.33359999999999</v>
      </c>
      <c r="H4397" s="1">
        <v>-3.6572680000000001E-6</v>
      </c>
      <c r="I4397">
        <v>142.67959999999999</v>
      </c>
      <c r="J4397">
        <v>-341.4384</v>
      </c>
      <c r="K4397">
        <v>1.1210059999999999</v>
      </c>
      <c r="L4397">
        <v>140.86930000000001</v>
      </c>
      <c r="M4397">
        <v>-0.99977400000000005</v>
      </c>
      <c r="N4397">
        <v>-1.4449969999999999E-2</v>
      </c>
      <c r="O4397">
        <v>-1.559029E-2</v>
      </c>
      <c r="P4397">
        <v>-0.98104000000000002</v>
      </c>
      <c r="Q4397">
        <v>0.19379869999999999</v>
      </c>
      <c r="R4397">
        <v>1.6651680000000001E-3</v>
      </c>
      <c r="S4397">
        <v>-3.0885009999999999</v>
      </c>
      <c r="T4397">
        <v>-0.15583469999999999</v>
      </c>
      <c r="U4397">
        <v>0.2509613</v>
      </c>
      <c r="V4397">
        <v>1.6969270000000002E-2</v>
      </c>
      <c r="W4397">
        <v>0.2079519</v>
      </c>
      <c r="X4397">
        <v>0.97799190000000003</v>
      </c>
      <c r="Y4397">
        <v>9.6353640000000004E-2</v>
      </c>
      <c r="Z4397">
        <v>3.6833460000000001E-3</v>
      </c>
      <c r="AA4397">
        <v>0.99534029999999996</v>
      </c>
      <c r="AB4397">
        <v>32</v>
      </c>
      <c r="AC4397">
        <v>-21.8951999999999</v>
      </c>
      <c r="AD4397">
        <v>-1.1210096572679999</v>
      </c>
      <c r="AE4397">
        <v>1.81029999999998</v>
      </c>
      <c r="AF4397">
        <v>2.1458812531874298</v>
      </c>
      <c r="AG4397">
        <v>-1.1210096572679999</v>
      </c>
      <c r="AH4397">
        <v>21.807535825452899</v>
      </c>
      <c r="AI4397">
        <v>92.928562458108402</v>
      </c>
      <c r="AJ4397">
        <v>84.380135423851996</v>
      </c>
      <c r="AK4397">
        <v>21.941515166070001</v>
      </c>
      <c r="AL4397">
        <v>77.997645345993703</v>
      </c>
      <c r="AM4397">
        <v>89.005952913176202</v>
      </c>
      <c r="AN4397">
        <v>1.0000000526517701</v>
      </c>
    </row>
    <row r="4398" spans="1:40" x14ac:dyDescent="0.25">
      <c r="A4398" t="str">
        <f>"20190303162348298"</f>
        <v>20190303162348298</v>
      </c>
      <c r="B4398" t="str">
        <f>"1551601428289129"</f>
        <v>1551601428289129</v>
      </c>
      <c r="C4398" t="s">
        <v>40</v>
      </c>
      <c r="D4398">
        <v>5.0641980000000002</v>
      </c>
      <c r="E4398">
        <v>0.53154309999999905</v>
      </c>
      <c r="F4398" t="s">
        <v>41</v>
      </c>
      <c r="G4398">
        <v>-363.6748</v>
      </c>
      <c r="H4398" s="1">
        <v>-3.511724E-6</v>
      </c>
      <c r="I4398">
        <v>142.68279999999999</v>
      </c>
      <c r="J4398">
        <v>-341.7559</v>
      </c>
      <c r="K4398">
        <v>1.1210059999999999</v>
      </c>
      <c r="L4398">
        <v>140.86439999999999</v>
      </c>
      <c r="M4398">
        <v>-0.9997743</v>
      </c>
      <c r="N4398">
        <v>-1.4446509999999999E-2</v>
      </c>
      <c r="O4398">
        <v>-1.55905E-2</v>
      </c>
      <c r="P4398">
        <v>-0.98105940000000003</v>
      </c>
      <c r="Q4398">
        <v>0.19370209999999999</v>
      </c>
      <c r="R4398">
        <v>1.5434159999999999E-3</v>
      </c>
      <c r="S4398">
        <v>-3.0883479999999999</v>
      </c>
      <c r="T4398">
        <v>-0.1556941</v>
      </c>
      <c r="U4398">
        <v>0.25187680000000001</v>
      </c>
      <c r="V4398">
        <v>1.6847850000000001E-2</v>
      </c>
      <c r="W4398">
        <v>0.2078525</v>
      </c>
      <c r="X4398">
        <v>0.97801510000000003</v>
      </c>
      <c r="Y4398">
        <v>9.6650719999999996E-2</v>
      </c>
      <c r="Z4398">
        <v>3.6901009999999999E-3</v>
      </c>
      <c r="AA4398">
        <v>0.99531150000000002</v>
      </c>
      <c r="AB4398">
        <v>32</v>
      </c>
      <c r="AC4398">
        <v>-21.918900000000001</v>
      </c>
      <c r="AD4398">
        <v>-1.121009511724</v>
      </c>
      <c r="AE4398">
        <v>1.81839999999999</v>
      </c>
      <c r="AF4398">
        <v>2.15434463850172</v>
      </c>
      <c r="AG4398">
        <v>-1.121009511724</v>
      </c>
      <c r="AH4398">
        <v>21.831170149152801</v>
      </c>
      <c r="AI4398">
        <v>92.925317014092499</v>
      </c>
      <c r="AJ4398">
        <v>84.364181859742004</v>
      </c>
      <c r="AK4398">
        <v>21.965833770382499</v>
      </c>
      <c r="AL4398">
        <v>78.003467417255294</v>
      </c>
      <c r="AM4398">
        <v>89.013087600606497</v>
      </c>
      <c r="AN4398">
        <v>1.00000002381694</v>
      </c>
    </row>
    <row r="4399" spans="1:40" x14ac:dyDescent="0.25">
      <c r="A4399" t="str">
        <f>"20190303162348334"</f>
        <v>20190303162348334</v>
      </c>
      <c r="B4399" t="str">
        <f>"1551601428319384"</f>
        <v>1551601428319384</v>
      </c>
      <c r="C4399" t="s">
        <v>40</v>
      </c>
      <c r="D4399">
        <v>5.1057569999999997</v>
      </c>
      <c r="E4399">
        <v>0.53153709999999998</v>
      </c>
      <c r="F4399" t="s">
        <v>41</v>
      </c>
      <c r="G4399">
        <v>-364.06979999999999</v>
      </c>
      <c r="H4399" s="1">
        <v>-3.3426859999999998E-6</v>
      </c>
      <c r="I4399">
        <v>142.68440000000001</v>
      </c>
      <c r="J4399">
        <v>-342.25490000000002</v>
      </c>
      <c r="K4399">
        <v>1.1210009999999999</v>
      </c>
      <c r="L4399">
        <v>140.85659999999999</v>
      </c>
      <c r="M4399">
        <v>-0.9997743</v>
      </c>
      <c r="N4399">
        <v>-1.444112E-2</v>
      </c>
      <c r="O4399">
        <v>-1.559058E-2</v>
      </c>
      <c r="P4399">
        <v>-0.98110920000000001</v>
      </c>
      <c r="Q4399">
        <v>0.19343879999999999</v>
      </c>
      <c r="R4399">
        <v>2.5708929999999999E-3</v>
      </c>
      <c r="S4399">
        <v>-3.088165</v>
      </c>
      <c r="T4399">
        <v>-0.155143899999999</v>
      </c>
      <c r="U4399">
        <v>0.25189210000000001</v>
      </c>
      <c r="V4399">
        <v>1.787615E-2</v>
      </c>
      <c r="W4399">
        <v>0.20758389999999999</v>
      </c>
      <c r="X4399">
        <v>0.97805390000000003</v>
      </c>
      <c r="Y4399">
        <v>9.6661520000000001E-2</v>
      </c>
      <c r="Z4399">
        <v>3.679112E-3</v>
      </c>
      <c r="AA4399">
        <v>0.99531049999999999</v>
      </c>
      <c r="AB4399">
        <v>32</v>
      </c>
      <c r="AC4399">
        <v>-21.814899999999898</v>
      </c>
      <c r="AD4399">
        <v>-1.1210043426859999</v>
      </c>
      <c r="AE4399">
        <v>1.8278000000000201</v>
      </c>
      <c r="AF4399">
        <v>2.1620507869203101</v>
      </c>
      <c r="AG4399">
        <v>-1.1210043426859999</v>
      </c>
      <c r="AH4399">
        <v>21.726776129572499</v>
      </c>
      <c r="AI4399">
        <v>92.939095975000001</v>
      </c>
      <c r="AJ4399">
        <v>84.317154789190695</v>
      </c>
      <c r="AK4399">
        <v>21.862843258051001</v>
      </c>
      <c r="AL4399">
        <v>78.0192003129239</v>
      </c>
      <c r="AM4399">
        <v>88.952906459300706</v>
      </c>
      <c r="AN4399">
        <v>1.00000003179162</v>
      </c>
    </row>
    <row r="4400" spans="1:40" x14ac:dyDescent="0.25">
      <c r="A4400" t="str">
        <f>"20190303162348356"</f>
        <v>20190303162348356</v>
      </c>
      <c r="B4400" t="str">
        <f>"1551601428349640"</f>
        <v>1551601428349640</v>
      </c>
      <c r="C4400" t="s">
        <v>40</v>
      </c>
      <c r="D4400">
        <v>5.1170859999999996</v>
      </c>
      <c r="E4400">
        <v>0.53138459999999998</v>
      </c>
      <c r="F4400" t="s">
        <v>41</v>
      </c>
      <c r="G4400">
        <v>-364.42939999999999</v>
      </c>
      <c r="H4400" s="1">
        <v>-3.1891329999999999E-6</v>
      </c>
      <c r="I4400">
        <v>142.68700000000001</v>
      </c>
      <c r="J4400">
        <v>-342.57940000000002</v>
      </c>
      <c r="K4400">
        <v>1.1210070000000001</v>
      </c>
      <c r="L4400">
        <v>140.85159999999999</v>
      </c>
      <c r="M4400">
        <v>-0.9997743</v>
      </c>
      <c r="N4400">
        <v>-1.443759E-2</v>
      </c>
      <c r="O4400">
        <v>-1.5590440000000001E-2</v>
      </c>
      <c r="P4400">
        <v>-0.98112049999999995</v>
      </c>
      <c r="Q4400">
        <v>0.19337219999999999</v>
      </c>
      <c r="R4400">
        <v>3.2096080000000001E-3</v>
      </c>
      <c r="S4400">
        <v>-3.0878909999999999</v>
      </c>
      <c r="T4400">
        <v>-0.1561052</v>
      </c>
      <c r="U4400">
        <v>0.25489810000000002</v>
      </c>
      <c r="V4400">
        <v>1.851481E-2</v>
      </c>
      <c r="W4400">
        <v>0.20751439999999999</v>
      </c>
      <c r="X4400">
        <v>0.9780567</v>
      </c>
      <c r="Y4400">
        <v>9.7627450000000005E-2</v>
      </c>
      <c r="Z4400">
        <v>3.7303729999999999E-3</v>
      </c>
      <c r="AA4400">
        <v>0.99521599999999999</v>
      </c>
      <c r="AB4400">
        <v>32</v>
      </c>
      <c r="AC4400">
        <v>-21.849999999999898</v>
      </c>
      <c r="AD4400">
        <v>-1.12101018913299</v>
      </c>
      <c r="AE4400">
        <v>1.8354000000000199</v>
      </c>
      <c r="AF4400">
        <v>2.1701911598496402</v>
      </c>
      <c r="AG4400">
        <v>-1.12101018913299</v>
      </c>
      <c r="AH4400">
        <v>21.761846322311001</v>
      </c>
      <c r="AI4400">
        <v>92.934321305973199</v>
      </c>
      <c r="AJ4400">
        <v>84.305030993078802</v>
      </c>
      <c r="AK4400">
        <v>21.898501064463499</v>
      </c>
      <c r="AL4400">
        <v>78.023270215857906</v>
      </c>
      <c r="AM4400">
        <v>88.915508903695297</v>
      </c>
      <c r="AN4400">
        <v>0.99999996640579203</v>
      </c>
    </row>
    <row r="4401" spans="1:40" x14ac:dyDescent="0.25">
      <c r="A4401" t="str">
        <f>"20190303162348377"</f>
        <v>20190303162348377</v>
      </c>
      <c r="B4401" t="str">
        <f>"1551601428369161"</f>
        <v>1551601428369161</v>
      </c>
      <c r="C4401" t="s">
        <v>40</v>
      </c>
      <c r="D4401">
        <v>5.108187</v>
      </c>
      <c r="E4401">
        <v>0.53140929999999997</v>
      </c>
      <c r="F4401" t="s">
        <v>41</v>
      </c>
      <c r="G4401">
        <v>-364.63310000000001</v>
      </c>
      <c r="H4401" s="1">
        <v>-3.0980880000000001E-6</v>
      </c>
      <c r="I4401">
        <v>142.67320000000001</v>
      </c>
      <c r="J4401">
        <v>-342.8963</v>
      </c>
      <c r="K4401">
        <v>1.1210100000000001</v>
      </c>
      <c r="L4401">
        <v>140.8466</v>
      </c>
      <c r="M4401">
        <v>-0.9997743</v>
      </c>
      <c r="N4401">
        <v>-1.443413E-2</v>
      </c>
      <c r="O4401">
        <v>-1.559053E-2</v>
      </c>
      <c r="P4401">
        <v>-0.98105909999999996</v>
      </c>
      <c r="Q4401">
        <v>0.19367609999999999</v>
      </c>
      <c r="R4401">
        <v>3.5846900000000002E-3</v>
      </c>
      <c r="S4401">
        <v>-3.0878299999999999</v>
      </c>
      <c r="T4401">
        <v>-0.15695799999999999</v>
      </c>
      <c r="U4401">
        <v>0.25506590000000001</v>
      </c>
      <c r="V4401">
        <v>1.8888990000000001E-2</v>
      </c>
      <c r="W4401">
        <v>0.20781330000000001</v>
      </c>
      <c r="X4401">
        <v>0.97798609999999997</v>
      </c>
      <c r="Y4401">
        <v>9.7681100000000007E-2</v>
      </c>
      <c r="Z4401">
        <v>3.7497989999999998E-3</v>
      </c>
      <c r="AA4401">
        <v>0.9952107</v>
      </c>
      <c r="AB4401">
        <v>32</v>
      </c>
      <c r="AC4401">
        <v>-21.736799999999999</v>
      </c>
      <c r="AD4401">
        <v>-1.121013098088</v>
      </c>
      <c r="AE4401">
        <v>1.82660000000001</v>
      </c>
      <c r="AF4401">
        <v>2.1595979060820398</v>
      </c>
      <c r="AG4401">
        <v>-1.121013098088</v>
      </c>
      <c r="AH4401">
        <v>21.648502482560001</v>
      </c>
      <c r="AI4401">
        <v>92.949655411095605</v>
      </c>
      <c r="AJ4401">
        <v>84.303170614362998</v>
      </c>
      <c r="AK4401">
        <v>21.784815657228901</v>
      </c>
      <c r="AL4401">
        <v>78.005763097454704</v>
      </c>
      <c r="AM4401">
        <v>88.893517134805407</v>
      </c>
      <c r="AN4401">
        <v>0.99999998669665902</v>
      </c>
    </row>
    <row r="4402" spans="1:40" x14ac:dyDescent="0.25">
      <c r="A4402" t="str">
        <f>"20190303162348398"</f>
        <v>20190303162348398</v>
      </c>
      <c r="B4402" t="str">
        <f>"1551601428389657"</f>
        <v>1551601428389657</v>
      </c>
      <c r="C4402" t="s">
        <v>40</v>
      </c>
      <c r="D4402">
        <v>5.1401450000000004</v>
      </c>
      <c r="E4402">
        <v>0.53147929999999999</v>
      </c>
      <c r="F4402" t="s">
        <v>41</v>
      </c>
      <c r="G4402">
        <v>-364.86970000000002</v>
      </c>
      <c r="H4402" s="1">
        <v>-2.9953330000000002E-6</v>
      </c>
      <c r="I4402">
        <v>142.66849999999999</v>
      </c>
      <c r="J4402">
        <v>-343.19080000000002</v>
      </c>
      <c r="K4402">
        <v>1.12101299999999</v>
      </c>
      <c r="L4402">
        <v>140.84200000000001</v>
      </c>
      <c r="M4402">
        <v>-0.99977439999999995</v>
      </c>
      <c r="N4402">
        <v>-1.443088E-2</v>
      </c>
      <c r="O4402">
        <v>-1.559051E-2</v>
      </c>
      <c r="P4402">
        <v>-0.98100710000000002</v>
      </c>
      <c r="Q4402">
        <v>0.19392860000000001</v>
      </c>
      <c r="R4402">
        <v>4.0934500000000002E-3</v>
      </c>
      <c r="S4402">
        <v>-3.088104</v>
      </c>
      <c r="T4402">
        <v>-0.15754589999999999</v>
      </c>
      <c r="U4402">
        <v>0.2560577</v>
      </c>
      <c r="V4402">
        <v>1.9396819999999999E-2</v>
      </c>
      <c r="W4402">
        <v>0.208062</v>
      </c>
      <c r="X4402">
        <v>0.97792330000000005</v>
      </c>
      <c r="Y4402">
        <v>9.798962E-2</v>
      </c>
      <c r="Z4402">
        <v>3.7716799999999999E-3</v>
      </c>
      <c r="AA4402">
        <v>0.99518030000000002</v>
      </c>
      <c r="AB4402">
        <v>32</v>
      </c>
      <c r="AC4402">
        <v>-21.678899999999999</v>
      </c>
      <c r="AD4402">
        <v>-1.1210159953329999</v>
      </c>
      <c r="AE4402">
        <v>1.82649999999998</v>
      </c>
      <c r="AF4402">
        <v>2.15856707684895</v>
      </c>
      <c r="AG4402">
        <v>-1.1210159953329999</v>
      </c>
      <c r="AH4402">
        <v>21.5904612344481</v>
      </c>
      <c r="AI4402">
        <v>92.957514137553801</v>
      </c>
      <c r="AJ4402">
        <v>84.290665550381505</v>
      </c>
      <c r="AK4402">
        <v>21.727036268282301</v>
      </c>
      <c r="AL4402">
        <v>77.991195455529393</v>
      </c>
      <c r="AM4402">
        <v>88.863704121976497</v>
      </c>
      <c r="AN4402">
        <v>1.0000000065765</v>
      </c>
    </row>
    <row r="4403" spans="1:40" x14ac:dyDescent="0.25">
      <c r="A4403" t="str">
        <f>"20190303162348421"</f>
        <v>20190303162348421</v>
      </c>
      <c r="B4403" t="str">
        <f>"1551601428409177"</f>
        <v>1551601428409177</v>
      </c>
      <c r="C4403" t="s">
        <v>40</v>
      </c>
      <c r="D4403">
        <v>5.1753130000000001</v>
      </c>
      <c r="E4403">
        <v>0.5314972</v>
      </c>
      <c r="F4403" t="s">
        <v>41</v>
      </c>
      <c r="G4403">
        <v>-365.35449999999997</v>
      </c>
      <c r="H4403" s="1">
        <v>-2.7944089999999999E-6</v>
      </c>
      <c r="I4403">
        <v>142.69499999999999</v>
      </c>
      <c r="J4403">
        <v>-343.52229999999997</v>
      </c>
      <c r="K4403">
        <v>1.1210089999999999</v>
      </c>
      <c r="L4403">
        <v>140.83690000000001</v>
      </c>
      <c r="M4403">
        <v>-0.99977450000000001</v>
      </c>
      <c r="N4403">
        <v>-1.4427209999999999E-2</v>
      </c>
      <c r="O4403">
        <v>-1.5590720000000001E-2</v>
      </c>
      <c r="P4403">
        <v>-0.9810101</v>
      </c>
      <c r="Q4403">
        <v>0.19391610000000001</v>
      </c>
      <c r="R4403">
        <v>4.0018409999999999E-3</v>
      </c>
      <c r="S4403">
        <v>-3.08786</v>
      </c>
      <c r="T4403">
        <v>-0.15618109999999999</v>
      </c>
      <c r="U4403">
        <v>0.25816349999999999</v>
      </c>
      <c r="V4403">
        <v>1.9305530000000001E-2</v>
      </c>
      <c r="W4403">
        <v>0.20804610000000001</v>
      </c>
      <c r="X4403">
        <v>0.97792849999999998</v>
      </c>
      <c r="Y4403">
        <v>9.8671880000000003E-2</v>
      </c>
      <c r="Z4403">
        <v>3.7654519999999999E-3</v>
      </c>
      <c r="AA4403">
        <v>0.99511289999999997</v>
      </c>
      <c r="AB4403">
        <v>32</v>
      </c>
      <c r="AC4403">
        <v>-21.8322</v>
      </c>
      <c r="AD4403">
        <v>-1.1210117944089999</v>
      </c>
      <c r="AE4403">
        <v>1.8580999999999701</v>
      </c>
      <c r="AF4403">
        <v>2.19255016013244</v>
      </c>
      <c r="AG4403">
        <v>-1.1210117944089999</v>
      </c>
      <c r="AH4403">
        <v>21.743659193168099</v>
      </c>
      <c r="AI4403">
        <v>92.936452018731998</v>
      </c>
      <c r="AJ4403">
        <v>84.241968712699702</v>
      </c>
      <c r="AK4403">
        <v>21.882656574477998</v>
      </c>
      <c r="AL4403">
        <v>77.992126968602804</v>
      </c>
      <c r="AM4403">
        <v>88.869056651963902</v>
      </c>
      <c r="AN4403">
        <v>1.0000000171630199</v>
      </c>
    </row>
    <row r="4404" spans="1:40" x14ac:dyDescent="0.25">
      <c r="A4404" t="str">
        <f>"20190303162348444"</f>
        <v>20190303162348444</v>
      </c>
      <c r="B4404" t="str">
        <f>"1551601428439433"</f>
        <v>1551601428439433</v>
      </c>
      <c r="C4404" t="s">
        <v>40</v>
      </c>
      <c r="D4404">
        <v>5.1760699999999904</v>
      </c>
      <c r="E4404">
        <v>0.53155739999999996</v>
      </c>
      <c r="F4404" t="s">
        <v>41</v>
      </c>
      <c r="G4404">
        <v>-365.54689999999999</v>
      </c>
      <c r="H4404" s="1">
        <v>-2.707113E-6</v>
      </c>
      <c r="I4404">
        <v>142.6772</v>
      </c>
      <c r="J4404">
        <v>-343.8347</v>
      </c>
      <c r="K4404">
        <v>1.1210039999999999</v>
      </c>
      <c r="L4404">
        <v>140.83199999999999</v>
      </c>
      <c r="M4404">
        <v>-0.99977450000000001</v>
      </c>
      <c r="N4404">
        <v>-1.4423740000000001E-2</v>
      </c>
      <c r="O4404">
        <v>-1.5590700000000001E-2</v>
      </c>
      <c r="P4404">
        <v>-0.98091200000000001</v>
      </c>
      <c r="Q4404">
        <v>0.19441</v>
      </c>
      <c r="R4404">
        <v>4.0720160000000004E-3</v>
      </c>
      <c r="S4404">
        <v>-3.088104</v>
      </c>
      <c r="T4404">
        <v>-0.1571796</v>
      </c>
      <c r="U4404">
        <v>0.25804139999999998</v>
      </c>
      <c r="V4404">
        <v>1.937411E-2</v>
      </c>
      <c r="W4404">
        <v>0.2085349</v>
      </c>
      <c r="X4404">
        <v>0.977823</v>
      </c>
      <c r="Y4404">
        <v>9.8624359999999994E-2</v>
      </c>
      <c r="Z4404">
        <v>3.784454E-3</v>
      </c>
      <c r="AA4404">
        <v>0.99511749999999999</v>
      </c>
      <c r="AB4404">
        <v>32</v>
      </c>
      <c r="AC4404">
        <v>-21.712199999999999</v>
      </c>
      <c r="AD4404">
        <v>-1.1210067071130001</v>
      </c>
      <c r="AE4404">
        <v>1.8452</v>
      </c>
      <c r="AF4404">
        <v>2.17775568679926</v>
      </c>
      <c r="AG4404">
        <v>-1.1210067071130001</v>
      </c>
      <c r="AH4404">
        <v>21.623561278537299</v>
      </c>
      <c r="AI4404">
        <v>92.952755506071995</v>
      </c>
      <c r="AJ4404">
        <v>84.249009628855404</v>
      </c>
      <c r="AK4404">
        <v>21.7618399551931</v>
      </c>
      <c r="AL4404">
        <v>77.963492425830907</v>
      </c>
      <c r="AM4404">
        <v>88.864917772453495</v>
      </c>
      <c r="AN4404">
        <v>0.99999998999265005</v>
      </c>
    </row>
    <row r="4405" spans="1:40" x14ac:dyDescent="0.25">
      <c r="A4405" t="str">
        <f>"20190303162348467"</f>
        <v>20190303162348467</v>
      </c>
      <c r="B4405" t="str">
        <f>"1551601428458953"</f>
        <v>1551601428458953</v>
      </c>
      <c r="C4405" t="s">
        <v>40</v>
      </c>
      <c r="D4405">
        <v>5.1810559999999999</v>
      </c>
      <c r="E4405">
        <v>0.53158260000000002</v>
      </c>
      <c r="F4405" t="s">
        <v>41</v>
      </c>
      <c r="G4405">
        <v>-365.99919999999997</v>
      </c>
      <c r="H4405" s="1">
        <v>-2.5161330000000002E-6</v>
      </c>
      <c r="I4405">
        <v>142.68860000000001</v>
      </c>
      <c r="J4405">
        <v>-344.1746</v>
      </c>
      <c r="K4405">
        <v>1.1210100000000001</v>
      </c>
      <c r="L4405">
        <v>140.82669999999999</v>
      </c>
      <c r="M4405">
        <v>-0.99977450000000001</v>
      </c>
      <c r="N4405">
        <v>-1.4419939999999999E-2</v>
      </c>
      <c r="O4405">
        <v>-1.5590669999999999E-2</v>
      </c>
      <c r="P4405">
        <v>-0.98081739999999995</v>
      </c>
      <c r="Q4405">
        <v>0.19489390000000001</v>
      </c>
      <c r="R4405">
        <v>3.7371050000000001E-3</v>
      </c>
      <c r="S4405">
        <v>-3.088257</v>
      </c>
      <c r="T4405">
        <v>-0.15619420000000001</v>
      </c>
      <c r="U4405">
        <v>0.25869750000000002</v>
      </c>
      <c r="V4405">
        <v>1.9037869999999998E-2</v>
      </c>
      <c r="W4405">
        <v>0.20901330000000001</v>
      </c>
      <c r="X4405">
        <v>0.97772749999999997</v>
      </c>
      <c r="Y4405">
        <v>9.8831870000000002E-2</v>
      </c>
      <c r="Z4405">
        <v>3.7702349999999998E-3</v>
      </c>
      <c r="AA4405">
        <v>0.99509700000000001</v>
      </c>
      <c r="AB4405">
        <v>32</v>
      </c>
      <c r="AC4405">
        <v>-21.824599999999901</v>
      </c>
      <c r="AD4405">
        <v>-1.121012516133</v>
      </c>
      <c r="AE4405">
        <v>1.8619000000000201</v>
      </c>
      <c r="AF4405">
        <v>2.1962166959950098</v>
      </c>
      <c r="AG4405">
        <v>-1.121012516133</v>
      </c>
      <c r="AH4405">
        <v>21.735983325691699</v>
      </c>
      <c r="AI4405">
        <v>92.937429214551301</v>
      </c>
      <c r="AJ4405">
        <v>84.230381556405604</v>
      </c>
      <c r="AK4405">
        <v>21.875397321462302</v>
      </c>
      <c r="AL4405">
        <v>77.935465014311603</v>
      </c>
      <c r="AM4405">
        <v>88.884503321405106</v>
      </c>
      <c r="AN4405">
        <v>1.00000003216363</v>
      </c>
    </row>
    <row r="4406" spans="1:40" x14ac:dyDescent="0.25">
      <c r="A4406" t="str">
        <f>"20190303162348487"</f>
        <v>20190303162348487</v>
      </c>
      <c r="B4406" t="str">
        <f>"1551601428479449"</f>
        <v>1551601428479449</v>
      </c>
      <c r="C4406" t="s">
        <v>40</v>
      </c>
      <c r="D4406">
        <v>5.2148469999999998</v>
      </c>
      <c r="E4406">
        <v>0.5315995</v>
      </c>
      <c r="F4406" t="s">
        <v>41</v>
      </c>
      <c r="G4406">
        <v>-366.45260000000002</v>
      </c>
      <c r="H4406" s="1">
        <v>-2.3207309999999999E-6</v>
      </c>
      <c r="I4406">
        <v>142.68530000000001</v>
      </c>
      <c r="J4406">
        <v>-344.45890000000003</v>
      </c>
      <c r="K4406">
        <v>1.121019</v>
      </c>
      <c r="L4406">
        <v>140.82230000000001</v>
      </c>
      <c r="M4406">
        <v>-0.99977459999999996</v>
      </c>
      <c r="N4406">
        <v>-1.44168E-2</v>
      </c>
      <c r="O4406">
        <v>-1.5591000000000001E-2</v>
      </c>
      <c r="P4406">
        <v>-0.98067249999999995</v>
      </c>
      <c r="Q4406">
        <v>0.19563269999999999</v>
      </c>
      <c r="R4406">
        <v>3.103616E-3</v>
      </c>
      <c r="S4406">
        <v>-3.088562</v>
      </c>
      <c r="T4406">
        <v>-0.15541429999999901</v>
      </c>
      <c r="U4406">
        <v>0.25767519999999999</v>
      </c>
      <c r="V4406">
        <v>1.8402479999999999E-2</v>
      </c>
      <c r="W4406">
        <v>0.20974719999999999</v>
      </c>
      <c r="X4406">
        <v>0.97758250000000002</v>
      </c>
      <c r="Y4406">
        <v>9.8499039999999996E-2</v>
      </c>
      <c r="Z4406">
        <v>3.7427269999999999E-3</v>
      </c>
      <c r="AA4406">
        <v>0.99513010000000002</v>
      </c>
      <c r="AB4406">
        <v>32</v>
      </c>
      <c r="AC4406">
        <v>-21.993699999999901</v>
      </c>
      <c r="AD4406">
        <v>-1.121021320731</v>
      </c>
      <c r="AE4406">
        <v>1.86299999999999</v>
      </c>
      <c r="AF4406">
        <v>2.2000380228467802</v>
      </c>
      <c r="AG4406">
        <v>-1.121021320731</v>
      </c>
      <c r="AH4406">
        <v>21.9054731773425</v>
      </c>
      <c r="AI4406">
        <v>92.914939794750694</v>
      </c>
      <c r="AJ4406">
        <v>84.264829886614095</v>
      </c>
      <c r="AK4406">
        <v>22.044196769825302</v>
      </c>
      <c r="AL4406">
        <v>77.892462577871598</v>
      </c>
      <c r="AM4406">
        <v>88.921564247703103</v>
      </c>
      <c r="AN4406">
        <v>1.00000004174211</v>
      </c>
    </row>
    <row r="4407" spans="1:40" x14ac:dyDescent="0.25">
      <c r="A4407" t="str">
        <f>"20190303162348510"</f>
        <v>20190303162348510</v>
      </c>
      <c r="B4407" t="str">
        <f>"1551601428498969"</f>
        <v>1551601428498969</v>
      </c>
      <c r="C4407" t="s">
        <v>40</v>
      </c>
      <c r="D4407">
        <v>5.2244210000000004</v>
      </c>
      <c r="E4407">
        <v>0.53155969999999997</v>
      </c>
      <c r="F4407" t="s">
        <v>41</v>
      </c>
      <c r="G4407">
        <v>-367.00700000000001</v>
      </c>
      <c r="H4407" s="1">
        <v>-2.0839870000000001E-6</v>
      </c>
      <c r="I4407">
        <v>142.6893</v>
      </c>
      <c r="J4407">
        <v>-344.78590000000003</v>
      </c>
      <c r="K4407">
        <v>1.121024</v>
      </c>
      <c r="L4407">
        <v>140.81720000000001</v>
      </c>
      <c r="M4407">
        <v>-0.99977459999999996</v>
      </c>
      <c r="N4407">
        <v>-1.4413199999999999E-2</v>
      </c>
      <c r="O4407">
        <v>-1.5590740000000001E-2</v>
      </c>
      <c r="P4407">
        <v>-0.98064519999999999</v>
      </c>
      <c r="Q4407">
        <v>0.1957795</v>
      </c>
      <c r="R4407">
        <v>2.3243539999999998E-3</v>
      </c>
      <c r="S4407">
        <v>-3.088959</v>
      </c>
      <c r="T4407">
        <v>-0.1535743</v>
      </c>
      <c r="U4407">
        <v>0.25578309999999999</v>
      </c>
      <c r="V4407">
        <v>1.762259E-2</v>
      </c>
      <c r="W4407">
        <v>0.2098904</v>
      </c>
      <c r="X4407">
        <v>0.97756609999999999</v>
      </c>
      <c r="Y4407">
        <v>9.7887479999999999E-2</v>
      </c>
      <c r="Z4407">
        <v>3.6841489999999998E-3</v>
      </c>
      <c r="AA4407">
        <v>0.99519069999999998</v>
      </c>
      <c r="AB4407">
        <v>32</v>
      </c>
      <c r="AC4407">
        <v>-22.2210999999999</v>
      </c>
      <c r="AD4407">
        <v>-1.1210260839870001</v>
      </c>
      <c r="AE4407">
        <v>1.8720999999999799</v>
      </c>
      <c r="AF4407">
        <v>2.2127598390782199</v>
      </c>
      <c r="AG4407">
        <v>-1.1210260839870001</v>
      </c>
      <c r="AH4407">
        <v>22.133274364696501</v>
      </c>
      <c r="AI4407">
        <v>92.885132816346001</v>
      </c>
      <c r="AJ4407">
        <v>84.290861641705305</v>
      </c>
      <c r="AK4407">
        <v>22.271839611701299</v>
      </c>
      <c r="AL4407">
        <v>77.8840706114092</v>
      </c>
      <c r="AM4407">
        <v>88.967240499291094</v>
      </c>
      <c r="AN4407">
        <v>1.0000000077798299</v>
      </c>
    </row>
    <row r="4408" spans="1:40" x14ac:dyDescent="0.25">
      <c r="A4408" t="str">
        <f>"20190303162348535"</f>
        <v>20190303162348535</v>
      </c>
      <c r="B4408" t="str">
        <f>"1551601428519465"</f>
        <v>1551601428519465</v>
      </c>
      <c r="C4408" t="s">
        <v>40</v>
      </c>
      <c r="D4408">
        <v>5.2172269999999896</v>
      </c>
      <c r="E4408">
        <v>0.53167209999999998</v>
      </c>
      <c r="F4408" t="s">
        <v>41</v>
      </c>
      <c r="G4408">
        <v>-367.18920000000003</v>
      </c>
      <c r="H4408" s="1">
        <v>-1.9956809999999999E-6</v>
      </c>
      <c r="I4408">
        <v>142.65119999999999</v>
      </c>
      <c r="J4408">
        <v>-345.12790000000001</v>
      </c>
      <c r="K4408">
        <v>1.1210260000000001</v>
      </c>
      <c r="L4408">
        <v>140.81180000000001</v>
      </c>
      <c r="M4408">
        <v>-0.99977459999999996</v>
      </c>
      <c r="N4408">
        <v>-1.4409450000000001E-2</v>
      </c>
      <c r="O4408">
        <v>-1.5590949999999999E-2</v>
      </c>
      <c r="P4408">
        <v>-0.98066120000000001</v>
      </c>
      <c r="Q4408">
        <v>0.19570399999999999</v>
      </c>
      <c r="R4408">
        <v>1.9442490000000001E-3</v>
      </c>
      <c r="S4408">
        <v>-3.0894469999999998</v>
      </c>
      <c r="T4408">
        <v>-0.1545916</v>
      </c>
      <c r="U4408">
        <v>0.25292969999999998</v>
      </c>
      <c r="V4408">
        <v>1.7242899999999999E-2</v>
      </c>
      <c r="W4408">
        <v>0.209812</v>
      </c>
      <c r="X4408">
        <v>0.97758970000000001</v>
      </c>
      <c r="Y4408">
        <v>9.69613E-2</v>
      </c>
      <c r="Z4408">
        <v>3.674985E-3</v>
      </c>
      <c r="AA4408">
        <v>0.99528139999999998</v>
      </c>
      <c r="AB4408">
        <v>32</v>
      </c>
      <c r="AC4408">
        <v>-22.061299999999999</v>
      </c>
      <c r="AD4408">
        <v>-1.1210279956810001</v>
      </c>
      <c r="AE4408">
        <v>1.8393999999999799</v>
      </c>
      <c r="AF4408">
        <v>2.1775848331754899</v>
      </c>
      <c r="AG4408">
        <v>-1.1210279956810001</v>
      </c>
      <c r="AH4408">
        <v>21.973590999389</v>
      </c>
      <c r="AI4408">
        <v>92.906318373693793</v>
      </c>
      <c r="AJ4408">
        <v>84.340461969785295</v>
      </c>
      <c r="AK4408">
        <v>22.109664874918501</v>
      </c>
      <c r="AL4408">
        <v>77.888664893400701</v>
      </c>
      <c r="AM4408">
        <v>88.989511689813398</v>
      </c>
      <c r="AN4408">
        <v>1.00000000724525</v>
      </c>
    </row>
    <row r="4409" spans="1:40" x14ac:dyDescent="0.25">
      <c r="A4409" t="str">
        <f>"20190303162348557"</f>
        <v>20190303162348557</v>
      </c>
      <c r="B4409" t="str">
        <f>"1551601428549721"</f>
        <v>1551601428549721</v>
      </c>
      <c r="C4409" t="s">
        <v>40</v>
      </c>
      <c r="D4409">
        <v>5.2823650000000004</v>
      </c>
      <c r="E4409">
        <v>0.53147069999999996</v>
      </c>
      <c r="F4409" t="s">
        <v>41</v>
      </c>
      <c r="G4409">
        <v>-367.42559999999997</v>
      </c>
      <c r="H4409" s="1">
        <v>-1.88989E-6</v>
      </c>
      <c r="I4409">
        <v>142.63480000000001</v>
      </c>
      <c r="J4409">
        <v>-345.44510000000002</v>
      </c>
      <c r="K4409">
        <v>1.121027</v>
      </c>
      <c r="L4409">
        <v>140.80690000000001</v>
      </c>
      <c r="M4409">
        <v>-0.99977479999999996</v>
      </c>
      <c r="N4409">
        <v>-1.440599E-2</v>
      </c>
      <c r="O4409">
        <v>-1.5590929999999999E-2</v>
      </c>
      <c r="P4409">
        <v>-0.98064039999999997</v>
      </c>
      <c r="Q4409">
        <v>0.19580919999999999</v>
      </c>
      <c r="R4409">
        <v>1.8376829999999999E-3</v>
      </c>
      <c r="S4409">
        <v>-3.089661</v>
      </c>
      <c r="T4409">
        <v>-0.15533440000000001</v>
      </c>
      <c r="U4409">
        <v>0.25260929999999998</v>
      </c>
      <c r="V4409">
        <v>1.713601E-2</v>
      </c>
      <c r="W4409">
        <v>0.20991370000000001</v>
      </c>
      <c r="X4409">
        <v>0.97756980000000004</v>
      </c>
      <c r="Y4409">
        <v>9.6851859999999998E-2</v>
      </c>
      <c r="Z4409">
        <v>3.6864789999999999E-3</v>
      </c>
      <c r="AA4409">
        <v>0.99529199999999995</v>
      </c>
      <c r="AB4409">
        <v>32</v>
      </c>
      <c r="AC4409">
        <v>-21.9804999999999</v>
      </c>
      <c r="AD4409">
        <v>-1.1210288898899901</v>
      </c>
      <c r="AE4409">
        <v>1.8279000000000001</v>
      </c>
      <c r="AF4409">
        <v>2.1648174867351999</v>
      </c>
      <c r="AG4409">
        <v>-1.1210288898899901</v>
      </c>
      <c r="AH4409">
        <v>21.892771822244399</v>
      </c>
      <c r="AI4409">
        <v>92.917093184935197</v>
      </c>
      <c r="AJ4409">
        <v>84.352793749057298</v>
      </c>
      <c r="AK4409">
        <v>22.028086584714998</v>
      </c>
      <c r="AL4409">
        <v>77.882705832779394</v>
      </c>
      <c r="AM4409">
        <v>88.995754055630201</v>
      </c>
      <c r="AN4409">
        <v>1.00000005907922</v>
      </c>
    </row>
    <row r="4410" spans="1:40" x14ac:dyDescent="0.25">
      <c r="A4410" t="str">
        <f>"20190303162348578"</f>
        <v>20190303162348578</v>
      </c>
      <c r="B4410" t="str">
        <f>"1551601428569241"</f>
        <v>1551601428569241</v>
      </c>
      <c r="C4410" t="s">
        <v>40</v>
      </c>
      <c r="D4410">
        <v>5.30009</v>
      </c>
      <c r="E4410">
        <v>0.53143819999999997</v>
      </c>
      <c r="F4410" t="s">
        <v>41</v>
      </c>
      <c r="G4410">
        <v>-367.39670000000001</v>
      </c>
      <c r="H4410" s="1">
        <v>-1.88962E-6</v>
      </c>
      <c r="I4410">
        <v>142.5872</v>
      </c>
      <c r="J4410">
        <v>-345.74919999999997</v>
      </c>
      <c r="K4410">
        <v>1.1210209999999901</v>
      </c>
      <c r="L4410">
        <v>140.8022</v>
      </c>
      <c r="M4410">
        <v>-0.99977479999999996</v>
      </c>
      <c r="N4410">
        <v>-1.4402669999999999E-2</v>
      </c>
      <c r="O4410">
        <v>-1.5591020000000001E-2</v>
      </c>
      <c r="P4410">
        <v>-0.98071200000000003</v>
      </c>
      <c r="Q4410">
        <v>0.1954477</v>
      </c>
      <c r="R4410">
        <v>2.0594490000000001E-3</v>
      </c>
      <c r="S4410">
        <v>-3.0903019999999999</v>
      </c>
      <c r="T4410">
        <v>-0.1578164</v>
      </c>
      <c r="U4410">
        <v>0.2506409</v>
      </c>
      <c r="V4410">
        <v>1.7359010000000001E-2</v>
      </c>
      <c r="W4410">
        <v>0.2095495</v>
      </c>
      <c r="X4410">
        <v>0.97764390000000001</v>
      </c>
      <c r="Y4410">
        <v>9.6201610000000007E-2</v>
      </c>
      <c r="Z4410">
        <v>3.7157620000000001E-3</v>
      </c>
      <c r="AA4410">
        <v>0.99535499999999999</v>
      </c>
      <c r="AB4410">
        <v>32</v>
      </c>
      <c r="AC4410">
        <v>-21.647500000000001</v>
      </c>
      <c r="AD4410">
        <v>-1.1210228896200001</v>
      </c>
      <c r="AE4410">
        <v>1.7849999999999899</v>
      </c>
      <c r="AF4410">
        <v>2.1166865545465199</v>
      </c>
      <c r="AG4410">
        <v>-1.1210228896200001</v>
      </c>
      <c r="AH4410">
        <v>21.559609020329098</v>
      </c>
      <c r="AI4410">
        <v>92.962279078129697</v>
      </c>
      <c r="AJ4410">
        <v>84.3927656063764</v>
      </c>
      <c r="AK4410">
        <v>21.6922519669744</v>
      </c>
      <c r="AL4410">
        <v>77.904046421420702</v>
      </c>
      <c r="AM4410">
        <v>88.982765089031403</v>
      </c>
      <c r="AN4410">
        <v>0.99999996169281902</v>
      </c>
    </row>
    <row r="4411" spans="1:40" x14ac:dyDescent="0.25">
      <c r="A4411" t="str">
        <f>"20190303162348600"</f>
        <v>20190303162348600</v>
      </c>
      <c r="B4411" t="str">
        <f>"1551601428589736"</f>
        <v>1551601428589736</v>
      </c>
      <c r="C4411" t="s">
        <v>40</v>
      </c>
      <c r="D4411">
        <v>5.2911619999999999</v>
      </c>
      <c r="E4411">
        <v>0.531448699999999</v>
      </c>
      <c r="F4411" t="s">
        <v>41</v>
      </c>
      <c r="G4411">
        <v>-367.40379999999999</v>
      </c>
      <c r="H4411" s="1">
        <v>-1.8791369999999999E-6</v>
      </c>
      <c r="I4411">
        <v>142.55930000000001</v>
      </c>
      <c r="J4411">
        <v>-346.0607</v>
      </c>
      <c r="K4411">
        <v>1.1210230000000001</v>
      </c>
      <c r="L4411">
        <v>140.79730000000001</v>
      </c>
      <c r="M4411">
        <v>-0.99977479999999996</v>
      </c>
      <c r="N4411">
        <v>-1.439927E-2</v>
      </c>
      <c r="O4411">
        <v>-1.5591000000000001E-2</v>
      </c>
      <c r="P4411">
        <v>-0.98084070000000001</v>
      </c>
      <c r="Q4411">
        <v>0.1947991</v>
      </c>
      <c r="R4411">
        <v>2.1896400000000001E-3</v>
      </c>
      <c r="S4411">
        <v>-3.090363</v>
      </c>
      <c r="T4411">
        <v>-0.15998289999999901</v>
      </c>
      <c r="U4411">
        <v>0.25077820000000001</v>
      </c>
      <c r="V4411">
        <v>1.7491039999999999E-2</v>
      </c>
      <c r="W4411">
        <v>0.20889949999999999</v>
      </c>
      <c r="X4411">
        <v>0.97778069999999895</v>
      </c>
      <c r="Y4411">
        <v>9.6239569999999997E-2</v>
      </c>
      <c r="Z4411">
        <v>3.761346E-3</v>
      </c>
      <c r="AA4411">
        <v>0.99535110000000004</v>
      </c>
      <c r="AB4411">
        <v>32</v>
      </c>
      <c r="AC4411">
        <v>-21.3431</v>
      </c>
      <c r="AD4411">
        <v>-1.1210248791370001</v>
      </c>
      <c r="AE4411">
        <v>1.762</v>
      </c>
      <c r="AF4411">
        <v>2.08885688654067</v>
      </c>
      <c r="AG4411">
        <v>-1.1210248791370001</v>
      </c>
      <c r="AH4411">
        <v>21.254790936421699</v>
      </c>
      <c r="AI4411">
        <v>93.004660798627995</v>
      </c>
      <c r="AJ4411">
        <v>84.387167181191103</v>
      </c>
      <c r="AK4411">
        <v>21.386588265150799</v>
      </c>
      <c r="AL4411">
        <v>77.942132277657706</v>
      </c>
      <c r="AM4411">
        <v>88.975173170370596</v>
      </c>
      <c r="AN4411">
        <v>1.00000001743651</v>
      </c>
    </row>
    <row r="4412" spans="1:40" x14ac:dyDescent="0.25">
      <c r="A4412" t="str">
        <f>"20190303162348621"</f>
        <v>20190303162348621</v>
      </c>
      <c r="B4412" t="str">
        <f>"1551601428609257"</f>
        <v>1551601428609257</v>
      </c>
      <c r="C4412" t="s">
        <v>40</v>
      </c>
      <c r="D4412">
        <v>5.3491019999999896</v>
      </c>
      <c r="E4412">
        <v>0.53001219999999905</v>
      </c>
      <c r="F4412" t="s">
        <v>41</v>
      </c>
      <c r="G4412">
        <v>-367.3245</v>
      </c>
      <c r="H4412" s="1">
        <v>-1.904048E-6</v>
      </c>
      <c r="I4412">
        <v>142.52500000000001</v>
      </c>
      <c r="J4412">
        <v>-346.3768</v>
      </c>
      <c r="K4412">
        <v>1.1210209999999901</v>
      </c>
      <c r="L4412">
        <v>140.79239999999999</v>
      </c>
      <c r="M4412">
        <v>-0.99977490000000002</v>
      </c>
      <c r="N4412">
        <v>-1.439584E-2</v>
      </c>
      <c r="O4412">
        <v>-1.5590980000000001E-2</v>
      </c>
      <c r="P4412">
        <v>-0.98084530000000003</v>
      </c>
      <c r="Q4412">
        <v>0.1947789</v>
      </c>
      <c r="R4412">
        <v>1.9515439999999999E-3</v>
      </c>
      <c r="S4412">
        <v>-3.0903930000000002</v>
      </c>
      <c r="T4412">
        <v>-0.16292570000000001</v>
      </c>
      <c r="U4412">
        <v>0.2511139</v>
      </c>
      <c r="V4412">
        <v>1.7253109999999999E-2</v>
      </c>
      <c r="W4412">
        <v>0.20887620000000001</v>
      </c>
      <c r="X4412">
        <v>0.97778989999999999</v>
      </c>
      <c r="Y4412">
        <v>9.6340019999999998E-2</v>
      </c>
      <c r="Z4412">
        <v>3.8250279999999998E-3</v>
      </c>
      <c r="AA4412">
        <v>0.99534109999999998</v>
      </c>
      <c r="AB4412">
        <v>32</v>
      </c>
      <c r="AC4412">
        <v>-20.947700000000001</v>
      </c>
      <c r="AD4412">
        <v>-1.12102290404799</v>
      </c>
      <c r="AE4412">
        <v>1.7326000000000099</v>
      </c>
      <c r="AF4412">
        <v>2.0531782324632499</v>
      </c>
      <c r="AG4412">
        <v>-1.12102290404799</v>
      </c>
      <c r="AH4412">
        <v>20.8588061904196</v>
      </c>
      <c r="AI4412">
        <v>93.061542353913097</v>
      </c>
      <c r="AJ4412">
        <v>84.378359397357599</v>
      </c>
      <c r="AK4412">
        <v>20.989569526199201</v>
      </c>
      <c r="AL4412">
        <v>77.943497325346399</v>
      </c>
      <c r="AM4412">
        <v>88.989120450230601</v>
      </c>
      <c r="AN4412">
        <v>1.00000001263656</v>
      </c>
    </row>
    <row r="4413" spans="1:40" x14ac:dyDescent="0.25">
      <c r="A4413" t="str">
        <f>"20190303162348646"</f>
        <v>20190303162348646</v>
      </c>
      <c r="B4413" t="str">
        <f>"1551601428639513"</f>
        <v>1551601428639513</v>
      </c>
      <c r="C4413" t="s">
        <v>40</v>
      </c>
      <c r="D4413">
        <v>5.3976369999999996</v>
      </c>
      <c r="E4413">
        <v>0.53071290000000004</v>
      </c>
      <c r="F4413" t="s">
        <v>41</v>
      </c>
      <c r="G4413">
        <v>-363.47250000000003</v>
      </c>
      <c r="H4413" s="1">
        <v>-3.4463590000000001E-6</v>
      </c>
      <c r="I4413">
        <v>142.11089999999999</v>
      </c>
      <c r="J4413">
        <v>-346.69940000000003</v>
      </c>
      <c r="K4413">
        <v>1.121024</v>
      </c>
      <c r="L4413">
        <v>140.78729999999999</v>
      </c>
      <c r="M4413">
        <v>-0.99977490000000002</v>
      </c>
      <c r="N4413">
        <v>-1.439237E-2</v>
      </c>
      <c r="O4413">
        <v>-1.5590949999999999E-2</v>
      </c>
      <c r="P4413">
        <v>-0.98081700000000005</v>
      </c>
      <c r="Q4413">
        <v>0.1949274</v>
      </c>
      <c r="R4413">
        <v>1.16569E-3</v>
      </c>
      <c r="S4413">
        <v>-3.0984189999999998</v>
      </c>
      <c r="T4413">
        <v>-0.20317479999999999</v>
      </c>
      <c r="U4413">
        <v>0.23898320000000001</v>
      </c>
      <c r="V4413">
        <v>1.646682E-2</v>
      </c>
      <c r="W4413">
        <v>0.2090207</v>
      </c>
      <c r="X4413">
        <v>0.97777250000000004</v>
      </c>
      <c r="Y4413">
        <v>9.2178670000000004E-2</v>
      </c>
      <c r="Z4413">
        <v>4.4757770000000002E-3</v>
      </c>
      <c r="AA4413">
        <v>0.99573239999999996</v>
      </c>
      <c r="AB4413">
        <v>32</v>
      </c>
      <c r="AC4413">
        <v>-16.773099999999999</v>
      </c>
      <c r="AD4413">
        <v>-1.121027446359</v>
      </c>
      <c r="AE4413">
        <v>1.3235999999999899</v>
      </c>
      <c r="AF4413">
        <v>1.57796972588922</v>
      </c>
      <c r="AG4413">
        <v>-1.121027446359</v>
      </c>
      <c r="AH4413">
        <v>16.676391845502199</v>
      </c>
      <c r="AI4413">
        <v>93.828724336481599</v>
      </c>
      <c r="AJ4413">
        <v>84.594597269856706</v>
      </c>
      <c r="AK4413">
        <v>16.788351198853501</v>
      </c>
      <c r="AL4413">
        <v>77.935030264843704</v>
      </c>
      <c r="AM4413">
        <v>89.035164002658107</v>
      </c>
      <c r="AN4413">
        <v>0.99999993547282395</v>
      </c>
    </row>
    <row r="4414" spans="1:40" x14ac:dyDescent="0.25">
      <c r="A4414" t="str">
        <f>"20190303162348667"</f>
        <v>20190303162348667</v>
      </c>
      <c r="B4414" t="str">
        <f>"1551601428659032"</f>
        <v>1551601428659032</v>
      </c>
      <c r="C4414" t="s">
        <v>40</v>
      </c>
      <c r="D4414">
        <v>5.5723949999999904</v>
      </c>
      <c r="E4414">
        <v>0.50753280000000001</v>
      </c>
      <c r="F4414" t="s">
        <v>41</v>
      </c>
      <c r="G4414">
        <v>-363.70659999999998</v>
      </c>
      <c r="H4414" s="1">
        <v>-3.3478459999999999E-6</v>
      </c>
      <c r="I4414">
        <v>142.1181</v>
      </c>
      <c r="J4414">
        <v>-347.01280000000003</v>
      </c>
      <c r="K4414">
        <v>1.1210249999999999</v>
      </c>
      <c r="L4414">
        <v>140.7824</v>
      </c>
      <c r="M4414">
        <v>-0.99977490000000002</v>
      </c>
      <c r="N4414">
        <v>-1.4389010000000001E-2</v>
      </c>
      <c r="O4414">
        <v>-1.5590929999999999E-2</v>
      </c>
      <c r="P4414">
        <v>-0.98080710000000004</v>
      </c>
      <c r="Q4414">
        <v>0.19497980000000001</v>
      </c>
      <c r="R4414">
        <v>6.8966209999999999E-4</v>
      </c>
      <c r="S4414">
        <v>-3.098938</v>
      </c>
      <c r="T4414">
        <v>-0.2042668</v>
      </c>
      <c r="U4414">
        <v>0.2425079</v>
      </c>
      <c r="V4414">
        <v>1.5990819999999999E-2</v>
      </c>
      <c r="W4414">
        <v>0.2090697</v>
      </c>
      <c r="X4414">
        <v>0.97777000000000003</v>
      </c>
      <c r="Y4414">
        <v>9.3286129999999995E-2</v>
      </c>
      <c r="Z4414">
        <v>4.5409020000000003E-3</v>
      </c>
      <c r="AA4414">
        <v>0.99562899999999999</v>
      </c>
      <c r="AB4414">
        <v>32</v>
      </c>
      <c r="AC4414">
        <v>-16.6937999999999</v>
      </c>
      <c r="AD4414">
        <v>-1.1210283478459999</v>
      </c>
      <c r="AE4414">
        <v>1.3357000000000001</v>
      </c>
      <c r="AF4414">
        <v>1.58871777898771</v>
      </c>
      <c r="AG4414">
        <v>-1.1210283478459999</v>
      </c>
      <c r="AH4414">
        <v>16.596578329114902</v>
      </c>
      <c r="AI4414">
        <v>93.846685847144698</v>
      </c>
      <c r="AJ4414">
        <v>84.531987120036405</v>
      </c>
      <c r="AK4414">
        <v>16.7100909923433</v>
      </c>
      <c r="AL4414">
        <v>77.932160246063404</v>
      </c>
      <c r="AM4414">
        <v>89.063046702738305</v>
      </c>
      <c r="AN4414">
        <v>1.0000000093411801</v>
      </c>
    </row>
    <row r="4415" spans="1:40" x14ac:dyDescent="0.25">
      <c r="A4415" t="str">
        <f>"20190303162348689"</f>
        <v>20190303162348689</v>
      </c>
      <c r="B4415" t="str">
        <f>"1551601428679529"</f>
        <v>1551601428679529</v>
      </c>
      <c r="C4415" t="s">
        <v>40</v>
      </c>
      <c r="D4415">
        <v>5.6881120000000003</v>
      </c>
      <c r="E4415">
        <v>0.49743549999999997</v>
      </c>
      <c r="F4415" t="s">
        <v>41</v>
      </c>
      <c r="G4415">
        <v>-367.66160000000002</v>
      </c>
      <c r="H4415" s="1">
        <v>-1.3951180000000001E-6</v>
      </c>
      <c r="I4415">
        <v>141.1558</v>
      </c>
      <c r="J4415">
        <v>-347.3177</v>
      </c>
      <c r="K4415">
        <v>1.121022</v>
      </c>
      <c r="L4415">
        <v>140.77770000000001</v>
      </c>
      <c r="M4415">
        <v>-0.99977499999999997</v>
      </c>
      <c r="N4415">
        <v>-1.4385729999999999E-2</v>
      </c>
      <c r="O4415">
        <v>-1.5591020000000001E-2</v>
      </c>
      <c r="P4415">
        <v>-0.98065869999999999</v>
      </c>
      <c r="Q4415">
        <v>0.19572529999999999</v>
      </c>
      <c r="R4415">
        <v>4.6310109999999998E-4</v>
      </c>
      <c r="S4415">
        <v>-3.092041</v>
      </c>
      <c r="T4415">
        <v>-0.1678683</v>
      </c>
      <c r="U4415">
        <v>5.5923460000000001E-2</v>
      </c>
      <c r="V4415">
        <v>1.5762080000000001E-2</v>
      </c>
      <c r="W4415">
        <v>0.2098101</v>
      </c>
      <c r="X4415">
        <v>0.97761509999999996</v>
      </c>
      <c r="Y4415">
        <v>3.35962E-2</v>
      </c>
      <c r="Z4415">
        <v>1.7747380000000001E-3</v>
      </c>
      <c r="AA4415">
        <v>0.99943389999999999</v>
      </c>
      <c r="AB4415">
        <v>32</v>
      </c>
      <c r="AC4415">
        <v>-20.343900000000001</v>
      </c>
      <c r="AD4415">
        <v>-1.121023395118</v>
      </c>
      <c r="AE4415">
        <v>0.378099999999989</v>
      </c>
      <c r="AF4415">
        <v>0.69316498912683</v>
      </c>
      <c r="AG4415">
        <v>-1.121023395118</v>
      </c>
      <c r="AH4415">
        <v>20.273992198003</v>
      </c>
      <c r="AI4415">
        <v>93.163026616433299</v>
      </c>
      <c r="AJ4415">
        <v>88.041827984941307</v>
      </c>
      <c r="AK4415">
        <v>20.3167893821647</v>
      </c>
      <c r="AL4415">
        <v>77.888776175106202</v>
      </c>
      <c r="AM4415">
        <v>89.076300664115607</v>
      </c>
      <c r="AN4415">
        <v>1.0000000024879701</v>
      </c>
    </row>
    <row r="4416" spans="1:40" x14ac:dyDescent="0.25">
      <c r="A4416" t="str">
        <f>"20190303162348711"</f>
        <v>20190303162348711</v>
      </c>
      <c r="B4416" t="str">
        <f>"1551601428699050"</f>
        <v>1551601428699050</v>
      </c>
      <c r="C4416" t="s">
        <v>40</v>
      </c>
      <c r="D4416">
        <v>5.6272539999999998</v>
      </c>
      <c r="E4416">
        <v>0.49334240000000001</v>
      </c>
      <c r="F4416" t="s">
        <v>41</v>
      </c>
      <c r="G4416">
        <v>-369.38470000000001</v>
      </c>
      <c r="H4416" s="1">
        <v>-5.0865050000000001E-7</v>
      </c>
      <c r="I4416">
        <v>140.60239999999999</v>
      </c>
      <c r="J4416">
        <v>-347.63420000000002</v>
      </c>
      <c r="K4416">
        <v>1.121024</v>
      </c>
      <c r="L4416">
        <v>140.77269999999999</v>
      </c>
      <c r="M4416">
        <v>-0.99977510000000003</v>
      </c>
      <c r="N4416">
        <v>-1.438233E-2</v>
      </c>
      <c r="O4416">
        <v>-1.5591000000000001E-2</v>
      </c>
      <c r="P4416">
        <v>-0.98068379999999999</v>
      </c>
      <c r="Q4416">
        <v>0.1956001</v>
      </c>
      <c r="R4416">
        <v>-2.9482409999999999E-4</v>
      </c>
      <c r="S4416">
        <v>-3.0905149999999999</v>
      </c>
      <c r="T4416">
        <v>-0.1570009</v>
      </c>
      <c r="U4416">
        <v>-2.453613E-2</v>
      </c>
      <c r="V4416">
        <v>1.5004689999999999E-2</v>
      </c>
      <c r="W4416">
        <v>0.20968239999999999</v>
      </c>
      <c r="X4416">
        <v>0.97765440000000003</v>
      </c>
      <c r="Y4416">
        <v>7.6312039999999999E-3</v>
      </c>
      <c r="Z4416">
        <v>8.1596209999999997E-4</v>
      </c>
      <c r="AA4416">
        <v>0.99997060000000004</v>
      </c>
      <c r="AB4416">
        <v>32</v>
      </c>
      <c r="AC4416">
        <v>-21.750499999999899</v>
      </c>
      <c r="AD4416">
        <v>-1.1210245086505</v>
      </c>
      <c r="AE4416">
        <v>-0.17029999999999701</v>
      </c>
      <c r="AF4416">
        <v>0.168420434020563</v>
      </c>
      <c r="AG4416">
        <v>-1.1210245086505</v>
      </c>
      <c r="AH4416">
        <v>21.6928899378875</v>
      </c>
      <c r="AI4416">
        <v>92.958156261452402</v>
      </c>
      <c r="AJ4416">
        <v>89.555172860794698</v>
      </c>
      <c r="AK4416">
        <v>21.722489158678201</v>
      </c>
      <c r="AL4416">
        <v>77.896259120389999</v>
      </c>
      <c r="AM4416">
        <v>89.120713906466307</v>
      </c>
      <c r="AN4416">
        <v>0.99999998771555698</v>
      </c>
    </row>
    <row r="4417" spans="1:40" x14ac:dyDescent="0.25">
      <c r="A4417" t="str">
        <f>"20190303162348734"</f>
        <v>20190303162348734</v>
      </c>
      <c r="B4417" t="str">
        <f>"1551601428729305"</f>
        <v>1551601428729305</v>
      </c>
      <c r="C4417" t="s">
        <v>40</v>
      </c>
      <c r="D4417">
        <v>5.6877550000000001</v>
      </c>
      <c r="E4417">
        <v>0.49127549999999998</v>
      </c>
      <c r="F4417" t="s">
        <v>41</v>
      </c>
      <c r="G4417">
        <v>-370.15750000000003</v>
      </c>
      <c r="H4417" s="1">
        <v>-4.3519730000000003E-6</v>
      </c>
      <c r="I4417">
        <v>140.34649999999999</v>
      </c>
      <c r="J4417">
        <v>-347.95569999999998</v>
      </c>
      <c r="K4417">
        <v>1.12103</v>
      </c>
      <c r="L4417">
        <v>140.76769999999999</v>
      </c>
      <c r="M4417">
        <v>-0.99977510000000003</v>
      </c>
      <c r="N4417">
        <v>-1.437884E-2</v>
      </c>
      <c r="O4417">
        <v>-1.5590980000000001E-2</v>
      </c>
      <c r="P4417">
        <v>-0.98075270000000003</v>
      </c>
      <c r="Q4417">
        <v>0.19525300000000001</v>
      </c>
      <c r="R4417">
        <v>-6.9385949999999997E-4</v>
      </c>
      <c r="S4417">
        <v>-3.0897830000000002</v>
      </c>
      <c r="T4417">
        <v>-0.15378449999999999</v>
      </c>
      <c r="U4417">
        <v>-5.8456420000000002E-2</v>
      </c>
      <c r="V4417">
        <v>1.4606650000000001E-2</v>
      </c>
      <c r="W4417">
        <v>0.20933270000000001</v>
      </c>
      <c r="X4417">
        <v>0.97773540000000003</v>
      </c>
      <c r="Y4417">
        <v>-3.3282260000000001E-3</v>
      </c>
      <c r="Z4417">
        <v>4.4458570000000002E-4</v>
      </c>
      <c r="AA4417">
        <v>0.9999943</v>
      </c>
      <c r="AB4417">
        <v>31</v>
      </c>
      <c r="AC4417">
        <v>-22.201799999999999</v>
      </c>
      <c r="AD4417">
        <v>-1.1210343519729999</v>
      </c>
      <c r="AE4417">
        <v>-0.42119999999999802</v>
      </c>
      <c r="AF4417">
        <v>-7.4774627158846294E-2</v>
      </c>
      <c r="AG4417">
        <v>-1.1210343519729999</v>
      </c>
      <c r="AH4417">
        <v>22.149218531194901</v>
      </c>
      <c r="AI4417">
        <v>92.897411955591096</v>
      </c>
      <c r="AJ4417">
        <v>90.193426881808705</v>
      </c>
      <c r="AK4417">
        <v>22.1776957956817</v>
      </c>
      <c r="AL4417">
        <v>77.916750645421303</v>
      </c>
      <c r="AM4417">
        <v>89.144106732810698</v>
      </c>
      <c r="AN4417">
        <v>1.0000000229633299</v>
      </c>
    </row>
    <row r="4418" spans="1:40" x14ac:dyDescent="0.25">
      <c r="A4418" t="str">
        <f>"20190303162348757"</f>
        <v>20190303162348757</v>
      </c>
      <c r="B4418" t="str">
        <f>"1551601428748825"</f>
        <v>1551601428748825</v>
      </c>
      <c r="C4418" t="s">
        <v>40</v>
      </c>
      <c r="D4418">
        <v>5.6272570000000002</v>
      </c>
      <c r="E4418">
        <v>0.49062460000000002</v>
      </c>
      <c r="F4418" t="s">
        <v>41</v>
      </c>
      <c r="G4418">
        <v>-370.19279999999998</v>
      </c>
      <c r="H4418" s="1">
        <v>-4.3164129999999996E-6</v>
      </c>
      <c r="I4418">
        <v>140.2139</v>
      </c>
      <c r="J4418">
        <v>-348.27569999999997</v>
      </c>
      <c r="K4418">
        <v>1.1210329999999999</v>
      </c>
      <c r="L4418">
        <v>140.7627</v>
      </c>
      <c r="M4418">
        <v>-0.99977519999999998</v>
      </c>
      <c r="N4418">
        <v>-1.437534E-2</v>
      </c>
      <c r="O4418">
        <v>-1.5591310000000001E-2</v>
      </c>
      <c r="P4418">
        <v>-0.98079159999999999</v>
      </c>
      <c r="Q4418">
        <v>0.1950547</v>
      </c>
      <c r="R4418">
        <v>-1.3162130000000001E-3</v>
      </c>
      <c r="S4418">
        <v>-3.0899049999999999</v>
      </c>
      <c r="T4418">
        <v>-0.1557711</v>
      </c>
      <c r="U4418">
        <v>-7.6950069999999995E-2</v>
      </c>
      <c r="V4418">
        <v>1.3985259999999999E-2</v>
      </c>
      <c r="W4418">
        <v>0.2091317</v>
      </c>
      <c r="X4418">
        <v>0.97778750000000003</v>
      </c>
      <c r="Y4418">
        <v>-9.2998070000000002E-3</v>
      </c>
      <c r="Z4418">
        <v>2.6015540000000001E-4</v>
      </c>
      <c r="AA4418">
        <v>0.99995670000000003</v>
      </c>
      <c r="AB4418">
        <v>31</v>
      </c>
      <c r="AC4418">
        <v>-21.917100000000001</v>
      </c>
      <c r="AD4418">
        <v>-1.1210373164130001</v>
      </c>
      <c r="AE4418">
        <v>-0.54879999999999995</v>
      </c>
      <c r="AF4418">
        <v>-0.20644193850645801</v>
      </c>
      <c r="AG4418">
        <v>-1.1210373164130001</v>
      </c>
      <c r="AH4418">
        <v>21.865822861526599</v>
      </c>
      <c r="AI4418">
        <v>92.934792988123903</v>
      </c>
      <c r="AJ4418">
        <v>90.540930951222293</v>
      </c>
      <c r="AK4418">
        <v>21.8955144344777</v>
      </c>
      <c r="AL4418">
        <v>77.928527800555699</v>
      </c>
      <c r="AM4418">
        <v>89.180556369949102</v>
      </c>
      <c r="AN4418">
        <v>1.0000000252992001</v>
      </c>
    </row>
    <row r="4419" spans="1:40" x14ac:dyDescent="0.25">
      <c r="A4419" t="str">
        <f>"20190303162348781"</f>
        <v>20190303162348781</v>
      </c>
      <c r="B4419" t="str">
        <f>"1551601428769321"</f>
        <v>1551601428769321</v>
      </c>
      <c r="C4419" t="s">
        <v>40</v>
      </c>
      <c r="D4419">
        <v>5.6210820000000004</v>
      </c>
      <c r="E4419">
        <v>0.49020239999999998</v>
      </c>
      <c r="F4419" t="s">
        <v>41</v>
      </c>
      <c r="G4419">
        <v>-370.17079999999999</v>
      </c>
      <c r="H4419" s="1">
        <v>-4.3148160000000002E-6</v>
      </c>
      <c r="I4419">
        <v>140.1627</v>
      </c>
      <c r="J4419">
        <v>-348.60309999999998</v>
      </c>
      <c r="K4419">
        <v>1.12104</v>
      </c>
      <c r="L4419">
        <v>140.7576</v>
      </c>
      <c r="M4419">
        <v>-0.99977530000000003</v>
      </c>
      <c r="N4419">
        <v>-1.4371709999999999E-2</v>
      </c>
      <c r="O4419">
        <v>-1.5591280000000001E-2</v>
      </c>
      <c r="P4419">
        <v>-0.98079139999999998</v>
      </c>
      <c r="Q4419">
        <v>0.19504560000000001</v>
      </c>
      <c r="R4419">
        <v>-2.3730999999999999E-3</v>
      </c>
      <c r="S4419">
        <v>-3.0900880000000002</v>
      </c>
      <c r="T4419">
        <v>-0.15821360000000001</v>
      </c>
      <c r="U4419">
        <v>-8.467102E-2</v>
      </c>
      <c r="V4419">
        <v>1.2928429999999999E-2</v>
      </c>
      <c r="W4419">
        <v>0.2091191</v>
      </c>
      <c r="X4419">
        <v>0.97780469999999997</v>
      </c>
      <c r="Y4419">
        <v>-1.179097E-2</v>
      </c>
      <c r="Z4419">
        <v>1.8716769999999999E-4</v>
      </c>
      <c r="AA4419">
        <v>0.9999304</v>
      </c>
      <c r="AB4419">
        <v>31</v>
      </c>
      <c r="AC4419">
        <v>-21.567699999999999</v>
      </c>
      <c r="AD4419">
        <v>-1.1210443148160001</v>
      </c>
      <c r="AE4419">
        <v>-0.59489999999999499</v>
      </c>
      <c r="AF4419">
        <v>-0.25782889157284899</v>
      </c>
      <c r="AG4419">
        <v>-1.1210443148160001</v>
      </c>
      <c r="AH4419">
        <v>21.516267673966698</v>
      </c>
      <c r="AI4419">
        <v>92.982324045458995</v>
      </c>
      <c r="AJ4419">
        <v>90.686541018111299</v>
      </c>
      <c r="AK4419">
        <v>21.5469949345818</v>
      </c>
      <c r="AL4419">
        <v>77.929265579402397</v>
      </c>
      <c r="AM4419">
        <v>89.242485422719398</v>
      </c>
      <c r="AN4419">
        <v>0.99999998681458202</v>
      </c>
    </row>
    <row r="4420" spans="1:40" x14ac:dyDescent="0.25">
      <c r="A4420" t="str">
        <f>"20190303162348800"</f>
        <v>20190303162348800</v>
      </c>
      <c r="B4420" t="str">
        <f>"1551601428788841"</f>
        <v>1551601428788841</v>
      </c>
      <c r="C4420" t="s">
        <v>40</v>
      </c>
      <c r="D4420">
        <v>5.3504949999999996</v>
      </c>
      <c r="E4420">
        <v>0.4901451</v>
      </c>
      <c r="F4420" t="s">
        <v>41</v>
      </c>
      <c r="G4420">
        <v>-370.43979999999999</v>
      </c>
      <c r="H4420" s="1">
        <v>-4.2147399999999999E-6</v>
      </c>
      <c r="I4420">
        <v>140.11449999999999</v>
      </c>
      <c r="J4420">
        <v>-348.88650000000001</v>
      </c>
      <c r="K4420">
        <v>1.12104</v>
      </c>
      <c r="L4420">
        <v>140.75319999999999</v>
      </c>
      <c r="M4420">
        <v>-0.99977530000000003</v>
      </c>
      <c r="N4420">
        <v>-1.436834E-2</v>
      </c>
      <c r="O4420">
        <v>-1.5591259999999999E-2</v>
      </c>
      <c r="P4420">
        <v>-0.9807323</v>
      </c>
      <c r="Q4420">
        <v>0.19533039999999999</v>
      </c>
      <c r="R4420">
        <v>-3.2473850000000002E-3</v>
      </c>
      <c r="S4420">
        <v>-3.0900880000000002</v>
      </c>
      <c r="T4420">
        <v>-0.15863749999999999</v>
      </c>
      <c r="U4420">
        <v>-9.0988159999999998E-2</v>
      </c>
      <c r="V4420">
        <v>1.205355E-2</v>
      </c>
      <c r="W4420">
        <v>0.20940030000000001</v>
      </c>
      <c r="X4420">
        <v>0.97775570000000001</v>
      </c>
      <c r="Y4420">
        <v>-1.383006E-2</v>
      </c>
      <c r="Z4420">
        <v>1.215918E-4</v>
      </c>
      <c r="AA4420">
        <v>0.99990429999999997</v>
      </c>
      <c r="AB4420">
        <v>31</v>
      </c>
      <c r="AC4420">
        <v>-21.553299999999901</v>
      </c>
      <c r="AD4420">
        <v>-1.1210442147399999</v>
      </c>
      <c r="AE4420">
        <v>-0.63870000000000005</v>
      </c>
      <c r="AF4420">
        <v>-0.30172902723907302</v>
      </c>
      <c r="AG4420">
        <v>-1.1210442147399999</v>
      </c>
      <c r="AH4420">
        <v>21.502518736084699</v>
      </c>
      <c r="AI4420">
        <v>92.984147872950103</v>
      </c>
      <c r="AJ4420">
        <v>90.8039367611795</v>
      </c>
      <c r="AK4420">
        <v>21.5338359920603</v>
      </c>
      <c r="AL4420">
        <v>77.912789275989297</v>
      </c>
      <c r="AM4420">
        <v>89.293706432965806</v>
      </c>
      <c r="AN4420">
        <v>0.99999999129509098</v>
      </c>
    </row>
    <row r="4421" spans="1:40" x14ac:dyDescent="0.25">
      <c r="A4421" t="str">
        <f>"20190303162348823"</f>
        <v>20190303162348823</v>
      </c>
      <c r="B4421" t="str">
        <f>"1551601428809337"</f>
        <v>1551601428809337</v>
      </c>
      <c r="C4421" t="s">
        <v>40</v>
      </c>
      <c r="D4421">
        <v>5.456982</v>
      </c>
      <c r="E4421">
        <v>0.49005179999999998</v>
      </c>
      <c r="F4421" t="s">
        <v>41</v>
      </c>
      <c r="G4421">
        <v>-370.74099999999999</v>
      </c>
      <c r="H4421" s="1">
        <v>-4.0794469999999997E-6</v>
      </c>
      <c r="I4421">
        <v>140.08619999999999</v>
      </c>
      <c r="J4421">
        <v>-349.2054</v>
      </c>
      <c r="K4421">
        <v>1.121035</v>
      </c>
      <c r="L4421">
        <v>140.7482</v>
      </c>
      <c r="M4421">
        <v>-0.99977539999999998</v>
      </c>
      <c r="N4421">
        <v>-1.4364729999999999E-2</v>
      </c>
      <c r="O4421">
        <v>-1.5591229999999999E-2</v>
      </c>
      <c r="P4421">
        <v>-0.98077000000000003</v>
      </c>
      <c r="Q4421">
        <v>0.19513539999999999</v>
      </c>
      <c r="R4421">
        <v>-3.5604809999999999E-3</v>
      </c>
      <c r="S4421">
        <v>-3.0902400000000001</v>
      </c>
      <c r="T4421">
        <v>-0.15851680000000001</v>
      </c>
      <c r="U4421">
        <v>-9.4299320000000006E-2</v>
      </c>
      <c r="V4421">
        <v>1.174093E-2</v>
      </c>
      <c r="W4421">
        <v>0.20920259999999999</v>
      </c>
      <c r="X4421">
        <v>0.97780180000000005</v>
      </c>
      <c r="Y4421">
        <v>-1.4897270000000001E-2</v>
      </c>
      <c r="Z4421" s="1">
        <v>8.6283630000000004E-5</v>
      </c>
      <c r="AA4421">
        <v>0.99988900000000003</v>
      </c>
      <c r="AB4421">
        <v>31</v>
      </c>
      <c r="AC4421">
        <v>-21.535599999999899</v>
      </c>
      <c r="AD4421">
        <v>-1.121039079447</v>
      </c>
      <c r="AE4421">
        <v>-0.66200000000000603</v>
      </c>
      <c r="AF4421">
        <v>-0.32523794609426798</v>
      </c>
      <c r="AG4421">
        <v>-1.121039079447</v>
      </c>
      <c r="AH4421">
        <v>21.4851400801392</v>
      </c>
      <c r="AI4421">
        <v>92.9864955739327</v>
      </c>
      <c r="AJ4421">
        <v>90.867266323115203</v>
      </c>
      <c r="AK4421">
        <v>21.516824872699701</v>
      </c>
      <c r="AL4421">
        <v>77.924372945470694</v>
      </c>
      <c r="AM4421">
        <v>89.312055460275204</v>
      </c>
      <c r="AN4421">
        <v>0.99999996868363195</v>
      </c>
    </row>
    <row r="4422" spans="1:40" x14ac:dyDescent="0.25">
      <c r="A4422" t="str">
        <f>"20190303162348846"</f>
        <v>20190303162348846</v>
      </c>
      <c r="B4422" t="str">
        <f>"1551601428839593"</f>
        <v>1551601428839593</v>
      </c>
      <c r="C4422" t="s">
        <v>40</v>
      </c>
      <c r="D4422">
        <v>5.6747899999999998</v>
      </c>
      <c r="E4422">
        <v>0.48986249999999998</v>
      </c>
      <c r="F4422" t="s">
        <v>41</v>
      </c>
      <c r="G4422">
        <v>-370.8571</v>
      </c>
      <c r="H4422" s="1">
        <v>-4.0256120000000004E-6</v>
      </c>
      <c r="I4422">
        <v>140.0711</v>
      </c>
      <c r="J4422">
        <v>-349.52289999999999</v>
      </c>
      <c r="K4422">
        <v>1.1210310000000001</v>
      </c>
      <c r="L4422">
        <v>140.7433</v>
      </c>
      <c r="M4422">
        <v>-0.99977539999999998</v>
      </c>
      <c r="N4422">
        <v>-1.436137E-2</v>
      </c>
      <c r="O4422">
        <v>-1.5591209999999999E-2</v>
      </c>
      <c r="P4422">
        <v>-0.98087239999999998</v>
      </c>
      <c r="Q4422">
        <v>0.1946058</v>
      </c>
      <c r="R4422">
        <v>-4.2348009999999998E-3</v>
      </c>
      <c r="S4422">
        <v>-3.0903320000000001</v>
      </c>
      <c r="T4422">
        <v>-0.16000549999999999</v>
      </c>
      <c r="U4422">
        <v>-9.6633910000000003E-2</v>
      </c>
      <c r="V4422">
        <v>1.1068120000000001E-2</v>
      </c>
      <c r="W4422">
        <v>0.20867150000000001</v>
      </c>
      <c r="X4422">
        <v>0.97792319999999999</v>
      </c>
      <c r="Y4422">
        <v>-1.56496E-2</v>
      </c>
      <c r="Z4422" s="1">
        <v>6.5389439999999997E-5</v>
      </c>
      <c r="AA4422">
        <v>0.99987749999999997</v>
      </c>
      <c r="AB4422">
        <v>31</v>
      </c>
      <c r="AC4422">
        <v>-21.334199999999999</v>
      </c>
      <c r="AD4422">
        <v>-1.1210350256120001</v>
      </c>
      <c r="AE4422">
        <v>-0.67220000000000302</v>
      </c>
      <c r="AF4422">
        <v>-0.33852422852219899</v>
      </c>
      <c r="AG4422">
        <v>-1.1210350256120001</v>
      </c>
      <c r="AH4422">
        <v>21.283380046353798</v>
      </c>
      <c r="AI4422">
        <v>93.014707938616993</v>
      </c>
      <c r="AJ4422">
        <v>90.911245023898402</v>
      </c>
      <c r="AK4422">
        <v>21.315571406356302</v>
      </c>
      <c r="AL4422">
        <v>77.955490398103706</v>
      </c>
      <c r="AM4422">
        <v>89.351554920242904</v>
      </c>
      <c r="AN4422">
        <v>1.00000004164541</v>
      </c>
    </row>
    <row r="4423" spans="1:40" x14ac:dyDescent="0.25">
      <c r="A4423" t="str">
        <f>"20190303162348890"</f>
        <v>20190303162348890</v>
      </c>
      <c r="B4423" t="str">
        <f>"1551601428879609"</f>
        <v>1551601428879609</v>
      </c>
      <c r="C4423" t="s">
        <v>40</v>
      </c>
      <c r="D4423">
        <v>5.750159</v>
      </c>
      <c r="E4423">
        <v>0.48986600000000002</v>
      </c>
      <c r="F4423" t="s">
        <v>41</v>
      </c>
      <c r="G4423">
        <v>-370.9271</v>
      </c>
      <c r="H4423" s="1">
        <v>-3.9902210000000003E-6</v>
      </c>
      <c r="I4423">
        <v>140.05099999999999</v>
      </c>
      <c r="J4423">
        <v>-350.1302</v>
      </c>
      <c r="K4423">
        <v>1.1210199999999999</v>
      </c>
      <c r="L4423">
        <v>140.7338</v>
      </c>
      <c r="M4423">
        <v>-0.99977550000000004</v>
      </c>
      <c r="N4423">
        <v>-1.435497E-2</v>
      </c>
      <c r="O4423">
        <v>-1.5591399999999899E-2</v>
      </c>
      <c r="P4423">
        <v>-0.98096260000000002</v>
      </c>
      <c r="Q4423">
        <v>0.19409270000000001</v>
      </c>
      <c r="R4423">
        <v>-6.3905560000000004E-3</v>
      </c>
      <c r="S4423">
        <v>-3.0901489999999998</v>
      </c>
      <c r="T4423">
        <v>-0.16184499999999999</v>
      </c>
      <c r="U4423">
        <v>-9.9929809999999994E-2</v>
      </c>
      <c r="V4423">
        <v>8.9144080000000004E-3</v>
      </c>
      <c r="W4423">
        <v>0.2081538</v>
      </c>
      <c r="X4423">
        <v>0.97805549999999997</v>
      </c>
      <c r="Y4423">
        <v>-1.6714570000000002E-2</v>
      </c>
      <c r="Z4423" s="1">
        <v>3.4660889999999998E-5</v>
      </c>
      <c r="AA4423">
        <v>0.99986030000000004</v>
      </c>
      <c r="AB4423">
        <v>31</v>
      </c>
      <c r="AC4423">
        <v>-20.796899999999901</v>
      </c>
      <c r="AD4423">
        <v>-1.121023990221</v>
      </c>
      <c r="AE4423">
        <v>-0.68279999999998597</v>
      </c>
      <c r="AF4423">
        <v>-0.35739350282868998</v>
      </c>
      <c r="AG4423">
        <v>-1.121023990221</v>
      </c>
      <c r="AH4423">
        <v>20.744807688863801</v>
      </c>
      <c r="AI4423">
        <v>93.092727123102904</v>
      </c>
      <c r="AJ4423">
        <v>90.986999449898903</v>
      </c>
      <c r="AK4423">
        <v>20.778148881708798</v>
      </c>
      <c r="AL4423">
        <v>77.985818083761799</v>
      </c>
      <c r="AM4423">
        <v>89.477796696991902</v>
      </c>
      <c r="AN4423">
        <v>1.0000000161023399</v>
      </c>
    </row>
    <row r="4424" spans="1:40" x14ac:dyDescent="0.25">
      <c r="A4424" t="str">
        <f>"20190303162348913"</f>
        <v>20190303162348913</v>
      </c>
      <c r="B4424" t="str">
        <f>"1551601428908889"</f>
        <v>1551601428908889</v>
      </c>
      <c r="C4424" t="s">
        <v>40</v>
      </c>
      <c r="D4424">
        <v>5.608581</v>
      </c>
      <c r="E4424">
        <v>0.45019799999999899</v>
      </c>
      <c r="F4424" t="s">
        <v>41</v>
      </c>
      <c r="G4424">
        <v>-371.29239999999999</v>
      </c>
      <c r="H4424" s="1">
        <v>-3.8225740000000002E-6</v>
      </c>
      <c r="I4424">
        <v>140.00989999999999</v>
      </c>
      <c r="J4424">
        <v>-350.45170000000002</v>
      </c>
      <c r="K4424">
        <v>1.1210249999999999</v>
      </c>
      <c r="L4424">
        <v>140.7287</v>
      </c>
      <c r="M4424">
        <v>-0.99977559999999999</v>
      </c>
      <c r="N4424">
        <v>-1.4351569999999999E-2</v>
      </c>
      <c r="O4424">
        <v>-1.5591499999999999E-2</v>
      </c>
      <c r="P4424">
        <v>-0.98094599999999998</v>
      </c>
      <c r="Q4424">
        <v>0.1941428</v>
      </c>
      <c r="R4424">
        <v>-7.3490639999999998E-3</v>
      </c>
      <c r="S4424">
        <v>-3.0899350000000001</v>
      </c>
      <c r="T4424">
        <v>-0.16368339999999901</v>
      </c>
      <c r="U4424">
        <v>-0.105682399999999</v>
      </c>
      <c r="V4424">
        <v>7.9557919999999997E-3</v>
      </c>
      <c r="W4424">
        <v>0.20820050000000001</v>
      </c>
      <c r="X4424">
        <v>0.97805379999999997</v>
      </c>
      <c r="Y4424">
        <v>-1.857253E-2</v>
      </c>
      <c r="Z4424" s="1">
        <v>-2.3456759999999999E-5</v>
      </c>
      <c r="AA4424">
        <v>0.99982749999999998</v>
      </c>
      <c r="AB4424">
        <v>31</v>
      </c>
      <c r="AC4424">
        <v>-20.840699999999899</v>
      </c>
      <c r="AD4424">
        <v>-1.1210288225739999</v>
      </c>
      <c r="AE4424">
        <v>-0.71880000000001498</v>
      </c>
      <c r="AF4424">
        <v>-0.39260679667547999</v>
      </c>
      <c r="AG4424">
        <v>-1.1210288225739999</v>
      </c>
      <c r="AH4424">
        <v>20.789294174305802</v>
      </c>
      <c r="AI4424">
        <v>93.086043034734104</v>
      </c>
      <c r="AJ4424">
        <v>91.081904880092395</v>
      </c>
      <c r="AK4424">
        <v>20.823198553144099</v>
      </c>
      <c r="AL4424">
        <v>77.983082108603</v>
      </c>
      <c r="AM4424">
        <v>89.533948693847094</v>
      </c>
      <c r="AN4424">
        <v>0.99999998926051803</v>
      </c>
    </row>
    <row r="4425" spans="1:40" x14ac:dyDescent="0.25">
      <c r="A4425" t="str">
        <f>"20190303162348935"</f>
        <v>20190303162348935</v>
      </c>
      <c r="B4425" t="str">
        <f>"1551601428929385"</f>
        <v>1551601428929385</v>
      </c>
      <c r="C4425" t="s">
        <v>40</v>
      </c>
      <c r="D4425">
        <v>5.527692</v>
      </c>
      <c r="E4425">
        <v>0.44740020000000003</v>
      </c>
      <c r="F4425" t="s">
        <v>41</v>
      </c>
      <c r="G4425">
        <v>-366.4083</v>
      </c>
      <c r="H4425" s="1">
        <v>-1.7142860000000001E-6</v>
      </c>
      <c r="I4425">
        <v>138.53870000000001</v>
      </c>
      <c r="J4425">
        <v>-350.75839999999999</v>
      </c>
      <c r="K4425">
        <v>1.12103</v>
      </c>
      <c r="L4425">
        <v>140.72399999999999</v>
      </c>
      <c r="M4425">
        <v>-0.99977550000000004</v>
      </c>
      <c r="N4425">
        <v>-1.4348349999999999E-2</v>
      </c>
      <c r="O4425">
        <v>-1.559136E-2</v>
      </c>
      <c r="P4425">
        <v>-0.98077380000000003</v>
      </c>
      <c r="Q4425">
        <v>0.19496550000000001</v>
      </c>
      <c r="R4425">
        <v>-8.445602E-3</v>
      </c>
      <c r="S4425">
        <v>-3.0981450000000001</v>
      </c>
      <c r="T4425">
        <v>-0.21766050000000001</v>
      </c>
      <c r="U4425">
        <v>-0.42520140000000001</v>
      </c>
      <c r="V4425">
        <v>6.8564589999999996E-3</v>
      </c>
      <c r="W4425">
        <v>0.20901749999999999</v>
      </c>
      <c r="X4425">
        <v>0.97788790000000003</v>
      </c>
      <c r="Y4425">
        <v>-0.12017750000000001</v>
      </c>
      <c r="Z4425">
        <v>-4.1981620000000001E-3</v>
      </c>
      <c r="AA4425">
        <v>0.99274359999999995</v>
      </c>
      <c r="AB4425">
        <v>31</v>
      </c>
      <c r="AC4425">
        <v>-15.649900000000001</v>
      </c>
      <c r="AD4425">
        <v>-1.121031714286</v>
      </c>
      <c r="AE4425">
        <v>-2.1852999999999798</v>
      </c>
      <c r="AF4425">
        <v>-1.9312858290936701</v>
      </c>
      <c r="AG4425">
        <v>-1.121031714286</v>
      </c>
      <c r="AH4425">
        <v>15.6035401578985</v>
      </c>
      <c r="AI4425">
        <v>94.078323499151907</v>
      </c>
      <c r="AJ4425">
        <v>97.055745260818796</v>
      </c>
      <c r="AK4425">
        <v>15.762520182929</v>
      </c>
      <c r="AL4425">
        <v>77.9352189794824</v>
      </c>
      <c r="AM4425">
        <v>89.598277342719101</v>
      </c>
      <c r="AN4425">
        <v>1.0000000356513301</v>
      </c>
    </row>
    <row r="4426" spans="1:40" x14ac:dyDescent="0.25">
      <c r="A4426" t="str">
        <f>"20190303162348958"</f>
        <v>20190303162348958</v>
      </c>
      <c r="B4426" t="str">
        <f>"1551601428948905"</f>
        <v>1551601428948905</v>
      </c>
      <c r="C4426" t="s">
        <v>40</v>
      </c>
      <c r="D4426">
        <v>5.5041739999999999</v>
      </c>
      <c r="E4426">
        <v>0.44753280000000001</v>
      </c>
      <c r="F4426" t="s">
        <v>41</v>
      </c>
      <c r="G4426">
        <v>-367.62779999999998</v>
      </c>
      <c r="H4426" s="1">
        <v>-1.2390089999999999E-6</v>
      </c>
      <c r="I4426">
        <v>138.26859999999999</v>
      </c>
      <c r="J4426">
        <v>-351.07749999999999</v>
      </c>
      <c r="K4426">
        <v>1.1210340000000001</v>
      </c>
      <c r="L4426">
        <v>140.71899999999999</v>
      </c>
      <c r="M4426">
        <v>-0.99977550000000004</v>
      </c>
      <c r="N4426">
        <v>-1.434502E-2</v>
      </c>
      <c r="O4426">
        <v>-1.559145E-2</v>
      </c>
      <c r="P4426">
        <v>-0.98069830000000002</v>
      </c>
      <c r="Q4426">
        <v>0.19531589999999999</v>
      </c>
      <c r="R4426">
        <v>-9.0981320000000001E-3</v>
      </c>
      <c r="S4426">
        <v>-3.0958559999999999</v>
      </c>
      <c r="T4426">
        <v>-0.2057302</v>
      </c>
      <c r="U4426">
        <v>-0.45059199999999999</v>
      </c>
      <c r="V4426">
        <v>6.2030660000000001E-3</v>
      </c>
      <c r="W4426">
        <v>0.20936399999999999</v>
      </c>
      <c r="X4426">
        <v>0.97781810000000002</v>
      </c>
      <c r="Y4426">
        <v>-0.12826409999999999</v>
      </c>
      <c r="Z4426">
        <v>-4.3540649999999998E-3</v>
      </c>
      <c r="AA4426">
        <v>0.99173049999999996</v>
      </c>
      <c r="AB4426">
        <v>31</v>
      </c>
      <c r="AC4426">
        <v>-16.550299999999901</v>
      </c>
      <c r="AD4426">
        <v>-1.1210352390089999</v>
      </c>
      <c r="AE4426">
        <v>-2.4504000000000001</v>
      </c>
      <c r="AF4426">
        <v>-2.1822349416575402</v>
      </c>
      <c r="AG4426">
        <v>-1.1210352390089999</v>
      </c>
      <c r="AH4426">
        <v>16.512362844706299</v>
      </c>
      <c r="AI4426">
        <v>93.850510332145504</v>
      </c>
      <c r="AJ4426">
        <v>97.528447697092304</v>
      </c>
      <c r="AK4426">
        <v>16.693621418461898</v>
      </c>
      <c r="AL4426">
        <v>77.914916361713097</v>
      </c>
      <c r="AM4426">
        <v>89.636532874258094</v>
      </c>
      <c r="AN4426">
        <v>0.99999999960570496</v>
      </c>
    </row>
    <row r="4427" spans="1:40" x14ac:dyDescent="0.25">
      <c r="A4427" t="str">
        <f>"20190303162348981"</f>
        <v>20190303162348981</v>
      </c>
      <c r="B4427" t="str">
        <f>"1551601428969401"</f>
        <v>1551601428969401</v>
      </c>
      <c r="C4427" t="s">
        <v>40</v>
      </c>
      <c r="D4427">
        <v>5.5777400000000004</v>
      </c>
      <c r="E4427">
        <v>0.44757980000000003</v>
      </c>
      <c r="F4427" t="s">
        <v>41</v>
      </c>
      <c r="G4427">
        <v>-368.72089999999997</v>
      </c>
      <c r="H4427" s="1">
        <v>-8.1246079999999995E-7</v>
      </c>
      <c r="I4427">
        <v>138.1463</v>
      </c>
      <c r="J4427">
        <v>-351.38929999999999</v>
      </c>
      <c r="K4427">
        <v>1.1210450000000001</v>
      </c>
      <c r="L4427">
        <v>140.7141</v>
      </c>
      <c r="M4427">
        <v>-0.99977550000000004</v>
      </c>
      <c r="N4427">
        <v>-1.4341609999999999E-2</v>
      </c>
      <c r="O4427">
        <v>-1.559143E-2</v>
      </c>
      <c r="P4427">
        <v>-0.98054969999999997</v>
      </c>
      <c r="Q4427">
        <v>0.1960065</v>
      </c>
      <c r="R4427">
        <v>-1.0185079999999999E-2</v>
      </c>
      <c r="S4427">
        <v>-3.0939939999999999</v>
      </c>
      <c r="T4427">
        <v>-0.19658800000000001</v>
      </c>
      <c r="U4427">
        <v>-0.45114140000000003</v>
      </c>
      <c r="V4427">
        <v>5.1138370000000004E-3</v>
      </c>
      <c r="W4427">
        <v>0.21004929999999999</v>
      </c>
      <c r="X4427">
        <v>0.97767740000000003</v>
      </c>
      <c r="Y4427">
        <v>-0.1285451</v>
      </c>
      <c r="Z4427">
        <v>-4.2242490000000002E-3</v>
      </c>
      <c r="AA4427">
        <v>0.99169470000000004</v>
      </c>
      <c r="AB4427">
        <v>31</v>
      </c>
      <c r="AC4427">
        <v>-17.331599999999899</v>
      </c>
      <c r="AD4427">
        <v>-1.1210458124608</v>
      </c>
      <c r="AE4427">
        <v>-2.5678000000000001</v>
      </c>
      <c r="AF4427">
        <v>-2.2878692063944102</v>
      </c>
      <c r="AG4427">
        <v>-1.1210458124608</v>
      </c>
      <c r="AH4427">
        <v>17.298713064104401</v>
      </c>
      <c r="AI4427">
        <v>93.675955830004099</v>
      </c>
      <c r="AJ4427">
        <v>97.534020914299603</v>
      </c>
      <c r="AK4427">
        <v>17.485324214707099</v>
      </c>
      <c r="AL4427">
        <v>77.874758377512904</v>
      </c>
      <c r="AM4427">
        <v>89.700311569876703</v>
      </c>
      <c r="AN4427">
        <v>0.999999979115056</v>
      </c>
    </row>
    <row r="4428" spans="1:40" x14ac:dyDescent="0.25">
      <c r="A4428" t="str">
        <f>"20190303162349002"</f>
        <v>20190303162349002</v>
      </c>
      <c r="B4428" t="str">
        <f>"1551601428988921"</f>
        <v>1551601428988921</v>
      </c>
      <c r="C4428" t="s">
        <v>40</v>
      </c>
      <c r="D4428">
        <v>5.492909</v>
      </c>
      <c r="E4428">
        <v>0.44797670000000001</v>
      </c>
      <c r="F4428" t="s">
        <v>41</v>
      </c>
      <c r="G4428">
        <v>-369.673</v>
      </c>
      <c r="H4428" s="1">
        <v>-5.189314E-7</v>
      </c>
      <c r="I4428">
        <v>138.0318</v>
      </c>
      <c r="J4428">
        <v>-351.69450000000001</v>
      </c>
      <c r="K4428">
        <v>1.1210469999999999</v>
      </c>
      <c r="L4428">
        <v>140.70930000000001</v>
      </c>
      <c r="M4428">
        <v>-0.99977559999999999</v>
      </c>
      <c r="N4428">
        <v>-1.433827E-2</v>
      </c>
      <c r="O4428">
        <v>-1.5590440000000001E-2</v>
      </c>
      <c r="P4428">
        <v>-0.98036999999999996</v>
      </c>
      <c r="Q4428">
        <v>0.19683239999999999</v>
      </c>
      <c r="R4428">
        <v>-1.146339E-2</v>
      </c>
      <c r="S4428">
        <v>-3.0926819999999999</v>
      </c>
      <c r="T4428">
        <v>-0.18962470000000001</v>
      </c>
      <c r="U4428">
        <v>-0.45370480000000002</v>
      </c>
      <c r="V4428">
        <v>3.8320870000000001E-3</v>
      </c>
      <c r="W4428">
        <v>0.21087020000000001</v>
      </c>
      <c r="X4428">
        <v>0.9775066</v>
      </c>
      <c r="Y4428">
        <v>-0.12942680000000001</v>
      </c>
      <c r="Z4428">
        <v>-4.1496220000000004E-3</v>
      </c>
      <c r="AA4428">
        <v>0.99158029999999997</v>
      </c>
      <c r="AB4428">
        <v>31</v>
      </c>
      <c r="AC4428">
        <v>-17.978499999999901</v>
      </c>
      <c r="AD4428">
        <v>-1.1210475189314</v>
      </c>
      <c r="AE4428">
        <v>-2.6775000000000002</v>
      </c>
      <c r="AF4428">
        <v>-2.38777043433742</v>
      </c>
      <c r="AG4428">
        <v>-1.1210475189314</v>
      </c>
      <c r="AH4428">
        <v>17.949785361120199</v>
      </c>
      <c r="AI4428">
        <v>93.542619469328002</v>
      </c>
      <c r="AJ4428">
        <v>97.577285791503698</v>
      </c>
      <c r="AK4428">
        <v>18.142573954571201</v>
      </c>
      <c r="AL4428">
        <v>77.826647436568706</v>
      </c>
      <c r="AM4428">
        <v>89.775386389149602</v>
      </c>
      <c r="AN4428">
        <v>1.0000000395911799</v>
      </c>
    </row>
    <row r="4429" spans="1:40" x14ac:dyDescent="0.25">
      <c r="A4429" t="str">
        <f>"20190303162349025"</f>
        <v>20190303162349025</v>
      </c>
      <c r="B4429" t="str">
        <f>"1551601429019177"</f>
        <v>1551601429019177</v>
      </c>
      <c r="C4429" t="s">
        <v>40</v>
      </c>
      <c r="D4429">
        <v>5.5098260000000003</v>
      </c>
      <c r="E4429">
        <v>0.44850089999999998</v>
      </c>
      <c r="F4429" t="s">
        <v>41</v>
      </c>
      <c r="G4429">
        <v>-370.6191</v>
      </c>
      <c r="H4429" s="1">
        <v>-4.3072500000000001E-6</v>
      </c>
      <c r="I4429">
        <v>137.92160000000001</v>
      </c>
      <c r="J4429">
        <v>-351.99740000000003</v>
      </c>
      <c r="K4429">
        <v>1.121051</v>
      </c>
      <c r="L4429">
        <v>140.7046</v>
      </c>
      <c r="M4429">
        <v>-0.99977590000000005</v>
      </c>
      <c r="N4429">
        <v>-1.4334899999999999E-2</v>
      </c>
      <c r="O4429">
        <v>-1.558501E-2</v>
      </c>
      <c r="P4429">
        <v>-0.98015430000000003</v>
      </c>
      <c r="Q4429">
        <v>0.19785749999999999</v>
      </c>
      <c r="R4429">
        <v>-1.2254030000000001E-2</v>
      </c>
      <c r="S4429">
        <v>-3.0915219999999999</v>
      </c>
      <c r="T4429">
        <v>-0.18313479999999999</v>
      </c>
      <c r="U4429">
        <v>-0.45538329999999999</v>
      </c>
      <c r="V4429">
        <v>3.0341539999999998E-3</v>
      </c>
      <c r="W4429">
        <v>0.2118881</v>
      </c>
      <c r="X4429">
        <v>0.97728919999999997</v>
      </c>
      <c r="Y4429">
        <v>-0.13002759999999999</v>
      </c>
      <c r="Z4429">
        <v>-4.0702769999999997E-3</v>
      </c>
      <c r="AA4429">
        <v>0.99150199999999999</v>
      </c>
      <c r="AB4429">
        <v>31</v>
      </c>
      <c r="AC4429">
        <v>-18.621699999999901</v>
      </c>
      <c r="AD4429">
        <v>-1.12105530725</v>
      </c>
      <c r="AE4429">
        <v>-2.7829999999999799</v>
      </c>
      <c r="AF4429">
        <v>-2.4836082437889102</v>
      </c>
      <c r="AG4429">
        <v>-1.12105530725</v>
      </c>
      <c r="AH4429">
        <v>18.596888528927401</v>
      </c>
      <c r="AI4429">
        <v>93.419436460793094</v>
      </c>
      <c r="AJ4429">
        <v>97.606821442511503</v>
      </c>
      <c r="AK4429">
        <v>18.795460565463099</v>
      </c>
      <c r="AL4429">
        <v>77.766976993798096</v>
      </c>
      <c r="AM4429">
        <v>89.822116462518693</v>
      </c>
      <c r="AN4429">
        <v>0.99999997672437202</v>
      </c>
    </row>
    <row r="4430" spans="1:40" x14ac:dyDescent="0.25">
      <c r="A4430" t="str">
        <f>"20190303162349047"</f>
        <v>20190303162349047</v>
      </c>
      <c r="B4430" t="str">
        <f>"1551601429039673"</f>
        <v>1551601429039673</v>
      </c>
      <c r="C4430" t="s">
        <v>40</v>
      </c>
      <c r="D4430">
        <v>5.4480899999999997</v>
      </c>
      <c r="E4430">
        <v>0.44887050000000001</v>
      </c>
      <c r="F4430" t="s">
        <v>41</v>
      </c>
      <c r="G4430">
        <v>-371.46769999999998</v>
      </c>
      <c r="H4430" s="1">
        <v>-3.95626999999999E-6</v>
      </c>
      <c r="I4430">
        <v>137.84809999999999</v>
      </c>
      <c r="J4430">
        <v>-352.30709999999999</v>
      </c>
      <c r="K4430">
        <v>1.1210500000000001</v>
      </c>
      <c r="L4430">
        <v>140.69980000000001</v>
      </c>
      <c r="M4430">
        <v>-0.99977609999999995</v>
      </c>
      <c r="N4430">
        <v>-1.433159E-2</v>
      </c>
      <c r="O4430">
        <v>-1.5572030000000001E-2</v>
      </c>
      <c r="P4430">
        <v>-0.97999420000000004</v>
      </c>
      <c r="Q4430">
        <v>0.1985586</v>
      </c>
      <c r="R4430">
        <v>-1.3626879999999999E-2</v>
      </c>
      <c r="S4430">
        <v>-3.0910030000000002</v>
      </c>
      <c r="T4430">
        <v>-0.17797299999999999</v>
      </c>
      <c r="U4430">
        <v>-0.45347599999999999</v>
      </c>
      <c r="V4430">
        <v>1.648846E-3</v>
      </c>
      <c r="W4430">
        <v>0.2125843</v>
      </c>
      <c r="X4430">
        <v>0.97714129999999999</v>
      </c>
      <c r="Y4430">
        <v>-0.12947939999999999</v>
      </c>
      <c r="Z4430">
        <v>-3.9695629999999997E-3</v>
      </c>
      <c r="AA4430">
        <v>0.99157419999999996</v>
      </c>
      <c r="AB4430">
        <v>31</v>
      </c>
      <c r="AC4430">
        <v>-19.160599999999899</v>
      </c>
      <c r="AD4430">
        <v>-1.1210539562699999</v>
      </c>
      <c r="AE4430">
        <v>-2.8517000000000201</v>
      </c>
      <c r="AF4430">
        <v>-2.5444326943832798</v>
      </c>
      <c r="AG4430">
        <v>-1.1210539562699999</v>
      </c>
      <c r="AH4430">
        <v>19.138591751843499</v>
      </c>
      <c r="AI4430">
        <v>93.3231292306684</v>
      </c>
      <c r="AJ4430">
        <v>97.572935816551393</v>
      </c>
      <c r="AK4430">
        <v>19.339508627492201</v>
      </c>
      <c r="AL4430">
        <v>77.726157555306997</v>
      </c>
      <c r="AM4430">
        <v>89.903318151426603</v>
      </c>
      <c r="AN4430">
        <v>0.99999996173265504</v>
      </c>
    </row>
    <row r="4431" spans="1:40" x14ac:dyDescent="0.25">
      <c r="A4431" t="str">
        <f>"20190303162349068"</f>
        <v>20190303162349068</v>
      </c>
      <c r="B4431" t="str">
        <f>"1551601429059192"</f>
        <v>1551601429059192</v>
      </c>
      <c r="C4431" t="s">
        <v>40</v>
      </c>
      <c r="D4431">
        <v>5.4188530000000004</v>
      </c>
      <c r="E4431">
        <v>0.44917010000000002</v>
      </c>
      <c r="F4431" t="s">
        <v>41</v>
      </c>
      <c r="G4431">
        <v>-372.17009999999999</v>
      </c>
      <c r="H4431" s="1">
        <v>-3.6675520000000002E-6</v>
      </c>
      <c r="I4431">
        <v>137.77690000000001</v>
      </c>
      <c r="J4431">
        <v>-352.60730000000001</v>
      </c>
      <c r="K4431">
        <v>1.1210439999999999</v>
      </c>
      <c r="L4431">
        <v>140.6951</v>
      </c>
      <c r="M4431">
        <v>-0.99977649999999996</v>
      </c>
      <c r="N4431">
        <v>-1.432834E-2</v>
      </c>
      <c r="O4431">
        <v>-1.555306E-2</v>
      </c>
      <c r="P4431">
        <v>-0.97992939999999995</v>
      </c>
      <c r="Q4431">
        <v>0.19879359999999999</v>
      </c>
      <c r="R4431">
        <v>-1.4815770000000001E-2</v>
      </c>
      <c r="S4431">
        <v>-3.090271</v>
      </c>
      <c r="T4431">
        <v>-0.17441280000000001</v>
      </c>
      <c r="U4431">
        <v>-0.4547272</v>
      </c>
      <c r="V4431">
        <v>4.4376879999999999E-4</v>
      </c>
      <c r="W4431">
        <v>0.2128159</v>
      </c>
      <c r="X4431">
        <v>0.97709219999999997</v>
      </c>
      <c r="Y4431">
        <v>-0.12993260000000001</v>
      </c>
      <c r="Z4431">
        <v>-3.9304320000000002E-3</v>
      </c>
      <c r="AA4431">
        <v>0.99151500000000004</v>
      </c>
      <c r="AB4431">
        <v>31</v>
      </c>
      <c r="AC4431">
        <v>-19.5627999999999</v>
      </c>
      <c r="AD4431">
        <v>-1.121047667552</v>
      </c>
      <c r="AE4431">
        <v>-2.9181999999999801</v>
      </c>
      <c r="AF4431">
        <v>-2.6051854814603801</v>
      </c>
      <c r="AG4431">
        <v>-1.121047667552</v>
      </c>
      <c r="AH4431">
        <v>19.5430449972269</v>
      </c>
      <c r="AI4431">
        <v>93.2543348036655</v>
      </c>
      <c r="AJ4431">
        <v>97.593047958307196</v>
      </c>
      <c r="AK4431">
        <v>19.747768153119701</v>
      </c>
      <c r="AL4431">
        <v>77.712577397665399</v>
      </c>
      <c r="AM4431">
        <v>89.973977811335104</v>
      </c>
      <c r="AN4431">
        <v>0.99999998576219795</v>
      </c>
    </row>
    <row r="4432" spans="1:40" x14ac:dyDescent="0.25">
      <c r="A4432" t="str">
        <f>"20190303162349091"</f>
        <v>20190303162349091</v>
      </c>
      <c r="B4432" t="str">
        <f>"1551601429079689"</f>
        <v>1551601429079689</v>
      </c>
      <c r="C4432" t="s">
        <v>40</v>
      </c>
      <c r="D4432">
        <v>5.5083270000000004</v>
      </c>
      <c r="E4432">
        <v>0.4494301</v>
      </c>
      <c r="F4432" t="s">
        <v>41</v>
      </c>
      <c r="G4432">
        <v>-372.02089999999998</v>
      </c>
      <c r="H4432" s="1">
        <v>-3.722203E-6</v>
      </c>
      <c r="I4432">
        <v>137.8297</v>
      </c>
      <c r="J4432">
        <v>-352.91129999999998</v>
      </c>
      <c r="K4432">
        <v>1.1210370000000001</v>
      </c>
      <c r="L4432">
        <v>140.69040000000001</v>
      </c>
      <c r="M4432">
        <v>-0.99977689999999997</v>
      </c>
      <c r="N4432">
        <v>-1.4325050000000001E-2</v>
      </c>
      <c r="O4432">
        <v>-1.5525260000000001E-2</v>
      </c>
      <c r="P4432">
        <v>-0.98002250000000002</v>
      </c>
      <c r="Q4432">
        <v>0.19827120000000001</v>
      </c>
      <c r="R4432">
        <v>-1.5634559999999999E-2</v>
      </c>
      <c r="S4432">
        <v>-3.0906980000000002</v>
      </c>
      <c r="T4432">
        <v>-0.1784741</v>
      </c>
      <c r="U4432">
        <v>-0.45617679999999999</v>
      </c>
      <c r="V4432">
        <v>-3.9730009999999999E-4</v>
      </c>
      <c r="W4432">
        <v>0.2122916</v>
      </c>
      <c r="X4432">
        <v>0.97720629999999997</v>
      </c>
      <c r="Y4432">
        <v>-0.1303848</v>
      </c>
      <c r="Z4432">
        <v>-4.0116140000000002E-3</v>
      </c>
      <c r="AA4432">
        <v>0.99145539999999999</v>
      </c>
      <c r="AB4432">
        <v>31</v>
      </c>
      <c r="AC4432">
        <v>-19.1096</v>
      </c>
      <c r="AD4432">
        <v>-1.1210407222030001</v>
      </c>
      <c r="AE4432">
        <v>-2.8607</v>
      </c>
      <c r="AF4432">
        <v>-2.55504292334451</v>
      </c>
      <c r="AG4432">
        <v>-1.1210407222030001</v>
      </c>
      <c r="AH4432">
        <v>19.087465559527399</v>
      </c>
      <c r="AI4432">
        <v>93.331573667901296</v>
      </c>
      <c r="AJ4432">
        <v>97.624274627007594</v>
      </c>
      <c r="AK4432">
        <v>19.290316693282001</v>
      </c>
      <c r="AL4432">
        <v>77.743320453901703</v>
      </c>
      <c r="AM4432">
        <v>90.023294587515295</v>
      </c>
      <c r="AN4432">
        <v>1.0000000170187999</v>
      </c>
    </row>
    <row r="4433" spans="1:40" x14ac:dyDescent="0.25">
      <c r="A4433" t="str">
        <f>"20190303162349113"</f>
        <v>20190303162349113</v>
      </c>
      <c r="B4433" t="str">
        <f>"1551601429108969"</f>
        <v>1551601429108969</v>
      </c>
      <c r="C4433" t="s">
        <v>40</v>
      </c>
      <c r="D4433">
        <v>5.4279270000000004</v>
      </c>
      <c r="E4433">
        <v>0.44968659999999999</v>
      </c>
      <c r="F4433" t="s">
        <v>41</v>
      </c>
      <c r="G4433">
        <v>-372.31540000000001</v>
      </c>
      <c r="H4433" s="1">
        <v>-3.5973280000000002E-6</v>
      </c>
      <c r="I4433">
        <v>137.82149999999999</v>
      </c>
      <c r="J4433">
        <v>-353.22449999999998</v>
      </c>
      <c r="K4433">
        <v>1.121022</v>
      </c>
      <c r="L4433">
        <v>140.68559999999999</v>
      </c>
      <c r="M4433">
        <v>-0.99977760000000004</v>
      </c>
      <c r="N4433">
        <v>-1.432162E-2</v>
      </c>
      <c r="O4433">
        <v>-1.548601E-2</v>
      </c>
      <c r="P4433">
        <v>-0.98010719999999996</v>
      </c>
      <c r="Q4433">
        <v>0.19781560000000001</v>
      </c>
      <c r="R4433">
        <v>-1.6079599999999999E-2</v>
      </c>
      <c r="S4433">
        <v>-3.0899960000000002</v>
      </c>
      <c r="T4433">
        <v>-0.17852019999999999</v>
      </c>
      <c r="U4433">
        <v>-0.45684809999999998</v>
      </c>
      <c r="V4433">
        <v>-8.754724E-4</v>
      </c>
      <c r="W4433">
        <v>0.2118341</v>
      </c>
      <c r="X4433">
        <v>0.97730519999999999</v>
      </c>
      <c r="Y4433">
        <v>-0.13066630000000001</v>
      </c>
      <c r="Z4433">
        <v>-4.0244820000000002E-3</v>
      </c>
      <c r="AA4433">
        <v>0.99141820000000003</v>
      </c>
      <c r="AB4433">
        <v>31</v>
      </c>
      <c r="AC4433">
        <v>-19.090900000000001</v>
      </c>
      <c r="AD4433">
        <v>-1.1210255973279999</v>
      </c>
      <c r="AE4433">
        <v>-2.8641000000000001</v>
      </c>
      <c r="AF4433">
        <v>-2.5594533543110498</v>
      </c>
      <c r="AG4433">
        <v>-1.1210255973279999</v>
      </c>
      <c r="AH4433">
        <v>19.068665131982101</v>
      </c>
      <c r="AI4433">
        <v>93.334646923087107</v>
      </c>
      <c r="AJ4433">
        <v>97.644721033394205</v>
      </c>
      <c r="AK4433">
        <v>19.272298507921398</v>
      </c>
      <c r="AL4433">
        <v>77.7701425385129</v>
      </c>
      <c r="AM4433">
        <v>90.051325686369793</v>
      </c>
      <c r="AN4433">
        <v>0.99999995316088497</v>
      </c>
    </row>
    <row r="4434" spans="1:40" x14ac:dyDescent="0.25">
      <c r="A4434" t="str">
        <f>"20190303162349136"</f>
        <v>20190303162349136</v>
      </c>
      <c r="B4434" t="str">
        <f>"1551601429129465"</f>
        <v>1551601429129465</v>
      </c>
      <c r="C4434" t="s">
        <v>40</v>
      </c>
      <c r="D4434">
        <v>5.5018279999999997</v>
      </c>
      <c r="E4434">
        <v>0.44985829999999999</v>
      </c>
      <c r="F4434" t="s">
        <v>41</v>
      </c>
      <c r="G4434">
        <v>-372.4271</v>
      </c>
      <c r="H4434" s="1">
        <v>-3.5438989999999998E-6</v>
      </c>
      <c r="I4434">
        <v>137.85249999999999</v>
      </c>
      <c r="J4434">
        <v>-353.53500000000003</v>
      </c>
      <c r="K4434">
        <v>1.12101299999999</v>
      </c>
      <c r="L4434">
        <v>140.6808</v>
      </c>
      <c r="M4434">
        <v>-0.99977830000000001</v>
      </c>
      <c r="N4434">
        <v>-1.431819E-2</v>
      </c>
      <c r="O4434">
        <v>-1.5436389999999999E-2</v>
      </c>
      <c r="P4434">
        <v>-0.98014889999999999</v>
      </c>
      <c r="Q4434">
        <v>0.1975845</v>
      </c>
      <c r="R4434">
        <v>-1.6394410000000002E-2</v>
      </c>
      <c r="S4434">
        <v>-3.0897830000000002</v>
      </c>
      <c r="T4434">
        <v>-0.18037839999999999</v>
      </c>
      <c r="U4434">
        <v>-0.4558411</v>
      </c>
      <c r="V4434">
        <v>-1.234368E-3</v>
      </c>
      <c r="W4434">
        <v>0.2116006</v>
      </c>
      <c r="X4434">
        <v>0.97735539999999999</v>
      </c>
      <c r="Y4434">
        <v>-0.13040499999999999</v>
      </c>
      <c r="Z4434">
        <v>-4.0469199999999999E-3</v>
      </c>
      <c r="AA4434">
        <v>0.99145260000000002</v>
      </c>
      <c r="AB4434">
        <v>31</v>
      </c>
      <c r="AC4434">
        <v>-18.8920999999999</v>
      </c>
      <c r="AD4434">
        <v>-1.1210165438990001</v>
      </c>
      <c r="AE4434">
        <v>-2.8283000000000098</v>
      </c>
      <c r="AF4434">
        <v>-2.5276026663639</v>
      </c>
      <c r="AG4434">
        <v>-1.1210165438990001</v>
      </c>
      <c r="AH4434">
        <v>18.8685324216457</v>
      </c>
      <c r="AI4434">
        <v>93.370025337651597</v>
      </c>
      <c r="AJ4434">
        <v>97.629841284734894</v>
      </c>
      <c r="AK4434">
        <v>19.0700542494614</v>
      </c>
      <c r="AL4434">
        <v>77.783831474653297</v>
      </c>
      <c r="AM4434">
        <v>90.072362662714397</v>
      </c>
      <c r="AN4434">
        <v>0.99999995774693795</v>
      </c>
    </row>
    <row r="4435" spans="1:40" x14ac:dyDescent="0.25">
      <c r="A4435" t="str">
        <f>"20190303162349159"</f>
        <v>20190303162349159</v>
      </c>
      <c r="B4435" t="str">
        <f>"1551601429148986"</f>
        <v>1551601429148986</v>
      </c>
      <c r="C4435" t="s">
        <v>40</v>
      </c>
      <c r="D4435">
        <v>5.5036860000000001</v>
      </c>
      <c r="E4435">
        <v>0.4499938</v>
      </c>
      <c r="F4435" t="s">
        <v>41</v>
      </c>
      <c r="G4435">
        <v>-372.88850000000002</v>
      </c>
      <c r="H4435" s="1">
        <v>-3.3503459999999999E-6</v>
      </c>
      <c r="I4435">
        <v>137.8278</v>
      </c>
      <c r="J4435">
        <v>-353.85239999999999</v>
      </c>
      <c r="K4435">
        <v>1.1210020000000001</v>
      </c>
      <c r="L4435">
        <v>140.67599999999999</v>
      </c>
      <c r="M4435">
        <v>-0.99977950000000004</v>
      </c>
      <c r="N4435">
        <v>-1.431468E-2</v>
      </c>
      <c r="O4435">
        <v>-1.53746E-2</v>
      </c>
      <c r="P4435">
        <v>-0.98005690000000001</v>
      </c>
      <c r="Q4435">
        <v>0.19801199999999999</v>
      </c>
      <c r="R4435">
        <v>-1.673637E-2</v>
      </c>
      <c r="S4435">
        <v>-3.0892029999999999</v>
      </c>
      <c r="T4435">
        <v>-0.1789365</v>
      </c>
      <c r="U4435">
        <v>-0.45538329999999999</v>
      </c>
      <c r="V4435">
        <v>-1.63454299999999E-3</v>
      </c>
      <c r="W4435">
        <v>0.2120232</v>
      </c>
      <c r="X4435">
        <v>0.97726329999999995</v>
      </c>
      <c r="Y4435">
        <v>-0.13035289999999999</v>
      </c>
      <c r="Z4435">
        <v>-4.0249359999999998E-3</v>
      </c>
      <c r="AA4435">
        <v>0.99145950000000005</v>
      </c>
      <c r="AB4435">
        <v>31</v>
      </c>
      <c r="AC4435">
        <v>-19.036100000000001</v>
      </c>
      <c r="AD4435">
        <v>-1.121005350346</v>
      </c>
      <c r="AE4435">
        <v>-2.8482000000000198</v>
      </c>
      <c r="AF4435">
        <v>-2.54652334245226</v>
      </c>
      <c r="AG4435">
        <v>-1.121005350346</v>
      </c>
      <c r="AH4435">
        <v>19.0131530551913</v>
      </c>
      <c r="AI4435">
        <v>93.344427296619898</v>
      </c>
      <c r="AJ4435">
        <v>97.628501703265201</v>
      </c>
      <c r="AK4435">
        <v>19.215655680441699</v>
      </c>
      <c r="AL4435">
        <v>77.759057074843398</v>
      </c>
      <c r="AM4435">
        <v>90.095831213555201</v>
      </c>
      <c r="AN4435">
        <v>1.0000000332979699</v>
      </c>
    </row>
    <row r="4436" spans="1:40" x14ac:dyDescent="0.25">
      <c r="A4436" t="str">
        <f>"20190303162349181"</f>
        <v>20190303162349181</v>
      </c>
      <c r="B4436" t="str">
        <f>"1551601429169481"</f>
        <v>1551601429169481</v>
      </c>
      <c r="C4436" t="s">
        <v>40</v>
      </c>
      <c r="D4436">
        <v>5.3841890000000001</v>
      </c>
      <c r="E4436">
        <v>0.4501328</v>
      </c>
      <c r="F4436" t="s">
        <v>41</v>
      </c>
      <c r="G4436">
        <v>-373.55180000000001</v>
      </c>
      <c r="H4436" s="1">
        <v>-3.0757390000000001E-6</v>
      </c>
      <c r="I4436">
        <v>137.77170000000001</v>
      </c>
      <c r="J4436">
        <v>-354.14760000000001</v>
      </c>
      <c r="K4436">
        <v>1.121</v>
      </c>
      <c r="L4436">
        <v>140.67150000000001</v>
      </c>
      <c r="M4436">
        <v>-0.99978040000000001</v>
      </c>
      <c r="N4436">
        <v>-1.431145E-2</v>
      </c>
      <c r="O4436">
        <v>-1.5308169999999999E-2</v>
      </c>
      <c r="P4436">
        <v>-0.98003249999999997</v>
      </c>
      <c r="Q4436">
        <v>0.19812450000000001</v>
      </c>
      <c r="R4436">
        <v>-1.6821320000000001E-2</v>
      </c>
      <c r="S4436">
        <v>-3.0887449999999999</v>
      </c>
      <c r="T4436">
        <v>-0.1757667</v>
      </c>
      <c r="U4436">
        <v>-0.45536799999999999</v>
      </c>
      <c r="V4436">
        <v>-1.780822E-3</v>
      </c>
      <c r="W4436">
        <v>0.2121323</v>
      </c>
      <c r="X4436">
        <v>0.97723930000000003</v>
      </c>
      <c r="Y4436">
        <v>-0.13044269999999999</v>
      </c>
      <c r="Z4436">
        <v>-3.9803499999999997E-3</v>
      </c>
      <c r="AA4436">
        <v>0.99144790000000005</v>
      </c>
      <c r="AB4436">
        <v>31</v>
      </c>
      <c r="AC4436">
        <v>-19.404199999999999</v>
      </c>
      <c r="AD4436">
        <v>-1.1210030757389999</v>
      </c>
      <c r="AE4436">
        <v>-2.8997999999999902</v>
      </c>
      <c r="AF4436">
        <v>-2.5939188210025801</v>
      </c>
      <c r="AG4436">
        <v>-1.1210030757389999</v>
      </c>
      <c r="AH4436">
        <v>19.383043131506799</v>
      </c>
      <c r="AI4436">
        <v>93.280786773964806</v>
      </c>
      <c r="AJ4436">
        <v>97.622270796123701</v>
      </c>
      <c r="AK4436">
        <v>19.587940774456701</v>
      </c>
      <c r="AL4436">
        <v>77.7526597759678</v>
      </c>
      <c r="AM4436">
        <v>90.104409914460803</v>
      </c>
      <c r="AN4436">
        <v>0.999999966747387</v>
      </c>
    </row>
    <row r="4437" spans="1:40" x14ac:dyDescent="0.25">
      <c r="A4437" t="str">
        <f>"20190303162349202"</f>
        <v>20190303162349202</v>
      </c>
      <c r="B4437" t="str">
        <f>"1551601429189001"</f>
        <v>1551601429189001</v>
      </c>
      <c r="C4437" t="s">
        <v>40</v>
      </c>
      <c r="D4437">
        <v>5.4004709999999996</v>
      </c>
      <c r="E4437">
        <v>0.45034419999999997</v>
      </c>
      <c r="F4437" t="s">
        <v>41</v>
      </c>
      <c r="G4437">
        <v>-374.03680000000003</v>
      </c>
      <c r="H4437" s="1">
        <v>-2.8726799999999999E-6</v>
      </c>
      <c r="I4437">
        <v>137.74359999999999</v>
      </c>
      <c r="J4437">
        <v>-354.44209999999998</v>
      </c>
      <c r="K4437">
        <v>1.1209910000000001</v>
      </c>
      <c r="L4437">
        <v>140.6671</v>
      </c>
      <c r="M4437">
        <v>-0.99978160000000005</v>
      </c>
      <c r="N4437">
        <v>-1.430821E-2</v>
      </c>
      <c r="O4437">
        <v>-1.523568E-2</v>
      </c>
      <c r="P4437">
        <v>-0.98001059999999995</v>
      </c>
      <c r="Q4437">
        <v>0.19821540000000001</v>
      </c>
      <c r="R4437">
        <v>-1.7019260000000001E-2</v>
      </c>
      <c r="S4437">
        <v>-3.0885009999999999</v>
      </c>
      <c r="T4437">
        <v>-0.1740757</v>
      </c>
      <c r="U4437">
        <v>-0.45465090000000002</v>
      </c>
      <c r="V4437">
        <v>-2.047325E-3</v>
      </c>
      <c r="W4437">
        <v>0.21221989999999999</v>
      </c>
      <c r="X4437">
        <v>0.97721979999999997</v>
      </c>
      <c r="Y4437">
        <v>-0.1303049</v>
      </c>
      <c r="Z4437">
        <v>-3.9513839999999996E-3</v>
      </c>
      <c r="AA4437">
        <v>0.99146610000000002</v>
      </c>
      <c r="AB4437">
        <v>31</v>
      </c>
      <c r="AC4437">
        <v>-19.5947</v>
      </c>
      <c r="AD4437">
        <v>-1.1209938726799999</v>
      </c>
      <c r="AE4437">
        <v>-2.92350000000001</v>
      </c>
      <c r="AF4437">
        <v>-2.61621538370804</v>
      </c>
      <c r="AG4437">
        <v>-1.1209938726799999</v>
      </c>
      <c r="AH4437">
        <v>19.574302062568599</v>
      </c>
      <c r="AI4437">
        <v>93.248844636553002</v>
      </c>
      <c r="AJ4437">
        <v>97.6127854515629</v>
      </c>
      <c r="AK4437">
        <v>19.780154484563901</v>
      </c>
      <c r="AL4437">
        <v>77.747524232184205</v>
      </c>
      <c r="AM4437">
        <v>90.120037385824901</v>
      </c>
      <c r="AN4437">
        <v>1.00000000750385</v>
      </c>
    </row>
    <row r="4438" spans="1:40" x14ac:dyDescent="0.25">
      <c r="A4438" t="str">
        <f>"20190303162349226"</f>
        <v>20190303162349226</v>
      </c>
      <c r="B4438" t="str">
        <f>"1551601429219257"</f>
        <v>1551601429219257</v>
      </c>
      <c r="C4438" t="s">
        <v>40</v>
      </c>
      <c r="D4438">
        <v>5.4539569999999999</v>
      </c>
      <c r="E4438">
        <v>0.45057399999999997</v>
      </c>
      <c r="F4438" t="s">
        <v>41</v>
      </c>
      <c r="G4438">
        <v>-374.72199999999998</v>
      </c>
      <c r="H4438" s="1">
        <v>-2.5885630000000001E-6</v>
      </c>
      <c r="I4438">
        <v>137.68809999999999</v>
      </c>
      <c r="J4438">
        <v>-354.75650000000002</v>
      </c>
      <c r="K4438">
        <v>1.120987</v>
      </c>
      <c r="L4438">
        <v>140.66239999999999</v>
      </c>
      <c r="M4438">
        <v>-0.99978290000000003</v>
      </c>
      <c r="N4438">
        <v>-1.430475E-2</v>
      </c>
      <c r="O4438">
        <v>-1.5152489999999999E-2</v>
      </c>
      <c r="P4438">
        <v>-0.98012350000000004</v>
      </c>
      <c r="Q4438">
        <v>0.19767290000000001</v>
      </c>
      <c r="R4438">
        <v>-1.684691E-2</v>
      </c>
      <c r="S4438">
        <v>-3.087799</v>
      </c>
      <c r="T4438">
        <v>-0.17068150000000001</v>
      </c>
      <c r="U4438">
        <v>-0.45356750000000001</v>
      </c>
      <c r="V4438">
        <v>-1.9515699999999999E-3</v>
      </c>
      <c r="W4438">
        <v>0.21167559999999999</v>
      </c>
      <c r="X4438">
        <v>0.97733800000000004</v>
      </c>
      <c r="Y4438">
        <v>-0.1300878</v>
      </c>
      <c r="Z4438">
        <v>-3.8931619999999999E-3</v>
      </c>
      <c r="AA4438">
        <v>0.99149480000000001</v>
      </c>
      <c r="AB4438">
        <v>31</v>
      </c>
      <c r="AC4438">
        <v>-19.965499999999899</v>
      </c>
      <c r="AD4438">
        <v>-1.1209895885629999</v>
      </c>
      <c r="AE4438">
        <v>-2.9742999999999902</v>
      </c>
      <c r="AF4438">
        <v>-2.6631872909954302</v>
      </c>
      <c r="AG4438">
        <v>-1.1209895885629999</v>
      </c>
      <c r="AH4438">
        <v>19.946764834565901</v>
      </c>
      <c r="AI4438">
        <v>93.188352483720493</v>
      </c>
      <c r="AJ4438">
        <v>97.604855890957595</v>
      </c>
      <c r="AK4438">
        <v>20.154964935967001</v>
      </c>
      <c r="AL4438">
        <v>77.779434813569395</v>
      </c>
      <c r="AM4438">
        <v>90.114409319814797</v>
      </c>
      <c r="AN4438">
        <v>0.99999996725241103</v>
      </c>
    </row>
    <row r="4439" spans="1:40" x14ac:dyDescent="0.25">
      <c r="A4439" t="str">
        <f>"20190303162349247"</f>
        <v>20190303162349247</v>
      </c>
      <c r="B4439" t="str">
        <f>"1551601429239753"</f>
        <v>1551601429239753</v>
      </c>
      <c r="C4439" t="s">
        <v>40</v>
      </c>
      <c r="D4439">
        <v>5.5136750000000001</v>
      </c>
      <c r="E4439">
        <v>0.45078079999999998</v>
      </c>
      <c r="F4439" t="s">
        <v>41</v>
      </c>
      <c r="G4439">
        <v>-375.07260000000002</v>
      </c>
      <c r="H4439" s="1">
        <v>-2.4369450000000001E-6</v>
      </c>
      <c r="I4439">
        <v>137.69489999999999</v>
      </c>
      <c r="J4439">
        <v>-355.05189999999999</v>
      </c>
      <c r="K4439">
        <v>1.1209880000000001</v>
      </c>
      <c r="L4439">
        <v>140.65799999999999</v>
      </c>
      <c r="M4439">
        <v>-0.99978429999999996</v>
      </c>
      <c r="N4439">
        <v>-1.430152E-2</v>
      </c>
      <c r="O4439">
        <v>-1.507147E-2</v>
      </c>
      <c r="P4439">
        <v>-0.98016000000000003</v>
      </c>
      <c r="Q4439">
        <v>0.197522</v>
      </c>
      <c r="R4439">
        <v>-1.6488429999999998E-2</v>
      </c>
      <c r="S4439">
        <v>-3.0874329999999999</v>
      </c>
      <c r="T4439">
        <v>-0.1703566</v>
      </c>
      <c r="U4439">
        <v>-0.45094299999999998</v>
      </c>
      <c r="V4439">
        <v>-1.6706100000000001E-3</v>
      </c>
      <c r="W4439">
        <v>0.21152180000000001</v>
      </c>
      <c r="X4439">
        <v>0.97737189999999996</v>
      </c>
      <c r="Y4439">
        <v>-0.1293618</v>
      </c>
      <c r="Z4439">
        <v>-3.866291E-3</v>
      </c>
      <c r="AA4439">
        <v>0.99158990000000002</v>
      </c>
      <c r="AB4439">
        <v>31</v>
      </c>
      <c r="AC4439">
        <v>-20.020700000000001</v>
      </c>
      <c r="AD4439">
        <v>-1.1209904369449999</v>
      </c>
      <c r="AE4439">
        <v>-2.9630999999999901</v>
      </c>
      <c r="AF4439">
        <v>-2.6528526168142501</v>
      </c>
      <c r="AG4439">
        <v>-1.1209904369449999</v>
      </c>
      <c r="AH4439">
        <v>20.001725981286</v>
      </c>
      <c r="AI4439">
        <v>93.179978482554006</v>
      </c>
      <c r="AJ4439">
        <v>97.555112306334493</v>
      </c>
      <c r="AK4439">
        <v>20.208000613536999</v>
      </c>
      <c r="AL4439">
        <v>77.788452050146702</v>
      </c>
      <c r="AM4439">
        <v>90.097934889465293</v>
      </c>
      <c r="AN4439">
        <v>1.0000000468613099</v>
      </c>
    </row>
    <row r="4440" spans="1:40" x14ac:dyDescent="0.25">
      <c r="A4440" t="str">
        <f>"20190303162349270"</f>
        <v>20190303162349270</v>
      </c>
      <c r="B4440" t="str">
        <f>"1551601429259273"</f>
        <v>1551601429259273</v>
      </c>
      <c r="C4440" t="s">
        <v>40</v>
      </c>
      <c r="D4440">
        <v>5.3366389999999999</v>
      </c>
      <c r="E4440">
        <v>0.45090710000000001</v>
      </c>
      <c r="F4440" t="s">
        <v>41</v>
      </c>
      <c r="G4440">
        <v>-375.23540000000003</v>
      </c>
      <c r="H4440" s="1">
        <v>-2.3609410000000002E-6</v>
      </c>
      <c r="I4440">
        <v>137.72980000000001</v>
      </c>
      <c r="J4440">
        <v>-355.3646</v>
      </c>
      <c r="K4440">
        <v>1.1209899999999999</v>
      </c>
      <c r="L4440">
        <v>140.6534</v>
      </c>
      <c r="M4440">
        <v>-0.99978560000000005</v>
      </c>
      <c r="N4440">
        <v>-1.4298119999999999E-2</v>
      </c>
      <c r="O4440">
        <v>-1.49838E-2</v>
      </c>
      <c r="P4440">
        <v>-0.98005100000000001</v>
      </c>
      <c r="Q4440">
        <v>0.1980731</v>
      </c>
      <c r="R4440">
        <v>-1.6351859999999999E-2</v>
      </c>
      <c r="S4440">
        <v>-3.0877690000000002</v>
      </c>
      <c r="T4440">
        <v>-0.17149510000000001</v>
      </c>
      <c r="U4440">
        <v>-0.44795230000000003</v>
      </c>
      <c r="V4440">
        <v>-1.620547E-3</v>
      </c>
      <c r="W4440">
        <v>0.21206800000000001</v>
      </c>
      <c r="X4440">
        <v>0.97725359999999994</v>
      </c>
      <c r="Y4440">
        <v>-0.12849179999999999</v>
      </c>
      <c r="Z4440">
        <v>-3.8573399999999999E-3</v>
      </c>
      <c r="AA4440">
        <v>0.99170309999999995</v>
      </c>
      <c r="AB4440">
        <v>30</v>
      </c>
      <c r="AC4440">
        <v>-19.870799999999999</v>
      </c>
      <c r="AD4440">
        <v>-1.120992360941</v>
      </c>
      <c r="AE4440">
        <v>-2.9235999999999902</v>
      </c>
      <c r="AF4440">
        <v>-2.61734788651165</v>
      </c>
      <c r="AG4440">
        <v>-1.120992360941</v>
      </c>
      <c r="AH4440">
        <v>19.8505432388359</v>
      </c>
      <c r="AI4440">
        <v>93.204476105056898</v>
      </c>
      <c r="AJ4440">
        <v>97.511275498096595</v>
      </c>
      <c r="AK4440">
        <v>20.053707904255699</v>
      </c>
      <c r="AL4440">
        <v>77.756430463367096</v>
      </c>
      <c r="AM4440">
        <v>90.095011590128095</v>
      </c>
      <c r="AN4440">
        <v>1.0000000307547601</v>
      </c>
    </row>
    <row r="4441" spans="1:40" x14ac:dyDescent="0.25">
      <c r="A4441" t="str">
        <f>"20190303162349294"</f>
        <v>20190303162349294</v>
      </c>
      <c r="B4441" t="str">
        <f>"1551601429289529"</f>
        <v>1551601429289529</v>
      </c>
      <c r="C4441" t="s">
        <v>40</v>
      </c>
      <c r="D4441">
        <v>5.415241</v>
      </c>
      <c r="E4441">
        <v>0.451102</v>
      </c>
      <c r="F4441" t="s">
        <v>41</v>
      </c>
      <c r="G4441">
        <v>-375.90199999999999</v>
      </c>
      <c r="H4441" s="1">
        <v>-2.0826429999999999E-6</v>
      </c>
      <c r="I4441">
        <v>137.6865</v>
      </c>
      <c r="J4441">
        <v>-355.67910000000001</v>
      </c>
      <c r="K4441">
        <v>1.1209899999999999</v>
      </c>
      <c r="L4441">
        <v>140.64869999999999</v>
      </c>
      <c r="M4441">
        <v>-0.99978699999999998</v>
      </c>
      <c r="N4441">
        <v>-1.4294690000000001E-2</v>
      </c>
      <c r="O4441">
        <v>-1.4894579999999999E-2</v>
      </c>
      <c r="P4441">
        <v>-0.9800143</v>
      </c>
      <c r="Q4441">
        <v>0.1982225</v>
      </c>
      <c r="R4441">
        <v>-1.6731449999999998E-2</v>
      </c>
      <c r="S4441">
        <v>-3.0876459999999999</v>
      </c>
      <c r="T4441">
        <v>-0.16853299999999999</v>
      </c>
      <c r="U4441">
        <v>-0.44602969999999997</v>
      </c>
      <c r="V4441">
        <v>-2.0874019999999999E-3</v>
      </c>
      <c r="W4441">
        <v>0.21221380000000001</v>
      </c>
      <c r="X4441">
        <v>0.97722100000000001</v>
      </c>
      <c r="Y4441">
        <v>-0.12798869999999901</v>
      </c>
      <c r="Z4441">
        <v>-3.796631E-3</v>
      </c>
      <c r="AA4441">
        <v>0.99176839999999999</v>
      </c>
      <c r="AB4441">
        <v>30</v>
      </c>
      <c r="AC4441">
        <v>-20.2228999999999</v>
      </c>
      <c r="AD4441">
        <v>-1.120992082643</v>
      </c>
      <c r="AE4441">
        <v>-2.96219999999999</v>
      </c>
      <c r="AF4441">
        <v>-2.6526494357405399</v>
      </c>
      <c r="AG4441">
        <v>-1.120992082643</v>
      </c>
      <c r="AH4441">
        <v>20.204004868380402</v>
      </c>
      <c r="AI4441">
        <v>93.148755356102697</v>
      </c>
      <c r="AJ4441">
        <v>97.479766296568997</v>
      </c>
      <c r="AK4441">
        <v>20.408208765097999</v>
      </c>
      <c r="AL4441">
        <v>77.747881397478906</v>
      </c>
      <c r="AM4441">
        <v>90.122386996234297</v>
      </c>
      <c r="AN4441">
        <v>0.99999996849927397</v>
      </c>
    </row>
    <row r="4442" spans="1:40" x14ac:dyDescent="0.25">
      <c r="A4442" t="str">
        <f>"20190303162349319"</f>
        <v>20190303162349319</v>
      </c>
      <c r="B4442" t="str">
        <f>"1551601429309049"</f>
        <v>1551601429309049</v>
      </c>
      <c r="C4442" t="s">
        <v>40</v>
      </c>
      <c r="D4442">
        <v>5.4065219999999998</v>
      </c>
      <c r="E4442">
        <v>0.45118979999999997</v>
      </c>
      <c r="F4442" t="s">
        <v>41</v>
      </c>
      <c r="G4442">
        <v>-376.30840000000001</v>
      </c>
      <c r="H4442" s="1">
        <v>-1.9109000000000002E-6</v>
      </c>
      <c r="I4442">
        <v>137.67179999999999</v>
      </c>
      <c r="J4442">
        <v>-356.03089999999997</v>
      </c>
      <c r="K4442">
        <v>1.120992</v>
      </c>
      <c r="L4442">
        <v>140.64359999999999</v>
      </c>
      <c r="M4442">
        <v>-0.99978860000000003</v>
      </c>
      <c r="N4442">
        <v>-1.4290860000000001E-2</v>
      </c>
      <c r="O4442">
        <v>-1.479344E-2</v>
      </c>
      <c r="P4442">
        <v>-0.97999289999999994</v>
      </c>
      <c r="Q4442">
        <v>0.1982981</v>
      </c>
      <c r="R4442">
        <v>-1.7097879999999999E-2</v>
      </c>
      <c r="S4442">
        <v>-3.087494</v>
      </c>
      <c r="T4442">
        <v>-0.167773799999999</v>
      </c>
      <c r="U4442">
        <v>-0.44552609999999898</v>
      </c>
      <c r="V4442">
        <v>-2.5519380000000001E-3</v>
      </c>
      <c r="W4442">
        <v>0.21228559999999999</v>
      </c>
      <c r="X4442">
        <v>0.97720430000000003</v>
      </c>
      <c r="Y4442">
        <v>-0.12793930000000001</v>
      </c>
      <c r="Z4442">
        <v>-3.7868210000000001E-3</v>
      </c>
      <c r="AA4442">
        <v>0.99177479999999996</v>
      </c>
      <c r="AB4442">
        <v>30</v>
      </c>
      <c r="AC4442">
        <v>-20.2775</v>
      </c>
      <c r="AD4442">
        <v>-1.1209939109</v>
      </c>
      <c r="AE4442">
        <v>-2.9718</v>
      </c>
      <c r="AF4442">
        <v>-2.6635012125698201</v>
      </c>
      <c r="AG4442">
        <v>-1.1209939109</v>
      </c>
      <c r="AH4442">
        <v>20.258636242338799</v>
      </c>
      <c r="AI4442">
        <v>93.140212743327893</v>
      </c>
      <c r="AJ4442">
        <v>97.489994867255604</v>
      </c>
      <c r="AK4442">
        <v>20.463704661107599</v>
      </c>
      <c r="AL4442">
        <v>77.743671613794305</v>
      </c>
      <c r="AM4442">
        <v>90.149625768731994</v>
      </c>
      <c r="AN4442">
        <v>0.99999996614670195</v>
      </c>
    </row>
    <row r="4443" spans="1:40" x14ac:dyDescent="0.25">
      <c r="A4443" t="str">
        <f>"20190303162349338"</f>
        <v>20190303162349338</v>
      </c>
      <c r="B4443" t="str">
        <f>"1551601429329545"</f>
        <v>1551601429329545</v>
      </c>
      <c r="C4443" t="s">
        <v>40</v>
      </c>
      <c r="D4443">
        <v>5.7003589999999997</v>
      </c>
      <c r="E4443">
        <v>0.45125199999999999</v>
      </c>
      <c r="F4443" t="s">
        <v>41</v>
      </c>
      <c r="G4443">
        <v>-376.36290000000002</v>
      </c>
      <c r="H4443" s="1">
        <v>-1.8810249999999999E-6</v>
      </c>
      <c r="I4443">
        <v>137.70849999999999</v>
      </c>
      <c r="J4443">
        <v>-356.28469999999999</v>
      </c>
      <c r="K4443">
        <v>1.120997</v>
      </c>
      <c r="L4443">
        <v>140.63990000000001</v>
      </c>
      <c r="M4443">
        <v>-0.9997895</v>
      </c>
      <c r="N4443">
        <v>-1.428809E-2</v>
      </c>
      <c r="O4443">
        <v>-1.471973E-2</v>
      </c>
      <c r="P4443">
        <v>-0.97991879999999998</v>
      </c>
      <c r="Q4443">
        <v>0.1986079</v>
      </c>
      <c r="R4443">
        <v>-1.7721919999999999E-2</v>
      </c>
      <c r="S4443">
        <v>-3.0879210000000001</v>
      </c>
      <c r="T4443">
        <v>-0.17025090000000001</v>
      </c>
      <c r="U4443">
        <v>-0.44575500000000001</v>
      </c>
      <c r="V4443">
        <v>-3.2488030000000002E-3</v>
      </c>
      <c r="W4443">
        <v>0.21259169999999999</v>
      </c>
      <c r="X4443">
        <v>0.97713570000000005</v>
      </c>
      <c r="Y4443">
        <v>-0.12805910000000001</v>
      </c>
      <c r="Z4443">
        <v>-3.8325410000000001E-3</v>
      </c>
      <c r="AA4443">
        <v>0.9917591</v>
      </c>
      <c r="AB4443">
        <v>30</v>
      </c>
      <c r="AC4443">
        <v>-20.078199999999999</v>
      </c>
      <c r="AD4443">
        <v>-1.120998881025</v>
      </c>
      <c r="AE4443">
        <v>-2.93140000000002</v>
      </c>
      <c r="AF4443">
        <v>-2.6274870781212298</v>
      </c>
      <c r="AG4443">
        <v>-1.120998881025</v>
      </c>
      <c r="AH4443">
        <v>20.057958905080501</v>
      </c>
      <c r="AI4443">
        <v>93.1717764410716</v>
      </c>
      <c r="AJ4443">
        <v>97.462952095799693</v>
      </c>
      <c r="AK4443">
        <v>20.260356420232299</v>
      </c>
      <c r="AL4443">
        <v>77.725723887449305</v>
      </c>
      <c r="AM4443">
        <v>90.190497608952896</v>
      </c>
      <c r="AN4443">
        <v>0.99999998092215603</v>
      </c>
    </row>
    <row r="4444" spans="1:40" x14ac:dyDescent="0.25">
      <c r="A4444" t="str">
        <f>"20190303162349371"</f>
        <v>20190303162349371</v>
      </c>
      <c r="B4444" t="str">
        <f>"1551601429358827"</f>
        <v>1551601429358827</v>
      </c>
      <c r="C4444" t="s">
        <v>40</v>
      </c>
      <c r="D4444">
        <v>5.629448</v>
      </c>
      <c r="E4444">
        <v>0.48623430000000001</v>
      </c>
      <c r="F4444" t="s">
        <v>41</v>
      </c>
      <c r="G4444">
        <v>-376.81009999999998</v>
      </c>
      <c r="H4444" s="1">
        <v>-1.696509E-6</v>
      </c>
      <c r="I4444">
        <v>137.667</v>
      </c>
      <c r="J4444">
        <v>-356.73099999999999</v>
      </c>
      <c r="K4444">
        <v>1.1209990000000001</v>
      </c>
      <c r="L4444">
        <v>140.6335</v>
      </c>
      <c r="M4444">
        <v>-0.99979169999999995</v>
      </c>
      <c r="N4444">
        <v>-1.4283219999999999E-2</v>
      </c>
      <c r="O4444">
        <v>-1.458985E-2</v>
      </c>
      <c r="P4444">
        <v>-0.97993949999999996</v>
      </c>
      <c r="Q4444">
        <v>0.1984631</v>
      </c>
      <c r="R4444">
        <v>-1.820128E-2</v>
      </c>
      <c r="S4444">
        <v>-3.0875849999999998</v>
      </c>
      <c r="T4444">
        <v>-0.168628799999999</v>
      </c>
      <c r="U4444">
        <v>-0.44718930000000001</v>
      </c>
      <c r="V4444">
        <v>-3.85418E-3</v>
      </c>
      <c r="W4444">
        <v>0.21244260000000001</v>
      </c>
      <c r="X4444">
        <v>0.97716590000000003</v>
      </c>
      <c r="Y4444">
        <v>-0.12865699999999999</v>
      </c>
      <c r="Z4444">
        <v>-3.832383E-3</v>
      </c>
      <c r="AA4444">
        <v>0.99168179999999995</v>
      </c>
      <c r="AB4444">
        <v>30</v>
      </c>
      <c r="AC4444">
        <v>-20.079099999999901</v>
      </c>
      <c r="AD4444">
        <v>-1.121000696509</v>
      </c>
      <c r="AE4444">
        <v>-2.9664999999999901</v>
      </c>
      <c r="AF4444">
        <v>-2.6650739556877001</v>
      </c>
      <c r="AG4444">
        <v>-1.121000696509</v>
      </c>
      <c r="AH4444">
        <v>20.059060986280802</v>
      </c>
      <c r="AI4444">
        <v>93.170841645271295</v>
      </c>
      <c r="AJ4444">
        <v>97.568071528771895</v>
      </c>
      <c r="AK4444">
        <v>20.266356095810401</v>
      </c>
      <c r="AL4444">
        <v>77.734466062033903</v>
      </c>
      <c r="AM4444">
        <v>90.225987319398499</v>
      </c>
      <c r="AN4444">
        <v>0.99999995456052004</v>
      </c>
    </row>
    <row r="4445" spans="1:40" x14ac:dyDescent="0.25">
      <c r="A4445" t="str">
        <f>"20190303162349393"</f>
        <v>20190303162349393</v>
      </c>
      <c r="B4445" t="str">
        <f>"1551601429389082"</f>
        <v>1551601429389082</v>
      </c>
      <c r="C4445" t="s">
        <v>40</v>
      </c>
      <c r="D4445">
        <v>5.5693739999999998</v>
      </c>
      <c r="E4445">
        <v>0.49706299999999998</v>
      </c>
      <c r="F4445" t="s">
        <v>41</v>
      </c>
      <c r="G4445">
        <v>-393.61099999999999</v>
      </c>
      <c r="H4445" s="1">
        <v>-2.9022459999999999E-6</v>
      </c>
      <c r="I4445">
        <v>138.60659999999999</v>
      </c>
      <c r="J4445">
        <v>-357.03989999999999</v>
      </c>
      <c r="K4445">
        <v>1.1209979999999999</v>
      </c>
      <c r="L4445">
        <v>140.62909999999999</v>
      </c>
      <c r="M4445">
        <v>-0.99979289999999998</v>
      </c>
      <c r="N4445">
        <v>-1.42799E-2</v>
      </c>
      <c r="O4445">
        <v>-1.4499339999999999E-2</v>
      </c>
      <c r="P4445">
        <v>-0.98003399999999996</v>
      </c>
      <c r="Q4445">
        <v>0.19802239999999999</v>
      </c>
      <c r="R4445">
        <v>-1.7905009999999999E-2</v>
      </c>
      <c r="S4445">
        <v>-3.0772089999999999</v>
      </c>
      <c r="T4445">
        <v>-9.3534590000000001E-2</v>
      </c>
      <c r="U4445">
        <v>-0.16911319999999999</v>
      </c>
      <c r="V4445">
        <v>-3.6453269999999999E-3</v>
      </c>
      <c r="W4445">
        <v>0.21200040000000001</v>
      </c>
      <c r="X4445">
        <v>0.97726279999999999</v>
      </c>
      <c r="Y4445">
        <v>-4.0363650000000001E-2</v>
      </c>
      <c r="Z4445">
        <v>-6.6803789999999902E-4</v>
      </c>
      <c r="AA4445">
        <v>0.99918479999999998</v>
      </c>
      <c r="AB4445">
        <v>30</v>
      </c>
      <c r="AC4445">
        <v>-36.571100000000001</v>
      </c>
      <c r="AD4445">
        <v>-1.1210009022459999</v>
      </c>
      <c r="AE4445">
        <v>-2.0225</v>
      </c>
      <c r="AF4445">
        <v>-1.4905802057231801</v>
      </c>
      <c r="AG4445">
        <v>-1.1210009022459999</v>
      </c>
      <c r="AH4445">
        <v>36.562334075191998</v>
      </c>
      <c r="AI4445">
        <v>91.7546813900248</v>
      </c>
      <c r="AJ4445">
        <v>92.334552457279798</v>
      </c>
      <c r="AK4445">
        <v>36.609872239581499</v>
      </c>
      <c r="AL4445">
        <v>77.760393630329403</v>
      </c>
      <c r="AM4445">
        <v>90.213720284201699</v>
      </c>
      <c r="AN4445">
        <v>1.00000001913646</v>
      </c>
    </row>
    <row r="4446" spans="1:40" x14ac:dyDescent="0.25">
      <c r="A4446" t="str">
        <f>"20190303162349415"</f>
        <v>20190303162349415</v>
      </c>
      <c r="B4446" t="str">
        <f>"1551601429409577"</f>
        <v>1551601429409577</v>
      </c>
      <c r="C4446" t="s">
        <v>40</v>
      </c>
      <c r="D4446">
        <v>5.4086080000000001</v>
      </c>
      <c r="E4446">
        <v>0.50058069999999999</v>
      </c>
      <c r="F4446" t="s">
        <v>41</v>
      </c>
      <c r="G4446">
        <v>-390.8888</v>
      </c>
      <c r="H4446" s="1">
        <v>-3.9215950000000004E-6</v>
      </c>
      <c r="I4446">
        <v>139.7312</v>
      </c>
      <c r="J4446">
        <v>-357.32859999999999</v>
      </c>
      <c r="K4446">
        <v>1.120989</v>
      </c>
      <c r="L4446">
        <v>140.625</v>
      </c>
      <c r="M4446">
        <v>-0.99979419999999997</v>
      </c>
      <c r="N4446">
        <v>-1.4276769999999999E-2</v>
      </c>
      <c r="O4446">
        <v>-1.441421E-2</v>
      </c>
      <c r="P4446">
        <v>-0.98012109999999997</v>
      </c>
      <c r="Q4446">
        <v>0.1976946</v>
      </c>
      <c r="R4446">
        <v>-1.673028E-2</v>
      </c>
      <c r="S4446">
        <v>-3.0802309999999999</v>
      </c>
      <c r="T4446">
        <v>-0.10201060000000001</v>
      </c>
      <c r="U4446">
        <v>-8.169556E-2</v>
      </c>
      <c r="V4446">
        <v>-2.5522869999999999E-3</v>
      </c>
      <c r="W4446">
        <v>0.21167</v>
      </c>
      <c r="X4446">
        <v>0.97733780000000003</v>
      </c>
      <c r="Y4446">
        <v>-1.209293E-2</v>
      </c>
      <c r="Z4446" s="1">
        <v>-1.5161260000000001E-5</v>
      </c>
      <c r="AA4446">
        <v>0.99992689999999995</v>
      </c>
      <c r="AB4446">
        <v>30</v>
      </c>
      <c r="AC4446">
        <v>-33.560200000000002</v>
      </c>
      <c r="AD4446">
        <v>-1.1209929215950001</v>
      </c>
      <c r="AE4446">
        <v>-0.89379999999999804</v>
      </c>
      <c r="AF4446">
        <v>-0.409457537797698</v>
      </c>
      <c r="AG4446">
        <v>-1.1209929215950001</v>
      </c>
      <c r="AH4446">
        <v>33.532211285010803</v>
      </c>
      <c r="AI4446">
        <v>91.914561178211898</v>
      </c>
      <c r="AJ4446">
        <v>90.699596656390398</v>
      </c>
      <c r="AK4446">
        <v>33.553442062896202</v>
      </c>
      <c r="AL4446">
        <v>77.779762760685799</v>
      </c>
      <c r="AM4446">
        <v>90.149625790363601</v>
      </c>
      <c r="AN4446">
        <v>0.99999993918888297</v>
      </c>
    </row>
    <row r="4447" spans="1:40" x14ac:dyDescent="0.25">
      <c r="A4447" t="str">
        <f>"20190303162349437"</f>
        <v>20190303162349437</v>
      </c>
      <c r="B4447" t="str">
        <f>"1551601429429098"</f>
        <v>1551601429429098</v>
      </c>
      <c r="C4447" t="s">
        <v>40</v>
      </c>
      <c r="D4447">
        <v>5.3901029999999999</v>
      </c>
      <c r="E4447">
        <v>0.50211830000000002</v>
      </c>
      <c r="F4447" t="s">
        <v>41</v>
      </c>
      <c r="G4447">
        <v>-390.81670000000003</v>
      </c>
      <c r="H4447" s="1">
        <v>-4.044893E-6</v>
      </c>
      <c r="I4447">
        <v>140.07839999999999</v>
      </c>
      <c r="J4447">
        <v>-357.63249999999999</v>
      </c>
      <c r="K4447">
        <v>1.120989</v>
      </c>
      <c r="L4447">
        <v>140.6207</v>
      </c>
      <c r="M4447">
        <v>-0.99979549999999995</v>
      </c>
      <c r="N4447">
        <v>-1.427349E-2</v>
      </c>
      <c r="O4447">
        <v>-1.432431E-2</v>
      </c>
      <c r="P4447">
        <v>-0.98024020000000001</v>
      </c>
      <c r="Q4447">
        <v>0.19716990000000001</v>
      </c>
      <c r="R4447">
        <v>-1.5906799999999999E-2</v>
      </c>
      <c r="S4447">
        <v>-3.0808110000000002</v>
      </c>
      <c r="T4447">
        <v>-0.10312830000000001</v>
      </c>
      <c r="U4447">
        <v>-5.0277710000000003E-2</v>
      </c>
      <c r="V4447">
        <v>-1.8161690000000001E-3</v>
      </c>
      <c r="W4447">
        <v>0.21114340000000001</v>
      </c>
      <c r="X4447">
        <v>0.97745340000000003</v>
      </c>
      <c r="Y4447">
        <v>-1.9929739999999998E-3</v>
      </c>
      <c r="Z4447">
        <v>2.2729630000000001E-4</v>
      </c>
      <c r="AA4447">
        <v>0.99999800000000005</v>
      </c>
      <c r="AB4447">
        <v>30</v>
      </c>
      <c r="AC4447">
        <v>-33.184199999999997</v>
      </c>
      <c r="AD4447">
        <v>-1.1209930448929999</v>
      </c>
      <c r="AE4447">
        <v>-0.542300000000011</v>
      </c>
      <c r="AF4447">
        <v>-6.6778959176263697E-2</v>
      </c>
      <c r="AG4447">
        <v>-1.1209930448929999</v>
      </c>
      <c r="AH4447">
        <v>33.150743626711602</v>
      </c>
      <c r="AI4447">
        <v>91.936716020334799</v>
      </c>
      <c r="AJ4447">
        <v>90.115416637071306</v>
      </c>
      <c r="AK4447">
        <v>33.169758634033698</v>
      </c>
      <c r="AL4447">
        <v>77.810633078639498</v>
      </c>
      <c r="AM4447">
        <v>90.106458987029001</v>
      </c>
      <c r="AN4447">
        <v>0.99999999150247798</v>
      </c>
    </row>
    <row r="4448" spans="1:40" x14ac:dyDescent="0.25">
      <c r="A4448" t="str">
        <f>"20190303162349460"</f>
        <v>20190303162349460</v>
      </c>
      <c r="B4448" t="str">
        <f>"1551601429449593"</f>
        <v>1551601429449593</v>
      </c>
      <c r="C4448" t="s">
        <v>40</v>
      </c>
      <c r="D4448">
        <v>5.6178809999999997</v>
      </c>
      <c r="E4448">
        <v>0.50354869999999996</v>
      </c>
      <c r="F4448" t="s">
        <v>41</v>
      </c>
      <c r="G4448">
        <v>-390.95330000000001</v>
      </c>
      <c r="H4448" s="1">
        <v>-4.0291869999999997E-6</v>
      </c>
      <c r="I4448">
        <v>140.23949999999999</v>
      </c>
      <c r="J4448">
        <v>-357.92950000000002</v>
      </c>
      <c r="K4448">
        <v>1.120981</v>
      </c>
      <c r="L4448">
        <v>140.6165</v>
      </c>
      <c r="M4448">
        <v>-0.99979680000000004</v>
      </c>
      <c r="N4448">
        <v>-1.42703E-2</v>
      </c>
      <c r="O4448">
        <v>-1.423667E-2</v>
      </c>
      <c r="P4448">
        <v>-0.980406</v>
      </c>
      <c r="Q4448">
        <v>0.19644339999999999</v>
      </c>
      <c r="R4448">
        <v>-1.4636039999999999E-2</v>
      </c>
      <c r="S4448">
        <v>-3.0807190000000002</v>
      </c>
      <c r="T4448">
        <v>-0.1036432</v>
      </c>
      <c r="U4448">
        <v>-3.523254E-2</v>
      </c>
      <c r="V4448">
        <v>-6.2914730000000003E-4</v>
      </c>
      <c r="W4448">
        <v>0.2104162</v>
      </c>
      <c r="X4448">
        <v>0.97761169999999997</v>
      </c>
      <c r="Y4448">
        <v>2.7977089999999998E-3</v>
      </c>
      <c r="Z4448">
        <v>3.4266130000000001E-4</v>
      </c>
      <c r="AA4448">
        <v>0.999996</v>
      </c>
      <c r="AB4448">
        <v>30</v>
      </c>
      <c r="AC4448">
        <v>-33.023799999999902</v>
      </c>
      <c r="AD4448">
        <v>-1.120985029187</v>
      </c>
      <c r="AE4448">
        <v>-0.37700000000000899</v>
      </c>
      <c r="AF4448">
        <v>9.3127752319466101E-2</v>
      </c>
      <c r="AG4448">
        <v>-1.120985029187</v>
      </c>
      <c r="AH4448">
        <v>32.987815088729299</v>
      </c>
      <c r="AI4448">
        <v>91.946256512902593</v>
      </c>
      <c r="AJ4448">
        <v>89.838248972419606</v>
      </c>
      <c r="AK4448">
        <v>33.006987510860696</v>
      </c>
      <c r="AL4448">
        <v>77.853256319973696</v>
      </c>
      <c r="AM4448">
        <v>90.036873003878199</v>
      </c>
      <c r="AN4448">
        <v>1.0000000045128199</v>
      </c>
    </row>
    <row r="4449" spans="1:40" x14ac:dyDescent="0.25">
      <c r="A4449" t="str">
        <f>"20190303162349484"</f>
        <v>20190303162349484</v>
      </c>
      <c r="B4449" t="str">
        <f>"1551601429478874"</f>
        <v>1551601429478874</v>
      </c>
      <c r="C4449" t="s">
        <v>40</v>
      </c>
      <c r="D4449">
        <v>5.341628</v>
      </c>
      <c r="E4449">
        <v>0.50488559999999905</v>
      </c>
      <c r="F4449" t="s">
        <v>41</v>
      </c>
      <c r="G4449">
        <v>-389.35379999999998</v>
      </c>
      <c r="H4449" s="1">
        <v>-4.7195539999999999E-7</v>
      </c>
      <c r="I4449">
        <v>140.4145</v>
      </c>
      <c r="J4449">
        <v>-358.26319999999998</v>
      </c>
      <c r="K4449">
        <v>1.120984</v>
      </c>
      <c r="L4449">
        <v>140.61189999999999</v>
      </c>
      <c r="M4449">
        <v>-0.99979830000000003</v>
      </c>
      <c r="N4449">
        <v>-1.42667E-2</v>
      </c>
      <c r="O4449">
        <v>-1.413819E-2</v>
      </c>
      <c r="P4449">
        <v>-0.98051580000000005</v>
      </c>
      <c r="Q4449">
        <v>0.19598589999999999</v>
      </c>
      <c r="R4449">
        <v>-1.335185E-2</v>
      </c>
      <c r="S4449">
        <v>-3.081696</v>
      </c>
      <c r="T4449">
        <v>-0.1099319</v>
      </c>
      <c r="U4449">
        <v>-1.9805909999999999E-2</v>
      </c>
      <c r="V4449">
        <v>5.5993449999999995E-4</v>
      </c>
      <c r="W4449">
        <v>0.20995610000000001</v>
      </c>
      <c r="X4449">
        <v>0.97771070000000004</v>
      </c>
      <c r="Y4449">
        <v>7.7030629999999996E-3</v>
      </c>
      <c r="Z4449">
        <v>4.9480439999999997E-4</v>
      </c>
      <c r="AA4449">
        <v>0.99997020000000003</v>
      </c>
      <c r="AB4449">
        <v>30</v>
      </c>
      <c r="AC4449">
        <v>-31.090599999999899</v>
      </c>
      <c r="AD4449">
        <v>-1.1209844719553901</v>
      </c>
      <c r="AE4449">
        <v>-0.197399999999987</v>
      </c>
      <c r="AF4449">
        <v>0.24191479530778301</v>
      </c>
      <c r="AG4449">
        <v>-1.1209844719553901</v>
      </c>
      <c r="AH4449">
        <v>31.0499200005227</v>
      </c>
      <c r="AI4449">
        <v>92.067568913984601</v>
      </c>
      <c r="AJ4449">
        <v>89.553608630071295</v>
      </c>
      <c r="AK4449">
        <v>31.071090437791401</v>
      </c>
      <c r="AL4449">
        <v>77.880220949900604</v>
      </c>
      <c r="AM4449">
        <v>89.967186735149397</v>
      </c>
      <c r="AN4449">
        <v>1.00000004517417</v>
      </c>
    </row>
    <row r="4450" spans="1:40" x14ac:dyDescent="0.25">
      <c r="A4450" t="str">
        <f>"20190303162349505"</f>
        <v>20190303162349505</v>
      </c>
      <c r="B4450" t="str">
        <f>"1551601429489609"</f>
        <v>1551601429489609</v>
      </c>
      <c r="C4450" t="s">
        <v>40</v>
      </c>
      <c r="D4450">
        <v>5.3854879999999996</v>
      </c>
      <c r="E4450">
        <v>0.50522389999999995</v>
      </c>
      <c r="F4450" t="s">
        <v>41</v>
      </c>
      <c r="G4450">
        <v>-387.77620000000002</v>
      </c>
      <c r="H4450" s="1">
        <v>-1.1872269999999999E-6</v>
      </c>
      <c r="I4450">
        <v>140.5592</v>
      </c>
      <c r="J4450">
        <v>-358.52929999999998</v>
      </c>
      <c r="K4450">
        <v>1.1209819999999999</v>
      </c>
      <c r="L4450">
        <v>140.60820000000001</v>
      </c>
      <c r="M4450">
        <v>-0.9997994</v>
      </c>
      <c r="N4450">
        <v>-1.426381E-2</v>
      </c>
      <c r="O4450">
        <v>-1.405985E-2</v>
      </c>
      <c r="P4450">
        <v>-0.98051670000000002</v>
      </c>
      <c r="Q4450">
        <v>0.19604189999999999</v>
      </c>
      <c r="R4450">
        <v>-1.244083E-2</v>
      </c>
      <c r="S4450">
        <v>-3.0829469999999999</v>
      </c>
      <c r="T4450">
        <v>-0.1170988</v>
      </c>
      <c r="U4450">
        <v>-5.493164E-3</v>
      </c>
      <c r="V4450">
        <v>1.394197E-3</v>
      </c>
      <c r="W4450">
        <v>0.2100088</v>
      </c>
      <c r="X4450">
        <v>0.97769850000000003</v>
      </c>
      <c r="Y4450">
        <v>1.226353E-2</v>
      </c>
      <c r="Z4450">
        <v>6.5363409999999998E-4</v>
      </c>
      <c r="AA4450">
        <v>0.99992460000000005</v>
      </c>
      <c r="AB4450">
        <v>30</v>
      </c>
      <c r="AC4450">
        <v>-29.2469</v>
      </c>
      <c r="AD4450">
        <v>-1.120983187227</v>
      </c>
      <c r="AE4450">
        <v>-4.9000000000006497E-2</v>
      </c>
      <c r="AF4450">
        <v>0.36172232493758799</v>
      </c>
      <c r="AG4450">
        <v>-1.120983187227</v>
      </c>
      <c r="AH4450">
        <v>29.201798543553998</v>
      </c>
      <c r="AI4450">
        <v>92.1981921799227</v>
      </c>
      <c r="AJ4450">
        <v>89.290314168979904</v>
      </c>
      <c r="AK4450">
        <v>29.225545068051598</v>
      </c>
      <c r="AL4450">
        <v>77.877132032499006</v>
      </c>
      <c r="AM4450">
        <v>89.918296335972499</v>
      </c>
      <c r="AN4450">
        <v>0.99999999838248199</v>
      </c>
    </row>
    <row r="4451" spans="1:40" x14ac:dyDescent="0.25">
      <c r="A4451" t="str">
        <f>"20190303162349573"</f>
        <v>20190303162349573</v>
      </c>
      <c r="B4451" t="str">
        <f>"1551601429559516"</f>
        <v>1551601429559516</v>
      </c>
      <c r="C4451" t="s">
        <v>40</v>
      </c>
      <c r="D4451">
        <v>5.5543440000000004</v>
      </c>
      <c r="E4451">
        <v>0.50558999999999998</v>
      </c>
      <c r="F4451" t="s">
        <v>41</v>
      </c>
      <c r="G4451">
        <v>-386.84859999999998</v>
      </c>
      <c r="H4451" s="1">
        <v>-1.5969739999999901E-6</v>
      </c>
      <c r="I4451">
        <v>140.6036</v>
      </c>
      <c r="J4451">
        <v>-359.43680000000001</v>
      </c>
      <c r="K4451">
        <v>1.1209789999999999</v>
      </c>
      <c r="L4451">
        <v>140.5958</v>
      </c>
      <c r="M4451">
        <v>-0.9998032</v>
      </c>
      <c r="N4451">
        <v>-1.425388E-2</v>
      </c>
      <c r="O4451">
        <v>-1.379266E-2</v>
      </c>
      <c r="P4451">
        <v>-0.98084740000000004</v>
      </c>
      <c r="Q4451">
        <v>0.19430520000000001</v>
      </c>
      <c r="R4451">
        <v>-1.357013E-2</v>
      </c>
      <c r="S4451">
        <v>-3.084015</v>
      </c>
      <c r="T4451">
        <v>-0.12207709999999999</v>
      </c>
      <c r="U4451">
        <v>-4.8828130000000002E-4</v>
      </c>
      <c r="V4451" s="1">
        <v>6.9088709999999999E-6</v>
      </c>
      <c r="W4451">
        <v>0.2082676</v>
      </c>
      <c r="X4451">
        <v>0.97807189999999999</v>
      </c>
      <c r="Y4451">
        <v>1.361682E-2</v>
      </c>
      <c r="Z4451">
        <v>7.1567530000000003E-4</v>
      </c>
      <c r="AA4451">
        <v>0.99990699999999999</v>
      </c>
      <c r="AB4451">
        <v>30</v>
      </c>
      <c r="AC4451">
        <v>-27.4117999999999</v>
      </c>
      <c r="AD4451">
        <v>-1.1209805969740001</v>
      </c>
      <c r="AE4451">
        <v>7.80000000000313E-3</v>
      </c>
      <c r="AF4451">
        <v>0.38527503202670899</v>
      </c>
      <c r="AG4451">
        <v>-1.1209805969740001</v>
      </c>
      <c r="AH4451">
        <v>27.3633239670874</v>
      </c>
      <c r="AI4451">
        <v>92.345665624292295</v>
      </c>
      <c r="AJ4451">
        <v>89.193329920283503</v>
      </c>
      <c r="AK4451">
        <v>27.3889856124114</v>
      </c>
      <c r="AL4451">
        <v>77.979151740197196</v>
      </c>
      <c r="AM4451">
        <v>89.999595276022603</v>
      </c>
      <c r="AN4451">
        <v>1.0000000174135499</v>
      </c>
    </row>
    <row r="4452" spans="1:40" x14ac:dyDescent="0.25">
      <c r="A4452" t="str">
        <f>"20190303162349594"</f>
        <v>20190303162349594</v>
      </c>
      <c r="B4452" t="str">
        <f>"1551601429579037"</f>
        <v>1551601429579037</v>
      </c>
      <c r="C4452" t="s">
        <v>40</v>
      </c>
      <c r="D4452">
        <v>5.4636360000000002</v>
      </c>
      <c r="E4452">
        <v>0.53321490000000005</v>
      </c>
      <c r="F4452" t="s">
        <v>41</v>
      </c>
      <c r="G4452">
        <v>-386.33519999999999</v>
      </c>
      <c r="H4452" s="1">
        <v>-1.812337E-6</v>
      </c>
      <c r="I4452">
        <v>140.58529999999999</v>
      </c>
      <c r="J4452">
        <v>-359.72820000000002</v>
      </c>
      <c r="K4452">
        <v>1.120978</v>
      </c>
      <c r="L4452">
        <v>140.59190000000001</v>
      </c>
      <c r="M4452">
        <v>-0.99980460000000004</v>
      </c>
      <c r="N4452">
        <v>-1.425093E-2</v>
      </c>
      <c r="O4452">
        <v>-1.3706930000000001E-2</v>
      </c>
      <c r="P4452">
        <v>-0.98101850000000002</v>
      </c>
      <c r="Q4452">
        <v>0.193471</v>
      </c>
      <c r="R4452">
        <v>-1.312608E-2</v>
      </c>
      <c r="S4452">
        <v>-3.084015</v>
      </c>
      <c r="T4452">
        <v>-0.12852539999999901</v>
      </c>
      <c r="U4452">
        <v>-1.205444E-3</v>
      </c>
      <c r="V4452">
        <v>3.6879339999999999E-4</v>
      </c>
      <c r="W4452">
        <v>0.2074327</v>
      </c>
      <c r="X4452">
        <v>0.97824920000000004</v>
      </c>
      <c r="Y4452">
        <v>1.3296850000000001E-2</v>
      </c>
      <c r="Z4452">
        <v>7.4743229999999904E-4</v>
      </c>
      <c r="AA4452">
        <v>0.99991129999999995</v>
      </c>
      <c r="AB4452">
        <v>30</v>
      </c>
      <c r="AC4452">
        <v>-26.6069999999999</v>
      </c>
      <c r="AD4452">
        <v>-1.1209798123370001</v>
      </c>
      <c r="AE4452">
        <v>-6.6000000000201401E-3</v>
      </c>
      <c r="AF4452">
        <v>0.35750333156644498</v>
      </c>
      <c r="AG4452">
        <v>-1.1209798123370001</v>
      </c>
      <c r="AH4452">
        <v>26.5574503313516</v>
      </c>
      <c r="AI4452">
        <v>92.416779480103102</v>
      </c>
      <c r="AJ4452">
        <v>89.228758986386396</v>
      </c>
      <c r="AK4452">
        <v>26.5835018850781</v>
      </c>
      <c r="AL4452">
        <v>78.028055558963899</v>
      </c>
      <c r="AM4452">
        <v>89.978399875684801</v>
      </c>
      <c r="AN4452">
        <v>0.99999997916924999</v>
      </c>
    </row>
    <row r="4453" spans="1:40" x14ac:dyDescent="0.25">
      <c r="A4453" t="str">
        <f>"20190303162349617"</f>
        <v>20190303162349617</v>
      </c>
      <c r="B4453" t="str">
        <f>"1551601429609292"</f>
        <v>1551601429609292</v>
      </c>
      <c r="C4453" t="s">
        <v>40</v>
      </c>
      <c r="D4453">
        <v>5.4279849999999996</v>
      </c>
      <c r="E4453">
        <v>0.53749910000000001</v>
      </c>
      <c r="F4453" t="s">
        <v>41</v>
      </c>
      <c r="G4453">
        <v>-374.97550000000001</v>
      </c>
      <c r="H4453" s="1">
        <v>-2.6846009999999999E-6</v>
      </c>
      <c r="I4453">
        <v>141.6712</v>
      </c>
      <c r="J4453">
        <v>-360.03030000000001</v>
      </c>
      <c r="K4453">
        <v>1.1209709999999999</v>
      </c>
      <c r="L4453">
        <v>140.58789999999999</v>
      </c>
      <c r="M4453">
        <v>-0.99980590000000003</v>
      </c>
      <c r="N4453">
        <v>-1.4247869999999999E-2</v>
      </c>
      <c r="O4453">
        <v>-1.361799E-2</v>
      </c>
      <c r="P4453">
        <v>-0.98121259999999999</v>
      </c>
      <c r="Q4453">
        <v>0.19250419999999999</v>
      </c>
      <c r="R4453">
        <v>-1.280385E-2</v>
      </c>
      <c r="S4453">
        <v>-3.1060180000000002</v>
      </c>
      <c r="T4453">
        <v>-0.22835530000000001</v>
      </c>
      <c r="U4453">
        <v>0.2198792</v>
      </c>
      <c r="V4453">
        <v>6.0589499999999996E-4</v>
      </c>
      <c r="W4453">
        <v>0.2064656</v>
      </c>
      <c r="X4453">
        <v>0.97845360000000003</v>
      </c>
      <c r="Y4453">
        <v>8.3900329999999995E-2</v>
      </c>
      <c r="Z4453">
        <v>4.4807689999999999E-3</v>
      </c>
      <c r="AA4453">
        <v>0.99646409999999996</v>
      </c>
      <c r="AB4453">
        <v>30</v>
      </c>
      <c r="AC4453">
        <v>-14.9452</v>
      </c>
      <c r="AD4453">
        <v>-1.1209736846010001</v>
      </c>
      <c r="AE4453">
        <v>1.0832999999999999</v>
      </c>
      <c r="AF4453">
        <v>1.2795826395072201</v>
      </c>
      <c r="AG4453">
        <v>-1.1209736846010001</v>
      </c>
      <c r="AH4453">
        <v>14.8459754481357</v>
      </c>
      <c r="AI4453">
        <v>94.302143282289094</v>
      </c>
      <c r="AJ4453">
        <v>85.073820306350498</v>
      </c>
      <c r="AK4453">
        <v>14.943122188469999</v>
      </c>
      <c r="AL4453">
        <v>78.084691798601597</v>
      </c>
      <c r="AM4453">
        <v>89.964520318704004</v>
      </c>
      <c r="AN4453">
        <v>0.999999929222533</v>
      </c>
    </row>
    <row r="4454" spans="1:40" x14ac:dyDescent="0.25">
      <c r="A4454" t="str">
        <f>"20190303162349639"</f>
        <v>20190303162349639</v>
      </c>
      <c r="B4454" t="str">
        <f>"1551601429629321"</f>
        <v>1551601429629321</v>
      </c>
      <c r="C4454" t="s">
        <v>40</v>
      </c>
      <c r="D4454">
        <v>5.3778040000000003</v>
      </c>
      <c r="E4454">
        <v>0.53800479999999995</v>
      </c>
      <c r="F4454" t="s">
        <v>41</v>
      </c>
      <c r="G4454">
        <v>-375.14789999999999</v>
      </c>
      <c r="H4454" s="1">
        <v>-2.6535140000000001E-6</v>
      </c>
      <c r="I4454">
        <v>141.83240000000001</v>
      </c>
      <c r="J4454">
        <v>-360.32279999999997</v>
      </c>
      <c r="K4454">
        <v>1.1209639999999901</v>
      </c>
      <c r="L4454">
        <v>140.584</v>
      </c>
      <c r="M4454">
        <v>-0.99980709999999995</v>
      </c>
      <c r="N4454">
        <v>-1.424487E-2</v>
      </c>
      <c r="O4454">
        <v>-1.3531670000000001E-2</v>
      </c>
      <c r="P4454">
        <v>-0.98130729999999999</v>
      </c>
      <c r="Q4454">
        <v>0.1920673</v>
      </c>
      <c r="R4454">
        <v>-1.2112110000000001E-2</v>
      </c>
      <c r="S4454">
        <v>-3.1059570000000001</v>
      </c>
      <c r="T4454">
        <v>-0.2303076</v>
      </c>
      <c r="U4454">
        <v>0.25570680000000001</v>
      </c>
      <c r="V4454">
        <v>1.214187E-3</v>
      </c>
      <c r="W4454">
        <v>0.2060275</v>
      </c>
      <c r="X4454">
        <v>0.97854540000000001</v>
      </c>
      <c r="Y4454">
        <v>9.5196130000000004E-2</v>
      </c>
      <c r="Z4454">
        <v>5.00718E-3</v>
      </c>
      <c r="AA4454">
        <v>0.99544600000000005</v>
      </c>
      <c r="AB4454">
        <v>30</v>
      </c>
      <c r="AC4454">
        <v>-14.825100000000001</v>
      </c>
      <c r="AD4454">
        <v>-1.1209666535139999</v>
      </c>
      <c r="AE4454">
        <v>1.2484</v>
      </c>
      <c r="AF4454">
        <v>1.44073526725635</v>
      </c>
      <c r="AG4454">
        <v>-1.1209666535139999</v>
      </c>
      <c r="AH4454">
        <v>14.7232632876257</v>
      </c>
      <c r="AI4454">
        <v>94.333239770857702</v>
      </c>
      <c r="AJ4454">
        <v>84.411152390507397</v>
      </c>
      <c r="AK4454">
        <v>14.835995625011201</v>
      </c>
      <c r="AL4454">
        <v>78.110344895823701</v>
      </c>
      <c r="AM4454">
        <v>89.928906972596806</v>
      </c>
      <c r="AN4454">
        <v>0.99999995243373896</v>
      </c>
    </row>
    <row r="4455" spans="1:40" x14ac:dyDescent="0.25">
      <c r="A4455" t="str">
        <f>"20190303162349673"</f>
        <v>20190303162349673</v>
      </c>
      <c r="B4455" t="str">
        <f>"1551601429659576"</f>
        <v>1551601429659576</v>
      </c>
      <c r="C4455" t="s">
        <v>40</v>
      </c>
      <c r="D4455">
        <v>5.387886</v>
      </c>
      <c r="E4455">
        <v>0.53881080000000003</v>
      </c>
      <c r="F4455" t="s">
        <v>41</v>
      </c>
      <c r="G4455">
        <v>-375.36169999999998</v>
      </c>
      <c r="H4455" s="1">
        <v>-2.566771E-6</v>
      </c>
      <c r="I4455">
        <v>141.851</v>
      </c>
      <c r="J4455">
        <v>-360.76909999999998</v>
      </c>
      <c r="K4455">
        <v>1.1209659999999999</v>
      </c>
      <c r="L4455">
        <v>140.57810000000001</v>
      </c>
      <c r="M4455">
        <v>-0.9998089</v>
      </c>
      <c r="N4455">
        <v>-1.4240269999999999E-2</v>
      </c>
      <c r="O4455">
        <v>-1.340016E-2</v>
      </c>
      <c r="P4455">
        <v>-0.98146350000000004</v>
      </c>
      <c r="Q4455">
        <v>0.19134010000000001</v>
      </c>
      <c r="R4455">
        <v>-1.088216E-2</v>
      </c>
      <c r="S4455">
        <v>-3.1056819999999998</v>
      </c>
      <c r="T4455">
        <v>-0.23149259999999999</v>
      </c>
      <c r="U4455">
        <v>0.26167299999999999</v>
      </c>
      <c r="V4455">
        <v>2.3165379999999999E-3</v>
      </c>
      <c r="W4455">
        <v>0.20529720000000001</v>
      </c>
      <c r="X4455">
        <v>0.97869689999999998</v>
      </c>
      <c r="Y4455">
        <v>9.6962569999999998E-2</v>
      </c>
      <c r="Z4455">
        <v>5.1006760000000002E-3</v>
      </c>
      <c r="AA4455">
        <v>0.99527500000000002</v>
      </c>
      <c r="AB4455">
        <v>30</v>
      </c>
      <c r="AC4455">
        <v>-14.592599999999999</v>
      </c>
      <c r="AD4455">
        <v>-1.1209685667710001</v>
      </c>
      <c r="AE4455">
        <v>1.2728999999999899</v>
      </c>
      <c r="AF4455">
        <v>1.4597995284227701</v>
      </c>
      <c r="AG4455">
        <v>-1.1209685667710001</v>
      </c>
      <c r="AH4455">
        <v>14.4893753900486</v>
      </c>
      <c r="AI4455">
        <v>94.401673244094994</v>
      </c>
      <c r="AJ4455">
        <v>84.246883396420202</v>
      </c>
      <c r="AK4455">
        <v>14.605806529754499</v>
      </c>
      <c r="AL4455">
        <v>78.153102168959506</v>
      </c>
      <c r="AM4455">
        <v>89.864383342163507</v>
      </c>
      <c r="AN4455">
        <v>0.99999996437287697</v>
      </c>
    </row>
    <row r="4456" spans="1:40" x14ac:dyDescent="0.25">
      <c r="A4456" t="str">
        <f>"20190303162349694"</f>
        <v>20190303162349694</v>
      </c>
      <c r="B4456" t="str">
        <f>"1551601429688856"</f>
        <v>1551601429688856</v>
      </c>
      <c r="C4456" t="s">
        <v>40</v>
      </c>
      <c r="D4456">
        <v>5.3651330000000002</v>
      </c>
      <c r="E4456">
        <v>0.53890850000000001</v>
      </c>
      <c r="F4456" t="s">
        <v>41</v>
      </c>
      <c r="G4456">
        <v>-375.83179999999999</v>
      </c>
      <c r="H4456" s="1">
        <v>-2.3765180000000001E-6</v>
      </c>
      <c r="I4456">
        <v>141.89400000000001</v>
      </c>
      <c r="J4456">
        <v>-361.06119999999999</v>
      </c>
      <c r="K4456">
        <v>1.120968</v>
      </c>
      <c r="L4456">
        <v>140.57429999999999</v>
      </c>
      <c r="M4456">
        <v>-0.99980999999999998</v>
      </c>
      <c r="N4456">
        <v>-1.423724E-2</v>
      </c>
      <c r="O4456">
        <v>-1.3314309999999999E-2</v>
      </c>
      <c r="P4456">
        <v>-0.98153610000000002</v>
      </c>
      <c r="Q4456">
        <v>0.19100900000000001</v>
      </c>
      <c r="R4456">
        <v>-1.0126309999999999E-2</v>
      </c>
      <c r="S4456">
        <v>-3.1046749999999999</v>
      </c>
      <c r="T4456">
        <v>-0.2310517</v>
      </c>
      <c r="U4456">
        <v>0.27124019999999999</v>
      </c>
      <c r="V4456">
        <v>2.989088E-3</v>
      </c>
      <c r="W4456">
        <v>0.20496400000000001</v>
      </c>
      <c r="X4456">
        <v>0.978765</v>
      </c>
      <c r="Y4456">
        <v>9.9939790000000001E-2</v>
      </c>
      <c r="Z4456">
        <v>5.2193719999999999E-3</v>
      </c>
      <c r="AA4456">
        <v>0.99497979999999997</v>
      </c>
      <c r="AB4456">
        <v>30</v>
      </c>
      <c r="AC4456">
        <v>-14.7706</v>
      </c>
      <c r="AD4456">
        <v>-1.1209703765179999</v>
      </c>
      <c r="AE4456">
        <v>1.3197000000000101</v>
      </c>
      <c r="AF4456">
        <v>1.50764860278504</v>
      </c>
      <c r="AG4456">
        <v>-1.1209703765179999</v>
      </c>
      <c r="AH4456">
        <v>14.667905650177101</v>
      </c>
      <c r="AI4456">
        <v>94.347423883277202</v>
      </c>
      <c r="AJ4456">
        <v>84.131431341725005</v>
      </c>
      <c r="AK4456">
        <v>14.787732586742599</v>
      </c>
      <c r="AL4456">
        <v>78.172608955316704</v>
      </c>
      <c r="AM4456">
        <v>89.825022763821195</v>
      </c>
      <c r="AN4456">
        <v>1.0000000505840301</v>
      </c>
    </row>
    <row r="4457" spans="1:40" x14ac:dyDescent="0.25">
      <c r="A4457" t="str">
        <f>"20190303162349717"</f>
        <v>20190303162349717</v>
      </c>
      <c r="B4457" t="str">
        <f>"1551601429709351"</f>
        <v>1551601429709351</v>
      </c>
      <c r="C4457" t="s">
        <v>40</v>
      </c>
      <c r="D4457">
        <v>5.3636290000000004</v>
      </c>
      <c r="E4457">
        <v>0.53898389999999996</v>
      </c>
      <c r="F4457" t="s">
        <v>41</v>
      </c>
      <c r="G4457">
        <v>-376.35910000000001</v>
      </c>
      <c r="H4457" s="1">
        <v>-2.158931E-6</v>
      </c>
      <c r="I4457">
        <v>141.9265</v>
      </c>
      <c r="J4457">
        <v>-361.35579999999999</v>
      </c>
      <c r="K4457">
        <v>1.120965</v>
      </c>
      <c r="L4457">
        <v>140.57050000000001</v>
      </c>
      <c r="M4457">
        <v>-0.99981129999999996</v>
      </c>
      <c r="N4457">
        <v>-1.423409E-2</v>
      </c>
      <c r="O4457">
        <v>-1.322752E-2</v>
      </c>
      <c r="P4457">
        <v>-0.98153279999999998</v>
      </c>
      <c r="Q4457">
        <v>0.19107879999999999</v>
      </c>
      <c r="R4457">
        <v>-9.0801900000000001E-3</v>
      </c>
      <c r="S4457">
        <v>-3.1035460000000001</v>
      </c>
      <c r="T4457">
        <v>-0.2274158</v>
      </c>
      <c r="U4457">
        <v>0.27433780000000002</v>
      </c>
      <c r="V4457">
        <v>3.9496990000000001E-3</v>
      </c>
      <c r="W4457">
        <v>0.2050303</v>
      </c>
      <c r="X4457">
        <v>0.9787477</v>
      </c>
      <c r="Y4457">
        <v>0.10087749999999999</v>
      </c>
      <c r="Z4457">
        <v>5.1828849999999999E-3</v>
      </c>
      <c r="AA4457">
        <v>0.99488540000000003</v>
      </c>
      <c r="AB4457">
        <v>30</v>
      </c>
      <c r="AC4457">
        <v>-15.003299999999999</v>
      </c>
      <c r="AD4457">
        <v>-1.120967158931</v>
      </c>
      <c r="AE4457">
        <v>1.3559999999999901</v>
      </c>
      <c r="AF4457">
        <v>1.5457987039158001</v>
      </c>
      <c r="AG4457">
        <v>-1.120967158931</v>
      </c>
      <c r="AH4457">
        <v>14.9015381263458</v>
      </c>
      <c r="AI4457">
        <v>94.279092945545699</v>
      </c>
      <c r="AJ4457">
        <v>84.077652218538006</v>
      </c>
      <c r="AK4457">
        <v>15.023378432808199</v>
      </c>
      <c r="AL4457">
        <v>78.1687277187403</v>
      </c>
      <c r="AM4457">
        <v>89.768786322946198</v>
      </c>
      <c r="AN4457">
        <v>1.0000000421477799</v>
      </c>
    </row>
    <row r="4458" spans="1:40" x14ac:dyDescent="0.25">
      <c r="A4458" t="str">
        <f>"20190303162349738"</f>
        <v>20190303162349738</v>
      </c>
      <c r="B4458" t="str">
        <f>"1551601429729379"</f>
        <v>1551601429729379</v>
      </c>
      <c r="C4458" t="s">
        <v>40</v>
      </c>
      <c r="D4458">
        <v>5.3506859999999996</v>
      </c>
      <c r="E4458">
        <v>0.53901299999999996</v>
      </c>
      <c r="F4458" t="s">
        <v>41</v>
      </c>
      <c r="G4458">
        <v>-376.77710000000002</v>
      </c>
      <c r="H4458" s="1">
        <v>-1.9863189999999998E-6</v>
      </c>
      <c r="I4458">
        <v>141.95169999999999</v>
      </c>
      <c r="J4458">
        <v>-361.64839999999998</v>
      </c>
      <c r="K4458">
        <v>1.1209709999999999</v>
      </c>
      <c r="L4458">
        <v>140.5667</v>
      </c>
      <c r="M4458">
        <v>-0.99981249999999999</v>
      </c>
      <c r="N4458">
        <v>-1.4230949999999999E-2</v>
      </c>
      <c r="O4458">
        <v>-1.314131E-2</v>
      </c>
      <c r="P4458">
        <v>-0.98155780000000004</v>
      </c>
      <c r="Q4458">
        <v>0.19099650000000001</v>
      </c>
      <c r="R4458">
        <v>-8.0773609999999999E-3</v>
      </c>
      <c r="S4458">
        <v>-3.1029049999999998</v>
      </c>
      <c r="T4458">
        <v>-0.22554920000000001</v>
      </c>
      <c r="U4458">
        <v>0.27792359999999999</v>
      </c>
      <c r="V4458">
        <v>4.8681599999999998E-3</v>
      </c>
      <c r="W4458">
        <v>0.20494490000000001</v>
      </c>
      <c r="X4458">
        <v>0.9787614</v>
      </c>
      <c r="Y4458">
        <v>0.1019523</v>
      </c>
      <c r="Z4458">
        <v>5.1870279999999998E-3</v>
      </c>
      <c r="AA4458">
        <v>0.99477579999999999</v>
      </c>
      <c r="AB4458">
        <v>30</v>
      </c>
      <c r="AC4458">
        <v>-15.1287</v>
      </c>
      <c r="AD4458">
        <v>-1.1209729863190001</v>
      </c>
      <c r="AE4458">
        <v>1.38499999999999</v>
      </c>
      <c r="AF4458">
        <v>1.5751355140760599</v>
      </c>
      <c r="AG4458">
        <v>-1.1209729863190001</v>
      </c>
      <c r="AH4458">
        <v>15.0273734400424</v>
      </c>
      <c r="AI4458">
        <v>94.2429417929783</v>
      </c>
      <c r="AJ4458">
        <v>84.016235375537903</v>
      </c>
      <c r="AK4458">
        <v>15.1512238723561</v>
      </c>
      <c r="AL4458">
        <v>78.173726367930897</v>
      </c>
      <c r="AM4458">
        <v>89.715024803846703</v>
      </c>
      <c r="AN4458">
        <v>0.999999994573877</v>
      </c>
    </row>
    <row r="4459" spans="1:40" x14ac:dyDescent="0.25">
      <c r="A4459" t="str">
        <f>"20190303162349761"</f>
        <v>20190303162349761</v>
      </c>
      <c r="B4459" t="str">
        <f>"1551601429748899"</f>
        <v>1551601429748899</v>
      </c>
      <c r="C4459" t="s">
        <v>40</v>
      </c>
      <c r="D4459">
        <v>5.3304099999999996</v>
      </c>
      <c r="E4459">
        <v>0.53901759999999999</v>
      </c>
      <c r="F4459" t="s">
        <v>41</v>
      </c>
      <c r="G4459">
        <v>-377.20890000000003</v>
      </c>
      <c r="H4459" s="1">
        <v>-1.8081629999999999E-6</v>
      </c>
      <c r="I4459">
        <v>141.97819999999999</v>
      </c>
      <c r="J4459">
        <v>-361.94749999999999</v>
      </c>
      <c r="K4459">
        <v>1.120973</v>
      </c>
      <c r="L4459">
        <v>140.56290000000001</v>
      </c>
      <c r="M4459">
        <v>-0.99981370000000003</v>
      </c>
      <c r="N4459">
        <v>-1.422781E-2</v>
      </c>
      <c r="O4459">
        <v>-1.305273E-2</v>
      </c>
      <c r="P4459">
        <v>-0.98154969999999997</v>
      </c>
      <c r="Q4459">
        <v>0.19106919999999999</v>
      </c>
      <c r="R4459">
        <v>-7.2755830000000004E-3</v>
      </c>
      <c r="S4459">
        <v>-3.1021730000000001</v>
      </c>
      <c r="T4459">
        <v>-0.2234806</v>
      </c>
      <c r="U4459">
        <v>0.2814178</v>
      </c>
      <c r="V4459">
        <v>5.5825479999999997E-3</v>
      </c>
      <c r="W4459">
        <v>0.2050139</v>
      </c>
      <c r="X4459">
        <v>0.97874309999999998</v>
      </c>
      <c r="Y4459">
        <v>0.1029991</v>
      </c>
      <c r="Z4459">
        <v>5.1852349999999998E-3</v>
      </c>
      <c r="AA4459">
        <v>0.99466790000000005</v>
      </c>
      <c r="AB4459">
        <v>30</v>
      </c>
      <c r="AC4459">
        <v>-15.2614</v>
      </c>
      <c r="AD4459">
        <v>-1.120974808163</v>
      </c>
      <c r="AE4459">
        <v>1.41529999999997</v>
      </c>
      <c r="AF4459">
        <v>1.6058127645785001</v>
      </c>
      <c r="AG4459">
        <v>-1.120974808163</v>
      </c>
      <c r="AH4459">
        <v>15.160528435591701</v>
      </c>
      <c r="AI4459">
        <v>94.205335509795006</v>
      </c>
      <c r="AJ4459">
        <v>83.953738891818602</v>
      </c>
      <c r="AK4459">
        <v>15.286492128732601</v>
      </c>
      <c r="AL4459">
        <v>78.169686776494402</v>
      </c>
      <c r="AM4459">
        <v>89.673200280298303</v>
      </c>
      <c r="AN4459">
        <v>0.99999995991649504</v>
      </c>
    </row>
    <row r="4460" spans="1:40" x14ac:dyDescent="0.25">
      <c r="A4460" t="str">
        <f>"20190303162349785"</f>
        <v>20190303162349785</v>
      </c>
      <c r="B4460" t="str">
        <f>"1551601429779155"</f>
        <v>1551601429779155</v>
      </c>
      <c r="C4460" t="s">
        <v>40</v>
      </c>
      <c r="D4460">
        <v>5.3108849999999999</v>
      </c>
      <c r="E4460">
        <v>0.53901580000000004</v>
      </c>
      <c r="F4460" t="s">
        <v>41</v>
      </c>
      <c r="G4460">
        <v>-377.709</v>
      </c>
      <c r="H4460" s="1">
        <v>-1.6004899999999999E-6</v>
      </c>
      <c r="I4460">
        <v>142.00409999999999</v>
      </c>
      <c r="J4460">
        <v>-362.25020000000001</v>
      </c>
      <c r="K4460">
        <v>1.1209709999999999</v>
      </c>
      <c r="L4460">
        <v>140.559</v>
      </c>
      <c r="M4460">
        <v>-0.99981489999999995</v>
      </c>
      <c r="N4460">
        <v>-1.422461E-2</v>
      </c>
      <c r="O4460">
        <v>-1.296331E-2</v>
      </c>
      <c r="P4460">
        <v>-0.98144339999999997</v>
      </c>
      <c r="Q4460">
        <v>0.19162509999999999</v>
      </c>
      <c r="R4460">
        <v>-6.9945370000000003E-3</v>
      </c>
      <c r="S4460">
        <v>-3.1014710000000001</v>
      </c>
      <c r="T4460">
        <v>-0.22058</v>
      </c>
      <c r="U4460">
        <v>0.28361510000000001</v>
      </c>
      <c r="V4460">
        <v>5.7743509999999996E-3</v>
      </c>
      <c r="W4460">
        <v>0.2055651</v>
      </c>
      <c r="X4460">
        <v>0.97862640000000001</v>
      </c>
      <c r="Y4460">
        <v>0.10363559999999999</v>
      </c>
      <c r="Z4460">
        <v>5.1480170000000004E-3</v>
      </c>
      <c r="AA4460">
        <v>0.99460199999999999</v>
      </c>
      <c r="AB4460">
        <v>30</v>
      </c>
      <c r="AC4460">
        <v>-15.458799999999901</v>
      </c>
      <c r="AD4460">
        <v>-1.12097260049</v>
      </c>
      <c r="AE4460">
        <v>1.4450999999999901</v>
      </c>
      <c r="AF4460">
        <v>1.6368635985206701</v>
      </c>
      <c r="AG4460">
        <v>-1.12097260049</v>
      </c>
      <c r="AH4460">
        <v>15.3587058231145</v>
      </c>
      <c r="AI4460">
        <v>94.150971097392102</v>
      </c>
      <c r="AJ4460">
        <v>83.916629788413204</v>
      </c>
      <c r="AK4460">
        <v>15.486308358423599</v>
      </c>
      <c r="AL4460">
        <v>78.137418446676904</v>
      </c>
      <c r="AM4460">
        <v>89.661932171167393</v>
      </c>
      <c r="AN4460">
        <v>0.99999999212222002</v>
      </c>
    </row>
    <row r="4461" spans="1:40" x14ac:dyDescent="0.25">
      <c r="A4461" t="str">
        <f>"20190303162349807"</f>
        <v>20190303162349807</v>
      </c>
      <c r="B4461" t="str">
        <f>"1551601429798674"</f>
        <v>1551601429798674</v>
      </c>
      <c r="C4461" t="s">
        <v>40</v>
      </c>
      <c r="D4461">
        <v>5.3155960000000002</v>
      </c>
      <c r="E4461">
        <v>0.5390547</v>
      </c>
      <c r="F4461" t="s">
        <v>41</v>
      </c>
      <c r="G4461">
        <v>-378.35989999999998</v>
      </c>
      <c r="H4461" s="1">
        <v>-1.3306260000000001E-6</v>
      </c>
      <c r="I4461">
        <v>142.03919999999999</v>
      </c>
      <c r="J4461">
        <v>-362.55309999999997</v>
      </c>
      <c r="K4461">
        <v>1.1209849999999999</v>
      </c>
      <c r="L4461">
        <v>140.55520000000001</v>
      </c>
      <c r="M4461">
        <v>-0.99981600000000004</v>
      </c>
      <c r="N4461">
        <v>-1.4221330000000001E-2</v>
      </c>
      <c r="O4461">
        <v>-1.2873890000000001E-2</v>
      </c>
      <c r="P4461">
        <v>-0.98144350000000002</v>
      </c>
      <c r="Q4461">
        <v>0.1916185</v>
      </c>
      <c r="R4461">
        <v>-7.1381989999999996E-3</v>
      </c>
      <c r="S4461">
        <v>-3.1008300000000002</v>
      </c>
      <c r="T4461">
        <v>-0.21576819999999999</v>
      </c>
      <c r="U4461">
        <v>0.2849274</v>
      </c>
      <c r="V4461">
        <v>5.542773E-3</v>
      </c>
      <c r="W4461">
        <v>0.20555580000000001</v>
      </c>
      <c r="X4461">
        <v>0.97862969999999905</v>
      </c>
      <c r="Y4461">
        <v>0.10399509999999999</v>
      </c>
      <c r="Z4461">
        <v>5.0588589999999998E-3</v>
      </c>
      <c r="AA4461">
        <v>0.99456500000000003</v>
      </c>
      <c r="AB4461">
        <v>30</v>
      </c>
      <c r="AC4461">
        <v>-15.806800000000001</v>
      </c>
      <c r="AD4461">
        <v>-1.1209863306259999</v>
      </c>
      <c r="AE4461">
        <v>1.48399999999998</v>
      </c>
      <c r="AF4461">
        <v>1.67902195116167</v>
      </c>
      <c r="AG4461">
        <v>-1.1209863306259999</v>
      </c>
      <c r="AH4461">
        <v>15.708071710051099</v>
      </c>
      <c r="AI4461">
        <v>94.058876427341602</v>
      </c>
      <c r="AJ4461">
        <v>83.8988699291763</v>
      </c>
      <c r="AK4461">
        <v>15.837273815718399</v>
      </c>
      <c r="AL4461">
        <v>78.137963013679496</v>
      </c>
      <c r="AM4461">
        <v>89.675491042285998</v>
      </c>
      <c r="AN4461">
        <v>0.99999999948412899</v>
      </c>
    </row>
    <row r="4462" spans="1:40" x14ac:dyDescent="0.25">
      <c r="A4462" t="str">
        <f>"20190303162349828"</f>
        <v>20190303162349828</v>
      </c>
      <c r="B4462" t="str">
        <f>"1551601429819172"</f>
        <v>1551601429819172</v>
      </c>
      <c r="C4462" t="s">
        <v>40</v>
      </c>
      <c r="D4462">
        <v>5.3075080000000003</v>
      </c>
      <c r="E4462">
        <v>0.53907169999999904</v>
      </c>
      <c r="F4462" t="s">
        <v>41</v>
      </c>
      <c r="G4462">
        <v>-378.79039999999998</v>
      </c>
      <c r="H4462" s="1">
        <v>-1.147714E-6</v>
      </c>
      <c r="I4462">
        <v>142.04589999999999</v>
      </c>
      <c r="J4462">
        <v>-362.83800000000002</v>
      </c>
      <c r="K4462">
        <v>1.1209849999999999</v>
      </c>
      <c r="L4462">
        <v>140.55160000000001</v>
      </c>
      <c r="M4462">
        <v>-0.99981719999999996</v>
      </c>
      <c r="N4462">
        <v>-1.421823E-2</v>
      </c>
      <c r="O4462">
        <v>-1.278983E-2</v>
      </c>
      <c r="P4462">
        <v>-0.9813615</v>
      </c>
      <c r="Q4462">
        <v>0.19202749999999999</v>
      </c>
      <c r="R4462">
        <v>-7.4038239999999998E-3</v>
      </c>
      <c r="S4462">
        <v>-3.1005549999999999</v>
      </c>
      <c r="T4462">
        <v>-0.2140553</v>
      </c>
      <c r="U4462">
        <v>0.28466799999999998</v>
      </c>
      <c r="V4462">
        <v>5.1935979999999998E-3</v>
      </c>
      <c r="W4462">
        <v>0.2059608</v>
      </c>
      <c r="X4462">
        <v>0.97854640000000004</v>
      </c>
      <c r="Y4462">
        <v>0.1038423</v>
      </c>
      <c r="Z4462">
        <v>5.0125489999999998E-3</v>
      </c>
      <c r="AA4462">
        <v>0.99458120000000005</v>
      </c>
      <c r="AB4462">
        <v>30</v>
      </c>
      <c r="AC4462">
        <v>-15.9523999999999</v>
      </c>
      <c r="AD4462">
        <v>-1.120986147714</v>
      </c>
      <c r="AE4462">
        <v>1.49429999999998</v>
      </c>
      <c r="AF4462">
        <v>1.68995448621528</v>
      </c>
      <c r="AG4462">
        <v>-1.120986147714</v>
      </c>
      <c r="AH4462">
        <v>15.854373714438699</v>
      </c>
      <c r="AI4462">
        <v>94.021670034237999</v>
      </c>
      <c r="AJ4462">
        <v>83.915683672606306</v>
      </c>
      <c r="AK4462">
        <v>15.983545350951699</v>
      </c>
      <c r="AL4462">
        <v>78.1142501418677</v>
      </c>
      <c r="AM4462">
        <v>89.695907673029396</v>
      </c>
      <c r="AN4462">
        <v>0.99999994077489096</v>
      </c>
    </row>
    <row r="4463" spans="1:40" x14ac:dyDescent="0.25">
      <c r="A4463" t="str">
        <f>"20190303162349851"</f>
        <v>20190303162349851</v>
      </c>
      <c r="B4463" t="str">
        <f>"1551601429839667"</f>
        <v>1551601429839667</v>
      </c>
      <c r="C4463" t="s">
        <v>40</v>
      </c>
      <c r="D4463">
        <v>5.2917459999999998</v>
      </c>
      <c r="E4463">
        <v>0.53904669999999999</v>
      </c>
      <c r="F4463" t="s">
        <v>41</v>
      </c>
      <c r="G4463">
        <v>-379.23469999999998</v>
      </c>
      <c r="H4463" s="1">
        <v>-9.578982E-7</v>
      </c>
      <c r="I4463">
        <v>142.0488</v>
      </c>
      <c r="J4463">
        <v>-363.12479999999999</v>
      </c>
      <c r="K4463">
        <v>1.120986</v>
      </c>
      <c r="L4463">
        <v>140.548</v>
      </c>
      <c r="M4463">
        <v>-0.99981830000000005</v>
      </c>
      <c r="N4463">
        <v>-1.421441E-2</v>
      </c>
      <c r="O4463">
        <v>-1.270517E-2</v>
      </c>
      <c r="P4463">
        <v>-0.98118030000000001</v>
      </c>
      <c r="Q4463">
        <v>0.19297310000000001</v>
      </c>
      <c r="R4463">
        <v>-6.8651600000000004E-3</v>
      </c>
      <c r="S4463">
        <v>-3.1005250000000002</v>
      </c>
      <c r="T4463">
        <v>-0.2119722</v>
      </c>
      <c r="U4463">
        <v>0.28312680000000001</v>
      </c>
      <c r="V4463">
        <v>5.6471710000000003E-3</v>
      </c>
      <c r="W4463">
        <v>0.20689959999999999</v>
      </c>
      <c r="X4463">
        <v>0.97834589999999999</v>
      </c>
      <c r="Y4463">
        <v>0.1032761</v>
      </c>
      <c r="Z4463">
        <v>4.9413640000000002E-3</v>
      </c>
      <c r="AA4463">
        <v>0.99464050000000004</v>
      </c>
      <c r="AB4463">
        <v>29</v>
      </c>
      <c r="AC4463">
        <v>-16.1098999999999</v>
      </c>
      <c r="AD4463">
        <v>-1.1209869578981999</v>
      </c>
      <c r="AE4463">
        <v>1.5007999999999899</v>
      </c>
      <c r="AF4463">
        <v>1.6972314180688099</v>
      </c>
      <c r="AG4463">
        <v>-1.1209869578981999</v>
      </c>
      <c r="AH4463">
        <v>16.012665037743901</v>
      </c>
      <c r="AI4463">
        <v>93.982295696339605</v>
      </c>
      <c r="AJ4463">
        <v>83.949635003352697</v>
      </c>
      <c r="AK4463">
        <v>16.141333521653099</v>
      </c>
      <c r="AL4463">
        <v>78.059277735859396</v>
      </c>
      <c r="AM4463">
        <v>89.669283153198293</v>
      </c>
      <c r="AN4463">
        <v>1.0000000175336301</v>
      </c>
    </row>
    <row r="4464" spans="1:40" x14ac:dyDescent="0.25">
      <c r="A4464" t="str">
        <f>"20190303162349873"</f>
        <v>20190303162349873</v>
      </c>
      <c r="B4464" t="str">
        <f>"1551601429859187"</f>
        <v>1551601429859187</v>
      </c>
      <c r="C4464" t="s">
        <v>40</v>
      </c>
      <c r="D4464">
        <v>5.2600300000000004</v>
      </c>
      <c r="E4464">
        <v>0.53907590000000005</v>
      </c>
      <c r="F4464" t="s">
        <v>41</v>
      </c>
      <c r="G4464">
        <v>-379.83</v>
      </c>
      <c r="H4464" s="1">
        <v>-7.1073129999999996E-7</v>
      </c>
      <c r="I4464">
        <v>142.07980000000001</v>
      </c>
      <c r="J4464">
        <v>-363.4248</v>
      </c>
      <c r="K4464">
        <v>1.120989</v>
      </c>
      <c r="L4464">
        <v>140.54429999999999</v>
      </c>
      <c r="M4464">
        <v>-0.99981969999999998</v>
      </c>
      <c r="N4464">
        <v>-1.420327E-2</v>
      </c>
      <c r="O4464">
        <v>-1.2616530000000001E-2</v>
      </c>
      <c r="P4464">
        <v>-0.98107999999999995</v>
      </c>
      <c r="Q4464">
        <v>0.1934786</v>
      </c>
      <c r="R4464">
        <v>-6.9672149999999997E-3</v>
      </c>
      <c r="S4464">
        <v>-3.1004640000000001</v>
      </c>
      <c r="T4464">
        <v>-0.2080545</v>
      </c>
      <c r="U4464">
        <v>0.28430179999999999</v>
      </c>
      <c r="V4464">
        <v>5.4567419999999997E-3</v>
      </c>
      <c r="W4464">
        <v>0.20739260000000001</v>
      </c>
      <c r="X4464">
        <v>0.97824259999999996</v>
      </c>
      <c r="Y4464">
        <v>0.1035734</v>
      </c>
      <c r="Z4464">
        <v>4.8674410000000001E-3</v>
      </c>
      <c r="AA4464">
        <v>0.99460990000000005</v>
      </c>
      <c r="AB4464">
        <v>29</v>
      </c>
      <c r="AC4464">
        <v>-16.405199999999901</v>
      </c>
      <c r="AD4464">
        <v>-1.1209897107313</v>
      </c>
      <c r="AE4464">
        <v>1.5355000000000101</v>
      </c>
      <c r="AF4464">
        <v>1.7343476591148701</v>
      </c>
      <c r="AG4464">
        <v>-1.1209897107313</v>
      </c>
      <c r="AH4464">
        <v>16.3090309889281</v>
      </c>
      <c r="AI4464">
        <v>93.910022857306203</v>
      </c>
      <c r="AJ4464">
        <v>83.929821167840302</v>
      </c>
      <c r="AK4464">
        <v>16.439253983440299</v>
      </c>
      <c r="AL4464">
        <v>78.030404757181003</v>
      </c>
      <c r="AM4464">
        <v>89.680401319836704</v>
      </c>
      <c r="AN4464">
        <v>1.0000000255113799</v>
      </c>
    </row>
    <row r="4465" spans="1:40" x14ac:dyDescent="0.25">
      <c r="A4465" t="str">
        <f>"20190303162349896"</f>
        <v>20190303162349896</v>
      </c>
      <c r="B4465" t="str">
        <f>"1551601429889443"</f>
        <v>1551601429889443</v>
      </c>
      <c r="C4465" t="s">
        <v>40</v>
      </c>
      <c r="D4465">
        <v>5.2566100000000002</v>
      </c>
      <c r="E4465">
        <v>0.53632270000000004</v>
      </c>
      <c r="F4465" t="s">
        <v>41</v>
      </c>
      <c r="G4465">
        <v>-380.35579999999999</v>
      </c>
      <c r="H4465" s="1">
        <v>-4.5953720000000002E-6</v>
      </c>
      <c r="I4465">
        <v>142.0992</v>
      </c>
      <c r="J4465">
        <v>-363.71879999999999</v>
      </c>
      <c r="K4465">
        <v>1.120986</v>
      </c>
      <c r="L4465">
        <v>140.54069999999999</v>
      </c>
      <c r="M4465">
        <v>-0.99982090000000001</v>
      </c>
      <c r="N4465">
        <v>-1.4177749999999999E-2</v>
      </c>
      <c r="O4465">
        <v>-1.252934E-2</v>
      </c>
      <c r="P4465">
        <v>-0.98102610000000001</v>
      </c>
      <c r="Q4465">
        <v>0.1937507</v>
      </c>
      <c r="R4465">
        <v>-6.9704800000000003E-3</v>
      </c>
      <c r="S4465">
        <v>-3.1003419999999999</v>
      </c>
      <c r="T4465">
        <v>-0.20527229999999999</v>
      </c>
      <c r="U4465">
        <v>0.28472900000000001</v>
      </c>
      <c r="V4465">
        <v>5.3673089999999998E-3</v>
      </c>
      <c r="W4465">
        <v>0.2076394</v>
      </c>
      <c r="X4465">
        <v>0.97819069999999997</v>
      </c>
      <c r="Y4465">
        <v>0.1036335</v>
      </c>
      <c r="Z4465">
        <v>4.8069569999999997E-3</v>
      </c>
      <c r="AA4465">
        <v>0.99460389999999999</v>
      </c>
      <c r="AB4465">
        <v>29</v>
      </c>
      <c r="AC4465">
        <v>-16.637</v>
      </c>
      <c r="AD4465">
        <v>-1.1209905953720001</v>
      </c>
      <c r="AE4465">
        <v>1.5585</v>
      </c>
      <c r="AF4465">
        <v>1.7589331868448099</v>
      </c>
      <c r="AG4465">
        <v>-1.1209905953720001</v>
      </c>
      <c r="AH4465">
        <v>16.541719089267499</v>
      </c>
      <c r="AI4465">
        <v>93.855195529863394</v>
      </c>
      <c r="AJ4465">
        <v>83.930366326881</v>
      </c>
      <c r="AK4465">
        <v>16.672700330148501</v>
      </c>
      <c r="AL4465">
        <v>78.015949023125302</v>
      </c>
      <c r="AM4465">
        <v>89.685622581672405</v>
      </c>
      <c r="AN4465">
        <v>0.99999998700237502</v>
      </c>
    </row>
    <row r="4466" spans="1:40" x14ac:dyDescent="0.25">
      <c r="A4466" t="str">
        <f>"20190303162349917"</f>
        <v>20190303162349917</v>
      </c>
      <c r="B4466" t="str">
        <f>"1551601429908963"</f>
        <v>1551601429908963</v>
      </c>
      <c r="C4466" t="s">
        <v>40</v>
      </c>
      <c r="D4466">
        <v>5.2764410000000002</v>
      </c>
      <c r="E4466">
        <v>0.53508769999999894</v>
      </c>
      <c r="F4466" t="s">
        <v>42</v>
      </c>
      <c r="G4466">
        <v>-364.5342</v>
      </c>
      <c r="H4466">
        <v>1.032103</v>
      </c>
      <c r="I4466">
        <v>140.60900000000001</v>
      </c>
      <c r="J4466">
        <v>-364.0052</v>
      </c>
      <c r="K4466">
        <v>1.1209830000000001</v>
      </c>
      <c r="L4466">
        <v>140.53720000000001</v>
      </c>
      <c r="M4466">
        <v>-0.99982260000000001</v>
      </c>
      <c r="N4466">
        <v>-1.4140430000000001E-2</v>
      </c>
      <c r="O4466">
        <v>-1.2445039999999999E-2</v>
      </c>
      <c r="P4466">
        <v>-0.98083849999999995</v>
      </c>
      <c r="Q4466">
        <v>0.1946976</v>
      </c>
      <c r="R4466">
        <v>-6.9784010000000004E-3</v>
      </c>
      <c r="S4466">
        <v>-3.1271969999999998</v>
      </c>
      <c r="T4466">
        <v>-0.34094989999999997</v>
      </c>
      <c r="U4466">
        <v>0.26165769999999999</v>
      </c>
      <c r="V4466">
        <v>5.2743800000000004E-3</v>
      </c>
      <c r="W4466">
        <v>0.20854700000000001</v>
      </c>
      <c r="X4466">
        <v>0.97799809999999998</v>
      </c>
      <c r="Y4466">
        <v>9.5088130000000007E-2</v>
      </c>
      <c r="Z4466">
        <v>7.0105230000000003E-3</v>
      </c>
      <c r="AA4466">
        <v>0.9954442</v>
      </c>
      <c r="AB4466">
        <v>29</v>
      </c>
      <c r="AC4466">
        <v>-0.52899999999999603</v>
      </c>
      <c r="AD4466">
        <v>-8.8880000000000001E-2</v>
      </c>
      <c r="AE4466">
        <v>7.1799999999996006E-2</v>
      </c>
      <c r="AF4466">
        <v>7.6264586525927103E-2</v>
      </c>
      <c r="AG4466">
        <v>-8.8880000000000001E-2</v>
      </c>
      <c r="AH4466">
        <v>0.51382300362608102</v>
      </c>
      <c r="AI4466">
        <v>99.709478403215201</v>
      </c>
      <c r="AJ4466">
        <v>81.557465400055193</v>
      </c>
      <c r="AK4466">
        <v>0.52700096832292298</v>
      </c>
      <c r="AL4466">
        <v>77.962783402176399</v>
      </c>
      <c r="AM4466">
        <v>89.6910047332521</v>
      </c>
      <c r="AN4466">
        <v>0.99999997694849596</v>
      </c>
    </row>
    <row r="4467" spans="1:40" x14ac:dyDescent="0.25">
      <c r="A4467" t="str">
        <f>"20190303162349939"</f>
        <v>20190303162349939</v>
      </c>
      <c r="B4467" t="str">
        <f>"1551601429928991"</f>
        <v>1551601429928991</v>
      </c>
      <c r="C4467" t="s">
        <v>40</v>
      </c>
      <c r="D4467">
        <v>5.2222670000000004</v>
      </c>
      <c r="E4467">
        <v>0.52735100000000001</v>
      </c>
      <c r="F4467" t="s">
        <v>42</v>
      </c>
      <c r="G4467">
        <v>-364.78710000000001</v>
      </c>
      <c r="H4467">
        <v>1.013579</v>
      </c>
      <c r="I4467">
        <v>140.59979999999999</v>
      </c>
      <c r="J4467">
        <v>-364.29390000000001</v>
      </c>
      <c r="K4467">
        <v>1.1209690000000001</v>
      </c>
      <c r="L4467">
        <v>140.53370000000001</v>
      </c>
      <c r="M4467">
        <v>-0.9998243</v>
      </c>
      <c r="N4467">
        <v>-1.4093120000000001E-2</v>
      </c>
      <c r="O4467">
        <v>-1.23602E-2</v>
      </c>
      <c r="P4467">
        <v>-0.98048789999999997</v>
      </c>
      <c r="Q4467">
        <v>0.1964496</v>
      </c>
      <c r="R4467">
        <v>-7.1807640000000001E-3</v>
      </c>
      <c r="S4467">
        <v>-3.1461489999999999</v>
      </c>
      <c r="T4467">
        <v>-0.43225540000000001</v>
      </c>
      <c r="U4467">
        <v>0.25125120000000001</v>
      </c>
      <c r="V4467">
        <v>4.9851110000000004E-3</v>
      </c>
      <c r="W4467">
        <v>0.2102475</v>
      </c>
      <c r="X4467">
        <v>0.97763549999999999</v>
      </c>
      <c r="Y4467">
        <v>9.0892650000000005E-2</v>
      </c>
      <c r="Z4467">
        <v>8.3644380000000001E-3</v>
      </c>
      <c r="AA4467">
        <v>0.99582559999999998</v>
      </c>
      <c r="AB4467">
        <v>29</v>
      </c>
      <c r="AC4467">
        <v>-0.49320000000000103</v>
      </c>
      <c r="AD4467">
        <v>-0.10739</v>
      </c>
      <c r="AE4467">
        <v>6.6099999999977399E-2</v>
      </c>
      <c r="AF4467">
        <v>6.8978933417845806E-2</v>
      </c>
      <c r="AG4467">
        <v>-0.10739</v>
      </c>
      <c r="AH4467">
        <v>0.470434869669073</v>
      </c>
      <c r="AI4467">
        <v>102.72744147901599</v>
      </c>
      <c r="AJ4467">
        <v>81.658276097302306</v>
      </c>
      <c r="AK4467">
        <v>0.48744196778285498</v>
      </c>
      <c r="AL4467">
        <v>77.86314343942</v>
      </c>
      <c r="AM4467">
        <v>89.707842702938393</v>
      </c>
      <c r="AN4467">
        <v>1.0000000167240899</v>
      </c>
    </row>
    <row r="4468" spans="1:40" x14ac:dyDescent="0.25">
      <c r="A4468" t="str">
        <f>"20190303162349963"</f>
        <v>20190303162349963</v>
      </c>
      <c r="B4468" t="str">
        <f>"1551601429959246"</f>
        <v>1551601429959246</v>
      </c>
      <c r="C4468" t="s">
        <v>40</v>
      </c>
      <c r="D4468">
        <v>5.2056959999999997</v>
      </c>
      <c r="E4468">
        <v>0.52850379999999997</v>
      </c>
      <c r="F4468" t="s">
        <v>42</v>
      </c>
      <c r="G4468">
        <v>-365.00700000000001</v>
      </c>
      <c r="H4468">
        <v>0.92862469999999997</v>
      </c>
      <c r="I4468">
        <v>140.57480000000001</v>
      </c>
      <c r="J4468">
        <v>-364.59530000000001</v>
      </c>
      <c r="K4468">
        <v>1.120962</v>
      </c>
      <c r="L4468">
        <v>140.5301</v>
      </c>
      <c r="M4468">
        <v>-0.9998262</v>
      </c>
      <c r="N4468">
        <v>-1.403457E-2</v>
      </c>
      <c r="O4468">
        <v>-1.227147E-2</v>
      </c>
      <c r="P4468">
        <v>-0.98036500000000004</v>
      </c>
      <c r="Q4468">
        <v>0.19704450000000001</v>
      </c>
      <c r="R4468">
        <v>-7.6076390000000002E-3</v>
      </c>
      <c r="S4468">
        <v>-3.2359309999999999</v>
      </c>
      <c r="T4468">
        <v>-0.87280230000000003</v>
      </c>
      <c r="U4468">
        <v>0.18537899999999999</v>
      </c>
      <c r="V4468">
        <v>4.4697080000000002E-3</v>
      </c>
      <c r="W4468">
        <v>0.21078350000000001</v>
      </c>
      <c r="X4468">
        <v>0.97752260000000002</v>
      </c>
      <c r="Y4468">
        <v>6.6550109999999996E-2</v>
      </c>
      <c r="Z4468">
        <v>1.236688E-2</v>
      </c>
      <c r="AA4468">
        <v>0.99770639999999999</v>
      </c>
      <c r="AB4468">
        <v>29</v>
      </c>
      <c r="AC4468">
        <v>-0.411699999999939</v>
      </c>
      <c r="AD4468">
        <v>-0.19233729999999999</v>
      </c>
      <c r="AE4468">
        <v>4.4700000000005902E-2</v>
      </c>
      <c r="AF4468">
        <v>4.0921919599641997E-2</v>
      </c>
      <c r="AG4468">
        <v>-0.19233729999999999</v>
      </c>
      <c r="AH4468">
        <v>0.33817235060013101</v>
      </c>
      <c r="AI4468">
        <v>119.450647027958</v>
      </c>
      <c r="AJ4468">
        <v>83.1002390223112</v>
      </c>
      <c r="AK4468">
        <v>0.39118893029510399</v>
      </c>
      <c r="AL4468">
        <v>77.831729302994304</v>
      </c>
      <c r="AM4468">
        <v>89.738017699748198</v>
      </c>
      <c r="AN4468">
        <v>1.0000000478363</v>
      </c>
    </row>
    <row r="4469" spans="1:40" x14ac:dyDescent="0.25">
      <c r="A4469" t="str">
        <f>"20190303162349987"</f>
        <v>20190303162349987</v>
      </c>
      <c r="B4469" t="str">
        <f>"1551601429979742"</f>
        <v>1551601429979742</v>
      </c>
      <c r="C4469" t="s">
        <v>40</v>
      </c>
      <c r="D4469">
        <v>5.2178339999999999</v>
      </c>
      <c r="E4469">
        <v>0.52884969999999998</v>
      </c>
      <c r="F4469" t="s">
        <v>42</v>
      </c>
      <c r="G4469">
        <v>-365.27390000000003</v>
      </c>
      <c r="H4469">
        <v>0.93932510000000002</v>
      </c>
      <c r="I4469">
        <v>140.57079999999999</v>
      </c>
      <c r="J4469">
        <v>-364.90769999999998</v>
      </c>
      <c r="K4469">
        <v>1.1209549999999999</v>
      </c>
      <c r="L4469">
        <v>140.5264</v>
      </c>
      <c r="M4469">
        <v>-0.99982850000000001</v>
      </c>
      <c r="N4469">
        <v>-1.3956430000000001E-2</v>
      </c>
      <c r="O4469">
        <v>-1.217963E-2</v>
      </c>
      <c r="P4469">
        <v>-0.98021349999999996</v>
      </c>
      <c r="Q4469">
        <v>0.19779939999999999</v>
      </c>
      <c r="R4469">
        <v>-7.539909E-3</v>
      </c>
      <c r="S4469">
        <v>-3.2356259999999999</v>
      </c>
      <c r="T4469">
        <v>-0.86604289999999995</v>
      </c>
      <c r="U4469">
        <v>0.1935577</v>
      </c>
      <c r="V4469">
        <v>4.4456540000000003E-3</v>
      </c>
      <c r="W4469">
        <v>0.2114598</v>
      </c>
      <c r="X4469">
        <v>0.97737660000000004</v>
      </c>
      <c r="Y4469">
        <v>6.8935300000000005E-2</v>
      </c>
      <c r="Z4469">
        <v>1.2582599999999999E-2</v>
      </c>
      <c r="AA4469">
        <v>0.99754180000000003</v>
      </c>
      <c r="AB4469">
        <v>29</v>
      </c>
      <c r="AC4469">
        <v>-0.36620000000004799</v>
      </c>
      <c r="AD4469">
        <v>-0.18162989999999901</v>
      </c>
      <c r="AE4469">
        <v>4.4399999999995998E-2</v>
      </c>
      <c r="AF4469">
        <v>3.9323758602798603E-2</v>
      </c>
      <c r="AG4469">
        <v>-0.18162989999999901</v>
      </c>
      <c r="AH4469">
        <v>0.29428598362981301</v>
      </c>
      <c r="AI4469">
        <v>121.456253340781</v>
      </c>
      <c r="AJ4469">
        <v>82.388977285819806</v>
      </c>
      <c r="AK4469">
        <v>0.34805174719519499</v>
      </c>
      <c r="AL4469">
        <v>77.792086201268205</v>
      </c>
      <c r="AM4469">
        <v>89.739388629981093</v>
      </c>
      <c r="AN4469">
        <v>1.00000001454154</v>
      </c>
    </row>
    <row r="4470" spans="1:40" x14ac:dyDescent="0.25">
      <c r="A4470" t="str">
        <f>"20190303162350009"</f>
        <v>20190303162350009</v>
      </c>
      <c r="B4470" t="str">
        <f>"1551601429999262"</f>
        <v>1551601429999262</v>
      </c>
      <c r="C4470" t="s">
        <v>40</v>
      </c>
      <c r="D4470">
        <v>5.2002240000000004</v>
      </c>
      <c r="E4470">
        <v>0.52946530000000003</v>
      </c>
      <c r="F4470" t="s">
        <v>42</v>
      </c>
      <c r="G4470">
        <v>-365.7747</v>
      </c>
      <c r="H4470">
        <v>0.89165910000000004</v>
      </c>
      <c r="I4470">
        <v>140.57910000000001</v>
      </c>
      <c r="J4470">
        <v>-365.18819999999999</v>
      </c>
      <c r="K4470">
        <v>1.1209469999999999</v>
      </c>
      <c r="L4470">
        <v>140.523</v>
      </c>
      <c r="M4470">
        <v>-0.99983049999999996</v>
      </c>
      <c r="N4470">
        <v>-1.3876650000000001E-2</v>
      </c>
      <c r="O4470">
        <v>-1.209767E-2</v>
      </c>
      <c r="P4470">
        <v>-0.98012909999999998</v>
      </c>
      <c r="Q4470">
        <v>0.19820560000000001</v>
      </c>
      <c r="R4470">
        <v>-7.826019E-3</v>
      </c>
      <c r="S4470">
        <v>-3.2346499999999998</v>
      </c>
      <c r="T4470">
        <v>-0.85541679999999998</v>
      </c>
      <c r="U4470">
        <v>0.1968994</v>
      </c>
      <c r="V4470">
        <v>4.0783169999999997E-3</v>
      </c>
      <c r="W4470">
        <v>0.211787</v>
      </c>
      <c r="X4470">
        <v>0.97730729999999999</v>
      </c>
      <c r="Y4470">
        <v>6.9933140000000005E-2</v>
      </c>
      <c r="Z4470">
        <v>1.255476E-2</v>
      </c>
      <c r="AA4470">
        <v>0.99747260000000004</v>
      </c>
      <c r="AB4470">
        <v>29</v>
      </c>
      <c r="AC4470">
        <v>-0.58650000000000002</v>
      </c>
      <c r="AD4470">
        <v>-0.22928789999999899</v>
      </c>
      <c r="AE4470">
        <v>5.6100000000014902E-2</v>
      </c>
      <c r="AF4470">
        <v>5.4880221966801097E-2</v>
      </c>
      <c r="AG4470">
        <v>-0.22928789999999899</v>
      </c>
      <c r="AH4470">
        <v>0.50873078040938902</v>
      </c>
      <c r="AI4470">
        <v>114.13743390024</v>
      </c>
      <c r="AJ4470">
        <v>83.842928074761403</v>
      </c>
      <c r="AK4470">
        <v>0.56070650681571499</v>
      </c>
      <c r="AL4470">
        <v>77.772903935230701</v>
      </c>
      <c r="AM4470">
        <v>89.760905300463193</v>
      </c>
      <c r="AN4470">
        <v>0.99999996233592003</v>
      </c>
    </row>
    <row r="4471" spans="1:40" x14ac:dyDescent="0.25">
      <c r="A4471" t="str">
        <f>"20190303162350029"</f>
        <v>20190303162350029</v>
      </c>
      <c r="B4471" t="str">
        <f>"1551601430019758"</f>
        <v>1551601430019758</v>
      </c>
      <c r="C4471" t="s">
        <v>40</v>
      </c>
      <c r="D4471">
        <v>5.185073</v>
      </c>
      <c r="E4471">
        <v>0.52992169999999905</v>
      </c>
      <c r="F4471" t="s">
        <v>42</v>
      </c>
      <c r="G4471">
        <v>-366.0385</v>
      </c>
      <c r="H4471">
        <v>0.89789629999999998</v>
      </c>
      <c r="I4471">
        <v>140.57599999999999</v>
      </c>
      <c r="J4471">
        <v>-365.46100000000001</v>
      </c>
      <c r="K4471">
        <v>1.1209359999999999</v>
      </c>
      <c r="L4471">
        <v>140.51990000000001</v>
      </c>
      <c r="M4471">
        <v>-0.99983259999999996</v>
      </c>
      <c r="N4471">
        <v>-1.3797739999999999E-2</v>
      </c>
      <c r="O4471">
        <v>-1.2019169999999999E-2</v>
      </c>
      <c r="P4471">
        <v>-0.98012880000000002</v>
      </c>
      <c r="Q4471">
        <v>0.19821030000000001</v>
      </c>
      <c r="R4471">
        <v>-7.7796339999999997E-3</v>
      </c>
      <c r="S4471">
        <v>-3.233978</v>
      </c>
      <c r="T4471">
        <v>-0.84837009999999902</v>
      </c>
      <c r="U4471">
        <v>0.2008057</v>
      </c>
      <c r="V4471">
        <v>4.0480809999999898E-3</v>
      </c>
      <c r="W4471">
        <v>0.21171429999999999</v>
      </c>
      <c r="X4471">
        <v>0.97732319999999995</v>
      </c>
      <c r="Y4471">
        <v>7.1075109999999997E-2</v>
      </c>
      <c r="Z4471">
        <v>1.259335E-2</v>
      </c>
      <c r="AA4471">
        <v>0.99739149999999999</v>
      </c>
      <c r="AB4471">
        <v>29</v>
      </c>
      <c r="AC4471">
        <v>-0.57749999999998602</v>
      </c>
      <c r="AD4471">
        <v>-0.22303970000000001</v>
      </c>
      <c r="AE4471">
        <v>5.6099999999986397E-2</v>
      </c>
      <c r="AF4471">
        <v>5.4921954627757501E-2</v>
      </c>
      <c r="AG4471">
        <v>-0.22303970000000001</v>
      </c>
      <c r="AH4471">
        <v>0.50252645984801003</v>
      </c>
      <c r="AI4471">
        <v>113.807527621906</v>
      </c>
      <c r="AJ4471">
        <v>83.762803867672702</v>
      </c>
      <c r="AK4471">
        <v>0.55253594609183398</v>
      </c>
      <c r="AL4471">
        <v>77.777166261362296</v>
      </c>
      <c r="AM4471">
        <v>89.762681751495506</v>
      </c>
      <c r="AN4471">
        <v>0.99999998452125605</v>
      </c>
    </row>
    <row r="4472" spans="1:40" x14ac:dyDescent="0.25">
      <c r="A4472" t="str">
        <f>"20190303162350051"</f>
        <v>20190303162350051</v>
      </c>
      <c r="B4472" t="str">
        <f>"1551601430039278"</f>
        <v>1551601430039278</v>
      </c>
      <c r="C4472" t="s">
        <v>40</v>
      </c>
      <c r="D4472">
        <v>5.2003120000000003</v>
      </c>
      <c r="E4472">
        <v>0.52991659999999996</v>
      </c>
      <c r="F4472" t="s">
        <v>42</v>
      </c>
      <c r="G4472">
        <v>-366.30130000000003</v>
      </c>
      <c r="H4472">
        <v>0.90176630000000002</v>
      </c>
      <c r="I4472">
        <v>140.57329999999999</v>
      </c>
      <c r="J4472">
        <v>-365.75909999999999</v>
      </c>
      <c r="K4472">
        <v>1.120919</v>
      </c>
      <c r="L4472">
        <v>140.5164</v>
      </c>
      <c r="M4472">
        <v>-0.99983480000000002</v>
      </c>
      <c r="N4472">
        <v>-1.37115E-2</v>
      </c>
      <c r="O4472">
        <v>-1.1933600000000001E-2</v>
      </c>
      <c r="P4472">
        <v>-0.98016210000000004</v>
      </c>
      <c r="Q4472">
        <v>0.19805030000000001</v>
      </c>
      <c r="R4472">
        <v>-7.6584560000000001E-3</v>
      </c>
      <c r="S4472">
        <v>-3.2330019999999999</v>
      </c>
      <c r="T4472">
        <v>-0.84318890000000002</v>
      </c>
      <c r="U4472">
        <v>0.2048798</v>
      </c>
      <c r="V4472">
        <v>4.0858270000000002E-3</v>
      </c>
      <c r="W4472">
        <v>0.21147099999999999</v>
      </c>
      <c r="X4472">
        <v>0.97737569999999996</v>
      </c>
      <c r="Y4472">
        <v>7.2254680000000002E-2</v>
      </c>
      <c r="Z4472">
        <v>1.266041E-2</v>
      </c>
      <c r="AA4472">
        <v>0.99730589999999997</v>
      </c>
      <c r="AB4472">
        <v>29</v>
      </c>
      <c r="AC4472">
        <v>-0.54220000000003599</v>
      </c>
      <c r="AD4472">
        <v>-0.21915270000000001</v>
      </c>
      <c r="AE4472">
        <v>5.6899999999984602E-2</v>
      </c>
      <c r="AF4472">
        <v>5.4551850900966599E-2</v>
      </c>
      <c r="AG4472">
        <v>-0.21915270000000001</v>
      </c>
      <c r="AH4472">
        <v>0.46615562074721101</v>
      </c>
      <c r="AI4472">
        <v>115.029813128447</v>
      </c>
      <c r="AJ4472">
        <v>83.325321786884501</v>
      </c>
      <c r="AK4472">
        <v>0.51798153742023401</v>
      </c>
      <c r="AL4472">
        <v>77.791429068580996</v>
      </c>
      <c r="AM4472">
        <v>89.760481788899696</v>
      </c>
      <c r="AN4472">
        <v>0.99999996838688099</v>
      </c>
    </row>
    <row r="4473" spans="1:40" x14ac:dyDescent="0.25">
      <c r="A4473" t="str">
        <f>"20190303162350074"</f>
        <v>20190303162350074</v>
      </c>
      <c r="B4473" t="str">
        <f>"1551601430069534"</f>
        <v>1551601430069534</v>
      </c>
      <c r="C4473" t="s">
        <v>40</v>
      </c>
      <c r="D4473">
        <v>5.2331089999999998</v>
      </c>
      <c r="E4473">
        <v>0.52818549999999997</v>
      </c>
      <c r="F4473" t="s">
        <v>42</v>
      </c>
      <c r="G4473">
        <v>-366.56630000000001</v>
      </c>
      <c r="H4473">
        <v>0.910416</v>
      </c>
      <c r="I4473">
        <v>140.56790000000001</v>
      </c>
      <c r="J4473">
        <v>-366.0446</v>
      </c>
      <c r="K4473">
        <v>1.1209039999999999</v>
      </c>
      <c r="L4473">
        <v>140.51310000000001</v>
      </c>
      <c r="M4473">
        <v>-0.99983699999999998</v>
      </c>
      <c r="N4473">
        <v>-1.3631910000000001E-2</v>
      </c>
      <c r="O4473">
        <v>-1.185083E-2</v>
      </c>
      <c r="P4473">
        <v>-0.98022969999999998</v>
      </c>
      <c r="Q4473">
        <v>0.19771359999999999</v>
      </c>
      <c r="R4473">
        <v>-7.7148169999999997E-3</v>
      </c>
      <c r="S4473">
        <v>-3.2326350000000001</v>
      </c>
      <c r="T4473">
        <v>-0.84304999999999997</v>
      </c>
      <c r="U4473">
        <v>0.2055054</v>
      </c>
      <c r="V4473">
        <v>3.9487059999999997E-3</v>
      </c>
      <c r="W4473">
        <v>0.2110571</v>
      </c>
      <c r="X4473">
        <v>0.97746569999999999</v>
      </c>
      <c r="Y4473">
        <v>7.2370740000000003E-2</v>
      </c>
      <c r="Z4473">
        <v>1.2653309999999999E-2</v>
      </c>
      <c r="AA4473">
        <v>0.99729749999999995</v>
      </c>
      <c r="AB4473">
        <v>29</v>
      </c>
      <c r="AC4473">
        <v>-0.52170000000000905</v>
      </c>
      <c r="AD4473">
        <v>-0.21048800000000001</v>
      </c>
      <c r="AE4473">
        <v>5.4800000000000099E-2</v>
      </c>
      <c r="AF4473">
        <v>5.2522724906055203E-2</v>
      </c>
      <c r="AG4473">
        <v>-0.21048800000000001</v>
      </c>
      <c r="AH4473">
        <v>0.44875994100473798</v>
      </c>
      <c r="AI4473">
        <v>114.979104272379</v>
      </c>
      <c r="AJ4473">
        <v>83.324490130560307</v>
      </c>
      <c r="AK4473">
        <v>0.49844690732928898</v>
      </c>
      <c r="AL4473">
        <v>77.815691106054899</v>
      </c>
      <c r="AM4473">
        <v>89.768541282195102</v>
      </c>
      <c r="AN4473">
        <v>0.99999994320798502</v>
      </c>
    </row>
    <row r="4474" spans="1:40" x14ac:dyDescent="0.25">
      <c r="A4474" t="str">
        <f>"20190303162350096"</f>
        <v>20190303162350096</v>
      </c>
      <c r="B4474" t="str">
        <f>"1551601430089054"</f>
        <v>1551601430089054</v>
      </c>
      <c r="C4474" t="s">
        <v>40</v>
      </c>
      <c r="D4474">
        <v>5.1858829999999996</v>
      </c>
      <c r="E4474">
        <v>0.52841349999999998</v>
      </c>
      <c r="F4474" t="s">
        <v>42</v>
      </c>
      <c r="G4474">
        <v>-366.81020000000001</v>
      </c>
      <c r="H4474">
        <v>0.87050989999999995</v>
      </c>
      <c r="I4474">
        <v>140.55770000000001</v>
      </c>
      <c r="J4474">
        <v>-366.34269999999998</v>
      </c>
      <c r="K4474">
        <v>1.1208990000000001</v>
      </c>
      <c r="L4474">
        <v>140.50960000000001</v>
      </c>
      <c r="M4474">
        <v>-0.99983889999999997</v>
      </c>
      <c r="N4474">
        <v>-1.355468E-2</v>
      </c>
      <c r="O4474">
        <v>-1.1763549999999999E-2</v>
      </c>
      <c r="P4474">
        <v>-0.98025209999999996</v>
      </c>
      <c r="Q4474">
        <v>0.19761480000000001</v>
      </c>
      <c r="R4474">
        <v>-7.3596649999999996E-3</v>
      </c>
      <c r="S4474">
        <v>-3.2782589999999998</v>
      </c>
      <c r="T4474">
        <v>-1.072166</v>
      </c>
      <c r="U4474">
        <v>0.1908417</v>
      </c>
      <c r="V4474">
        <v>4.2179089999999997E-3</v>
      </c>
      <c r="W4474">
        <v>0.21088280000000001</v>
      </c>
      <c r="X4474">
        <v>0.97750219999999999</v>
      </c>
      <c r="Y4474">
        <v>6.5730269999999993E-2</v>
      </c>
      <c r="Z4474">
        <v>1.451654E-2</v>
      </c>
      <c r="AA4474">
        <v>0.99773179999999995</v>
      </c>
      <c r="AB4474">
        <v>29</v>
      </c>
      <c r="AC4474">
        <v>-0.467500000000029</v>
      </c>
      <c r="AD4474">
        <v>-0.25038909999999898</v>
      </c>
      <c r="AE4474">
        <v>4.8100000000005097E-2</v>
      </c>
      <c r="AF4474">
        <v>4.1746688986432003E-2</v>
      </c>
      <c r="AG4474">
        <v>-0.25038909999999898</v>
      </c>
      <c r="AH4474">
        <v>0.36367213001784099</v>
      </c>
      <c r="AI4474">
        <v>124.37253288846399</v>
      </c>
      <c r="AJ4474">
        <v>83.451559963352295</v>
      </c>
      <c r="AK4474">
        <v>0.44350299389277298</v>
      </c>
      <c r="AL4474">
        <v>77.825907776791794</v>
      </c>
      <c r="AM4474">
        <v>89.752771007365894</v>
      </c>
      <c r="AN4474">
        <v>0.99999994854850405</v>
      </c>
    </row>
    <row r="4475" spans="1:40" x14ac:dyDescent="0.25">
      <c r="A4475" t="str">
        <f>"20190303162350119"</f>
        <v>20190303162350119</v>
      </c>
      <c r="B4475" t="str">
        <f>"1551601430109550"</f>
        <v>1551601430109550</v>
      </c>
      <c r="C4475" t="s">
        <v>40</v>
      </c>
      <c r="D4475">
        <v>5.2135379999999998</v>
      </c>
      <c r="E4475">
        <v>0.5286727</v>
      </c>
      <c r="F4475" t="s">
        <v>42</v>
      </c>
      <c r="G4475">
        <v>-367.07310000000001</v>
      </c>
      <c r="H4475">
        <v>0.87602380000000002</v>
      </c>
      <c r="I4475">
        <v>140.55330000000001</v>
      </c>
      <c r="J4475">
        <v>-366.63049999999998</v>
      </c>
      <c r="K4475">
        <v>1.1208940000000001</v>
      </c>
      <c r="L4475">
        <v>140.50630000000001</v>
      </c>
      <c r="M4475">
        <v>-0.99984090000000003</v>
      </c>
      <c r="N4475">
        <v>-1.348688E-2</v>
      </c>
      <c r="O4475">
        <v>-1.167896E-2</v>
      </c>
      <c r="P4475">
        <v>-0.98016859999999995</v>
      </c>
      <c r="Q4475">
        <v>0.19803180000000001</v>
      </c>
      <c r="R4475">
        <v>-7.2752049999999999E-3</v>
      </c>
      <c r="S4475">
        <v>-3.2838750000000001</v>
      </c>
      <c r="T4475">
        <v>-1.1009359999999999</v>
      </c>
      <c r="U4475">
        <v>0.19406129999999999</v>
      </c>
      <c r="V4475">
        <v>4.2181629999999996E-3</v>
      </c>
      <c r="W4475">
        <v>0.21123239999999999</v>
      </c>
      <c r="X4475">
        <v>0.97742680000000004</v>
      </c>
      <c r="Y4475">
        <v>6.6292820000000002E-2</v>
      </c>
      <c r="Z4475">
        <v>1.4922799999999899E-2</v>
      </c>
      <c r="AA4475">
        <v>0.99768860000000004</v>
      </c>
      <c r="AB4475">
        <v>29</v>
      </c>
      <c r="AC4475">
        <v>-0.44260000000002703</v>
      </c>
      <c r="AD4475">
        <v>-0.24487019999999901</v>
      </c>
      <c r="AE4475">
        <v>4.6999999999997003E-2</v>
      </c>
      <c r="AF4475">
        <v>4.0045520866994103E-2</v>
      </c>
      <c r="AG4475">
        <v>-0.24487019999999901</v>
      </c>
      <c r="AH4475">
        <v>0.33931735249661199</v>
      </c>
      <c r="AI4475">
        <v>125.628472901216</v>
      </c>
      <c r="AJ4475">
        <v>83.269206615448297</v>
      </c>
      <c r="AK4475">
        <v>0.420358566339332</v>
      </c>
      <c r="AL4475">
        <v>77.805416620312201</v>
      </c>
      <c r="AM4475">
        <v>89.752737047081993</v>
      </c>
      <c r="AN4475">
        <v>1.00000003453354</v>
      </c>
    </row>
    <row r="4476" spans="1:40" x14ac:dyDescent="0.25">
      <c r="A4476" t="str">
        <f>"20190303162350140"</f>
        <v>20190303162350140</v>
      </c>
      <c r="B4476" t="str">
        <f>"1551601430129071"</f>
        <v>1551601430129071</v>
      </c>
      <c r="C4476" t="s">
        <v>40</v>
      </c>
      <c r="D4476">
        <v>5.2199980000000004</v>
      </c>
      <c r="E4476">
        <v>0.52890289999999995</v>
      </c>
      <c r="F4476" t="s">
        <v>42</v>
      </c>
      <c r="G4476">
        <v>-367.33710000000002</v>
      </c>
      <c r="H4476">
        <v>0.8842525</v>
      </c>
      <c r="I4476">
        <v>140.54830000000001</v>
      </c>
      <c r="J4476">
        <v>-366.91950000000003</v>
      </c>
      <c r="K4476">
        <v>1.120892</v>
      </c>
      <c r="L4476">
        <v>140.50309999999999</v>
      </c>
      <c r="M4476">
        <v>-0.99984269999999997</v>
      </c>
      <c r="N4476">
        <v>-1.3425370000000001E-2</v>
      </c>
      <c r="O4476">
        <v>-1.1594170000000001E-2</v>
      </c>
      <c r="P4476">
        <v>-0.98033490000000001</v>
      </c>
      <c r="Q4476">
        <v>0.1972023</v>
      </c>
      <c r="R4476">
        <v>-7.4129419999999996E-3</v>
      </c>
      <c r="S4476">
        <v>-3.284332</v>
      </c>
      <c r="T4476">
        <v>-1.0998589999999999</v>
      </c>
      <c r="U4476">
        <v>0.1958008</v>
      </c>
      <c r="V4476">
        <v>3.9987060000000003E-3</v>
      </c>
      <c r="W4476">
        <v>0.21034530000000001</v>
      </c>
      <c r="X4476">
        <v>0.97761900000000002</v>
      </c>
      <c r="Y4476">
        <v>6.6716800000000007E-2</v>
      </c>
      <c r="Z4476">
        <v>1.495114E-2</v>
      </c>
      <c r="AA4476">
        <v>0.99765990000000004</v>
      </c>
      <c r="AB4476">
        <v>29</v>
      </c>
      <c r="AC4476">
        <v>-0.41759999999999298</v>
      </c>
      <c r="AD4476">
        <v>-0.2366395</v>
      </c>
      <c r="AE4476">
        <v>4.52000000000225E-2</v>
      </c>
      <c r="AF4476">
        <v>3.7983489959959198E-2</v>
      </c>
      <c r="AG4476">
        <v>-0.2366395</v>
      </c>
      <c r="AH4476">
        <v>0.31657093191571201</v>
      </c>
      <c r="AI4476">
        <v>126.58226474488001</v>
      </c>
      <c r="AJ4476">
        <v>83.158122588652603</v>
      </c>
      <c r="AK4476">
        <v>0.39706190122419299</v>
      </c>
      <c r="AL4476">
        <v>77.857411803416696</v>
      </c>
      <c r="AM4476">
        <v>89.765647251484395</v>
      </c>
      <c r="AN4476">
        <v>1.0000000220213801</v>
      </c>
    </row>
    <row r="4477" spans="1:40" x14ac:dyDescent="0.25">
      <c r="A4477" t="str">
        <f>"20190303162350164"</f>
        <v>20190303162350164</v>
      </c>
      <c r="B4477" t="str">
        <f>"1551601430159327"</f>
        <v>1551601430159327</v>
      </c>
      <c r="C4477" t="s">
        <v>40</v>
      </c>
      <c r="D4477">
        <v>5.2576340000000004</v>
      </c>
      <c r="E4477">
        <v>0.52918529999999997</v>
      </c>
      <c r="F4477" t="s">
        <v>42</v>
      </c>
      <c r="G4477">
        <v>-367.60109999999997</v>
      </c>
      <c r="H4477">
        <v>0.89248069999999902</v>
      </c>
      <c r="I4477">
        <v>140.54419999999999</v>
      </c>
      <c r="J4477">
        <v>-367.21050000000002</v>
      </c>
      <c r="K4477">
        <v>1.1208849999999999</v>
      </c>
      <c r="L4477">
        <v>140.49979999999999</v>
      </c>
      <c r="M4477">
        <v>-0.99984439999999997</v>
      </c>
      <c r="N4477">
        <v>-1.337006E-2</v>
      </c>
      <c r="O4477">
        <v>-1.1509419999999999E-2</v>
      </c>
      <c r="P4477">
        <v>-0.98034809999999994</v>
      </c>
      <c r="Q4477">
        <v>0.1971242</v>
      </c>
      <c r="R4477">
        <v>-7.7234390000000003E-3</v>
      </c>
      <c r="S4477">
        <v>-3.2829899999999999</v>
      </c>
      <c r="T4477">
        <v>-1.100106</v>
      </c>
      <c r="U4477">
        <v>0.1974487</v>
      </c>
      <c r="V4477">
        <v>3.605025E-3</v>
      </c>
      <c r="W4477">
        <v>0.21021339999999999</v>
      </c>
      <c r="X4477">
        <v>0.97764890000000004</v>
      </c>
      <c r="Y4477">
        <v>6.7131449999999995E-2</v>
      </c>
      <c r="Z4477">
        <v>1.5002379999999999E-2</v>
      </c>
      <c r="AA4477">
        <v>0.99763139999999995</v>
      </c>
      <c r="AB4477">
        <v>29</v>
      </c>
      <c r="AC4477">
        <v>-0.39059999999994899</v>
      </c>
      <c r="AD4477">
        <v>-0.2284043</v>
      </c>
      <c r="AE4477">
        <v>4.4399999999995998E-2</v>
      </c>
      <c r="AF4477">
        <v>3.6553533271191603E-2</v>
      </c>
      <c r="AG4477">
        <v>-0.2284043</v>
      </c>
      <c r="AH4477">
        <v>0.29161989289441098</v>
      </c>
      <c r="AI4477">
        <v>127.852376227242</v>
      </c>
      <c r="AJ4477">
        <v>82.855436857531899</v>
      </c>
      <c r="AK4477">
        <v>0.37221881600054302</v>
      </c>
      <c r="AL4477">
        <v>77.865141936136794</v>
      </c>
      <c r="AM4477">
        <v>89.788726012615996</v>
      </c>
      <c r="AN4477">
        <v>1.00000002070801</v>
      </c>
    </row>
    <row r="4478" spans="1:40" x14ac:dyDescent="0.25">
      <c r="A4478" t="str">
        <f>"20190303162350186"</f>
        <v>20190303162350186</v>
      </c>
      <c r="B4478" t="str">
        <f>"1551601430179822"</f>
        <v>1551601430179822</v>
      </c>
      <c r="C4478" t="s">
        <v>40</v>
      </c>
      <c r="D4478">
        <v>5.2522919999999997</v>
      </c>
      <c r="E4478">
        <v>0.52929329999999997</v>
      </c>
      <c r="F4478" t="s">
        <v>42</v>
      </c>
      <c r="G4478">
        <v>-368.09480000000002</v>
      </c>
      <c r="H4478">
        <v>0.82580219999999904</v>
      </c>
      <c r="I4478">
        <v>140.5538</v>
      </c>
      <c r="J4478">
        <v>-367.51220000000001</v>
      </c>
      <c r="K4478">
        <v>1.1208849999999999</v>
      </c>
      <c r="L4478">
        <v>140.49639999999999</v>
      </c>
      <c r="M4478">
        <v>-0.99984600000000001</v>
      </c>
      <c r="N4478">
        <v>-1.3319589999999999E-2</v>
      </c>
      <c r="O4478">
        <v>-1.142136E-2</v>
      </c>
      <c r="P4478">
        <v>-0.98049149999999996</v>
      </c>
      <c r="Q4478">
        <v>0.19641829999999999</v>
      </c>
      <c r="R4478">
        <v>-7.5129269999999904E-3</v>
      </c>
      <c r="S4478">
        <v>-3.2819519999999902</v>
      </c>
      <c r="T4478">
        <v>-1.0952630000000001</v>
      </c>
      <c r="U4478">
        <v>0.19987489999999999</v>
      </c>
      <c r="V4478">
        <v>3.7307669999999999E-3</v>
      </c>
      <c r="W4478">
        <v>0.20946049999999999</v>
      </c>
      <c r="X4478">
        <v>0.97780999999999996</v>
      </c>
      <c r="Y4478">
        <v>6.7799209999999999E-2</v>
      </c>
      <c r="Z4478">
        <v>1.502934E-2</v>
      </c>
      <c r="AA4478">
        <v>0.99758579999999997</v>
      </c>
      <c r="AB4478">
        <v>29</v>
      </c>
      <c r="AC4478">
        <v>-0.582600000000013</v>
      </c>
      <c r="AD4478">
        <v>-0.29508279999999998</v>
      </c>
      <c r="AE4478">
        <v>5.74000000000012E-2</v>
      </c>
      <c r="AF4478">
        <v>5.1074491278952201E-2</v>
      </c>
      <c r="AG4478">
        <v>-0.29508279999999998</v>
      </c>
      <c r="AH4478">
        <v>0.46401466015348602</v>
      </c>
      <c r="AI4478">
        <v>122.29765657602</v>
      </c>
      <c r="AJ4478">
        <v>83.718690273640206</v>
      </c>
      <c r="AK4478">
        <v>0.552260868931159</v>
      </c>
      <c r="AL4478">
        <v>77.909262047830595</v>
      </c>
      <c r="AM4478">
        <v>89.781392943212097</v>
      </c>
      <c r="AN4478">
        <v>1.00000000789132</v>
      </c>
    </row>
    <row r="4479" spans="1:40" x14ac:dyDescent="0.25">
      <c r="A4479" t="str">
        <f>"20190303162350209"</f>
        <v>20190303162350209</v>
      </c>
      <c r="B4479" t="str">
        <f>"1551601430199344"</f>
        <v>1551601430199344</v>
      </c>
      <c r="C4479" t="s">
        <v>40</v>
      </c>
      <c r="D4479">
        <v>5.2724760000000002</v>
      </c>
      <c r="E4479">
        <v>0.52942199999999995</v>
      </c>
      <c r="F4479" t="s">
        <v>42</v>
      </c>
      <c r="G4479">
        <v>-368.3596</v>
      </c>
      <c r="H4479">
        <v>0.83794000000000002</v>
      </c>
      <c r="I4479">
        <v>140.5487</v>
      </c>
      <c r="J4479">
        <v>-367.80349999999999</v>
      </c>
      <c r="K4479">
        <v>1.120878</v>
      </c>
      <c r="L4479">
        <v>140.4932</v>
      </c>
      <c r="M4479">
        <v>-0.99984770000000001</v>
      </c>
      <c r="N4479">
        <v>-1.327649E-2</v>
      </c>
      <c r="O4479">
        <v>-1.133692E-2</v>
      </c>
      <c r="P4479">
        <v>-0.98056469999999996</v>
      </c>
      <c r="Q4479">
        <v>0.19604450000000001</v>
      </c>
      <c r="R4479">
        <v>-7.7224759999999998E-3</v>
      </c>
      <c r="S4479">
        <v>-3.2807010000000001</v>
      </c>
      <c r="T4479">
        <v>-1.095475</v>
      </c>
      <c r="U4479">
        <v>0.20175170000000001</v>
      </c>
      <c r="V4479">
        <v>3.4389400000000001E-3</v>
      </c>
      <c r="W4479">
        <v>0.2090455</v>
      </c>
      <c r="X4479">
        <v>0.97789979999999999</v>
      </c>
      <c r="Y4479">
        <v>6.8279450000000005E-2</v>
      </c>
      <c r="Z4479">
        <v>1.509105E-2</v>
      </c>
      <c r="AA4479">
        <v>0.99755210000000005</v>
      </c>
      <c r="AB4479">
        <v>29</v>
      </c>
      <c r="AC4479">
        <v>-0.55610000000001403</v>
      </c>
      <c r="AD4479">
        <v>-0.28293800000000002</v>
      </c>
      <c r="AE4479">
        <v>5.5499999999994998E-2</v>
      </c>
      <c r="AF4479">
        <v>4.9192675662843501E-2</v>
      </c>
      <c r="AG4479">
        <v>-0.28293800000000002</v>
      </c>
      <c r="AH4479">
        <v>0.44211477829453499</v>
      </c>
      <c r="AI4479">
        <v>122.457990770335</v>
      </c>
      <c r="AJ4479">
        <v>83.650999554719903</v>
      </c>
      <c r="AK4479">
        <v>0.52719949579765002</v>
      </c>
      <c r="AL4479">
        <v>77.933577200839096</v>
      </c>
      <c r="AM4479">
        <v>89.798511119686395</v>
      </c>
      <c r="AN4479">
        <v>0.99999993310930402</v>
      </c>
    </row>
    <row r="4480" spans="1:40" x14ac:dyDescent="0.25">
      <c r="A4480" t="str">
        <f>"20190303162350230"</f>
        <v>20190303162350230</v>
      </c>
      <c r="B4480" t="str">
        <f>"1551601430219838"</f>
        <v>1551601430219838</v>
      </c>
      <c r="C4480" t="s">
        <v>40</v>
      </c>
      <c r="D4480">
        <v>5.2657030000000002</v>
      </c>
      <c r="E4480">
        <v>0.52959100000000003</v>
      </c>
      <c r="F4480" t="s">
        <v>42</v>
      </c>
      <c r="G4480">
        <v>-368.6232</v>
      </c>
      <c r="H4480">
        <v>0.84741809999999995</v>
      </c>
      <c r="I4480">
        <v>140.5438</v>
      </c>
      <c r="J4480">
        <v>-368.0822</v>
      </c>
      <c r="K4480">
        <v>1.120876</v>
      </c>
      <c r="L4480">
        <v>140.49010000000001</v>
      </c>
      <c r="M4480">
        <v>-0.99984899999999999</v>
      </c>
      <c r="N4480">
        <v>-1.324004E-2</v>
      </c>
      <c r="O4480">
        <v>-1.125575E-2</v>
      </c>
      <c r="P4480">
        <v>-0.98060919999999896</v>
      </c>
      <c r="Q4480">
        <v>0.19583039999999999</v>
      </c>
      <c r="R4480">
        <v>-7.4872910000000001E-3</v>
      </c>
      <c r="S4480">
        <v>-3.2798159999999998</v>
      </c>
      <c r="T4480">
        <v>-1.0941719999999999</v>
      </c>
      <c r="U4480">
        <v>0.2018585</v>
      </c>
      <c r="V4480">
        <v>3.594968E-3</v>
      </c>
      <c r="W4480">
        <v>0.2087965</v>
      </c>
      <c r="X4480">
        <v>0.9779525</v>
      </c>
      <c r="Y4480">
        <v>6.8260559999999998E-2</v>
      </c>
      <c r="Z4480">
        <v>1.504875E-2</v>
      </c>
      <c r="AA4480">
        <v>0.99755400000000005</v>
      </c>
      <c r="AB4480">
        <v>29</v>
      </c>
      <c r="AC4480">
        <v>-0.54099999999999604</v>
      </c>
      <c r="AD4480">
        <v>-0.27345789999999898</v>
      </c>
      <c r="AE4480">
        <v>5.3699999999991997E-2</v>
      </c>
      <c r="AF4480">
        <v>4.7714503702245101E-2</v>
      </c>
      <c r="AG4480">
        <v>-0.27345789999999898</v>
      </c>
      <c r="AH4480">
        <v>0.43125239963589801</v>
      </c>
      <c r="AI4480">
        <v>122.221419123294</v>
      </c>
      <c r="AJ4480">
        <v>83.6863762389535</v>
      </c>
      <c r="AK4480">
        <v>0.51286892002507001</v>
      </c>
      <c r="AL4480">
        <v>77.948166568631706</v>
      </c>
      <c r="AM4480">
        <v>89.789380807248307</v>
      </c>
      <c r="AN4480">
        <v>0.99999999723170996</v>
      </c>
    </row>
    <row r="4481" spans="1:40" x14ac:dyDescent="0.25">
      <c r="A4481" t="str">
        <f>"20190303162350253"</f>
        <v>20190303162350253</v>
      </c>
      <c r="B4481" t="str">
        <f>"1551601430250094"</f>
        <v>1551601430250094</v>
      </c>
      <c r="C4481" t="s">
        <v>40</v>
      </c>
      <c r="D4481">
        <v>5.2883190000000004</v>
      </c>
      <c r="E4481">
        <v>0.52973230000000004</v>
      </c>
      <c r="F4481" t="s">
        <v>42</v>
      </c>
      <c r="G4481">
        <v>-368.8852</v>
      </c>
      <c r="H4481">
        <v>0.85309990000000002</v>
      </c>
      <c r="I4481">
        <v>140.54040000000001</v>
      </c>
      <c r="J4481">
        <v>-368.37599999999998</v>
      </c>
      <c r="K4481">
        <v>1.120876</v>
      </c>
      <c r="L4481">
        <v>140.48689999999999</v>
      </c>
      <c r="M4481">
        <v>-0.99985049999999998</v>
      </c>
      <c r="N4481">
        <v>-1.3206259999999999E-2</v>
      </c>
      <c r="O4481">
        <v>-1.1170060000000001E-2</v>
      </c>
      <c r="P4481">
        <v>-0.98072429999999999</v>
      </c>
      <c r="Q4481">
        <v>0.1952451</v>
      </c>
      <c r="R4481">
        <v>-7.7093589999999998E-3</v>
      </c>
      <c r="S4481">
        <v>-3.279236</v>
      </c>
      <c r="T4481">
        <v>-1.0934680000000001</v>
      </c>
      <c r="U4481">
        <v>0.20462040000000001</v>
      </c>
      <c r="V4481">
        <v>3.2901480000000001E-3</v>
      </c>
      <c r="W4481">
        <v>0.20817949999999999</v>
      </c>
      <c r="X4481">
        <v>0.97808510000000004</v>
      </c>
      <c r="Y4481">
        <v>6.8990570000000001E-2</v>
      </c>
      <c r="Z4481">
        <v>1.513771E-2</v>
      </c>
      <c r="AA4481">
        <v>0.99750240000000001</v>
      </c>
      <c r="AB4481">
        <v>29</v>
      </c>
      <c r="AC4481">
        <v>-0.50920000000002097</v>
      </c>
      <c r="AD4481">
        <v>-0.26777610000000002</v>
      </c>
      <c r="AE4481">
        <v>5.35000000000138E-2</v>
      </c>
      <c r="AF4481">
        <v>4.6473289889875501E-2</v>
      </c>
      <c r="AG4481">
        <v>-0.26777610000000002</v>
      </c>
      <c r="AH4481">
        <v>0.399340493480003</v>
      </c>
      <c r="AI4481">
        <v>123.665630394842</v>
      </c>
      <c r="AJ4481">
        <v>83.362056714661904</v>
      </c>
      <c r="AK4481">
        <v>0.48304931025439901</v>
      </c>
      <c r="AL4481">
        <v>77.984312357912401</v>
      </c>
      <c r="AM4481">
        <v>89.8072653562173</v>
      </c>
      <c r="AN4481">
        <v>0.99999999606806</v>
      </c>
    </row>
    <row r="4482" spans="1:40" x14ac:dyDescent="0.25">
      <c r="A4482" t="str">
        <f>"20190303162350275"</f>
        <v>20190303162350275</v>
      </c>
      <c r="B4482" t="str">
        <f>"1551601430269615"</f>
        <v>1551601430269615</v>
      </c>
      <c r="C4482" t="s">
        <v>40</v>
      </c>
      <c r="D4482">
        <v>5.2651089999999998</v>
      </c>
      <c r="E4482">
        <v>0.52982510000000005</v>
      </c>
      <c r="F4482" t="s">
        <v>42</v>
      </c>
      <c r="G4482">
        <v>-369.14870000000002</v>
      </c>
      <c r="H4482">
        <v>0.86290480000000003</v>
      </c>
      <c r="I4482">
        <v>140.53550000000001</v>
      </c>
      <c r="J4482">
        <v>-368.66649999999998</v>
      </c>
      <c r="K4482">
        <v>1.1208769999999999</v>
      </c>
      <c r="L4482">
        <v>140.4838</v>
      </c>
      <c r="M4482">
        <v>-0.99985179999999996</v>
      </c>
      <c r="N4482">
        <v>-1.3177090000000001E-2</v>
      </c>
      <c r="O4482">
        <v>-1.108512E-2</v>
      </c>
      <c r="P4482">
        <v>-0.9807631</v>
      </c>
      <c r="Q4482">
        <v>0.19505239999999999</v>
      </c>
      <c r="R4482">
        <v>-7.6417569999999999E-3</v>
      </c>
      <c r="S4482">
        <v>-3.2784420000000001</v>
      </c>
      <c r="T4482">
        <v>-1.0945910000000001</v>
      </c>
      <c r="U4482">
        <v>0.20442199999999999</v>
      </c>
      <c r="V4482">
        <v>3.2747620000000001E-3</v>
      </c>
      <c r="W4482">
        <v>0.20795839999999999</v>
      </c>
      <c r="X4482">
        <v>0.97813220000000001</v>
      </c>
      <c r="Y4482">
        <v>6.8861610000000004E-2</v>
      </c>
      <c r="Z4482">
        <v>1.510658E-2</v>
      </c>
      <c r="AA4482">
        <v>0.99751190000000001</v>
      </c>
      <c r="AB4482">
        <v>29</v>
      </c>
      <c r="AC4482">
        <v>-0.48220000000003399</v>
      </c>
      <c r="AD4482">
        <v>-0.25797219999999998</v>
      </c>
      <c r="AE4482">
        <v>5.1700000000010897E-2</v>
      </c>
      <c r="AF4482">
        <v>4.44616056493801E-2</v>
      </c>
      <c r="AG4482">
        <v>-0.25797219999999998</v>
      </c>
      <c r="AH4482">
        <v>0.37537929996292402</v>
      </c>
      <c r="AI4482">
        <v>124.31198385219599</v>
      </c>
      <c r="AJ4482">
        <v>83.245102292887594</v>
      </c>
      <c r="AK4482">
        <v>0.457641900606157</v>
      </c>
      <c r="AL4482">
        <v>77.997264085469993</v>
      </c>
      <c r="AM4482">
        <v>89.808175888218102</v>
      </c>
      <c r="AN4482">
        <v>1.0000000104367699</v>
      </c>
    </row>
    <row r="4483" spans="1:40" x14ac:dyDescent="0.25">
      <c r="A4483" t="str">
        <f>"20190303162350301"</f>
        <v>20190303162350301</v>
      </c>
      <c r="B4483" t="str">
        <f>"1551601430289135"</f>
        <v>1551601430289135</v>
      </c>
      <c r="C4483" t="s">
        <v>40</v>
      </c>
      <c r="D4483">
        <v>5.2631940000000004</v>
      </c>
      <c r="E4483">
        <v>0.52993630000000003</v>
      </c>
      <c r="F4483" t="s">
        <v>42</v>
      </c>
      <c r="G4483">
        <v>-369.41180000000003</v>
      </c>
      <c r="H4483">
        <v>0.87221319999999902</v>
      </c>
      <c r="I4483">
        <v>140.53049999999999</v>
      </c>
      <c r="J4483">
        <v>-369.00150000000002</v>
      </c>
      <c r="K4483">
        <v>1.120876</v>
      </c>
      <c r="L4483">
        <v>140.4802</v>
      </c>
      <c r="M4483">
        <v>-0.9998534</v>
      </c>
      <c r="N4483">
        <v>-1.3143159999999999E-2</v>
      </c>
      <c r="O4483">
        <v>-1.0987159999999999E-2</v>
      </c>
      <c r="P4483">
        <v>-0.98085129999999998</v>
      </c>
      <c r="Q4483">
        <v>0.19461600000000001</v>
      </c>
      <c r="R4483">
        <v>-7.440276E-3</v>
      </c>
      <c r="S4483">
        <v>-3.2779539999999998</v>
      </c>
      <c r="T4483">
        <v>-1.0937030000000001</v>
      </c>
      <c r="U4483">
        <v>0.20558170000000001</v>
      </c>
      <c r="V4483">
        <v>3.3807189999999999E-3</v>
      </c>
      <c r="W4483">
        <v>0.20749010000000001</v>
      </c>
      <c r="X4483">
        <v>0.97823130000000003</v>
      </c>
      <c r="Y4483">
        <v>6.9121000000000002E-2</v>
      </c>
      <c r="Z4483">
        <v>1.5109589999999999E-2</v>
      </c>
      <c r="AA4483">
        <v>0.99749390000000004</v>
      </c>
      <c r="AB4483">
        <v>29</v>
      </c>
      <c r="AC4483">
        <v>-0.41030000000000599</v>
      </c>
      <c r="AD4483">
        <v>-0.24866279999999999</v>
      </c>
      <c r="AE4483">
        <v>5.0299999999992899E-2</v>
      </c>
      <c r="AF4483">
        <v>4.02430495780201E-2</v>
      </c>
      <c r="AG4483">
        <v>-0.24866279999999999</v>
      </c>
      <c r="AH4483">
        <v>0.300855186898626</v>
      </c>
      <c r="AI4483">
        <v>129.32513956022601</v>
      </c>
      <c r="AJ4483">
        <v>82.381215342284605</v>
      </c>
      <c r="AK4483">
        <v>0.39238569625686698</v>
      </c>
      <c r="AL4483">
        <v>78.024694176194799</v>
      </c>
      <c r="AM4483">
        <v>89.801989407552696</v>
      </c>
      <c r="AN4483">
        <v>1.0000000235793201</v>
      </c>
    </row>
    <row r="4484" spans="1:40" x14ac:dyDescent="0.25">
      <c r="A4484" t="str">
        <f>"20190303162350320"</f>
        <v>20190303162350320</v>
      </c>
      <c r="B4484" t="str">
        <f>"1551601430309631"</f>
        <v>1551601430309631</v>
      </c>
      <c r="C4484" t="s">
        <v>40</v>
      </c>
      <c r="D4484">
        <v>5.2930089999999996</v>
      </c>
      <c r="E4484">
        <v>0.52998639999999997</v>
      </c>
      <c r="F4484" t="s">
        <v>42</v>
      </c>
      <c r="G4484">
        <v>-369.68049999999999</v>
      </c>
      <c r="H4484">
        <v>0.89440629999999999</v>
      </c>
      <c r="I4484">
        <v>140.52340000000001</v>
      </c>
      <c r="J4484">
        <v>-369.24720000000002</v>
      </c>
      <c r="K4484">
        <v>1.120871</v>
      </c>
      <c r="L4484">
        <v>140.4776</v>
      </c>
      <c r="M4484">
        <v>-0.99985440000000003</v>
      </c>
      <c r="N4484">
        <v>-1.3112499999999999E-2</v>
      </c>
      <c r="O4484">
        <v>-1.0915909999999999E-2</v>
      </c>
      <c r="P4484">
        <v>-0.98087000000000002</v>
      </c>
      <c r="Q4484">
        <v>0.1945452</v>
      </c>
      <c r="R4484">
        <v>-6.8109879999999996E-3</v>
      </c>
      <c r="S4484">
        <v>-3.2770389999999998</v>
      </c>
      <c r="T4484">
        <v>-1.093037</v>
      </c>
      <c r="U4484">
        <v>0.2075806</v>
      </c>
      <c r="V4484">
        <v>3.9407469999999997E-3</v>
      </c>
      <c r="W4484">
        <v>0.20738980000000001</v>
      </c>
      <c r="X4484">
        <v>0.97825039999999996</v>
      </c>
      <c r="Y4484">
        <v>6.9650409999999996E-2</v>
      </c>
      <c r="Z4484">
        <v>1.5171169999999999E-2</v>
      </c>
      <c r="AA4484">
        <v>0.99745609999999996</v>
      </c>
      <c r="AB4484">
        <v>29</v>
      </c>
      <c r="AC4484">
        <v>-0.43329999999997398</v>
      </c>
      <c r="AD4484">
        <v>-0.22646469999999999</v>
      </c>
      <c r="AE4484">
        <v>4.5800000000014003E-2</v>
      </c>
      <c r="AF4484">
        <v>3.97808958108542E-2</v>
      </c>
      <c r="AG4484">
        <v>-0.22646469999999999</v>
      </c>
      <c r="AH4484">
        <v>0.34072793540199198</v>
      </c>
      <c r="AI4484">
        <v>123.431413971815</v>
      </c>
      <c r="AJ4484">
        <v>83.340713608802602</v>
      </c>
      <c r="AK4484">
        <v>0.41105268029889802</v>
      </c>
      <c r="AL4484">
        <v>78.030567856345996</v>
      </c>
      <c r="AM4484">
        <v>89.769193092178</v>
      </c>
      <c r="AN4484">
        <v>0.99999995186555701</v>
      </c>
    </row>
    <row r="4485" spans="1:40" x14ac:dyDescent="0.25">
      <c r="A4485" t="str">
        <f>"20190303162350342"</f>
        <v>20190303162350342</v>
      </c>
      <c r="B4485" t="str">
        <f>"1551601430339886"</f>
        <v>1551601430339886</v>
      </c>
      <c r="C4485" t="s">
        <v>40</v>
      </c>
      <c r="D4485">
        <v>5.281091</v>
      </c>
      <c r="E4485">
        <v>0.53371780000000002</v>
      </c>
      <c r="F4485" t="s">
        <v>42</v>
      </c>
      <c r="G4485">
        <v>-369.93799999999999</v>
      </c>
      <c r="H4485">
        <v>0.89050560000000001</v>
      </c>
      <c r="I4485">
        <v>140.52180000000001</v>
      </c>
      <c r="J4485">
        <v>-369.5367</v>
      </c>
      <c r="K4485">
        <v>1.120857</v>
      </c>
      <c r="L4485">
        <v>140.47450000000001</v>
      </c>
      <c r="M4485">
        <v>-0.99985599999999997</v>
      </c>
      <c r="N4485">
        <v>-1.3064620000000001E-2</v>
      </c>
      <c r="O4485">
        <v>-1.08351E-2</v>
      </c>
      <c r="P4485">
        <v>-0.98089820000000005</v>
      </c>
      <c r="Q4485">
        <v>0.19441829999999999</v>
      </c>
      <c r="R4485">
        <v>-6.3376569999999896E-3</v>
      </c>
      <c r="S4485">
        <v>-3.2767029999999999</v>
      </c>
      <c r="T4485">
        <v>-1.0926579999999999</v>
      </c>
      <c r="U4485">
        <v>0.2091827</v>
      </c>
      <c r="V4485">
        <v>4.3364279999999998E-3</v>
      </c>
      <c r="W4485">
        <v>0.20721629999999999</v>
      </c>
      <c r="X4485">
        <v>0.97828559999999998</v>
      </c>
      <c r="Y4485">
        <v>7.0046449999999996E-2</v>
      </c>
      <c r="Z4485">
        <v>1.5208009999999999E-2</v>
      </c>
      <c r="AA4485">
        <v>0.99742779999999998</v>
      </c>
      <c r="AB4485">
        <v>29</v>
      </c>
      <c r="AC4485">
        <v>-0.40130000000004801</v>
      </c>
      <c r="AD4485">
        <v>-0.23035140000000001</v>
      </c>
      <c r="AE4485">
        <v>4.7300000000007003E-2</v>
      </c>
      <c r="AF4485">
        <v>3.8978604335431301E-2</v>
      </c>
      <c r="AG4485">
        <v>-0.23035140000000001</v>
      </c>
      <c r="AH4485">
        <v>0.30246877106293601</v>
      </c>
      <c r="AI4485">
        <v>127.064657037624</v>
      </c>
      <c r="AJ4485">
        <v>82.656867054961296</v>
      </c>
      <c r="AK4485">
        <v>0.382189032477674</v>
      </c>
      <c r="AL4485">
        <v>78.040730697010801</v>
      </c>
      <c r="AM4485">
        <v>89.746027749681801</v>
      </c>
      <c r="AN4485">
        <v>1.00000005738042</v>
      </c>
    </row>
    <row r="4486" spans="1:40" x14ac:dyDescent="0.25">
      <c r="A4486" t="str">
        <f>"20190303162350366"</f>
        <v>20190303162350366</v>
      </c>
      <c r="B4486" t="str">
        <f>"1551601430359406"</f>
        <v>1551601430359406</v>
      </c>
      <c r="C4486" t="s">
        <v>40</v>
      </c>
      <c r="D4486">
        <v>5.3452440000000001</v>
      </c>
      <c r="E4486">
        <v>0.54146680000000003</v>
      </c>
      <c r="F4486" t="s">
        <v>42</v>
      </c>
      <c r="G4486">
        <v>-370.21769999999998</v>
      </c>
      <c r="H4486">
        <v>0.93556309999999998</v>
      </c>
      <c r="I4486">
        <v>140.5256</v>
      </c>
      <c r="J4486">
        <v>-369.83010000000002</v>
      </c>
      <c r="K4486">
        <v>1.1208419999999999</v>
      </c>
      <c r="L4486">
        <v>140.47139999999999</v>
      </c>
      <c r="M4486">
        <v>-0.99985780000000002</v>
      </c>
      <c r="N4486">
        <v>-1.2997720000000001E-2</v>
      </c>
      <c r="O4486">
        <v>-1.0742720000000001E-2</v>
      </c>
      <c r="P4486">
        <v>-0.98083299999999995</v>
      </c>
      <c r="Q4486">
        <v>0.19475770000000001</v>
      </c>
      <c r="R4486">
        <v>-6.0320360000000002E-3</v>
      </c>
      <c r="S4486">
        <v>-3.2344059999999999</v>
      </c>
      <c r="T4486">
        <v>-0.88004119999999997</v>
      </c>
      <c r="U4486">
        <v>0.2415466</v>
      </c>
      <c r="V4486">
        <v>4.5525519999999996E-3</v>
      </c>
      <c r="W4486">
        <v>0.2074887</v>
      </c>
      <c r="X4486">
        <v>0.97822679999999995</v>
      </c>
      <c r="Y4486">
        <v>8.1727620000000001E-2</v>
      </c>
      <c r="Z4486">
        <v>1.41776E-2</v>
      </c>
      <c r="AA4486">
        <v>0.99655380000000005</v>
      </c>
      <c r="AB4486">
        <v>29</v>
      </c>
      <c r="AC4486">
        <v>-0.38759999999996297</v>
      </c>
      <c r="AD4486">
        <v>-0.1852789</v>
      </c>
      <c r="AE4486">
        <v>5.4200000000008602E-2</v>
      </c>
      <c r="AF4486">
        <v>4.76760927606256E-2</v>
      </c>
      <c r="AG4486">
        <v>-0.1852789</v>
      </c>
      <c r="AH4486">
        <v>0.31614250582748399</v>
      </c>
      <c r="AI4486">
        <v>120.092664476347</v>
      </c>
      <c r="AJ4486">
        <v>81.424092187689396</v>
      </c>
      <c r="AK4486">
        <v>0.36952315840419397</v>
      </c>
      <c r="AL4486">
        <v>78.024775636658006</v>
      </c>
      <c r="AM4486">
        <v>89.733354133745607</v>
      </c>
      <c r="AN4486">
        <v>0.99999997929782103</v>
      </c>
    </row>
    <row r="4487" spans="1:40" x14ac:dyDescent="0.25">
      <c r="A4487" t="str">
        <f>"20190303162350387"</f>
        <v>20190303162350387</v>
      </c>
      <c r="B4487" t="str">
        <f>"1551601430379902"</f>
        <v>1551601430379902</v>
      </c>
      <c r="C4487" t="s">
        <v>40</v>
      </c>
      <c r="D4487">
        <v>5.3470839999999997</v>
      </c>
      <c r="E4487">
        <v>0.54371800000000003</v>
      </c>
      <c r="F4487" t="s">
        <v>42</v>
      </c>
      <c r="G4487">
        <v>-370.77030000000002</v>
      </c>
      <c r="H4487">
        <v>1.003603</v>
      </c>
      <c r="I4487">
        <v>140.5641</v>
      </c>
      <c r="J4487">
        <v>-370.1182</v>
      </c>
      <c r="K4487">
        <v>1.120835</v>
      </c>
      <c r="L4487">
        <v>140.46850000000001</v>
      </c>
      <c r="M4487">
        <v>-0.99985990000000002</v>
      </c>
      <c r="N4487">
        <v>-1.292681E-2</v>
      </c>
      <c r="O4487">
        <v>-1.0646910000000001E-2</v>
      </c>
      <c r="P4487">
        <v>-0.98085270000000002</v>
      </c>
      <c r="Q4487">
        <v>0.19466120000000001</v>
      </c>
      <c r="R4487">
        <v>-5.9522680000000001E-3</v>
      </c>
      <c r="S4487">
        <v>-3.1382140000000001</v>
      </c>
      <c r="T4487">
        <v>-0.39146449999999999</v>
      </c>
      <c r="U4487">
        <v>0.30809019999999998</v>
      </c>
      <c r="V4487">
        <v>4.5382560000000001E-3</v>
      </c>
      <c r="W4487">
        <v>0.2073236</v>
      </c>
      <c r="X4487">
        <v>0.97826190000000002</v>
      </c>
      <c r="Y4487">
        <v>0.107318899999999</v>
      </c>
      <c r="Z4487">
        <v>8.5333509999999998E-3</v>
      </c>
      <c r="AA4487">
        <v>0.99418799999999996</v>
      </c>
      <c r="AB4487">
        <v>29</v>
      </c>
      <c r="AC4487">
        <v>-0.652100000000018</v>
      </c>
      <c r="AD4487">
        <v>-0.117231999999999</v>
      </c>
      <c r="AE4487">
        <v>9.5599999999990304E-2</v>
      </c>
      <c r="AF4487">
        <v>9.9393262749577396E-2</v>
      </c>
      <c r="AG4487">
        <v>-0.117231999999999</v>
      </c>
      <c r="AH4487">
        <v>0.63107814567024001</v>
      </c>
      <c r="AI4487">
        <v>100.398242587722</v>
      </c>
      <c r="AJ4487">
        <v>81.0495782366161</v>
      </c>
      <c r="AK4487">
        <v>0.64952443252474701</v>
      </c>
      <c r="AL4487">
        <v>78.034445788500705</v>
      </c>
      <c r="AM4487">
        <v>89.734200984589293</v>
      </c>
      <c r="AN4487">
        <v>1.00000000793804</v>
      </c>
    </row>
    <row r="4488" spans="1:40" x14ac:dyDescent="0.25">
      <c r="A4488" t="str">
        <f>"20190303162350411"</f>
        <v>20190303162350411</v>
      </c>
      <c r="B4488" t="str">
        <f>"1551601430399423"</f>
        <v>1551601430399423</v>
      </c>
      <c r="C4488" t="s">
        <v>40</v>
      </c>
      <c r="D4488">
        <v>5.3600899999999996</v>
      </c>
      <c r="E4488">
        <v>0.54388419999999904</v>
      </c>
      <c r="F4488" t="s">
        <v>42</v>
      </c>
      <c r="G4488">
        <v>-371.04629999999997</v>
      </c>
      <c r="H4488">
        <v>1.037868</v>
      </c>
      <c r="I4488">
        <v>140.56610000000001</v>
      </c>
      <c r="J4488">
        <v>-370.41969999999998</v>
      </c>
      <c r="K4488">
        <v>1.120824</v>
      </c>
      <c r="L4488">
        <v>140.46539999999999</v>
      </c>
      <c r="M4488">
        <v>-0.99986189999999997</v>
      </c>
      <c r="N4488">
        <v>-1.285654E-2</v>
      </c>
      <c r="O4488">
        <v>-1.054134E-2</v>
      </c>
      <c r="P4488">
        <v>-0.98092109999999999</v>
      </c>
      <c r="Q4488">
        <v>0.19432749999999999</v>
      </c>
      <c r="R4488">
        <v>-5.5595439999999996E-3</v>
      </c>
      <c r="S4488">
        <v>-3.1158139999999999</v>
      </c>
      <c r="T4488">
        <v>-0.27854790000000001</v>
      </c>
      <c r="U4488">
        <v>0.3268433</v>
      </c>
      <c r="V4488">
        <v>4.827792E-3</v>
      </c>
      <c r="W4488">
        <v>0.20692189999999999</v>
      </c>
      <c r="X4488">
        <v>0.97834560000000004</v>
      </c>
      <c r="Y4488">
        <v>0.1142577</v>
      </c>
      <c r="Z4488">
        <v>6.6245030000000003E-3</v>
      </c>
      <c r="AA4488">
        <v>0.99342909999999995</v>
      </c>
      <c r="AB4488">
        <v>29</v>
      </c>
      <c r="AC4488">
        <v>-0.62659999999999605</v>
      </c>
      <c r="AD4488">
        <v>-8.2956000000000002E-2</v>
      </c>
      <c r="AE4488">
        <v>0.100700000000017</v>
      </c>
      <c r="AF4488">
        <v>0.105497619753274</v>
      </c>
      <c r="AG4488">
        <v>-8.2956000000000002E-2</v>
      </c>
      <c r="AH4488">
        <v>0.61499575674833395</v>
      </c>
      <c r="AI4488">
        <v>97.572883896523706</v>
      </c>
      <c r="AJ4488">
        <v>80.266106530035202</v>
      </c>
      <c r="AK4488">
        <v>0.62946900362771097</v>
      </c>
      <c r="AL4488">
        <v>78.057972131778499</v>
      </c>
      <c r="AM4488">
        <v>89.717267741827001</v>
      </c>
      <c r="AN4488">
        <v>1.00000004665728</v>
      </c>
    </row>
    <row r="4489" spans="1:40" x14ac:dyDescent="0.25">
      <c r="A4489" t="str">
        <f>"20190303162350433"</f>
        <v>20190303162350433</v>
      </c>
      <c r="B4489" t="str">
        <f>"1551601430418942"</f>
        <v>1551601430418942</v>
      </c>
      <c r="C4489" t="s">
        <v>40</v>
      </c>
      <c r="D4489">
        <v>5.3557709999999998</v>
      </c>
      <c r="E4489">
        <v>0.54388950000000003</v>
      </c>
      <c r="F4489" t="s">
        <v>42</v>
      </c>
      <c r="G4489">
        <v>-371.31209999999999</v>
      </c>
      <c r="H4489">
        <v>1.0472629999999901</v>
      </c>
      <c r="I4489">
        <v>140.55969999999999</v>
      </c>
      <c r="J4489">
        <v>-370.70690000000002</v>
      </c>
      <c r="K4489">
        <v>1.120811</v>
      </c>
      <c r="L4489">
        <v>140.46250000000001</v>
      </c>
      <c r="M4489">
        <v>-0.99986379999999997</v>
      </c>
      <c r="N4489">
        <v>-1.2794440000000001E-2</v>
      </c>
      <c r="O4489">
        <v>-1.0440329999999999E-2</v>
      </c>
      <c r="P4489">
        <v>-0.98106249999999995</v>
      </c>
      <c r="Q4489">
        <v>0.19363159999999999</v>
      </c>
      <c r="R4489">
        <v>-4.8712139999999996E-3</v>
      </c>
      <c r="S4489">
        <v>-3.1110229999999999</v>
      </c>
      <c r="T4489">
        <v>-0.2565441</v>
      </c>
      <c r="U4489">
        <v>0.327652</v>
      </c>
      <c r="V4489">
        <v>5.4187940000000002E-3</v>
      </c>
      <c r="W4489">
        <v>0.20616660000000001</v>
      </c>
      <c r="X4489">
        <v>0.97850190000000004</v>
      </c>
      <c r="Y4489">
        <v>0.114648</v>
      </c>
      <c r="Z4489">
        <v>6.1672709999999898E-3</v>
      </c>
      <c r="AA4489">
        <v>0.99338700000000002</v>
      </c>
      <c r="AB4489">
        <v>29</v>
      </c>
      <c r="AC4489">
        <v>-0.60519999999996799</v>
      </c>
      <c r="AD4489">
        <v>-7.3548000000000099E-2</v>
      </c>
      <c r="AE4489">
        <v>9.7199999999986603E-2</v>
      </c>
      <c r="AF4489">
        <v>0.102044532034233</v>
      </c>
      <c r="AG4489">
        <v>-7.3548000000000099E-2</v>
      </c>
      <c r="AH4489">
        <v>0.595577375905045</v>
      </c>
      <c r="AI4489">
        <v>96.939710972449603</v>
      </c>
      <c r="AJ4489">
        <v>80.277509875672493</v>
      </c>
      <c r="AK4489">
        <v>0.608715701713062</v>
      </c>
      <c r="AL4489">
        <v>78.102200764197306</v>
      </c>
      <c r="AM4489">
        <v>89.682707971785703</v>
      </c>
      <c r="AN4489">
        <v>0.99999999929379202</v>
      </c>
    </row>
    <row r="4490" spans="1:40" x14ac:dyDescent="0.25">
      <c r="A4490" t="str">
        <f>"20190303162350465"</f>
        <v>20190303162350465</v>
      </c>
      <c r="B4490" t="str">
        <f>"1551601430458959"</f>
        <v>1551601430458959</v>
      </c>
      <c r="C4490" t="s">
        <v>40</v>
      </c>
      <c r="D4490">
        <v>5.395791</v>
      </c>
      <c r="E4490">
        <v>0.54389980000000004</v>
      </c>
      <c r="F4490" t="s">
        <v>42</v>
      </c>
      <c r="G4490">
        <v>-371.57389999999998</v>
      </c>
      <c r="H4490">
        <v>1.0505519999999999</v>
      </c>
      <c r="I4490">
        <v>140.55430000000001</v>
      </c>
      <c r="J4490">
        <v>-371.12869999999998</v>
      </c>
      <c r="K4490">
        <v>1.1207990000000001</v>
      </c>
      <c r="L4490">
        <v>140.45820000000001</v>
      </c>
      <c r="M4490">
        <v>-0.99986620000000004</v>
      </c>
      <c r="N4490">
        <v>-1.2705549999999999E-2</v>
      </c>
      <c r="O4490">
        <v>-1.0302820000000001E-2</v>
      </c>
      <c r="P4490">
        <v>-0.98105560000000003</v>
      </c>
      <c r="Q4490">
        <v>0.19368940000000001</v>
      </c>
      <c r="R4490">
        <v>-3.766532E-3</v>
      </c>
      <c r="S4490">
        <v>-3.109283</v>
      </c>
      <c r="T4490">
        <v>-0.25197209999999998</v>
      </c>
      <c r="U4490">
        <v>0.32958979999999999</v>
      </c>
      <c r="V4490">
        <v>6.3879990000000001E-3</v>
      </c>
      <c r="W4490">
        <v>0.20613670000000001</v>
      </c>
      <c r="X4490">
        <v>0.97850230000000005</v>
      </c>
      <c r="Y4490">
        <v>0.1151954</v>
      </c>
      <c r="Z4490">
        <v>6.083298E-3</v>
      </c>
      <c r="AA4490">
        <v>0.99332419999999999</v>
      </c>
      <c r="AB4490">
        <v>29</v>
      </c>
      <c r="AC4490">
        <v>-0.44519999999999899</v>
      </c>
      <c r="AD4490">
        <v>-7.0246999999999699E-2</v>
      </c>
      <c r="AE4490">
        <v>9.6100000000006902E-2</v>
      </c>
      <c r="AF4490">
        <v>9.8342661760455502E-2</v>
      </c>
      <c r="AG4490">
        <v>-7.0246999999999699E-2</v>
      </c>
      <c r="AH4490">
        <v>0.43386519189378903</v>
      </c>
      <c r="AI4490">
        <v>98.9731539831227</v>
      </c>
      <c r="AJ4490">
        <v>77.228771888386404</v>
      </c>
      <c r="AK4490">
        <v>0.45038308679186201</v>
      </c>
      <c r="AL4490">
        <v>78.103950899266906</v>
      </c>
      <c r="AM4490">
        <v>89.625958791573893</v>
      </c>
      <c r="AN4490">
        <v>0.99999994836170003</v>
      </c>
    </row>
    <row r="4491" spans="1:40" x14ac:dyDescent="0.25">
      <c r="A4491" t="str">
        <f>"20190303162350487"</f>
        <v>20190303162350487</v>
      </c>
      <c r="B4491" t="str">
        <f>"1551601430479454"</f>
        <v>1551601430479454</v>
      </c>
      <c r="C4491" t="s">
        <v>40</v>
      </c>
      <c r="D4491">
        <v>5.3913539999999998</v>
      </c>
      <c r="E4491">
        <v>0.54387810000000003</v>
      </c>
      <c r="F4491" t="s">
        <v>42</v>
      </c>
      <c r="G4491">
        <v>-372.08659999999998</v>
      </c>
      <c r="H4491">
        <v>1.043158</v>
      </c>
      <c r="I4491">
        <v>140.56129999999999</v>
      </c>
      <c r="J4491">
        <v>-371.41609999999997</v>
      </c>
      <c r="K4491">
        <v>1.12079</v>
      </c>
      <c r="L4491">
        <v>140.4554</v>
      </c>
      <c r="M4491">
        <v>-0.99986799999999998</v>
      </c>
      <c r="N4491">
        <v>-1.264613E-2</v>
      </c>
      <c r="O4491">
        <v>-1.0214869999999999E-2</v>
      </c>
      <c r="P4491">
        <v>-0.98110180000000002</v>
      </c>
      <c r="Q4491">
        <v>0.19347800000000001</v>
      </c>
      <c r="R4491">
        <v>-2.4620250000000001E-3</v>
      </c>
      <c r="S4491">
        <v>-3.1090390000000001</v>
      </c>
      <c r="T4491">
        <v>-0.25200679999999998</v>
      </c>
      <c r="U4491">
        <v>0.33409119999999998</v>
      </c>
      <c r="V4491">
        <v>7.605639E-3</v>
      </c>
      <c r="W4491">
        <v>0.20586750000000001</v>
      </c>
      <c r="X4491">
        <v>0.97855029999999998</v>
      </c>
      <c r="Y4491">
        <v>0.11653330000000001</v>
      </c>
      <c r="Z4491">
        <v>6.1377890000000003E-3</v>
      </c>
      <c r="AA4491">
        <v>0.99316780000000005</v>
      </c>
      <c r="AB4491">
        <v>29</v>
      </c>
      <c r="AC4491">
        <v>-0.67050000000000398</v>
      </c>
      <c r="AD4491">
        <v>-7.7631999999999896E-2</v>
      </c>
      <c r="AE4491">
        <v>0.105899999999991</v>
      </c>
      <c r="AF4491">
        <v>0.1112885196317</v>
      </c>
      <c r="AG4491">
        <v>-7.7631999999999896E-2</v>
      </c>
      <c r="AH4491">
        <v>0.66074116598713994</v>
      </c>
      <c r="AI4491">
        <v>96.608845190714206</v>
      </c>
      <c r="AJ4491">
        <v>80.439414707156402</v>
      </c>
      <c r="AK4491">
        <v>0.67453002190848399</v>
      </c>
      <c r="AL4491">
        <v>78.1197133955814</v>
      </c>
      <c r="AM4491">
        <v>89.554685905652605</v>
      </c>
      <c r="AN4491">
        <v>0.99999998146546898</v>
      </c>
    </row>
    <row r="4492" spans="1:40" x14ac:dyDescent="0.25">
      <c r="A4492" t="str">
        <f>"20190303162350509"</f>
        <v>20190303162350509</v>
      </c>
      <c r="B4492" t="str">
        <f>"1551601430498975"</f>
        <v>1551601430498975</v>
      </c>
      <c r="C4492" t="s">
        <v>40</v>
      </c>
      <c r="D4492">
        <v>5.3956790000000003</v>
      </c>
      <c r="E4492">
        <v>0.54391840000000002</v>
      </c>
      <c r="F4492" t="s">
        <v>42</v>
      </c>
      <c r="G4492">
        <v>-372.3467</v>
      </c>
      <c r="H4492">
        <v>1.0448170000000001</v>
      </c>
      <c r="I4492">
        <v>140.55680000000001</v>
      </c>
      <c r="J4492">
        <v>-371.6979</v>
      </c>
      <c r="K4492">
        <v>1.120781</v>
      </c>
      <c r="L4492">
        <v>140.45259999999999</v>
      </c>
      <c r="M4492">
        <v>-0.99986960000000003</v>
      </c>
      <c r="N4492">
        <v>-1.2587940000000001E-2</v>
      </c>
      <c r="O4492">
        <v>-1.012801E-2</v>
      </c>
      <c r="P4492">
        <v>-0.98114570000000001</v>
      </c>
      <c r="Q4492">
        <v>0.1932586</v>
      </c>
      <c r="R4492">
        <v>-2.156472E-3</v>
      </c>
      <c r="S4492">
        <v>-3.1087039999999999</v>
      </c>
      <c r="T4492">
        <v>-0.25384240000000002</v>
      </c>
      <c r="U4492">
        <v>0.33782960000000001</v>
      </c>
      <c r="V4492">
        <v>7.8250149999999994E-3</v>
      </c>
      <c r="W4492">
        <v>0.20559169999999999</v>
      </c>
      <c r="X4492">
        <v>0.97860659999999999</v>
      </c>
      <c r="Y4492">
        <v>0.11762880000000001</v>
      </c>
      <c r="Z4492">
        <v>6.2208860000000001E-3</v>
      </c>
      <c r="AA4492">
        <v>0.99303819999999998</v>
      </c>
      <c r="AB4492">
        <v>29</v>
      </c>
      <c r="AC4492">
        <v>-0.64879999999999405</v>
      </c>
      <c r="AD4492">
        <v>-7.5963999999999907E-2</v>
      </c>
      <c r="AE4492">
        <v>0.10420000000002</v>
      </c>
      <c r="AF4492">
        <v>0.10930547762300701</v>
      </c>
      <c r="AG4492">
        <v>-7.5963999999999907E-2</v>
      </c>
      <c r="AH4492">
        <v>0.63916948466061796</v>
      </c>
      <c r="AI4492">
        <v>96.681593896160507</v>
      </c>
      <c r="AJ4492">
        <v>80.295624624176597</v>
      </c>
      <c r="AK4492">
        <v>0.65288272059820496</v>
      </c>
      <c r="AL4492">
        <v>78.135861544377406</v>
      </c>
      <c r="AM4492">
        <v>89.541868224397405</v>
      </c>
      <c r="AN4492">
        <v>1.0000000277660901</v>
      </c>
    </row>
    <row r="4493" spans="1:40" x14ac:dyDescent="0.25">
      <c r="A4493" t="str">
        <f>"20190303162350532"</f>
        <v>20190303162350532</v>
      </c>
      <c r="B4493" t="str">
        <f>"1551601430519471"</f>
        <v>1551601430519471</v>
      </c>
      <c r="C4493" t="s">
        <v>40</v>
      </c>
      <c r="D4493">
        <v>5.4200869999999997</v>
      </c>
      <c r="E4493">
        <v>0.54384129999999997</v>
      </c>
      <c r="F4493" t="s">
        <v>42</v>
      </c>
      <c r="G4493">
        <v>-372.60640000000001</v>
      </c>
      <c r="H4493">
        <v>1.046008</v>
      </c>
      <c r="I4493">
        <v>140.55189999999999</v>
      </c>
      <c r="J4493">
        <v>-371.9896</v>
      </c>
      <c r="K4493">
        <v>1.1207750000000001</v>
      </c>
      <c r="L4493">
        <v>140.44980000000001</v>
      </c>
      <c r="M4493">
        <v>-0.99987130000000002</v>
      </c>
      <c r="N4493">
        <v>-1.251529E-2</v>
      </c>
      <c r="O4493">
        <v>-1.0039620000000001E-2</v>
      </c>
      <c r="P4493">
        <v>-0.98112149999999998</v>
      </c>
      <c r="Q4493">
        <v>0.19338040000000001</v>
      </c>
      <c r="R4493">
        <v>-2.182799E-3</v>
      </c>
      <c r="S4493">
        <v>-3.1087950000000002</v>
      </c>
      <c r="T4493">
        <v>-0.25590810000000003</v>
      </c>
      <c r="U4493">
        <v>0.33888239999999997</v>
      </c>
      <c r="V4493">
        <v>7.7106900000000001E-3</v>
      </c>
      <c r="W4493">
        <v>0.20564209999999999</v>
      </c>
      <c r="X4493">
        <v>0.97859689999999999</v>
      </c>
      <c r="Y4493">
        <v>0.1178626</v>
      </c>
      <c r="Z4493">
        <v>6.2674549999999999E-3</v>
      </c>
      <c r="AA4493">
        <v>0.99301010000000001</v>
      </c>
      <c r="AB4493">
        <v>29</v>
      </c>
      <c r="AC4493">
        <v>-0.61680000000001201</v>
      </c>
      <c r="AD4493">
        <v>-7.4767E-2</v>
      </c>
      <c r="AE4493">
        <v>0.102099999999978</v>
      </c>
      <c r="AF4493">
        <v>0.106760900902771</v>
      </c>
      <c r="AG4493">
        <v>-7.4767E-2</v>
      </c>
      <c r="AH4493">
        <v>0.60706169718345404</v>
      </c>
      <c r="AI4493">
        <v>96.916221582071998</v>
      </c>
      <c r="AJ4493">
        <v>80.025673826391795</v>
      </c>
      <c r="AK4493">
        <v>0.620896044791579</v>
      </c>
      <c r="AL4493">
        <v>78.132910577496403</v>
      </c>
      <c r="AM4493">
        <v>89.5485568656552</v>
      </c>
      <c r="AN4493">
        <v>1.0000000103611399</v>
      </c>
    </row>
    <row r="4494" spans="1:40" x14ac:dyDescent="0.25">
      <c r="A4494" t="str">
        <f>"20190303162350554"</f>
        <v>20190303162350554</v>
      </c>
      <c r="B4494" t="str">
        <f>"1551601430549726"</f>
        <v>1551601430549726</v>
      </c>
      <c r="C4494" t="s">
        <v>40</v>
      </c>
      <c r="D4494">
        <v>5.3990669999999996</v>
      </c>
      <c r="E4494">
        <v>0.54376020000000003</v>
      </c>
      <c r="F4494" t="s">
        <v>42</v>
      </c>
      <c r="G4494">
        <v>-372.86700000000002</v>
      </c>
      <c r="H4494">
        <v>1.0481320000000001</v>
      </c>
      <c r="I4494">
        <v>140.5454</v>
      </c>
      <c r="J4494">
        <v>-372.28519999999997</v>
      </c>
      <c r="K4494">
        <v>1.120762</v>
      </c>
      <c r="L4494">
        <v>140.4469</v>
      </c>
      <c r="M4494">
        <v>-0.99987329999999996</v>
      </c>
      <c r="N4494">
        <v>-1.2433380000000001E-2</v>
      </c>
      <c r="O4494">
        <v>-9.9514110000000003E-3</v>
      </c>
      <c r="P4494">
        <v>-0.9810335</v>
      </c>
      <c r="Q4494">
        <v>0.1938271</v>
      </c>
      <c r="R4494">
        <v>-2.1438690000000001E-3</v>
      </c>
      <c r="S4494">
        <v>-3.1092219999999999</v>
      </c>
      <c r="T4494">
        <v>-0.25749119999999998</v>
      </c>
      <c r="U4494">
        <v>0.33815000000000001</v>
      </c>
      <c r="V4494">
        <v>7.6615900000000002E-3</v>
      </c>
      <c r="W4494">
        <v>0.20600750000000001</v>
      </c>
      <c r="X4494">
        <v>0.97852050000000002</v>
      </c>
      <c r="Y4494">
        <v>0.1175255</v>
      </c>
      <c r="Z4494">
        <v>6.275386E-3</v>
      </c>
      <c r="AA4494">
        <v>0.99304999999999999</v>
      </c>
      <c r="AB4494">
        <v>29</v>
      </c>
      <c r="AC4494">
        <v>-0.58179999999998699</v>
      </c>
      <c r="AD4494">
        <v>-7.2629999999999903E-2</v>
      </c>
      <c r="AE4494">
        <v>9.8500000000001295E-2</v>
      </c>
      <c r="AF4494">
        <v>0.102728960197115</v>
      </c>
      <c r="AG4494">
        <v>-7.2629999999999903E-2</v>
      </c>
      <c r="AH4494">
        <v>0.57212325368959305</v>
      </c>
      <c r="AI4494">
        <v>97.122190119420296</v>
      </c>
      <c r="AJ4494">
        <v>79.820591795129602</v>
      </c>
      <c r="AK4494">
        <v>0.58579294428624396</v>
      </c>
      <c r="AL4494">
        <v>78.111517464492294</v>
      </c>
      <c r="AM4494">
        <v>89.551396418208199</v>
      </c>
      <c r="AN4494">
        <v>1.0000000794689099</v>
      </c>
    </row>
    <row r="4495" spans="1:40" x14ac:dyDescent="0.25">
      <c r="A4495" t="str">
        <f>"20190303162350576"</f>
        <v>20190303162350576</v>
      </c>
      <c r="B4495" t="str">
        <f>"1551601430569246"</f>
        <v>1551601430569246</v>
      </c>
      <c r="C4495" t="s">
        <v>40</v>
      </c>
      <c r="D4495">
        <v>5.4259690000000003</v>
      </c>
      <c r="E4495">
        <v>0.54372069999999995</v>
      </c>
      <c r="F4495" t="s">
        <v>42</v>
      </c>
      <c r="G4495">
        <v>-373.12819999999999</v>
      </c>
      <c r="H4495">
        <v>1.0507059999999999</v>
      </c>
      <c r="I4495">
        <v>140.5386</v>
      </c>
      <c r="J4495">
        <v>-372.56290000000001</v>
      </c>
      <c r="K4495">
        <v>1.12076</v>
      </c>
      <c r="L4495">
        <v>140.4442</v>
      </c>
      <c r="M4495">
        <v>-0.99987490000000001</v>
      </c>
      <c r="N4495">
        <v>-1.235901E-2</v>
      </c>
      <c r="O4495">
        <v>-9.8693119999999999E-3</v>
      </c>
      <c r="P4495">
        <v>-0.98090580000000005</v>
      </c>
      <c r="Q4495">
        <v>0.1944718</v>
      </c>
      <c r="R4495">
        <v>-2.1546930000000001E-3</v>
      </c>
      <c r="S4495">
        <v>-3.109772</v>
      </c>
      <c r="T4495">
        <v>-0.258438</v>
      </c>
      <c r="U4495">
        <v>0.3376923</v>
      </c>
      <c r="V4495">
        <v>7.5688880000000002E-3</v>
      </c>
      <c r="W4495">
        <v>0.2065786</v>
      </c>
      <c r="X4495">
        <v>0.97840079999999996</v>
      </c>
      <c r="Y4495">
        <v>0.11727890000000001</v>
      </c>
      <c r="Z4495">
        <v>6.2740249999999999E-3</v>
      </c>
      <c r="AA4495">
        <v>0.99307920000000005</v>
      </c>
      <c r="AB4495">
        <v>29</v>
      </c>
      <c r="AC4495">
        <v>-0.56529999999997904</v>
      </c>
      <c r="AD4495">
        <v>-7.0054000000000005E-2</v>
      </c>
      <c r="AE4495">
        <v>9.4400000000007298E-2</v>
      </c>
      <c r="AF4495">
        <v>9.8503269328361606E-2</v>
      </c>
      <c r="AG4495">
        <v>-7.0054000000000005E-2</v>
      </c>
      <c r="AH4495">
        <v>0.55603335505051998</v>
      </c>
      <c r="AI4495">
        <v>97.071823686157501</v>
      </c>
      <c r="AJ4495">
        <v>79.9540769584695</v>
      </c>
      <c r="AK4495">
        <v>0.56901981416565195</v>
      </c>
      <c r="AL4495">
        <v>78.078076375189099</v>
      </c>
      <c r="AM4495">
        <v>89.556769896995604</v>
      </c>
      <c r="AN4495">
        <v>1.00000006574207</v>
      </c>
    </row>
    <row r="4496" spans="1:40" x14ac:dyDescent="0.25">
      <c r="A4496" t="str">
        <f>"20190303162350600"</f>
        <v>20190303162350600</v>
      </c>
      <c r="B4496" t="str">
        <f>"1551601430589744"</f>
        <v>1551601430589744</v>
      </c>
      <c r="C4496" t="s">
        <v>40</v>
      </c>
      <c r="D4496">
        <v>5.4222320000000002</v>
      </c>
      <c r="E4496">
        <v>0.54369669999999903</v>
      </c>
      <c r="F4496" t="s">
        <v>42</v>
      </c>
      <c r="G4496">
        <v>-373.39400000000001</v>
      </c>
      <c r="H4496">
        <v>1.052025</v>
      </c>
      <c r="I4496">
        <v>140.53460000000001</v>
      </c>
      <c r="J4496">
        <v>-372.8732</v>
      </c>
      <c r="K4496">
        <v>1.120754</v>
      </c>
      <c r="L4496">
        <v>140.44130000000001</v>
      </c>
      <c r="M4496">
        <v>-0.99987689999999996</v>
      </c>
      <c r="N4496">
        <v>-1.2282879999999999E-2</v>
      </c>
      <c r="O4496">
        <v>-9.7781329999999996E-3</v>
      </c>
      <c r="P4496">
        <v>-0.98083050000000005</v>
      </c>
      <c r="Q4496">
        <v>0.1948435</v>
      </c>
      <c r="R4496">
        <v>-2.8041559999999999E-3</v>
      </c>
      <c r="S4496">
        <v>-3.1101679999999998</v>
      </c>
      <c r="T4496">
        <v>-0.2573144</v>
      </c>
      <c r="U4496">
        <v>0.33732600000000001</v>
      </c>
      <c r="V4496">
        <v>6.8296030000000001E-3</v>
      </c>
      <c r="W4496">
        <v>0.2068748</v>
      </c>
      <c r="X4496">
        <v>0.97834359999999998</v>
      </c>
      <c r="Y4496">
        <v>0.1170646</v>
      </c>
      <c r="Z4496">
        <v>6.2284940000000002E-3</v>
      </c>
      <c r="AA4496">
        <v>0.99310480000000001</v>
      </c>
      <c r="AB4496">
        <v>29</v>
      </c>
      <c r="AC4496">
        <v>-0.52080000000000803</v>
      </c>
      <c r="AD4496">
        <v>-6.8728999999999998E-2</v>
      </c>
      <c r="AE4496">
        <v>9.3299999999999203E-2</v>
      </c>
      <c r="AF4496">
        <v>9.6755714794066597E-2</v>
      </c>
      <c r="AG4496">
        <v>-6.8728999999999998E-2</v>
      </c>
      <c r="AH4496">
        <v>0.51123611417083203</v>
      </c>
      <c r="AI4496">
        <v>97.524752979584306</v>
      </c>
      <c r="AJ4496">
        <v>79.283050104480694</v>
      </c>
      <c r="AK4496">
        <v>0.52483112352337002</v>
      </c>
      <c r="AL4496">
        <v>78.060730038357505</v>
      </c>
      <c r="AM4496">
        <v>89.600037173516895</v>
      </c>
      <c r="AN4496">
        <v>1.0000000130065601</v>
      </c>
    </row>
    <row r="4497" spans="1:40" x14ac:dyDescent="0.25">
      <c r="A4497" t="str">
        <f>"20190303162350621"</f>
        <v>20190303162350621</v>
      </c>
      <c r="B4497" t="str">
        <f>"1551601430609263"</f>
        <v>1551601430609263</v>
      </c>
      <c r="C4497" t="s">
        <v>40</v>
      </c>
      <c r="D4497">
        <v>5.4075319999999998</v>
      </c>
      <c r="E4497">
        <v>0.54372889999999996</v>
      </c>
      <c r="F4497" t="s">
        <v>41</v>
      </c>
      <c r="G4497">
        <v>-386.42340000000002</v>
      </c>
      <c r="H4497" s="1">
        <v>-2.124756E-6</v>
      </c>
      <c r="I4497">
        <v>141.9016</v>
      </c>
      <c r="J4497">
        <v>-373.1506</v>
      </c>
      <c r="K4497">
        <v>1.1207480000000001</v>
      </c>
      <c r="L4497">
        <v>140.43860000000001</v>
      </c>
      <c r="M4497">
        <v>-0.9998785</v>
      </c>
      <c r="N4497">
        <v>-1.222089E-2</v>
      </c>
      <c r="O4497">
        <v>-9.6965720000000005E-3</v>
      </c>
      <c r="P4497">
        <v>-0.98074349999999999</v>
      </c>
      <c r="Q4497">
        <v>0.19526850000000001</v>
      </c>
      <c r="R4497">
        <v>-3.5686649999999999E-3</v>
      </c>
      <c r="S4497">
        <v>-3.1107179999999999</v>
      </c>
      <c r="T4497">
        <v>-0.25729289999999999</v>
      </c>
      <c r="U4497">
        <v>0.33526610000000001</v>
      </c>
      <c r="V4497">
        <v>5.9845840000000003E-3</v>
      </c>
      <c r="W4497">
        <v>0.20723820000000001</v>
      </c>
      <c r="X4497">
        <v>0.97827220000000004</v>
      </c>
      <c r="Y4497">
        <v>0.1163183</v>
      </c>
      <c r="Z4497">
        <v>6.1831330000000004E-3</v>
      </c>
      <c r="AA4497">
        <v>0.99319270000000004</v>
      </c>
      <c r="AB4497">
        <v>29</v>
      </c>
      <c r="AC4497">
        <v>-13.2728</v>
      </c>
      <c r="AD4497">
        <v>-1.1207501247560001</v>
      </c>
      <c r="AE4497">
        <v>1.4629999999999901</v>
      </c>
      <c r="AF4497">
        <v>1.58050763332458</v>
      </c>
      <c r="AG4497">
        <v>-1.1207501247560001</v>
      </c>
      <c r="AH4497">
        <v>13.1652467072155</v>
      </c>
      <c r="AI4497">
        <v>94.831301479433293</v>
      </c>
      <c r="AJ4497">
        <v>83.154317681509298</v>
      </c>
      <c r="AK4497">
        <v>13.307058506033099</v>
      </c>
      <c r="AL4497">
        <v>78.039447284403494</v>
      </c>
      <c r="AM4497">
        <v>89.649497217647294</v>
      </c>
      <c r="AN4497">
        <v>0.99999999203886603</v>
      </c>
    </row>
    <row r="4498" spans="1:40" x14ac:dyDescent="0.25">
      <c r="A4498" t="str">
        <f>"20190303162350644"</f>
        <v>20190303162350644</v>
      </c>
      <c r="B4498" t="str">
        <f>"1551601430629759"</f>
        <v>1551601430629759</v>
      </c>
      <c r="C4498" t="s">
        <v>40</v>
      </c>
      <c r="D4498">
        <v>5.3811920000000004</v>
      </c>
      <c r="E4498">
        <v>0.54395469999999901</v>
      </c>
      <c r="F4498" t="s">
        <v>41</v>
      </c>
      <c r="G4498">
        <v>-386.73430000000002</v>
      </c>
      <c r="H4498" s="1">
        <v>-1.989448E-6</v>
      </c>
      <c r="I4498">
        <v>141.89439999999999</v>
      </c>
      <c r="J4498">
        <v>-373.44470000000001</v>
      </c>
      <c r="K4498">
        <v>1.120741</v>
      </c>
      <c r="L4498">
        <v>140.4358</v>
      </c>
      <c r="M4498">
        <v>-0.99987990000000004</v>
      </c>
      <c r="N4498">
        <v>-1.2161099999999999E-2</v>
      </c>
      <c r="O4498">
        <v>-9.6093050000000003E-3</v>
      </c>
      <c r="P4498">
        <v>-0.98061500000000001</v>
      </c>
      <c r="Q4498">
        <v>0.19589329999999999</v>
      </c>
      <c r="R4498">
        <v>-4.4823579999999997E-3</v>
      </c>
      <c r="S4498">
        <v>-3.1112669999999998</v>
      </c>
      <c r="T4498">
        <v>-0.25670270000000001</v>
      </c>
      <c r="U4498">
        <v>0.33345029999999998</v>
      </c>
      <c r="V4498">
        <v>4.9847219999999996E-3</v>
      </c>
      <c r="W4498">
        <v>0.2078036</v>
      </c>
      <c r="X4498">
        <v>0.97815790000000002</v>
      </c>
      <c r="Y4498">
        <v>0.1156451</v>
      </c>
      <c r="Z4498">
        <v>6.1287329999999999E-3</v>
      </c>
      <c r="AA4498">
        <v>0.99327169999999998</v>
      </c>
      <c r="AB4498">
        <v>29</v>
      </c>
      <c r="AC4498">
        <v>-13.2896</v>
      </c>
      <c r="AD4498">
        <v>-1.1207429894480001</v>
      </c>
      <c r="AE4498">
        <v>1.4585999999999899</v>
      </c>
      <c r="AF4498">
        <v>1.5751766824064899</v>
      </c>
      <c r="AG4498">
        <v>-1.1207429894480001</v>
      </c>
      <c r="AH4498">
        <v>13.1823330670326</v>
      </c>
      <c r="AI4498">
        <v>94.825355925203795</v>
      </c>
      <c r="AJ4498">
        <v>83.185949926530895</v>
      </c>
      <c r="AK4498">
        <v>13.3233310969658</v>
      </c>
      <c r="AL4498">
        <v>78.006331802914204</v>
      </c>
      <c r="AM4498">
        <v>89.708021516407996</v>
      </c>
      <c r="AN4498">
        <v>1.0000000304793899</v>
      </c>
    </row>
    <row r="4499" spans="1:40" x14ac:dyDescent="0.25">
      <c r="A4499" t="str">
        <f>"20190303162350665"</f>
        <v>20190303162350665</v>
      </c>
      <c r="B4499" t="str">
        <f>"1551601430659038"</f>
        <v>1551601430659038</v>
      </c>
      <c r="C4499" t="s">
        <v>40</v>
      </c>
      <c r="D4499">
        <v>5.2755130000000001</v>
      </c>
      <c r="E4499">
        <v>0.5552861</v>
      </c>
      <c r="F4499" t="s">
        <v>42</v>
      </c>
      <c r="G4499">
        <v>-374.41759999999999</v>
      </c>
      <c r="H4499">
        <v>1.0414570000000001</v>
      </c>
      <c r="I4499">
        <v>140.54050000000001</v>
      </c>
      <c r="J4499">
        <v>-373.7303</v>
      </c>
      <c r="K4499">
        <v>1.1207389999999999</v>
      </c>
      <c r="L4499">
        <v>140.4332</v>
      </c>
      <c r="M4499">
        <v>-0.99988129999999997</v>
      </c>
      <c r="N4499">
        <v>-1.210924E-2</v>
      </c>
      <c r="O4499">
        <v>-9.5244730000000003E-3</v>
      </c>
      <c r="P4499">
        <v>-0.98054399999999997</v>
      </c>
      <c r="Q4499">
        <v>0.19623119999999999</v>
      </c>
      <c r="R4499">
        <v>-5.1940609999999998E-3</v>
      </c>
      <c r="S4499">
        <v>-3.1114809999999999</v>
      </c>
      <c r="T4499">
        <v>-0.25364140000000002</v>
      </c>
      <c r="U4499">
        <v>0.33303829999999901</v>
      </c>
      <c r="V4499">
        <v>4.1895750000000001E-3</v>
      </c>
      <c r="W4499">
        <v>0.20808989999999999</v>
      </c>
      <c r="X4499">
        <v>0.97810070000000005</v>
      </c>
      <c r="Y4499">
        <v>0.11543539999999999</v>
      </c>
      <c r="Z4499">
        <v>6.0443600000000004E-3</v>
      </c>
      <c r="AA4499">
        <v>0.99329659999999997</v>
      </c>
      <c r="AB4499">
        <v>29</v>
      </c>
      <c r="AC4499">
        <v>-0.68729999999999303</v>
      </c>
      <c r="AD4499">
        <v>-7.9281999999999797E-2</v>
      </c>
      <c r="AE4499">
        <v>0.107300000000009</v>
      </c>
      <c r="AF4499">
        <v>0.112381976829872</v>
      </c>
      <c r="AG4499">
        <v>-7.9281999999999797E-2</v>
      </c>
      <c r="AH4499">
        <v>0.67744695060881999</v>
      </c>
      <c r="AI4499">
        <v>96.5857965173266</v>
      </c>
      <c r="AJ4499">
        <v>80.580955390596102</v>
      </c>
      <c r="AK4499">
        <v>0.69126674672616695</v>
      </c>
      <c r="AL4499">
        <v>77.989560676486093</v>
      </c>
      <c r="AM4499">
        <v>89.754582020635993</v>
      </c>
      <c r="AN4499">
        <v>0.99999996918058898</v>
      </c>
    </row>
    <row r="4500" spans="1:40" x14ac:dyDescent="0.25">
      <c r="A4500" t="str">
        <f>"20190303162350688"</f>
        <v>20190303162350688</v>
      </c>
      <c r="B4500" t="str">
        <f>"1551601430679534"</f>
        <v>1551601430679534</v>
      </c>
      <c r="C4500" t="s">
        <v>40</v>
      </c>
      <c r="D4500">
        <v>5.2638829999999999</v>
      </c>
      <c r="E4500">
        <v>0.55626629999999999</v>
      </c>
      <c r="F4500" t="s">
        <v>41</v>
      </c>
      <c r="G4500">
        <v>-391.36739999999998</v>
      </c>
      <c r="H4500" s="1">
        <v>-4.3802809999999999E-6</v>
      </c>
      <c r="I4500">
        <v>142.82730000000001</v>
      </c>
      <c r="J4500">
        <v>-374.0138</v>
      </c>
      <c r="K4500">
        <v>1.1207389999999999</v>
      </c>
      <c r="L4500">
        <v>140.4306</v>
      </c>
      <c r="M4500">
        <v>-0.99988279999999996</v>
      </c>
      <c r="N4500">
        <v>-1.206231E-2</v>
      </c>
      <c r="O4500">
        <v>-9.4392020000000007E-3</v>
      </c>
      <c r="P4500">
        <v>-0.98042229999999997</v>
      </c>
      <c r="Q4500">
        <v>0.1968268</v>
      </c>
      <c r="R4500">
        <v>-5.6009190000000002E-3</v>
      </c>
      <c r="S4500">
        <v>-3.1011959999999998</v>
      </c>
      <c r="T4500">
        <v>-0.1970645</v>
      </c>
      <c r="U4500">
        <v>0.42097469999999998</v>
      </c>
      <c r="V4500">
        <v>3.6981200000000001E-3</v>
      </c>
      <c r="W4500">
        <v>0.20863789999999999</v>
      </c>
      <c r="X4500">
        <v>0.97798600000000002</v>
      </c>
      <c r="Y4500">
        <v>0.14350889999999999</v>
      </c>
      <c r="Z4500">
        <v>5.8881519999999998E-3</v>
      </c>
      <c r="AA4500">
        <v>0.9896315</v>
      </c>
      <c r="AB4500">
        <v>29</v>
      </c>
      <c r="AC4500">
        <v>-17.353599999999901</v>
      </c>
      <c r="AD4500">
        <v>-1.1207433802809901</v>
      </c>
      <c r="AE4500">
        <v>2.3967000000000098</v>
      </c>
      <c r="AF4500">
        <v>2.5499725554373298</v>
      </c>
      <c r="AG4500">
        <v>-1.1207433802809901</v>
      </c>
      <c r="AH4500">
        <v>17.2595611575756</v>
      </c>
      <c r="AI4500">
        <v>93.6754785687489</v>
      </c>
      <c r="AJ4500">
        <v>81.595769104876496</v>
      </c>
      <c r="AK4500">
        <v>17.482873822973701</v>
      </c>
      <c r="AL4500">
        <v>77.957458755269798</v>
      </c>
      <c r="AM4500">
        <v>89.783344896307398</v>
      </c>
      <c r="AN4500">
        <v>1.00000003280197</v>
      </c>
    </row>
    <row r="4501" spans="1:40" x14ac:dyDescent="0.25">
      <c r="A4501" t="str">
        <f>"20190303162350710"</f>
        <v>20190303162350710</v>
      </c>
      <c r="B4501" t="str">
        <f>"1551601430699055"</f>
        <v>1551601430699055</v>
      </c>
      <c r="C4501" t="s">
        <v>40</v>
      </c>
      <c r="D4501">
        <v>5.1763450000000004</v>
      </c>
      <c r="E4501">
        <v>0.55676539999999997</v>
      </c>
      <c r="F4501" t="s">
        <v>41</v>
      </c>
      <c r="G4501">
        <v>-392.1807</v>
      </c>
      <c r="H4501" s="1">
        <v>-4.1227390000000004E-6</v>
      </c>
      <c r="I4501">
        <v>142.9357</v>
      </c>
      <c r="J4501">
        <v>-374.30450000000002</v>
      </c>
      <c r="K4501">
        <v>1.120738</v>
      </c>
      <c r="L4501">
        <v>140.42789999999999</v>
      </c>
      <c r="M4501">
        <v>-0.99988410000000005</v>
      </c>
      <c r="N4501">
        <v>-1.201437E-2</v>
      </c>
      <c r="O4501">
        <v>-9.3514229999999993E-3</v>
      </c>
      <c r="P4501">
        <v>-0.98041120000000004</v>
      </c>
      <c r="Q4501">
        <v>0.19688169999999999</v>
      </c>
      <c r="R4501">
        <v>-5.6309639999999996E-3</v>
      </c>
      <c r="S4501">
        <v>-3.1007389999999999</v>
      </c>
      <c r="T4501">
        <v>-0.19128919999999999</v>
      </c>
      <c r="U4501">
        <v>0.42758180000000001</v>
      </c>
      <c r="V4501">
        <v>3.5819440000000001E-3</v>
      </c>
      <c r="W4501">
        <v>0.2086459</v>
      </c>
      <c r="X4501">
        <v>0.97798470000000004</v>
      </c>
      <c r="Y4501">
        <v>0.14552590000000001</v>
      </c>
      <c r="Z4501">
        <v>5.8048669999999896E-3</v>
      </c>
      <c r="AA4501">
        <v>0.98933740000000003</v>
      </c>
      <c r="AB4501">
        <v>29</v>
      </c>
      <c r="AC4501">
        <v>-17.876199999999901</v>
      </c>
      <c r="AD4501">
        <v>-1.120742122739</v>
      </c>
      <c r="AE4501">
        <v>2.5078</v>
      </c>
      <c r="AF4501">
        <v>2.6645989243718899</v>
      </c>
      <c r="AG4501">
        <v>-1.120742122739</v>
      </c>
      <c r="AH4501">
        <v>17.7834143288209</v>
      </c>
      <c r="AI4501">
        <v>93.566404132193398</v>
      </c>
      <c r="AJ4501">
        <v>81.4784140928965</v>
      </c>
      <c r="AK4501">
        <v>18.016824790288599</v>
      </c>
      <c r="AL4501">
        <v>77.956989767190095</v>
      </c>
      <c r="AM4501">
        <v>89.790150749828101</v>
      </c>
      <c r="AN4501">
        <v>1.00000000767185</v>
      </c>
    </row>
    <row r="4502" spans="1:40" x14ac:dyDescent="0.25">
      <c r="A4502" t="str">
        <f>"20190303162350733"</f>
        <v>20190303162350733</v>
      </c>
      <c r="B4502" t="str">
        <f>"1551601430729311"</f>
        <v>1551601430729311</v>
      </c>
      <c r="C4502" t="s">
        <v>40</v>
      </c>
      <c r="D4502">
        <v>5.1398979999999996</v>
      </c>
      <c r="E4502">
        <v>0.55743019999999999</v>
      </c>
      <c r="F4502" t="s">
        <v>41</v>
      </c>
      <c r="G4502">
        <v>-392.75069999999999</v>
      </c>
      <c r="H4502" s="1">
        <v>-3.9395519999999999E-6</v>
      </c>
      <c r="I4502">
        <v>142.99639999999999</v>
      </c>
      <c r="J4502">
        <v>-374.59890000000001</v>
      </c>
      <c r="K4502">
        <v>1.120733</v>
      </c>
      <c r="L4502">
        <v>140.42529999999999</v>
      </c>
      <c r="M4502">
        <v>-0.99988560000000004</v>
      </c>
      <c r="N4502">
        <v>-1.196555E-2</v>
      </c>
      <c r="O4502">
        <v>-9.2629270000000007E-3</v>
      </c>
      <c r="P4502">
        <v>-0.98047859999999998</v>
      </c>
      <c r="Q4502">
        <v>0.19655259999999999</v>
      </c>
      <c r="R4502">
        <v>-5.3692619999999996E-3</v>
      </c>
      <c r="S4502">
        <v>-3.10025</v>
      </c>
      <c r="T4502">
        <v>-0.18836330000000001</v>
      </c>
      <c r="U4502">
        <v>0.43170170000000002</v>
      </c>
      <c r="V4502">
        <v>3.7573789999999999E-3</v>
      </c>
      <c r="W4502">
        <v>0.2082695</v>
      </c>
      <c r="X4502">
        <v>0.97806420000000005</v>
      </c>
      <c r="Y4502">
        <v>0.14675629999999901</v>
      </c>
      <c r="Z4502">
        <v>5.7654999999999998E-3</v>
      </c>
      <c r="AA4502">
        <v>0.98915589999999998</v>
      </c>
      <c r="AB4502">
        <v>29</v>
      </c>
      <c r="AC4502">
        <v>-18.151799999999898</v>
      </c>
      <c r="AD4502">
        <v>-1.1207369395519999</v>
      </c>
      <c r="AE4502">
        <v>2.5710999999999999</v>
      </c>
      <c r="AF4502">
        <v>2.7289420245243501</v>
      </c>
      <c r="AG4502">
        <v>-1.1207369395519999</v>
      </c>
      <c r="AH4502">
        <v>18.059711615286499</v>
      </c>
      <c r="AI4502">
        <v>93.511307992232403</v>
      </c>
      <c r="AJ4502">
        <v>81.407234899210195</v>
      </c>
      <c r="AK4502">
        <v>18.2990808372499</v>
      </c>
      <c r="AL4502">
        <v>77.979039504331894</v>
      </c>
      <c r="AM4502">
        <v>89.779890829581703</v>
      </c>
      <c r="AN4502">
        <v>0.99999994092441802</v>
      </c>
    </row>
    <row r="4503" spans="1:40" x14ac:dyDescent="0.25">
      <c r="A4503" t="str">
        <f>"20190303162350755"</f>
        <v>20190303162350755</v>
      </c>
      <c r="B4503" t="str">
        <f>"1551601430749807"</f>
        <v>1551601430749807</v>
      </c>
      <c r="C4503" t="s">
        <v>40</v>
      </c>
      <c r="D4503">
        <v>5.1182230000000004</v>
      </c>
      <c r="E4503">
        <v>0.55784480000000003</v>
      </c>
      <c r="F4503" t="s">
        <v>41</v>
      </c>
      <c r="G4503">
        <v>-393.30759999999998</v>
      </c>
      <c r="H4503" s="1">
        <v>-3.7630300000000002E-6</v>
      </c>
      <c r="I4503">
        <v>143.06979999999999</v>
      </c>
      <c r="J4503">
        <v>-374.89640000000003</v>
      </c>
      <c r="K4503">
        <v>1.1207229999999999</v>
      </c>
      <c r="L4503">
        <v>140.42259999999999</v>
      </c>
      <c r="M4503">
        <v>-0.99988699999999997</v>
      </c>
      <c r="N4503">
        <v>-1.191567E-2</v>
      </c>
      <c r="O4503">
        <v>-9.1733530000000004E-3</v>
      </c>
      <c r="P4503">
        <v>-0.98052950000000005</v>
      </c>
      <c r="Q4503">
        <v>0.19630439999999999</v>
      </c>
      <c r="R4503">
        <v>-5.1489589999999998E-3</v>
      </c>
      <c r="S4503">
        <v>-3.099335</v>
      </c>
      <c r="T4503">
        <v>-0.18566379999999999</v>
      </c>
      <c r="U4503">
        <v>0.43811040000000001</v>
      </c>
      <c r="V4503">
        <v>3.8902479999999998E-3</v>
      </c>
      <c r="W4503">
        <v>0.2079733</v>
      </c>
      <c r="X4503">
        <v>0.97812679999999996</v>
      </c>
      <c r="Y4503">
        <v>0.14871789999999999</v>
      </c>
      <c r="Z4503">
        <v>5.757603E-3</v>
      </c>
      <c r="AA4503">
        <v>0.98886289999999999</v>
      </c>
      <c r="AB4503">
        <v>29</v>
      </c>
      <c r="AC4503">
        <v>-18.411199999999901</v>
      </c>
      <c r="AD4503">
        <v>-1.12072676303</v>
      </c>
      <c r="AE4503">
        <v>2.64719999999999</v>
      </c>
      <c r="AF4503">
        <v>2.8058069534685699</v>
      </c>
      <c r="AG4503">
        <v>-1.12072676303</v>
      </c>
      <c r="AH4503">
        <v>18.319633108222799</v>
      </c>
      <c r="AI4503">
        <v>93.460526353437103</v>
      </c>
      <c r="AJ4503">
        <v>81.292332151910401</v>
      </c>
      <c r="AK4503">
        <v>18.567109046843999</v>
      </c>
      <c r="AL4503">
        <v>77.996391561019905</v>
      </c>
      <c r="AM4503">
        <v>89.772121961706702</v>
      </c>
      <c r="AN4503">
        <v>1.00000003221031</v>
      </c>
    </row>
    <row r="4504" spans="1:40" x14ac:dyDescent="0.25">
      <c r="A4504" t="str">
        <f>"20190303162350777"</f>
        <v>20190303162350777</v>
      </c>
      <c r="B4504" t="str">
        <f>"1551601430769327"</f>
        <v>1551601430769327</v>
      </c>
      <c r="C4504" t="s">
        <v>40</v>
      </c>
      <c r="D4504">
        <v>5.0910589999999996</v>
      </c>
      <c r="E4504">
        <v>0.55820019999999904</v>
      </c>
      <c r="F4504" t="s">
        <v>41</v>
      </c>
      <c r="G4504">
        <v>-393.72410000000002</v>
      </c>
      <c r="H4504" s="1">
        <v>-3.603458E-6</v>
      </c>
      <c r="I4504">
        <v>143.1069</v>
      </c>
      <c r="J4504">
        <v>-375.17219999999998</v>
      </c>
      <c r="K4504">
        <v>1.120716</v>
      </c>
      <c r="L4504">
        <v>140.42019999999999</v>
      </c>
      <c r="M4504">
        <v>-0.9998882</v>
      </c>
      <c r="N4504">
        <v>-1.187173E-2</v>
      </c>
      <c r="O4504">
        <v>-9.0904920000000004E-3</v>
      </c>
      <c r="P4504">
        <v>-0.98058179999999995</v>
      </c>
      <c r="Q4504">
        <v>0.1960073</v>
      </c>
      <c r="R4504">
        <v>-6.3998780000000003E-3</v>
      </c>
      <c r="S4504">
        <v>-3.0988159999999998</v>
      </c>
      <c r="T4504">
        <v>-0.18445810000000001</v>
      </c>
      <c r="U4504">
        <v>0.44181819999999999</v>
      </c>
      <c r="V4504">
        <v>2.5585249999999999E-3</v>
      </c>
      <c r="W4504">
        <v>0.20763470000000001</v>
      </c>
      <c r="X4504">
        <v>0.97820309999999999</v>
      </c>
      <c r="Y4504">
        <v>0.1498205</v>
      </c>
      <c r="Z4504">
        <v>5.7582229999999998E-3</v>
      </c>
      <c r="AA4504">
        <v>0.98869649999999998</v>
      </c>
      <c r="AB4504">
        <v>29</v>
      </c>
      <c r="AC4504">
        <v>-18.5519</v>
      </c>
      <c r="AD4504">
        <v>-1.120719603458</v>
      </c>
      <c r="AE4504">
        <v>2.6867000000000001</v>
      </c>
      <c r="AF4504">
        <v>2.8450773189510401</v>
      </c>
      <c r="AG4504">
        <v>-1.120719603458</v>
      </c>
      <c r="AH4504">
        <v>18.460722229926699</v>
      </c>
      <c r="AI4504">
        <v>93.433628454561401</v>
      </c>
      <c r="AJ4504">
        <v>81.238781315897697</v>
      </c>
      <c r="AK4504">
        <v>18.712261825629099</v>
      </c>
      <c r="AL4504">
        <v>78.016224589892204</v>
      </c>
      <c r="AM4504">
        <v>89.850141192561495</v>
      </c>
      <c r="AN4504">
        <v>1.0000000097719299</v>
      </c>
    </row>
    <row r="4505" spans="1:40" x14ac:dyDescent="0.25">
      <c r="A4505" t="str">
        <f>"20190303162350800"</f>
        <v>20190303162350800</v>
      </c>
      <c r="B4505" t="str">
        <f>"1551601430789823"</f>
        <v>1551601430789823</v>
      </c>
      <c r="C4505" t="s">
        <v>40</v>
      </c>
      <c r="D4505">
        <v>5.2983289999999998</v>
      </c>
      <c r="E4505">
        <v>0.55701149999999999</v>
      </c>
      <c r="F4505" t="s">
        <v>41</v>
      </c>
      <c r="G4505">
        <v>-393.92349999999999</v>
      </c>
      <c r="H4505" s="1">
        <v>-3.5120349999999999E-6</v>
      </c>
      <c r="I4505">
        <v>143.0848</v>
      </c>
      <c r="J4505">
        <v>-375.46820000000002</v>
      </c>
      <c r="K4505">
        <v>1.1207119999999999</v>
      </c>
      <c r="L4505">
        <v>140.41759999999999</v>
      </c>
      <c r="M4505">
        <v>-0.99988960000000005</v>
      </c>
      <c r="N4505">
        <v>-1.182908E-2</v>
      </c>
      <c r="O4505">
        <v>-9.0019119999999904E-3</v>
      </c>
      <c r="P4505">
        <v>-0.98060510000000001</v>
      </c>
      <c r="Q4505">
        <v>0.1958337</v>
      </c>
      <c r="R4505">
        <v>-7.9466759999999997E-3</v>
      </c>
      <c r="S4505">
        <v>-3.0993040000000001</v>
      </c>
      <c r="T4505">
        <v>-0.18523809999999999</v>
      </c>
      <c r="U4505">
        <v>0.44044489999999997</v>
      </c>
      <c r="V4505">
        <v>9.2512219999999997E-4</v>
      </c>
      <c r="W4505">
        <v>0.20741970000000001</v>
      </c>
      <c r="X4505">
        <v>0.9782516</v>
      </c>
      <c r="Y4505">
        <v>0.14928060000000001</v>
      </c>
      <c r="Z4505">
        <v>5.7522550000000004E-3</v>
      </c>
      <c r="AA4505">
        <v>0.98877809999999999</v>
      </c>
      <c r="AB4505">
        <v>29</v>
      </c>
      <c r="AC4505">
        <v>-18.455299999999902</v>
      </c>
      <c r="AD4505">
        <v>-1.1207155120350001</v>
      </c>
      <c r="AE4505">
        <v>2.6671999999999998</v>
      </c>
      <c r="AF4505">
        <v>2.8230391478105998</v>
      </c>
      <c r="AG4505">
        <v>-1.1207155120350001</v>
      </c>
      <c r="AH4505">
        <v>18.364205479807801</v>
      </c>
      <c r="AI4505">
        <v>93.451820446905799</v>
      </c>
      <c r="AJ4505">
        <v>81.260613904538999</v>
      </c>
      <c r="AK4505">
        <v>18.613693781557501</v>
      </c>
      <c r="AL4505">
        <v>78.028817100007203</v>
      </c>
      <c r="AM4505">
        <v>89.945816002966495</v>
      </c>
      <c r="AN4505">
        <v>0.99999999035086695</v>
      </c>
    </row>
    <row r="4506" spans="1:40" x14ac:dyDescent="0.25">
      <c r="A4506" t="str">
        <f>"20190303162350846"</f>
        <v>20190303162350846</v>
      </c>
      <c r="B4506" t="str">
        <f>"1551601430839599"</f>
        <v>1551601430839599</v>
      </c>
      <c r="C4506" t="s">
        <v>40</v>
      </c>
      <c r="D4506">
        <v>5.1771849999999997</v>
      </c>
      <c r="E4506">
        <v>0.47145949999999998</v>
      </c>
      <c r="F4506" t="s">
        <v>41</v>
      </c>
      <c r="G4506">
        <v>-393.90050000000002</v>
      </c>
      <c r="H4506" s="1">
        <v>-3.4845900000000002E-6</v>
      </c>
      <c r="I4506">
        <v>142.94460000000001</v>
      </c>
      <c r="J4506">
        <v>-376.05630000000002</v>
      </c>
      <c r="K4506">
        <v>1.1206860000000001</v>
      </c>
      <c r="L4506">
        <v>140.41249999999999</v>
      </c>
      <c r="M4506">
        <v>-0.99989209999999995</v>
      </c>
      <c r="N4506">
        <v>-1.175738E-2</v>
      </c>
      <c r="O4506">
        <v>-8.8256649999999999E-3</v>
      </c>
      <c r="P4506">
        <v>-0.98101159999999998</v>
      </c>
      <c r="Q4506">
        <v>0.1935211</v>
      </c>
      <c r="R4506">
        <v>-1.2899330000000001E-2</v>
      </c>
      <c r="S4506">
        <v>-3.100403</v>
      </c>
      <c r="T4506">
        <v>-0.18851010000000001</v>
      </c>
      <c r="U4506">
        <v>0.42507929999999999</v>
      </c>
      <c r="V4506">
        <v>-4.1964339999999998E-3</v>
      </c>
      <c r="W4506">
        <v>0.2050438</v>
      </c>
      <c r="X4506">
        <v>0.97874380000000005</v>
      </c>
      <c r="Y4506">
        <v>0.14424960000000001</v>
      </c>
      <c r="Z4506">
        <v>5.6443359999999998E-3</v>
      </c>
      <c r="AA4506">
        <v>0.98952530000000005</v>
      </c>
      <c r="AB4506">
        <v>29</v>
      </c>
      <c r="AC4506">
        <v>-17.844200000000001</v>
      </c>
      <c r="AD4506">
        <v>-1.12068948459</v>
      </c>
      <c r="AE4506">
        <v>2.53210000000001</v>
      </c>
      <c r="AF4506">
        <v>2.6791402531860502</v>
      </c>
      <c r="AG4506">
        <v>-1.12068948459</v>
      </c>
      <c r="AH4506">
        <v>17.752515746137501</v>
      </c>
      <c r="AI4506">
        <v>93.571862309445194</v>
      </c>
      <c r="AJ4506">
        <v>81.417908239847904</v>
      </c>
      <c r="AK4506">
        <v>17.9884838920342</v>
      </c>
      <c r="AL4506">
        <v>78.167936905739793</v>
      </c>
      <c r="AM4506">
        <v>90.245658244656198</v>
      </c>
      <c r="AN4506">
        <v>0.99999999800759798</v>
      </c>
    </row>
    <row r="4507" spans="1:40" x14ac:dyDescent="0.25">
      <c r="A4507" t="str">
        <f>"20190303162350867"</f>
        <v>20190303162350867</v>
      </c>
      <c r="B4507" t="str">
        <f>"1551601430859119"</f>
        <v>1551601430859119</v>
      </c>
      <c r="C4507" t="s">
        <v>40</v>
      </c>
      <c r="D4507">
        <v>5.0713929999999996</v>
      </c>
      <c r="E4507">
        <v>0.46397319999999997</v>
      </c>
      <c r="F4507" t="s">
        <v>41</v>
      </c>
      <c r="G4507">
        <v>-396.76249999999999</v>
      </c>
      <c r="H4507" s="1">
        <v>-1.5530439999999999E-6</v>
      </c>
      <c r="I4507">
        <v>138.5909</v>
      </c>
      <c r="J4507">
        <v>-376.34559999999999</v>
      </c>
      <c r="K4507">
        <v>1.120676</v>
      </c>
      <c r="L4507">
        <v>140.41</v>
      </c>
      <c r="M4507">
        <v>-0.99989309999999998</v>
      </c>
      <c r="N4507">
        <v>-1.1728010000000001E-2</v>
      </c>
      <c r="O4507">
        <v>-8.7381130000000005E-3</v>
      </c>
      <c r="P4507">
        <v>-0.98112909999999998</v>
      </c>
      <c r="Q4507">
        <v>0.19272590000000001</v>
      </c>
      <c r="R4507">
        <v>-1.558553E-2</v>
      </c>
      <c r="S4507">
        <v>-3.087494</v>
      </c>
      <c r="T4507">
        <v>-0.16710510000000001</v>
      </c>
      <c r="U4507">
        <v>-0.27160640000000003</v>
      </c>
      <c r="V4507">
        <v>-6.9675079999999999E-3</v>
      </c>
      <c r="W4507">
        <v>0.2042223</v>
      </c>
      <c r="X4507">
        <v>0.97889970000000004</v>
      </c>
      <c r="Y4507">
        <v>-7.8791390000000003E-2</v>
      </c>
      <c r="Z4507">
        <v>-2.2205219999999999E-3</v>
      </c>
      <c r="AA4507">
        <v>0.99688860000000001</v>
      </c>
      <c r="AB4507">
        <v>29</v>
      </c>
      <c r="AC4507">
        <v>-20.416899999999998</v>
      </c>
      <c r="AD4507">
        <v>-1.1206775530440001</v>
      </c>
      <c r="AE4507">
        <v>-1.8190999999999899</v>
      </c>
      <c r="AF4507">
        <v>-1.63572367688541</v>
      </c>
      <c r="AG4507">
        <v>-1.1206775530440001</v>
      </c>
      <c r="AH4507">
        <v>20.371124656779401</v>
      </c>
      <c r="AI4507">
        <v>93.138759157739898</v>
      </c>
      <c r="AJ4507">
        <v>94.590783325939896</v>
      </c>
      <c r="AK4507">
        <v>20.467394311613401</v>
      </c>
      <c r="AL4507">
        <v>78.216022476332299</v>
      </c>
      <c r="AM4507">
        <v>90.407806908935498</v>
      </c>
      <c r="AN4507">
        <v>0.99999995832255395</v>
      </c>
    </row>
    <row r="4508" spans="1:40" x14ac:dyDescent="0.25">
      <c r="A4508" t="str">
        <f>"20190303162350889"</f>
        <v>20190303162350889</v>
      </c>
      <c r="B4508" t="str">
        <f>"1551601430879615"</f>
        <v>1551601430879615</v>
      </c>
      <c r="C4508" t="s">
        <v>40</v>
      </c>
      <c r="D4508">
        <v>5.0525250000000002</v>
      </c>
      <c r="E4508">
        <v>0.4616323</v>
      </c>
      <c r="F4508" t="s">
        <v>41</v>
      </c>
      <c r="G4508">
        <v>-395.12740000000002</v>
      </c>
      <c r="H4508" s="1">
        <v>-2.2975149999999998E-6</v>
      </c>
      <c r="I4508">
        <v>138.34829999999999</v>
      </c>
      <c r="J4508">
        <v>-376.62470000000002</v>
      </c>
      <c r="K4508">
        <v>1.1206689999999999</v>
      </c>
      <c r="L4508">
        <v>140.40770000000001</v>
      </c>
      <c r="M4508">
        <v>-0.99989410000000001</v>
      </c>
      <c r="N4508">
        <v>-1.170306E-2</v>
      </c>
      <c r="O4508">
        <v>-8.6532080000000008E-3</v>
      </c>
      <c r="P4508">
        <v>-0.98124069999999997</v>
      </c>
      <c r="Q4508">
        <v>0.19196820000000001</v>
      </c>
      <c r="R4508">
        <v>-1.774063E-2</v>
      </c>
      <c r="S4508">
        <v>-3.088562</v>
      </c>
      <c r="T4508">
        <v>-0.18428919999999999</v>
      </c>
      <c r="U4508">
        <v>-0.33901979999999998</v>
      </c>
      <c r="V4508">
        <v>-9.2053389999999999E-3</v>
      </c>
      <c r="W4508">
        <v>0.20344229999999999</v>
      </c>
      <c r="X4508">
        <v>0.97904369999999996</v>
      </c>
      <c r="Y4508">
        <v>-0.1003033</v>
      </c>
      <c r="Z4508">
        <v>-3.1568519999999999E-3</v>
      </c>
      <c r="AA4508">
        <v>0.9949519</v>
      </c>
      <c r="AB4508">
        <v>29</v>
      </c>
      <c r="AC4508">
        <v>-18.502700000000001</v>
      </c>
      <c r="AD4508">
        <v>-1.1206712975149999</v>
      </c>
      <c r="AE4508">
        <v>-2.0594000000000099</v>
      </c>
      <c r="AF4508">
        <v>-1.8923471210956899</v>
      </c>
      <c r="AG4508">
        <v>-1.1206712975149999</v>
      </c>
      <c r="AH4508">
        <v>18.4529628161294</v>
      </c>
      <c r="AI4508">
        <v>93.457287822576404</v>
      </c>
      <c r="AJ4508">
        <v>95.855201024886298</v>
      </c>
      <c r="AK4508">
        <v>18.5835604359673</v>
      </c>
      <c r="AL4508">
        <v>78.261672490509397</v>
      </c>
      <c r="AM4508">
        <v>90.538700705765393</v>
      </c>
      <c r="AN4508">
        <v>1.0000000371025399</v>
      </c>
    </row>
    <row r="4509" spans="1:40" x14ac:dyDescent="0.25">
      <c r="A4509" t="str">
        <f>"20190303162350911"</f>
        <v>20190303162350911</v>
      </c>
      <c r="B4509" t="str">
        <f>"1551601430899135"</f>
        <v>1551601430899135</v>
      </c>
      <c r="C4509" t="s">
        <v>40</v>
      </c>
      <c r="D4509">
        <v>5.0079200000000004</v>
      </c>
      <c r="E4509">
        <v>0.46067780000000003</v>
      </c>
      <c r="F4509" t="s">
        <v>41</v>
      </c>
      <c r="G4509">
        <v>-394.50119999999998</v>
      </c>
      <c r="H4509" s="1">
        <v>-2.57393E-6</v>
      </c>
      <c r="I4509">
        <v>138.3047</v>
      </c>
      <c r="J4509">
        <v>-376.92399999999998</v>
      </c>
      <c r="K4509">
        <v>1.120654</v>
      </c>
      <c r="L4509">
        <v>140.40520000000001</v>
      </c>
      <c r="M4509">
        <v>-0.99989519999999998</v>
      </c>
      <c r="N4509">
        <v>-1.1679699999999999E-2</v>
      </c>
      <c r="O4509">
        <v>-8.5599579999999995E-3</v>
      </c>
      <c r="P4509">
        <v>-0.98126979999999997</v>
      </c>
      <c r="Q4509">
        <v>0.191555</v>
      </c>
      <c r="R4509">
        <v>-2.040751E-2</v>
      </c>
      <c r="S4509">
        <v>-3.0886230000000001</v>
      </c>
      <c r="T4509">
        <v>-0.19362509999999999</v>
      </c>
      <c r="U4509">
        <v>-0.36332700000000001</v>
      </c>
      <c r="V4509">
        <v>-1.196265E-2</v>
      </c>
      <c r="W4509">
        <v>0.2030071</v>
      </c>
      <c r="X4509">
        <v>0.97910419999999998</v>
      </c>
      <c r="Y4509">
        <v>-0.1080845</v>
      </c>
      <c r="Z4509">
        <v>-3.5724770000000001E-3</v>
      </c>
      <c r="AA4509">
        <v>0.99413530000000006</v>
      </c>
      <c r="AB4509">
        <v>29</v>
      </c>
      <c r="AC4509">
        <v>-17.577199999999898</v>
      </c>
      <c r="AD4509">
        <v>-1.1206565739299901</v>
      </c>
      <c r="AE4509">
        <v>-2.10050000000001</v>
      </c>
      <c r="AF4509">
        <v>-1.94216918847734</v>
      </c>
      <c r="AG4509">
        <v>-1.1206565739299901</v>
      </c>
      <c r="AH4509">
        <v>17.524306421057702</v>
      </c>
      <c r="AI4509">
        <v>93.636801823665095</v>
      </c>
      <c r="AJ4509">
        <v>96.324120698340593</v>
      </c>
      <c r="AK4509">
        <v>17.667178831168499</v>
      </c>
      <c r="AL4509">
        <v>78.287138736419294</v>
      </c>
      <c r="AM4509">
        <v>90.700002363633004</v>
      </c>
      <c r="AN4509">
        <v>1.0000000110515299</v>
      </c>
    </row>
    <row r="4510" spans="1:40" x14ac:dyDescent="0.25">
      <c r="A4510" t="str">
        <f>"20190303162350945"</f>
        <v>20190303162350945</v>
      </c>
      <c r="B4510" t="str">
        <f>"1551601430939151"</f>
        <v>1551601430939151</v>
      </c>
      <c r="C4510" t="s">
        <v>40</v>
      </c>
      <c r="D4510">
        <v>4.985144</v>
      </c>
      <c r="E4510">
        <v>0.45957399999999998</v>
      </c>
      <c r="F4510" t="s">
        <v>41</v>
      </c>
      <c r="G4510">
        <v>-394.32</v>
      </c>
      <c r="H4510" s="1">
        <v>-2.6575509999999999E-6</v>
      </c>
      <c r="I4510">
        <v>138.2715</v>
      </c>
      <c r="J4510">
        <v>-377.36470000000003</v>
      </c>
      <c r="K4510">
        <v>1.1206480000000001</v>
      </c>
      <c r="L4510">
        <v>140.4015</v>
      </c>
      <c r="M4510">
        <v>-0.99989660000000002</v>
      </c>
      <c r="N4510">
        <v>-1.1656659999999999E-2</v>
      </c>
      <c r="O4510">
        <v>-8.4114640000000004E-3</v>
      </c>
      <c r="P4510">
        <v>-0.98136230000000002</v>
      </c>
      <c r="Q4510">
        <v>0.1906795</v>
      </c>
      <c r="R4510">
        <v>-2.386156E-2</v>
      </c>
      <c r="S4510">
        <v>-3.0882260000000001</v>
      </c>
      <c r="T4510">
        <v>-0.1989448</v>
      </c>
      <c r="U4510">
        <v>-0.37876890000000002</v>
      </c>
      <c r="V4510">
        <v>-1.555949E-2</v>
      </c>
      <c r="W4510">
        <v>0.2021115</v>
      </c>
      <c r="X4510">
        <v>0.97923890000000002</v>
      </c>
      <c r="Y4510">
        <v>-0.1131215</v>
      </c>
      <c r="Z4510">
        <v>-3.8473359999999998E-3</v>
      </c>
      <c r="AA4510">
        <v>0.9935737</v>
      </c>
      <c r="AB4510">
        <v>29</v>
      </c>
      <c r="AC4510">
        <v>-16.955299999999902</v>
      </c>
      <c r="AD4510">
        <v>-1.12065065755099</v>
      </c>
      <c r="AE4510">
        <v>-2.1299999999999901</v>
      </c>
      <c r="AF4510">
        <v>-1.9787860683376699</v>
      </c>
      <c r="AG4510">
        <v>-1.12065065755099</v>
      </c>
      <c r="AH4510">
        <v>16.899937822829902</v>
      </c>
      <c r="AI4510">
        <v>93.768115557497296</v>
      </c>
      <c r="AJ4510">
        <v>96.678260906518304</v>
      </c>
      <c r="AK4510">
        <v>17.0522535348274</v>
      </c>
      <c r="AL4510">
        <v>78.339538845281993</v>
      </c>
      <c r="AM4510">
        <v>90.910317282151695</v>
      </c>
      <c r="AN4510">
        <v>0.99999998971726001</v>
      </c>
    </row>
    <row r="4511" spans="1:40" x14ac:dyDescent="0.25">
      <c r="A4511" t="str">
        <f>"20190303162350967"</f>
        <v>20190303162350967</v>
      </c>
      <c r="B4511" t="str">
        <f>"1551601430959647"</f>
        <v>1551601430959647</v>
      </c>
      <c r="C4511" t="s">
        <v>40</v>
      </c>
      <c r="D4511">
        <v>4.9155220000000002</v>
      </c>
      <c r="E4511">
        <v>0.45990510000000001</v>
      </c>
      <c r="F4511" t="s">
        <v>41</v>
      </c>
      <c r="G4511">
        <v>-394.45850000000002</v>
      </c>
      <c r="H4511" s="1">
        <v>-2.611428E-6</v>
      </c>
      <c r="I4511">
        <v>138.19649999999999</v>
      </c>
      <c r="J4511">
        <v>-377.64749999999998</v>
      </c>
      <c r="K4511">
        <v>1.1206400000000001</v>
      </c>
      <c r="L4511">
        <v>140.39920000000001</v>
      </c>
      <c r="M4511">
        <v>-0.99989779999999995</v>
      </c>
      <c r="N4511">
        <v>-1.165042E-2</v>
      </c>
      <c r="O4511">
        <v>-8.3030900000000008E-3</v>
      </c>
      <c r="P4511">
        <v>-0.98136780000000001</v>
      </c>
      <c r="Q4511">
        <v>0.19034960000000001</v>
      </c>
      <c r="R4511">
        <v>-2.6168520000000001E-2</v>
      </c>
      <c r="S4511">
        <v>-3.0866389999999999</v>
      </c>
      <c r="T4511">
        <v>-0.20235739999999999</v>
      </c>
      <c r="U4511">
        <v>-0.39814759999999999</v>
      </c>
      <c r="V4511">
        <v>-1.7968709999999999E-2</v>
      </c>
      <c r="W4511">
        <v>0.2017767</v>
      </c>
      <c r="X4511">
        <v>0.97926670000000005</v>
      </c>
      <c r="Y4511">
        <v>-0.1194052</v>
      </c>
      <c r="Z4511">
        <v>-4.1479170000000001E-3</v>
      </c>
      <c r="AA4511">
        <v>0.99283699999999997</v>
      </c>
      <c r="AB4511">
        <v>29</v>
      </c>
      <c r="AC4511">
        <v>-16.811</v>
      </c>
      <c r="AD4511">
        <v>-1.1206426114279999</v>
      </c>
      <c r="AE4511">
        <v>-2.2027000000000201</v>
      </c>
      <c r="AF4511">
        <v>-2.05405775243119</v>
      </c>
      <c r="AG4511">
        <v>-1.1206426114279999</v>
      </c>
      <c r="AH4511">
        <v>16.755510711606501</v>
      </c>
      <c r="AI4511">
        <v>93.798011350336907</v>
      </c>
      <c r="AJ4511">
        <v>96.989016757667997</v>
      </c>
      <c r="AK4511">
        <v>16.918100730271998</v>
      </c>
      <c r="AL4511">
        <v>78.359125014090495</v>
      </c>
      <c r="AM4511">
        <v>91.051210793659095</v>
      </c>
      <c r="AN4511">
        <v>0.99999999046542198</v>
      </c>
    </row>
    <row r="4512" spans="1:40" x14ac:dyDescent="0.25">
      <c r="A4512" t="str">
        <f>"20190303162350989"</f>
        <v>20190303162350989</v>
      </c>
      <c r="B4512" t="str">
        <f>"1551601430979166"</f>
        <v>1551601430979166</v>
      </c>
      <c r="C4512" t="s">
        <v>40</v>
      </c>
      <c r="D4512">
        <v>4.9272419999999997</v>
      </c>
      <c r="E4512">
        <v>0.45998329999999998</v>
      </c>
      <c r="F4512" t="s">
        <v>41</v>
      </c>
      <c r="G4512">
        <v>-394.65219999999999</v>
      </c>
      <c r="H4512" s="1">
        <v>-2.5304980000000001E-6</v>
      </c>
      <c r="I4512">
        <v>138.18430000000001</v>
      </c>
      <c r="J4512">
        <v>-377.9384</v>
      </c>
      <c r="K4512">
        <v>1.120627</v>
      </c>
      <c r="L4512">
        <v>140.39689999999999</v>
      </c>
      <c r="M4512">
        <v>-0.99989870000000003</v>
      </c>
      <c r="N4512">
        <v>-1.164806E-2</v>
      </c>
      <c r="O4512">
        <v>-8.1783659999999994E-3</v>
      </c>
      <c r="P4512">
        <v>-0.98132750000000002</v>
      </c>
      <c r="Q4512">
        <v>0.19013469999999999</v>
      </c>
      <c r="R4512">
        <v>-2.9075110000000001E-2</v>
      </c>
      <c r="S4512">
        <v>-3.085693</v>
      </c>
      <c r="T4512">
        <v>-0.2033539</v>
      </c>
      <c r="U4512">
        <v>-0.40190120000000001</v>
      </c>
      <c r="V4512">
        <v>-2.0993080000000001E-2</v>
      </c>
      <c r="W4512">
        <v>0.20156089999999999</v>
      </c>
      <c r="X4512">
        <v>0.97925099999999998</v>
      </c>
      <c r="Y4512">
        <v>-0.1207491</v>
      </c>
      <c r="Z4512">
        <v>-4.2236929999999997E-3</v>
      </c>
      <c r="AA4512">
        <v>0.9926741</v>
      </c>
      <c r="AB4512">
        <v>29</v>
      </c>
      <c r="AC4512">
        <v>-16.7137999999999</v>
      </c>
      <c r="AD4512">
        <v>-1.1206295304979901</v>
      </c>
      <c r="AE4512">
        <v>-2.2125999999999801</v>
      </c>
      <c r="AF4512">
        <v>-2.0666944253271202</v>
      </c>
      <c r="AG4512">
        <v>-1.1206295304979901</v>
      </c>
      <c r="AH4512">
        <v>16.657743225893402</v>
      </c>
      <c r="AI4512">
        <v>93.819508458259094</v>
      </c>
      <c r="AJ4512">
        <v>97.072437411205698</v>
      </c>
      <c r="AK4512">
        <v>16.82282514241</v>
      </c>
      <c r="AL4512">
        <v>78.371749085443696</v>
      </c>
      <c r="AM4512">
        <v>91.228112781315005</v>
      </c>
      <c r="AN4512">
        <v>1.00000001340884</v>
      </c>
    </row>
    <row r="4513" spans="1:40" x14ac:dyDescent="0.25">
      <c r="A4513" t="str">
        <f>"20190303162351013"</f>
        <v>20190303162351013</v>
      </c>
      <c r="B4513" t="str">
        <f>"1551601431009422"</f>
        <v>1551601431009422</v>
      </c>
      <c r="C4513" t="s">
        <v>40</v>
      </c>
      <c r="D4513">
        <v>4.9847839999999897</v>
      </c>
      <c r="E4513">
        <v>0.4604663</v>
      </c>
      <c r="F4513" t="s">
        <v>41</v>
      </c>
      <c r="G4513">
        <v>-395.66250000000002</v>
      </c>
      <c r="H4513" s="1">
        <v>-2.122178E-6</v>
      </c>
      <c r="I4513">
        <v>138.0427</v>
      </c>
      <c r="J4513">
        <v>-378.24169999999998</v>
      </c>
      <c r="K4513">
        <v>1.120617</v>
      </c>
      <c r="L4513">
        <v>140.3946</v>
      </c>
      <c r="M4513">
        <v>-0.99990000000000001</v>
      </c>
      <c r="N4513">
        <v>-1.1652559999999999E-2</v>
      </c>
      <c r="O4513">
        <v>-8.0200830000000008E-3</v>
      </c>
      <c r="P4513">
        <v>-0.98125130000000005</v>
      </c>
      <c r="Q4513">
        <v>0.18989900000000001</v>
      </c>
      <c r="R4513">
        <v>-3.2928520000000003E-2</v>
      </c>
      <c r="S4513">
        <v>-3.082703</v>
      </c>
      <c r="T4513">
        <v>-0.19490830000000001</v>
      </c>
      <c r="U4513">
        <v>-0.4094391</v>
      </c>
      <c r="V4513">
        <v>-2.49944E-2</v>
      </c>
      <c r="W4513">
        <v>0.2013306</v>
      </c>
      <c r="X4513">
        <v>0.97920439999999997</v>
      </c>
      <c r="Y4513">
        <v>-0.1234299</v>
      </c>
      <c r="Z4513">
        <v>-4.192968E-3</v>
      </c>
      <c r="AA4513">
        <v>0.99234440000000002</v>
      </c>
      <c r="AB4513">
        <v>29</v>
      </c>
      <c r="AC4513">
        <v>-17.4208</v>
      </c>
      <c r="AD4513">
        <v>-1.120619122178</v>
      </c>
      <c r="AE4513">
        <v>-2.3519000000000001</v>
      </c>
      <c r="AF4513">
        <v>-2.2031454011562199</v>
      </c>
      <c r="AG4513">
        <v>-1.120619122178</v>
      </c>
      <c r="AH4513">
        <v>17.3685206490706</v>
      </c>
      <c r="AI4513">
        <v>93.662348483608199</v>
      </c>
      <c r="AJ4513">
        <v>97.229191926698803</v>
      </c>
      <c r="AK4513">
        <v>17.5435214940678</v>
      </c>
      <c r="AL4513">
        <v>78.385220239652696</v>
      </c>
      <c r="AM4513">
        <v>91.462169427476198</v>
      </c>
      <c r="AN4513">
        <v>0.99999999375353998</v>
      </c>
    </row>
    <row r="4514" spans="1:40" x14ac:dyDescent="0.25">
      <c r="A4514" t="str">
        <f>"20190303162351035"</f>
        <v>20190303162351035</v>
      </c>
      <c r="B4514" t="str">
        <f>"1551601431029919"</f>
        <v>1551601431029919</v>
      </c>
      <c r="C4514" t="s">
        <v>40</v>
      </c>
      <c r="D4514">
        <v>4.9735449999999997</v>
      </c>
      <c r="E4514">
        <v>0.46077820000000003</v>
      </c>
      <c r="F4514" t="s">
        <v>41</v>
      </c>
      <c r="G4514">
        <v>-396.29239999999999</v>
      </c>
      <c r="H4514" s="1">
        <v>-1.867633E-6</v>
      </c>
      <c r="I4514">
        <v>137.95429999999999</v>
      </c>
      <c r="J4514">
        <v>-378.53129999999999</v>
      </c>
      <c r="K4514">
        <v>1.120592</v>
      </c>
      <c r="L4514">
        <v>140.39240000000001</v>
      </c>
      <c r="M4514">
        <v>-0.9999015</v>
      </c>
      <c r="N4514">
        <v>-1.166069E-2</v>
      </c>
      <c r="O4514">
        <v>-7.8288000000000003E-3</v>
      </c>
      <c r="P4514">
        <v>-0.98118369999999999</v>
      </c>
      <c r="Q4514">
        <v>0.18956619999999999</v>
      </c>
      <c r="R4514">
        <v>-3.665322E-2</v>
      </c>
      <c r="S4514">
        <v>-3.0803530000000001</v>
      </c>
      <c r="T4514">
        <v>-0.19123409999999999</v>
      </c>
      <c r="U4514">
        <v>-0.41641240000000002</v>
      </c>
      <c r="V4514">
        <v>-2.8894E-2</v>
      </c>
      <c r="W4514">
        <v>0.20100879999999999</v>
      </c>
      <c r="X4514">
        <v>0.97916320000000001</v>
      </c>
      <c r="Y4514">
        <v>-0.12592819999999999</v>
      </c>
      <c r="Z4514">
        <v>-4.2334440000000003E-3</v>
      </c>
      <c r="AA4514">
        <v>0.99203030000000003</v>
      </c>
      <c r="AB4514">
        <v>29</v>
      </c>
      <c r="AC4514">
        <v>-17.761099999999999</v>
      </c>
      <c r="AD4514">
        <v>-1.1205938676330001</v>
      </c>
      <c r="AE4514">
        <v>-2.4381000000000199</v>
      </c>
      <c r="AF4514">
        <v>-2.2900205074712399</v>
      </c>
      <c r="AG4514">
        <v>-1.1205938676330001</v>
      </c>
      <c r="AH4514">
        <v>17.710448666734599</v>
      </c>
      <c r="AI4514">
        <v>93.590638657018701</v>
      </c>
      <c r="AJ4514">
        <v>97.367657412942606</v>
      </c>
      <c r="AK4514">
        <v>17.893013064262199</v>
      </c>
      <c r="AL4514">
        <v>78.404042738560705</v>
      </c>
      <c r="AM4514">
        <v>91.690243241483799</v>
      </c>
      <c r="AN4514">
        <v>0.99999998657383904</v>
      </c>
    </row>
    <row r="4515" spans="1:40" x14ac:dyDescent="0.25">
      <c r="A4515" t="str">
        <f>"20190303162351057"</f>
        <v>20190303162351057</v>
      </c>
      <c r="B4515" t="str">
        <f>"1551601431049439"</f>
        <v>1551601431049439</v>
      </c>
      <c r="C4515" t="s">
        <v>40</v>
      </c>
      <c r="D4515">
        <v>4.8752230000000001</v>
      </c>
      <c r="E4515">
        <v>0.4611693</v>
      </c>
      <c r="F4515" t="s">
        <v>41</v>
      </c>
      <c r="G4515">
        <v>-396.72280000000001</v>
      </c>
      <c r="H4515" s="1">
        <v>-1.6958839999999999E-6</v>
      </c>
      <c r="I4515">
        <v>137.88159999999999</v>
      </c>
      <c r="J4515">
        <v>-378.81549999999999</v>
      </c>
      <c r="K4515">
        <v>1.1205609999999999</v>
      </c>
      <c r="L4515">
        <v>140.3904</v>
      </c>
      <c r="M4515">
        <v>-0.99990310000000004</v>
      </c>
      <c r="N4515">
        <v>-1.1672780000000001E-2</v>
      </c>
      <c r="O4515">
        <v>-7.592349E-3</v>
      </c>
      <c r="P4515">
        <v>-0.98113890000000004</v>
      </c>
      <c r="Q4515">
        <v>0.18916269999999999</v>
      </c>
      <c r="R4515">
        <v>-3.9796100000000001E-2</v>
      </c>
      <c r="S4515">
        <v>-3.0782780000000001</v>
      </c>
      <c r="T4515">
        <v>-0.18962090000000001</v>
      </c>
      <c r="U4515">
        <v>-0.42485050000000002</v>
      </c>
      <c r="V4515">
        <v>-3.2252059999999999E-2</v>
      </c>
      <c r="W4515">
        <v>0.2006211</v>
      </c>
      <c r="X4515">
        <v>0.97913790000000001</v>
      </c>
      <c r="Y4515">
        <v>-0.12891749999999999</v>
      </c>
      <c r="Z4515">
        <v>-4.3282119999999997E-3</v>
      </c>
      <c r="AA4515">
        <v>0.99164589999999997</v>
      </c>
      <c r="AB4515">
        <v>29</v>
      </c>
      <c r="AC4515">
        <v>-17.907299999999999</v>
      </c>
      <c r="AD4515">
        <v>-1.120562695884</v>
      </c>
      <c r="AE4515">
        <v>-2.5087999999999999</v>
      </c>
      <c r="AF4515">
        <v>-2.3636825928586802</v>
      </c>
      <c r="AG4515">
        <v>-1.120562695884</v>
      </c>
      <c r="AH4515">
        <v>17.857254733466</v>
      </c>
      <c r="AI4515">
        <v>93.559698422383306</v>
      </c>
      <c r="AJ4515">
        <v>97.540146457456203</v>
      </c>
      <c r="AK4515">
        <v>18.047830971368398</v>
      </c>
      <c r="AL4515">
        <v>78.4267186720475</v>
      </c>
      <c r="AM4515">
        <v>91.886597414846804</v>
      </c>
      <c r="AN4515">
        <v>1.0000000241779301</v>
      </c>
    </row>
    <row r="4516" spans="1:40" x14ac:dyDescent="0.25">
      <c r="A4516" t="str">
        <f>"20190303162351079"</f>
        <v>20190303162351079</v>
      </c>
      <c r="B4516" t="str">
        <f>"1551601431068960"</f>
        <v>1551601431068960</v>
      </c>
      <c r="C4516" t="s">
        <v>40</v>
      </c>
      <c r="D4516">
        <v>4.9762559999999896</v>
      </c>
      <c r="E4516">
        <v>0.46144800000000002</v>
      </c>
      <c r="F4516" t="s">
        <v>41</v>
      </c>
      <c r="G4516">
        <v>-397.54820000000001</v>
      </c>
      <c r="H4516" s="1">
        <v>-1.3629610000000001E-6</v>
      </c>
      <c r="I4516">
        <v>137.76230000000001</v>
      </c>
      <c r="J4516">
        <v>-379.10410000000002</v>
      </c>
      <c r="K4516">
        <v>1.1205160000000001</v>
      </c>
      <c r="L4516">
        <v>140.38849999999999</v>
      </c>
      <c r="M4516">
        <v>-0.99990500000000004</v>
      </c>
      <c r="N4516">
        <v>-1.1689929999999999E-2</v>
      </c>
      <c r="O4516">
        <v>-7.2942909999999996E-3</v>
      </c>
      <c r="P4516">
        <v>-0.98106499999999996</v>
      </c>
      <c r="Q4516">
        <v>0.18836530000000001</v>
      </c>
      <c r="R4516">
        <v>-4.5053669999999997E-2</v>
      </c>
      <c r="S4516">
        <v>-3.075653</v>
      </c>
      <c r="T4516">
        <v>-0.18398120000000001</v>
      </c>
      <c r="U4516">
        <v>-0.43148799999999998</v>
      </c>
      <c r="V4516">
        <v>-3.778045E-2</v>
      </c>
      <c r="W4516">
        <v>0.19984650000000001</v>
      </c>
      <c r="X4516">
        <v>0.97909860000000004</v>
      </c>
      <c r="Y4516">
        <v>-0.13143529999999901</v>
      </c>
      <c r="Z4516">
        <v>-4.332392E-3</v>
      </c>
      <c r="AA4516">
        <v>0.99131530000000001</v>
      </c>
      <c r="AB4516">
        <v>29</v>
      </c>
      <c r="AC4516">
        <v>-18.444099999999899</v>
      </c>
      <c r="AD4516">
        <v>-1.1205173629609999</v>
      </c>
      <c r="AE4516">
        <v>-2.6261999999999799</v>
      </c>
      <c r="AF4516">
        <v>-2.4826035356107501</v>
      </c>
      <c r="AG4516">
        <v>-1.1205173629609999</v>
      </c>
      <c r="AH4516">
        <v>18.396218987748799</v>
      </c>
      <c r="AI4516">
        <v>93.454354458664696</v>
      </c>
      <c r="AJ4516">
        <v>97.685737575802307</v>
      </c>
      <c r="AK4516">
        <v>18.596767259955001</v>
      </c>
      <c r="AL4516">
        <v>78.472017401490206</v>
      </c>
      <c r="AM4516">
        <v>92.209774308453405</v>
      </c>
      <c r="AN4516">
        <v>1.0000000272431999</v>
      </c>
    </row>
    <row r="4517" spans="1:40" x14ac:dyDescent="0.25">
      <c r="A4517" t="str">
        <f>"20190303162351101"</f>
        <v>20190303162351101</v>
      </c>
      <c r="B4517" t="str">
        <f>"1551601431089455"</f>
        <v>1551601431089455</v>
      </c>
      <c r="C4517" t="s">
        <v>40</v>
      </c>
      <c r="D4517">
        <v>4.8085490000000002</v>
      </c>
      <c r="E4517">
        <v>0.46184459999999999</v>
      </c>
      <c r="F4517" t="s">
        <v>41</v>
      </c>
      <c r="G4517">
        <v>-398.12889999999999</v>
      </c>
      <c r="H4517" s="1">
        <v>-1.1504109999999999E-6</v>
      </c>
      <c r="I4517">
        <v>137.63329999999999</v>
      </c>
      <c r="J4517">
        <v>-379.38959999999997</v>
      </c>
      <c r="K4517">
        <v>1.1204639999999999</v>
      </c>
      <c r="L4517">
        <v>140.38669999999999</v>
      </c>
      <c r="M4517">
        <v>-0.99990730000000005</v>
      </c>
      <c r="N4517">
        <v>-1.1713009999999999E-2</v>
      </c>
      <c r="O4517">
        <v>-6.9349269999999996E-3</v>
      </c>
      <c r="P4517">
        <v>-0.98094930000000002</v>
      </c>
      <c r="Q4517">
        <v>0.18760589999999999</v>
      </c>
      <c r="R4517">
        <v>-5.0421519999999997E-2</v>
      </c>
      <c r="S4517">
        <v>-3.072235</v>
      </c>
      <c r="T4517">
        <v>-0.1809481</v>
      </c>
      <c r="U4517">
        <v>-0.44491579999999997</v>
      </c>
      <c r="V4517">
        <v>-4.3477519999999999E-2</v>
      </c>
      <c r="W4517">
        <v>0.19911760000000001</v>
      </c>
      <c r="X4517">
        <v>0.97901059999999995</v>
      </c>
      <c r="Y4517">
        <v>-0.13618559999999999</v>
      </c>
      <c r="Z4517">
        <v>-4.4636930000000003E-3</v>
      </c>
      <c r="AA4517">
        <v>0.99067329999999998</v>
      </c>
      <c r="AB4517">
        <v>29</v>
      </c>
      <c r="AC4517">
        <v>-18.7393</v>
      </c>
      <c r="AD4517">
        <v>-1.1204651504109999</v>
      </c>
      <c r="AE4517">
        <v>-2.7533999999999899</v>
      </c>
      <c r="AF4517">
        <v>-2.6142205515536698</v>
      </c>
      <c r="AG4517">
        <v>-1.1204651504109999</v>
      </c>
      <c r="AH4517">
        <v>18.6925295750369</v>
      </c>
      <c r="AI4517">
        <v>93.397326790410602</v>
      </c>
      <c r="AJ4517">
        <v>97.961392384473001</v>
      </c>
      <c r="AK4517">
        <v>18.907677095801098</v>
      </c>
      <c r="AL4517">
        <v>78.514635799723493</v>
      </c>
      <c r="AM4517">
        <v>92.5428148435156</v>
      </c>
      <c r="AN4517">
        <v>0.99999993414373201</v>
      </c>
    </row>
    <row r="4518" spans="1:40" x14ac:dyDescent="0.25">
      <c r="A4518" t="str">
        <f>"20190303162351124"</f>
        <v>20190303162351124</v>
      </c>
      <c r="B4518" t="str">
        <f>"1551601431119711"</f>
        <v>1551601431119711</v>
      </c>
      <c r="C4518" t="s">
        <v>40</v>
      </c>
      <c r="D4518">
        <v>4.8355160000000001</v>
      </c>
      <c r="E4518">
        <v>0.46246730000000003</v>
      </c>
      <c r="F4518" t="s">
        <v>41</v>
      </c>
      <c r="G4518">
        <v>-398.64940000000001</v>
      </c>
      <c r="H4518" s="1">
        <v>-1.0064879999999999E-6</v>
      </c>
      <c r="I4518">
        <v>137.50839999999999</v>
      </c>
      <c r="J4518">
        <v>-379.6893</v>
      </c>
      <c r="K4518">
        <v>1.1204099999999999</v>
      </c>
      <c r="L4518">
        <v>140.38509999999999</v>
      </c>
      <c r="M4518">
        <v>-0.99991010000000002</v>
      </c>
      <c r="N4518">
        <v>-1.174149E-2</v>
      </c>
      <c r="O4518">
        <v>-6.4845689999999999E-3</v>
      </c>
      <c r="P4518">
        <v>-0.98075840000000003</v>
      </c>
      <c r="Q4518">
        <v>0.1869094</v>
      </c>
      <c r="R4518">
        <v>-5.6373380000000001E-2</v>
      </c>
      <c r="S4518">
        <v>-3.068848</v>
      </c>
      <c r="T4518">
        <v>-0.17853459999999999</v>
      </c>
      <c r="U4518">
        <v>-0.45861819999999998</v>
      </c>
      <c r="V4518">
        <v>-4.9845779999999999E-2</v>
      </c>
      <c r="W4518">
        <v>0.1984582</v>
      </c>
      <c r="X4518">
        <v>0.97884099999999996</v>
      </c>
      <c r="Y4518">
        <v>-0.14111029999999999</v>
      </c>
      <c r="Z4518">
        <v>-4.6133179999999999E-3</v>
      </c>
      <c r="AA4518">
        <v>0.9899831</v>
      </c>
      <c r="AB4518">
        <v>29</v>
      </c>
      <c r="AC4518">
        <v>-18.960100000000001</v>
      </c>
      <c r="AD4518">
        <v>-1.120411006488</v>
      </c>
      <c r="AE4518">
        <v>-2.8767</v>
      </c>
      <c r="AF4518">
        <v>-2.74431547164746</v>
      </c>
      <c r="AG4518">
        <v>-1.120411006488</v>
      </c>
      <c r="AH4518">
        <v>18.9137960861311</v>
      </c>
      <c r="AI4518">
        <v>93.355060881910006</v>
      </c>
      <c r="AJ4518">
        <v>98.255772252780702</v>
      </c>
      <c r="AK4518">
        <v>19.1446668975757</v>
      </c>
      <c r="AL4518">
        <v>78.553186549316493</v>
      </c>
      <c r="AM4518">
        <v>92.9151700724302</v>
      </c>
      <c r="AN4518">
        <v>0.99999998110602395</v>
      </c>
    </row>
    <row r="4519" spans="1:40" x14ac:dyDescent="0.25">
      <c r="A4519" t="str">
        <f>"20190303162351146"</f>
        <v>20190303162351146</v>
      </c>
      <c r="B4519" t="str">
        <f>"1551601431139231"</f>
        <v>1551601431139231</v>
      </c>
      <c r="C4519" t="s">
        <v>40</v>
      </c>
      <c r="D4519">
        <v>4.8109120000000001</v>
      </c>
      <c r="E4519">
        <v>0.4628603</v>
      </c>
      <c r="F4519" t="s">
        <v>41</v>
      </c>
      <c r="G4519">
        <v>-399.10410000000002</v>
      </c>
      <c r="H4519" s="1">
        <v>-8.8207249999999997E-7</v>
      </c>
      <c r="I4519">
        <v>137.39449999999999</v>
      </c>
      <c r="J4519">
        <v>-379.98289999999997</v>
      </c>
      <c r="K4519">
        <v>1.1203510000000001</v>
      </c>
      <c r="L4519">
        <v>140.3837</v>
      </c>
      <c r="M4519">
        <v>-0.99991300000000005</v>
      </c>
      <c r="N4519">
        <v>-1.177478E-2</v>
      </c>
      <c r="O4519">
        <v>-5.9684660000000004E-3</v>
      </c>
      <c r="P4519">
        <v>-0.98062389999999999</v>
      </c>
      <c r="Q4519">
        <v>0.18586449999999999</v>
      </c>
      <c r="R4519">
        <v>-6.1898359999999999E-2</v>
      </c>
      <c r="S4519">
        <v>-3.0654599999999999</v>
      </c>
      <c r="T4519">
        <v>-0.1769058</v>
      </c>
      <c r="U4519">
        <v>-0.47218320000000003</v>
      </c>
      <c r="V4519">
        <v>-5.585263E-2</v>
      </c>
      <c r="W4519">
        <v>0.19745660000000001</v>
      </c>
      <c r="X4519">
        <v>0.97871920000000001</v>
      </c>
      <c r="Y4519">
        <v>-0.1460553</v>
      </c>
      <c r="Z4519">
        <v>-4.7797849999999999E-3</v>
      </c>
      <c r="AA4519">
        <v>0.9892649</v>
      </c>
      <c r="AB4519">
        <v>29</v>
      </c>
      <c r="AC4519">
        <v>-19.121200000000002</v>
      </c>
      <c r="AD4519">
        <v>-1.1203518820725</v>
      </c>
      <c r="AE4519">
        <v>-2.9892000000000101</v>
      </c>
      <c r="AF4519">
        <v>-2.8654122240405902</v>
      </c>
      <c r="AG4519">
        <v>-1.1203518820725</v>
      </c>
      <c r="AH4519">
        <v>19.074779290327001</v>
      </c>
      <c r="AI4519">
        <v>93.324177507068995</v>
      </c>
      <c r="AJ4519">
        <v>98.543089617439094</v>
      </c>
      <c r="AK4519">
        <v>19.321308975533501</v>
      </c>
      <c r="AL4519">
        <v>78.611732222947495</v>
      </c>
      <c r="AM4519">
        <v>93.266159339712601</v>
      </c>
      <c r="AN4519">
        <v>0.99999994880505705</v>
      </c>
    </row>
    <row r="4520" spans="1:40" x14ac:dyDescent="0.25">
      <c r="A4520" t="str">
        <f>"20190303162351168"</f>
        <v>20190303162351168</v>
      </c>
      <c r="B4520" t="str">
        <f>"1551601431159727"</f>
        <v>1551601431159727</v>
      </c>
      <c r="C4520" t="s">
        <v>40</v>
      </c>
      <c r="D4520">
        <v>4.844716</v>
      </c>
      <c r="E4520">
        <v>0.46319090000000002</v>
      </c>
      <c r="F4520" t="s">
        <v>41</v>
      </c>
      <c r="G4520">
        <v>-399.5299</v>
      </c>
      <c r="H4520" s="1">
        <v>-7.6670489999999999E-7</v>
      </c>
      <c r="I4520">
        <v>137.2835</v>
      </c>
      <c r="J4520">
        <v>-380.26830000000001</v>
      </c>
      <c r="K4520">
        <v>1.1202989999999999</v>
      </c>
      <c r="L4520">
        <v>140.3826</v>
      </c>
      <c r="M4520">
        <v>-0.99991569999999996</v>
      </c>
      <c r="N4520">
        <v>-1.181131E-2</v>
      </c>
      <c r="O4520">
        <v>-5.4118459999999997E-3</v>
      </c>
      <c r="P4520">
        <v>-0.98047039999999996</v>
      </c>
      <c r="Q4520">
        <v>0.18476519999999999</v>
      </c>
      <c r="R4520">
        <v>-6.7379439999999999E-2</v>
      </c>
      <c r="S4520">
        <v>-3.06189</v>
      </c>
      <c r="T4520">
        <v>-0.1754955</v>
      </c>
      <c r="U4520">
        <v>-0.48561100000000001</v>
      </c>
      <c r="V4520">
        <v>-6.1859509999999999E-2</v>
      </c>
      <c r="W4520">
        <v>0.1964042</v>
      </c>
      <c r="X4520">
        <v>0.97856969999999999</v>
      </c>
      <c r="Y4520">
        <v>-0.1510058</v>
      </c>
      <c r="Z4520">
        <v>-4.9509300000000001E-3</v>
      </c>
      <c r="AA4520">
        <v>0.98852050000000002</v>
      </c>
      <c r="AB4520">
        <v>29</v>
      </c>
      <c r="AC4520">
        <v>-19.261599999999898</v>
      </c>
      <c r="AD4520">
        <v>-1.1202997667048999</v>
      </c>
      <c r="AE4520">
        <v>-3.0990999999999902</v>
      </c>
      <c r="AF4520">
        <v>-2.9849636335088001</v>
      </c>
      <c r="AG4520">
        <v>-1.1202997667048999</v>
      </c>
      <c r="AH4520">
        <v>19.214730436681101</v>
      </c>
      <c r="AI4520">
        <v>93.297346583248896</v>
      </c>
      <c r="AJ4520">
        <v>98.830184723574703</v>
      </c>
      <c r="AK4520">
        <v>19.477447091828299</v>
      </c>
      <c r="AL4520">
        <v>78.673234502992699</v>
      </c>
      <c r="AM4520">
        <v>93.617094517837998</v>
      </c>
      <c r="AN4520">
        <v>0.99999993325658199</v>
      </c>
    </row>
    <row r="4521" spans="1:40" x14ac:dyDescent="0.25">
      <c r="A4521" t="str">
        <f>"20190303162351190"</f>
        <v>20190303162351190</v>
      </c>
      <c r="B4521" t="str">
        <f>"1551601431179247"</f>
        <v>1551601431179247</v>
      </c>
      <c r="C4521" t="s">
        <v>40</v>
      </c>
      <c r="D4521">
        <v>4.7672100000000004</v>
      </c>
      <c r="E4521">
        <v>0.4627559</v>
      </c>
      <c r="F4521" t="s">
        <v>41</v>
      </c>
      <c r="G4521">
        <v>-399.3854</v>
      </c>
      <c r="H4521" s="1">
        <v>-8.2038550000000004E-7</v>
      </c>
      <c r="I4521">
        <v>137.26660000000001</v>
      </c>
      <c r="J4521">
        <v>-380.55950000000001</v>
      </c>
      <c r="K4521">
        <v>1.1202620000000001</v>
      </c>
      <c r="L4521">
        <v>140.38159999999999</v>
      </c>
      <c r="M4521">
        <v>-0.99991819999999998</v>
      </c>
      <c r="N4521">
        <v>-1.185956E-2</v>
      </c>
      <c r="O4521">
        <v>-4.7877529999999996E-3</v>
      </c>
      <c r="P4521">
        <v>-0.98030099999999998</v>
      </c>
      <c r="Q4521">
        <v>0.18388860000000001</v>
      </c>
      <c r="R4521">
        <v>-7.2076420000000002E-2</v>
      </c>
      <c r="S4521">
        <v>-3.0592350000000001</v>
      </c>
      <c r="T4521">
        <v>-0.17927770000000001</v>
      </c>
      <c r="U4521">
        <v>-0.49862669999999998</v>
      </c>
      <c r="V4521">
        <v>-6.7150509999999997E-2</v>
      </c>
      <c r="W4521">
        <v>0.19558500000000001</v>
      </c>
      <c r="X4521">
        <v>0.97838499999999995</v>
      </c>
      <c r="Y4521">
        <v>-0.1558311</v>
      </c>
      <c r="Z4521">
        <v>-5.2412489999999999E-3</v>
      </c>
      <c r="AA4521">
        <v>0.98776980000000003</v>
      </c>
      <c r="AB4521">
        <v>29</v>
      </c>
      <c r="AC4521">
        <v>-18.825899999999901</v>
      </c>
      <c r="AD4521">
        <v>-1.1202628203855001</v>
      </c>
      <c r="AE4521">
        <v>-3.1149999999999798</v>
      </c>
      <c r="AF4521">
        <v>-3.01443447300929</v>
      </c>
      <c r="AG4521">
        <v>-1.1202628203855001</v>
      </c>
      <c r="AH4521">
        <v>18.775885071338202</v>
      </c>
      <c r="AI4521">
        <v>93.371431052428093</v>
      </c>
      <c r="AJ4521">
        <v>99.120899597818195</v>
      </c>
      <c r="AK4521">
        <v>19.049295635033499</v>
      </c>
      <c r="AL4521">
        <v>78.721099696663501</v>
      </c>
      <c r="AM4521">
        <v>93.926283152260893</v>
      </c>
      <c r="AN4521">
        <v>0.99999994572162798</v>
      </c>
    </row>
    <row r="4522" spans="1:40" x14ac:dyDescent="0.25">
      <c r="A4522" t="str">
        <f>"20190303162351213"</f>
        <v>20190303162351213</v>
      </c>
      <c r="B4522" t="str">
        <f>"1551601431199743"</f>
        <v>1551601431199743</v>
      </c>
      <c r="C4522" t="s">
        <v>40</v>
      </c>
      <c r="D4522">
        <v>4.9151049999999996</v>
      </c>
      <c r="E4522">
        <v>0.4177997</v>
      </c>
      <c r="F4522" t="s">
        <v>41</v>
      </c>
      <c r="G4522">
        <v>-399.34789999999998</v>
      </c>
      <c r="H4522" s="1">
        <v>-8.4793549999999999E-7</v>
      </c>
      <c r="I4522">
        <v>137.21100000000001</v>
      </c>
      <c r="J4522">
        <v>-380.85539999999997</v>
      </c>
      <c r="K4522">
        <v>1.120233</v>
      </c>
      <c r="L4522">
        <v>140.3809</v>
      </c>
      <c r="M4522">
        <v>-0.99992060000000005</v>
      </c>
      <c r="N4522">
        <v>-1.1919910000000001E-2</v>
      </c>
      <c r="O4522">
        <v>-4.0956680000000002E-3</v>
      </c>
      <c r="P4522">
        <v>-0.97996159999999999</v>
      </c>
      <c r="Q4522">
        <v>0.18401049999999999</v>
      </c>
      <c r="R4522">
        <v>-7.6257699999999998E-2</v>
      </c>
      <c r="S4522">
        <v>-3.056549</v>
      </c>
      <c r="T4522">
        <v>-0.1822484</v>
      </c>
      <c r="U4522">
        <v>-0.51579279999999905</v>
      </c>
      <c r="V4522">
        <v>-7.1991340000000001E-2</v>
      </c>
      <c r="W4522">
        <v>0.19577530000000001</v>
      </c>
      <c r="X4522">
        <v>0.9780027</v>
      </c>
      <c r="Y4522">
        <v>-0.16202469999999999</v>
      </c>
      <c r="Z4522">
        <v>-5.5719979999999999E-3</v>
      </c>
      <c r="AA4522">
        <v>0.98677099999999995</v>
      </c>
      <c r="AB4522">
        <v>29</v>
      </c>
      <c r="AC4522">
        <v>-18.4925</v>
      </c>
      <c r="AD4522">
        <v>-1.1202338479355001</v>
      </c>
      <c r="AE4522">
        <v>-3.1698999999999802</v>
      </c>
      <c r="AF4522">
        <v>-3.0831377698368598</v>
      </c>
      <c r="AG4522">
        <v>-1.1202338479355001</v>
      </c>
      <c r="AH4522">
        <v>18.439593096919499</v>
      </c>
      <c r="AI4522">
        <v>93.429048775179297</v>
      </c>
      <c r="AJ4522">
        <v>99.492165768820499</v>
      </c>
      <c r="AK4522">
        <v>18.729101846106101</v>
      </c>
      <c r="AL4522">
        <v>78.709982001304496</v>
      </c>
      <c r="AM4522">
        <v>94.209982214017501</v>
      </c>
      <c r="AN4522">
        <v>1.00000000116618</v>
      </c>
    </row>
    <row r="4523" spans="1:40" x14ac:dyDescent="0.25">
      <c r="A4523" t="str">
        <f>"20190303162351236"</f>
        <v>20190303162351236</v>
      </c>
      <c r="B4523" t="str">
        <f>"1551601431229023"</f>
        <v>1551601431229023</v>
      </c>
      <c r="C4523" t="s">
        <v>40</v>
      </c>
      <c r="D4523">
        <v>4.7901199999999999</v>
      </c>
      <c r="E4523">
        <v>0.41799229999999998</v>
      </c>
      <c r="F4523" t="s">
        <v>41</v>
      </c>
      <c r="G4523">
        <v>-399.31400000000002</v>
      </c>
      <c r="H4523" s="1">
        <v>-1.4512660000000001E-6</v>
      </c>
      <c r="I4523">
        <v>134.98679999999999</v>
      </c>
      <c r="J4523">
        <v>-381.15609999999998</v>
      </c>
      <c r="K4523">
        <v>1.120201</v>
      </c>
      <c r="L4523">
        <v>140.38050000000001</v>
      </c>
      <c r="M4523">
        <v>-0.99992250000000005</v>
      </c>
      <c r="N4523">
        <v>-1.1996430000000001E-2</v>
      </c>
      <c r="O4523">
        <v>-3.3340240000000001E-3</v>
      </c>
      <c r="P4523">
        <v>-0.97984360000000004</v>
      </c>
      <c r="Q4523">
        <v>0.18357850000000001</v>
      </c>
      <c r="R4523">
        <v>-7.8773599999999999E-2</v>
      </c>
      <c r="S4523">
        <v>-3.0270079999999999</v>
      </c>
      <c r="T4523">
        <v>-0.18370600000000001</v>
      </c>
      <c r="U4523">
        <v>-0.88456729999999995</v>
      </c>
      <c r="V4523">
        <v>-7.5234120000000002E-2</v>
      </c>
      <c r="W4523">
        <v>0.19542789999999999</v>
      </c>
      <c r="X4523">
        <v>0.97782809999999998</v>
      </c>
      <c r="Y4523">
        <v>-0.27672729999999901</v>
      </c>
      <c r="Z4523">
        <v>-9.7548359999999994E-3</v>
      </c>
      <c r="AA4523">
        <v>0.96089899999999995</v>
      </c>
      <c r="AB4523">
        <v>29</v>
      </c>
      <c r="AC4523">
        <v>-18.157900000000001</v>
      </c>
      <c r="AD4523">
        <v>-1.120202451266</v>
      </c>
      <c r="AE4523">
        <v>-5.3937000000000204</v>
      </c>
      <c r="AF4523">
        <v>-5.3145399863360998</v>
      </c>
      <c r="AG4523">
        <v>-1.120202451266</v>
      </c>
      <c r="AH4523">
        <v>18.1124375671892</v>
      </c>
      <c r="AI4523">
        <v>93.396247197020202</v>
      </c>
      <c r="AJ4523">
        <v>106.352710327007</v>
      </c>
      <c r="AK4523">
        <v>18.909245977127501</v>
      </c>
      <c r="AL4523">
        <v>78.730278774215293</v>
      </c>
      <c r="AM4523">
        <v>94.399670784667293</v>
      </c>
      <c r="AN4523">
        <v>1.0000000150300901</v>
      </c>
    </row>
    <row r="4524" spans="1:40" x14ac:dyDescent="0.25">
      <c r="A4524" t="str">
        <f>"20190303162351259"</f>
        <v>20190303162351259</v>
      </c>
      <c r="B4524" t="str">
        <f>"1551601431249518"</f>
        <v>1551601431249518</v>
      </c>
      <c r="C4524" t="s">
        <v>40</v>
      </c>
      <c r="D4524">
        <v>4.7649220000000003</v>
      </c>
      <c r="E4524">
        <v>0.41919659999999898</v>
      </c>
      <c r="F4524" t="s">
        <v>41</v>
      </c>
      <c r="G4524">
        <v>-397.52010000000001</v>
      </c>
      <c r="H4524" s="1">
        <v>-1.904556E-6</v>
      </c>
      <c r="I4524">
        <v>135.57749999999999</v>
      </c>
      <c r="J4524">
        <v>-381.44310000000002</v>
      </c>
      <c r="K4524">
        <v>1.120179</v>
      </c>
      <c r="L4524">
        <v>140.38030000000001</v>
      </c>
      <c r="M4524">
        <v>-0.99992369999999997</v>
      </c>
      <c r="N4524">
        <v>-1.2093619999999999E-2</v>
      </c>
      <c r="O4524">
        <v>-2.5536629999999999E-3</v>
      </c>
      <c r="P4524">
        <v>-0.97988030000000004</v>
      </c>
      <c r="Q4524">
        <v>0.18288699999999999</v>
      </c>
      <c r="R4524">
        <v>-7.9919699999999996E-2</v>
      </c>
      <c r="S4524">
        <v>-3.0290530000000002</v>
      </c>
      <c r="T4524">
        <v>-0.20735490000000001</v>
      </c>
      <c r="U4524">
        <v>-0.88903809999999905</v>
      </c>
      <c r="V4524">
        <v>-7.7125449999999998E-2</v>
      </c>
      <c r="W4524">
        <v>0.1948424</v>
      </c>
      <c r="X4524">
        <v>0.97779760000000004</v>
      </c>
      <c r="Y4524">
        <v>-0.27846290000000001</v>
      </c>
      <c r="Z4524">
        <v>-1.090406E-2</v>
      </c>
      <c r="AA4524">
        <v>0.96038509999999999</v>
      </c>
      <c r="AB4524">
        <v>29</v>
      </c>
      <c r="AC4524">
        <v>-16.076999999999899</v>
      </c>
      <c r="AD4524">
        <v>-1.1201809045559901</v>
      </c>
      <c r="AE4524">
        <v>-4.8028000000000102</v>
      </c>
      <c r="AF4524">
        <v>-4.7405973294545003</v>
      </c>
      <c r="AG4524">
        <v>-1.1201809045559901</v>
      </c>
      <c r="AH4524">
        <v>16.0178220140074</v>
      </c>
      <c r="AI4524">
        <v>93.836408359937494</v>
      </c>
      <c r="AJ4524">
        <v>106.48652388616701</v>
      </c>
      <c r="AK4524">
        <v>16.742123233669801</v>
      </c>
      <c r="AL4524">
        <v>78.764483052912695</v>
      </c>
      <c r="AM4524">
        <v>94.509964632310599</v>
      </c>
      <c r="AN4524">
        <v>1.0000000212206099</v>
      </c>
    </row>
    <row r="4525" spans="1:40" x14ac:dyDescent="0.25">
      <c r="A4525" t="str">
        <f>"20190303162351279"</f>
        <v>20190303162351279</v>
      </c>
      <c r="B4525" t="str">
        <f>"1551601431269040"</f>
        <v>1551601431269040</v>
      </c>
      <c r="C4525" t="s">
        <v>40</v>
      </c>
      <c r="D4525">
        <v>4.7806920000000002</v>
      </c>
      <c r="E4525">
        <v>0.41986390000000001</v>
      </c>
      <c r="F4525" t="s">
        <v>41</v>
      </c>
      <c r="G4525">
        <v>-397.37090000000001</v>
      </c>
      <c r="H4525" s="1">
        <v>-1.911989E-6</v>
      </c>
      <c r="I4525">
        <v>135.74039999999999</v>
      </c>
      <c r="J4525">
        <v>-381.72050000000002</v>
      </c>
      <c r="K4525">
        <v>1.1201559999999999</v>
      </c>
      <c r="L4525">
        <v>140.38040000000001</v>
      </c>
      <c r="M4525">
        <v>-0.99992389999999998</v>
      </c>
      <c r="N4525">
        <v>-1.2214310000000001E-2</v>
      </c>
      <c r="O4525">
        <v>-1.7480670000000001E-3</v>
      </c>
      <c r="P4525">
        <v>-0.98000319999999996</v>
      </c>
      <c r="Q4525">
        <v>0.18213950000000001</v>
      </c>
      <c r="R4525">
        <v>-8.0119309999999999E-2</v>
      </c>
      <c r="S4525">
        <v>-3.029388</v>
      </c>
      <c r="T4525">
        <v>-0.21305299999999999</v>
      </c>
      <c r="U4525">
        <v>-0.88247679999999995</v>
      </c>
      <c r="V4525">
        <v>-7.8095659999999997E-2</v>
      </c>
      <c r="W4525">
        <v>0.1942226</v>
      </c>
      <c r="X4525">
        <v>0.97784389999999999</v>
      </c>
      <c r="Y4525">
        <v>-0.27725559999999899</v>
      </c>
      <c r="Z4525">
        <v>-1.1170619999999999E-2</v>
      </c>
      <c r="AA4525">
        <v>0.96073129999999995</v>
      </c>
      <c r="AB4525">
        <v>29</v>
      </c>
      <c r="AC4525">
        <v>-15.6503999999999</v>
      </c>
      <c r="AD4525">
        <v>-1.1201579119889999</v>
      </c>
      <c r="AE4525">
        <v>-4.6400000000000103</v>
      </c>
      <c r="AF4525">
        <v>-4.5910143201061002</v>
      </c>
      <c r="AG4525">
        <v>-1.1201579119889999</v>
      </c>
      <c r="AH4525">
        <v>15.5850991349708</v>
      </c>
      <c r="AI4525">
        <v>93.943988583857603</v>
      </c>
      <c r="AJ4525">
        <v>106.41376954635599</v>
      </c>
      <c r="AK4525">
        <v>16.285806129328599</v>
      </c>
      <c r="AL4525">
        <v>78.800686611445698</v>
      </c>
      <c r="AM4525">
        <v>94.566244572651897</v>
      </c>
      <c r="AN4525">
        <v>1.0000000216144</v>
      </c>
    </row>
    <row r="4526" spans="1:40" x14ac:dyDescent="0.25">
      <c r="A4526" t="str">
        <f>"20190303162351304"</f>
        <v>20190303162351304</v>
      </c>
      <c r="B4526" t="str">
        <f>"1551601431299296"</f>
        <v>1551601431299296</v>
      </c>
      <c r="C4526" t="s">
        <v>40</v>
      </c>
      <c r="D4526">
        <v>4.8389419999999896</v>
      </c>
      <c r="E4526">
        <v>0.42111340000000003</v>
      </c>
      <c r="F4526" t="s">
        <v>41</v>
      </c>
      <c r="G4526">
        <v>-397.45429999999999</v>
      </c>
      <c r="H4526" s="1">
        <v>-1.860102E-6</v>
      </c>
      <c r="I4526">
        <v>135.8288</v>
      </c>
      <c r="J4526">
        <v>-382.02820000000003</v>
      </c>
      <c r="K4526">
        <v>1.1201430000000001</v>
      </c>
      <c r="L4526">
        <v>140.3809</v>
      </c>
      <c r="M4526">
        <v>-0.99992320000000001</v>
      </c>
      <c r="N4526">
        <v>-1.2371409999999999E-2</v>
      </c>
      <c r="O4526">
        <v>-7.9495170000000003E-4</v>
      </c>
      <c r="P4526">
        <v>-0.97997710000000005</v>
      </c>
      <c r="Q4526">
        <v>0.18214540000000001</v>
      </c>
      <c r="R4526">
        <v>-8.0423850000000005E-2</v>
      </c>
      <c r="S4526">
        <v>-3.0296630000000002</v>
      </c>
      <c r="T4526">
        <v>-0.21569550000000001</v>
      </c>
      <c r="U4526">
        <v>-0.87644959999999905</v>
      </c>
      <c r="V4526">
        <v>-7.9314079999999995E-2</v>
      </c>
      <c r="W4526">
        <v>0.19439149999999999</v>
      </c>
      <c r="X4526">
        <v>0.97771220000000003</v>
      </c>
      <c r="Y4526">
        <v>-0.27636690000000003</v>
      </c>
      <c r="Z4526">
        <v>-1.132933E-2</v>
      </c>
      <c r="AA4526">
        <v>0.96098539999999999</v>
      </c>
      <c r="AB4526">
        <v>29</v>
      </c>
      <c r="AC4526">
        <v>-15.4260999999999</v>
      </c>
      <c r="AD4526">
        <v>-1.1201448601019901</v>
      </c>
      <c r="AE4526">
        <v>-4.5520999999999896</v>
      </c>
      <c r="AF4526">
        <v>-4.5179210157571301</v>
      </c>
      <c r="AG4526">
        <v>-1.1201448601019901</v>
      </c>
      <c r="AH4526">
        <v>15.3552354779494</v>
      </c>
      <c r="AI4526">
        <v>94.003170793900495</v>
      </c>
      <c r="AJ4526">
        <v>106.395293550617</v>
      </c>
      <c r="AK4526">
        <v>16.045235784976999</v>
      </c>
      <c r="AL4526">
        <v>78.790820656143893</v>
      </c>
      <c r="AM4526">
        <v>94.637799045429006</v>
      </c>
      <c r="AN4526">
        <v>0.99999996229366706</v>
      </c>
    </row>
    <row r="4527" spans="1:40" x14ac:dyDescent="0.25">
      <c r="A4527" t="str">
        <f>"20190303162351325"</f>
        <v>20190303162351325</v>
      </c>
      <c r="B4527" t="str">
        <f>"1551601431319791"</f>
        <v>1551601431319791</v>
      </c>
      <c r="C4527" t="s">
        <v>40</v>
      </c>
      <c r="D4527">
        <v>4.8620239999999999</v>
      </c>
      <c r="E4527">
        <v>0.42166740000000003</v>
      </c>
      <c r="F4527" t="s">
        <v>41</v>
      </c>
      <c r="G4527">
        <v>-397.84840000000003</v>
      </c>
      <c r="H4527" s="1">
        <v>-1.7178469999999999E-6</v>
      </c>
      <c r="I4527">
        <v>135.85939999999999</v>
      </c>
      <c r="J4527">
        <v>-382.31950000000001</v>
      </c>
      <c r="K4527">
        <v>1.1201319999999999</v>
      </c>
      <c r="L4527">
        <v>140.3817</v>
      </c>
      <c r="M4527">
        <v>-0.99992139999999996</v>
      </c>
      <c r="N4527">
        <v>-1.253548E-2</v>
      </c>
      <c r="O4527">
        <v>1.6453419999999999E-4</v>
      </c>
      <c r="P4527">
        <v>-0.98005580000000003</v>
      </c>
      <c r="Q4527">
        <v>0.18152779999999999</v>
      </c>
      <c r="R4527">
        <v>-8.0862370000000003E-2</v>
      </c>
      <c r="S4527">
        <v>-3.0301209999999998</v>
      </c>
      <c r="T4527">
        <v>-0.2145474</v>
      </c>
      <c r="U4527">
        <v>-0.86601260000000002</v>
      </c>
      <c r="V4527">
        <v>-8.0676559999999994E-2</v>
      </c>
      <c r="W4527">
        <v>0.19394339999999999</v>
      </c>
      <c r="X4527">
        <v>0.97768969999999999</v>
      </c>
      <c r="Y4527">
        <v>-0.2742019</v>
      </c>
      <c r="Z4527">
        <v>-1.126986E-2</v>
      </c>
      <c r="AA4527">
        <v>0.96160610000000002</v>
      </c>
      <c r="AB4527">
        <v>29</v>
      </c>
      <c r="AC4527">
        <v>-15.5289</v>
      </c>
      <c r="AD4527">
        <v>-1.1201337178470001</v>
      </c>
      <c r="AE4527">
        <v>-4.5223000000000004</v>
      </c>
      <c r="AF4527">
        <v>-4.5032562518261097</v>
      </c>
      <c r="AG4527">
        <v>-1.1201337178470001</v>
      </c>
      <c r="AH4527">
        <v>15.4540336314213</v>
      </c>
      <c r="AI4527">
        <v>93.980648481755793</v>
      </c>
      <c r="AJ4527">
        <v>106.24595473263599</v>
      </c>
      <c r="AK4527">
        <v>16.135711075021401</v>
      </c>
      <c r="AL4527">
        <v>78.816992854088198</v>
      </c>
      <c r="AM4527">
        <v>94.717220051558598</v>
      </c>
      <c r="AN4527">
        <v>0.99999994961154004</v>
      </c>
    </row>
    <row r="4528" spans="1:40" x14ac:dyDescent="0.25">
      <c r="A4528" t="str">
        <f>"20190303162351348"</f>
        <v>20190303162351348</v>
      </c>
      <c r="B4528" t="str">
        <f>"1551601431339311"</f>
        <v>1551601431339311</v>
      </c>
      <c r="C4528" t="s">
        <v>40</v>
      </c>
      <c r="D4528">
        <v>4.8669729999999998</v>
      </c>
      <c r="E4528">
        <v>0.42185669999999997</v>
      </c>
      <c r="F4528" t="s">
        <v>41</v>
      </c>
      <c r="G4528">
        <v>-397.9631</v>
      </c>
      <c r="H4528" s="1">
        <v>-1.6598939999999901E-6</v>
      </c>
      <c r="I4528">
        <v>135.93049999999999</v>
      </c>
      <c r="J4528">
        <v>-382.5994</v>
      </c>
      <c r="K4528">
        <v>1.12012</v>
      </c>
      <c r="L4528">
        <v>140.3828</v>
      </c>
      <c r="M4528">
        <v>-0.99991890000000005</v>
      </c>
      <c r="N4528">
        <v>-1.269167E-2</v>
      </c>
      <c r="O4528">
        <v>1.120453E-3</v>
      </c>
      <c r="P4528">
        <v>-0.98027679999999995</v>
      </c>
      <c r="Q4528">
        <v>0.18061559999999999</v>
      </c>
      <c r="R4528">
        <v>-8.0222039999999994E-2</v>
      </c>
      <c r="S4528">
        <v>-3.03009</v>
      </c>
      <c r="T4528">
        <v>-0.21696579999999999</v>
      </c>
      <c r="U4528">
        <v>-0.86216740000000003</v>
      </c>
      <c r="V4528">
        <v>-8.0961039999999998E-2</v>
      </c>
      <c r="W4528">
        <v>0.19319210000000001</v>
      </c>
      <c r="X4528">
        <v>0.97781499999999999</v>
      </c>
      <c r="Y4528">
        <v>-0.27397660000000001</v>
      </c>
      <c r="Z4528">
        <v>-1.144601E-2</v>
      </c>
      <c r="AA4528">
        <v>0.96166830000000003</v>
      </c>
      <c r="AB4528">
        <v>29</v>
      </c>
      <c r="AC4528">
        <v>-15.3636999999999</v>
      </c>
      <c r="AD4528">
        <v>-1.120121659894</v>
      </c>
      <c r="AE4528">
        <v>-4.4523000000000001</v>
      </c>
      <c r="AF4528">
        <v>-4.4477030196546599</v>
      </c>
      <c r="AG4528">
        <v>-1.120121659894</v>
      </c>
      <c r="AH4528">
        <v>15.283755531857199</v>
      </c>
      <c r="AI4528">
        <v>94.025227384092702</v>
      </c>
      <c r="AJ4528">
        <v>106.225445725303</v>
      </c>
      <c r="AK4528">
        <v>15.9571274934302</v>
      </c>
      <c r="AL4528">
        <v>78.860869870566304</v>
      </c>
      <c r="AM4528">
        <v>94.733174510314797</v>
      </c>
      <c r="AN4528">
        <v>1.00000002586264</v>
      </c>
    </row>
    <row r="4529" spans="1:40" x14ac:dyDescent="0.25">
      <c r="A4529" t="str">
        <f>"20190303162351369"</f>
        <v>20190303162351369</v>
      </c>
      <c r="B4529" t="str">
        <f>"1551601431359807"</f>
        <v>1551601431359807</v>
      </c>
      <c r="C4529" t="s">
        <v>40</v>
      </c>
      <c r="D4529">
        <v>4.9151119999999997</v>
      </c>
      <c r="E4529">
        <v>0.42197800000000002</v>
      </c>
      <c r="F4529" t="s">
        <v>41</v>
      </c>
      <c r="G4529">
        <v>-397.96800000000002</v>
      </c>
      <c r="H4529" s="1">
        <v>-1.630934E-6</v>
      </c>
      <c r="I4529">
        <v>136.03299999999999</v>
      </c>
      <c r="J4529">
        <v>-382.88240000000002</v>
      </c>
      <c r="K4529">
        <v>1.120106</v>
      </c>
      <c r="L4529">
        <v>140.38419999999999</v>
      </c>
      <c r="M4529">
        <v>-0.99991540000000001</v>
      </c>
      <c r="N4529">
        <v>-1.283975E-2</v>
      </c>
      <c r="O4529">
        <v>2.1173120000000001E-3</v>
      </c>
      <c r="P4529">
        <v>-0.98060800000000004</v>
      </c>
      <c r="Q4529">
        <v>0.17907379999999901</v>
      </c>
      <c r="R4529">
        <v>-7.9628589999999999E-2</v>
      </c>
      <c r="S4529">
        <v>-3.030853</v>
      </c>
      <c r="T4529">
        <v>-0.22089929999999999</v>
      </c>
      <c r="U4529">
        <v>-0.85780330000000005</v>
      </c>
      <c r="V4529">
        <v>-8.1336560000000002E-2</v>
      </c>
      <c r="W4529">
        <v>0.19180469999999999</v>
      </c>
      <c r="X4529">
        <v>0.97805690000000001</v>
      </c>
      <c r="Y4529">
        <v>-0.27356200000000003</v>
      </c>
      <c r="Z4529">
        <v>-1.1682079999999999E-2</v>
      </c>
      <c r="AA4529">
        <v>0.96178339999999996</v>
      </c>
      <c r="AB4529">
        <v>29</v>
      </c>
      <c r="AC4529">
        <v>-15.085599999999999</v>
      </c>
      <c r="AD4529">
        <v>-1.1201076309339999</v>
      </c>
      <c r="AE4529">
        <v>-4.3512000000000004</v>
      </c>
      <c r="AF4529">
        <v>-4.3609381438346002</v>
      </c>
      <c r="AG4529">
        <v>-1.1201076309339999</v>
      </c>
      <c r="AH4529">
        <v>15.000007765701699</v>
      </c>
      <c r="AI4529">
        <v>94.101368346580401</v>
      </c>
      <c r="AJ4529">
        <v>106.210683004972</v>
      </c>
      <c r="AK4529">
        <v>15.661183083354199</v>
      </c>
      <c r="AL4529">
        <v>78.9418766855988</v>
      </c>
      <c r="AM4529">
        <v>94.753857208940204</v>
      </c>
      <c r="AN4529">
        <v>0.99999998928616596</v>
      </c>
    </row>
    <row r="4530" spans="1:40" x14ac:dyDescent="0.25">
      <c r="A4530" t="str">
        <f>"20190303162351392"</f>
        <v>20190303162351392</v>
      </c>
      <c r="B4530" t="str">
        <f>"1551601431379327"</f>
        <v>1551601431379327</v>
      </c>
      <c r="C4530" t="s">
        <v>40</v>
      </c>
      <c r="D4530">
        <v>4.9007639999999997</v>
      </c>
      <c r="E4530">
        <v>0.42194369999999998</v>
      </c>
      <c r="F4530" t="s">
        <v>41</v>
      </c>
      <c r="G4530">
        <v>-397.85500000000002</v>
      </c>
      <c r="H4530" s="1">
        <v>-1.634109E-6</v>
      </c>
      <c r="I4530">
        <v>136.16560000000001</v>
      </c>
      <c r="J4530">
        <v>-383.1909</v>
      </c>
      <c r="K4530">
        <v>1.120093</v>
      </c>
      <c r="L4530">
        <v>140.386</v>
      </c>
      <c r="M4530">
        <v>-0.99991039999999998</v>
      </c>
      <c r="N4530">
        <v>-1.2987540000000001E-2</v>
      </c>
      <c r="O4530">
        <v>3.231336E-3</v>
      </c>
      <c r="P4530">
        <v>-0.98055029999999999</v>
      </c>
      <c r="Q4530">
        <v>0.17904619999999999</v>
      </c>
      <c r="R4530">
        <v>-8.039731E-2</v>
      </c>
      <c r="S4530">
        <v>-3.0314030000000001</v>
      </c>
      <c r="T4530">
        <v>-0.22678209999999999</v>
      </c>
      <c r="U4530">
        <v>-0.85408019999999996</v>
      </c>
      <c r="V4530">
        <v>-8.3184939999999999E-2</v>
      </c>
      <c r="W4530">
        <v>0.19192770000000001</v>
      </c>
      <c r="X4530">
        <v>0.97787729999999995</v>
      </c>
      <c r="Y4530">
        <v>-0.27345059999999999</v>
      </c>
      <c r="Z4530">
        <v>-1.2028179999999999E-2</v>
      </c>
      <c r="AA4530">
        <v>0.96181079999999997</v>
      </c>
      <c r="AB4530">
        <v>29</v>
      </c>
      <c r="AC4530">
        <v>-14.664099999999999</v>
      </c>
      <c r="AD4530">
        <v>-1.1200946341089999</v>
      </c>
      <c r="AE4530">
        <v>-4.2203999999999802</v>
      </c>
      <c r="AF4530">
        <v>-4.2448945729854497</v>
      </c>
      <c r="AG4530">
        <v>-1.1200946341089999</v>
      </c>
      <c r="AH4530">
        <v>14.571869693143</v>
      </c>
      <c r="AI4530">
        <v>94.220740272135899</v>
      </c>
      <c r="AJ4530">
        <v>106.24123622019199</v>
      </c>
      <c r="AK4530">
        <v>15.218841226554</v>
      </c>
      <c r="AL4530">
        <v>78.9346959580879</v>
      </c>
      <c r="AM4530">
        <v>94.862265552653199</v>
      </c>
      <c r="AN4530">
        <v>0.99999999506269099</v>
      </c>
    </row>
    <row r="4531" spans="1:40" x14ac:dyDescent="0.25">
      <c r="A4531" t="str">
        <f>"20190303162351415"</f>
        <v>20190303162351415</v>
      </c>
      <c r="B4531" t="str">
        <f>"1551601431409583"</f>
        <v>1551601431409583</v>
      </c>
      <c r="C4531" t="s">
        <v>40</v>
      </c>
      <c r="D4531">
        <v>4.972423</v>
      </c>
      <c r="E4531">
        <v>0.42164249999999998</v>
      </c>
      <c r="F4531" t="s">
        <v>41</v>
      </c>
      <c r="G4531">
        <v>-398.04770000000002</v>
      </c>
      <c r="H4531" s="1">
        <v>-1.5622329999999999E-6</v>
      </c>
      <c r="I4531">
        <v>136.1893</v>
      </c>
      <c r="J4531">
        <v>-383.46910000000003</v>
      </c>
      <c r="K4531">
        <v>1.1200829999999999</v>
      </c>
      <c r="L4531">
        <v>140.38800000000001</v>
      </c>
      <c r="M4531">
        <v>-0.99990509999999999</v>
      </c>
      <c r="N4531">
        <v>-1.310596E-2</v>
      </c>
      <c r="O4531">
        <v>4.2563399999999999E-3</v>
      </c>
      <c r="P4531">
        <v>-0.98040289999999997</v>
      </c>
      <c r="Q4531">
        <v>0.1794395</v>
      </c>
      <c r="R4531">
        <v>-8.1312090000000004E-2</v>
      </c>
      <c r="S4531">
        <v>-3.0310359999999998</v>
      </c>
      <c r="T4531">
        <v>-0.22851840000000001</v>
      </c>
      <c r="U4531">
        <v>-0.85617069999999995</v>
      </c>
      <c r="V4531">
        <v>-8.5093890000000005E-2</v>
      </c>
      <c r="W4531">
        <v>0.192442</v>
      </c>
      <c r="X4531">
        <v>0.97761200000000004</v>
      </c>
      <c r="Y4531">
        <v>-0.27506069999999999</v>
      </c>
      <c r="Z4531">
        <v>-1.225589E-2</v>
      </c>
      <c r="AA4531">
        <v>0.96134869999999994</v>
      </c>
      <c r="AB4531">
        <v>29</v>
      </c>
      <c r="AC4531">
        <v>-14.5785999999999</v>
      </c>
      <c r="AD4531">
        <v>-1.120084562233</v>
      </c>
      <c r="AE4531">
        <v>-4.1986999999999997</v>
      </c>
      <c r="AF4531">
        <v>-4.2376202002780499</v>
      </c>
      <c r="AG4531">
        <v>-1.120084562233</v>
      </c>
      <c r="AH4531">
        <v>14.481658172264501</v>
      </c>
      <c r="AI4531">
        <v>94.245405181819194</v>
      </c>
      <c r="AJ4531">
        <v>106.310521885616</v>
      </c>
      <c r="AK4531">
        <v>15.1304473762898</v>
      </c>
      <c r="AL4531">
        <v>78.904669705193299</v>
      </c>
      <c r="AM4531">
        <v>94.974635584474797</v>
      </c>
      <c r="AN4531">
        <v>1.0000000580116599</v>
      </c>
    </row>
    <row r="4532" spans="1:40" x14ac:dyDescent="0.25">
      <c r="A4532" t="str">
        <f>"20190303162351437"</f>
        <v>20190303162351437</v>
      </c>
      <c r="B4532" t="str">
        <f>"1551601431429104"</f>
        <v>1551601431429104</v>
      </c>
      <c r="C4532" t="s">
        <v>40</v>
      </c>
      <c r="D4532">
        <v>5.004175</v>
      </c>
      <c r="E4532">
        <v>0.4214019</v>
      </c>
      <c r="F4532" t="s">
        <v>41</v>
      </c>
      <c r="G4532">
        <v>-398.30329999999998</v>
      </c>
      <c r="H4532" s="1">
        <v>-1.478349E-6</v>
      </c>
      <c r="I4532">
        <v>136.17769999999999</v>
      </c>
      <c r="J4532">
        <v>-383.76</v>
      </c>
      <c r="K4532">
        <v>1.120072</v>
      </c>
      <c r="L4532">
        <v>140.3904</v>
      </c>
      <c r="M4532">
        <v>-0.99989859999999997</v>
      </c>
      <c r="N4532">
        <v>-1.320875E-2</v>
      </c>
      <c r="O4532">
        <v>5.343848E-3</v>
      </c>
      <c r="P4532">
        <v>-0.98033110000000001</v>
      </c>
      <c r="Q4532">
        <v>0.18003269999999999</v>
      </c>
      <c r="R4532">
        <v>-8.0864729999999996E-2</v>
      </c>
      <c r="S4532">
        <v>-3.0304869999999999</v>
      </c>
      <c r="T4532">
        <v>-0.22882459999999999</v>
      </c>
      <c r="U4532">
        <v>-0.86010739999999997</v>
      </c>
      <c r="V4532">
        <v>-8.5702860000000006E-2</v>
      </c>
      <c r="W4532">
        <v>0.1931378</v>
      </c>
      <c r="X4532">
        <v>0.97742150000000005</v>
      </c>
      <c r="Y4532">
        <v>-0.27729500000000001</v>
      </c>
      <c r="Z4532">
        <v>-1.2448300000000001E-2</v>
      </c>
      <c r="AA4532">
        <v>0.96070420000000001</v>
      </c>
      <c r="AB4532">
        <v>29</v>
      </c>
      <c r="AC4532">
        <v>-14.543299999999901</v>
      </c>
      <c r="AD4532">
        <v>-1.1200734783490001</v>
      </c>
      <c r="AE4532">
        <v>-4.2127000000000097</v>
      </c>
      <c r="AF4532">
        <v>-4.2670131272912197</v>
      </c>
      <c r="AG4532">
        <v>-1.1200734783490001</v>
      </c>
      <c r="AH4532">
        <v>14.4415488441058</v>
      </c>
      <c r="AI4532">
        <v>94.253842874378094</v>
      </c>
      <c r="AJ4532">
        <v>106.46071495301</v>
      </c>
      <c r="AK4532">
        <v>15.100341010787499</v>
      </c>
      <c r="AL4532">
        <v>78.864040338717501</v>
      </c>
      <c r="AM4532">
        <v>95.011027241633002</v>
      </c>
      <c r="AN4532">
        <v>0.99999998933163403</v>
      </c>
    </row>
    <row r="4533" spans="1:40" x14ac:dyDescent="0.25">
      <c r="A4533" t="str">
        <f>"20190303162351459"</f>
        <v>20190303162351459</v>
      </c>
      <c r="B4533" t="str">
        <f>"1551601431449599"</f>
        <v>1551601431449599</v>
      </c>
      <c r="C4533" t="s">
        <v>40</v>
      </c>
      <c r="D4533">
        <v>5.0350380000000001</v>
      </c>
      <c r="E4533">
        <v>0.4210062</v>
      </c>
      <c r="F4533" t="s">
        <v>41</v>
      </c>
      <c r="G4533">
        <v>-398.68180000000001</v>
      </c>
      <c r="H4533" s="1">
        <v>-1.3564930000000001E-6</v>
      </c>
      <c r="I4533">
        <v>136.1515</v>
      </c>
      <c r="J4533">
        <v>-384.03570000000002</v>
      </c>
      <c r="K4533">
        <v>1.120066</v>
      </c>
      <c r="L4533">
        <v>140.393</v>
      </c>
      <c r="M4533">
        <v>-0.99989130000000004</v>
      </c>
      <c r="N4533">
        <v>-1.3287739999999999E-2</v>
      </c>
      <c r="O4533">
        <v>6.3844990000000001E-3</v>
      </c>
      <c r="P4533">
        <v>-0.98038950000000002</v>
      </c>
      <c r="Q4533">
        <v>0.18013470000000001</v>
      </c>
      <c r="R4533">
        <v>-7.9924910000000002E-2</v>
      </c>
      <c r="S4533">
        <v>-3.0309140000000001</v>
      </c>
      <c r="T4533">
        <v>-0.22750989999999999</v>
      </c>
      <c r="U4533">
        <v>-0.86099239999999999</v>
      </c>
      <c r="V4533">
        <v>-8.5777560000000003E-2</v>
      </c>
      <c r="W4533">
        <v>0.1933193</v>
      </c>
      <c r="X4533">
        <v>0.97737909999999995</v>
      </c>
      <c r="Y4533">
        <v>-0.27852159999999998</v>
      </c>
      <c r="Z4533">
        <v>-1.251263E-2</v>
      </c>
      <c r="AA4533">
        <v>0.96034850000000005</v>
      </c>
      <c r="AB4533">
        <v>29</v>
      </c>
      <c r="AC4533">
        <v>-14.646099999999899</v>
      </c>
      <c r="AD4533">
        <v>-1.1200673564929999</v>
      </c>
      <c r="AE4533">
        <v>-4.2415000000000003</v>
      </c>
      <c r="AF4533">
        <v>-4.3116642788106203</v>
      </c>
      <c r="AG4533">
        <v>-1.1200673564929999</v>
      </c>
      <c r="AH4533">
        <v>14.5402606645735</v>
      </c>
      <c r="AI4533">
        <v>94.223826078034705</v>
      </c>
      <c r="AJ4533">
        <v>106.516817878813</v>
      </c>
      <c r="AK4533">
        <v>15.2073725518249</v>
      </c>
      <c r="AL4533">
        <v>78.853441788563103</v>
      </c>
      <c r="AM4533">
        <v>95.015589130451005</v>
      </c>
      <c r="AN4533">
        <v>1.00000002333442</v>
      </c>
    </row>
    <row r="4534" spans="1:40" x14ac:dyDescent="0.25">
      <c r="A4534" t="str">
        <f>"20190303162351481"</f>
        <v>20190303162351481</v>
      </c>
      <c r="B4534" t="str">
        <f>"1551601431469120"</f>
        <v>1551601431469120</v>
      </c>
      <c r="C4534" t="s">
        <v>40</v>
      </c>
      <c r="D4534">
        <v>5.0731149999999996</v>
      </c>
      <c r="E4534">
        <v>0.42064859999999998</v>
      </c>
      <c r="F4534" t="s">
        <v>41</v>
      </c>
      <c r="G4534">
        <v>-398.95389999999998</v>
      </c>
      <c r="H4534" s="1">
        <v>-1.2632710000000001E-6</v>
      </c>
      <c r="I4534">
        <v>136.154</v>
      </c>
      <c r="J4534">
        <v>-384.32679999999999</v>
      </c>
      <c r="K4534">
        <v>1.120069</v>
      </c>
      <c r="L4534">
        <v>140.39609999999999</v>
      </c>
      <c r="M4534">
        <v>-0.99988279999999996</v>
      </c>
      <c r="N4534">
        <v>-1.335794E-2</v>
      </c>
      <c r="O4534">
        <v>7.4893850000000003E-3</v>
      </c>
      <c r="P4534">
        <v>-0.9804813</v>
      </c>
      <c r="Q4534">
        <v>0.17995220000000001</v>
      </c>
      <c r="R4534">
        <v>-7.9207299999999994E-2</v>
      </c>
      <c r="S4534">
        <v>-3.0316770000000002</v>
      </c>
      <c r="T4534">
        <v>-0.22762099999999999</v>
      </c>
      <c r="U4534">
        <v>-0.86145020000000005</v>
      </c>
      <c r="V4534">
        <v>-8.614115E-2</v>
      </c>
      <c r="W4534">
        <v>0.1932075</v>
      </c>
      <c r="X4534">
        <v>0.97736920000000005</v>
      </c>
      <c r="Y4534">
        <v>-0.27964650000000002</v>
      </c>
      <c r="Z4534">
        <v>-1.2640459999999999E-2</v>
      </c>
      <c r="AA4534">
        <v>0.96001979999999998</v>
      </c>
      <c r="AB4534">
        <v>29</v>
      </c>
      <c r="AC4534">
        <v>-14.627099999999899</v>
      </c>
      <c r="AD4534">
        <v>-1.120070263271</v>
      </c>
      <c r="AE4534">
        <v>-4.24209999999999</v>
      </c>
      <c r="AF4534">
        <v>-4.3281287744038002</v>
      </c>
      <c r="AG4534">
        <v>-1.120070263271</v>
      </c>
      <c r="AH4534">
        <v>14.516399845320199</v>
      </c>
      <c r="AI4534">
        <v>94.228887547297504</v>
      </c>
      <c r="AJ4534">
        <v>106.60218222291699</v>
      </c>
      <c r="AK4534">
        <v>15.189243580629601</v>
      </c>
      <c r="AL4534">
        <v>78.859970217816695</v>
      </c>
      <c r="AM4534">
        <v>95.036790606919496</v>
      </c>
      <c r="AN4534">
        <v>0.99999999444410603</v>
      </c>
    </row>
    <row r="4535" spans="1:40" x14ac:dyDescent="0.25">
      <c r="A4535" t="str">
        <f>"20190303162351505"</f>
        <v>20190303162351505</v>
      </c>
      <c r="B4535" t="str">
        <f>"1551601431499375"</f>
        <v>1551601431499375</v>
      </c>
      <c r="C4535" t="s">
        <v>40</v>
      </c>
      <c r="D4535">
        <v>5.10832</v>
      </c>
      <c r="E4535">
        <v>0.42022199999999998</v>
      </c>
      <c r="F4535" t="s">
        <v>41</v>
      </c>
      <c r="G4535">
        <v>-399.08800000000002</v>
      </c>
      <c r="H4535" s="1">
        <v>-1.2039710000000001E-6</v>
      </c>
      <c r="I4535">
        <v>136.20529999999999</v>
      </c>
      <c r="J4535">
        <v>-384.62419999999997</v>
      </c>
      <c r="K4535">
        <v>1.120082</v>
      </c>
      <c r="L4535">
        <v>140.39959999999999</v>
      </c>
      <c r="M4535">
        <v>-0.99987289999999995</v>
      </c>
      <c r="N4535">
        <v>-1.341899E-2</v>
      </c>
      <c r="O4535">
        <v>8.6211919999999997E-3</v>
      </c>
      <c r="P4535">
        <v>-0.98025010000000001</v>
      </c>
      <c r="Q4535">
        <v>0.18169009999999999</v>
      </c>
      <c r="R4535">
        <v>-7.8095010000000006E-2</v>
      </c>
      <c r="S4535">
        <v>-3.0323790000000002</v>
      </c>
      <c r="T4535">
        <v>-0.2300962</v>
      </c>
      <c r="U4535">
        <v>-0.86090089999999997</v>
      </c>
      <c r="V4535">
        <v>-8.6131429999999995E-2</v>
      </c>
      <c r="W4535">
        <v>0.19500049999999999</v>
      </c>
      <c r="X4535">
        <v>0.97701389999999999</v>
      </c>
      <c r="Y4535">
        <v>-0.28049059999999998</v>
      </c>
      <c r="Z4535">
        <v>-1.287045E-2</v>
      </c>
      <c r="AA4535">
        <v>0.95977049999999997</v>
      </c>
      <c r="AB4535">
        <v>29</v>
      </c>
      <c r="AC4535">
        <v>-14.463800000000001</v>
      </c>
      <c r="AD4535">
        <v>-1.120083203971</v>
      </c>
      <c r="AE4535">
        <v>-4.1942999999999904</v>
      </c>
      <c r="AF4535">
        <v>-4.2950907533760603</v>
      </c>
      <c r="AG4535">
        <v>-1.120083203971</v>
      </c>
      <c r="AH4535">
        <v>14.3477299105244</v>
      </c>
      <c r="AI4535">
        <v>94.277061965036495</v>
      </c>
      <c r="AJ4535">
        <v>106.665429365135</v>
      </c>
      <c r="AK4535">
        <v>15.0186465618215</v>
      </c>
      <c r="AL4535">
        <v>78.755247079567894</v>
      </c>
      <c r="AM4535">
        <v>95.038047233395403</v>
      </c>
      <c r="AN4535">
        <v>0.99999998951365199</v>
      </c>
    </row>
    <row r="4536" spans="1:40" x14ac:dyDescent="0.25">
      <c r="A4536" t="str">
        <f>"20190303162351525"</f>
        <v>20190303162351525</v>
      </c>
      <c r="B4536" t="str">
        <f>"1551601431518896"</f>
        <v>1551601431518896</v>
      </c>
      <c r="C4536" t="s">
        <v>40</v>
      </c>
      <c r="D4536">
        <v>5.3784039999999997</v>
      </c>
      <c r="E4536">
        <v>0.42032839999999999</v>
      </c>
      <c r="F4536" t="s">
        <v>41</v>
      </c>
      <c r="G4536">
        <v>-399.60739999999998</v>
      </c>
      <c r="H4536" s="1">
        <v>-1.041334E-6</v>
      </c>
      <c r="I4536">
        <v>136.1523</v>
      </c>
      <c r="J4536">
        <v>-384.9033</v>
      </c>
      <c r="K4536">
        <v>1.1201110000000001</v>
      </c>
      <c r="L4536">
        <v>140.4032</v>
      </c>
      <c r="M4536">
        <v>-0.99986240000000004</v>
      </c>
      <c r="N4536">
        <v>-1.346756E-2</v>
      </c>
      <c r="O4536">
        <v>9.6847840000000001E-3</v>
      </c>
      <c r="P4536">
        <v>-0.97979050000000001</v>
      </c>
      <c r="Q4536">
        <v>0.18529599999999999</v>
      </c>
      <c r="R4536">
        <v>-7.5341809999999995E-2</v>
      </c>
      <c r="S4536">
        <v>-3.0339659999999999</v>
      </c>
      <c r="T4536">
        <v>-0.22680739999999999</v>
      </c>
      <c r="U4536">
        <v>-0.86003109999999905</v>
      </c>
      <c r="V4536">
        <v>-8.440889E-2</v>
      </c>
      <c r="W4536">
        <v>0.19864229999999999</v>
      </c>
      <c r="X4536">
        <v>0.97643040000000003</v>
      </c>
      <c r="Y4536">
        <v>-0.28114479999999997</v>
      </c>
      <c r="Z4536">
        <v>-1.2806390000000001E-2</v>
      </c>
      <c r="AA4536">
        <v>0.95957990000000004</v>
      </c>
      <c r="AB4536">
        <v>29</v>
      </c>
      <c r="AC4536">
        <v>-14.704099999999899</v>
      </c>
      <c r="AD4536">
        <v>-1.120112041334</v>
      </c>
      <c r="AE4536">
        <v>-4.2508999999999997</v>
      </c>
      <c r="AF4536">
        <v>-4.3697182595902602</v>
      </c>
      <c r="AG4536">
        <v>-1.120112041334</v>
      </c>
      <c r="AH4536">
        <v>14.5841346066659</v>
      </c>
      <c r="AI4536">
        <v>94.207786179014803</v>
      </c>
      <c r="AJ4536">
        <v>106.679339024912</v>
      </c>
      <c r="AK4536">
        <v>15.265846549690201</v>
      </c>
      <c r="AL4536">
        <v>78.542424053522893</v>
      </c>
      <c r="AM4536">
        <v>94.940730805804805</v>
      </c>
      <c r="AN4536">
        <v>0.99999997505224003</v>
      </c>
    </row>
    <row r="4537" spans="1:40" x14ac:dyDescent="0.25">
      <c r="A4537" t="str">
        <f>"20190303162351548"</f>
        <v>20190303162351548</v>
      </c>
      <c r="B4537" t="str">
        <f>"1551601431539391"</f>
        <v>1551601431539391</v>
      </c>
      <c r="C4537" t="s">
        <v>40</v>
      </c>
      <c r="D4537">
        <v>5.1967119999999998</v>
      </c>
      <c r="E4537">
        <v>0.47097470000000002</v>
      </c>
      <c r="F4537" t="s">
        <v>55</v>
      </c>
      <c r="G4537">
        <v>-400.44200000000001</v>
      </c>
      <c r="H4537" s="1">
        <v>-3.7344300000000002E-6</v>
      </c>
      <c r="I4537">
        <v>136.0538</v>
      </c>
      <c r="J4537">
        <v>-385.18639999999999</v>
      </c>
      <c r="K4537">
        <v>1.12012</v>
      </c>
      <c r="L4537">
        <v>140.40710000000001</v>
      </c>
      <c r="M4537">
        <v>-0.99985100000000005</v>
      </c>
      <c r="N4537">
        <v>-1.350789E-2</v>
      </c>
      <c r="O4537">
        <v>1.076176E-2</v>
      </c>
      <c r="P4537">
        <v>-0.97964899999999999</v>
      </c>
      <c r="Q4537">
        <v>0.1880589</v>
      </c>
      <c r="R4537">
        <v>-7.0157440000000001E-2</v>
      </c>
      <c r="S4537">
        <v>-3.0379330000000002</v>
      </c>
      <c r="T4537">
        <v>-0.21899060000000001</v>
      </c>
      <c r="U4537">
        <v>-0.85034179999999904</v>
      </c>
      <c r="V4537">
        <v>-8.0273979999999995E-2</v>
      </c>
      <c r="W4537">
        <v>0.2014329</v>
      </c>
      <c r="X4537">
        <v>0.97620739999999995</v>
      </c>
      <c r="Y4537">
        <v>-0.27907340000000003</v>
      </c>
      <c r="Z4537">
        <v>-1.2398050000000001E-2</v>
      </c>
      <c r="AA4537">
        <v>0.96018979999999998</v>
      </c>
      <c r="AB4537">
        <v>29</v>
      </c>
      <c r="AC4537">
        <v>-15.2555999999999</v>
      </c>
      <c r="AD4537">
        <v>-1.1201237344299999</v>
      </c>
      <c r="AE4537">
        <v>-4.3533000000000097</v>
      </c>
      <c r="AF4537">
        <v>-4.4948326474124602</v>
      </c>
      <c r="AG4537">
        <v>-1.1201237344299999</v>
      </c>
      <c r="AH4537">
        <v>15.1324260299772</v>
      </c>
      <c r="AI4537">
        <v>94.058753582654404</v>
      </c>
      <c r="AJ4537">
        <v>106.543166550748</v>
      </c>
      <c r="AK4537">
        <v>15.8255652430304</v>
      </c>
      <c r="AL4537">
        <v>78.379236436629796</v>
      </c>
      <c r="AM4537">
        <v>94.700881585874598</v>
      </c>
      <c r="AN4537">
        <v>1.0000000064411001</v>
      </c>
    </row>
    <row r="4538" spans="1:40" x14ac:dyDescent="0.25">
      <c r="A4538" t="str">
        <f>"20190303162351570"</f>
        <v>20190303162351570</v>
      </c>
      <c r="B4538" t="str">
        <f>"1551601431558912"</f>
        <v>1551601431558912</v>
      </c>
      <c r="C4538" t="s">
        <v>40</v>
      </c>
      <c r="D4538">
        <v>5.1059340000000004</v>
      </c>
      <c r="E4538">
        <v>0.48319519999999999</v>
      </c>
      <c r="F4538" t="s">
        <v>41</v>
      </c>
      <c r="G4538">
        <v>-396.13499999999999</v>
      </c>
      <c r="H4538" s="1">
        <v>-1.7692149999999999E-6</v>
      </c>
      <c r="I4538">
        <v>138.88990000000001</v>
      </c>
      <c r="J4538">
        <v>-385.4717</v>
      </c>
      <c r="K4538">
        <v>1.120131</v>
      </c>
      <c r="L4538">
        <v>140.41139999999999</v>
      </c>
      <c r="M4538">
        <v>-0.99983840000000002</v>
      </c>
      <c r="N4538">
        <v>-1.3536629999999999E-2</v>
      </c>
      <c r="O4538">
        <v>1.184146E-2</v>
      </c>
      <c r="P4538">
        <v>-0.98007239999999995</v>
      </c>
      <c r="Q4538">
        <v>0.1881726</v>
      </c>
      <c r="R4538">
        <v>-6.3634750000000004E-2</v>
      </c>
      <c r="S4538">
        <v>-3.0923769999999999</v>
      </c>
      <c r="T4538">
        <v>-0.31637359999999998</v>
      </c>
      <c r="U4538">
        <v>-0.42849730000000003</v>
      </c>
      <c r="V4538">
        <v>-7.4815060000000003E-2</v>
      </c>
      <c r="W4538">
        <v>0.20156789999999999</v>
      </c>
      <c r="X4538">
        <v>0.97661299999999995</v>
      </c>
      <c r="Y4538">
        <v>-0.14806839999999999</v>
      </c>
      <c r="Z4538">
        <v>-9.5724799999999995E-3</v>
      </c>
      <c r="AA4538">
        <v>0.9889308</v>
      </c>
      <c r="AB4538">
        <v>29</v>
      </c>
      <c r="AC4538">
        <v>-10.6632999999999</v>
      </c>
      <c r="AD4538">
        <v>-1.120132769215</v>
      </c>
      <c r="AE4538">
        <v>-1.5214999999999701</v>
      </c>
      <c r="AF4538">
        <v>-1.6300459187374301</v>
      </c>
      <c r="AG4538">
        <v>-1.120132769215</v>
      </c>
      <c r="AH4538">
        <v>10.5306510673106</v>
      </c>
      <c r="AI4538">
        <v>96.000720602661502</v>
      </c>
      <c r="AJ4538">
        <v>98.7990170078657</v>
      </c>
      <c r="AK4538">
        <v>10.714772933632901</v>
      </c>
      <c r="AL4538">
        <v>78.371338646506203</v>
      </c>
      <c r="AM4538">
        <v>94.380682206009297</v>
      </c>
      <c r="AN4538">
        <v>0.99999993164110401</v>
      </c>
    </row>
    <row r="4539" spans="1:40" x14ac:dyDescent="0.25">
      <c r="A4539" t="str">
        <f>"20190303162351604"</f>
        <v>20190303162351604</v>
      </c>
      <c r="B4539" t="str">
        <f>"1551601431598928"</f>
        <v>1551601431598928</v>
      </c>
      <c r="C4539" t="s">
        <v>40</v>
      </c>
      <c r="D4539">
        <v>5.1560819999999996</v>
      </c>
      <c r="E4539">
        <v>0.52767339999999996</v>
      </c>
      <c r="F4539" t="s">
        <v>41</v>
      </c>
      <c r="G4539">
        <v>-393.8931</v>
      </c>
      <c r="H4539" s="1">
        <v>-2.6086080000000001E-6</v>
      </c>
      <c r="I4539">
        <v>139.5797</v>
      </c>
      <c r="J4539">
        <v>-385.90870000000001</v>
      </c>
      <c r="K4539">
        <v>1.1201449999999999</v>
      </c>
      <c r="L4539">
        <v>140.4186</v>
      </c>
      <c r="M4539">
        <v>-0.99981750000000003</v>
      </c>
      <c r="N4539">
        <v>-1.3565850000000001E-2</v>
      </c>
      <c r="O4539">
        <v>1.3458879999999999E-2</v>
      </c>
      <c r="P4539">
        <v>-0.98101309999999997</v>
      </c>
      <c r="Q4539">
        <v>0.1853959</v>
      </c>
      <c r="R4539">
        <v>-5.6936670000000002E-2</v>
      </c>
      <c r="S4539">
        <v>-3.1206670000000001</v>
      </c>
      <c r="T4539">
        <v>-0.41508010000000001</v>
      </c>
      <c r="U4539">
        <v>-0.30818179999999901</v>
      </c>
      <c r="V4539">
        <v>-6.9728680000000001E-2</v>
      </c>
      <c r="W4539">
        <v>0.198819</v>
      </c>
      <c r="X4539">
        <v>0.97755250000000005</v>
      </c>
      <c r="Y4539">
        <v>-0.1105043</v>
      </c>
      <c r="Z4539">
        <v>-9.6512309999999997E-3</v>
      </c>
      <c r="AA4539">
        <v>0.99382879999999996</v>
      </c>
      <c r="AB4539">
        <v>29</v>
      </c>
      <c r="AC4539">
        <v>-7.9843999999999902</v>
      </c>
      <c r="AD4539">
        <v>-1.120147608608</v>
      </c>
      <c r="AE4539">
        <v>-0.83889999999999498</v>
      </c>
      <c r="AF4539">
        <v>-0.92822524605961998</v>
      </c>
      <c r="AG4539">
        <v>-1.120147608608</v>
      </c>
      <c r="AH4539">
        <v>7.8201504922541396</v>
      </c>
      <c r="AI4539">
        <v>98.095454068146594</v>
      </c>
      <c r="AJ4539">
        <v>96.769142689231401</v>
      </c>
      <c r="AK4539">
        <v>7.9543124463397401</v>
      </c>
      <c r="AL4539">
        <v>78.532093982052601</v>
      </c>
      <c r="AM4539">
        <v>94.079989528596201</v>
      </c>
      <c r="AN4539">
        <v>0.99999998691589598</v>
      </c>
    </row>
    <row r="4540" spans="1:40" x14ac:dyDescent="0.25">
      <c r="A4540" t="str">
        <f>"20190303162351627"</f>
        <v>20190303162351627</v>
      </c>
      <c r="B4540" t="str">
        <f>"1551601431619423"</f>
        <v>1551601431619423</v>
      </c>
      <c r="C4540" t="s">
        <v>40</v>
      </c>
      <c r="D4540">
        <v>5.1698459999999997</v>
      </c>
      <c r="E4540">
        <v>0.52786119999999903</v>
      </c>
      <c r="F4540" t="s">
        <v>42</v>
      </c>
      <c r="G4540">
        <v>-386.7747</v>
      </c>
      <c r="H4540">
        <v>0.82888580000000001</v>
      </c>
      <c r="I4540">
        <v>140.43989999999999</v>
      </c>
      <c r="J4540">
        <v>-386.19639999999998</v>
      </c>
      <c r="K4540">
        <v>1.120174</v>
      </c>
      <c r="L4540">
        <v>140.4237</v>
      </c>
      <c r="M4540">
        <v>-0.99980309999999994</v>
      </c>
      <c r="N4540">
        <v>-1.3579539999999999E-2</v>
      </c>
      <c r="O4540">
        <v>1.447564E-2</v>
      </c>
      <c r="P4540">
        <v>-0.98128289999999996</v>
      </c>
      <c r="Q4540">
        <v>0.18500430000000001</v>
      </c>
      <c r="R4540">
        <v>-5.3455210000000003E-2</v>
      </c>
      <c r="S4540">
        <v>-3.270508</v>
      </c>
      <c r="T4540">
        <v>-1.0999890000000001</v>
      </c>
      <c r="U4540">
        <v>7.8918459999999996E-2</v>
      </c>
      <c r="V4540">
        <v>-6.7262370000000002E-2</v>
      </c>
      <c r="W4540">
        <v>0.1984349</v>
      </c>
      <c r="X4540">
        <v>0.97780330000000004</v>
      </c>
      <c r="Y4540">
        <v>9.8180990000000003E-3</v>
      </c>
      <c r="Z4540">
        <v>-2.8706000000000001E-3</v>
      </c>
      <c r="AA4540">
        <v>0.99994769999999999</v>
      </c>
      <c r="AB4540">
        <v>29</v>
      </c>
      <c r="AC4540">
        <v>-0.57830000000001203</v>
      </c>
      <c r="AD4540">
        <v>-0.2912882</v>
      </c>
      <c r="AE4540">
        <v>1.6199999999997699E-2</v>
      </c>
      <c r="AF4540">
        <v>6.2434725487068602E-3</v>
      </c>
      <c r="AG4540">
        <v>-0.2912882</v>
      </c>
      <c r="AH4540">
        <v>0.46148251297835102</v>
      </c>
      <c r="AI4540">
        <v>122.257793050704</v>
      </c>
      <c r="AJ4540">
        <v>89.224883298679003</v>
      </c>
      <c r="AK4540">
        <v>0.54575993458069105</v>
      </c>
      <c r="AL4540">
        <v>78.554548440428107</v>
      </c>
      <c r="AM4540">
        <v>93.935135382828307</v>
      </c>
      <c r="AN4540">
        <v>0.99999996472345698</v>
      </c>
    </row>
    <row r="4541" spans="1:40" x14ac:dyDescent="0.25">
      <c r="A4541" t="str">
        <f>"20190303162351649"</f>
        <v>20190303162351649</v>
      </c>
      <c r="B4541" t="str">
        <f>"1551601431639450"</f>
        <v>1551601431639450</v>
      </c>
      <c r="C4541" t="s">
        <v>40</v>
      </c>
      <c r="D4541">
        <v>5.1771979999999997</v>
      </c>
      <c r="E4541">
        <v>0.52775930000000004</v>
      </c>
      <c r="F4541" t="s">
        <v>42</v>
      </c>
      <c r="G4541">
        <v>-387.0326</v>
      </c>
      <c r="H4541">
        <v>0.83496809999999999</v>
      </c>
      <c r="I4541">
        <v>140.44640000000001</v>
      </c>
      <c r="J4541">
        <v>-386.47699999999998</v>
      </c>
      <c r="K4541">
        <v>1.120201</v>
      </c>
      <c r="L4541">
        <v>140.4288</v>
      </c>
      <c r="M4541">
        <v>-0.99978869999999997</v>
      </c>
      <c r="N4541">
        <v>-1.3589739999999999E-2</v>
      </c>
      <c r="O4541">
        <v>1.5426280000000001E-2</v>
      </c>
      <c r="P4541">
        <v>-0.98139200000000004</v>
      </c>
      <c r="Q4541">
        <v>0.18528600000000001</v>
      </c>
      <c r="R4541">
        <v>-5.0385989999999999E-2</v>
      </c>
      <c r="S4541">
        <v>-3.2724299999999999</v>
      </c>
      <c r="T4541">
        <v>-1.116052</v>
      </c>
      <c r="U4541">
        <v>8.7982179999999993E-2</v>
      </c>
      <c r="V4541">
        <v>-6.5143489999999998E-2</v>
      </c>
      <c r="W4541">
        <v>0.19871759999999999</v>
      </c>
      <c r="X4541">
        <v>0.97788940000000002</v>
      </c>
      <c r="Y4541">
        <v>1.1572829999999999E-2</v>
      </c>
      <c r="Z4541">
        <v>-2.9112819999999998E-3</v>
      </c>
      <c r="AA4541">
        <v>0.99992879999999995</v>
      </c>
      <c r="AB4541">
        <v>29</v>
      </c>
      <c r="AC4541">
        <v>-0.55560000000002596</v>
      </c>
      <c r="AD4541">
        <v>-0.28523289999999901</v>
      </c>
      <c r="AE4541">
        <v>1.7600000000015801E-2</v>
      </c>
      <c r="AF4541">
        <v>7.14503572704322E-3</v>
      </c>
      <c r="AG4541">
        <v>-0.28523289999999901</v>
      </c>
      <c r="AH4541">
        <v>0.43996558078216902</v>
      </c>
      <c r="AI4541">
        <v>122.952187839044</v>
      </c>
      <c r="AJ4541">
        <v>89.069599019582</v>
      </c>
      <c r="AK4541">
        <v>0.52438399198578001</v>
      </c>
      <c r="AL4541">
        <v>78.538022429681206</v>
      </c>
      <c r="AM4541">
        <v>93.811208583996006</v>
      </c>
      <c r="AN4541">
        <v>1.0000000187357501</v>
      </c>
    </row>
    <row r="4542" spans="1:40" x14ac:dyDescent="0.25">
      <c r="A4542" t="str">
        <f>"20190303162351671"</f>
        <v>20190303162351671</v>
      </c>
      <c r="B4542" t="str">
        <f>"1551601431658969"</f>
        <v>1551601431658969</v>
      </c>
      <c r="C4542" t="s">
        <v>40</v>
      </c>
      <c r="D4542">
        <v>5.2270620000000001</v>
      </c>
      <c r="E4542">
        <v>0.52751800000000004</v>
      </c>
      <c r="F4542" t="s">
        <v>42</v>
      </c>
      <c r="G4542">
        <v>-387.291</v>
      </c>
      <c r="H4542">
        <v>0.84252359999999904</v>
      </c>
      <c r="I4542">
        <v>140.45150000000001</v>
      </c>
      <c r="J4542">
        <v>-386.76139999999998</v>
      </c>
      <c r="K4542">
        <v>1.1202490000000001</v>
      </c>
      <c r="L4542">
        <v>140.43430000000001</v>
      </c>
      <c r="M4542">
        <v>-0.99977439999999995</v>
      </c>
      <c r="N4542">
        <v>-1.3597339999999999E-2</v>
      </c>
      <c r="O4542">
        <v>1.6323560000000001E-2</v>
      </c>
      <c r="P4542">
        <v>-0.98122609999999999</v>
      </c>
      <c r="Q4542">
        <v>0.18667700000000001</v>
      </c>
      <c r="R4542">
        <v>-4.8446570000000001E-2</v>
      </c>
      <c r="S4542">
        <v>-3.2722470000000001</v>
      </c>
      <c r="T4542">
        <v>-1.116079</v>
      </c>
      <c r="U4542">
        <v>8.9736940000000001E-2</v>
      </c>
      <c r="V4542">
        <v>-6.4102880000000001E-2</v>
      </c>
      <c r="W4542">
        <v>0.200104</v>
      </c>
      <c r="X4542">
        <v>0.97767539999999997</v>
      </c>
      <c r="Y4542">
        <v>1.127688E-2</v>
      </c>
      <c r="Z4542">
        <v>-3.2481160000000001E-3</v>
      </c>
      <c r="AA4542">
        <v>0.99993120000000002</v>
      </c>
      <c r="AB4542">
        <v>29</v>
      </c>
      <c r="AC4542">
        <v>-0.52960000000001595</v>
      </c>
      <c r="AD4542">
        <v>-0.27772540000000001</v>
      </c>
      <c r="AE4542">
        <v>1.7200000000002501E-2</v>
      </c>
      <c r="AF4542">
        <v>6.7089295660546803E-3</v>
      </c>
      <c r="AG4542">
        <v>-0.27772540000000001</v>
      </c>
      <c r="AH4542">
        <v>0.41563135374108501</v>
      </c>
      <c r="AI4542">
        <v>123.7474491052</v>
      </c>
      <c r="AJ4542">
        <v>89.075238269502606</v>
      </c>
      <c r="AK4542">
        <v>0.49992582425168802</v>
      </c>
      <c r="AL4542">
        <v>78.456959136379695</v>
      </c>
      <c r="AM4542">
        <v>93.751321631224897</v>
      </c>
      <c r="AN4542">
        <v>0.99999998890272701</v>
      </c>
    </row>
    <row r="4543" spans="1:40" x14ac:dyDescent="0.25">
      <c r="A4543" t="str">
        <f>"20190303162351694"</f>
        <v>20190303162351694</v>
      </c>
      <c r="B4543" t="str">
        <f>"1551601431689225"</f>
        <v>1551601431689225</v>
      </c>
      <c r="C4543" t="s">
        <v>40</v>
      </c>
      <c r="D4543">
        <v>5.2745220000000002</v>
      </c>
      <c r="E4543">
        <v>0.52699640000000003</v>
      </c>
      <c r="F4543" t="s">
        <v>42</v>
      </c>
      <c r="G4543">
        <v>-387.55020000000002</v>
      </c>
      <c r="H4543">
        <v>0.85214159999999906</v>
      </c>
      <c r="I4543">
        <v>140.45570000000001</v>
      </c>
      <c r="J4543">
        <v>-387.04950000000002</v>
      </c>
      <c r="K4543">
        <v>1.120317</v>
      </c>
      <c r="L4543">
        <v>140.44</v>
      </c>
      <c r="M4543">
        <v>-0.99976069999999995</v>
      </c>
      <c r="N4543">
        <v>-1.360285E-2</v>
      </c>
      <c r="O4543">
        <v>1.7142359999999999E-2</v>
      </c>
      <c r="P4543">
        <v>-0.9811164</v>
      </c>
      <c r="Q4543">
        <v>0.18759819999999999</v>
      </c>
      <c r="R4543">
        <v>-4.709431E-2</v>
      </c>
      <c r="S4543">
        <v>-3.2734380000000001</v>
      </c>
      <c r="T4543">
        <v>-1.112563</v>
      </c>
      <c r="U4543">
        <v>8.8409420000000002E-2</v>
      </c>
      <c r="V4543">
        <v>-6.3580709999999999E-2</v>
      </c>
      <c r="W4543">
        <v>0.20101769999999999</v>
      </c>
      <c r="X4543">
        <v>0.97752209999999995</v>
      </c>
      <c r="Y4543">
        <v>1.0149419999999999E-2</v>
      </c>
      <c r="Z4543">
        <v>-3.6901630000000002E-3</v>
      </c>
      <c r="AA4543">
        <v>0.99994170000000004</v>
      </c>
      <c r="AB4543">
        <v>29</v>
      </c>
      <c r="AC4543">
        <v>-0.50069999999999404</v>
      </c>
      <c r="AD4543">
        <v>-0.26817540000000001</v>
      </c>
      <c r="AE4543">
        <v>1.5700000000009501E-2</v>
      </c>
      <c r="AF4543">
        <v>5.5291421367044402E-3</v>
      </c>
      <c r="AG4543">
        <v>-0.26817540000000001</v>
      </c>
      <c r="AH4543">
        <v>0.38932130000349202</v>
      </c>
      <c r="AI4543">
        <v>124.557458392646</v>
      </c>
      <c r="AJ4543">
        <v>89.186339888468098</v>
      </c>
      <c r="AK4543">
        <v>0.47277869158236902</v>
      </c>
      <c r="AL4543">
        <v>78.403522799428799</v>
      </c>
      <c r="AM4543">
        <v>93.721432147077707</v>
      </c>
      <c r="AN4543">
        <v>1.0000000391929</v>
      </c>
    </row>
    <row r="4544" spans="1:40" x14ac:dyDescent="0.25">
      <c r="A4544" t="str">
        <f>"20190303162351716"</f>
        <v>20190303162351716</v>
      </c>
      <c r="B4544" t="str">
        <f>"1551601431709720"</f>
        <v>1551601431709720</v>
      </c>
      <c r="C4544" t="s">
        <v>40</v>
      </c>
      <c r="D4544">
        <v>5.3529140000000002</v>
      </c>
      <c r="E4544">
        <v>0.52756910000000001</v>
      </c>
      <c r="F4544" t="s">
        <v>42</v>
      </c>
      <c r="G4544">
        <v>-387.80970000000002</v>
      </c>
      <c r="H4544">
        <v>0.86296200000000001</v>
      </c>
      <c r="I4544">
        <v>140.46039999999999</v>
      </c>
      <c r="J4544">
        <v>-387.33640000000003</v>
      </c>
      <c r="K4544">
        <v>1.1203939999999999</v>
      </c>
      <c r="L4544">
        <v>140.44579999999999</v>
      </c>
      <c r="M4544">
        <v>-0.99974799999999997</v>
      </c>
      <c r="N4544">
        <v>-1.3606740000000001E-2</v>
      </c>
      <c r="O4544">
        <v>1.785573E-2</v>
      </c>
      <c r="P4544">
        <v>-0.98130039999999996</v>
      </c>
      <c r="Q4544">
        <v>0.18715570000000001</v>
      </c>
      <c r="R4544">
        <v>-4.4969410000000001E-2</v>
      </c>
      <c r="S4544">
        <v>-3.2738040000000002</v>
      </c>
      <c r="T4544">
        <v>-1.1081510000000001</v>
      </c>
      <c r="U4544">
        <v>8.5998539999999998E-2</v>
      </c>
      <c r="V4544">
        <v>-6.2197009999999997E-2</v>
      </c>
      <c r="W4544">
        <v>0.20056740000000001</v>
      </c>
      <c r="X4544">
        <v>0.97770360000000001</v>
      </c>
      <c r="Y4544">
        <v>8.8087240000000004E-3</v>
      </c>
      <c r="Z4544">
        <v>-4.1301659999999898E-3</v>
      </c>
      <c r="AA4544">
        <v>0.99995270000000003</v>
      </c>
      <c r="AB4544">
        <v>28</v>
      </c>
      <c r="AC4544">
        <v>-0.473299999999994</v>
      </c>
      <c r="AD4544">
        <v>-0.25743199999999999</v>
      </c>
      <c r="AE4544">
        <v>1.4600000000001501E-2</v>
      </c>
      <c r="AF4544">
        <v>4.7437356410514001E-3</v>
      </c>
      <c r="AG4544">
        <v>-0.25743199999999999</v>
      </c>
      <c r="AH4544">
        <v>0.36546891269174903</v>
      </c>
      <c r="AI4544">
        <v>125.158143410229</v>
      </c>
      <c r="AJ4544">
        <v>89.256350513851004</v>
      </c>
      <c r="AK4544">
        <v>0.44705845679946798</v>
      </c>
      <c r="AL4544">
        <v>78.429859472612193</v>
      </c>
      <c r="AM4544">
        <v>93.6399892299561</v>
      </c>
      <c r="AN4544">
        <v>1.0000000397243201</v>
      </c>
    </row>
    <row r="4545" spans="1:40" x14ac:dyDescent="0.25">
      <c r="A4545" t="str">
        <f>"20190303162351738"</f>
        <v>20190303162351738</v>
      </c>
      <c r="B4545" t="str">
        <f>"1551601431729241"</f>
        <v>1551601431729241</v>
      </c>
      <c r="C4545" t="s">
        <v>40</v>
      </c>
      <c r="D4545">
        <v>5.2916270000000001</v>
      </c>
      <c r="E4545">
        <v>0.52783869999999999</v>
      </c>
      <c r="F4545" t="s">
        <v>42</v>
      </c>
      <c r="G4545">
        <v>-388.06819999999999</v>
      </c>
      <c r="H4545">
        <v>0.87223909999999905</v>
      </c>
      <c r="I4545">
        <v>140.46780000000001</v>
      </c>
      <c r="J4545">
        <v>-387.60879999999997</v>
      </c>
      <c r="K4545">
        <v>1.1204780000000001</v>
      </c>
      <c r="L4545">
        <v>140.45140000000001</v>
      </c>
      <c r="M4545">
        <v>-0.99973749999999995</v>
      </c>
      <c r="N4545">
        <v>-1.360918E-2</v>
      </c>
      <c r="O4545">
        <v>1.8431300000000001E-2</v>
      </c>
      <c r="P4545">
        <v>-0.98164359999999995</v>
      </c>
      <c r="Q4545">
        <v>0.18601390000000001</v>
      </c>
      <c r="R4545">
        <v>-4.212954E-2</v>
      </c>
      <c r="S4545">
        <v>-3.2733150000000002</v>
      </c>
      <c r="T4545">
        <v>-1.1098669999999999</v>
      </c>
      <c r="U4545">
        <v>9.7702029999999995E-2</v>
      </c>
      <c r="V4545">
        <v>-5.996829E-2</v>
      </c>
      <c r="W4545">
        <v>0.19941809999999999</v>
      </c>
      <c r="X4545">
        <v>0.9780778</v>
      </c>
      <c r="Y4545">
        <v>1.167355E-2</v>
      </c>
      <c r="Z4545">
        <v>-3.8267150000000001E-3</v>
      </c>
      <c r="AA4545">
        <v>0.99992449999999999</v>
      </c>
      <c r="AB4545">
        <v>28</v>
      </c>
      <c r="AC4545">
        <v>-0.45940000000001602</v>
      </c>
      <c r="AD4545">
        <v>-0.24823890000000001</v>
      </c>
      <c r="AE4545">
        <v>1.6400000000004401E-2</v>
      </c>
      <c r="AF4545">
        <v>6.1389128132719401E-3</v>
      </c>
      <c r="AG4545">
        <v>-0.24823890000000001</v>
      </c>
      <c r="AH4545">
        <v>0.355853337995585</v>
      </c>
      <c r="AI4545">
        <v>124.895152351647</v>
      </c>
      <c r="AJ4545">
        <v>89.011674555081996</v>
      </c>
      <c r="AK4545">
        <v>0.43392607191356802</v>
      </c>
      <c r="AL4545">
        <v>78.497066575354495</v>
      </c>
      <c r="AM4545">
        <v>93.508549265287201</v>
      </c>
      <c r="AN4545">
        <v>0.99999997863298595</v>
      </c>
    </row>
    <row r="4546" spans="1:40" x14ac:dyDescent="0.25">
      <c r="A4546" t="str">
        <f>"20190303162351760"</f>
        <v>20190303162351760</v>
      </c>
      <c r="B4546" t="str">
        <f>"1551601431749737"</f>
        <v>1551601431749737</v>
      </c>
      <c r="C4546" t="s">
        <v>40</v>
      </c>
      <c r="D4546">
        <v>5.2783850000000001</v>
      </c>
      <c r="E4546">
        <v>0.52801219999999904</v>
      </c>
      <c r="F4546" t="s">
        <v>42</v>
      </c>
      <c r="G4546">
        <v>-388.32319999999999</v>
      </c>
      <c r="H4546">
        <v>0.87444820000000001</v>
      </c>
      <c r="I4546">
        <v>140.476</v>
      </c>
      <c r="J4546">
        <v>-387.8929</v>
      </c>
      <c r="K4546">
        <v>1.1205639999999999</v>
      </c>
      <c r="L4546">
        <v>140.4572</v>
      </c>
      <c r="M4546">
        <v>-0.99972830000000001</v>
      </c>
      <c r="N4546">
        <v>-1.361089E-2</v>
      </c>
      <c r="O4546">
        <v>1.892634E-2</v>
      </c>
      <c r="P4546">
        <v>-0.98180940000000005</v>
      </c>
      <c r="Q4546">
        <v>0.1857096</v>
      </c>
      <c r="R4546">
        <v>-3.952903E-2</v>
      </c>
      <c r="S4546">
        <v>-3.274597</v>
      </c>
      <c r="T4546">
        <v>-1.127713</v>
      </c>
      <c r="U4546">
        <v>0.1119232</v>
      </c>
      <c r="V4546">
        <v>-5.7896990000000002E-2</v>
      </c>
      <c r="W4546">
        <v>0.19910410000000001</v>
      </c>
      <c r="X4546">
        <v>0.97826659999999999</v>
      </c>
      <c r="Y4546">
        <v>1.532207E-2</v>
      </c>
      <c r="Z4546">
        <v>-3.4110989999999999E-3</v>
      </c>
      <c r="AA4546">
        <v>0.99987680000000001</v>
      </c>
      <c r="AB4546">
        <v>28</v>
      </c>
      <c r="AC4546">
        <v>-0.43029999999998803</v>
      </c>
      <c r="AD4546">
        <v>-0.246115799999999</v>
      </c>
      <c r="AE4546">
        <v>1.87999999999988E-2</v>
      </c>
      <c r="AF4546">
        <v>8.0299461839973205E-3</v>
      </c>
      <c r="AG4546">
        <v>-0.246115799999999</v>
      </c>
      <c r="AH4546">
        <v>0.32459305165716701</v>
      </c>
      <c r="AI4546">
        <v>127.16201419008399</v>
      </c>
      <c r="AJ4546">
        <v>88.582877229136599</v>
      </c>
      <c r="AK4546">
        <v>0.407428663976248</v>
      </c>
      <c r="AL4546">
        <v>78.515426124087298</v>
      </c>
      <c r="AM4546">
        <v>93.386999236143396</v>
      </c>
      <c r="AN4546">
        <v>1.00000002238171</v>
      </c>
    </row>
    <row r="4547" spans="1:40" x14ac:dyDescent="0.25">
      <c r="A4547" t="str">
        <f>"20190303162351783"</f>
        <v>20190303162351783</v>
      </c>
      <c r="B4547" t="str">
        <f>"1551601431779018"</f>
        <v>1551601431779018</v>
      </c>
      <c r="C4547" t="s">
        <v>40</v>
      </c>
      <c r="D4547">
        <v>5.2350289999999999</v>
      </c>
      <c r="E4547">
        <v>0.52844950000000002</v>
      </c>
      <c r="F4547" t="s">
        <v>42</v>
      </c>
      <c r="G4547">
        <v>-388.58010000000002</v>
      </c>
      <c r="H4547">
        <v>0.88153150000000002</v>
      </c>
      <c r="I4547">
        <v>140.48390000000001</v>
      </c>
      <c r="J4547">
        <v>-388.18360000000001</v>
      </c>
      <c r="K4547">
        <v>1.12064599999999</v>
      </c>
      <c r="L4547">
        <v>140.4633</v>
      </c>
      <c r="M4547">
        <v>-0.99972059999999996</v>
      </c>
      <c r="N4547">
        <v>-1.361189E-2</v>
      </c>
      <c r="O4547">
        <v>1.9327649999999998E-2</v>
      </c>
      <c r="P4547">
        <v>-0.98189950000000004</v>
      </c>
      <c r="Q4547">
        <v>0.18557599999999999</v>
      </c>
      <c r="R4547">
        <v>-3.7882489999999998E-2</v>
      </c>
      <c r="S4547">
        <v>-3.2762150000000001</v>
      </c>
      <c r="T4547">
        <v>-1.139624</v>
      </c>
      <c r="U4547">
        <v>0.1261292</v>
      </c>
      <c r="V4547">
        <v>-5.6684869999999998E-2</v>
      </c>
      <c r="W4547">
        <v>0.1989601</v>
      </c>
      <c r="X4547">
        <v>0.97836690000000004</v>
      </c>
      <c r="Y4547">
        <v>1.9031429999999998E-2</v>
      </c>
      <c r="Z4547">
        <v>-2.9243419999999999E-3</v>
      </c>
      <c r="AA4547">
        <v>0.9998146</v>
      </c>
      <c r="AB4547">
        <v>28</v>
      </c>
      <c r="AC4547">
        <v>-0.39650000000000302</v>
      </c>
      <c r="AD4547">
        <v>-0.23911449999999901</v>
      </c>
      <c r="AE4547">
        <v>2.06000000000017E-2</v>
      </c>
      <c r="AF4547">
        <v>9.4899622311315195E-3</v>
      </c>
      <c r="AG4547">
        <v>-0.23911449999999901</v>
      </c>
      <c r="AH4547">
        <v>0.29120302414882199</v>
      </c>
      <c r="AI4547">
        <v>129.375409353073</v>
      </c>
      <c r="AJ4547">
        <v>88.133458881488707</v>
      </c>
      <c r="AK4547">
        <v>0.37691511612937101</v>
      </c>
      <c r="AL4547">
        <v>78.523845401005602</v>
      </c>
      <c r="AM4547">
        <v>93.315910416229897</v>
      </c>
      <c r="AN4547">
        <v>1.00000004344726</v>
      </c>
    </row>
    <row r="4548" spans="1:40" x14ac:dyDescent="0.25">
      <c r="A4548" t="str">
        <f>"20190303162351805"</f>
        <v>20190303162351805</v>
      </c>
      <c r="B4548" t="str">
        <f>"1551601431799513"</f>
        <v>1551601431799513</v>
      </c>
      <c r="C4548" t="s">
        <v>40</v>
      </c>
      <c r="D4548">
        <v>5.1940189999999999</v>
      </c>
      <c r="E4548">
        <v>0.52877089999999904</v>
      </c>
      <c r="F4548" t="s">
        <v>42</v>
      </c>
      <c r="G4548">
        <v>-389.05869999999999</v>
      </c>
      <c r="H4548">
        <v>0.81467630000000002</v>
      </c>
      <c r="I4548">
        <v>140.5008</v>
      </c>
      <c r="J4548">
        <v>-388.46230000000003</v>
      </c>
      <c r="K4548">
        <v>1.1207149999999999</v>
      </c>
      <c r="L4548">
        <v>140.46899999999999</v>
      </c>
      <c r="M4548">
        <v>-0.99971500000000002</v>
      </c>
      <c r="N4548">
        <v>-1.3606719999999999E-2</v>
      </c>
      <c r="O4548">
        <v>1.9613240000000001E-2</v>
      </c>
      <c r="P4548">
        <v>-0.981958</v>
      </c>
      <c r="Q4548">
        <v>0.1858262</v>
      </c>
      <c r="R4548">
        <v>-3.5029409999999997E-2</v>
      </c>
      <c r="S4548">
        <v>-3.2772220000000001</v>
      </c>
      <c r="T4548">
        <v>-1.1456550000000001</v>
      </c>
      <c r="U4548">
        <v>0.140152</v>
      </c>
      <c r="V4548">
        <v>-5.4146949999999999E-2</v>
      </c>
      <c r="W4548">
        <v>0.1991956</v>
      </c>
      <c r="X4548">
        <v>0.97846270000000002</v>
      </c>
      <c r="Y4548">
        <v>2.278838E-2</v>
      </c>
      <c r="Z4548">
        <v>-2.3690719999999998E-3</v>
      </c>
      <c r="AA4548">
        <v>0.99973749999999995</v>
      </c>
      <c r="AB4548">
        <v>28</v>
      </c>
      <c r="AC4548">
        <v>-0.59639999999995996</v>
      </c>
      <c r="AD4548">
        <v>-0.306038699999999</v>
      </c>
      <c r="AE4548">
        <v>3.1800000000003999E-2</v>
      </c>
      <c r="AF4548">
        <v>1.5916319928046901E-2</v>
      </c>
      <c r="AG4548">
        <v>-0.306038699999999</v>
      </c>
      <c r="AH4548">
        <v>0.47277314944879001</v>
      </c>
      <c r="AI4548">
        <v>122.90126012751099</v>
      </c>
      <c r="AJ4548">
        <v>88.071815912064693</v>
      </c>
      <c r="AK4548">
        <v>0.56340701626574496</v>
      </c>
      <c r="AL4548">
        <v>78.510076340823503</v>
      </c>
      <c r="AM4548">
        <v>93.167448908691298</v>
      </c>
      <c r="AN4548">
        <v>1.0000000172724699</v>
      </c>
    </row>
    <row r="4549" spans="1:40" x14ac:dyDescent="0.25">
      <c r="A4549" t="str">
        <f>"20190303162351828"</f>
        <v>20190303162351828</v>
      </c>
      <c r="B4549" t="str">
        <f>"1551601431819034"</f>
        <v>1551601431819034</v>
      </c>
      <c r="C4549" t="s">
        <v>40</v>
      </c>
      <c r="D4549">
        <v>5.17197</v>
      </c>
      <c r="E4549">
        <v>0.52905609999999903</v>
      </c>
      <c r="F4549" t="s">
        <v>42</v>
      </c>
      <c r="G4549">
        <v>-389.315</v>
      </c>
      <c r="H4549">
        <v>0.82267049999999997</v>
      </c>
      <c r="I4549">
        <v>140.51050000000001</v>
      </c>
      <c r="J4549">
        <v>-388.75580000000002</v>
      </c>
      <c r="K4549">
        <v>1.1207780000000001</v>
      </c>
      <c r="L4549">
        <v>140.4751</v>
      </c>
      <c r="M4549">
        <v>-0.99971080000000001</v>
      </c>
      <c r="N4549">
        <v>-1.3596479999999999E-2</v>
      </c>
      <c r="O4549">
        <v>1.984083E-2</v>
      </c>
      <c r="P4549">
        <v>-0.98225850000000003</v>
      </c>
      <c r="Q4549">
        <v>0.18486089999999999</v>
      </c>
      <c r="R4549">
        <v>-3.1542979999999998E-2</v>
      </c>
      <c r="S4549">
        <v>-3.2775880000000002</v>
      </c>
      <c r="T4549">
        <v>-1.1456059999999999</v>
      </c>
      <c r="U4549">
        <v>0.15821840000000001</v>
      </c>
      <c r="V4549">
        <v>-5.0919489999999998E-2</v>
      </c>
      <c r="W4549">
        <v>0.19821520000000001</v>
      </c>
      <c r="X4549">
        <v>0.97883500000000001</v>
      </c>
      <c r="Y4549">
        <v>2.7761230000000001E-2</v>
      </c>
      <c r="Z4549">
        <v>-1.5643320000000001E-3</v>
      </c>
      <c r="AA4549">
        <v>0.99961330000000004</v>
      </c>
      <c r="AB4549">
        <v>28</v>
      </c>
      <c r="AC4549">
        <v>-0.55919999999997505</v>
      </c>
      <c r="AD4549">
        <v>-0.29810750000000003</v>
      </c>
      <c r="AE4549">
        <v>3.5400000000009799E-2</v>
      </c>
      <c r="AF4549">
        <v>1.8936809393569998E-2</v>
      </c>
      <c r="AG4549">
        <v>-0.29810750000000003</v>
      </c>
      <c r="AH4549">
        <v>0.43629562325677002</v>
      </c>
      <c r="AI4549">
        <v>124.31849371866799</v>
      </c>
      <c r="AJ4549">
        <v>87.514715635575499</v>
      </c>
      <c r="AK4549">
        <v>0.528753775569756</v>
      </c>
      <c r="AL4549">
        <v>78.567391941354103</v>
      </c>
      <c r="AM4549">
        <v>92.977871089538894</v>
      </c>
      <c r="AN4549">
        <v>1.00000000859895</v>
      </c>
    </row>
    <row r="4550" spans="1:40" x14ac:dyDescent="0.25">
      <c r="A4550" t="str">
        <f>"20190303162351850"</f>
        <v>20190303162351850</v>
      </c>
      <c r="B4550" t="str">
        <f>"1551601431839060"</f>
        <v>1551601431839060</v>
      </c>
      <c r="C4550" t="s">
        <v>40</v>
      </c>
      <c r="D4550">
        <v>5.1257970000000004</v>
      </c>
      <c r="E4550">
        <v>0.52931019999999995</v>
      </c>
      <c r="F4550" t="s">
        <v>42</v>
      </c>
      <c r="G4550">
        <v>-389.57260000000002</v>
      </c>
      <c r="H4550">
        <v>0.83417889999999995</v>
      </c>
      <c r="I4550">
        <v>140.5189</v>
      </c>
      <c r="J4550">
        <v>-389.03339999999997</v>
      </c>
      <c r="K4550">
        <v>1.1208279999999999</v>
      </c>
      <c r="L4550">
        <v>140.48089999999999</v>
      </c>
      <c r="M4550">
        <v>-0.99970780000000004</v>
      </c>
      <c r="N4550">
        <v>-1.358431E-2</v>
      </c>
      <c r="O4550">
        <v>1.9997560000000001E-2</v>
      </c>
      <c r="P4550">
        <v>-0.98225859999999998</v>
      </c>
      <c r="Q4550">
        <v>0.18524750000000001</v>
      </c>
      <c r="R4550">
        <v>-2.9179099999999999E-2</v>
      </c>
      <c r="S4550">
        <v>-3.276154</v>
      </c>
      <c r="T4550">
        <v>-1.1495070000000001</v>
      </c>
      <c r="U4550">
        <v>0.1754761</v>
      </c>
      <c r="V4550">
        <v>-4.873268E-2</v>
      </c>
      <c r="W4550">
        <v>0.19858390000000001</v>
      </c>
      <c r="X4550">
        <v>0.97887159999999995</v>
      </c>
      <c r="Y4550">
        <v>3.2582939999999998E-2</v>
      </c>
      <c r="Z4550">
        <v>-7.6845660000000003E-4</v>
      </c>
      <c r="AA4550">
        <v>0.99946869999999999</v>
      </c>
      <c r="AB4550">
        <v>28</v>
      </c>
      <c r="AC4550">
        <v>-0.53920000000004997</v>
      </c>
      <c r="AD4550">
        <v>-0.28664909999999999</v>
      </c>
      <c r="AE4550">
        <v>3.80000000000109E-2</v>
      </c>
      <c r="AF4550">
        <v>2.1236534317334702E-2</v>
      </c>
      <c r="AG4550">
        <v>-0.28664909999999999</v>
      </c>
      <c r="AH4550">
        <v>0.42135712147960103</v>
      </c>
      <c r="AI4550">
        <v>124.193647880954</v>
      </c>
      <c r="AJ4550">
        <v>87.114715708052003</v>
      </c>
      <c r="AK4550">
        <v>0.51005933060987796</v>
      </c>
      <c r="AL4550">
        <v>78.545838715163498</v>
      </c>
      <c r="AM4550">
        <v>92.850091378846798</v>
      </c>
      <c r="AN4550">
        <v>1.0000000243628699</v>
      </c>
    </row>
    <row r="4551" spans="1:40" x14ac:dyDescent="0.25">
      <c r="A4551" t="str">
        <f>"20190303162351874"</f>
        <v>20190303162351874</v>
      </c>
      <c r="B4551" t="str">
        <f>"1551601431869316"</f>
        <v>1551601431869316</v>
      </c>
      <c r="C4551" t="s">
        <v>40</v>
      </c>
      <c r="D4551">
        <v>5.0879180000000002</v>
      </c>
      <c r="E4551">
        <v>0.52966579999999996</v>
      </c>
      <c r="F4551" t="s">
        <v>42</v>
      </c>
      <c r="G4551">
        <v>-389.82850000000002</v>
      </c>
      <c r="H4551">
        <v>0.84199059999999903</v>
      </c>
      <c r="I4551">
        <v>140.5265</v>
      </c>
      <c r="J4551">
        <v>-389.3329</v>
      </c>
      <c r="K4551">
        <v>1.120878</v>
      </c>
      <c r="L4551">
        <v>140.4871</v>
      </c>
      <c r="M4551">
        <v>-0.99970599999999998</v>
      </c>
      <c r="N4551">
        <v>-1.356337E-2</v>
      </c>
      <c r="O4551">
        <v>2.0102689999999999E-2</v>
      </c>
      <c r="P4551">
        <v>-0.98203629999999997</v>
      </c>
      <c r="Q4551">
        <v>0.18648680000000001</v>
      </c>
      <c r="R4551">
        <v>-2.8773030000000002E-2</v>
      </c>
      <c r="S4551">
        <v>-3.2764280000000001</v>
      </c>
      <c r="T4551">
        <v>-1.1490389999999999</v>
      </c>
      <c r="U4551">
        <v>0.1863708</v>
      </c>
      <c r="V4551">
        <v>-4.8449329999999999E-2</v>
      </c>
      <c r="W4551">
        <v>0.19979369999999999</v>
      </c>
      <c r="X4551">
        <v>0.97863940000000005</v>
      </c>
      <c r="Y4551">
        <v>3.5606270000000002E-2</v>
      </c>
      <c r="Z4551">
        <v>-2.673175E-4</v>
      </c>
      <c r="AA4551">
        <v>0.99936590000000003</v>
      </c>
      <c r="AB4551">
        <v>28</v>
      </c>
      <c r="AC4551">
        <v>-0.49560000000002402</v>
      </c>
      <c r="AD4551">
        <v>-0.27888740000000001</v>
      </c>
      <c r="AE4551">
        <v>3.9400000000000497E-2</v>
      </c>
      <c r="AF4551">
        <v>2.2384452577833999E-2</v>
      </c>
      <c r="AG4551">
        <v>-0.27888740000000001</v>
      </c>
      <c r="AH4551">
        <v>0.37750229847389599</v>
      </c>
      <c r="AI4551">
        <v>126.407836165959</v>
      </c>
      <c r="AJ4551">
        <v>86.606551323818806</v>
      </c>
      <c r="AK4551">
        <v>0.46988001760986198</v>
      </c>
      <c r="AL4551">
        <v>78.475104189259099</v>
      </c>
      <c r="AM4551">
        <v>92.834218183339402</v>
      </c>
      <c r="AN4551">
        <v>0.99999996768474897</v>
      </c>
    </row>
    <row r="4552" spans="1:40" x14ac:dyDescent="0.25">
      <c r="A4552" t="str">
        <f>"20190303162351894"</f>
        <v>20190303162351894</v>
      </c>
      <c r="B4552" t="str">
        <f>"1551601431888836"</f>
        <v>1551601431888836</v>
      </c>
      <c r="C4552" t="s">
        <v>40</v>
      </c>
      <c r="D4552">
        <v>5.0352050000000004</v>
      </c>
      <c r="E4552">
        <v>0.52986469999999997</v>
      </c>
      <c r="F4552" t="s">
        <v>42</v>
      </c>
      <c r="G4552">
        <v>-390.08730000000003</v>
      </c>
      <c r="H4552">
        <v>0.85714210000000002</v>
      </c>
      <c r="I4552">
        <v>140.53039999999999</v>
      </c>
      <c r="J4552">
        <v>-389.596</v>
      </c>
      <c r="K4552">
        <v>1.120919</v>
      </c>
      <c r="L4552">
        <v>140.49250000000001</v>
      </c>
      <c r="M4552">
        <v>-0.99970559999999997</v>
      </c>
      <c r="N4552">
        <v>-1.3538150000000001E-2</v>
      </c>
      <c r="O4552">
        <v>2.014032E-2</v>
      </c>
      <c r="P4552">
        <v>-0.98189610000000005</v>
      </c>
      <c r="Q4552">
        <v>0.1869179</v>
      </c>
      <c r="R4552">
        <v>-3.0692750000000001E-2</v>
      </c>
      <c r="S4552">
        <v>-3.2780149999999999</v>
      </c>
      <c r="T4552">
        <v>-1.1459589999999999</v>
      </c>
      <c r="U4552">
        <v>0.188385</v>
      </c>
      <c r="V4552">
        <v>-5.0425499999999998E-2</v>
      </c>
      <c r="W4552">
        <v>0.2001927</v>
      </c>
      <c r="X4552">
        <v>0.97845800000000005</v>
      </c>
      <c r="Y4552">
        <v>3.6129719999999997E-2</v>
      </c>
      <c r="Z4552">
        <v>-1.8573689999999999E-4</v>
      </c>
      <c r="AA4552">
        <v>0.99934710000000004</v>
      </c>
      <c r="AB4552">
        <v>28</v>
      </c>
      <c r="AC4552">
        <v>-0.491300000000023</v>
      </c>
      <c r="AD4552">
        <v>-0.26377689999999998</v>
      </c>
      <c r="AE4552">
        <v>3.7899999999979103E-2</v>
      </c>
      <c r="AF4552">
        <v>2.1760853448497399E-2</v>
      </c>
      <c r="AG4552">
        <v>-0.26377689999999998</v>
      </c>
      <c r="AH4552">
        <v>0.382389346780519</v>
      </c>
      <c r="AI4552">
        <v>124.555110784674</v>
      </c>
      <c r="AJ4552">
        <v>86.742948604504093</v>
      </c>
      <c r="AK4552">
        <v>0.46505204036499898</v>
      </c>
      <c r="AL4552">
        <v>78.451771622344793</v>
      </c>
      <c r="AM4552">
        <v>92.950167091382497</v>
      </c>
      <c r="AN4552">
        <v>0.99999995297376898</v>
      </c>
    </row>
    <row r="4553" spans="1:40" x14ac:dyDescent="0.25">
      <c r="A4553" t="str">
        <f>"20190303162351916"</f>
        <v>20190303162351916</v>
      </c>
      <c r="B4553" t="str">
        <f>"1551601431909332"</f>
        <v>1551601431909332</v>
      </c>
      <c r="C4553" t="s">
        <v>40</v>
      </c>
      <c r="D4553">
        <v>5.0230489999999897</v>
      </c>
      <c r="E4553">
        <v>0.53005329999999995</v>
      </c>
      <c r="F4553" t="s">
        <v>42</v>
      </c>
      <c r="G4553">
        <v>-390.34120000000001</v>
      </c>
      <c r="H4553">
        <v>0.86048459999999904</v>
      </c>
      <c r="I4553">
        <v>140.5334</v>
      </c>
      <c r="J4553">
        <v>-389.87209999999999</v>
      </c>
      <c r="K4553">
        <v>1.12096</v>
      </c>
      <c r="L4553">
        <v>140.49809999999999</v>
      </c>
      <c r="M4553">
        <v>-0.99970650000000005</v>
      </c>
      <c r="N4553">
        <v>-1.351015E-2</v>
      </c>
      <c r="O4553">
        <v>2.0109720000000001E-2</v>
      </c>
      <c r="P4553">
        <v>-0.98187349999999995</v>
      </c>
      <c r="Q4553">
        <v>0.18618889999999999</v>
      </c>
      <c r="R4553">
        <v>-3.547616E-2</v>
      </c>
      <c r="S4553">
        <v>-3.279083</v>
      </c>
      <c r="T4553">
        <v>-1.1460490000000001</v>
      </c>
      <c r="U4553">
        <v>0.17779539999999999</v>
      </c>
      <c r="V4553">
        <v>-5.5204780000000002E-2</v>
      </c>
      <c r="W4553">
        <v>0.19942789999999999</v>
      </c>
      <c r="X4553">
        <v>0.97835620000000001</v>
      </c>
      <c r="Y4553">
        <v>3.3109069999999997E-2</v>
      </c>
      <c r="Z4553">
        <v>-7.1012600000000005E-4</v>
      </c>
      <c r="AA4553">
        <v>0.99945150000000005</v>
      </c>
      <c r="AB4553">
        <v>28</v>
      </c>
      <c r="AC4553">
        <v>-0.469100000000025</v>
      </c>
      <c r="AD4553">
        <v>-0.26047539999999902</v>
      </c>
      <c r="AE4553">
        <v>3.53000000000065E-2</v>
      </c>
      <c r="AF4553">
        <v>1.97909350133272E-2</v>
      </c>
      <c r="AG4553">
        <v>-0.26047539999999902</v>
      </c>
      <c r="AH4553">
        <v>0.359498406272868</v>
      </c>
      <c r="AI4553">
        <v>125.88411571267</v>
      </c>
      <c r="AJ4553">
        <v>86.848960724474793</v>
      </c>
      <c r="AK4553">
        <v>0.44438521490548399</v>
      </c>
      <c r="AL4553">
        <v>78.496493286215497</v>
      </c>
      <c r="AM4553">
        <v>93.229550146227496</v>
      </c>
      <c r="AN4553">
        <v>0.999999954555848</v>
      </c>
    </row>
    <row r="4554" spans="1:40" x14ac:dyDescent="0.25">
      <c r="A4554" t="str">
        <f>"20190303162351939"</f>
        <v>20190303162351939</v>
      </c>
      <c r="B4554" t="str">
        <f>"1551601431928853"</f>
        <v>1551601431928853</v>
      </c>
      <c r="C4554" t="s">
        <v>40</v>
      </c>
      <c r="D4554">
        <v>5.0220029999999998</v>
      </c>
      <c r="E4554">
        <v>0.53019899999999998</v>
      </c>
      <c r="F4554" t="s">
        <v>42</v>
      </c>
      <c r="G4554">
        <v>-390.59660000000002</v>
      </c>
      <c r="H4554">
        <v>0.86697469999999999</v>
      </c>
      <c r="I4554">
        <v>140.5326</v>
      </c>
      <c r="J4554">
        <v>-390.15570000000002</v>
      </c>
      <c r="K4554">
        <v>1.1210310000000001</v>
      </c>
      <c r="L4554">
        <v>140.50370000000001</v>
      </c>
      <c r="M4554">
        <v>-0.99970939999999997</v>
      </c>
      <c r="N4554">
        <v>-1.3483E-2</v>
      </c>
      <c r="O4554">
        <v>1.9982380000000001E-2</v>
      </c>
      <c r="P4554">
        <v>-0.98166500000000001</v>
      </c>
      <c r="Q4554">
        <v>0.18634909999999999</v>
      </c>
      <c r="R4554">
        <v>-4.0096079999999999E-2</v>
      </c>
      <c r="S4554">
        <v>-3.2789920000000001</v>
      </c>
      <c r="T4554">
        <v>-1.149376</v>
      </c>
      <c r="U4554">
        <v>0.15614320000000001</v>
      </c>
      <c r="V4554">
        <v>-5.9729749999999998E-2</v>
      </c>
      <c r="W4554">
        <v>0.19954749999999999</v>
      </c>
      <c r="X4554">
        <v>0.97806599999999999</v>
      </c>
      <c r="Y4554">
        <v>2.7019850000000002E-2</v>
      </c>
      <c r="Z4554">
        <v>-1.7511979999999901E-3</v>
      </c>
      <c r="AA4554">
        <v>0.99963340000000001</v>
      </c>
      <c r="AB4554">
        <v>28</v>
      </c>
      <c r="AC4554">
        <v>-0.44089999999999901</v>
      </c>
      <c r="AD4554">
        <v>-0.25405629999999901</v>
      </c>
      <c r="AE4554">
        <v>2.8899999999993001E-2</v>
      </c>
      <c r="AF4554">
        <v>1.50932094715797E-2</v>
      </c>
      <c r="AG4554">
        <v>-0.25405629999999901</v>
      </c>
      <c r="AH4554">
        <v>0.33171931567725599</v>
      </c>
      <c r="AI4554">
        <v>127.41908855194001</v>
      </c>
      <c r="AJ4554">
        <v>87.3948421615397</v>
      </c>
      <c r="AK4554">
        <v>0.41810299321486599</v>
      </c>
      <c r="AL4554">
        <v>78.489500378680205</v>
      </c>
      <c r="AM4554">
        <v>93.494669779464701</v>
      </c>
      <c r="AN4554">
        <v>0.99999997407365504</v>
      </c>
    </row>
    <row r="4555" spans="1:40" x14ac:dyDescent="0.25">
      <c r="A4555" t="str">
        <f>"20190303162351961"</f>
        <v>20190303162351961</v>
      </c>
      <c r="B4555" t="str">
        <f>"1551601431949348"</f>
        <v>1551601431949348</v>
      </c>
      <c r="C4555" t="s">
        <v>40</v>
      </c>
      <c r="D4555">
        <v>5.1660339999999998</v>
      </c>
      <c r="E4555">
        <v>0.53024930000000003</v>
      </c>
      <c r="F4555" t="s">
        <v>42</v>
      </c>
      <c r="G4555">
        <v>-390.85300000000001</v>
      </c>
      <c r="H4555">
        <v>0.87653239999999999</v>
      </c>
      <c r="I4555">
        <v>140.53370000000001</v>
      </c>
      <c r="J4555">
        <v>-390.43709999999999</v>
      </c>
      <c r="K4555">
        <v>1.1211169999999999</v>
      </c>
      <c r="L4555">
        <v>140.50909999999999</v>
      </c>
      <c r="M4555">
        <v>-0.9997144</v>
      </c>
      <c r="N4555">
        <v>-1.345797E-2</v>
      </c>
      <c r="O4555">
        <v>1.9748849999999998E-2</v>
      </c>
      <c r="P4555">
        <v>-0.98130640000000002</v>
      </c>
      <c r="Q4555">
        <v>0.18670890000000001</v>
      </c>
      <c r="R4555">
        <v>-4.666667E-2</v>
      </c>
      <c r="S4555">
        <v>-3.2800289999999999</v>
      </c>
      <c r="T4555">
        <v>-1.1501060000000001</v>
      </c>
      <c r="U4555">
        <v>0.1390991</v>
      </c>
      <c r="V4555">
        <v>-6.6104650000000001E-2</v>
      </c>
      <c r="W4555">
        <v>0.19986190000000001</v>
      </c>
      <c r="X4555">
        <v>0.97759160000000001</v>
      </c>
      <c r="Y4555">
        <v>2.2331739999999999E-2</v>
      </c>
      <c r="Z4555">
        <v>-2.5068999999999998E-3</v>
      </c>
      <c r="AA4555">
        <v>0.99974750000000001</v>
      </c>
      <c r="AB4555">
        <v>28</v>
      </c>
      <c r="AC4555">
        <v>-0.41590000000002098</v>
      </c>
      <c r="AD4555">
        <v>-0.24458459999999899</v>
      </c>
      <c r="AE4555">
        <v>2.46000000000208E-2</v>
      </c>
      <c r="AF4555">
        <v>1.21823914942778E-2</v>
      </c>
      <c r="AG4555">
        <v>-0.24458459999999899</v>
      </c>
      <c r="AH4555">
        <v>0.30960349791592301</v>
      </c>
      <c r="AI4555">
        <v>128.286932245625</v>
      </c>
      <c r="AJ4555">
        <v>87.746667205616106</v>
      </c>
      <c r="AK4555">
        <v>0.39474594759345499</v>
      </c>
      <c r="AL4555">
        <v>78.471116211299005</v>
      </c>
      <c r="AM4555">
        <v>93.868446179899493</v>
      </c>
      <c r="AN4555">
        <v>0.99999997010689501</v>
      </c>
    </row>
    <row r="4556" spans="1:40" x14ac:dyDescent="0.25">
      <c r="A4556" t="str">
        <f>"20190303162351984"</f>
        <v>20190303162351984</v>
      </c>
      <c r="B4556" t="str">
        <f>"1551601431979604"</f>
        <v>1551601431979604</v>
      </c>
      <c r="C4556" t="s">
        <v>40</v>
      </c>
      <c r="D4556">
        <v>5.0319190000000003</v>
      </c>
      <c r="E4556">
        <v>0.45751629999999899</v>
      </c>
      <c r="F4556" t="s">
        <v>42</v>
      </c>
      <c r="G4556">
        <v>-391.10930000000002</v>
      </c>
      <c r="H4556">
        <v>0.88602510000000001</v>
      </c>
      <c r="I4556">
        <v>140.53299999999999</v>
      </c>
      <c r="J4556">
        <v>-390.72280000000001</v>
      </c>
      <c r="K4556">
        <v>1.1212150000000001</v>
      </c>
      <c r="L4556">
        <v>140.51439999999999</v>
      </c>
      <c r="M4556">
        <v>-0.99972190000000005</v>
      </c>
      <c r="N4556">
        <v>-1.3434400000000001E-2</v>
      </c>
      <c r="O4556">
        <v>1.9391499999999999E-2</v>
      </c>
      <c r="P4556">
        <v>-0.98088019999999998</v>
      </c>
      <c r="Q4556">
        <v>0.1868619</v>
      </c>
      <c r="R4556">
        <v>-5.437703E-2</v>
      </c>
      <c r="S4556">
        <v>-3.2810670000000002</v>
      </c>
      <c r="T4556">
        <v>-1.1474660000000001</v>
      </c>
      <c r="U4556">
        <v>0.11688229999999999</v>
      </c>
      <c r="V4556">
        <v>-7.3502199999999906E-2</v>
      </c>
      <c r="W4556">
        <v>0.1999647</v>
      </c>
      <c r="X4556">
        <v>0.97704230000000003</v>
      </c>
      <c r="Y4556">
        <v>1.6271859999999999E-2</v>
      </c>
      <c r="Z4556">
        <v>-3.4549590000000001E-3</v>
      </c>
      <c r="AA4556">
        <v>0.99986169999999996</v>
      </c>
      <c r="AB4556">
        <v>28</v>
      </c>
      <c r="AC4556">
        <v>-0.386500000000012</v>
      </c>
      <c r="AD4556">
        <v>-0.23518990000000001</v>
      </c>
      <c r="AE4556">
        <v>1.8599999999992099E-2</v>
      </c>
      <c r="AF4556">
        <v>8.10629356998082E-3</v>
      </c>
      <c r="AG4556">
        <v>-0.23518990000000001</v>
      </c>
      <c r="AH4556">
        <v>0.28244426954593899</v>
      </c>
      <c r="AI4556">
        <v>129.772377391166</v>
      </c>
      <c r="AJ4556">
        <v>88.356033402302401</v>
      </c>
      <c r="AK4556">
        <v>0.36763401156148701</v>
      </c>
      <c r="AL4556">
        <v>78.465105853750501</v>
      </c>
      <c r="AM4556">
        <v>94.3022170560197</v>
      </c>
      <c r="AN4556">
        <v>1.0000000553201001</v>
      </c>
    </row>
    <row r="4557" spans="1:40" x14ac:dyDescent="0.25">
      <c r="A4557" t="str">
        <f>"20190303162352006"</f>
        <v>20190303162352006</v>
      </c>
      <c r="B4557" t="str">
        <f>"1551601431999124"</f>
        <v>1551601431999124</v>
      </c>
      <c r="C4557" t="s">
        <v>40</v>
      </c>
      <c r="D4557">
        <v>5.1071710000000001</v>
      </c>
      <c r="E4557">
        <v>0.4378958</v>
      </c>
      <c r="F4557" t="s">
        <v>55</v>
      </c>
      <c r="G4557">
        <v>-400.7199</v>
      </c>
      <c r="H4557" s="1">
        <v>-5.3602419999999998E-6</v>
      </c>
      <c r="I4557">
        <v>138.92019999999999</v>
      </c>
      <c r="J4557">
        <v>-391.00459999999998</v>
      </c>
      <c r="K4557">
        <v>1.121299</v>
      </c>
      <c r="L4557">
        <v>140.51929999999999</v>
      </c>
      <c r="M4557">
        <v>-0.99973109999999998</v>
      </c>
      <c r="N4557">
        <v>-1.341317E-2</v>
      </c>
      <c r="O4557">
        <v>1.891872E-2</v>
      </c>
      <c r="P4557">
        <v>-0.98050499999999996</v>
      </c>
      <c r="Q4557">
        <v>0.18626200000000001</v>
      </c>
      <c r="R4557">
        <v>-6.2582620000000005E-2</v>
      </c>
      <c r="S4557">
        <v>-3.0972900000000001</v>
      </c>
      <c r="T4557">
        <v>-0.34737610000000002</v>
      </c>
      <c r="U4557">
        <v>-0.49391170000000001</v>
      </c>
      <c r="V4557">
        <v>-8.1280430000000001E-2</v>
      </c>
      <c r="W4557">
        <v>0.19931479999999999</v>
      </c>
      <c r="X4557">
        <v>0.97655879999999995</v>
      </c>
      <c r="Y4557">
        <v>-0.17484140000000001</v>
      </c>
      <c r="Z4557">
        <v>-1.2748560000000001E-2</v>
      </c>
      <c r="AA4557">
        <v>0.98451409999999995</v>
      </c>
      <c r="AB4557">
        <v>28</v>
      </c>
      <c r="AC4557">
        <v>-9.7153000000000098</v>
      </c>
      <c r="AD4557">
        <v>-1.1213043602420001</v>
      </c>
      <c r="AE4557">
        <v>-1.59909999999999</v>
      </c>
      <c r="AF4557">
        <v>-1.75980738619018</v>
      </c>
      <c r="AG4557">
        <v>-1.1213043602420001</v>
      </c>
      <c r="AH4557">
        <v>9.5593249897512909</v>
      </c>
      <c r="AI4557">
        <v>96.580609896035199</v>
      </c>
      <c r="AJ4557">
        <v>100.430977357622</v>
      </c>
      <c r="AK4557">
        <v>9.7844233230411106</v>
      </c>
      <c r="AL4557">
        <v>78.503106657657099</v>
      </c>
      <c r="AM4557">
        <v>94.757845875896294</v>
      </c>
      <c r="AN4557">
        <v>0.99999999382873195</v>
      </c>
    </row>
    <row r="4558" spans="1:40" x14ac:dyDescent="0.25">
      <c r="A4558" t="str">
        <f>"20190303162352029"</f>
        <v>20190303162352029</v>
      </c>
      <c r="B4558" t="str">
        <f>"1551601432019620"</f>
        <v>1551601432019620</v>
      </c>
      <c r="C4558" t="s">
        <v>40</v>
      </c>
      <c r="D4558">
        <v>5.0688209999999998</v>
      </c>
      <c r="E4558">
        <v>0.43277339999999997</v>
      </c>
      <c r="F4558" t="s">
        <v>55</v>
      </c>
      <c r="G4558">
        <v>-402.06099999999998</v>
      </c>
      <c r="H4558" s="1">
        <v>-5.5715290000000001E-6</v>
      </c>
      <c r="I4558">
        <v>138.09899999999999</v>
      </c>
      <c r="J4558">
        <v>-391.28269999999998</v>
      </c>
      <c r="K4558">
        <v>1.121375</v>
      </c>
      <c r="L4558">
        <v>140.524</v>
      </c>
      <c r="M4558">
        <v>-0.99974189999999996</v>
      </c>
      <c r="N4558">
        <v>-1.3394120000000001E-2</v>
      </c>
      <c r="O4558">
        <v>1.8359420000000001E-2</v>
      </c>
      <c r="P4558">
        <v>-0.98025910000000005</v>
      </c>
      <c r="Q4558">
        <v>0.1852897</v>
      </c>
      <c r="R4558">
        <v>-6.8991590000000005E-2</v>
      </c>
      <c r="S4558">
        <v>-3.0759280000000002</v>
      </c>
      <c r="T4558">
        <v>-0.31195260000000002</v>
      </c>
      <c r="U4558">
        <v>-0.67333980000000004</v>
      </c>
      <c r="V4558">
        <v>-8.7172490000000005E-2</v>
      </c>
      <c r="W4558">
        <v>0.19829840000000001</v>
      </c>
      <c r="X4558">
        <v>0.9762575</v>
      </c>
      <c r="Y4558">
        <v>-0.2303907</v>
      </c>
      <c r="Z4558">
        <v>-1.4677000000000001E-2</v>
      </c>
      <c r="AA4558">
        <v>0.97298750000000001</v>
      </c>
      <c r="AB4558">
        <v>28</v>
      </c>
      <c r="AC4558">
        <v>-10.7783</v>
      </c>
      <c r="AD4558">
        <v>-1.1213805715289999</v>
      </c>
      <c r="AE4558">
        <v>-2.42500000000001</v>
      </c>
      <c r="AF4558">
        <v>-2.5957484953469301</v>
      </c>
      <c r="AG4558">
        <v>-1.1213805715289999</v>
      </c>
      <c r="AH4558">
        <v>10.6225146398404</v>
      </c>
      <c r="AI4558">
        <v>95.855158373705706</v>
      </c>
      <c r="AJ4558">
        <v>103.731859569157</v>
      </c>
      <c r="AK4558">
        <v>10.9924165637462</v>
      </c>
      <c r="AL4558">
        <v>78.562528319540405</v>
      </c>
      <c r="AM4558">
        <v>95.102551970374407</v>
      </c>
      <c r="AN4558">
        <v>1.0000000023808</v>
      </c>
    </row>
    <row r="4559" spans="1:40" x14ac:dyDescent="0.25">
      <c r="A4559" t="str">
        <f>"20190303162352054"</f>
        <v>20190303162352054</v>
      </c>
      <c r="B4559" t="str">
        <f>"1551601432039140"</f>
        <v>1551601432039140</v>
      </c>
      <c r="C4559" t="s">
        <v>40</v>
      </c>
      <c r="D4559">
        <v>5.0653610000000002</v>
      </c>
      <c r="E4559">
        <v>0.43110619999999999</v>
      </c>
      <c r="F4559" t="s">
        <v>55</v>
      </c>
      <c r="G4559">
        <v>-401.93150000000003</v>
      </c>
      <c r="H4559" s="1">
        <v>-5.464111E-6</v>
      </c>
      <c r="I4559">
        <v>137.99189999999999</v>
      </c>
      <c r="J4559">
        <v>-391.56790000000001</v>
      </c>
      <c r="K4559">
        <v>1.121437</v>
      </c>
      <c r="L4559">
        <v>140.52850000000001</v>
      </c>
      <c r="M4559">
        <v>-0.99975369999999997</v>
      </c>
      <c r="N4559">
        <v>-1.3376320000000001E-2</v>
      </c>
      <c r="O4559">
        <v>1.770501E-2</v>
      </c>
      <c r="P4559">
        <v>-0.9795566</v>
      </c>
      <c r="Q4559">
        <v>0.186478</v>
      </c>
      <c r="R4559">
        <v>-7.5463569999999994E-2</v>
      </c>
      <c r="S4559">
        <v>-3.0701290000000001</v>
      </c>
      <c r="T4559">
        <v>-0.32330199999999998</v>
      </c>
      <c r="U4559">
        <v>-0.73001099999999997</v>
      </c>
      <c r="V4559">
        <v>-9.3020900000000004E-2</v>
      </c>
      <c r="W4559">
        <v>0.19944000000000001</v>
      </c>
      <c r="X4559">
        <v>0.97548489999999999</v>
      </c>
      <c r="Y4559">
        <v>-0.2469818</v>
      </c>
      <c r="Z4559">
        <v>-1.6072980000000001E-2</v>
      </c>
      <c r="AA4559">
        <v>0.96888680000000005</v>
      </c>
      <c r="AB4559">
        <v>28</v>
      </c>
      <c r="AC4559">
        <v>-10.3636</v>
      </c>
      <c r="AD4559">
        <v>-1.1214424641109999</v>
      </c>
      <c r="AE4559">
        <v>-2.5366000000000199</v>
      </c>
      <c r="AF4559">
        <v>-2.6899887048974902</v>
      </c>
      <c r="AG4559">
        <v>-1.1214424641109999</v>
      </c>
      <c r="AH4559">
        <v>10.2043282219111</v>
      </c>
      <c r="AI4559">
        <v>96.065961515505407</v>
      </c>
      <c r="AJ4559">
        <v>104.767921308631</v>
      </c>
      <c r="AK4559">
        <v>10.612350677078</v>
      </c>
      <c r="AL4559">
        <v>78.495786275401599</v>
      </c>
      <c r="AM4559">
        <v>95.447175796219</v>
      </c>
      <c r="AN4559">
        <v>0.99999999578240995</v>
      </c>
    </row>
    <row r="4560" spans="1:40" x14ac:dyDescent="0.25">
      <c r="A4560" t="str">
        <f>"20190303162352073"</f>
        <v>20190303162352073</v>
      </c>
      <c r="B4560" t="str">
        <f>"1551601432059636"</f>
        <v>1551601432059636</v>
      </c>
      <c r="C4560" t="s">
        <v>40</v>
      </c>
      <c r="D4560">
        <v>5.0277640000000003</v>
      </c>
      <c r="E4560">
        <v>0.43093350000000002</v>
      </c>
      <c r="F4560" t="s">
        <v>55</v>
      </c>
      <c r="G4560">
        <v>-402.02370000000002</v>
      </c>
      <c r="H4560" s="1">
        <v>-5.4799689999999901E-6</v>
      </c>
      <c r="I4560">
        <v>137.9383</v>
      </c>
      <c r="J4560">
        <v>-391.84500000000003</v>
      </c>
      <c r="K4560">
        <v>1.1214759999999999</v>
      </c>
      <c r="L4560">
        <v>140.5325</v>
      </c>
      <c r="M4560">
        <v>-0.99976609999999999</v>
      </c>
      <c r="N4560">
        <v>-1.3360739999999999E-2</v>
      </c>
      <c r="O4560">
        <v>1.700639E-2</v>
      </c>
      <c r="P4560">
        <v>-0.97907200000000005</v>
      </c>
      <c r="Q4560">
        <v>0.1859285</v>
      </c>
      <c r="R4560">
        <v>-8.2755229999999999E-2</v>
      </c>
      <c r="S4560">
        <v>-3.066681</v>
      </c>
      <c r="T4560">
        <v>-0.32891629999999999</v>
      </c>
      <c r="U4560">
        <v>-0.75968930000000001</v>
      </c>
      <c r="V4560">
        <v>-9.9639249999999999E-2</v>
      </c>
      <c r="W4560">
        <v>0.19885030000000001</v>
      </c>
      <c r="X4560">
        <v>0.97495160000000003</v>
      </c>
      <c r="Y4560">
        <v>-0.25529669999999999</v>
      </c>
      <c r="Z4560">
        <v>-1.675594E-2</v>
      </c>
      <c r="AA4560">
        <v>0.96671750000000001</v>
      </c>
      <c r="AB4560">
        <v>28</v>
      </c>
      <c r="AC4560">
        <v>-10.1786999999999</v>
      </c>
      <c r="AD4560">
        <v>-1.1214814799689901</v>
      </c>
      <c r="AE4560">
        <v>-2.5941999999999998</v>
      </c>
      <c r="AF4560">
        <v>-2.7357581799733501</v>
      </c>
      <c r="AG4560">
        <v>-1.1214814799689901</v>
      </c>
      <c r="AH4560">
        <v>10.0189000868418</v>
      </c>
      <c r="AI4560">
        <v>96.163103859269995</v>
      </c>
      <c r="AJ4560">
        <v>105.272847015293</v>
      </c>
      <c r="AK4560">
        <v>10.446073543649</v>
      </c>
      <c r="AL4560">
        <v>78.530264496275706</v>
      </c>
      <c r="AM4560">
        <v>95.835321716469196</v>
      </c>
      <c r="AN4560">
        <v>1.0000000221466001</v>
      </c>
    </row>
    <row r="4561" spans="1:40" x14ac:dyDescent="0.25">
      <c r="A4561" t="str">
        <f>"20190303162352095"</f>
        <v>20190303162352095</v>
      </c>
      <c r="B4561" t="str">
        <f>"1551601432088916"</f>
        <v>1551601432088916</v>
      </c>
      <c r="C4561" t="s">
        <v>40</v>
      </c>
      <c r="D4561">
        <v>4.992591</v>
      </c>
      <c r="E4561">
        <v>0.43224109999999999</v>
      </c>
      <c r="F4561" t="s">
        <v>55</v>
      </c>
      <c r="G4561">
        <v>-402.07459999999998</v>
      </c>
      <c r="H4561" s="1">
        <v>-5.4978019999999997E-6</v>
      </c>
      <c r="I4561">
        <v>137.9282</v>
      </c>
      <c r="J4561">
        <v>-392.12349999999998</v>
      </c>
      <c r="K4561">
        <v>1.1214999999999999</v>
      </c>
      <c r="L4561">
        <v>140.53639999999999</v>
      </c>
      <c r="M4561">
        <v>-0.99977870000000002</v>
      </c>
      <c r="N4561">
        <v>-1.3346729999999999E-2</v>
      </c>
      <c r="O4561">
        <v>1.6263119999999999E-2</v>
      </c>
      <c r="P4561">
        <v>-0.97878480000000001</v>
      </c>
      <c r="Q4561">
        <v>0.18407989999999999</v>
      </c>
      <c r="R4561">
        <v>-8.997318E-2</v>
      </c>
      <c r="S4561">
        <v>-3.0619200000000002</v>
      </c>
      <c r="T4561">
        <v>-0.33568219999999999</v>
      </c>
      <c r="U4561">
        <v>-0.77952580000000005</v>
      </c>
      <c r="V4561">
        <v>-0.10613549999999999</v>
      </c>
      <c r="W4561">
        <v>0.19696859999999999</v>
      </c>
      <c r="X4561">
        <v>0.97464790000000001</v>
      </c>
      <c r="Y4561">
        <v>-0.26071830000000001</v>
      </c>
      <c r="Z4561">
        <v>-1.733753E-2</v>
      </c>
      <c r="AA4561">
        <v>0.96525930000000004</v>
      </c>
      <c r="AB4561">
        <v>28</v>
      </c>
      <c r="AC4561">
        <v>-9.9510999999999896</v>
      </c>
      <c r="AD4561">
        <v>-1.121505497802</v>
      </c>
      <c r="AE4561">
        <v>-2.6081999999999801</v>
      </c>
      <c r="AF4561">
        <v>-2.7371735271655999</v>
      </c>
      <c r="AG4561">
        <v>-1.121505497802</v>
      </c>
      <c r="AH4561">
        <v>9.7909946760448001</v>
      </c>
      <c r="AI4561">
        <v>96.295124961972604</v>
      </c>
      <c r="AJ4561">
        <v>105.618883013857</v>
      </c>
      <c r="AK4561">
        <v>10.228072655478799</v>
      </c>
      <c r="AL4561">
        <v>78.640252715218296</v>
      </c>
      <c r="AM4561">
        <v>96.214806779299906</v>
      </c>
      <c r="AN4561">
        <v>0.99999995136030795</v>
      </c>
    </row>
    <row r="4562" spans="1:40" x14ac:dyDescent="0.25">
      <c r="A4562" t="str">
        <f>"20190303162352117"</f>
        <v>20190303162352117</v>
      </c>
      <c r="B4562" t="str">
        <f>"1551601432109412"</f>
        <v>1551601432109412</v>
      </c>
      <c r="C4562" t="s">
        <v>40</v>
      </c>
      <c r="D4562">
        <v>5.1006419999999997</v>
      </c>
      <c r="E4562">
        <v>0.43312299999999998</v>
      </c>
      <c r="F4562" t="s">
        <v>55</v>
      </c>
      <c r="G4562">
        <v>-402.0634</v>
      </c>
      <c r="H4562" s="1">
        <v>-5.5139940000000003E-6</v>
      </c>
      <c r="I4562">
        <v>137.9735</v>
      </c>
      <c r="J4562">
        <v>-392.39229999999998</v>
      </c>
      <c r="K4562">
        <v>1.12151</v>
      </c>
      <c r="L4562">
        <v>140.54</v>
      </c>
      <c r="M4562">
        <v>-0.99979039999999997</v>
      </c>
      <c r="N4562">
        <v>-1.3334540000000001E-2</v>
      </c>
      <c r="O4562">
        <v>1.552796E-2</v>
      </c>
      <c r="P4562">
        <v>-0.9785971</v>
      </c>
      <c r="Q4562">
        <v>0.18127650000000001</v>
      </c>
      <c r="R4562">
        <v>-9.7398310000000002E-2</v>
      </c>
      <c r="S4562">
        <v>-3.057404</v>
      </c>
      <c r="T4562">
        <v>-0.34496179999999999</v>
      </c>
      <c r="U4562">
        <v>-0.78833009999999903</v>
      </c>
      <c r="V4562">
        <v>-0.1128424</v>
      </c>
      <c r="W4562">
        <v>0.19413749999999999</v>
      </c>
      <c r="X4562">
        <v>0.97446250000000001</v>
      </c>
      <c r="Y4562">
        <v>-0.2628511</v>
      </c>
      <c r="Z4562">
        <v>-1.7848900000000001E-2</v>
      </c>
      <c r="AA4562">
        <v>0.96467130000000001</v>
      </c>
      <c r="AB4562">
        <v>28</v>
      </c>
      <c r="AC4562">
        <v>-9.6711000000000205</v>
      </c>
      <c r="AD4562">
        <v>-1.1215155139940001</v>
      </c>
      <c r="AE4562">
        <v>-2.5664999999999898</v>
      </c>
      <c r="AF4562">
        <v>-2.6826732171000902</v>
      </c>
      <c r="AG4562">
        <v>-1.1215155139940001</v>
      </c>
      <c r="AH4562">
        <v>9.5105936749709201</v>
      </c>
      <c r="AI4562">
        <v>96.475026967295605</v>
      </c>
      <c r="AJ4562">
        <v>105.75227902653999</v>
      </c>
      <c r="AK4562">
        <v>9.9451457851693803</v>
      </c>
      <c r="AL4562">
        <v>78.805656505775801</v>
      </c>
      <c r="AM4562">
        <v>96.605409888519802</v>
      </c>
      <c r="AN4562">
        <v>0.99999997002512897</v>
      </c>
    </row>
    <row r="4563" spans="1:40" x14ac:dyDescent="0.25">
      <c r="A4563" t="str">
        <f>"20190303162352140"</f>
        <v>20190303162352140</v>
      </c>
      <c r="B4563" t="str">
        <f>"1551601432128932"</f>
        <v>1551601432128932</v>
      </c>
      <c r="C4563" t="s">
        <v>40</v>
      </c>
      <c r="D4563">
        <v>5.1062200000000004</v>
      </c>
      <c r="E4563">
        <v>0.4341911</v>
      </c>
      <c r="F4563" t="s">
        <v>55</v>
      </c>
      <c r="G4563">
        <v>-401.9171</v>
      </c>
      <c r="H4563" s="1">
        <v>-5.4780899999999901E-6</v>
      </c>
      <c r="I4563">
        <v>138.03550000000001</v>
      </c>
      <c r="J4563">
        <v>-392.6746</v>
      </c>
      <c r="K4563">
        <v>1.121521</v>
      </c>
      <c r="L4563">
        <v>140.54339999999999</v>
      </c>
      <c r="M4563">
        <v>-0.99980259999999999</v>
      </c>
      <c r="N4563">
        <v>-1.332301E-2</v>
      </c>
      <c r="O4563">
        <v>1.4751439999999999E-2</v>
      </c>
      <c r="P4563">
        <v>-0.97802080000000002</v>
      </c>
      <c r="Q4563">
        <v>0.17968990000000001</v>
      </c>
      <c r="R4563">
        <v>-0.1057685</v>
      </c>
      <c r="S4563">
        <v>-3.0522770000000001</v>
      </c>
      <c r="T4563">
        <v>-0.35939529999999997</v>
      </c>
      <c r="U4563">
        <v>-0.80256649999999996</v>
      </c>
      <c r="V4563">
        <v>-0.120447</v>
      </c>
      <c r="W4563">
        <v>0.1925183</v>
      </c>
      <c r="X4563">
        <v>0.97387330000000005</v>
      </c>
      <c r="Y4563">
        <v>-0.26653059999999901</v>
      </c>
      <c r="Z4563">
        <v>-1.8700910000000001E-2</v>
      </c>
      <c r="AA4563">
        <v>0.96364499999999997</v>
      </c>
      <c r="AB4563">
        <v>28</v>
      </c>
      <c r="AC4563">
        <v>-9.2424999999999997</v>
      </c>
      <c r="AD4563">
        <v>-1.1215264780900001</v>
      </c>
      <c r="AE4563">
        <v>-2.50789999999997</v>
      </c>
      <c r="AF4563">
        <v>-2.60820852744857</v>
      </c>
      <c r="AG4563">
        <v>-1.1215264780900001</v>
      </c>
      <c r="AH4563">
        <v>9.0799666969509598</v>
      </c>
      <c r="AI4563">
        <v>96.770234343800894</v>
      </c>
      <c r="AJ4563">
        <v>106.026642652569</v>
      </c>
      <c r="AK4563">
        <v>9.5134835145414005</v>
      </c>
      <c r="AL4563">
        <v>78.900213969409606</v>
      </c>
      <c r="AM4563">
        <v>97.050441810081296</v>
      </c>
      <c r="AN4563">
        <v>0.99999999004839002</v>
      </c>
    </row>
    <row r="4564" spans="1:40" x14ac:dyDescent="0.25">
      <c r="A4564" t="str">
        <f>"20190303162352163"</f>
        <v>20190303162352163</v>
      </c>
      <c r="B4564" t="str">
        <f>"1551601432149428"</f>
        <v>1551601432149428</v>
      </c>
      <c r="C4564" t="s">
        <v>40</v>
      </c>
      <c r="D4564">
        <v>5.1124619999999998</v>
      </c>
      <c r="E4564">
        <v>0.43527159999999898</v>
      </c>
      <c r="F4564" t="s">
        <v>55</v>
      </c>
      <c r="G4564">
        <v>-402.08730000000003</v>
      </c>
      <c r="H4564" s="1">
        <v>-5.5438859999999996E-6</v>
      </c>
      <c r="I4564">
        <v>138.01480000000001</v>
      </c>
      <c r="J4564">
        <v>-392.96350000000001</v>
      </c>
      <c r="K4564">
        <v>1.121523</v>
      </c>
      <c r="L4564">
        <v>140.54679999999999</v>
      </c>
      <c r="M4564">
        <v>-0.99981410000000004</v>
      </c>
      <c r="N4564">
        <v>-1.331247E-2</v>
      </c>
      <c r="O4564">
        <v>1.396E-2</v>
      </c>
      <c r="P4564">
        <v>-0.97689230000000005</v>
      </c>
      <c r="Q4564">
        <v>0.1793236</v>
      </c>
      <c r="R4564">
        <v>-0.1162953</v>
      </c>
      <c r="S4564">
        <v>-3.0456240000000001</v>
      </c>
      <c r="T4564">
        <v>-0.36288619999999999</v>
      </c>
      <c r="U4564">
        <v>-0.81817629999999997</v>
      </c>
      <c r="V4564">
        <v>-0.130185199999999</v>
      </c>
      <c r="W4564">
        <v>0.1921117</v>
      </c>
      <c r="X4564">
        <v>0.9726998</v>
      </c>
      <c r="Y4564">
        <v>-0.2708255</v>
      </c>
      <c r="Z4564">
        <v>-1.9088770000000001E-2</v>
      </c>
      <c r="AA4564">
        <v>0.96243920000000005</v>
      </c>
      <c r="AB4564">
        <v>28</v>
      </c>
      <c r="AC4564">
        <v>-9.1238000000000099</v>
      </c>
      <c r="AD4564">
        <v>-1.1215285438860001</v>
      </c>
      <c r="AE4564">
        <v>-2.53199999999998</v>
      </c>
      <c r="AF4564">
        <v>-2.6223421518098</v>
      </c>
      <c r="AG4564">
        <v>-1.1215285438860001</v>
      </c>
      <c r="AH4564">
        <v>8.9618294415781108</v>
      </c>
      <c r="AI4564">
        <v>96.848910988470905</v>
      </c>
      <c r="AJ4564">
        <v>106.310128721642</v>
      </c>
      <c r="AK4564">
        <v>9.4047270867285597</v>
      </c>
      <c r="AL4564">
        <v>78.923953644689007</v>
      </c>
      <c r="AM4564">
        <v>97.623109796402503</v>
      </c>
      <c r="AN4564">
        <v>0.99999999624798497</v>
      </c>
    </row>
    <row r="4565" spans="1:40" x14ac:dyDescent="0.25">
      <c r="A4565" t="str">
        <f>"20190303162352185"</f>
        <v>20190303162352185</v>
      </c>
      <c r="B4565" t="str">
        <f>"1551601432179688"</f>
        <v>1551601432179688</v>
      </c>
      <c r="C4565" t="s">
        <v>40</v>
      </c>
      <c r="D4565">
        <v>5.1359199999999996</v>
      </c>
      <c r="E4565">
        <v>0.43677480000000002</v>
      </c>
      <c r="F4565" t="s">
        <v>55</v>
      </c>
      <c r="G4565">
        <v>-402.25959999999998</v>
      </c>
      <c r="H4565" s="1">
        <v>-5.6033579999999997E-6</v>
      </c>
      <c r="I4565">
        <v>137.9786</v>
      </c>
      <c r="J4565">
        <v>-393.23939999999999</v>
      </c>
      <c r="K4565">
        <v>1.121513</v>
      </c>
      <c r="L4565">
        <v>140.5497</v>
      </c>
      <c r="M4565">
        <v>-0.9998245</v>
      </c>
      <c r="N4565">
        <v>-1.3303540000000001E-2</v>
      </c>
      <c r="O4565">
        <v>1.320344E-2</v>
      </c>
      <c r="P4565">
        <v>-0.97557470000000002</v>
      </c>
      <c r="Q4565">
        <v>0.1790281</v>
      </c>
      <c r="R4565">
        <v>-0.1272935</v>
      </c>
      <c r="S4565">
        <v>-3.0383610000000001</v>
      </c>
      <c r="T4565">
        <v>-0.36656369999999999</v>
      </c>
      <c r="U4565">
        <v>-0.83938599999999997</v>
      </c>
      <c r="V4565">
        <v>-0.14042789999999999</v>
      </c>
      <c r="W4565">
        <v>0.19177469999999999</v>
      </c>
      <c r="X4565">
        <v>0.97134050000000005</v>
      </c>
      <c r="Y4565">
        <v>-0.27683550000000001</v>
      </c>
      <c r="Z4565">
        <v>-1.9605790000000001E-2</v>
      </c>
      <c r="AA4565">
        <v>0.9607173</v>
      </c>
      <c r="AB4565">
        <v>28</v>
      </c>
      <c r="AC4565">
        <v>-9.0201999999999796</v>
      </c>
      <c r="AD4565">
        <v>-1.121518603358</v>
      </c>
      <c r="AE4565">
        <v>-2.5710999999999999</v>
      </c>
      <c r="AF4565">
        <v>-2.6520664806343599</v>
      </c>
      <c r="AG4565">
        <v>-1.121518603358</v>
      </c>
      <c r="AH4565">
        <v>8.8588056825582804</v>
      </c>
      <c r="AI4565">
        <v>96.915123471335306</v>
      </c>
      <c r="AJ4565">
        <v>106.666157151498</v>
      </c>
      <c r="AK4565">
        <v>9.3150254275932802</v>
      </c>
      <c r="AL4565">
        <v>78.943627618377405</v>
      </c>
      <c r="AM4565">
        <v>98.226325462361899</v>
      </c>
      <c r="AN4565">
        <v>0.99999994879937304</v>
      </c>
    </row>
    <row r="4566" spans="1:40" x14ac:dyDescent="0.25">
      <c r="A4566" t="str">
        <f>"20190303162352207"</f>
        <v>20190303162352207</v>
      </c>
      <c r="B4566" t="str">
        <f>"1551601432199203"</f>
        <v>1551601432199203</v>
      </c>
      <c r="C4566" t="s">
        <v>40</v>
      </c>
      <c r="D4566">
        <v>5.0991749999999998</v>
      </c>
      <c r="E4566">
        <v>0.43801709999999999</v>
      </c>
      <c r="F4566" t="s">
        <v>55</v>
      </c>
      <c r="G4566">
        <v>-402.41329999999999</v>
      </c>
      <c r="H4566" s="1">
        <v>-5.6553970000000002E-6</v>
      </c>
      <c r="I4566">
        <v>137.94399999999999</v>
      </c>
      <c r="J4566">
        <v>-393.5138</v>
      </c>
      <c r="K4566">
        <v>1.1215090000000001</v>
      </c>
      <c r="L4566">
        <v>140.55240000000001</v>
      </c>
      <c r="M4566">
        <v>-0.99983420000000001</v>
      </c>
      <c r="N4566">
        <v>-1.329556E-2</v>
      </c>
      <c r="O4566">
        <v>1.24487E-2</v>
      </c>
      <c r="P4566">
        <v>-0.97407270000000001</v>
      </c>
      <c r="Q4566">
        <v>0.1779019</v>
      </c>
      <c r="R4566">
        <v>-0.13976279999999999</v>
      </c>
      <c r="S4566">
        <v>-3.0307919999999999</v>
      </c>
      <c r="T4566">
        <v>-0.37051990000000001</v>
      </c>
      <c r="U4566">
        <v>-0.86083980000000004</v>
      </c>
      <c r="V4566">
        <v>-0.15214229999999901</v>
      </c>
      <c r="W4566">
        <v>0.1906032</v>
      </c>
      <c r="X4566">
        <v>0.96980569999999999</v>
      </c>
      <c r="Y4566">
        <v>-0.28293239999999997</v>
      </c>
      <c r="Z4566">
        <v>-2.0150410000000001E-2</v>
      </c>
      <c r="AA4566">
        <v>0.95892820000000001</v>
      </c>
      <c r="AB4566">
        <v>28</v>
      </c>
      <c r="AC4566">
        <v>-8.8994999999999802</v>
      </c>
      <c r="AD4566">
        <v>-1.1215146553969999</v>
      </c>
      <c r="AE4566">
        <v>-2.6084000000000098</v>
      </c>
      <c r="AF4566">
        <v>-2.6798035121876</v>
      </c>
      <c r="AG4566">
        <v>-1.1215146553969999</v>
      </c>
      <c r="AH4566">
        <v>8.7385377257127796</v>
      </c>
      <c r="AI4566">
        <v>96.995296257697802</v>
      </c>
      <c r="AJ4566">
        <v>107.048942732008</v>
      </c>
      <c r="AK4566">
        <v>9.2087558100923008</v>
      </c>
      <c r="AL4566">
        <v>79.012011404266104</v>
      </c>
      <c r="AM4566">
        <v>98.915844666838197</v>
      </c>
      <c r="AN4566">
        <v>0.999999977526009</v>
      </c>
    </row>
    <row r="4567" spans="1:40" x14ac:dyDescent="0.25">
      <c r="A4567" t="str">
        <f>"20190303162352229"</f>
        <v>20190303162352229</v>
      </c>
      <c r="B4567" t="str">
        <f>"1551601432219701"</f>
        <v>1551601432219701</v>
      </c>
      <c r="C4567" t="s">
        <v>40</v>
      </c>
      <c r="D4567">
        <v>5.1337400000000004</v>
      </c>
      <c r="E4567">
        <v>0.43924960000000002</v>
      </c>
      <c r="F4567" t="s">
        <v>55</v>
      </c>
      <c r="G4567">
        <v>-402.56509999999997</v>
      </c>
      <c r="H4567" s="1">
        <v>-5.6962760000000002E-6</v>
      </c>
      <c r="I4567">
        <v>137.88740000000001</v>
      </c>
      <c r="J4567">
        <v>-393.78859999999997</v>
      </c>
      <c r="K4567">
        <v>1.1215079999999999</v>
      </c>
      <c r="L4567">
        <v>140.5549</v>
      </c>
      <c r="M4567">
        <v>-0.99984360000000005</v>
      </c>
      <c r="N4567">
        <v>-1.328842E-2</v>
      </c>
      <c r="O4567">
        <v>1.167614E-2</v>
      </c>
      <c r="P4567">
        <v>-0.97215079999999998</v>
      </c>
      <c r="Q4567">
        <v>0.17718889999999901</v>
      </c>
      <c r="R4567">
        <v>-0.153386299999999</v>
      </c>
      <c r="S4567">
        <v>-3.0205690000000001</v>
      </c>
      <c r="T4567">
        <v>-0.37426530000000002</v>
      </c>
      <c r="U4567">
        <v>-0.88935849999999905</v>
      </c>
      <c r="V4567">
        <v>-0.16499420000000001</v>
      </c>
      <c r="W4567">
        <v>0.18983549999999999</v>
      </c>
      <c r="X4567">
        <v>0.96785299999999996</v>
      </c>
      <c r="Y4567">
        <v>-0.29127429999999999</v>
      </c>
      <c r="Z4567">
        <v>-2.085095E-2</v>
      </c>
      <c r="AA4567">
        <v>0.95641229999999999</v>
      </c>
      <c r="AB4567">
        <v>28</v>
      </c>
      <c r="AC4567">
        <v>-8.7764999999999898</v>
      </c>
      <c r="AD4567">
        <v>-1.1215136962759999</v>
      </c>
      <c r="AE4567">
        <v>-2.66749999999998</v>
      </c>
      <c r="AF4567">
        <v>-2.7290085951295602</v>
      </c>
      <c r="AG4567">
        <v>-1.1215136962759999</v>
      </c>
      <c r="AH4567">
        <v>8.6159582691550796</v>
      </c>
      <c r="AI4567">
        <v>97.073738375107695</v>
      </c>
      <c r="AJ4567">
        <v>107.575016852197</v>
      </c>
      <c r="AK4567">
        <v>9.1071410321267994</v>
      </c>
      <c r="AL4567">
        <v>79.056815855651493</v>
      </c>
      <c r="AM4567">
        <v>99.6744632234428</v>
      </c>
      <c r="AN4567">
        <v>1.00000001635144</v>
      </c>
    </row>
    <row r="4568" spans="1:40" x14ac:dyDescent="0.25">
      <c r="A4568" t="str">
        <f>"20190303162352252"</f>
        <v>20190303162352252</v>
      </c>
      <c r="B4568" t="str">
        <f>"1551601432248980"</f>
        <v>1551601432248980</v>
      </c>
      <c r="C4568" t="s">
        <v>40</v>
      </c>
      <c r="D4568">
        <v>5.3448650000000004</v>
      </c>
      <c r="E4568">
        <v>0.43939470000000003</v>
      </c>
      <c r="F4568" t="s">
        <v>55</v>
      </c>
      <c r="G4568">
        <v>-402.76069999999999</v>
      </c>
      <c r="H4568" s="1">
        <v>-5.7464879999999996E-6</v>
      </c>
      <c r="I4568">
        <v>137.8091</v>
      </c>
      <c r="J4568">
        <v>-394.08479999999997</v>
      </c>
      <c r="K4568">
        <v>1.1215310000000001</v>
      </c>
      <c r="L4568">
        <v>140.5573</v>
      </c>
      <c r="M4568">
        <v>-0.99985360000000001</v>
      </c>
      <c r="N4568">
        <v>-1.3281950000000001E-2</v>
      </c>
      <c r="O4568">
        <v>1.08009E-2</v>
      </c>
      <c r="P4568">
        <v>-0.96976240000000002</v>
      </c>
      <c r="Q4568">
        <v>0.17668879999999901</v>
      </c>
      <c r="R4568">
        <v>-0.16835149999999999</v>
      </c>
      <c r="S4568">
        <v>-3.0091549999999998</v>
      </c>
      <c r="T4568">
        <v>-0.37614520000000001</v>
      </c>
      <c r="U4568">
        <v>-0.92089840000000001</v>
      </c>
      <c r="V4568">
        <v>-0.179093899999999</v>
      </c>
      <c r="W4568">
        <v>0.18926660000000001</v>
      </c>
      <c r="X4568">
        <v>0.96545510000000001</v>
      </c>
      <c r="Y4568">
        <v>-0.30049959999999998</v>
      </c>
      <c r="Z4568">
        <v>-2.1518570000000001E-2</v>
      </c>
      <c r="AA4568">
        <v>0.95353909999999997</v>
      </c>
      <c r="AB4568">
        <v>28</v>
      </c>
      <c r="AC4568">
        <v>-8.6759000000000093</v>
      </c>
      <c r="AD4568">
        <v>-1.1215367464879999</v>
      </c>
      <c r="AE4568">
        <v>-2.74819999999999</v>
      </c>
      <c r="AF4568">
        <v>-2.7992433728366399</v>
      </c>
      <c r="AG4568">
        <v>-1.1215367464879999</v>
      </c>
      <c r="AH4568">
        <v>8.5163701792982405</v>
      </c>
      <c r="AI4568">
        <v>97.131056633738893</v>
      </c>
      <c r="AJ4568">
        <v>108.195162939764</v>
      </c>
      <c r="AK4568">
        <v>9.0344988330805105</v>
      </c>
      <c r="AL4568">
        <v>79.090013200243305</v>
      </c>
      <c r="AM4568">
        <v>100.509029062417</v>
      </c>
      <c r="AN4568">
        <v>1.00000001050438</v>
      </c>
    </row>
    <row r="4569" spans="1:40" x14ac:dyDescent="0.25">
      <c r="A4569" t="str">
        <f>"20190303162352275"</f>
        <v>20190303162352275</v>
      </c>
      <c r="B4569" t="str">
        <f>"1551601432269476"</f>
        <v>1551601432269476</v>
      </c>
      <c r="C4569" t="s">
        <v>40</v>
      </c>
      <c r="D4569">
        <v>5.0867750000000003</v>
      </c>
      <c r="E4569">
        <v>0.35530260000000002</v>
      </c>
      <c r="F4569" t="s">
        <v>55</v>
      </c>
      <c r="G4569">
        <v>-403.05790000000002</v>
      </c>
      <c r="H4569" s="1">
        <v>-5.809999E-6</v>
      </c>
      <c r="I4569">
        <v>137.66290000000001</v>
      </c>
      <c r="J4569">
        <v>-394.35849999999999</v>
      </c>
      <c r="K4569">
        <v>1.1215820000000001</v>
      </c>
      <c r="L4569">
        <v>140.5592</v>
      </c>
      <c r="M4569">
        <v>-0.99986269999999999</v>
      </c>
      <c r="N4569">
        <v>-1.327685E-2</v>
      </c>
      <c r="O4569">
        <v>9.9251610000000001E-3</v>
      </c>
      <c r="P4569">
        <v>-0.96675679999999997</v>
      </c>
      <c r="Q4569">
        <v>0.1772465</v>
      </c>
      <c r="R4569">
        <v>-0.18429719999999999</v>
      </c>
      <c r="S4569">
        <v>-2.9940799999999999</v>
      </c>
      <c r="T4569">
        <v>-0.37422820000000001</v>
      </c>
      <c r="U4569">
        <v>-0.96575929999999999</v>
      </c>
      <c r="V4569">
        <v>-0.19418179999999999</v>
      </c>
      <c r="W4569">
        <v>0.18973760000000001</v>
      </c>
      <c r="X4569">
        <v>0.9624412</v>
      </c>
      <c r="Y4569">
        <v>-0.31388709999999997</v>
      </c>
      <c r="Z4569">
        <v>-2.2283560000000001E-2</v>
      </c>
      <c r="AA4569">
        <v>0.94919880000000001</v>
      </c>
      <c r="AB4569">
        <v>28</v>
      </c>
      <c r="AC4569">
        <v>-8.6994000000000202</v>
      </c>
      <c r="AD4569">
        <v>-1.121587809999</v>
      </c>
      <c r="AE4569">
        <v>-2.8962999999999899</v>
      </c>
      <c r="AF4569">
        <v>-2.9385368580389502</v>
      </c>
      <c r="AG4569">
        <v>-1.121587809999</v>
      </c>
      <c r="AH4569">
        <v>8.5423978759461203</v>
      </c>
      <c r="AI4569">
        <v>97.0774037216907</v>
      </c>
      <c r="AJ4569">
        <v>108.982929110855</v>
      </c>
      <c r="AK4569">
        <v>9.1030500137349897</v>
      </c>
      <c r="AL4569">
        <v>79.062528718993704</v>
      </c>
      <c r="AM4569">
        <v>101.406842413577</v>
      </c>
      <c r="AN4569">
        <v>0.99999999588122002</v>
      </c>
    </row>
    <row r="4570" spans="1:40" x14ac:dyDescent="0.25">
      <c r="A4570" t="str">
        <f>"20190303162352296"</f>
        <v>20190303162352296</v>
      </c>
      <c r="B4570" t="str">
        <f>"1551601432289972"</f>
        <v>1551601432289972</v>
      </c>
      <c r="C4570" t="s">
        <v>40</v>
      </c>
      <c r="D4570">
        <v>5.067812</v>
      </c>
      <c r="E4570">
        <v>0.34303410000000001</v>
      </c>
      <c r="F4570" t="s">
        <v>42</v>
      </c>
      <c r="G4570">
        <v>-395.17619999999999</v>
      </c>
      <c r="H4570">
        <v>1.0247729999999999</v>
      </c>
      <c r="I4570">
        <v>140.0779</v>
      </c>
      <c r="J4570">
        <v>-394.63139999999999</v>
      </c>
      <c r="K4570">
        <v>1.121651</v>
      </c>
      <c r="L4570">
        <v>140.5608</v>
      </c>
      <c r="M4570">
        <v>-0.99987190000000004</v>
      </c>
      <c r="N4570">
        <v>-1.327272E-2</v>
      </c>
      <c r="O4570">
        <v>8.9522349999999994E-3</v>
      </c>
      <c r="P4570">
        <v>-0.96400560000000002</v>
      </c>
      <c r="Q4570">
        <v>0.1772378</v>
      </c>
      <c r="R4570">
        <v>-0.19819229999999999</v>
      </c>
      <c r="S4570">
        <v>-2.8456730000000001</v>
      </c>
      <c r="T4570">
        <v>-0.33684330000000001</v>
      </c>
      <c r="U4570">
        <v>-1.6747590000000001</v>
      </c>
      <c r="V4570">
        <v>-0.2071432</v>
      </c>
      <c r="W4570">
        <v>0.1896351</v>
      </c>
      <c r="X4570">
        <v>0.95975529999999998</v>
      </c>
      <c r="Y4570">
        <v>-0.51183009999999995</v>
      </c>
      <c r="Z4570">
        <v>-3.2494849999999999E-2</v>
      </c>
      <c r="AA4570">
        <v>0.85847189999999995</v>
      </c>
      <c r="AB4570">
        <v>28</v>
      </c>
      <c r="AC4570">
        <v>-0.54480000000000905</v>
      </c>
      <c r="AD4570">
        <v>-9.6878000000000006E-2</v>
      </c>
      <c r="AE4570">
        <v>-0.4829</v>
      </c>
      <c r="AF4570">
        <v>-0.479271212677154</v>
      </c>
      <c r="AG4570">
        <v>-9.6878000000000006E-2</v>
      </c>
      <c r="AH4570">
        <v>0.53105078587985599</v>
      </c>
      <c r="AI4570">
        <v>97.712569940902597</v>
      </c>
      <c r="AJ4570">
        <v>132.066125858791</v>
      </c>
      <c r="AK4570">
        <v>0.72187338181196503</v>
      </c>
      <c r="AL4570">
        <v>79.0685102443543</v>
      </c>
      <c r="AM4570">
        <v>102.179281921125</v>
      </c>
      <c r="AN4570">
        <v>1.00000000616817</v>
      </c>
    </row>
    <row r="4571" spans="1:40" x14ac:dyDescent="0.25">
      <c r="A4571" t="str">
        <f>"20190303162352319"</f>
        <v>20190303162352319</v>
      </c>
      <c r="B4571" t="str">
        <f>"1551601432309492"</f>
        <v>1551601432309492</v>
      </c>
      <c r="C4571" t="s">
        <v>40</v>
      </c>
      <c r="D4571">
        <v>5.0080549999999997</v>
      </c>
      <c r="E4571">
        <v>0.342775</v>
      </c>
      <c r="F4571" t="s">
        <v>42</v>
      </c>
      <c r="G4571">
        <v>-395.41899999999998</v>
      </c>
      <c r="H4571">
        <v>1.018251</v>
      </c>
      <c r="I4571">
        <v>140.05330000000001</v>
      </c>
      <c r="J4571">
        <v>-394.90730000000002</v>
      </c>
      <c r="K4571">
        <v>1.1217539999999999</v>
      </c>
      <c r="L4571">
        <v>140.56200000000001</v>
      </c>
      <c r="M4571">
        <v>-0.99988129999999997</v>
      </c>
      <c r="N4571">
        <v>-1.3269629999999999E-2</v>
      </c>
      <c r="O4571">
        <v>7.8267379999999998E-3</v>
      </c>
      <c r="P4571">
        <v>-0.96152459999999995</v>
      </c>
      <c r="Q4571">
        <v>0.1767936</v>
      </c>
      <c r="R4571">
        <v>-0.21027319999999999</v>
      </c>
      <c r="S4571">
        <v>-2.8076479999999999</v>
      </c>
      <c r="T4571">
        <v>-0.36855700000000002</v>
      </c>
      <c r="U4571">
        <v>-1.8102259999999999</v>
      </c>
      <c r="V4571">
        <v>-0.21816479999999999</v>
      </c>
      <c r="W4571">
        <v>0.18908639999999999</v>
      </c>
      <c r="X4571">
        <v>0.95741869999999996</v>
      </c>
      <c r="Y4571">
        <v>-0.54465759999999996</v>
      </c>
      <c r="Z4571">
        <v>-3.7322920000000002E-2</v>
      </c>
      <c r="AA4571">
        <v>0.83782760000000001</v>
      </c>
      <c r="AB4571">
        <v>28</v>
      </c>
      <c r="AC4571">
        <v>-0.51170000000001803</v>
      </c>
      <c r="AD4571">
        <v>-0.103503</v>
      </c>
      <c r="AE4571">
        <v>-0.50870000000000404</v>
      </c>
      <c r="AF4571">
        <v>-0.50235258352413503</v>
      </c>
      <c r="AG4571">
        <v>-0.103503</v>
      </c>
      <c r="AH4571">
        <v>0.497465939354652</v>
      </c>
      <c r="AI4571">
        <v>98.328943213017695</v>
      </c>
      <c r="AJ4571">
        <v>135.28003267703301</v>
      </c>
      <c r="AK4571">
        <v>0.71452316267590699</v>
      </c>
      <c r="AL4571">
        <v>79.100528271478893</v>
      </c>
      <c r="AM4571">
        <v>102.836677151975</v>
      </c>
      <c r="AN4571">
        <v>1.0000000568668399</v>
      </c>
    </row>
    <row r="4572" spans="1:40" x14ac:dyDescent="0.25">
      <c r="A4572" t="str">
        <f>"20190303162352341"</f>
        <v>20190303162352341</v>
      </c>
      <c r="B4572" t="str">
        <f>"1551601432329989"</f>
        <v>1551601432329989</v>
      </c>
      <c r="C4572" t="s">
        <v>40</v>
      </c>
      <c r="D4572">
        <v>5.0056019999999997</v>
      </c>
      <c r="E4572">
        <v>0.3449892</v>
      </c>
      <c r="F4572" t="s">
        <v>42</v>
      </c>
      <c r="G4572">
        <v>-395.6678</v>
      </c>
      <c r="H4572">
        <v>1.018575</v>
      </c>
      <c r="I4572">
        <v>140.0583</v>
      </c>
      <c r="J4572">
        <v>-395.18259999999998</v>
      </c>
      <c r="K4572">
        <v>1.1218809999999999</v>
      </c>
      <c r="L4572">
        <v>140.56270000000001</v>
      </c>
      <c r="M4572">
        <v>-0.99989079999999997</v>
      </c>
      <c r="N4572">
        <v>-1.326801E-2</v>
      </c>
      <c r="O4572">
        <v>6.5161899999999998E-3</v>
      </c>
      <c r="P4572">
        <v>-0.95974809999999999</v>
      </c>
      <c r="Q4572">
        <v>0.17496519999999999</v>
      </c>
      <c r="R4572">
        <v>-0.21970680000000001</v>
      </c>
      <c r="S4572">
        <v>-2.786041</v>
      </c>
      <c r="T4572">
        <v>-0.37800729999999999</v>
      </c>
      <c r="U4572">
        <v>-1.8451690000000001</v>
      </c>
      <c r="V4572">
        <v>-0.22638359999999999</v>
      </c>
      <c r="W4572">
        <v>0.18714939999999999</v>
      </c>
      <c r="X4572">
        <v>0.95588989999999996</v>
      </c>
      <c r="Y4572">
        <v>-0.55356619999999901</v>
      </c>
      <c r="Z4572">
        <v>-3.8772149999999998E-2</v>
      </c>
      <c r="AA4572">
        <v>0.83190219999999904</v>
      </c>
      <c r="AB4572">
        <v>28</v>
      </c>
      <c r="AC4572">
        <v>-0.48520000000002</v>
      </c>
      <c r="AD4572">
        <v>-0.103305999999999</v>
      </c>
      <c r="AE4572">
        <v>-0.50440000000000396</v>
      </c>
      <c r="AF4572">
        <v>-0.49672896820816698</v>
      </c>
      <c r="AG4572">
        <v>-0.103305999999999</v>
      </c>
      <c r="AH4572">
        <v>0.47162727854052999</v>
      </c>
      <c r="AI4572">
        <v>98.576720173309496</v>
      </c>
      <c r="AJ4572">
        <v>136.484886243826</v>
      </c>
      <c r="AK4572">
        <v>0.69270779363068902</v>
      </c>
      <c r="AL4572">
        <v>79.213526664116998</v>
      </c>
      <c r="AM4572">
        <v>103.323885585499</v>
      </c>
      <c r="AN4572">
        <v>0.99999996659566404</v>
      </c>
    </row>
    <row r="4573" spans="1:40" x14ac:dyDescent="0.25">
      <c r="A4573" t="str">
        <f>"20190303162352364"</f>
        <v>20190303162352364</v>
      </c>
      <c r="B4573" t="str">
        <f>"1551601432359270"</f>
        <v>1551601432359270</v>
      </c>
      <c r="C4573" t="s">
        <v>40</v>
      </c>
      <c r="D4573">
        <v>4.8980489999999897</v>
      </c>
      <c r="E4573">
        <v>0.34672269999999999</v>
      </c>
      <c r="F4573" t="s">
        <v>42</v>
      </c>
      <c r="G4573">
        <v>-395.91800000000001</v>
      </c>
      <c r="H4573">
        <v>1.0184420000000001</v>
      </c>
      <c r="I4573">
        <v>140.07169999999999</v>
      </c>
      <c r="J4573">
        <v>-395.46379999999999</v>
      </c>
      <c r="K4573">
        <v>1.122039</v>
      </c>
      <c r="L4573">
        <v>140.56280000000001</v>
      </c>
      <c r="M4573">
        <v>-0.99989989999999995</v>
      </c>
      <c r="N4573">
        <v>-1.326812E-2</v>
      </c>
      <c r="O4573">
        <v>4.924706E-3</v>
      </c>
      <c r="P4573">
        <v>-0.95866150000000006</v>
      </c>
      <c r="Q4573">
        <v>0.173836299999999</v>
      </c>
      <c r="R4573">
        <v>-0.225276</v>
      </c>
      <c r="S4573">
        <v>-2.77298</v>
      </c>
      <c r="T4573">
        <v>-0.39002029999999999</v>
      </c>
      <c r="U4573">
        <v>-1.8518520000000001</v>
      </c>
      <c r="V4573">
        <v>-0.2304949</v>
      </c>
      <c r="W4573">
        <v>0.18590699999999999</v>
      </c>
      <c r="X4573">
        <v>0.95514949999999998</v>
      </c>
      <c r="Y4573">
        <v>-0.55516140000000003</v>
      </c>
      <c r="Z4573">
        <v>-3.9924580000000001E-2</v>
      </c>
      <c r="AA4573">
        <v>0.83078379999999996</v>
      </c>
      <c r="AB4573">
        <v>28</v>
      </c>
      <c r="AC4573">
        <v>-0.45420000000001398</v>
      </c>
      <c r="AD4573">
        <v>-0.103596999999999</v>
      </c>
      <c r="AE4573">
        <v>-0.49110000000001702</v>
      </c>
      <c r="AF4573">
        <v>-0.48177606697742797</v>
      </c>
      <c r="AG4573">
        <v>-0.103596999999999</v>
      </c>
      <c r="AH4573">
        <v>0.44119410305071899</v>
      </c>
      <c r="AI4573">
        <v>99.011066970716698</v>
      </c>
      <c r="AJ4573">
        <v>137.517609644635</v>
      </c>
      <c r="AK4573">
        <v>0.66143235004644796</v>
      </c>
      <c r="AL4573">
        <v>79.285982283916994</v>
      </c>
      <c r="AM4573">
        <v>103.567122454217</v>
      </c>
      <c r="AN4573">
        <v>0.999999939462628</v>
      </c>
    </row>
    <row r="4574" spans="1:40" x14ac:dyDescent="0.25">
      <c r="A4574" t="str">
        <f>"20190303162352385"</f>
        <v>20190303162352385</v>
      </c>
      <c r="B4574" t="str">
        <f>"1551601432379765"</f>
        <v>1551601432379765</v>
      </c>
      <c r="C4574" t="s">
        <v>40</v>
      </c>
      <c r="D4574">
        <v>4.8880129999999999</v>
      </c>
      <c r="E4574">
        <v>0.34860679999999999</v>
      </c>
      <c r="F4574" t="s">
        <v>55</v>
      </c>
      <c r="G4574">
        <v>-403.53609999999998</v>
      </c>
      <c r="H4574" s="1">
        <v>-4.8487569999999999E-6</v>
      </c>
      <c r="I4574">
        <v>135.15</v>
      </c>
      <c r="J4574">
        <v>-395.73349999999999</v>
      </c>
      <c r="K4574">
        <v>1.1222319999999999</v>
      </c>
      <c r="L4574">
        <v>140.56219999999999</v>
      </c>
      <c r="M4574">
        <v>-0.99990710000000005</v>
      </c>
      <c r="N4574">
        <v>-1.327008E-2</v>
      </c>
      <c r="O4574">
        <v>3.1096309999999999E-3</v>
      </c>
      <c r="P4574">
        <v>-0.957986</v>
      </c>
      <c r="Q4574">
        <v>0.17342560000000001</v>
      </c>
      <c r="R4574">
        <v>-0.2284436</v>
      </c>
      <c r="S4574">
        <v>-2.763611</v>
      </c>
      <c r="T4574">
        <v>-0.3841388</v>
      </c>
      <c r="U4574">
        <v>-1.853119</v>
      </c>
      <c r="V4574">
        <v>-0.2320083</v>
      </c>
      <c r="W4574">
        <v>0.18538180000000001</v>
      </c>
      <c r="X4574">
        <v>0.95488519999999999</v>
      </c>
      <c r="Y4574">
        <v>-0.55532890000000001</v>
      </c>
      <c r="Z4574">
        <v>-3.9289280000000003E-2</v>
      </c>
      <c r="AA4574">
        <v>0.83070219999999995</v>
      </c>
      <c r="AB4574">
        <v>28</v>
      </c>
      <c r="AC4574">
        <v>-7.8025999999999804</v>
      </c>
      <c r="AD4574">
        <v>-1.12223684875699</v>
      </c>
      <c r="AE4574">
        <v>-5.4121999999999799</v>
      </c>
      <c r="AF4574">
        <v>-5.3615557155942399</v>
      </c>
      <c r="AG4574">
        <v>-1.12223684875699</v>
      </c>
      <c r="AH4574">
        <v>7.6784874022157599</v>
      </c>
      <c r="AI4574">
        <v>96.833259708177494</v>
      </c>
      <c r="AJ4574">
        <v>124.924931432443</v>
      </c>
      <c r="AK4574">
        <v>9.4321187451237893</v>
      </c>
      <c r="AL4574">
        <v>79.316607067010196</v>
      </c>
      <c r="AM4574">
        <v>103.656516181437</v>
      </c>
      <c r="AN4574">
        <v>1.00000000410958</v>
      </c>
    </row>
    <row r="4575" spans="1:40" x14ac:dyDescent="0.25">
      <c r="A4575" t="str">
        <f>"20190303162352408"</f>
        <v>20190303162352408</v>
      </c>
      <c r="B4575" t="str">
        <f>"1551601432399285"</f>
        <v>1551601432399285</v>
      </c>
      <c r="C4575" t="s">
        <v>40</v>
      </c>
      <c r="D4575">
        <v>4.850924</v>
      </c>
      <c r="E4575">
        <v>0.35060989999999997</v>
      </c>
      <c r="F4575" t="s">
        <v>42</v>
      </c>
      <c r="G4575">
        <v>-396.63600000000002</v>
      </c>
      <c r="H4575">
        <v>0.99421610000000005</v>
      </c>
      <c r="I4575">
        <v>139.95939999999999</v>
      </c>
      <c r="J4575">
        <v>-396.00459999999998</v>
      </c>
      <c r="K4575">
        <v>1.122433</v>
      </c>
      <c r="L4575">
        <v>140.5609</v>
      </c>
      <c r="M4575">
        <v>-0.99991140000000001</v>
      </c>
      <c r="N4575">
        <v>-1.3273719999999999E-2</v>
      </c>
      <c r="O4575">
        <v>1.034983E-3</v>
      </c>
      <c r="P4575">
        <v>-0.9577814</v>
      </c>
      <c r="Q4575">
        <v>0.17249419999999999</v>
      </c>
      <c r="R4575">
        <v>-0.2300015</v>
      </c>
      <c r="S4575">
        <v>-2.762543</v>
      </c>
      <c r="T4575">
        <v>-0.39181169999999998</v>
      </c>
      <c r="U4575">
        <v>-1.8449249999999999</v>
      </c>
      <c r="V4575">
        <v>-0.23166429999999999</v>
      </c>
      <c r="W4575">
        <v>0.1843484</v>
      </c>
      <c r="X4575">
        <v>0.95516869999999998</v>
      </c>
      <c r="Y4575">
        <v>-0.55192339999999995</v>
      </c>
      <c r="Z4575">
        <v>-3.954179E-2</v>
      </c>
      <c r="AA4575">
        <v>0.83295680000000005</v>
      </c>
      <c r="AB4575">
        <v>28</v>
      </c>
      <c r="AC4575">
        <v>-0.63139999999998497</v>
      </c>
      <c r="AD4575">
        <v>-0.128216899999999</v>
      </c>
      <c r="AE4575">
        <v>-0.60150000000001502</v>
      </c>
      <c r="AF4575">
        <v>-0.58941150269897602</v>
      </c>
      <c r="AG4575">
        <v>-0.128216899999999</v>
      </c>
      <c r="AH4575">
        <v>0.617429655738021</v>
      </c>
      <c r="AI4575">
        <v>98.542422188583302</v>
      </c>
      <c r="AJ4575">
        <v>133.6700539796</v>
      </c>
      <c r="AK4575">
        <v>0.86317140403528503</v>
      </c>
      <c r="AL4575">
        <v>79.376854524665603</v>
      </c>
      <c r="AM4575">
        <v>103.633127730962</v>
      </c>
      <c r="AN4575">
        <v>0.99999996296836902</v>
      </c>
    </row>
    <row r="4576" spans="1:40" x14ac:dyDescent="0.25">
      <c r="A4576" t="str">
        <f>"20190303162352430"</f>
        <v>20190303162352430</v>
      </c>
      <c r="B4576" t="str">
        <f>"1551601432419781"</f>
        <v>1551601432419781</v>
      </c>
      <c r="C4576" t="s">
        <v>40</v>
      </c>
      <c r="D4576">
        <v>4.907362</v>
      </c>
      <c r="E4576">
        <v>0.35275380000000001</v>
      </c>
      <c r="F4576" t="s">
        <v>42</v>
      </c>
      <c r="G4576">
        <v>-396.8852</v>
      </c>
      <c r="H4576">
        <v>0.99575219999999998</v>
      </c>
      <c r="I4576">
        <v>139.9769</v>
      </c>
      <c r="J4576">
        <v>-396.2808</v>
      </c>
      <c r="K4576">
        <v>1.122636</v>
      </c>
      <c r="L4576">
        <v>140.55860000000001</v>
      </c>
      <c r="M4576">
        <v>-0.99991090000000005</v>
      </c>
      <c r="N4576">
        <v>-1.32779E-2</v>
      </c>
      <c r="O4576">
        <v>-1.3659500000000001E-3</v>
      </c>
      <c r="P4576">
        <v>-0.95763419999999999</v>
      </c>
      <c r="Q4576">
        <v>0.1690432</v>
      </c>
      <c r="R4576">
        <v>-0.23315530000000001</v>
      </c>
      <c r="S4576">
        <v>-2.7637330000000002</v>
      </c>
      <c r="T4576">
        <v>-0.39758870000000002</v>
      </c>
      <c r="U4576">
        <v>-1.832794</v>
      </c>
      <c r="V4576">
        <v>-0.23259630000000001</v>
      </c>
      <c r="W4576">
        <v>0.1807877</v>
      </c>
      <c r="X4576">
        <v>0.95562270000000005</v>
      </c>
      <c r="Y4576">
        <v>-0.547145199999999</v>
      </c>
      <c r="Z4576">
        <v>-3.9456239999999997E-2</v>
      </c>
      <c r="AA4576">
        <v>0.8361073</v>
      </c>
      <c r="AB4576">
        <v>28</v>
      </c>
      <c r="AC4576">
        <v>-0.60439999999999805</v>
      </c>
      <c r="AD4576">
        <v>-0.12688379999999999</v>
      </c>
      <c r="AE4576">
        <v>-0.58170000000001199</v>
      </c>
      <c r="AF4576">
        <v>-0.56788114222105801</v>
      </c>
      <c r="AG4576">
        <v>-0.12688379999999999</v>
      </c>
      <c r="AH4576">
        <v>0.59165743481405797</v>
      </c>
      <c r="AI4576">
        <v>98.795030701481494</v>
      </c>
      <c r="AJ4576">
        <v>133.82531692526899</v>
      </c>
      <c r="AK4576">
        <v>0.82984758273039805</v>
      </c>
      <c r="AL4576">
        <v>79.584355418773498</v>
      </c>
      <c r="AM4576">
        <v>103.67965838592301</v>
      </c>
      <c r="AN4576">
        <v>0.99999998800013401</v>
      </c>
    </row>
    <row r="4577" spans="1:40" x14ac:dyDescent="0.25">
      <c r="A4577" t="str">
        <f>"20190303162352453"</f>
        <v>20190303162352453</v>
      </c>
      <c r="B4577" t="str">
        <f>"1551601432439300"</f>
        <v>1551601432439300</v>
      </c>
      <c r="C4577" t="s">
        <v>40</v>
      </c>
      <c r="D4577">
        <v>4.6733949999999904</v>
      </c>
      <c r="E4577">
        <v>0.35286650000000003</v>
      </c>
      <c r="F4577" t="s">
        <v>42</v>
      </c>
      <c r="G4577">
        <v>-397.13510000000002</v>
      </c>
      <c r="H4577">
        <v>0.99682059999999995</v>
      </c>
      <c r="I4577">
        <v>139.9939</v>
      </c>
      <c r="J4577">
        <v>-396.56369999999998</v>
      </c>
      <c r="K4577">
        <v>1.122857</v>
      </c>
      <c r="L4577">
        <v>140.55529999999999</v>
      </c>
      <c r="M4577">
        <v>-0.99990310000000004</v>
      </c>
      <c r="N4577">
        <v>-1.3283619999999999E-2</v>
      </c>
      <c r="O4577">
        <v>-4.1818649999999999E-3</v>
      </c>
      <c r="P4577">
        <v>-0.95705280000000004</v>
      </c>
      <c r="Q4577">
        <v>0.16454279999999999</v>
      </c>
      <c r="R4577">
        <v>-0.2386964</v>
      </c>
      <c r="S4577">
        <v>-2.7601930000000001</v>
      </c>
      <c r="T4577">
        <v>-0.40648459999999997</v>
      </c>
      <c r="U4577">
        <v>-1.8246610000000001</v>
      </c>
      <c r="V4577">
        <v>-0.2355225</v>
      </c>
      <c r="W4577">
        <v>0.17614939999999901</v>
      </c>
      <c r="X4577">
        <v>0.95577219999999996</v>
      </c>
      <c r="Y4577">
        <v>-0.54342000000000001</v>
      </c>
      <c r="Z4577">
        <v>-3.9691839999999999E-2</v>
      </c>
      <c r="AA4577">
        <v>0.83852209999999905</v>
      </c>
      <c r="AB4577">
        <v>28</v>
      </c>
      <c r="AC4577">
        <v>-0.57140000000003899</v>
      </c>
      <c r="AD4577">
        <v>-0.12603639999999899</v>
      </c>
      <c r="AE4577">
        <v>-0.56139999999999102</v>
      </c>
      <c r="AF4577">
        <v>-0.54550090486553504</v>
      </c>
      <c r="AG4577">
        <v>-0.12603639999999899</v>
      </c>
      <c r="AH4577">
        <v>0.559882421926583</v>
      </c>
      <c r="AI4577">
        <v>99.159299153922802</v>
      </c>
      <c r="AJ4577">
        <v>134.254599086018</v>
      </c>
      <c r="AK4577">
        <v>0.79178579029713203</v>
      </c>
      <c r="AL4577">
        <v>79.854446762764496</v>
      </c>
      <c r="AM4577">
        <v>103.843091355832</v>
      </c>
      <c r="AN4577">
        <v>0.99999997870972401</v>
      </c>
    </row>
    <row r="4578" spans="1:40" x14ac:dyDescent="0.25">
      <c r="A4578" t="str">
        <f>"20190303162352476"</f>
        <v>20190303162352476</v>
      </c>
      <c r="B4578" t="str">
        <f>"1551601432469556"</f>
        <v>1551601432469556</v>
      </c>
      <c r="C4578" t="s">
        <v>40</v>
      </c>
      <c r="D4578">
        <v>4.9231860000000003</v>
      </c>
      <c r="E4578">
        <v>0.35471279999999999</v>
      </c>
      <c r="F4578" t="s">
        <v>42</v>
      </c>
      <c r="G4578">
        <v>-397.38389999999998</v>
      </c>
      <c r="H4578">
        <v>0.99739319999999998</v>
      </c>
      <c r="I4578">
        <v>140.0069</v>
      </c>
      <c r="J4578">
        <v>-396.84730000000002</v>
      </c>
      <c r="K4578">
        <v>1.123116</v>
      </c>
      <c r="L4578">
        <v>140.55080000000001</v>
      </c>
      <c r="M4578">
        <v>-0.99988429999999995</v>
      </c>
      <c r="N4578">
        <v>-1.329287E-2</v>
      </c>
      <c r="O4578">
        <v>-7.4098790000000003E-3</v>
      </c>
      <c r="P4578">
        <v>-0.95602410000000004</v>
      </c>
      <c r="Q4578">
        <v>0.16268659999999999</v>
      </c>
      <c r="R4578">
        <v>-0.24403140000000001</v>
      </c>
      <c r="S4578">
        <v>-2.7484739999999999</v>
      </c>
      <c r="T4578">
        <v>-0.42038170000000002</v>
      </c>
      <c r="U4578">
        <v>-1.8382419999999999</v>
      </c>
      <c r="V4578">
        <v>-0.23787730000000001</v>
      </c>
      <c r="W4578">
        <v>0.17413120000000001</v>
      </c>
      <c r="X4578">
        <v>0.95555889999999999</v>
      </c>
      <c r="Y4578">
        <v>-0.54492459999999998</v>
      </c>
      <c r="Z4578">
        <v>-4.0704240000000003E-2</v>
      </c>
      <c r="AA4578">
        <v>0.83749649999999998</v>
      </c>
      <c r="AB4578">
        <v>28</v>
      </c>
      <c r="AC4578">
        <v>-0.53659999999996399</v>
      </c>
      <c r="AD4578">
        <v>-0.1257228</v>
      </c>
      <c r="AE4578">
        <v>-0.54390000000000704</v>
      </c>
      <c r="AF4578">
        <v>-0.52567525217544997</v>
      </c>
      <c r="AG4578">
        <v>-0.1257228</v>
      </c>
      <c r="AH4578">
        <v>0.52636388777971999</v>
      </c>
      <c r="AI4578">
        <v>99.592573989479604</v>
      </c>
      <c r="AJ4578">
        <v>134.96249577927901</v>
      </c>
      <c r="AK4578">
        <v>0.75445320302066798</v>
      </c>
      <c r="AL4578">
        <v>79.971897195342606</v>
      </c>
      <c r="AM4578">
        <v>103.979094652841</v>
      </c>
      <c r="AN4578">
        <v>1.0000000480189599</v>
      </c>
    </row>
    <row r="4579" spans="1:40" x14ac:dyDescent="0.25">
      <c r="A4579" t="str">
        <f>"20190303162352497"</f>
        <v>20190303162352497</v>
      </c>
      <c r="B4579" t="str">
        <f>"1551601432490053"</f>
        <v>1551601432490053</v>
      </c>
      <c r="C4579" t="s">
        <v>40</v>
      </c>
      <c r="D4579">
        <v>4.955883</v>
      </c>
      <c r="E4579">
        <v>0.3551241</v>
      </c>
      <c r="F4579" t="s">
        <v>42</v>
      </c>
      <c r="G4579">
        <v>-397.63319999999999</v>
      </c>
      <c r="H4579">
        <v>1.004146</v>
      </c>
      <c r="I4579">
        <v>140.02250000000001</v>
      </c>
      <c r="J4579">
        <v>-397.11270000000002</v>
      </c>
      <c r="K4579">
        <v>1.1234150000000001</v>
      </c>
      <c r="L4579">
        <v>140.5453</v>
      </c>
      <c r="M4579">
        <v>-0.99985279999999999</v>
      </c>
      <c r="N4579">
        <v>-1.330578E-2</v>
      </c>
      <c r="O4579">
        <v>-1.08351E-2</v>
      </c>
      <c r="P4579">
        <v>-0.95471719999999904</v>
      </c>
      <c r="Q4579">
        <v>0.16379070000000001</v>
      </c>
      <c r="R4579">
        <v>-0.2483696</v>
      </c>
      <c r="S4579">
        <v>-2.7387999999999999</v>
      </c>
      <c r="T4579">
        <v>-0.41458830000000002</v>
      </c>
      <c r="U4579">
        <v>-1.8401339999999999</v>
      </c>
      <c r="V4579">
        <v>-0.2390775</v>
      </c>
      <c r="W4579">
        <v>0.1750659</v>
      </c>
      <c r="X4579">
        <v>0.95508839999999995</v>
      </c>
      <c r="Y4579">
        <v>-0.54396099999999903</v>
      </c>
      <c r="Z4579">
        <v>-3.9809270000000001E-2</v>
      </c>
      <c r="AA4579">
        <v>0.83816559999999996</v>
      </c>
      <c r="AB4579">
        <v>28</v>
      </c>
      <c r="AC4579">
        <v>-0.52049999999996999</v>
      </c>
      <c r="AD4579">
        <v>-0.119269</v>
      </c>
      <c r="AE4579">
        <v>-0.52279999999998905</v>
      </c>
      <c r="AF4579">
        <v>-0.50395694455805795</v>
      </c>
      <c r="AG4579">
        <v>-0.119269</v>
      </c>
      <c r="AH4579">
        <v>0.51273295654610096</v>
      </c>
      <c r="AI4579">
        <v>99.419396313478003</v>
      </c>
      <c r="AJ4579">
        <v>134.50543822731001</v>
      </c>
      <c r="AK4579">
        <v>0.72876112757048195</v>
      </c>
      <c r="AL4579">
        <v>79.917506756112502</v>
      </c>
      <c r="AM4579">
        <v>104.053485421396</v>
      </c>
      <c r="AN4579">
        <v>0.99999998608180896</v>
      </c>
    </row>
    <row r="4580" spans="1:40" x14ac:dyDescent="0.25">
      <c r="A4580" t="str">
        <f>"20190303162352520"</f>
        <v>20190303162352520</v>
      </c>
      <c r="B4580" t="str">
        <f>"1551601432509573"</f>
        <v>1551601432509573</v>
      </c>
      <c r="C4580" t="s">
        <v>40</v>
      </c>
      <c r="D4580">
        <v>4.6843450000000004</v>
      </c>
      <c r="E4580">
        <v>0.3563385</v>
      </c>
      <c r="F4580" t="s">
        <v>42</v>
      </c>
      <c r="G4580">
        <v>-397.87950000000001</v>
      </c>
      <c r="H4580">
        <v>1.00979</v>
      </c>
      <c r="I4580">
        <v>140.02520000000001</v>
      </c>
      <c r="J4580">
        <v>-397.38569999999999</v>
      </c>
      <c r="K4580">
        <v>1.123756</v>
      </c>
      <c r="L4580">
        <v>140.53829999999999</v>
      </c>
      <c r="M4580">
        <v>-0.99980190000000002</v>
      </c>
      <c r="N4580">
        <v>-1.3323059999999999E-2</v>
      </c>
      <c r="O4580">
        <v>-1.478725E-2</v>
      </c>
      <c r="P4580">
        <v>-0.95358370000000003</v>
      </c>
      <c r="Q4580">
        <v>0.166301</v>
      </c>
      <c r="R4580">
        <v>-0.25104280000000001</v>
      </c>
      <c r="S4580">
        <v>-2.7297060000000002</v>
      </c>
      <c r="T4580">
        <v>-0.4044278</v>
      </c>
      <c r="U4580">
        <v>-1.852676</v>
      </c>
      <c r="V4580">
        <v>-0.23813860000000001</v>
      </c>
      <c r="W4580">
        <v>0.17740629999999999</v>
      </c>
      <c r="X4580">
        <v>0.95489109999999999</v>
      </c>
      <c r="Y4580">
        <v>-0.54481179999999996</v>
      </c>
      <c r="Z4580">
        <v>-3.8590430000000002E-2</v>
      </c>
      <c r="AA4580">
        <v>0.83767000000000003</v>
      </c>
      <c r="AB4580">
        <v>28</v>
      </c>
      <c r="AC4580">
        <v>-0.493800000000021</v>
      </c>
      <c r="AD4580">
        <v>-0.113966</v>
      </c>
      <c r="AE4580">
        <v>-0.51309999999998002</v>
      </c>
      <c r="AF4580">
        <v>-0.49311158055368998</v>
      </c>
      <c r="AG4580">
        <v>-0.113966</v>
      </c>
      <c r="AH4580">
        <v>0.48881435649370603</v>
      </c>
      <c r="AI4580">
        <v>99.321262101625393</v>
      </c>
      <c r="AJ4580">
        <v>135.25074317843001</v>
      </c>
      <c r="AK4580">
        <v>0.70362401547027598</v>
      </c>
      <c r="AL4580">
        <v>79.781279585600899</v>
      </c>
      <c r="AM4580">
        <v>104.00324868413099</v>
      </c>
      <c r="AN4580">
        <v>1.0000000004744301</v>
      </c>
    </row>
    <row r="4581" spans="1:40" x14ac:dyDescent="0.25">
      <c r="A4581" t="str">
        <f>"20190303162352541"</f>
        <v>20190303162352541</v>
      </c>
      <c r="B4581" t="str">
        <f>"1551601432539829"</f>
        <v>1551601432539829</v>
      </c>
      <c r="C4581" t="s">
        <v>40</v>
      </c>
      <c r="D4581">
        <v>4.954383</v>
      </c>
      <c r="E4581">
        <v>0.35787960000000002</v>
      </c>
      <c r="F4581" t="s">
        <v>42</v>
      </c>
      <c r="G4581">
        <v>-398.12700000000001</v>
      </c>
      <c r="H4581">
        <v>1.019428</v>
      </c>
      <c r="I4581">
        <v>140.0335</v>
      </c>
      <c r="J4581">
        <v>-397.65609999999998</v>
      </c>
      <c r="K4581">
        <v>1.1241080000000001</v>
      </c>
      <c r="L4581">
        <v>140.52979999999999</v>
      </c>
      <c r="M4581">
        <v>-0.99972780000000006</v>
      </c>
      <c r="N4581">
        <v>-1.3343270000000001E-2</v>
      </c>
      <c r="O4581">
        <v>-1.914157E-2</v>
      </c>
      <c r="P4581">
        <v>-0.9524996</v>
      </c>
      <c r="Q4581">
        <v>0.1676291</v>
      </c>
      <c r="R4581">
        <v>-0.25425449999999999</v>
      </c>
      <c r="S4581">
        <v>-2.7245180000000002</v>
      </c>
      <c r="T4581">
        <v>-0.3834766</v>
      </c>
      <c r="U4581">
        <v>-1.85524</v>
      </c>
      <c r="V4581">
        <v>-0.2373548</v>
      </c>
      <c r="W4581">
        <v>0.17856569999999999</v>
      </c>
      <c r="X4581">
        <v>0.9548702</v>
      </c>
      <c r="Y4581">
        <v>-0.54290450000000001</v>
      </c>
      <c r="Z4581">
        <v>-3.6236980000000002E-2</v>
      </c>
      <c r="AA4581">
        <v>0.83901229999999904</v>
      </c>
      <c r="AB4581">
        <v>28</v>
      </c>
      <c r="AC4581">
        <v>-0.47089999999997101</v>
      </c>
      <c r="AD4581">
        <v>-0.104679999999999</v>
      </c>
      <c r="AE4581">
        <v>-0.49629999999999003</v>
      </c>
      <c r="AF4581">
        <v>-0.47604954968980501</v>
      </c>
      <c r="AG4581">
        <v>-0.104679999999999</v>
      </c>
      <c r="AH4581">
        <v>0.46932696245521799</v>
      </c>
      <c r="AI4581">
        <v>98.899652273202094</v>
      </c>
      <c r="AJ4581">
        <v>135.40742432127399</v>
      </c>
      <c r="AK4581">
        <v>0.67664530874551099</v>
      </c>
      <c r="AL4581">
        <v>79.7137735405054</v>
      </c>
      <c r="AM4581">
        <v>103.95925757622</v>
      </c>
      <c r="AN4581">
        <v>1.0000000545737799</v>
      </c>
    </row>
    <row r="4582" spans="1:40" x14ac:dyDescent="0.25">
      <c r="A4582" t="str">
        <f>"20190303162352565"</f>
        <v>20190303162352565</v>
      </c>
      <c r="B4582" t="str">
        <f>"1551601432559348"</f>
        <v>1551601432559348</v>
      </c>
      <c r="C4582" t="s">
        <v>40</v>
      </c>
      <c r="D4582">
        <v>4.9878429999999998</v>
      </c>
      <c r="E4582">
        <v>0.35800890000000002</v>
      </c>
      <c r="F4582" t="s">
        <v>42</v>
      </c>
      <c r="G4582">
        <v>-398.37389999999999</v>
      </c>
      <c r="H4582">
        <v>1.0265070000000001</v>
      </c>
      <c r="I4582">
        <v>140.0401</v>
      </c>
      <c r="J4582">
        <v>-397.93299999999999</v>
      </c>
      <c r="K4582">
        <v>1.1244540000000001</v>
      </c>
      <c r="L4582">
        <v>140.51929999999999</v>
      </c>
      <c r="M4582">
        <v>-0.99962070000000003</v>
      </c>
      <c r="N4582">
        <v>-1.336647E-2</v>
      </c>
      <c r="O4582">
        <v>-2.4077359999999999E-2</v>
      </c>
      <c r="P4582">
        <v>-0.9514203</v>
      </c>
      <c r="Q4582">
        <v>0.16939879999999999</v>
      </c>
      <c r="R4582">
        <v>-0.25710499999999997</v>
      </c>
      <c r="S4582">
        <v>-2.7192379999999998</v>
      </c>
      <c r="T4582">
        <v>-0.36975400000000003</v>
      </c>
      <c r="U4582">
        <v>-1.8562160000000001</v>
      </c>
      <c r="V4582">
        <v>-0.2356615</v>
      </c>
      <c r="W4582">
        <v>0.18018219999999999</v>
      </c>
      <c r="X4582">
        <v>0.95498590000000005</v>
      </c>
      <c r="Y4582">
        <v>-0.5400315</v>
      </c>
      <c r="Z4582">
        <v>-3.4412709999999999E-2</v>
      </c>
      <c r="AA4582">
        <v>0.84094099999999905</v>
      </c>
      <c r="AB4582">
        <v>28</v>
      </c>
      <c r="AC4582">
        <v>-0.440899999999942</v>
      </c>
      <c r="AD4582">
        <v>-9.7947000000000006E-2</v>
      </c>
      <c r="AE4582">
        <v>-0.47919999999999102</v>
      </c>
      <c r="AF4582">
        <v>-0.45808028876040102</v>
      </c>
      <c r="AG4582">
        <v>-9.7947000000000006E-2</v>
      </c>
      <c r="AH4582">
        <v>0.442303895362744</v>
      </c>
      <c r="AI4582">
        <v>98.744674897077601</v>
      </c>
      <c r="AJ4582">
        <v>136.00382512800999</v>
      </c>
      <c r="AK4582">
        <v>0.64425453169758096</v>
      </c>
      <c r="AL4582">
        <v>79.619627577381806</v>
      </c>
      <c r="AM4582">
        <v>103.861911403945</v>
      </c>
      <c r="AN4582">
        <v>1.0000000184889499</v>
      </c>
    </row>
    <row r="4583" spans="1:40" x14ac:dyDescent="0.25">
      <c r="A4583" t="str">
        <f>"20190303162352586"</f>
        <v>20190303162352586</v>
      </c>
      <c r="B4583" t="str">
        <f>"1551601432579845"</f>
        <v>1551601432579845</v>
      </c>
      <c r="C4583" t="s">
        <v>40</v>
      </c>
      <c r="D4583">
        <v>4.75136</v>
      </c>
      <c r="E4583">
        <v>0.35806290000000002</v>
      </c>
      <c r="F4583" t="s">
        <v>42</v>
      </c>
      <c r="G4583">
        <v>-398.83049999999997</v>
      </c>
      <c r="H4583">
        <v>1.0054179999999999</v>
      </c>
      <c r="I4583">
        <v>139.90209999999999</v>
      </c>
      <c r="J4583">
        <v>-398.20249999999999</v>
      </c>
      <c r="K4583">
        <v>1.1247579999999999</v>
      </c>
      <c r="L4583">
        <v>140.50729999999999</v>
      </c>
      <c r="M4583">
        <v>-0.99948099999999995</v>
      </c>
      <c r="N4583">
        <v>-1.3390000000000001E-2</v>
      </c>
      <c r="O4583">
        <v>-2.9297440000000001E-2</v>
      </c>
      <c r="P4583">
        <v>-0.9498742</v>
      </c>
      <c r="Q4583">
        <v>0.17160120000000001</v>
      </c>
      <c r="R4583">
        <v>-0.26132729999999998</v>
      </c>
      <c r="S4583">
        <v>-2.712952</v>
      </c>
      <c r="T4583">
        <v>-0.3598017</v>
      </c>
      <c r="U4583">
        <v>-1.8661799999999999</v>
      </c>
      <c r="V4583">
        <v>-0.23507539999999999</v>
      </c>
      <c r="W4583">
        <v>0.1822405</v>
      </c>
      <c r="X4583">
        <v>0.95473969999999997</v>
      </c>
      <c r="Y4583">
        <v>-0.53886780000000001</v>
      </c>
      <c r="Z4583">
        <v>-3.3010329999999997E-2</v>
      </c>
      <c r="AA4583">
        <v>0.84174340000000003</v>
      </c>
      <c r="AB4583">
        <v>28</v>
      </c>
      <c r="AC4583">
        <v>-0.62799999999998501</v>
      </c>
      <c r="AD4583">
        <v>-0.11934</v>
      </c>
      <c r="AE4583">
        <v>-0.60519999999999596</v>
      </c>
      <c r="AF4583">
        <v>-0.57575949884214095</v>
      </c>
      <c r="AG4583">
        <v>-0.11934</v>
      </c>
      <c r="AH4583">
        <v>0.63359958620966395</v>
      </c>
      <c r="AI4583">
        <v>97.935653677457296</v>
      </c>
      <c r="AJ4583">
        <v>132.261797958448</v>
      </c>
      <c r="AK4583">
        <v>0.86440122151233201</v>
      </c>
      <c r="AL4583">
        <v>79.499709799913305</v>
      </c>
      <c r="AM4583">
        <v>103.83219025675101</v>
      </c>
      <c r="AN4583">
        <v>0.99999996914074896</v>
      </c>
    </row>
    <row r="4584" spans="1:40" x14ac:dyDescent="0.25">
      <c r="A4584" t="str">
        <f>"20190303162352609"</f>
        <v>20190303162352609</v>
      </c>
      <c r="B4584" t="str">
        <f>"1551601432599364"</f>
        <v>1551601432599364</v>
      </c>
      <c r="C4584" t="s">
        <v>40</v>
      </c>
      <c r="D4584">
        <v>5.0991580000000001</v>
      </c>
      <c r="E4584">
        <v>0.35798239999999998</v>
      </c>
      <c r="F4584" t="s">
        <v>42</v>
      </c>
      <c r="G4584">
        <v>-399.07490000000001</v>
      </c>
      <c r="H4584">
        <v>1.0115780000000001</v>
      </c>
      <c r="I4584">
        <v>139.90119999999999</v>
      </c>
      <c r="J4584">
        <v>-398.46940000000001</v>
      </c>
      <c r="K4584">
        <v>1.125</v>
      </c>
      <c r="L4584">
        <v>140.49359999999999</v>
      </c>
      <c r="M4584">
        <v>-0.99930479999999999</v>
      </c>
      <c r="N4584">
        <v>-1.341199E-2</v>
      </c>
      <c r="O4584">
        <v>-3.4785160000000002E-2</v>
      </c>
      <c r="P4584">
        <v>-0.94799180000000005</v>
      </c>
      <c r="Q4584">
        <v>0.17265829999999999</v>
      </c>
      <c r="R4584">
        <v>-0.26739639999999998</v>
      </c>
      <c r="S4584">
        <v>-2.70459</v>
      </c>
      <c r="T4584">
        <v>-0.350883</v>
      </c>
      <c r="U4584">
        <v>-1.879562</v>
      </c>
      <c r="V4584">
        <v>-0.236067</v>
      </c>
      <c r="W4584">
        <v>0.18316350000000001</v>
      </c>
      <c r="X4584">
        <v>0.95431829999999995</v>
      </c>
      <c r="Y4584">
        <v>-0.53846499999999997</v>
      </c>
      <c r="Z4584">
        <v>-3.1754669999999999E-2</v>
      </c>
      <c r="AA4584">
        <v>0.84204939999999995</v>
      </c>
      <c r="AB4584">
        <v>28</v>
      </c>
      <c r="AC4584">
        <v>-0.60550000000000603</v>
      </c>
      <c r="AD4584">
        <v>-0.113421999999999</v>
      </c>
      <c r="AE4584">
        <v>-0.59239999999999704</v>
      </c>
      <c r="AF4584">
        <v>-0.56092093026168699</v>
      </c>
      <c r="AG4584">
        <v>-0.113421999999999</v>
      </c>
      <c r="AH4584">
        <v>0.61472135948604301</v>
      </c>
      <c r="AI4584">
        <v>97.761356353393197</v>
      </c>
      <c r="AJ4584">
        <v>132.37982511686201</v>
      </c>
      <c r="AK4584">
        <v>0.83986855513110203</v>
      </c>
      <c r="AL4584">
        <v>79.445920297057498</v>
      </c>
      <c r="AM4584">
        <v>103.89417826630201</v>
      </c>
      <c r="AN4584">
        <v>0.99999995696806898</v>
      </c>
    </row>
    <row r="4585" spans="1:40" x14ac:dyDescent="0.25">
      <c r="A4585" t="str">
        <f>"20190303162352631"</f>
        <v>20190303162352631</v>
      </c>
      <c r="B4585" t="str">
        <f>"1551601432619861"</f>
        <v>1551601432619861</v>
      </c>
      <c r="C4585" t="s">
        <v>40</v>
      </c>
      <c r="D4585">
        <v>5.0637449999999999</v>
      </c>
      <c r="E4585">
        <v>0.33007890000000001</v>
      </c>
      <c r="F4585" t="s">
        <v>42</v>
      </c>
      <c r="G4585">
        <v>-399.31799999999998</v>
      </c>
      <c r="H4585">
        <v>1.0160670000000001</v>
      </c>
      <c r="I4585">
        <v>139.8955</v>
      </c>
      <c r="J4585">
        <v>-398.74130000000002</v>
      </c>
      <c r="K4585">
        <v>1.1251930000000001</v>
      </c>
      <c r="L4585">
        <v>140.47790000000001</v>
      </c>
      <c r="M4585">
        <v>-0.99908260000000004</v>
      </c>
      <c r="N4585">
        <v>-1.343163E-2</v>
      </c>
      <c r="O4585">
        <v>-4.0664520000000003E-2</v>
      </c>
      <c r="P4585">
        <v>-0.94590810000000003</v>
      </c>
      <c r="Q4585">
        <v>0.17119409999999999</v>
      </c>
      <c r="R4585">
        <v>-0.27559149999999999</v>
      </c>
      <c r="S4585">
        <v>-2.6919559999999998</v>
      </c>
      <c r="T4585">
        <v>-0.3455627</v>
      </c>
      <c r="U4585">
        <v>-1.8986970000000001</v>
      </c>
      <c r="V4585">
        <v>-0.2387842</v>
      </c>
      <c r="W4585">
        <v>0.18156620000000001</v>
      </c>
      <c r="X4585">
        <v>0.95394749999999995</v>
      </c>
      <c r="Y4585">
        <v>-0.53948189999999996</v>
      </c>
      <c r="Z4585">
        <v>-3.0875260000000002E-2</v>
      </c>
      <c r="AA4585">
        <v>0.84143089999999998</v>
      </c>
      <c r="AB4585">
        <v>28</v>
      </c>
      <c r="AC4585">
        <v>-0.57670000000001598</v>
      </c>
      <c r="AD4585">
        <v>-0.109126</v>
      </c>
      <c r="AE4585">
        <v>-0.58240000000000602</v>
      </c>
      <c r="AF4585">
        <v>-0.54873739741539096</v>
      </c>
      <c r="AG4585">
        <v>-0.109126</v>
      </c>
      <c r="AH4585">
        <v>0.58945874365225404</v>
      </c>
      <c r="AI4585">
        <v>97.716740061518905</v>
      </c>
      <c r="AJ4585">
        <v>132.950997659498</v>
      </c>
      <c r="AK4585">
        <v>0.81270094479230803</v>
      </c>
      <c r="AL4585">
        <v>79.539000234369496</v>
      </c>
      <c r="AM4585">
        <v>104.053049639242</v>
      </c>
      <c r="AN4585">
        <v>1.0000000059541601</v>
      </c>
    </row>
    <row r="4586" spans="1:40" x14ac:dyDescent="0.25">
      <c r="A4586" t="str">
        <f>"20190303162352654"</f>
        <v>20190303162352654</v>
      </c>
      <c r="B4586" t="str">
        <f>"1551601432649140"</f>
        <v>1551601432649140</v>
      </c>
      <c r="C4586" t="s">
        <v>40</v>
      </c>
      <c r="D4586">
        <v>4.5133749999999999</v>
      </c>
      <c r="E4586">
        <v>0.32109569999999998</v>
      </c>
      <c r="F4586" t="s">
        <v>55</v>
      </c>
      <c r="G4586">
        <v>-405.24599999999998</v>
      </c>
      <c r="H4586" s="1">
        <v>-5.6980369999999999E-6</v>
      </c>
      <c r="I4586">
        <v>135.19749999999999</v>
      </c>
      <c r="J4586">
        <v>-399.02659999999997</v>
      </c>
      <c r="K4586">
        <v>1.125359</v>
      </c>
      <c r="L4586">
        <v>140.45939999999999</v>
      </c>
      <c r="M4586">
        <v>-0.99879879999999999</v>
      </c>
      <c r="N4586">
        <v>-1.3450790000000001E-2</v>
      </c>
      <c r="O4586">
        <v>-4.7116369999999998E-2</v>
      </c>
      <c r="P4586">
        <v>-0.94358679999999995</v>
      </c>
      <c r="Q4586">
        <v>0.16783609999999999</v>
      </c>
      <c r="R4586">
        <v>-0.28543809999999997</v>
      </c>
      <c r="S4586">
        <v>-2.6315309999999998</v>
      </c>
      <c r="T4586">
        <v>-0.45520349999999998</v>
      </c>
      <c r="U4586">
        <v>-2.1362000000000001</v>
      </c>
      <c r="V4586">
        <v>-0.24259530000000001</v>
      </c>
      <c r="W4586">
        <v>0.1780717</v>
      </c>
      <c r="X4586">
        <v>0.95364459999999995</v>
      </c>
      <c r="Y4586">
        <v>-0.58749289999999998</v>
      </c>
      <c r="Z4586">
        <v>-4.2158599999999997E-2</v>
      </c>
      <c r="AA4586">
        <v>0.80813040000000003</v>
      </c>
      <c r="AB4586">
        <v>27</v>
      </c>
      <c r="AC4586">
        <v>-6.2194000000000003</v>
      </c>
      <c r="AD4586">
        <v>-1.125364698037</v>
      </c>
      <c r="AE4586">
        <v>-5.26189999999999</v>
      </c>
      <c r="AF4586">
        <v>-4.8700623999164803</v>
      </c>
      <c r="AG4586">
        <v>-1.125364698037</v>
      </c>
      <c r="AH4586">
        <v>6.3394657707840096</v>
      </c>
      <c r="AI4586">
        <v>98.013079881764199</v>
      </c>
      <c r="AJ4586">
        <v>127.531951683827</v>
      </c>
      <c r="AK4586">
        <v>8.0729659816953401</v>
      </c>
      <c r="AL4586">
        <v>79.742538284786804</v>
      </c>
      <c r="AM4586">
        <v>104.27259792915901</v>
      </c>
      <c r="AN4586">
        <v>1.0000000165160601</v>
      </c>
    </row>
    <row r="4587" spans="1:40" x14ac:dyDescent="0.25">
      <c r="A4587" t="str">
        <f>"20190303162352676"</f>
        <v>20190303162352676</v>
      </c>
      <c r="B4587" t="str">
        <f>"1551601432669636"</f>
        <v>1551601432669636</v>
      </c>
      <c r="C4587" t="s">
        <v>40</v>
      </c>
      <c r="D4587">
        <v>4.5837019999999997</v>
      </c>
      <c r="E4587">
        <v>0.31454799999999999</v>
      </c>
      <c r="F4587" t="s">
        <v>55</v>
      </c>
      <c r="G4587">
        <v>-404.95679999999999</v>
      </c>
      <c r="H4587" s="1">
        <v>-5.5778659999999999E-6</v>
      </c>
      <c r="I4587">
        <v>135.3622</v>
      </c>
      <c r="J4587">
        <v>-399.29239999999999</v>
      </c>
      <c r="K4587">
        <v>1.1254980000000001</v>
      </c>
      <c r="L4587">
        <v>140.4402</v>
      </c>
      <c r="M4587">
        <v>-0.99848490000000001</v>
      </c>
      <c r="N4587">
        <v>-1.3469419999999999E-2</v>
      </c>
      <c r="O4587">
        <v>-5.335293E-2</v>
      </c>
      <c r="P4587">
        <v>-0.94096170000000001</v>
      </c>
      <c r="Q4587">
        <v>0.16362299999999999</v>
      </c>
      <c r="R4587">
        <v>-0.29634199999999999</v>
      </c>
      <c r="S4587">
        <v>-2.592743</v>
      </c>
      <c r="T4587">
        <v>-0.49201830000000002</v>
      </c>
      <c r="U4587">
        <v>-2.2285309999999998</v>
      </c>
      <c r="V4587">
        <v>-0.24767159999999999</v>
      </c>
      <c r="W4587">
        <v>0.1737175</v>
      </c>
      <c r="X4587">
        <v>0.95314270000000001</v>
      </c>
      <c r="Y4587">
        <v>-0.60407939999999904</v>
      </c>
      <c r="Z4587">
        <v>-4.5787109999999999E-2</v>
      </c>
      <c r="AA4587">
        <v>0.79560769999999903</v>
      </c>
      <c r="AB4587">
        <v>27</v>
      </c>
      <c r="AC4587">
        <v>-5.6643999999999997</v>
      </c>
      <c r="AD4587">
        <v>-1.1255035778660001</v>
      </c>
      <c r="AE4587">
        <v>-5.0780000000000003</v>
      </c>
      <c r="AF4587">
        <v>-4.6663832651545203</v>
      </c>
      <c r="AG4587">
        <v>-1.1255035778660001</v>
      </c>
      <c r="AH4587">
        <v>5.8003175519680203</v>
      </c>
      <c r="AI4587">
        <v>98.597341774892399</v>
      </c>
      <c r="AJ4587">
        <v>128.81684422129501</v>
      </c>
      <c r="AK4587">
        <v>7.5289823206574003</v>
      </c>
      <c r="AL4587">
        <v>79.995966814212807</v>
      </c>
      <c r="AM4587">
        <v>104.566023230249</v>
      </c>
      <c r="AN4587">
        <v>0.99999999890804903</v>
      </c>
    </row>
    <row r="4588" spans="1:40" x14ac:dyDescent="0.25">
      <c r="A4588" t="str">
        <f>"20190303162352721"</f>
        <v>20190303162352721</v>
      </c>
      <c r="B4588" t="str">
        <f>"1551601432709653"</f>
        <v>1551601432709653</v>
      </c>
      <c r="C4588" t="s">
        <v>40</v>
      </c>
      <c r="D4588">
        <v>4.9952160000000001</v>
      </c>
      <c r="E4588">
        <v>0.31522070000000002</v>
      </c>
      <c r="F4588" t="s">
        <v>55</v>
      </c>
      <c r="G4588">
        <v>-404.69349999999997</v>
      </c>
      <c r="H4588" s="1">
        <v>-5.558538E-6</v>
      </c>
      <c r="I4588">
        <v>135.57089999999999</v>
      </c>
      <c r="J4588">
        <v>-399.82929999999999</v>
      </c>
      <c r="K4588">
        <v>1.1257490000000001</v>
      </c>
      <c r="L4588">
        <v>140.39570000000001</v>
      </c>
      <c r="M4588">
        <v>-0.99769110000000005</v>
      </c>
      <c r="N4588">
        <v>-1.350872E-2</v>
      </c>
      <c r="O4588">
        <v>-6.6558829999999999E-2</v>
      </c>
      <c r="P4588">
        <v>-0.93340369999999995</v>
      </c>
      <c r="Q4588">
        <v>0.15528699999999901</v>
      </c>
      <c r="R4588">
        <v>-0.32348670000000002</v>
      </c>
      <c r="S4588">
        <v>-2.5553279999999998</v>
      </c>
      <c r="T4588">
        <v>-0.53248499999999999</v>
      </c>
      <c r="U4588">
        <v>-2.3037109999999998</v>
      </c>
      <c r="V4588">
        <v>-0.26262760000000002</v>
      </c>
      <c r="W4588">
        <v>0.16501869999999999</v>
      </c>
      <c r="X4588">
        <v>0.95068160000000002</v>
      </c>
      <c r="Y4588">
        <v>-0.611433</v>
      </c>
      <c r="Z4588">
        <v>-4.7806199999999903E-2</v>
      </c>
      <c r="AA4588">
        <v>0.78985079999999996</v>
      </c>
      <c r="AB4588">
        <v>27</v>
      </c>
      <c r="AC4588">
        <v>-4.8641999999999799</v>
      </c>
      <c r="AD4588">
        <v>-1.125754558538</v>
      </c>
      <c r="AE4588">
        <v>-4.8247999999999998</v>
      </c>
      <c r="AF4588">
        <v>-4.3722659996092403</v>
      </c>
      <c r="AG4588">
        <v>-1.125754558538</v>
      </c>
      <c r="AH4588">
        <v>5.0385370912469902</v>
      </c>
      <c r="AI4588">
        <v>99.5784776186714</v>
      </c>
      <c r="AJ4588">
        <v>130.95029989208101</v>
      </c>
      <c r="AK4588">
        <v>6.7654186357741199</v>
      </c>
      <c r="AL4588">
        <v>80.501678884174098</v>
      </c>
      <c r="AM4588">
        <v>105.44291547294399</v>
      </c>
      <c r="AN4588">
        <v>0.99999996610500397</v>
      </c>
    </row>
    <row r="4589" spans="1:40" x14ac:dyDescent="0.25">
      <c r="A4589" t="str">
        <f>"20190303162352743"</f>
        <v>20190303162352743</v>
      </c>
      <c r="B4589" t="str">
        <f>"1551601432739909"</f>
        <v>1551601432739909</v>
      </c>
      <c r="C4589" t="s">
        <v>40</v>
      </c>
      <c r="D4589">
        <v>5.0289129999999904</v>
      </c>
      <c r="E4589">
        <v>0.31805460000000002</v>
      </c>
      <c r="F4589" t="s">
        <v>42</v>
      </c>
      <c r="G4589">
        <v>-400.50240000000002</v>
      </c>
      <c r="H4589">
        <v>0.97450890000000001</v>
      </c>
      <c r="I4589">
        <v>139.75489999999999</v>
      </c>
      <c r="J4589">
        <v>-400.09710000000001</v>
      </c>
      <c r="K4589">
        <v>1.1258889999999999</v>
      </c>
      <c r="L4589">
        <v>140.37049999999999</v>
      </c>
      <c r="M4589">
        <v>-0.99720730000000002</v>
      </c>
      <c r="N4589">
        <v>-1.3529019999999999E-2</v>
      </c>
      <c r="O4589">
        <v>-7.3449509999999996E-2</v>
      </c>
      <c r="P4589">
        <v>-0.92826560000000002</v>
      </c>
      <c r="Q4589">
        <v>0.15512409999999999</v>
      </c>
      <c r="R4589">
        <v>-0.33802320000000002</v>
      </c>
      <c r="S4589">
        <v>-2.4863590000000002</v>
      </c>
      <c r="T4589">
        <v>-0.55873490000000003</v>
      </c>
      <c r="U4589">
        <v>-2.3679350000000001</v>
      </c>
      <c r="V4589">
        <v>-0.27097339999999998</v>
      </c>
      <c r="W4589">
        <v>0.16464300000000001</v>
      </c>
      <c r="X4589">
        <v>0.94840190000000002</v>
      </c>
      <c r="Y4589">
        <v>-0.62651979999999996</v>
      </c>
      <c r="Z4589">
        <v>-5.0817899999999999E-2</v>
      </c>
      <c r="AA4589">
        <v>0.77774709999999903</v>
      </c>
      <c r="AB4589">
        <v>27</v>
      </c>
      <c r="AC4589">
        <v>-0.40530000000001098</v>
      </c>
      <c r="AD4589">
        <v>-0.15138009999999899</v>
      </c>
      <c r="AE4589">
        <v>-0.61560000000000004</v>
      </c>
      <c r="AF4589">
        <v>-0.56051987604614195</v>
      </c>
      <c r="AG4589">
        <v>-0.15138009999999899</v>
      </c>
      <c r="AH4589">
        <v>0.43123335602624602</v>
      </c>
      <c r="AI4589">
        <v>102.08199794315701</v>
      </c>
      <c r="AJ4589">
        <v>142.42728399266699</v>
      </c>
      <c r="AK4589">
        <v>0.72322933670340805</v>
      </c>
      <c r="AL4589">
        <v>80.523504063253398</v>
      </c>
      <c r="AM4589">
        <v>105.94547569161099</v>
      </c>
      <c r="AN4589">
        <v>1.00000003244008</v>
      </c>
    </row>
    <row r="4590" spans="1:40" x14ac:dyDescent="0.25">
      <c r="A4590" t="str">
        <f>"20190303162352765"</f>
        <v>20190303162352765</v>
      </c>
      <c r="B4590" t="str">
        <f>"1551601432759428"</f>
        <v>1551601432759428</v>
      </c>
      <c r="C4590" t="s">
        <v>40</v>
      </c>
      <c r="D4590">
        <v>5.0635440000000003</v>
      </c>
      <c r="E4590">
        <v>0.3189091</v>
      </c>
      <c r="F4590" t="s">
        <v>55</v>
      </c>
      <c r="G4590">
        <v>-405.21300000000002</v>
      </c>
      <c r="H4590" s="1">
        <v>-5.7671079999999996E-6</v>
      </c>
      <c r="I4590">
        <v>135.39359999999999</v>
      </c>
      <c r="J4590">
        <v>-400.36360000000002</v>
      </c>
      <c r="K4590">
        <v>1.126044</v>
      </c>
      <c r="L4590">
        <v>140.3432</v>
      </c>
      <c r="M4590">
        <v>-0.99665970000000004</v>
      </c>
      <c r="N4590">
        <v>-1.3550609999999999E-2</v>
      </c>
      <c r="O4590">
        <v>-8.0534430000000004E-2</v>
      </c>
      <c r="P4590">
        <v>-0.92318290000000003</v>
      </c>
      <c r="Q4590">
        <v>0.1572742</v>
      </c>
      <c r="R4590">
        <v>-0.35071089999999999</v>
      </c>
      <c r="S4590">
        <v>-2.4530940000000001</v>
      </c>
      <c r="T4590">
        <v>-0.5398712</v>
      </c>
      <c r="U4590">
        <v>-2.3864139999999998</v>
      </c>
      <c r="V4590">
        <v>-0.27735599999999999</v>
      </c>
      <c r="W4590">
        <v>0.16660059999999999</v>
      </c>
      <c r="X4590">
        <v>0.94621239999999995</v>
      </c>
      <c r="Y4590">
        <v>-0.62972510000000004</v>
      </c>
      <c r="Z4590">
        <v>-4.8800009999999998E-2</v>
      </c>
      <c r="AA4590">
        <v>0.77528379999999997</v>
      </c>
      <c r="AB4590">
        <v>27</v>
      </c>
      <c r="AC4590">
        <v>-4.8494000000000002</v>
      </c>
      <c r="AD4590">
        <v>-1.1260497671080001</v>
      </c>
      <c r="AE4590">
        <v>-4.9496000000000002</v>
      </c>
      <c r="AF4590">
        <v>-4.4260568502808102</v>
      </c>
      <c r="AG4590">
        <v>-1.1260497671080001</v>
      </c>
      <c r="AH4590">
        <v>5.0976755925309503</v>
      </c>
      <c r="AI4590">
        <v>99.469586348086395</v>
      </c>
      <c r="AJ4590">
        <v>130.96614889608901</v>
      </c>
      <c r="AK4590">
        <v>6.8442869436200198</v>
      </c>
      <c r="AL4590">
        <v>80.409770868239704</v>
      </c>
      <c r="AM4590">
        <v>106.337040067541</v>
      </c>
      <c r="AN4590">
        <v>1.00000000828506</v>
      </c>
    </row>
    <row r="4591" spans="1:40" x14ac:dyDescent="0.25">
      <c r="A4591" t="str">
        <f>"20190303162352787"</f>
        <v>20190303162352787</v>
      </c>
      <c r="B4591" t="str">
        <f>"1551601432779925"</f>
        <v>1551601432779925</v>
      </c>
      <c r="C4591" t="s">
        <v>40</v>
      </c>
      <c r="D4591">
        <v>5.0657800000000002</v>
      </c>
      <c r="E4591">
        <v>0.33398850000000002</v>
      </c>
      <c r="F4591" t="s">
        <v>55</v>
      </c>
      <c r="G4591">
        <v>-405.54270000000002</v>
      </c>
      <c r="H4591" s="1">
        <v>-5.8919749999999996E-6</v>
      </c>
      <c r="I4591">
        <v>135.17939999999999</v>
      </c>
      <c r="J4591">
        <v>-400.62810000000002</v>
      </c>
      <c r="K4591">
        <v>1.1262019999999999</v>
      </c>
      <c r="L4591">
        <v>140.31389999999999</v>
      </c>
      <c r="M4591">
        <v>-0.99604979999999999</v>
      </c>
      <c r="N4591">
        <v>-1.3572399999999899E-2</v>
      </c>
      <c r="O4591">
        <v>-8.7753819999999996E-2</v>
      </c>
      <c r="P4591">
        <v>-0.91772069999999994</v>
      </c>
      <c r="Q4591">
        <v>0.15929550000000001</v>
      </c>
      <c r="R4591">
        <v>-0.36388720000000002</v>
      </c>
      <c r="S4591">
        <v>-2.421967</v>
      </c>
      <c r="T4591">
        <v>-0.52658609999999995</v>
      </c>
      <c r="U4591">
        <v>-2.4147639999999999</v>
      </c>
      <c r="V4591">
        <v>-0.284165</v>
      </c>
      <c r="W4591">
        <v>0.16842650000000001</v>
      </c>
      <c r="X4591">
        <v>0.94386590000000004</v>
      </c>
      <c r="Y4591">
        <v>-0.6339669</v>
      </c>
      <c r="Z4591">
        <v>-4.7255430000000001E-2</v>
      </c>
      <c r="AA4591">
        <v>0.77191509999999997</v>
      </c>
      <c r="AB4591">
        <v>27</v>
      </c>
      <c r="AC4591">
        <v>-4.9146000000000001</v>
      </c>
      <c r="AD4591">
        <v>-1.126207891975</v>
      </c>
      <c r="AE4591">
        <v>-5.1345000000000001</v>
      </c>
      <c r="AF4591">
        <v>-4.5686656662903404</v>
      </c>
      <c r="AG4591">
        <v>-1.126207891975</v>
      </c>
      <c r="AH4591">
        <v>5.2153066450570398</v>
      </c>
      <c r="AI4591">
        <v>99.226096478238802</v>
      </c>
      <c r="AJ4591">
        <v>131.218714388899</v>
      </c>
      <c r="AK4591">
        <v>7.0242774424322896</v>
      </c>
      <c r="AL4591">
        <v>80.303655311574303</v>
      </c>
      <c r="AM4591">
        <v>106.75521018117701</v>
      </c>
      <c r="AN4591">
        <v>1.00000003515502</v>
      </c>
    </row>
    <row r="4592" spans="1:40" x14ac:dyDescent="0.25">
      <c r="A4592" t="str">
        <f>"20190303162352810"</f>
        <v>20190303162352810</v>
      </c>
      <c r="B4592" t="str">
        <f>"1551601432799446"</f>
        <v>1551601432799446</v>
      </c>
      <c r="C4592" t="s">
        <v>40</v>
      </c>
      <c r="D4592">
        <v>5.2656830000000001</v>
      </c>
      <c r="E4592">
        <v>0.3332658</v>
      </c>
      <c r="F4592" t="s">
        <v>55</v>
      </c>
      <c r="G4592">
        <v>-406.99869999999999</v>
      </c>
      <c r="H4592" s="1">
        <v>-6.4059669999999999E-6</v>
      </c>
      <c r="I4592">
        <v>134.15309999999999</v>
      </c>
      <c r="J4592">
        <v>-400.90179999999998</v>
      </c>
      <c r="K4592">
        <v>1.1263590000000001</v>
      </c>
      <c r="L4592">
        <v>140.28139999999999</v>
      </c>
      <c r="M4592">
        <v>-0.99534250000000002</v>
      </c>
      <c r="N4592">
        <v>-1.359461E-2</v>
      </c>
      <c r="O4592">
        <v>-9.5439460000000004E-2</v>
      </c>
      <c r="P4592">
        <v>-0.91153510000000004</v>
      </c>
      <c r="Q4592">
        <v>0.16200499999999901</v>
      </c>
      <c r="R4592">
        <v>-0.37796610000000003</v>
      </c>
      <c r="S4592">
        <v>-2.4164729999999999</v>
      </c>
      <c r="T4592">
        <v>-0.42719020000000002</v>
      </c>
      <c r="U4592">
        <v>-2.3368989999999998</v>
      </c>
      <c r="V4592">
        <v>-0.29155340000000002</v>
      </c>
      <c r="W4592">
        <v>0.1709232</v>
      </c>
      <c r="X4592">
        <v>0.94115979999999999</v>
      </c>
      <c r="Y4592">
        <v>-0.61852819999999997</v>
      </c>
      <c r="Z4592">
        <v>-3.7626390000000003E-2</v>
      </c>
      <c r="AA4592">
        <v>0.78486119999999904</v>
      </c>
      <c r="AB4592">
        <v>27</v>
      </c>
      <c r="AC4592">
        <v>-6.0968999999999998</v>
      </c>
      <c r="AD4592">
        <v>-1.1263654059670001</v>
      </c>
      <c r="AE4592">
        <v>-6.1282999999999896</v>
      </c>
      <c r="AF4592">
        <v>-5.4262577150164804</v>
      </c>
      <c r="AG4592">
        <v>-1.1263654059670001</v>
      </c>
      <c r="AH4592">
        <v>6.5429171904382599</v>
      </c>
      <c r="AI4592">
        <v>97.548281758984203</v>
      </c>
      <c r="AJ4592">
        <v>129.67004078903901</v>
      </c>
      <c r="AK4592">
        <v>8.5745400563801493</v>
      </c>
      <c r="AL4592">
        <v>80.158499293374206</v>
      </c>
      <c r="AM4592">
        <v>107.211986492877</v>
      </c>
      <c r="AN4592">
        <v>0.99999994724291796</v>
      </c>
    </row>
    <row r="4593" spans="1:40" x14ac:dyDescent="0.25">
      <c r="A4593" t="str">
        <f>"20190303162352833"</f>
        <v>20190303162352833</v>
      </c>
      <c r="B4593" t="str">
        <f>"1551601432829700"</f>
        <v>1551601432829700</v>
      </c>
      <c r="C4593" t="s">
        <v>40</v>
      </c>
      <c r="D4593">
        <v>5.2097239999999996</v>
      </c>
      <c r="E4593">
        <v>0.28089219999999998</v>
      </c>
      <c r="F4593" t="s">
        <v>55</v>
      </c>
      <c r="G4593">
        <v>-407.19200000000001</v>
      </c>
      <c r="H4593" s="1">
        <v>-6.4602819999999997E-6</v>
      </c>
      <c r="I4593">
        <v>133.9871</v>
      </c>
      <c r="J4593">
        <v>-401.17329999999998</v>
      </c>
      <c r="K4593">
        <v>1.1265320000000001</v>
      </c>
      <c r="L4593">
        <v>140.24680000000001</v>
      </c>
      <c r="M4593">
        <v>-0.99455519999999997</v>
      </c>
      <c r="N4593">
        <v>-1.3618E-2</v>
      </c>
      <c r="O4593">
        <v>-0.1033176</v>
      </c>
      <c r="P4593">
        <v>-0.90466290000000005</v>
      </c>
      <c r="Q4593">
        <v>0.16649639999999999</v>
      </c>
      <c r="R4593">
        <v>-0.39225510000000002</v>
      </c>
      <c r="S4593">
        <v>-2.3795470000000001</v>
      </c>
      <c r="T4593">
        <v>-0.42610110000000001</v>
      </c>
      <c r="U4593">
        <v>-2.3811339999999999</v>
      </c>
      <c r="V4593">
        <v>-0.29912260000000002</v>
      </c>
      <c r="W4593">
        <v>0.17517959999999999</v>
      </c>
      <c r="X4593">
        <v>0.93799670000000002</v>
      </c>
      <c r="Y4593">
        <v>-0.62569059999999999</v>
      </c>
      <c r="Z4593">
        <v>-3.7302460000000003E-2</v>
      </c>
      <c r="AA4593">
        <v>0.77917890000000001</v>
      </c>
      <c r="AB4593">
        <v>27</v>
      </c>
      <c r="AC4593">
        <v>-6.01869999999996</v>
      </c>
      <c r="AD4593">
        <v>-1.1265384602820001</v>
      </c>
      <c r="AE4593">
        <v>-6.2596999999999996</v>
      </c>
      <c r="AF4593">
        <v>-5.5115426612358096</v>
      </c>
      <c r="AG4593">
        <v>-1.1265384602820001</v>
      </c>
      <c r="AH4593">
        <v>6.5234944410888804</v>
      </c>
      <c r="AI4593">
        <v>97.514604912706702</v>
      </c>
      <c r="AJ4593">
        <v>130.19365833727599</v>
      </c>
      <c r="AK4593">
        <v>8.6140682103193509</v>
      </c>
      <c r="AL4593">
        <v>79.910890275583597</v>
      </c>
      <c r="AM4593">
        <v>107.687230198846</v>
      </c>
      <c r="AN4593">
        <v>1.0000000156489</v>
      </c>
    </row>
    <row r="4594" spans="1:40" x14ac:dyDescent="0.25">
      <c r="A4594" t="str">
        <f>"20190303162352855"</f>
        <v>20190303162352855</v>
      </c>
      <c r="B4594" t="str">
        <f>"1551601432849220"</f>
        <v>1551601432849220</v>
      </c>
      <c r="C4594" t="s">
        <v>40</v>
      </c>
      <c r="D4594">
        <v>5.3046790000000001</v>
      </c>
      <c r="E4594">
        <v>0.27222950000000001</v>
      </c>
      <c r="F4594" t="s">
        <v>55</v>
      </c>
      <c r="G4594">
        <v>-405.94510000000002</v>
      </c>
      <c r="H4594" s="1">
        <v>-5.681625E-6</v>
      </c>
      <c r="I4594">
        <v>134.14099999999999</v>
      </c>
      <c r="J4594">
        <v>-401.43720000000002</v>
      </c>
      <c r="K4594">
        <v>1.1267259999999999</v>
      </c>
      <c r="L4594">
        <v>140.21080000000001</v>
      </c>
      <c r="M4594">
        <v>-0.99369839999999998</v>
      </c>
      <c r="N4594">
        <v>-1.3644949999999999E-2</v>
      </c>
      <c r="O4594">
        <v>-0.11125309999999999</v>
      </c>
      <c r="P4594">
        <v>-0.89813949999999998</v>
      </c>
      <c r="Q4594">
        <v>0.1706269</v>
      </c>
      <c r="R4594">
        <v>-0.40525509999999998</v>
      </c>
      <c r="S4594">
        <v>-2.194153</v>
      </c>
      <c r="T4594">
        <v>-0.51799790000000001</v>
      </c>
      <c r="U4594">
        <v>-2.8075410000000001</v>
      </c>
      <c r="V4594">
        <v>-0.30538599999999999</v>
      </c>
      <c r="W4594">
        <v>0.17908180000000001</v>
      </c>
      <c r="X4594">
        <v>0.93523750000000005</v>
      </c>
      <c r="Y4594">
        <v>-0.70744319999999905</v>
      </c>
      <c r="Z4594">
        <v>-5.0820240000000003E-2</v>
      </c>
      <c r="AA4594">
        <v>0.70494069999999998</v>
      </c>
      <c r="AB4594">
        <v>27</v>
      </c>
      <c r="AC4594">
        <v>-4.5079000000000002</v>
      </c>
      <c r="AD4594">
        <v>-1.1267316816249999</v>
      </c>
      <c r="AE4594">
        <v>-6.0698000000000096</v>
      </c>
      <c r="AF4594">
        <v>-5.41039052266939</v>
      </c>
      <c r="AG4594">
        <v>-1.1267316816249999</v>
      </c>
      <c r="AH4594">
        <v>5.0432535572964801</v>
      </c>
      <c r="AI4594">
        <v>98.661570590977306</v>
      </c>
      <c r="AJ4594">
        <v>137.01142837501001</v>
      </c>
      <c r="AK4594">
        <v>7.4817281648929104</v>
      </c>
      <c r="AL4594">
        <v>79.683718596195803</v>
      </c>
      <c r="AM4594">
        <v>108.083574181244</v>
      </c>
      <c r="AN4594">
        <v>1.00000004074674</v>
      </c>
    </row>
    <row r="4595" spans="1:40" x14ac:dyDescent="0.25">
      <c r="A4595" t="str">
        <f>"20190303162352877"</f>
        <v>20190303162352877</v>
      </c>
      <c r="B4595" t="str">
        <f>"1551601432869717"</f>
        <v>1551601432869717</v>
      </c>
      <c r="C4595" t="s">
        <v>40</v>
      </c>
      <c r="D4595">
        <v>5.3116459999999996</v>
      </c>
      <c r="E4595">
        <v>0.26920319999999998</v>
      </c>
      <c r="F4595" t="s">
        <v>55</v>
      </c>
      <c r="G4595">
        <v>-405.91809999999998</v>
      </c>
      <c r="H4595" s="1">
        <v>-5.6469169999999999E-6</v>
      </c>
      <c r="I4595">
        <v>134.1061</v>
      </c>
      <c r="J4595">
        <v>-401.70490000000001</v>
      </c>
      <c r="K4595">
        <v>1.126946</v>
      </c>
      <c r="L4595">
        <v>140.17189999999999</v>
      </c>
      <c r="M4595">
        <v>-0.99272629999999995</v>
      </c>
      <c r="N4595">
        <v>-1.3677460000000001E-2</v>
      </c>
      <c r="O4595">
        <v>-0.1196136</v>
      </c>
      <c r="P4595">
        <v>-0.89202369999999898</v>
      </c>
      <c r="Q4595">
        <v>0.17153879999999999</v>
      </c>
      <c r="R4595">
        <v>-0.4181724</v>
      </c>
      <c r="S4595">
        <v>-2.1316220000000001</v>
      </c>
      <c r="T4595">
        <v>-0.53600049999999999</v>
      </c>
      <c r="U4595">
        <v>-2.904099</v>
      </c>
      <c r="V4595">
        <v>-0.31114259999999999</v>
      </c>
      <c r="W4595">
        <v>0.17975679999999999</v>
      </c>
      <c r="X4595">
        <v>0.93320829999999999</v>
      </c>
      <c r="Y4595">
        <v>-0.72211369999999997</v>
      </c>
      <c r="Z4595">
        <v>-5.266999E-2</v>
      </c>
      <c r="AA4595">
        <v>0.6897664</v>
      </c>
      <c r="AB4595">
        <v>27</v>
      </c>
      <c r="AC4595">
        <v>-4.2131999999999703</v>
      </c>
      <c r="AD4595">
        <v>-1.126951646917</v>
      </c>
      <c r="AE4595">
        <v>-6.0657999999999896</v>
      </c>
      <c r="AF4595">
        <v>-5.3926768171267199</v>
      </c>
      <c r="AG4595">
        <v>-1.126951646917</v>
      </c>
      <c r="AH4595">
        <v>4.7968758084266598</v>
      </c>
      <c r="AI4595">
        <v>98.874704596435095</v>
      </c>
      <c r="AJ4595">
        <v>138.34637447201499</v>
      </c>
      <c r="AK4595">
        <v>7.3048614490580102</v>
      </c>
      <c r="AL4595">
        <v>79.644405350824002</v>
      </c>
      <c r="AM4595">
        <v>108.438991691308</v>
      </c>
      <c r="AN4595">
        <v>0.999999977934944</v>
      </c>
    </row>
    <row r="4596" spans="1:40" x14ac:dyDescent="0.25">
      <c r="A4596" t="str">
        <f>"20190303162352898"</f>
        <v>20190303162352898</v>
      </c>
      <c r="B4596" t="str">
        <f>"1551601432889236"</f>
        <v>1551601432889236</v>
      </c>
      <c r="C4596" t="s">
        <v>40</v>
      </c>
      <c r="D4596">
        <v>5.3197549999999998</v>
      </c>
      <c r="E4596">
        <v>0.2685129</v>
      </c>
      <c r="F4596" t="s">
        <v>55</v>
      </c>
      <c r="G4596">
        <v>-405.96809999999999</v>
      </c>
      <c r="H4596" s="1">
        <v>-5.6863850000000001E-6</v>
      </c>
      <c r="I4596">
        <v>134.11760000000001</v>
      </c>
      <c r="J4596">
        <v>-401.95760000000001</v>
      </c>
      <c r="K4596">
        <v>1.1271850000000001</v>
      </c>
      <c r="L4596">
        <v>140.1326</v>
      </c>
      <c r="M4596">
        <v>-0.99170100000000005</v>
      </c>
      <c r="N4596">
        <v>-1.3712729999999999E-2</v>
      </c>
      <c r="O4596">
        <v>-0.12783310000000001</v>
      </c>
      <c r="P4596">
        <v>-0.88581749999999904</v>
      </c>
      <c r="Q4596">
        <v>0.17232430000000001</v>
      </c>
      <c r="R4596">
        <v>-0.43085030000000002</v>
      </c>
      <c r="S4596">
        <v>-2.0825499999999999</v>
      </c>
      <c r="T4596">
        <v>-0.55051099999999997</v>
      </c>
      <c r="U4596">
        <v>-2.9574579999999999</v>
      </c>
      <c r="V4596">
        <v>-0.31685940000000001</v>
      </c>
      <c r="W4596">
        <v>0.18028959999999999</v>
      </c>
      <c r="X4596">
        <v>0.9311798</v>
      </c>
      <c r="Y4596">
        <v>-0.7295393</v>
      </c>
      <c r="Z4596">
        <v>-5.3571349999999997E-2</v>
      </c>
      <c r="AA4596">
        <v>0.68183760000000004</v>
      </c>
      <c r="AB4596">
        <v>27</v>
      </c>
      <c r="AC4596">
        <v>-4.0104999999999702</v>
      </c>
      <c r="AD4596">
        <v>-1.1271906863850001</v>
      </c>
      <c r="AE4596">
        <v>-6.0149999999999801</v>
      </c>
      <c r="AF4596">
        <v>-5.3235033143449701</v>
      </c>
      <c r="AG4596">
        <v>-1.1271906863850001</v>
      </c>
      <c r="AH4596">
        <v>4.6339268402264002</v>
      </c>
      <c r="AI4596">
        <v>99.073953595532899</v>
      </c>
      <c r="AJ4596">
        <v>138.961548350036</v>
      </c>
      <c r="AK4596">
        <v>7.1472739098124496</v>
      </c>
      <c r="AL4596">
        <v>79.613371570027198</v>
      </c>
      <c r="AM4596">
        <v>108.79227664839</v>
      </c>
      <c r="AN4596">
        <v>1.00000001958227</v>
      </c>
    </row>
    <row r="4597" spans="1:40" x14ac:dyDescent="0.25">
      <c r="A4597" t="str">
        <f>"20190303162352922"</f>
        <v>20190303162352922</v>
      </c>
      <c r="B4597" t="str">
        <f>"1551601432909733"</f>
        <v>1551601432909733</v>
      </c>
      <c r="C4597" t="s">
        <v>40</v>
      </c>
      <c r="D4597">
        <v>5.1907670000000001</v>
      </c>
      <c r="E4597">
        <v>0.26792909999999998</v>
      </c>
      <c r="F4597" t="s">
        <v>55</v>
      </c>
      <c r="G4597">
        <v>-406.09730000000002</v>
      </c>
      <c r="H4597" s="1">
        <v>-5.7474290000000004E-6</v>
      </c>
      <c r="I4597">
        <v>134.05959999999999</v>
      </c>
      <c r="J4597">
        <v>-402.22949999999997</v>
      </c>
      <c r="K4597">
        <v>1.127461</v>
      </c>
      <c r="L4597">
        <v>140.08760000000001</v>
      </c>
      <c r="M4597">
        <v>-0.99046780000000001</v>
      </c>
      <c r="N4597">
        <v>-1.375533E-2</v>
      </c>
      <c r="O4597">
        <v>-0.13705580000000001</v>
      </c>
      <c r="P4597">
        <v>-0.87933919999999999</v>
      </c>
      <c r="Q4597">
        <v>0.17349589999999901</v>
      </c>
      <c r="R4597">
        <v>-0.44346629999999998</v>
      </c>
      <c r="S4597">
        <v>-2.0394899999999998</v>
      </c>
      <c r="T4597">
        <v>-0.5553361</v>
      </c>
      <c r="U4597">
        <v>-2.9919889999999998</v>
      </c>
      <c r="V4597">
        <v>-0.32167959999999901</v>
      </c>
      <c r="W4597">
        <v>0.18119250000000001</v>
      </c>
      <c r="X4597">
        <v>0.92935009999999996</v>
      </c>
      <c r="Y4597">
        <v>-0.73347010000000001</v>
      </c>
      <c r="Z4597">
        <v>-5.3141290000000001E-2</v>
      </c>
      <c r="AA4597">
        <v>0.6776413</v>
      </c>
      <c r="AB4597">
        <v>27</v>
      </c>
      <c r="AC4597">
        <v>-3.8678000000000399</v>
      </c>
      <c r="AD4597">
        <v>-1.1274667474289899</v>
      </c>
      <c r="AE4597">
        <v>-6.0280000000000102</v>
      </c>
      <c r="AF4597">
        <v>-5.3093787536163699</v>
      </c>
      <c r="AG4597">
        <v>-1.1274667474289899</v>
      </c>
      <c r="AH4597">
        <v>4.54491697460921</v>
      </c>
      <c r="AI4597">
        <v>99.164046527630006</v>
      </c>
      <c r="AJ4597">
        <v>139.43592168615999</v>
      </c>
      <c r="AK4597">
        <v>7.0793329009167296</v>
      </c>
      <c r="AL4597">
        <v>79.560773245459004</v>
      </c>
      <c r="AM4597">
        <v>109.092472847721</v>
      </c>
      <c r="AN4597">
        <v>1.0000000477412001</v>
      </c>
    </row>
    <row r="4598" spans="1:40" x14ac:dyDescent="0.25">
      <c r="A4598" t="str">
        <f>"20190303162352944"</f>
        <v>20190303162352944</v>
      </c>
      <c r="B4598" t="str">
        <f>"1551601432939988"</f>
        <v>1551601432939988</v>
      </c>
      <c r="C4598" t="s">
        <v>40</v>
      </c>
      <c r="D4598">
        <v>5.2425439999999996</v>
      </c>
      <c r="E4598">
        <v>0.2682677</v>
      </c>
      <c r="F4598" t="s">
        <v>55</v>
      </c>
      <c r="G4598">
        <v>-406.35599999999999</v>
      </c>
      <c r="H4598" s="1">
        <v>-5.8121889999999999E-6</v>
      </c>
      <c r="I4598">
        <v>133.82040000000001</v>
      </c>
      <c r="J4598">
        <v>-402.48880000000003</v>
      </c>
      <c r="K4598">
        <v>1.1277489999999999</v>
      </c>
      <c r="L4598">
        <v>140.04179999999999</v>
      </c>
      <c r="M4598">
        <v>-0.98914679999999999</v>
      </c>
      <c r="N4598">
        <v>-1.380163E-2</v>
      </c>
      <c r="O4598">
        <v>-0.1462803</v>
      </c>
      <c r="P4598">
        <v>-0.87333819999999995</v>
      </c>
      <c r="Q4598">
        <v>0.17337640000000001</v>
      </c>
      <c r="R4598">
        <v>-0.4552158</v>
      </c>
      <c r="S4598">
        <v>-1.992737</v>
      </c>
      <c r="T4598">
        <v>-0.54447270000000003</v>
      </c>
      <c r="U4598">
        <v>-3.0265499999999999</v>
      </c>
      <c r="V4598">
        <v>-0.3256019</v>
      </c>
      <c r="W4598">
        <v>0.18081920000000001</v>
      </c>
      <c r="X4598">
        <v>0.92805590000000004</v>
      </c>
      <c r="Y4598">
        <v>-0.73829889999999998</v>
      </c>
      <c r="Z4598">
        <v>-5.1591560000000002E-2</v>
      </c>
      <c r="AA4598">
        <v>0.67249759999999903</v>
      </c>
      <c r="AB4598">
        <v>27</v>
      </c>
      <c r="AC4598">
        <v>-3.86719999999996</v>
      </c>
      <c r="AD4598">
        <v>-1.127754812189</v>
      </c>
      <c r="AE4598">
        <v>-6.2213999999999796</v>
      </c>
      <c r="AF4598">
        <v>-5.4593231209855304</v>
      </c>
      <c r="AG4598">
        <v>-1.127754812189</v>
      </c>
      <c r="AH4598">
        <v>4.6261041156958296</v>
      </c>
      <c r="AI4598">
        <v>98.956191780434594</v>
      </c>
      <c r="AJ4598">
        <v>139.72283016145099</v>
      </c>
      <c r="AK4598">
        <v>7.24409270681985</v>
      </c>
      <c r="AL4598">
        <v>79.582520136770995</v>
      </c>
      <c r="AM4598">
        <v>109.333063275489</v>
      </c>
      <c r="AN4598">
        <v>0.999999966948529</v>
      </c>
    </row>
    <row r="4599" spans="1:40" x14ac:dyDescent="0.25">
      <c r="A4599" t="str">
        <f>"20190303162352966"</f>
        <v>20190303162352966</v>
      </c>
      <c r="B4599" t="str">
        <f>"1551601432959508"</f>
        <v>1551601432959508</v>
      </c>
      <c r="C4599" t="s">
        <v>40</v>
      </c>
      <c r="D4599">
        <v>5.3037519999999896</v>
      </c>
      <c r="E4599">
        <v>0.26884570000000002</v>
      </c>
      <c r="F4599" t="s">
        <v>55</v>
      </c>
      <c r="G4599">
        <v>-406.60120000000001</v>
      </c>
      <c r="H4599" s="1">
        <v>-5.8779790000000004E-6</v>
      </c>
      <c r="I4599">
        <v>133.60299999999901</v>
      </c>
      <c r="J4599">
        <v>-402.75319999999999</v>
      </c>
      <c r="K4599">
        <v>1.1280300000000001</v>
      </c>
      <c r="L4599">
        <v>139.99180000000001</v>
      </c>
      <c r="M4599">
        <v>-0.98763939999999995</v>
      </c>
      <c r="N4599">
        <v>-1.385401E-2</v>
      </c>
      <c r="O4599">
        <v>-0.156130399999999</v>
      </c>
      <c r="P4599">
        <v>-0.86788089999999996</v>
      </c>
      <c r="Q4599">
        <v>0.17083039999999999</v>
      </c>
      <c r="R4599">
        <v>-0.466476</v>
      </c>
      <c r="S4599">
        <v>-1.949921</v>
      </c>
      <c r="T4599">
        <v>-0.53472749999999902</v>
      </c>
      <c r="U4599">
        <v>-3.0529480000000002</v>
      </c>
      <c r="V4599">
        <v>-0.32836989999999999</v>
      </c>
      <c r="W4599">
        <v>0.17804210000000001</v>
      </c>
      <c r="X4599">
        <v>0.92761749999999998</v>
      </c>
      <c r="Y4599">
        <v>-0.7412164</v>
      </c>
      <c r="Z4599">
        <v>-4.984802E-2</v>
      </c>
      <c r="AA4599">
        <v>0.66941289999999998</v>
      </c>
      <c r="AB4599">
        <v>27</v>
      </c>
      <c r="AC4599">
        <v>-3.8480000000000101</v>
      </c>
      <c r="AD4599">
        <v>-1.1280358779789901</v>
      </c>
      <c r="AE4599">
        <v>-6.38880000000003</v>
      </c>
      <c r="AF4599">
        <v>-5.58189537532785</v>
      </c>
      <c r="AG4599">
        <v>-1.1280358779789901</v>
      </c>
      <c r="AH4599">
        <v>4.6910682904596896</v>
      </c>
      <c r="AI4599">
        <v>98.7944468969024</v>
      </c>
      <c r="AJ4599">
        <v>139.95604509166901</v>
      </c>
      <c r="AK4599">
        <v>7.3780852955811396</v>
      </c>
      <c r="AL4599">
        <v>79.744261645540007</v>
      </c>
      <c r="AM4599">
        <v>109.493595594054</v>
      </c>
      <c r="AN4599">
        <v>1.00000000345233</v>
      </c>
    </row>
    <row r="4600" spans="1:40" x14ac:dyDescent="0.25">
      <c r="A4600" t="str">
        <f>"20190303162352988"</f>
        <v>20190303162352988</v>
      </c>
      <c r="B4600" t="str">
        <f>"1551601432980004"</f>
        <v>1551601432980004</v>
      </c>
      <c r="C4600" t="s">
        <v>40</v>
      </c>
      <c r="D4600">
        <v>5.3386129999999996</v>
      </c>
      <c r="E4600">
        <v>0.2697599</v>
      </c>
      <c r="F4600" t="s">
        <v>55</v>
      </c>
      <c r="G4600">
        <v>-406.762</v>
      </c>
      <c r="H4600" s="1">
        <v>-5.9540099999999999E-6</v>
      </c>
      <c r="I4600">
        <v>133.5309</v>
      </c>
      <c r="J4600">
        <v>-403.00740000000002</v>
      </c>
      <c r="K4600">
        <v>1.128279</v>
      </c>
      <c r="L4600">
        <v>139.9408</v>
      </c>
      <c r="M4600">
        <v>-0.98603549999999995</v>
      </c>
      <c r="N4600">
        <v>-1.390534E-2</v>
      </c>
      <c r="O4600">
        <v>-0.16595470000000001</v>
      </c>
      <c r="P4600">
        <v>-0.86223300000000003</v>
      </c>
      <c r="Q4600">
        <v>0.1678876</v>
      </c>
      <c r="R4600">
        <v>-0.477879</v>
      </c>
      <c r="S4600">
        <v>-1.9088750000000001</v>
      </c>
      <c r="T4600">
        <v>-0.53714359999999906</v>
      </c>
      <c r="U4600">
        <v>-3.076508</v>
      </c>
      <c r="V4600">
        <v>-0.33133439999999997</v>
      </c>
      <c r="W4600">
        <v>0.17488480000000001</v>
      </c>
      <c r="X4600">
        <v>0.92716379999999998</v>
      </c>
      <c r="Y4600">
        <v>-0.74329040000000002</v>
      </c>
      <c r="Z4600">
        <v>-4.8949289999999999E-2</v>
      </c>
      <c r="AA4600">
        <v>0.66717579999999999</v>
      </c>
      <c r="AB4600">
        <v>27</v>
      </c>
      <c r="AC4600">
        <v>-3.75459999999992</v>
      </c>
      <c r="AD4600">
        <v>-1.12828495401</v>
      </c>
      <c r="AE4600">
        <v>-6.4098999999999897</v>
      </c>
      <c r="AF4600">
        <v>-5.5693665851807896</v>
      </c>
      <c r="AG4600">
        <v>-1.12828495401</v>
      </c>
      <c r="AH4600">
        <v>4.6589064217403502</v>
      </c>
      <c r="AI4600">
        <v>98.832445310444299</v>
      </c>
      <c r="AJ4600">
        <v>140.08672364907599</v>
      </c>
      <c r="AK4600">
        <v>7.3482161198557003</v>
      </c>
      <c r="AL4600">
        <v>79.928045188279896</v>
      </c>
      <c r="AM4600">
        <v>109.665029584205</v>
      </c>
      <c r="AN4600">
        <v>0.99999994496241795</v>
      </c>
    </row>
    <row r="4601" spans="1:40" x14ac:dyDescent="0.25">
      <c r="A4601" t="str">
        <f>"20190303162353011"</f>
        <v>20190303162353011</v>
      </c>
      <c r="B4601" t="str">
        <f>"1551601432999525"</f>
        <v>1551601432999525</v>
      </c>
      <c r="C4601" t="s">
        <v>40</v>
      </c>
      <c r="D4601">
        <v>5.3132799999999998</v>
      </c>
      <c r="E4601">
        <v>0.27058559999999998</v>
      </c>
      <c r="F4601" t="s">
        <v>55</v>
      </c>
      <c r="G4601">
        <v>-406.91950000000003</v>
      </c>
      <c r="H4601" s="1">
        <v>-6.026943E-6</v>
      </c>
      <c r="I4601">
        <v>133.4571</v>
      </c>
      <c r="J4601">
        <v>-403.27390000000003</v>
      </c>
      <c r="K4601">
        <v>1.1285019999999999</v>
      </c>
      <c r="L4601">
        <v>139.88419999999999</v>
      </c>
      <c r="M4601">
        <v>-0.98417969999999999</v>
      </c>
      <c r="N4601">
        <v>-1.395739E-2</v>
      </c>
      <c r="O4601">
        <v>-0.17662320000000001</v>
      </c>
      <c r="P4601">
        <v>-0.85560319999999901</v>
      </c>
      <c r="Q4601">
        <v>0.16409309999999999</v>
      </c>
      <c r="R4601">
        <v>-0.4909347</v>
      </c>
      <c r="S4601">
        <v>-1.8681639999999999</v>
      </c>
      <c r="T4601">
        <v>-0.53880430000000001</v>
      </c>
      <c r="U4601">
        <v>-3.0962830000000001</v>
      </c>
      <c r="V4601">
        <v>-0.33530510000000002</v>
      </c>
      <c r="W4601">
        <v>0.17085699999999901</v>
      </c>
      <c r="X4601">
        <v>0.92648710000000001</v>
      </c>
      <c r="Y4601">
        <v>-0.74441139999999995</v>
      </c>
      <c r="Z4601">
        <v>-4.7740379999999999E-2</v>
      </c>
      <c r="AA4601">
        <v>0.66601239999999995</v>
      </c>
      <c r="AB4601">
        <v>27</v>
      </c>
      <c r="AC4601">
        <v>-3.6456</v>
      </c>
      <c r="AD4601">
        <v>-1.1285080269429999</v>
      </c>
      <c r="AE4601">
        <v>-6.4270999999999896</v>
      </c>
      <c r="AF4601">
        <v>-5.5525599172236904</v>
      </c>
      <c r="AG4601">
        <v>-1.1285080269429999</v>
      </c>
      <c r="AH4601">
        <v>4.6158916683562801</v>
      </c>
      <c r="AI4601">
        <v>98.882873604433399</v>
      </c>
      <c r="AJ4601">
        <v>140.262956023143</v>
      </c>
      <c r="AK4601">
        <v>7.3082766706820097</v>
      </c>
      <c r="AL4601">
        <v>80.162349281660198</v>
      </c>
      <c r="AM4601">
        <v>109.895705099911</v>
      </c>
      <c r="AN4601">
        <v>0.99999998550070901</v>
      </c>
    </row>
    <row r="4602" spans="1:40" x14ac:dyDescent="0.25">
      <c r="A4602" t="str">
        <f>"20190303162353034"</f>
        <v>20190303162353034</v>
      </c>
      <c r="B4602" t="str">
        <f>"1551601433020021"</f>
        <v>1551601433020021</v>
      </c>
      <c r="C4602" t="s">
        <v>40</v>
      </c>
      <c r="D4602">
        <v>5.3068600000000004</v>
      </c>
      <c r="E4602">
        <v>0.27153919999999998</v>
      </c>
      <c r="F4602" t="s">
        <v>55</v>
      </c>
      <c r="G4602">
        <v>-407.03070000000002</v>
      </c>
      <c r="H4602" s="1">
        <v>-6.1017740000000003E-6</v>
      </c>
      <c r="I4602">
        <v>133.45480000000001</v>
      </c>
      <c r="J4602">
        <v>-403.53809999999999</v>
      </c>
      <c r="K4602">
        <v>1.1287229999999999</v>
      </c>
      <c r="L4602">
        <v>139.82470000000001</v>
      </c>
      <c r="M4602">
        <v>-0.98215059999999998</v>
      </c>
      <c r="N4602">
        <v>-1.400853E-2</v>
      </c>
      <c r="O4602">
        <v>-0.1875742</v>
      </c>
      <c r="P4602">
        <v>-0.84772459999999905</v>
      </c>
      <c r="Q4602">
        <v>0.16119049999999999</v>
      </c>
      <c r="R4602">
        <v>-0.50535259999999904</v>
      </c>
      <c r="S4602">
        <v>-1.822052</v>
      </c>
      <c r="T4602">
        <v>-0.54732419999999904</v>
      </c>
      <c r="U4602">
        <v>-3.1182400000000001</v>
      </c>
      <c r="V4602">
        <v>-0.34061849999999999</v>
      </c>
      <c r="W4602">
        <v>0.16769319999999999</v>
      </c>
      <c r="X4602">
        <v>0.925126</v>
      </c>
      <c r="Y4602">
        <v>-0.74622889999999997</v>
      </c>
      <c r="Z4602">
        <v>-4.7050509999999997E-2</v>
      </c>
      <c r="AA4602">
        <v>0.66402469999999902</v>
      </c>
      <c r="AB4602">
        <v>27</v>
      </c>
      <c r="AC4602">
        <v>-3.4926000000000301</v>
      </c>
      <c r="AD4602">
        <v>-1.128729101774</v>
      </c>
      <c r="AE4602">
        <v>-6.3699000000000003</v>
      </c>
      <c r="AF4602">
        <v>-5.4695859321880302</v>
      </c>
      <c r="AG4602">
        <v>-1.128729101774</v>
      </c>
      <c r="AH4602">
        <v>4.5165073818073296</v>
      </c>
      <c r="AI4602">
        <v>99.041421921639795</v>
      </c>
      <c r="AJ4602">
        <v>140.45182912146501</v>
      </c>
      <c r="AK4602">
        <v>7.1825649029229703</v>
      </c>
      <c r="AL4602">
        <v>80.346276601376701</v>
      </c>
      <c r="AM4602">
        <v>110.213003730737</v>
      </c>
      <c r="AN4602">
        <v>1.0000000438722401</v>
      </c>
    </row>
    <row r="4603" spans="1:40" x14ac:dyDescent="0.25">
      <c r="A4603" t="str">
        <f>"20190303162353056"</f>
        <v>20190303162353056</v>
      </c>
      <c r="B4603" t="str">
        <f>"1551601433049301"</f>
        <v>1551601433049301</v>
      </c>
      <c r="C4603" t="s">
        <v>40</v>
      </c>
      <c r="D4603">
        <v>5.3636419999999996</v>
      </c>
      <c r="E4603">
        <v>0.27341739999999998</v>
      </c>
      <c r="F4603" t="s">
        <v>55</v>
      </c>
      <c r="G4603">
        <v>-407.13600000000002</v>
      </c>
      <c r="H4603" s="1">
        <v>-6.1713690000000001E-6</v>
      </c>
      <c r="I4603">
        <v>133.45009999999999</v>
      </c>
      <c r="J4603">
        <v>-403.79320000000001</v>
      </c>
      <c r="K4603">
        <v>1.128938</v>
      </c>
      <c r="L4603">
        <v>139.76400000000001</v>
      </c>
      <c r="M4603">
        <v>-0.9800044</v>
      </c>
      <c r="N4603">
        <v>-1.4059479999999999E-2</v>
      </c>
      <c r="O4603">
        <v>-0.1984783</v>
      </c>
      <c r="P4603">
        <v>-0.83893949999999995</v>
      </c>
      <c r="Q4603">
        <v>0.158611999999999</v>
      </c>
      <c r="R4603">
        <v>-0.52059840000000002</v>
      </c>
      <c r="S4603">
        <v>-1.772491</v>
      </c>
      <c r="T4603">
        <v>-0.55606959999999905</v>
      </c>
      <c r="U4603">
        <v>-3.1404420000000002</v>
      </c>
      <c r="V4603">
        <v>-0.34701140000000003</v>
      </c>
      <c r="W4603">
        <v>0.16483490000000001</v>
      </c>
      <c r="X4603">
        <v>0.92326189999999997</v>
      </c>
      <c r="Y4603">
        <v>-0.74863310000000005</v>
      </c>
      <c r="Z4603">
        <v>-4.6420030000000001E-2</v>
      </c>
      <c r="AA4603">
        <v>0.66135739999999998</v>
      </c>
      <c r="AB4603">
        <v>27</v>
      </c>
      <c r="AC4603">
        <v>-3.3427999999999498</v>
      </c>
      <c r="AD4603">
        <v>-1.1289441713689901</v>
      </c>
      <c r="AE4603">
        <v>-6.3139000000000101</v>
      </c>
      <c r="AF4603">
        <v>-5.3901255339056497</v>
      </c>
      <c r="AG4603">
        <v>-1.1289441713689901</v>
      </c>
      <c r="AH4603">
        <v>4.41922587649257</v>
      </c>
      <c r="AI4603">
        <v>99.200208115800194</v>
      </c>
      <c r="AJ4603">
        <v>140.65255103755001</v>
      </c>
      <c r="AK4603">
        <v>7.0609861606429503</v>
      </c>
      <c r="AL4603">
        <v>80.512356350320999</v>
      </c>
      <c r="AM4603">
        <v>110.59891610160599</v>
      </c>
      <c r="AN4603">
        <v>0.99999999598978995</v>
      </c>
    </row>
    <row r="4604" spans="1:40" x14ac:dyDescent="0.25">
      <c r="A4604" t="str">
        <f>"20190303162353078"</f>
        <v>20190303162353078</v>
      </c>
      <c r="B4604" t="str">
        <f>"1551601433069797"</f>
        <v>1551601433069797</v>
      </c>
      <c r="C4604" t="s">
        <v>40</v>
      </c>
      <c r="D4604">
        <v>5.392436</v>
      </c>
      <c r="E4604">
        <v>0.2747542</v>
      </c>
      <c r="F4604" t="s">
        <v>55</v>
      </c>
      <c r="G4604">
        <v>-407.2466</v>
      </c>
      <c r="H4604" s="1">
        <v>-6.2420100000000004E-6</v>
      </c>
      <c r="I4604">
        <v>133.43979999999999</v>
      </c>
      <c r="J4604">
        <v>-404.04809999999998</v>
      </c>
      <c r="K4604">
        <v>1.1291249999999999</v>
      </c>
      <c r="L4604">
        <v>139.69999999999999</v>
      </c>
      <c r="M4604">
        <v>-0.97767179999999998</v>
      </c>
      <c r="N4604">
        <v>-1.4107400000000001E-2</v>
      </c>
      <c r="O4604">
        <v>-0.20966280000000001</v>
      </c>
      <c r="P4604">
        <v>-0.83004889999999998</v>
      </c>
      <c r="Q4604">
        <v>0.1566216</v>
      </c>
      <c r="R4604">
        <v>-0.535246</v>
      </c>
      <c r="S4604">
        <v>-1.7236629999999999</v>
      </c>
      <c r="T4604">
        <v>-0.56348030000000005</v>
      </c>
      <c r="U4604">
        <v>-3.156555</v>
      </c>
      <c r="V4604">
        <v>-0.3526377</v>
      </c>
      <c r="W4604">
        <v>0.16258449999999999</v>
      </c>
      <c r="X4604">
        <v>0.92152750000000005</v>
      </c>
      <c r="Y4604">
        <v>-0.75023839999999997</v>
      </c>
      <c r="Z4604">
        <v>-4.5518700000000002E-2</v>
      </c>
      <c r="AA4604">
        <v>0.65959869999999898</v>
      </c>
      <c r="AB4604">
        <v>27</v>
      </c>
      <c r="AC4604">
        <v>-3.1985000000000201</v>
      </c>
      <c r="AD4604">
        <v>-1.1291312420099999</v>
      </c>
      <c r="AE4604">
        <v>-6.2601999999999904</v>
      </c>
      <c r="AF4604">
        <v>-5.3132870630697298</v>
      </c>
      <c r="AG4604">
        <v>-1.1291312420099999</v>
      </c>
      <c r="AH4604">
        <v>4.3283941380559403</v>
      </c>
      <c r="AI4604">
        <v>99.356014622864294</v>
      </c>
      <c r="AJ4604">
        <v>140.832504972702</v>
      </c>
      <c r="AK4604">
        <v>6.9455707174158299</v>
      </c>
      <c r="AL4604">
        <v>80.643058198817698</v>
      </c>
      <c r="AM4604">
        <v>110.94017407437801</v>
      </c>
      <c r="AN4604">
        <v>1.00000000017889</v>
      </c>
    </row>
    <row r="4605" spans="1:40" x14ac:dyDescent="0.25">
      <c r="A4605" t="str">
        <f>"20190303162353100"</f>
        <v>20190303162353100</v>
      </c>
      <c r="B4605" t="str">
        <f>"1551601433089317"</f>
        <v>1551601433089317</v>
      </c>
      <c r="C4605" t="s">
        <v>40</v>
      </c>
      <c r="D4605">
        <v>5.4026110000000003</v>
      </c>
      <c r="E4605">
        <v>0.29805799999999999</v>
      </c>
      <c r="F4605" t="s">
        <v>55</v>
      </c>
      <c r="G4605">
        <v>-407.3698</v>
      </c>
      <c r="H4605" s="1">
        <v>-6.3055120000000004E-6</v>
      </c>
      <c r="I4605">
        <v>133.39590000000001</v>
      </c>
      <c r="J4605">
        <v>-404.29579999999999</v>
      </c>
      <c r="K4605">
        <v>1.1292759999999999</v>
      </c>
      <c r="L4605">
        <v>139.63460000000001</v>
      </c>
      <c r="M4605">
        <v>-0.97522470000000006</v>
      </c>
      <c r="N4605">
        <v>-1.4146580000000001E-2</v>
      </c>
      <c r="O4605">
        <v>-0.2207643</v>
      </c>
      <c r="P4605">
        <v>-0.82161669999999998</v>
      </c>
      <c r="Q4605">
        <v>0.15533710000000001</v>
      </c>
      <c r="R4605">
        <v>-0.5484677</v>
      </c>
      <c r="S4605">
        <v>-1.67349199999999</v>
      </c>
      <c r="T4605">
        <v>-0.56887670000000001</v>
      </c>
      <c r="U4605">
        <v>-3.1761469999999998</v>
      </c>
      <c r="V4605">
        <v>-0.35691030000000001</v>
      </c>
      <c r="W4605">
        <v>0.1610839</v>
      </c>
      <c r="X4605">
        <v>0.9201452</v>
      </c>
      <c r="Y4605">
        <v>-0.75248780000000004</v>
      </c>
      <c r="Z4605">
        <v>-4.4510170000000002E-2</v>
      </c>
      <c r="AA4605">
        <v>0.65710040000000003</v>
      </c>
      <c r="AB4605">
        <v>27</v>
      </c>
      <c r="AC4605">
        <v>-3.0740000000000101</v>
      </c>
      <c r="AD4605">
        <v>-1.129282305512</v>
      </c>
      <c r="AE4605">
        <v>-6.2386999999999899</v>
      </c>
      <c r="AF4605">
        <v>-5.2671781811837501</v>
      </c>
      <c r="AG4605">
        <v>-1.129282305512</v>
      </c>
      <c r="AH4605">
        <v>4.2631637097819501</v>
      </c>
      <c r="AI4605">
        <v>99.461542753153907</v>
      </c>
      <c r="AJ4605">
        <v>141.01388517110601</v>
      </c>
      <c r="AK4605">
        <v>6.8697168307203604</v>
      </c>
      <c r="AL4605">
        <v>80.730185572761798</v>
      </c>
      <c r="AM4605">
        <v>111.20051408054699</v>
      </c>
      <c r="AN4605">
        <v>1.0000000870841601</v>
      </c>
    </row>
    <row r="4606" spans="1:40" x14ac:dyDescent="0.25">
      <c r="A4606" t="str">
        <f>"20190303162353123"</f>
        <v>20190303162353123</v>
      </c>
      <c r="B4606" t="str">
        <f>"1551601433120549"</f>
        <v>1551601433120549</v>
      </c>
      <c r="C4606" t="s">
        <v>40</v>
      </c>
      <c r="D4606">
        <v>5.299131</v>
      </c>
      <c r="E4606">
        <v>0.29892419999999997</v>
      </c>
      <c r="F4606" t="s">
        <v>55</v>
      </c>
      <c r="G4606">
        <v>-408.0505</v>
      </c>
      <c r="H4606" s="1">
        <v>-6.5773620000000001E-6</v>
      </c>
      <c r="I4606">
        <v>132.9836</v>
      </c>
      <c r="J4606">
        <v>-404.55770000000001</v>
      </c>
      <c r="K4606">
        <v>1.1294090000000001</v>
      </c>
      <c r="L4606">
        <v>139.56200000000001</v>
      </c>
      <c r="M4606">
        <v>-0.97244439999999999</v>
      </c>
      <c r="N4606">
        <v>-1.418035E-2</v>
      </c>
      <c r="O4606">
        <v>-0.23270379999999999</v>
      </c>
      <c r="P4606">
        <v>-0.81317980000000001</v>
      </c>
      <c r="Q4606">
        <v>0.1532993</v>
      </c>
      <c r="R4606">
        <v>-0.56146059999999998</v>
      </c>
      <c r="S4606">
        <v>-1.717773</v>
      </c>
      <c r="T4606">
        <v>-0.51664730000000003</v>
      </c>
      <c r="U4606">
        <v>-3.042862</v>
      </c>
      <c r="V4606">
        <v>-0.36018800000000001</v>
      </c>
      <c r="W4606">
        <v>0.1588707</v>
      </c>
      <c r="X4606">
        <v>0.91925219999999996</v>
      </c>
      <c r="Y4606">
        <v>-0.72631309999999905</v>
      </c>
      <c r="Z4606">
        <v>-3.6706849999999999E-2</v>
      </c>
      <c r="AA4606">
        <v>0.68638319999999997</v>
      </c>
      <c r="AB4606">
        <v>27</v>
      </c>
      <c r="AC4606">
        <v>-3.4927999999999799</v>
      </c>
      <c r="AD4606">
        <v>-1.129415577362</v>
      </c>
      <c r="AE4606">
        <v>-6.57840000000001</v>
      </c>
      <c r="AF4606">
        <v>-5.4593697344277103</v>
      </c>
      <c r="AG4606">
        <v>-1.129415577362</v>
      </c>
      <c r="AH4606">
        <v>4.8171039390573496</v>
      </c>
      <c r="AI4606">
        <v>98.817653255280305</v>
      </c>
      <c r="AJ4606">
        <v>138.57625768219199</v>
      </c>
      <c r="AK4606">
        <v>7.3678211028264702</v>
      </c>
      <c r="AL4606">
        <v>80.858645849478606</v>
      </c>
      <c r="AM4606">
        <v>111.39659611152599</v>
      </c>
      <c r="AN4606">
        <v>0.99999995093366301</v>
      </c>
    </row>
    <row r="4607" spans="1:40" x14ac:dyDescent="0.25">
      <c r="A4607" t="str">
        <f>"20190303162353144"</f>
        <v>20190303162353144</v>
      </c>
      <c r="B4607" t="str">
        <f>"1551601433139094"</f>
        <v>1551601433139094</v>
      </c>
      <c r="C4607" t="s">
        <v>40</v>
      </c>
      <c r="D4607">
        <v>4.885853</v>
      </c>
      <c r="E4607">
        <v>0.29467019999999999</v>
      </c>
      <c r="F4607" t="s">
        <v>55</v>
      </c>
      <c r="G4607">
        <v>-408.08150000000001</v>
      </c>
      <c r="H4607" s="1">
        <v>-6.6649450000000001E-6</v>
      </c>
      <c r="I4607">
        <v>133.1259</v>
      </c>
      <c r="J4607">
        <v>-404.81</v>
      </c>
      <c r="K4607">
        <v>1.12947999999999</v>
      </c>
      <c r="L4607">
        <v>139.48830000000001</v>
      </c>
      <c r="M4607">
        <v>-0.96958009999999994</v>
      </c>
      <c r="N4607">
        <v>-1.4206170000000001E-2</v>
      </c>
      <c r="O4607">
        <v>-0.2443623</v>
      </c>
      <c r="P4607">
        <v>-0.80388590000000004</v>
      </c>
      <c r="Q4607">
        <v>0.15091450000000001</v>
      </c>
      <c r="R4607">
        <v>-0.57531929999999998</v>
      </c>
      <c r="S4607">
        <v>-1.6763920000000001</v>
      </c>
      <c r="T4607">
        <v>-0.53731229999999996</v>
      </c>
      <c r="U4607">
        <v>-3.0619510000000001</v>
      </c>
      <c r="V4607">
        <v>-0.36479440000000002</v>
      </c>
      <c r="W4607">
        <v>0.15630859999999999</v>
      </c>
      <c r="X4607">
        <v>0.91787399999999997</v>
      </c>
      <c r="Y4607">
        <v>-0.72666799999999998</v>
      </c>
      <c r="Z4607">
        <v>-3.606003E-2</v>
      </c>
      <c r="AA4607">
        <v>0.68604180000000003</v>
      </c>
      <c r="AB4607">
        <v>27</v>
      </c>
      <c r="AC4607">
        <v>-3.2715000000000001</v>
      </c>
      <c r="AD4607">
        <v>-1.1294866649449899</v>
      </c>
      <c r="AE4607">
        <v>-6.3624000000000001</v>
      </c>
      <c r="AF4607">
        <v>-5.2393740198755996</v>
      </c>
      <c r="AG4607">
        <v>-1.1294866649449899</v>
      </c>
      <c r="AH4607">
        <v>4.61222780258064</v>
      </c>
      <c r="AI4607">
        <v>99.191483300823606</v>
      </c>
      <c r="AJ4607">
        <v>138.64249493154301</v>
      </c>
      <c r="AK4607">
        <v>7.0710271919526502</v>
      </c>
      <c r="AL4607">
        <v>81.007301411667697</v>
      </c>
      <c r="AM4607">
        <v>111.674558720532</v>
      </c>
      <c r="AN4607">
        <v>1.00000000629066</v>
      </c>
    </row>
    <row r="4608" spans="1:40" x14ac:dyDescent="0.25">
      <c r="A4608" t="str">
        <f>"20190303162353189"</f>
        <v>20190303162353189</v>
      </c>
      <c r="B4608" t="str">
        <f>"1551601433179110"</f>
        <v>1551601433179110</v>
      </c>
      <c r="C4608" t="s">
        <v>40</v>
      </c>
      <c r="D4608">
        <v>4.9075129999999998</v>
      </c>
      <c r="E4608">
        <v>0.2894659</v>
      </c>
      <c r="F4608" t="s">
        <v>55</v>
      </c>
      <c r="G4608">
        <v>-408.03140000000002</v>
      </c>
      <c r="H4608" s="1">
        <v>-6.6885779999999996E-6</v>
      </c>
      <c r="I4608">
        <v>133.24959999999999</v>
      </c>
      <c r="J4608">
        <v>-405.30829999999997</v>
      </c>
      <c r="K4608">
        <v>1.129535</v>
      </c>
      <c r="L4608">
        <v>139.33279999999999</v>
      </c>
      <c r="M4608">
        <v>-0.96340930000000002</v>
      </c>
      <c r="N4608">
        <v>-1.424167E-2</v>
      </c>
      <c r="O4608">
        <v>-0.2676557</v>
      </c>
      <c r="P4608">
        <v>-0.78407789999999999</v>
      </c>
      <c r="Q4608">
        <v>0.1495118</v>
      </c>
      <c r="R4608">
        <v>-0.60238510000000001</v>
      </c>
      <c r="S4608">
        <v>-1.6084290000000001</v>
      </c>
      <c r="T4608">
        <v>-0.56395410000000001</v>
      </c>
      <c r="U4608">
        <v>-3.1149749999999998</v>
      </c>
      <c r="V4608">
        <v>-0.3738997</v>
      </c>
      <c r="W4608">
        <v>0.15461610000000001</v>
      </c>
      <c r="X4608">
        <v>0.91449049999999998</v>
      </c>
      <c r="Y4608">
        <v>-0.72654839999999998</v>
      </c>
      <c r="Z4608">
        <v>-3.338406E-2</v>
      </c>
      <c r="AA4608">
        <v>0.68630389999999997</v>
      </c>
      <c r="AB4608">
        <v>27</v>
      </c>
      <c r="AC4608">
        <v>-2.72310000000004</v>
      </c>
      <c r="AD4608">
        <v>-1.1295416885780001</v>
      </c>
      <c r="AE4608">
        <v>-6.0831999999999997</v>
      </c>
      <c r="AF4608">
        <v>-4.9889836404242001</v>
      </c>
      <c r="AG4608">
        <v>-1.1295416885780001</v>
      </c>
      <c r="AH4608">
        <v>4.1333742451266797</v>
      </c>
      <c r="AI4608">
        <v>99.889800164943296</v>
      </c>
      <c r="AJ4608">
        <v>140.35824289374099</v>
      </c>
      <c r="AK4608">
        <v>6.5765192040267397</v>
      </c>
      <c r="AL4608">
        <v>81.105467996002403</v>
      </c>
      <c r="AM4608">
        <v>112.23774913912899</v>
      </c>
      <c r="AN4608">
        <v>0.99999999931477501</v>
      </c>
    </row>
    <row r="4609" spans="1:40" x14ac:dyDescent="0.25">
      <c r="A4609" t="str">
        <f>"20190303162353235"</f>
        <v>20190303162353235</v>
      </c>
      <c r="B4609" t="str">
        <f>"1551601433229861"</f>
        <v>1551601433229861</v>
      </c>
      <c r="C4609" t="s">
        <v>40</v>
      </c>
      <c r="D4609">
        <v>5.3167070000000001</v>
      </c>
      <c r="E4609">
        <v>0.3153453</v>
      </c>
      <c r="F4609" t="s">
        <v>55</v>
      </c>
      <c r="G4609">
        <v>-408.13799999999998</v>
      </c>
      <c r="H4609" s="1">
        <v>-6.7519469999999999E-6</v>
      </c>
      <c r="I4609">
        <v>133.2296</v>
      </c>
      <c r="J4609">
        <v>-405.81209999999999</v>
      </c>
      <c r="K4609">
        <v>1.1295569999999999</v>
      </c>
      <c r="L4609">
        <v>139.1619</v>
      </c>
      <c r="M4609">
        <v>-0.95648540000000004</v>
      </c>
      <c r="N4609">
        <v>-1.4263430000000001E-2</v>
      </c>
      <c r="O4609">
        <v>-0.2914312</v>
      </c>
      <c r="P4609">
        <v>-0.76358769999999998</v>
      </c>
      <c r="Q4609">
        <v>0.14829020000000001</v>
      </c>
      <c r="R4609">
        <v>-0.62844549999999999</v>
      </c>
      <c r="S4609">
        <v>-1.4824520000000001</v>
      </c>
      <c r="T4609">
        <v>-0.59177040000000003</v>
      </c>
      <c r="U4609">
        <v>-3.1974490000000002</v>
      </c>
      <c r="V4609">
        <v>-0.38197199999999998</v>
      </c>
      <c r="W4609">
        <v>0.15316080000000001</v>
      </c>
      <c r="X4609">
        <v>0.91139409999999998</v>
      </c>
      <c r="Y4609">
        <v>-0.73814579999999996</v>
      </c>
      <c r="Z4609">
        <v>-3.2006149999999997E-2</v>
      </c>
      <c r="AA4609">
        <v>0.67388159999999997</v>
      </c>
      <c r="AB4609">
        <v>27</v>
      </c>
      <c r="AC4609">
        <v>-2.3259000000000398</v>
      </c>
      <c r="AD4609">
        <v>-1.1295637519470001</v>
      </c>
      <c r="AE4609">
        <v>-5.9322999999999899</v>
      </c>
      <c r="AF4609">
        <v>-4.8445863310674904</v>
      </c>
      <c r="AG4609">
        <v>-1.1295637519470001</v>
      </c>
      <c r="AH4609">
        <v>3.83348224509268</v>
      </c>
      <c r="AI4609">
        <v>100.361589688226</v>
      </c>
      <c r="AJ4609">
        <v>141.64571445104701</v>
      </c>
      <c r="AK4609">
        <v>6.2802481728288004</v>
      </c>
      <c r="AL4609">
        <v>81.189855965625398</v>
      </c>
      <c r="AM4609">
        <v>112.73891776941601</v>
      </c>
      <c r="AN4609">
        <v>1.0000000224777199</v>
      </c>
    </row>
    <row r="4610" spans="1:40" x14ac:dyDescent="0.25">
      <c r="A4610" t="str">
        <f>"20190303162353257"</f>
        <v>20190303162353257</v>
      </c>
      <c r="B4610" t="str">
        <f>"1551601433249381"</f>
        <v>1551601433249381</v>
      </c>
      <c r="C4610" t="s">
        <v>40</v>
      </c>
      <c r="D4610">
        <v>5.3415900000000001</v>
      </c>
      <c r="E4610">
        <v>0.31705129999999998</v>
      </c>
      <c r="F4610" t="s">
        <v>55</v>
      </c>
      <c r="G4610">
        <v>-409.25349999999997</v>
      </c>
      <c r="H4610" s="1">
        <v>-6.9396530000000004E-6</v>
      </c>
      <c r="I4610">
        <v>132.0685</v>
      </c>
      <c r="J4610">
        <v>-406.05410000000001</v>
      </c>
      <c r="K4610">
        <v>1.1295820000000001</v>
      </c>
      <c r="L4610">
        <v>139.07480000000001</v>
      </c>
      <c r="M4610">
        <v>-0.95289780000000002</v>
      </c>
      <c r="N4610">
        <v>-1.4268579999999999E-2</v>
      </c>
      <c r="O4610">
        <v>-0.30295620000000001</v>
      </c>
      <c r="P4610">
        <v>-0.75378040000000002</v>
      </c>
      <c r="Q4610">
        <v>0.14742849999999999</v>
      </c>
      <c r="R4610">
        <v>-0.64037509999999997</v>
      </c>
      <c r="S4610">
        <v>-1.49234</v>
      </c>
      <c r="T4610">
        <v>-0.48983280000000001</v>
      </c>
      <c r="U4610">
        <v>-3.0760350000000001</v>
      </c>
      <c r="V4610">
        <v>-0.38525110000000001</v>
      </c>
      <c r="W4610">
        <v>0.15218010000000001</v>
      </c>
      <c r="X4610">
        <v>0.91017740000000003</v>
      </c>
      <c r="Y4610">
        <v>-0.72007969999999999</v>
      </c>
      <c r="Z4610">
        <v>-2.4729040000000001E-2</v>
      </c>
      <c r="AA4610">
        <v>0.69345069999999998</v>
      </c>
      <c r="AB4610">
        <v>27</v>
      </c>
      <c r="AC4610">
        <v>-3.1993999999999598</v>
      </c>
      <c r="AD4610">
        <v>-1.1295889396529999</v>
      </c>
      <c r="AE4610">
        <v>-7.0063000000000004</v>
      </c>
      <c r="AF4610">
        <v>-5.5874138954595098</v>
      </c>
      <c r="AG4610">
        <v>-1.1295889396529999</v>
      </c>
      <c r="AH4610">
        <v>5.0629335982932799</v>
      </c>
      <c r="AI4610">
        <v>98.520212989112295</v>
      </c>
      <c r="AJ4610">
        <v>137.819274288971</v>
      </c>
      <c r="AK4610">
        <v>7.6242023735265203</v>
      </c>
      <c r="AL4610">
        <v>81.246712666748095</v>
      </c>
      <c r="AM4610">
        <v>112.94149943119901</v>
      </c>
      <c r="AN4610">
        <v>1.00000004617898</v>
      </c>
    </row>
    <row r="4611" spans="1:40" x14ac:dyDescent="0.25">
      <c r="A4611" t="str">
        <f>"20190303162353280"</f>
        <v>20190303162353280</v>
      </c>
      <c r="B4611" t="str">
        <f>"1551601433269877"</f>
        <v>1551601433269877</v>
      </c>
      <c r="C4611" t="s">
        <v>40</v>
      </c>
      <c r="D4611">
        <v>5.346171</v>
      </c>
      <c r="E4611">
        <v>0.31926139999999997</v>
      </c>
      <c r="F4611" t="s">
        <v>55</v>
      </c>
      <c r="G4611">
        <v>-409.411</v>
      </c>
      <c r="H4611" s="1">
        <v>-6.9726189999999901E-6</v>
      </c>
      <c r="I4611">
        <v>131.9196</v>
      </c>
      <c r="J4611">
        <v>-406.3064</v>
      </c>
      <c r="K4611">
        <v>1.1296409999999999</v>
      </c>
      <c r="L4611">
        <v>138.9804</v>
      </c>
      <c r="M4611">
        <v>-0.94895779999999996</v>
      </c>
      <c r="N4611">
        <v>-1.4275410000000001E-2</v>
      </c>
      <c r="O4611">
        <v>-0.31508009999999997</v>
      </c>
      <c r="P4611">
        <v>-0.74474569999999995</v>
      </c>
      <c r="Q4611">
        <v>0.1461364</v>
      </c>
      <c r="R4611">
        <v>-0.65115129999999999</v>
      </c>
      <c r="S4611">
        <v>-1.4498899999999999</v>
      </c>
      <c r="T4611">
        <v>-0.48788880000000001</v>
      </c>
      <c r="U4611">
        <v>-3.0904389999999999</v>
      </c>
      <c r="V4611">
        <v>-0.38665919999999998</v>
      </c>
      <c r="W4611">
        <v>0.15079389999999901</v>
      </c>
      <c r="X4611">
        <v>0.90981089999999998</v>
      </c>
      <c r="Y4611">
        <v>-0.72040959999999998</v>
      </c>
      <c r="Z4611">
        <v>-2.2919459999999999E-2</v>
      </c>
      <c r="AA4611">
        <v>0.69316999999999995</v>
      </c>
      <c r="AB4611">
        <v>27</v>
      </c>
      <c r="AC4611">
        <v>-3.1046</v>
      </c>
      <c r="AD4611">
        <v>-1.1296479726190001</v>
      </c>
      <c r="AE4611">
        <v>-7.0608000000000004</v>
      </c>
      <c r="AF4611">
        <v>-5.6026129832101299</v>
      </c>
      <c r="AG4611">
        <v>-1.1296479726190001</v>
      </c>
      <c r="AH4611">
        <v>5.0627842963496299</v>
      </c>
      <c r="AI4611">
        <v>98.508232574273507</v>
      </c>
      <c r="AJ4611">
        <v>137.89755105111499</v>
      </c>
      <c r="AK4611">
        <v>7.6352577961088803</v>
      </c>
      <c r="AL4611">
        <v>81.327063031490994</v>
      </c>
      <c r="AM4611">
        <v>113.024935528339</v>
      </c>
      <c r="AN4611">
        <v>1.00000000549033</v>
      </c>
    </row>
    <row r="4612" spans="1:40" x14ac:dyDescent="0.25">
      <c r="A4612" t="str">
        <f>"20190303162353303"</f>
        <v>20190303162353303</v>
      </c>
      <c r="B4612" t="str">
        <f>"1551601433289398"</f>
        <v>1551601433289398</v>
      </c>
      <c r="C4612" t="s">
        <v>40</v>
      </c>
      <c r="D4612">
        <v>5.3927350000000001</v>
      </c>
      <c r="E4612">
        <v>0.33056459999999999</v>
      </c>
      <c r="F4612" t="s">
        <v>55</v>
      </c>
      <c r="G4612">
        <v>-409.6225</v>
      </c>
      <c r="H4612" s="1">
        <v>-7.01037299999999E-6</v>
      </c>
      <c r="I4612">
        <v>131.70480000000001</v>
      </c>
      <c r="J4612">
        <v>-406.55439999999999</v>
      </c>
      <c r="K4612">
        <v>1.1297429999999999</v>
      </c>
      <c r="L4612">
        <v>138.88390000000001</v>
      </c>
      <c r="M4612">
        <v>-0.94486250000000005</v>
      </c>
      <c r="N4612">
        <v>-1.428777E-2</v>
      </c>
      <c r="O4612">
        <v>-0.32715539999999999</v>
      </c>
      <c r="P4612">
        <v>-0.73677740000000003</v>
      </c>
      <c r="Q4612">
        <v>0.1451897</v>
      </c>
      <c r="R4612">
        <v>-0.66036280000000003</v>
      </c>
      <c r="S4612">
        <v>-1.41272</v>
      </c>
      <c r="T4612">
        <v>-0.4812497</v>
      </c>
      <c r="U4612">
        <v>-3.0995330000000001</v>
      </c>
      <c r="V4612">
        <v>-0.3863277</v>
      </c>
      <c r="W4612">
        <v>0.14977470000000001</v>
      </c>
      <c r="X4612">
        <v>0.91012000000000004</v>
      </c>
      <c r="Y4612">
        <v>-0.71943179999999995</v>
      </c>
      <c r="Z4612">
        <v>-2.085919E-2</v>
      </c>
      <c r="AA4612">
        <v>0.69424980000000003</v>
      </c>
      <c r="AB4612">
        <v>27</v>
      </c>
      <c r="AC4612">
        <v>-3.06810000000001</v>
      </c>
      <c r="AD4612">
        <v>-1.129750010373</v>
      </c>
      <c r="AE4612">
        <v>-7.1791</v>
      </c>
      <c r="AF4612">
        <v>-5.6615554699452799</v>
      </c>
      <c r="AG4612">
        <v>-1.129750010373</v>
      </c>
      <c r="AH4612">
        <v>5.1405088223053603</v>
      </c>
      <c r="AI4612">
        <v>98.403852988605806</v>
      </c>
      <c r="AJ4612">
        <v>137.76156961728699</v>
      </c>
      <c r="AK4612">
        <v>7.7300954960080697</v>
      </c>
      <c r="AL4612">
        <v>81.386129532260298</v>
      </c>
      <c r="AM4612">
        <v>113.000249658505</v>
      </c>
      <c r="AN4612">
        <v>0.99999998347368901</v>
      </c>
    </row>
    <row r="4613" spans="1:40" x14ac:dyDescent="0.25">
      <c r="A4613" t="str">
        <f>"20190303162353325"</f>
        <v>20190303162353325</v>
      </c>
      <c r="B4613" t="str">
        <f>"1551601433319654"</f>
        <v>1551601433319654</v>
      </c>
      <c r="C4613" t="s">
        <v>40</v>
      </c>
      <c r="D4613">
        <v>5.4709250000000003</v>
      </c>
      <c r="E4613">
        <v>0.33354430000000002</v>
      </c>
      <c r="F4613" t="s">
        <v>55</v>
      </c>
      <c r="G4613">
        <v>-410.2251</v>
      </c>
      <c r="H4613" s="1">
        <v>-6.9039010000000003E-6</v>
      </c>
      <c r="I4613">
        <v>131.03739999999999</v>
      </c>
      <c r="J4613">
        <v>-406.7878</v>
      </c>
      <c r="K4613">
        <v>1.1298790000000001</v>
      </c>
      <c r="L4613">
        <v>138.78909999999999</v>
      </c>
      <c r="M4613">
        <v>-0.94076839999999995</v>
      </c>
      <c r="N4613">
        <v>-1.4307169999999999E-2</v>
      </c>
      <c r="O4613">
        <v>-0.33874769999999998</v>
      </c>
      <c r="P4613">
        <v>-0.72926009999999997</v>
      </c>
      <c r="Q4613">
        <v>0.14527279999999901</v>
      </c>
      <c r="R4613">
        <v>-0.66863689999999998</v>
      </c>
      <c r="S4613">
        <v>-1.426086</v>
      </c>
      <c r="T4613">
        <v>-0.43890950000000001</v>
      </c>
      <c r="U4613">
        <v>-3.0483549999999999</v>
      </c>
      <c r="V4613">
        <v>-0.38546419999999998</v>
      </c>
      <c r="W4613">
        <v>0.14977660000000001</v>
      </c>
      <c r="X4613">
        <v>0.91048580000000001</v>
      </c>
      <c r="Y4613">
        <v>-0.7047426</v>
      </c>
      <c r="Z4613">
        <v>-1.680361E-2</v>
      </c>
      <c r="AA4613">
        <v>0.70926409999999995</v>
      </c>
      <c r="AB4613">
        <v>27</v>
      </c>
      <c r="AC4613">
        <v>-3.4372999999999898</v>
      </c>
      <c r="AD4613">
        <v>-1.1298859039010001</v>
      </c>
      <c r="AE4613">
        <v>-7.7516999999999996</v>
      </c>
      <c r="AF4613">
        <v>-6.02188694390418</v>
      </c>
      <c r="AG4613">
        <v>-1.1298859039010001</v>
      </c>
      <c r="AH4613">
        <v>5.7579425543937504</v>
      </c>
      <c r="AI4613">
        <v>97.722943355230299</v>
      </c>
      <c r="AJ4613">
        <v>136.28358135342901</v>
      </c>
      <c r="AK4613">
        <v>8.4079526033806999</v>
      </c>
      <c r="AL4613">
        <v>81.386019881562802</v>
      </c>
      <c r="AM4613">
        <v>112.945905498271</v>
      </c>
      <c r="AN4613">
        <v>1.00000003569541</v>
      </c>
    </row>
    <row r="4614" spans="1:40" x14ac:dyDescent="0.25">
      <c r="A4614" t="str">
        <f>"20190303162353346"</f>
        <v>20190303162353346</v>
      </c>
      <c r="B4614" t="str">
        <f>"1551601433339174"</f>
        <v>1551601433339174</v>
      </c>
      <c r="C4614" t="s">
        <v>40</v>
      </c>
      <c r="D4614">
        <v>5.4969659999999996</v>
      </c>
      <c r="E4614">
        <v>0.33527200000000001</v>
      </c>
      <c r="F4614" t="s">
        <v>55</v>
      </c>
      <c r="G4614">
        <v>-410.5822</v>
      </c>
      <c r="H4614" s="1">
        <v>-6.6584899999999898E-6</v>
      </c>
      <c r="I4614">
        <v>130.54769999999999</v>
      </c>
      <c r="J4614">
        <v>-407.02670000000001</v>
      </c>
      <c r="K4614">
        <v>1.1300429999999999</v>
      </c>
      <c r="L4614">
        <v>138.6884</v>
      </c>
      <c r="M4614">
        <v>-0.93631980000000004</v>
      </c>
      <c r="N4614">
        <v>-1.4334690000000001E-2</v>
      </c>
      <c r="O4614">
        <v>-0.35085620000000001</v>
      </c>
      <c r="P4614">
        <v>-0.72085169999999998</v>
      </c>
      <c r="Q4614">
        <v>0.14493599999999901</v>
      </c>
      <c r="R4614">
        <v>-0.67776619999999999</v>
      </c>
      <c r="S4614">
        <v>-1.4029849999999999</v>
      </c>
      <c r="T4614">
        <v>-0.41778169999999998</v>
      </c>
      <c r="U4614">
        <v>-3.0473020000000002</v>
      </c>
      <c r="V4614">
        <v>-0.38520900000000002</v>
      </c>
      <c r="W4614">
        <v>0.1493244</v>
      </c>
      <c r="X4614">
        <v>0.91066800000000003</v>
      </c>
      <c r="Y4614">
        <v>-0.70033999999999996</v>
      </c>
      <c r="Z4614">
        <v>-1.4479280000000001E-2</v>
      </c>
      <c r="AA4614">
        <v>0.71366260000000004</v>
      </c>
      <c r="AB4614">
        <v>27</v>
      </c>
      <c r="AC4614">
        <v>-3.5554999999999901</v>
      </c>
      <c r="AD4614">
        <v>-1.1300496584899999</v>
      </c>
      <c r="AE4614">
        <v>-8.1407000000000096</v>
      </c>
      <c r="AF4614">
        <v>-6.2739543855951201</v>
      </c>
      <c r="AG4614">
        <v>-1.1300496584899999</v>
      </c>
      <c r="AH4614">
        <v>6.0874242269099197</v>
      </c>
      <c r="AI4614">
        <v>97.365751152670896</v>
      </c>
      <c r="AJ4614">
        <v>135.86451358825099</v>
      </c>
      <c r="AK4614">
        <v>8.8145476107144294</v>
      </c>
      <c r="AL4614">
        <v>81.412223220631205</v>
      </c>
      <c r="AM4614">
        <v>112.928171889138</v>
      </c>
      <c r="AN4614">
        <v>0.99999997817017905</v>
      </c>
    </row>
    <row r="4615" spans="1:40" x14ac:dyDescent="0.25">
      <c r="A4615" t="str">
        <f>"20190303162353369"</f>
        <v>20190303162353369</v>
      </c>
      <c r="B4615" t="str">
        <f>"1551601433359670"</f>
        <v>1551601433359670</v>
      </c>
      <c r="C4615" t="s">
        <v>40</v>
      </c>
      <c r="D4615">
        <v>5.5091460000000003</v>
      </c>
      <c r="E4615">
        <v>0.33678540000000001</v>
      </c>
      <c r="F4615" t="s">
        <v>55</v>
      </c>
      <c r="G4615">
        <v>-410.81420000000003</v>
      </c>
      <c r="H4615" s="1">
        <v>-6.5098090000000004E-6</v>
      </c>
      <c r="I4615">
        <v>130.23820000000001</v>
      </c>
      <c r="J4615">
        <v>-407.2672</v>
      </c>
      <c r="K4615">
        <v>1.1302000000000001</v>
      </c>
      <c r="L4615">
        <v>138.583</v>
      </c>
      <c r="M4615">
        <v>-0.93156870000000003</v>
      </c>
      <c r="N4615">
        <v>-1.436699E-2</v>
      </c>
      <c r="O4615">
        <v>-0.36328120000000003</v>
      </c>
      <c r="P4615">
        <v>-0.71271759999999995</v>
      </c>
      <c r="Q4615">
        <v>0.1434474</v>
      </c>
      <c r="R4615">
        <v>-0.68662699999999999</v>
      </c>
      <c r="S4615">
        <v>-1.3699950000000001</v>
      </c>
      <c r="T4615">
        <v>-0.40876010000000002</v>
      </c>
      <c r="U4615">
        <v>-3.0565799999999999</v>
      </c>
      <c r="V4615">
        <v>-0.3842679</v>
      </c>
      <c r="W4615">
        <v>0.14774479999999901</v>
      </c>
      <c r="X4615">
        <v>0.91132310000000005</v>
      </c>
      <c r="Y4615">
        <v>-0.69827569999999906</v>
      </c>
      <c r="Z4615">
        <v>-1.2609759999999999E-2</v>
      </c>
      <c r="AA4615">
        <v>0.71571790000000002</v>
      </c>
      <c r="AB4615">
        <v>27</v>
      </c>
      <c r="AC4615">
        <v>-3.5470000000000201</v>
      </c>
      <c r="AD4615">
        <v>-1.1302065098089999</v>
      </c>
      <c r="AE4615">
        <v>-8.3447999999999904</v>
      </c>
      <c r="AF4615">
        <v>-6.38663952704146</v>
      </c>
      <c r="AG4615">
        <v>-1.1302065098089999</v>
      </c>
      <c r="AH4615">
        <v>6.2394972442012797</v>
      </c>
      <c r="AI4615">
        <v>97.214260645018001</v>
      </c>
      <c r="AJ4615">
        <v>135.66768246866101</v>
      </c>
      <c r="AK4615">
        <v>8.9998809471891601</v>
      </c>
      <c r="AL4615">
        <v>81.503743629440194</v>
      </c>
      <c r="AM4615">
        <v>112.863175045611</v>
      </c>
      <c r="AN4615">
        <v>1.0000000687455199</v>
      </c>
    </row>
    <row r="4616" spans="1:40" x14ac:dyDescent="0.25">
      <c r="A4616" t="str">
        <f>"20190303162353390"</f>
        <v>20190303162353390</v>
      </c>
      <c r="B4616" t="str">
        <f>"1551601433379189"</f>
        <v>1551601433379189</v>
      </c>
      <c r="C4616" t="s">
        <v>40</v>
      </c>
      <c r="D4616">
        <v>5.5272209999999999</v>
      </c>
      <c r="E4616">
        <v>0.33714250000000001</v>
      </c>
      <c r="F4616" t="s">
        <v>55</v>
      </c>
      <c r="G4616">
        <v>-410.98869999999999</v>
      </c>
      <c r="H4616" s="1">
        <v>-6.4260960000000001E-6</v>
      </c>
      <c r="I4616">
        <v>130.05760000000001</v>
      </c>
      <c r="J4616">
        <v>-407.50099999999998</v>
      </c>
      <c r="K4616">
        <v>1.130358</v>
      </c>
      <c r="L4616">
        <v>138.47659999999999</v>
      </c>
      <c r="M4616">
        <v>-0.92666550000000003</v>
      </c>
      <c r="N4616">
        <v>-1.440026E-2</v>
      </c>
      <c r="O4616">
        <v>-0.37561149999999999</v>
      </c>
      <c r="P4616">
        <v>-0.70484769999999997</v>
      </c>
      <c r="Q4616">
        <v>0.1429646</v>
      </c>
      <c r="R4616">
        <v>-0.69480319999999995</v>
      </c>
      <c r="S4616">
        <v>-1.3380430000000001</v>
      </c>
      <c r="T4616">
        <v>-0.4063483</v>
      </c>
      <c r="U4616">
        <v>-3.0651860000000002</v>
      </c>
      <c r="V4616">
        <v>-0.38269150000000002</v>
      </c>
      <c r="W4616">
        <v>0.14719579999999999</v>
      </c>
      <c r="X4616">
        <v>0.91207490000000002</v>
      </c>
      <c r="Y4616">
        <v>-0.69589469999999898</v>
      </c>
      <c r="Z4616">
        <v>-1.0793570000000001E-2</v>
      </c>
      <c r="AA4616">
        <v>0.7180628</v>
      </c>
      <c r="AB4616">
        <v>27</v>
      </c>
      <c r="AC4616">
        <v>-3.48770000000001</v>
      </c>
      <c r="AD4616">
        <v>-1.130364426096</v>
      </c>
      <c r="AE4616">
        <v>-8.4189999999999792</v>
      </c>
      <c r="AF4616">
        <v>-6.39387152741606</v>
      </c>
      <c r="AG4616">
        <v>-1.130364426096</v>
      </c>
      <c r="AH4616">
        <v>6.2979649478246102</v>
      </c>
      <c r="AI4616">
        <v>97.178578146489301</v>
      </c>
      <c r="AJ4616">
        <v>135.432950555313</v>
      </c>
      <c r="AK4616">
        <v>9.0456442185680004</v>
      </c>
      <c r="AL4616">
        <v>81.535546190702604</v>
      </c>
      <c r="AM4616">
        <v>112.76211314964399</v>
      </c>
      <c r="AN4616">
        <v>1.00000000545995</v>
      </c>
    </row>
    <row r="4617" spans="1:40" x14ac:dyDescent="0.25">
      <c r="A4617" t="str">
        <f>"20190303162353413"</f>
        <v>20190303162353413</v>
      </c>
      <c r="B4617" t="str">
        <f>"1551601433399685"</f>
        <v>1551601433399685</v>
      </c>
      <c r="C4617" t="s">
        <v>40</v>
      </c>
      <c r="D4617">
        <v>5.5460699999999896</v>
      </c>
      <c r="E4617">
        <v>0.3379955</v>
      </c>
      <c r="F4617" t="s">
        <v>55</v>
      </c>
      <c r="G4617">
        <v>-411.0976</v>
      </c>
      <c r="H4617" s="1">
        <v>-6.3896550000000002E-6</v>
      </c>
      <c r="I4617">
        <v>129.9836</v>
      </c>
      <c r="J4617">
        <v>-407.73320000000001</v>
      </c>
      <c r="K4617">
        <v>1.1305130000000001</v>
      </c>
      <c r="L4617">
        <v>138.36680000000001</v>
      </c>
      <c r="M4617">
        <v>-0.92149780000000003</v>
      </c>
      <c r="N4617">
        <v>-1.443551E-2</v>
      </c>
      <c r="O4617">
        <v>-0.3881153</v>
      </c>
      <c r="P4617">
        <v>-0.69616840000000002</v>
      </c>
      <c r="Q4617">
        <v>0.14442079999999999</v>
      </c>
      <c r="R4617">
        <v>-0.70320139999999998</v>
      </c>
      <c r="S4617">
        <v>-1.3040160000000001</v>
      </c>
      <c r="T4617">
        <v>-0.4098349</v>
      </c>
      <c r="U4617">
        <v>-3.079285</v>
      </c>
      <c r="V4617">
        <v>-0.38148650000000001</v>
      </c>
      <c r="W4617">
        <v>0.1485756</v>
      </c>
      <c r="X4617">
        <v>0.9123559</v>
      </c>
      <c r="Y4617">
        <v>-0.69413610000000003</v>
      </c>
      <c r="Z4617">
        <v>-9.0049129999999998E-3</v>
      </c>
      <c r="AA4617">
        <v>0.71978739999999997</v>
      </c>
      <c r="AB4617">
        <v>27</v>
      </c>
      <c r="AC4617">
        <v>-3.3643999999999799</v>
      </c>
      <c r="AD4617">
        <v>-1.1305193896550001</v>
      </c>
      <c r="AE4617">
        <v>-8.3832000000000093</v>
      </c>
      <c r="AF4617">
        <v>-6.3209870654515603</v>
      </c>
      <c r="AG4617">
        <v>-1.1305193896550001</v>
      </c>
      <c r="AH4617">
        <v>6.2565989177898302</v>
      </c>
      <c r="AI4617">
        <v>97.244189585684197</v>
      </c>
      <c r="AJ4617">
        <v>135.293310408671</v>
      </c>
      <c r="AK4617">
        <v>8.96537682365223</v>
      </c>
      <c r="AL4617">
        <v>81.455610256195996</v>
      </c>
      <c r="AM4617">
        <v>112.691435034506</v>
      </c>
      <c r="AN4617">
        <v>0.99999997343120905</v>
      </c>
    </row>
    <row r="4618" spans="1:40" x14ac:dyDescent="0.25">
      <c r="A4618" t="str">
        <f>"20190303162353436"</f>
        <v>20190303162353436</v>
      </c>
      <c r="B4618" t="str">
        <f>"1551601433429941"</f>
        <v>1551601433429941</v>
      </c>
      <c r="C4618" t="s">
        <v>40</v>
      </c>
      <c r="D4618">
        <v>5.5429459999999997</v>
      </c>
      <c r="E4618">
        <v>0.3390803</v>
      </c>
      <c r="F4618" t="s">
        <v>55</v>
      </c>
      <c r="G4618">
        <v>-411.25490000000002</v>
      </c>
      <c r="H4618" s="1">
        <v>-6.3097230000000003E-6</v>
      </c>
      <c r="I4618">
        <v>129.8098</v>
      </c>
      <c r="J4618">
        <v>-407.97579999999999</v>
      </c>
      <c r="K4618">
        <v>1.1306689999999999</v>
      </c>
      <c r="L4618">
        <v>138.24789999999999</v>
      </c>
      <c r="M4618">
        <v>-0.91577189999999997</v>
      </c>
      <c r="N4618">
        <v>-1.4476259999999999E-2</v>
      </c>
      <c r="O4618">
        <v>-0.40143770000000001</v>
      </c>
      <c r="P4618">
        <v>-0.68477359999999998</v>
      </c>
      <c r="Q4618">
        <v>0.14666599999999999</v>
      </c>
      <c r="R4618">
        <v>-0.71384449999999999</v>
      </c>
      <c r="S4618">
        <v>-1.272003</v>
      </c>
      <c r="T4618">
        <v>-0.40833819999999998</v>
      </c>
      <c r="U4618">
        <v>-3.0907749999999998</v>
      </c>
      <c r="V4618">
        <v>-0.38261780000000001</v>
      </c>
      <c r="W4618">
        <v>0.15067610000000001</v>
      </c>
      <c r="X4618">
        <v>0.91153729999999999</v>
      </c>
      <c r="Y4618">
        <v>-0.69113500000000005</v>
      </c>
      <c r="Z4618">
        <v>-6.9929959999999996E-3</v>
      </c>
      <c r="AA4618">
        <v>0.7226918</v>
      </c>
      <c r="AB4618">
        <v>27</v>
      </c>
      <c r="AC4618">
        <v>-3.2791000000000201</v>
      </c>
      <c r="AD4618">
        <v>-1.130675309723</v>
      </c>
      <c r="AE4618">
        <v>-8.4380999999999897</v>
      </c>
      <c r="AF4618">
        <v>-6.3132107294438997</v>
      </c>
      <c r="AG4618">
        <v>-1.130675309723</v>
      </c>
      <c r="AH4618">
        <v>6.2927857573021999</v>
      </c>
      <c r="AI4618">
        <v>97.229106675860706</v>
      </c>
      <c r="AJ4618">
        <v>135.09283388882</v>
      </c>
      <c r="AK4618">
        <v>8.9852216977483792</v>
      </c>
      <c r="AL4618">
        <v>81.333890074208099</v>
      </c>
      <c r="AM4618">
        <v>112.77022953937301</v>
      </c>
      <c r="AN4618">
        <v>0.99999995863966895</v>
      </c>
    </row>
    <row r="4619" spans="1:40" x14ac:dyDescent="0.25">
      <c r="A4619" t="str">
        <f>"20190303162353458"</f>
        <v>20190303162353458</v>
      </c>
      <c r="B4619" t="str">
        <f>"1551601433449462"</f>
        <v>1551601433449462</v>
      </c>
      <c r="C4619" t="s">
        <v>40</v>
      </c>
      <c r="D4619">
        <v>5.5383570000000004</v>
      </c>
      <c r="E4619">
        <v>0.33955400000000002</v>
      </c>
      <c r="F4619" t="s">
        <v>55</v>
      </c>
      <c r="G4619">
        <v>-411.45699999999999</v>
      </c>
      <c r="H4619" s="1">
        <v>-6.1463860000000002E-6</v>
      </c>
      <c r="I4619">
        <v>129.4734</v>
      </c>
      <c r="J4619">
        <v>-408.2022</v>
      </c>
      <c r="K4619">
        <v>1.1308020000000001</v>
      </c>
      <c r="L4619">
        <v>138.1326</v>
      </c>
      <c r="M4619">
        <v>-0.9101129</v>
      </c>
      <c r="N4619">
        <v>-1.4516340000000001E-2</v>
      </c>
      <c r="O4619">
        <v>-0.41410609999999998</v>
      </c>
      <c r="P4619">
        <v>-0.67335469999999997</v>
      </c>
      <c r="Q4619">
        <v>0.1475118</v>
      </c>
      <c r="R4619">
        <v>-0.72445400000000004</v>
      </c>
      <c r="S4619">
        <v>-1.2313229999999999</v>
      </c>
      <c r="T4619">
        <v>-0.3999299</v>
      </c>
      <c r="U4619">
        <v>-3.1036069999999998</v>
      </c>
      <c r="V4619">
        <v>-0.3843587</v>
      </c>
      <c r="W4619">
        <v>0.1513784</v>
      </c>
      <c r="X4619">
        <v>0.91068819999999995</v>
      </c>
      <c r="Y4619">
        <v>-0.69048259999999995</v>
      </c>
      <c r="Z4619">
        <v>-5.405806E-3</v>
      </c>
      <c r="AA4619">
        <v>0.72332879999999999</v>
      </c>
      <c r="AB4619">
        <v>27</v>
      </c>
      <c r="AC4619">
        <v>-3.2547999999999799</v>
      </c>
      <c r="AD4619">
        <v>-1.130808146386</v>
      </c>
      <c r="AE4619">
        <v>-8.6591999999999896</v>
      </c>
      <c r="AF4619">
        <v>-6.4375115857273197</v>
      </c>
      <c r="AG4619">
        <v>-1.130808146386</v>
      </c>
      <c r="AH4619">
        <v>6.4523375496330297</v>
      </c>
      <c r="AI4619">
        <v>97.072368095421297</v>
      </c>
      <c r="AJ4619">
        <v>134.93409815929601</v>
      </c>
      <c r="AK4619">
        <v>9.1843857897363499</v>
      </c>
      <c r="AL4619">
        <v>81.293184819717695</v>
      </c>
      <c r="AM4619">
        <v>112.882323094073</v>
      </c>
      <c r="AN4619">
        <v>1.0000000139357399</v>
      </c>
    </row>
    <row r="4620" spans="1:40" x14ac:dyDescent="0.25">
      <c r="A4620" t="str">
        <f>"20190303162353481"</f>
        <v>20190303162353481</v>
      </c>
      <c r="B4620" t="str">
        <f>"1551601433469958"</f>
        <v>1551601433469958</v>
      </c>
      <c r="C4620" t="s">
        <v>40</v>
      </c>
      <c r="D4620">
        <v>5.5668639999999998</v>
      </c>
      <c r="E4620">
        <v>0.34045829999999999</v>
      </c>
      <c r="F4620" t="s">
        <v>55</v>
      </c>
      <c r="G4620">
        <v>-411.57459999999998</v>
      </c>
      <c r="H4620" s="1">
        <v>-6.0306700000000001E-6</v>
      </c>
      <c r="I4620">
        <v>129.25970000000001</v>
      </c>
      <c r="J4620">
        <v>-408.43310000000002</v>
      </c>
      <c r="K4620">
        <v>1.1309229999999999</v>
      </c>
      <c r="L4620">
        <v>138.01070000000001</v>
      </c>
      <c r="M4620">
        <v>-0.90403409999999995</v>
      </c>
      <c r="N4620">
        <v>-1.4555810000000001E-2</v>
      </c>
      <c r="O4620">
        <v>-0.4272125</v>
      </c>
      <c r="P4620">
        <v>-0.66328830000000005</v>
      </c>
      <c r="Q4620">
        <v>0.1475659</v>
      </c>
      <c r="R4620">
        <v>-0.73367079999999996</v>
      </c>
      <c r="S4620">
        <v>-1.185791</v>
      </c>
      <c r="T4620">
        <v>-0.39762130000000001</v>
      </c>
      <c r="U4620">
        <v>-3.1199340000000002</v>
      </c>
      <c r="V4620">
        <v>-0.38381009999999999</v>
      </c>
      <c r="W4620">
        <v>0.1513727</v>
      </c>
      <c r="X4620">
        <v>0.91092039999999996</v>
      </c>
      <c r="Y4620">
        <v>-0.69060650000000001</v>
      </c>
      <c r="Z4620">
        <v>-3.7878299999999998E-3</v>
      </c>
      <c r="AA4620">
        <v>0.7232208</v>
      </c>
      <c r="AB4620">
        <v>26</v>
      </c>
      <c r="AC4620">
        <v>-3.14149999999995</v>
      </c>
      <c r="AD4620">
        <v>-1.1309290306699999</v>
      </c>
      <c r="AE4620">
        <v>-8.7509999999999994</v>
      </c>
      <c r="AF4620">
        <v>-6.4740279225665498</v>
      </c>
      <c r="AG4620">
        <v>-1.1309290306699999</v>
      </c>
      <c r="AH4620">
        <v>6.4833365752768897</v>
      </c>
      <c r="AI4620">
        <v>97.036634685189497</v>
      </c>
      <c r="AJ4620">
        <v>134.95883835624201</v>
      </c>
      <c r="AK4620">
        <v>9.2317761651215697</v>
      </c>
      <c r="AL4620">
        <v>81.293514486644199</v>
      </c>
      <c r="AM4620">
        <v>112.84779313794201</v>
      </c>
      <c r="AN4620">
        <v>0.99999993115172703</v>
      </c>
    </row>
    <row r="4621" spans="1:40" x14ac:dyDescent="0.25">
      <c r="A4621" t="str">
        <f>"20190303162353503"</f>
        <v>20190303162353503</v>
      </c>
      <c r="B4621" t="str">
        <f>"1551601433489477"</f>
        <v>1551601433489477</v>
      </c>
      <c r="C4621" t="s">
        <v>40</v>
      </c>
      <c r="D4621">
        <v>5.5830349999999997</v>
      </c>
      <c r="E4621">
        <v>0.34099049999999997</v>
      </c>
      <c r="F4621" t="s">
        <v>55</v>
      </c>
      <c r="G4621">
        <v>-411.72340000000003</v>
      </c>
      <c r="H4621" s="1">
        <v>-5.9039189999999998E-6</v>
      </c>
      <c r="I4621">
        <v>129.02789999999999</v>
      </c>
      <c r="J4621">
        <v>-408.65350000000001</v>
      </c>
      <c r="K4621">
        <v>1.1310150000000001</v>
      </c>
      <c r="L4621">
        <v>137.89019999999999</v>
      </c>
      <c r="M4621">
        <v>-0.89793849999999997</v>
      </c>
      <c r="N4621">
        <v>-1.4589420000000001E-2</v>
      </c>
      <c r="O4621">
        <v>-0.43987920000000003</v>
      </c>
      <c r="P4621">
        <v>-0.65474779999999999</v>
      </c>
      <c r="Q4621">
        <v>0.1470572</v>
      </c>
      <c r="R4621">
        <v>-0.7414039</v>
      </c>
      <c r="S4621">
        <v>-1.146973</v>
      </c>
      <c r="T4621">
        <v>-0.3942389</v>
      </c>
      <c r="U4621">
        <v>-3.1313930000000001</v>
      </c>
      <c r="V4621">
        <v>-0.38165959999999899</v>
      </c>
      <c r="W4621">
        <v>0.15087639999999999</v>
      </c>
      <c r="X4621">
        <v>0.91190579999999999</v>
      </c>
      <c r="Y4621">
        <v>-0.68930599999999997</v>
      </c>
      <c r="Z4621">
        <v>-2.1158829999999998E-3</v>
      </c>
      <c r="AA4621">
        <v>0.72446719999999998</v>
      </c>
      <c r="AB4621">
        <v>26</v>
      </c>
      <c r="AC4621">
        <v>-3.0699000000000098</v>
      </c>
      <c r="AD4621">
        <v>-1.13102090391899</v>
      </c>
      <c r="AE4621">
        <v>-8.8622999999999994</v>
      </c>
      <c r="AF4621">
        <v>-6.5133983615487097</v>
      </c>
      <c r="AG4621">
        <v>-1.13102090391899</v>
      </c>
      <c r="AH4621">
        <v>6.5602299988557302</v>
      </c>
      <c r="AI4621">
        <v>96.975195424758397</v>
      </c>
      <c r="AJ4621">
        <v>134.79475906653201</v>
      </c>
      <c r="AK4621">
        <v>9.3134410471755196</v>
      </c>
      <c r="AL4621">
        <v>81.322281053271197</v>
      </c>
      <c r="AM4621">
        <v>112.71075491826601</v>
      </c>
      <c r="AN4621">
        <v>0.99999996321137896</v>
      </c>
    </row>
    <row r="4622" spans="1:40" x14ac:dyDescent="0.25">
      <c r="A4622" t="str">
        <f>"20190303162353525"</f>
        <v>20190303162353525</v>
      </c>
      <c r="B4622" t="str">
        <f>"1551601433519733"</f>
        <v>1551601433519733</v>
      </c>
      <c r="C4622" t="s">
        <v>40</v>
      </c>
      <c r="D4622">
        <v>5.6031680000000001</v>
      </c>
      <c r="E4622">
        <v>0.35301700000000003</v>
      </c>
      <c r="F4622" t="s">
        <v>55</v>
      </c>
      <c r="G4622">
        <v>-411.84469999999999</v>
      </c>
      <c r="H4622" s="1">
        <v>-5.8197299999999999E-6</v>
      </c>
      <c r="I4622">
        <v>128.87649999999999</v>
      </c>
      <c r="J4622">
        <v>-408.87860000000001</v>
      </c>
      <c r="K4622">
        <v>1.1310629999999999</v>
      </c>
      <c r="L4622">
        <v>137.76240000000001</v>
      </c>
      <c r="M4622">
        <v>-0.89141789999999999</v>
      </c>
      <c r="N4622">
        <v>-1.461835E-2</v>
      </c>
      <c r="O4622">
        <v>-0.45294679999999998</v>
      </c>
      <c r="P4622">
        <v>-0.6446771</v>
      </c>
      <c r="Q4622">
        <v>0.14311889999999999</v>
      </c>
      <c r="R4622">
        <v>-0.75093869999999996</v>
      </c>
      <c r="S4622">
        <v>-1.112457</v>
      </c>
      <c r="T4622">
        <v>-0.39427689999999999</v>
      </c>
      <c r="U4622">
        <v>-3.1421969999999999</v>
      </c>
      <c r="V4622">
        <v>-0.3812567</v>
      </c>
      <c r="W4622">
        <v>0.1469232</v>
      </c>
      <c r="X4622">
        <v>0.91271950000000002</v>
      </c>
      <c r="Y4622">
        <v>-0.68666459999999996</v>
      </c>
      <c r="Z4622">
        <v>-1.8768389999999999E-4</v>
      </c>
      <c r="AA4622">
        <v>0.72697440000000002</v>
      </c>
      <c r="AB4622">
        <v>26</v>
      </c>
      <c r="AC4622">
        <v>-2.96609999999998</v>
      </c>
      <c r="AD4622">
        <v>-1.1310688197299901</v>
      </c>
      <c r="AE4622">
        <v>-8.8859000000000101</v>
      </c>
      <c r="AF4622">
        <v>-6.48374676744917</v>
      </c>
      <c r="AG4622">
        <v>-1.1310688197299901</v>
      </c>
      <c r="AH4622">
        <v>6.5737541740140202</v>
      </c>
      <c r="AI4622">
        <v>96.983898545909398</v>
      </c>
      <c r="AJ4622">
        <v>134.605057440433</v>
      </c>
      <c r="AK4622">
        <v>9.3022864264512801</v>
      </c>
      <c r="AL4622">
        <v>81.551336584205004</v>
      </c>
      <c r="AM4622">
        <v>112.67102956058901</v>
      </c>
      <c r="AN4622">
        <v>0.99999999183668997</v>
      </c>
    </row>
    <row r="4623" spans="1:40" x14ac:dyDescent="0.25">
      <c r="A4623" t="str">
        <f>"20190303162353548"</f>
        <v>20190303162353548</v>
      </c>
      <c r="B4623" t="str">
        <f>"1551601433539253"</f>
        <v>1551601433539253</v>
      </c>
      <c r="C4623" t="s">
        <v>40</v>
      </c>
      <c r="D4623">
        <v>5.6063879999999999</v>
      </c>
      <c r="E4623">
        <v>0.35398639999999998</v>
      </c>
      <c r="F4623" t="s">
        <v>55</v>
      </c>
      <c r="G4623">
        <v>-412.05579999999998</v>
      </c>
      <c r="H4623" s="1">
        <v>-5.9423510000000002E-6</v>
      </c>
      <c r="I4623">
        <v>129.1412</v>
      </c>
      <c r="J4623">
        <v>-409.10129999999998</v>
      </c>
      <c r="K4623">
        <v>1.131084</v>
      </c>
      <c r="L4623">
        <v>137.63159999999999</v>
      </c>
      <c r="M4623">
        <v>-0.88468380000000002</v>
      </c>
      <c r="N4623">
        <v>-1.464201E-2</v>
      </c>
      <c r="O4623">
        <v>-0.46596179999999898</v>
      </c>
      <c r="P4623">
        <v>-0.63321870000000002</v>
      </c>
      <c r="Q4623">
        <v>0.13842769999999999</v>
      </c>
      <c r="R4623">
        <v>-0.76149339999999999</v>
      </c>
      <c r="S4623">
        <v>-1.1400760000000001</v>
      </c>
      <c r="T4623">
        <v>-0.40586850000000002</v>
      </c>
      <c r="U4623">
        <v>-3.0936129999999999</v>
      </c>
      <c r="V4623">
        <v>-0.38238319999999998</v>
      </c>
      <c r="W4623">
        <v>0.14218929999999999</v>
      </c>
      <c r="X4623">
        <v>0.91299799999999998</v>
      </c>
      <c r="Y4623">
        <v>-0.66653649999999998</v>
      </c>
      <c r="Z4623">
        <v>3.9517689999999999E-3</v>
      </c>
      <c r="AA4623">
        <v>0.74546190000000001</v>
      </c>
      <c r="AB4623">
        <v>26</v>
      </c>
      <c r="AC4623">
        <v>-2.9544999999999901</v>
      </c>
      <c r="AD4623">
        <v>-1.1310899423509999</v>
      </c>
      <c r="AE4623">
        <v>-8.4903999999999904</v>
      </c>
      <c r="AF4623">
        <v>-6.03968053251727</v>
      </c>
      <c r="AG4623">
        <v>-1.1310899423509999</v>
      </c>
      <c r="AH4623">
        <v>6.4683069096409298</v>
      </c>
      <c r="AI4623">
        <v>97.283568598714098</v>
      </c>
      <c r="AJ4623">
        <v>133.03734404240799</v>
      </c>
      <c r="AK4623">
        <v>8.9216646243772395</v>
      </c>
      <c r="AL4623">
        <v>81.825448763755602</v>
      </c>
      <c r="AM4623">
        <v>112.72498396546401</v>
      </c>
      <c r="AN4623">
        <v>1.0000000283403601</v>
      </c>
    </row>
    <row r="4624" spans="1:40" x14ac:dyDescent="0.25">
      <c r="A4624" t="str">
        <f>"20190303162353569"</f>
        <v>20190303162353569</v>
      </c>
      <c r="B4624" t="str">
        <f>"1551601433559750"</f>
        <v>1551601433559750</v>
      </c>
      <c r="C4624" t="s">
        <v>40</v>
      </c>
      <c r="D4624">
        <v>5.6177700000000002</v>
      </c>
      <c r="E4624">
        <v>0.3555507</v>
      </c>
      <c r="F4624" t="s">
        <v>55</v>
      </c>
      <c r="G4624">
        <v>-411.92059999999998</v>
      </c>
      <c r="H4624" s="1">
        <v>-6.2128180000000001E-6</v>
      </c>
      <c r="I4624">
        <v>129.66669999999999</v>
      </c>
      <c r="J4624">
        <v>-409.31569999999999</v>
      </c>
      <c r="K4624">
        <v>1.131092</v>
      </c>
      <c r="L4624">
        <v>137.50139999999999</v>
      </c>
      <c r="M4624">
        <v>-0.87793589999999999</v>
      </c>
      <c r="N4624">
        <v>-1.466042E-2</v>
      </c>
      <c r="O4624">
        <v>-0.47855389999999998</v>
      </c>
      <c r="P4624">
        <v>-0.62290040000000002</v>
      </c>
      <c r="Q4624">
        <v>0.13628390000000001</v>
      </c>
      <c r="R4624">
        <v>-0.77033890000000005</v>
      </c>
      <c r="S4624">
        <v>-1.099335</v>
      </c>
      <c r="T4624">
        <v>-0.4410385</v>
      </c>
      <c r="U4624">
        <v>-3.1056979999999998</v>
      </c>
      <c r="V4624">
        <v>-0.38192809999999999</v>
      </c>
      <c r="W4624">
        <v>0.14006170000000001</v>
      </c>
      <c r="X4624">
        <v>0.91351720000000003</v>
      </c>
      <c r="Y4624">
        <v>-0.66522060000000005</v>
      </c>
      <c r="Z4624">
        <v>7.3094700000000002E-3</v>
      </c>
      <c r="AA4624">
        <v>0.74661109999999997</v>
      </c>
      <c r="AB4624">
        <v>26</v>
      </c>
      <c r="AC4624">
        <v>-2.6048999999999798</v>
      </c>
      <c r="AD4624">
        <v>-1.131098212818</v>
      </c>
      <c r="AE4624">
        <v>-7.83469999999999</v>
      </c>
      <c r="AF4624">
        <v>-5.5286224264958204</v>
      </c>
      <c r="AG4624">
        <v>-1.131098212818</v>
      </c>
      <c r="AH4624">
        <v>5.9256956798394897</v>
      </c>
      <c r="AI4624">
        <v>97.9453226138329</v>
      </c>
      <c r="AJ4624">
        <v>133.01459024915101</v>
      </c>
      <c r="AK4624">
        <v>8.1828429284608095</v>
      </c>
      <c r="AL4624">
        <v>81.948583538919394</v>
      </c>
      <c r="AM4624">
        <v>112.68908715832301</v>
      </c>
      <c r="AN4624">
        <v>1.00000001403617</v>
      </c>
    </row>
    <row r="4625" spans="1:40" x14ac:dyDescent="0.25">
      <c r="A4625" t="str">
        <f>"20190303162353591"</f>
        <v>20190303162353591</v>
      </c>
      <c r="B4625" t="str">
        <f>"1551601433579270"</f>
        <v>1551601433579270</v>
      </c>
      <c r="C4625" t="s">
        <v>40</v>
      </c>
      <c r="D4625">
        <v>5.6213540000000002</v>
      </c>
      <c r="E4625">
        <v>0.35676400000000003</v>
      </c>
      <c r="F4625" t="s">
        <v>55</v>
      </c>
      <c r="G4625">
        <v>-412.02089999999998</v>
      </c>
      <c r="H4625" s="1">
        <v>-6.1686359999999998E-6</v>
      </c>
      <c r="I4625">
        <v>129.5813</v>
      </c>
      <c r="J4625">
        <v>-409.54039999999998</v>
      </c>
      <c r="K4625">
        <v>1.1310910000000001</v>
      </c>
      <c r="L4625">
        <v>137.3604</v>
      </c>
      <c r="M4625">
        <v>-0.87058679999999999</v>
      </c>
      <c r="N4625">
        <v>-1.467602E-2</v>
      </c>
      <c r="O4625">
        <v>-0.49179590000000001</v>
      </c>
      <c r="P4625">
        <v>-0.61276129999999995</v>
      </c>
      <c r="Q4625">
        <v>0.1365933</v>
      </c>
      <c r="R4625">
        <v>-0.77837389999999995</v>
      </c>
      <c r="S4625">
        <v>-1.0633539999999999</v>
      </c>
      <c r="T4625">
        <v>-0.44460339999999998</v>
      </c>
      <c r="U4625">
        <v>-3.1131739999999999</v>
      </c>
      <c r="V4625">
        <v>-0.3800115</v>
      </c>
      <c r="W4625">
        <v>0.14043889999999901</v>
      </c>
      <c r="X4625">
        <v>0.91425829999999997</v>
      </c>
      <c r="Y4625">
        <v>-0.66224709999999998</v>
      </c>
      <c r="Z4625">
        <v>9.7797249999999995E-3</v>
      </c>
      <c r="AA4625">
        <v>0.74922169999999999</v>
      </c>
      <c r="AB4625">
        <v>26</v>
      </c>
      <c r="AC4625">
        <v>-2.4805000000000001</v>
      </c>
      <c r="AD4625">
        <v>-1.1310971686360001</v>
      </c>
      <c r="AE4625">
        <v>-7.7790999999999997</v>
      </c>
      <c r="AF4625">
        <v>-5.4485201660489997</v>
      </c>
      <c r="AG4625">
        <v>-1.1310971686360001</v>
      </c>
      <c r="AH4625">
        <v>5.8731557946991204</v>
      </c>
      <c r="AI4625">
        <v>98.036379439638907</v>
      </c>
      <c r="AJ4625">
        <v>132.85204676952901</v>
      </c>
      <c r="AK4625">
        <v>8.0907176315545009</v>
      </c>
      <c r="AL4625">
        <v>81.926755973246799</v>
      </c>
      <c r="AM4625">
        <v>112.570215308005</v>
      </c>
      <c r="AN4625">
        <v>1.00000003194217</v>
      </c>
    </row>
    <row r="4626" spans="1:40" x14ac:dyDescent="0.25">
      <c r="A4626" t="str">
        <f>"20190303162353614"</f>
        <v>20190303162353614</v>
      </c>
      <c r="B4626" t="str">
        <f>"1551601433609525"</f>
        <v>1551601433609525</v>
      </c>
      <c r="C4626" t="s">
        <v>40</v>
      </c>
      <c r="D4626">
        <v>5.7781359999999999</v>
      </c>
      <c r="E4626">
        <v>0.35913610000000001</v>
      </c>
      <c r="F4626" t="s">
        <v>55</v>
      </c>
      <c r="G4626">
        <v>-412.16750000000002</v>
      </c>
      <c r="H4626" s="1">
        <v>-6.0570090000000002E-6</v>
      </c>
      <c r="I4626">
        <v>129.37889999999999</v>
      </c>
      <c r="J4626">
        <v>-409.75290000000001</v>
      </c>
      <c r="K4626">
        <v>1.1310789999999999</v>
      </c>
      <c r="L4626">
        <v>137.2227</v>
      </c>
      <c r="M4626">
        <v>-0.86337929999999996</v>
      </c>
      <c r="N4626">
        <v>-1.468768E-2</v>
      </c>
      <c r="O4626">
        <v>-0.50434190000000001</v>
      </c>
      <c r="P4626">
        <v>-0.60305509999999996</v>
      </c>
      <c r="Q4626">
        <v>0.13688429999999999</v>
      </c>
      <c r="R4626">
        <v>-0.78586730000000005</v>
      </c>
      <c r="S4626">
        <v>-1.027863</v>
      </c>
      <c r="T4626">
        <v>-0.44254179999999999</v>
      </c>
      <c r="U4626">
        <v>-3.1227420000000001</v>
      </c>
      <c r="V4626">
        <v>-0.37808619999999998</v>
      </c>
      <c r="W4626">
        <v>0.14080239999999999</v>
      </c>
      <c r="X4626">
        <v>0.91500029999999999</v>
      </c>
      <c r="Y4626">
        <v>-0.65988150000000001</v>
      </c>
      <c r="Z4626">
        <v>1.181831E-2</v>
      </c>
      <c r="AA4626">
        <v>0.75127679999999997</v>
      </c>
      <c r="AB4626">
        <v>26</v>
      </c>
      <c r="AC4626">
        <v>-2.4146000000000001</v>
      </c>
      <c r="AD4626">
        <v>-1.1310850570090001</v>
      </c>
      <c r="AE4626">
        <v>-7.8438000000000097</v>
      </c>
      <c r="AF4626">
        <v>-5.4514440092765497</v>
      </c>
      <c r="AG4626">
        <v>-1.1310850570090001</v>
      </c>
      <c r="AH4626">
        <v>5.9287131763314598</v>
      </c>
      <c r="AI4626">
        <v>97.994145205680397</v>
      </c>
      <c r="AJ4626">
        <v>132.598495948075</v>
      </c>
      <c r="AK4626">
        <v>8.1330950516806606</v>
      </c>
      <c r="AL4626">
        <v>81.905719834952393</v>
      </c>
      <c r="AM4626">
        <v>112.450845925149</v>
      </c>
      <c r="AN4626">
        <v>1.00000001973814</v>
      </c>
    </row>
    <row r="4627" spans="1:40" x14ac:dyDescent="0.25">
      <c r="A4627" t="str">
        <f>"20190303162353636"</f>
        <v>20190303162353636</v>
      </c>
      <c r="B4627" t="str">
        <f>"1551601433630021"</f>
        <v>1551601433630021</v>
      </c>
      <c r="C4627" t="s">
        <v>40</v>
      </c>
      <c r="D4627">
        <v>5.683014</v>
      </c>
      <c r="E4627">
        <v>0.36039589999999999</v>
      </c>
      <c r="F4627" t="s">
        <v>55</v>
      </c>
      <c r="G4627">
        <v>-412.3682</v>
      </c>
      <c r="H4627" s="1">
        <v>-5.8911549999999998E-6</v>
      </c>
      <c r="I4627">
        <v>129.0763</v>
      </c>
      <c r="J4627">
        <v>-409.96890000000002</v>
      </c>
      <c r="K4627">
        <v>1.131057</v>
      </c>
      <c r="L4627">
        <v>137.07810000000001</v>
      </c>
      <c r="M4627">
        <v>-0.85578999999999905</v>
      </c>
      <c r="N4627">
        <v>-1.469694E-2</v>
      </c>
      <c r="O4627">
        <v>-0.51711479999999999</v>
      </c>
      <c r="P4627">
        <v>-0.59280299999999997</v>
      </c>
      <c r="Q4627">
        <v>0.135902</v>
      </c>
      <c r="R4627">
        <v>-0.79379809999999995</v>
      </c>
      <c r="S4627">
        <v>-1.0027469999999901</v>
      </c>
      <c r="T4627">
        <v>-0.433672</v>
      </c>
      <c r="U4627">
        <v>-3.1234280000000001</v>
      </c>
      <c r="V4627">
        <v>-0.37648189999999998</v>
      </c>
      <c r="W4627">
        <v>0.1398866</v>
      </c>
      <c r="X4627">
        <v>0.91580189999999995</v>
      </c>
      <c r="Y4627">
        <v>-0.65441349999999998</v>
      </c>
      <c r="Z4627">
        <v>1.381333E-2</v>
      </c>
      <c r="AA4627">
        <v>0.75601070000000004</v>
      </c>
      <c r="AB4627">
        <v>26</v>
      </c>
      <c r="AC4627">
        <v>-2.3992999999999798</v>
      </c>
      <c r="AD4627">
        <v>-1.131062891155</v>
      </c>
      <c r="AE4627">
        <v>-8.0017999999999994</v>
      </c>
      <c r="AF4627">
        <v>-5.5068014688511697</v>
      </c>
      <c r="AG4627">
        <v>-1.131062891155</v>
      </c>
      <c r="AH4627">
        <v>6.0803494982437902</v>
      </c>
      <c r="AI4627">
        <v>97.850308628140894</v>
      </c>
      <c r="AJ4627">
        <v>132.166250576919</v>
      </c>
      <c r="AK4627">
        <v>8.2809912270140007</v>
      </c>
      <c r="AL4627">
        <v>81.958715674292193</v>
      </c>
      <c r="AM4627">
        <v>112.34733571832901</v>
      </c>
      <c r="AN4627">
        <v>1.00000000096539</v>
      </c>
    </row>
    <row r="4628" spans="1:40" x14ac:dyDescent="0.25">
      <c r="A4628" t="str">
        <f>"20190303162353658"</f>
        <v>20190303162353658</v>
      </c>
      <c r="B4628" t="str">
        <f>"1551601433649542"</f>
        <v>1551601433649542</v>
      </c>
      <c r="C4628" t="s">
        <v>40</v>
      </c>
      <c r="D4628">
        <v>5.64072</v>
      </c>
      <c r="E4628">
        <v>0.36089179999999998</v>
      </c>
      <c r="F4628" t="s">
        <v>55</v>
      </c>
      <c r="G4628">
        <v>-412.49669999999998</v>
      </c>
      <c r="H4628" s="1">
        <v>-5.8082069999999997E-6</v>
      </c>
      <c r="I4628">
        <v>128.9281</v>
      </c>
      <c r="J4628">
        <v>-410.17500000000001</v>
      </c>
      <c r="K4628">
        <v>1.1310389999999999</v>
      </c>
      <c r="L4628">
        <v>136.9358</v>
      </c>
      <c r="M4628">
        <v>-0.84830069999999902</v>
      </c>
      <c r="N4628">
        <v>-1.4703539999999999E-2</v>
      </c>
      <c r="O4628">
        <v>-0.52931090000000003</v>
      </c>
      <c r="P4628">
        <v>-0.58238610000000002</v>
      </c>
      <c r="Q4628">
        <v>0.13335</v>
      </c>
      <c r="R4628">
        <v>-0.80190069999999902</v>
      </c>
      <c r="S4628">
        <v>-0.97045899999999996</v>
      </c>
      <c r="T4628">
        <v>-0.4342278</v>
      </c>
      <c r="U4628">
        <v>-3.128876</v>
      </c>
      <c r="V4628">
        <v>-0.37562679999999998</v>
      </c>
      <c r="W4628">
        <v>0.1373809</v>
      </c>
      <c r="X4628">
        <v>0.91653200000000001</v>
      </c>
      <c r="Y4628">
        <v>-0.65115639999999997</v>
      </c>
      <c r="Z4628">
        <v>1.6019809999999999E-2</v>
      </c>
      <c r="AA4628">
        <v>0.75877450000000002</v>
      </c>
      <c r="AB4628">
        <v>26</v>
      </c>
      <c r="AC4628">
        <v>-2.3216999999999599</v>
      </c>
      <c r="AD4628">
        <v>-1.1310448082069999</v>
      </c>
      <c r="AE4628">
        <v>-8.0076999999999998</v>
      </c>
      <c r="AF4628">
        <v>-5.46408127486698</v>
      </c>
      <c r="AG4628">
        <v>-1.1310448082069999</v>
      </c>
      <c r="AH4628">
        <v>6.0965378968271704</v>
      </c>
      <c r="AI4628">
        <v>97.865872827017199</v>
      </c>
      <c r="AJ4628">
        <v>131.868592634751</v>
      </c>
      <c r="AK4628">
        <v>8.2645762664503195</v>
      </c>
      <c r="AL4628">
        <v>82.103681221866793</v>
      </c>
      <c r="AM4628">
        <v>112.285530438026</v>
      </c>
      <c r="AN4628">
        <v>0.99999995579352396</v>
      </c>
    </row>
    <row r="4629" spans="1:40" x14ac:dyDescent="0.25">
      <c r="A4629" t="str">
        <f>"20190303162353681"</f>
        <v>20190303162353681</v>
      </c>
      <c r="B4629" t="str">
        <f>"1551601433670038"</f>
        <v>1551601433670038</v>
      </c>
      <c r="C4629" t="s">
        <v>40</v>
      </c>
      <c r="D4629">
        <v>5.6853069999999999</v>
      </c>
      <c r="E4629">
        <v>0.36122549999999998</v>
      </c>
      <c r="F4629" t="s">
        <v>55</v>
      </c>
      <c r="G4629">
        <v>-412.56569999999999</v>
      </c>
      <c r="H4629" s="1">
        <v>-5.7856470000000004E-6</v>
      </c>
      <c r="I4629">
        <v>128.89169999999999</v>
      </c>
      <c r="J4629">
        <v>-410.38979999999998</v>
      </c>
      <c r="K4629">
        <v>1.131035</v>
      </c>
      <c r="L4629">
        <v>136.78299999999999</v>
      </c>
      <c r="M4629">
        <v>-0.840232599999999</v>
      </c>
      <c r="N4629">
        <v>-1.4708519999999999E-2</v>
      </c>
      <c r="O4629">
        <v>-0.54202680000000003</v>
      </c>
      <c r="P4629">
        <v>-0.57128290000000004</v>
      </c>
      <c r="Q4629">
        <v>0.13257840000000001</v>
      </c>
      <c r="R4629">
        <v>-0.80997489999999905</v>
      </c>
      <c r="S4629">
        <v>-0.9324036</v>
      </c>
      <c r="T4629">
        <v>-0.44112299999999899</v>
      </c>
      <c r="U4629">
        <v>-3.1373139999999999</v>
      </c>
      <c r="V4629">
        <v>-0.37453059999999999</v>
      </c>
      <c r="W4629">
        <v>0.13665959999999999</v>
      </c>
      <c r="X4629">
        <v>0.91708829999999997</v>
      </c>
      <c r="Y4629">
        <v>-0.6487676</v>
      </c>
      <c r="Z4629">
        <v>1.8674670000000001E-2</v>
      </c>
      <c r="AA4629">
        <v>0.76075740000000003</v>
      </c>
      <c r="AB4629">
        <v>26</v>
      </c>
      <c r="AC4629">
        <v>-2.1759000000000102</v>
      </c>
      <c r="AD4629">
        <v>-1.1310407856469999</v>
      </c>
      <c r="AE4629">
        <v>-7.8913000000000002</v>
      </c>
      <c r="AF4629">
        <v>-5.3495899736241004</v>
      </c>
      <c r="AG4629">
        <v>-1.1310407856469999</v>
      </c>
      <c r="AH4629">
        <v>5.9918263799088596</v>
      </c>
      <c r="AI4629">
        <v>98.015072928062096</v>
      </c>
      <c r="AJ4629">
        <v>131.75894285272599</v>
      </c>
      <c r="AK4629">
        <v>8.1116798205839107</v>
      </c>
      <c r="AL4629">
        <v>82.145402389610894</v>
      </c>
      <c r="AM4629">
        <v>112.214662084895</v>
      </c>
      <c r="AN4629">
        <v>0.99999998330270401</v>
      </c>
    </row>
    <row r="4630" spans="1:40" x14ac:dyDescent="0.25">
      <c r="A4630" t="str">
        <f>"20190303162353705"</f>
        <v>20190303162353705</v>
      </c>
      <c r="B4630" t="str">
        <f>"1551601433699320"</f>
        <v>1551601433699320</v>
      </c>
      <c r="C4630" t="s">
        <v>40</v>
      </c>
      <c r="D4630">
        <v>5.6474390000000003</v>
      </c>
      <c r="E4630">
        <v>0.37092779999999997</v>
      </c>
      <c r="F4630" t="s">
        <v>55</v>
      </c>
      <c r="G4630">
        <v>-412.6635</v>
      </c>
      <c r="H4630" s="1">
        <v>-5.7084689999999998E-6</v>
      </c>
      <c r="I4630">
        <v>128.75139999999999</v>
      </c>
      <c r="J4630">
        <v>-410.59960000000001</v>
      </c>
      <c r="K4630">
        <v>1.1310370000000001</v>
      </c>
      <c r="L4630">
        <v>136.62860000000001</v>
      </c>
      <c r="M4630">
        <v>-0.83207779999999998</v>
      </c>
      <c r="N4630">
        <v>-1.4711800000000001E-2</v>
      </c>
      <c r="O4630">
        <v>-0.55446390000000001</v>
      </c>
      <c r="P4630">
        <v>-0.56042749999999997</v>
      </c>
      <c r="Q4630">
        <v>0.13427999999999901</v>
      </c>
      <c r="R4630">
        <v>-0.81724529999999995</v>
      </c>
      <c r="S4630">
        <v>-0.89114380000000004</v>
      </c>
      <c r="T4630">
        <v>-0.44329049999999998</v>
      </c>
      <c r="U4630">
        <v>-3.1478269999999999</v>
      </c>
      <c r="V4630">
        <v>-0.3729288</v>
      </c>
      <c r="W4630">
        <v>0.13842270000000001</v>
      </c>
      <c r="X4630">
        <v>0.91747659999999998</v>
      </c>
      <c r="Y4630">
        <v>-0.64740869999999995</v>
      </c>
      <c r="Z4630">
        <v>2.090523E-2</v>
      </c>
      <c r="AA4630">
        <v>0.76185630000000004</v>
      </c>
      <c r="AB4630">
        <v>26</v>
      </c>
      <c r="AC4630">
        <v>-2.0638999999999799</v>
      </c>
      <c r="AD4630">
        <v>-1.131042708469</v>
      </c>
      <c r="AE4630">
        <v>-7.87720000000001</v>
      </c>
      <c r="AF4630">
        <v>-5.3082629745315497</v>
      </c>
      <c r="AG4630">
        <v>-1.131042708469</v>
      </c>
      <c r="AH4630">
        <v>5.9704246986589702</v>
      </c>
      <c r="AI4630">
        <v>98.058128337919499</v>
      </c>
      <c r="AJ4630">
        <v>131.640072478831</v>
      </c>
      <c r="AK4630">
        <v>8.0686358510915905</v>
      </c>
      <c r="AL4630">
        <v>82.043415216362007</v>
      </c>
      <c r="AM4630">
        <v>112.120378774203</v>
      </c>
      <c r="AN4630">
        <v>1.0000000226461401</v>
      </c>
    </row>
    <row r="4631" spans="1:40" x14ac:dyDescent="0.25">
      <c r="A4631" t="str">
        <f>"20190303162353726"</f>
        <v>20190303162353726</v>
      </c>
      <c r="B4631" t="str">
        <f>"1551601433719813"</f>
        <v>1551601433719813</v>
      </c>
      <c r="C4631" t="s">
        <v>40</v>
      </c>
      <c r="D4631">
        <v>5.3108079999999998</v>
      </c>
      <c r="E4631">
        <v>0.37148330000000002</v>
      </c>
      <c r="F4631" t="s">
        <v>55</v>
      </c>
      <c r="G4631">
        <v>-413.24700000000001</v>
      </c>
      <c r="H4631" s="1">
        <v>-5.1305030000000001E-6</v>
      </c>
      <c r="I4631">
        <v>127.5488</v>
      </c>
      <c r="J4631">
        <v>-410.8023</v>
      </c>
      <c r="K4631">
        <v>1.13103</v>
      </c>
      <c r="L4631">
        <v>136.47470000000001</v>
      </c>
      <c r="M4631">
        <v>-0.82393499999999997</v>
      </c>
      <c r="N4631">
        <v>-1.4713789999999999E-2</v>
      </c>
      <c r="O4631">
        <v>-0.56649329999999998</v>
      </c>
      <c r="P4631">
        <v>-0.55094309999999902</v>
      </c>
      <c r="Q4631">
        <v>0.13526440000000001</v>
      </c>
      <c r="R4631">
        <v>-0.82350800000000002</v>
      </c>
      <c r="S4631">
        <v>-0.90744020000000003</v>
      </c>
      <c r="T4631">
        <v>-0.3876849</v>
      </c>
      <c r="U4631">
        <v>-3.1122740000000002</v>
      </c>
      <c r="V4631">
        <v>-0.37008639999999998</v>
      </c>
      <c r="W4631">
        <v>0.13950789999999999</v>
      </c>
      <c r="X4631">
        <v>0.91846260000000002</v>
      </c>
      <c r="Y4631">
        <v>-0.6307741</v>
      </c>
      <c r="Z4631">
        <v>1.9995559999999999E-2</v>
      </c>
      <c r="AA4631">
        <v>0.77570890000000003</v>
      </c>
      <c r="AB4631">
        <v>26</v>
      </c>
      <c r="AC4631">
        <v>-2.4446999999999499</v>
      </c>
      <c r="AD4631">
        <v>-1.131035130503</v>
      </c>
      <c r="AE4631">
        <v>-8.9259000000000093</v>
      </c>
      <c r="AF4631">
        <v>-5.8822443363546304</v>
      </c>
      <c r="AG4631">
        <v>-1.131035130503</v>
      </c>
      <c r="AH4631">
        <v>6.9674363354497197</v>
      </c>
      <c r="AI4631">
        <v>97.070751364595097</v>
      </c>
      <c r="AJ4631">
        <v>130.172663713536</v>
      </c>
      <c r="AK4631">
        <v>9.1883191056663396</v>
      </c>
      <c r="AL4631">
        <v>81.980628228235005</v>
      </c>
      <c r="AM4631">
        <v>111.94653523234599</v>
      </c>
      <c r="AN4631">
        <v>0.99999997261306395</v>
      </c>
    </row>
    <row r="4632" spans="1:40" x14ac:dyDescent="0.25">
      <c r="A4632" t="str">
        <f>"20190303162353749"</f>
        <v>20190303162353749</v>
      </c>
      <c r="B4632" t="str">
        <f>"1551601433739334"</f>
        <v>1551601433739334</v>
      </c>
      <c r="C4632" t="s">
        <v>40</v>
      </c>
      <c r="D4632">
        <v>5.6080050000000004</v>
      </c>
      <c r="E4632">
        <v>0.37222309999999997</v>
      </c>
      <c r="F4632" t="s">
        <v>55</v>
      </c>
      <c r="G4632">
        <v>-413.37310000000002</v>
      </c>
      <c r="H4632" s="1">
        <v>-5.0296689999999997E-6</v>
      </c>
      <c r="I4632">
        <v>127.30889999999999</v>
      </c>
      <c r="J4632">
        <v>-411.00130000000001</v>
      </c>
      <c r="K4632">
        <v>1.131024</v>
      </c>
      <c r="L4632">
        <v>136.31899999999999</v>
      </c>
      <c r="M4632">
        <v>-0.8156793</v>
      </c>
      <c r="N4632">
        <v>-1.47149E-2</v>
      </c>
      <c r="O4632">
        <v>-0.57831719999999998</v>
      </c>
      <c r="P4632">
        <v>-0.54064040000000002</v>
      </c>
      <c r="Q4632">
        <v>0.13587650000000001</v>
      </c>
      <c r="R4632">
        <v>-0.8302081</v>
      </c>
      <c r="S4632">
        <v>-0.87527469999999996</v>
      </c>
      <c r="T4632">
        <v>-0.38507219999999998</v>
      </c>
      <c r="U4632">
        <v>-3.12059</v>
      </c>
      <c r="V4632">
        <v>-0.36820720000000001</v>
      </c>
      <c r="W4632">
        <v>0.14019200000000001</v>
      </c>
      <c r="X4632">
        <v>0.91911350000000003</v>
      </c>
      <c r="Y4632">
        <v>-0.62761400000000001</v>
      </c>
      <c r="Z4632">
        <v>2.1647420000000001E-2</v>
      </c>
      <c r="AA4632">
        <v>0.77822380000000002</v>
      </c>
      <c r="AB4632">
        <v>26</v>
      </c>
      <c r="AC4632">
        <v>-2.3717999999999999</v>
      </c>
      <c r="AD4632">
        <v>-1.131029029669</v>
      </c>
      <c r="AE4632">
        <v>-9.0100999999999907</v>
      </c>
      <c r="AF4632">
        <v>-5.8915266769627603</v>
      </c>
      <c r="AG4632">
        <v>-1.131029029669</v>
      </c>
      <c r="AH4632">
        <v>7.0423192058093402</v>
      </c>
      <c r="AI4632">
        <v>97.022456597977097</v>
      </c>
      <c r="AJ4632">
        <v>129.91548126673399</v>
      </c>
      <c r="AK4632">
        <v>9.2511390135393103</v>
      </c>
      <c r="AL4632">
        <v>81.941043249328999</v>
      </c>
      <c r="AM4632">
        <v>111.831594103025</v>
      </c>
      <c r="AN4632">
        <v>0.99999998243904398</v>
      </c>
    </row>
    <row r="4633" spans="1:40" x14ac:dyDescent="0.25">
      <c r="A4633" t="str">
        <f>"20190303162353770"</f>
        <v>20190303162353770</v>
      </c>
      <c r="B4633" t="str">
        <f>"1551601433759829"</f>
        <v>1551601433759829</v>
      </c>
      <c r="C4633" t="s">
        <v>40</v>
      </c>
      <c r="D4633">
        <v>5.6344500000000002</v>
      </c>
      <c r="E4633">
        <v>0.3729864</v>
      </c>
      <c r="F4633" t="s">
        <v>55</v>
      </c>
      <c r="G4633">
        <v>-413.48039999999997</v>
      </c>
      <c r="H4633" s="1">
        <v>-4.9466040000000003E-6</v>
      </c>
      <c r="I4633">
        <v>127.1126</v>
      </c>
      <c r="J4633">
        <v>-411.19630000000001</v>
      </c>
      <c r="K4633">
        <v>1.1309959999999999</v>
      </c>
      <c r="L4633">
        <v>136.16200000000001</v>
      </c>
      <c r="M4633">
        <v>-0.80733869999999996</v>
      </c>
      <c r="N4633">
        <v>-1.4714949999999999E-2</v>
      </c>
      <c r="O4633">
        <v>-0.58990469999999995</v>
      </c>
      <c r="P4633">
        <v>-0.52994699999999995</v>
      </c>
      <c r="Q4633">
        <v>0.13575009999999901</v>
      </c>
      <c r="R4633">
        <v>-0.83709500000000003</v>
      </c>
      <c r="S4633">
        <v>-0.84228519999999896</v>
      </c>
      <c r="T4633">
        <v>-0.3842757</v>
      </c>
      <c r="U4633">
        <v>-3.1279300000000001</v>
      </c>
      <c r="V4633">
        <v>-0.36687769999999997</v>
      </c>
      <c r="W4633">
        <v>0.1401231</v>
      </c>
      <c r="X4633">
        <v>0.91965549999999996</v>
      </c>
      <c r="Y4633">
        <v>-0.62467200000000001</v>
      </c>
      <c r="Z4633">
        <v>2.3410199999999999E-2</v>
      </c>
      <c r="AA4633">
        <v>0.78053629999999996</v>
      </c>
      <c r="AB4633">
        <v>26</v>
      </c>
      <c r="AC4633">
        <v>-2.2840999999999601</v>
      </c>
      <c r="AD4633">
        <v>-1.1310009466040001</v>
      </c>
      <c r="AE4633">
        <v>-9.0494000000000003</v>
      </c>
      <c r="AF4633">
        <v>-5.8729330505032102</v>
      </c>
      <c r="AG4633">
        <v>-1.1310009466040001</v>
      </c>
      <c r="AH4633">
        <v>7.0791491777406703</v>
      </c>
      <c r="AI4633">
        <v>97.009891445864795</v>
      </c>
      <c r="AJ4633">
        <v>129.67944038486101</v>
      </c>
      <c r="AK4633">
        <v>9.2674084207840206</v>
      </c>
      <c r="AL4633">
        <v>81.945030298824804</v>
      </c>
      <c r="AM4633">
        <v>111.7485143899</v>
      </c>
      <c r="AN4633">
        <v>0.99999998429557402</v>
      </c>
    </row>
    <row r="4634" spans="1:40" x14ac:dyDescent="0.25">
      <c r="A4634" t="str">
        <f>"20190303162353793"</f>
        <v>20190303162353793</v>
      </c>
      <c r="B4634" t="str">
        <f>"1551601433779350"</f>
        <v>1551601433779350</v>
      </c>
      <c r="C4634" t="s">
        <v>40</v>
      </c>
      <c r="D4634">
        <v>5.6396100000000002</v>
      </c>
      <c r="E4634">
        <v>0.37382779999999999</v>
      </c>
      <c r="F4634" t="s">
        <v>55</v>
      </c>
      <c r="G4634">
        <v>-413.56619999999998</v>
      </c>
      <c r="H4634" s="1">
        <v>-4.8849069999999996E-6</v>
      </c>
      <c r="I4634">
        <v>126.9693</v>
      </c>
      <c r="J4634">
        <v>-411.39420000000001</v>
      </c>
      <c r="K4634">
        <v>1.13097</v>
      </c>
      <c r="L4634">
        <v>135.99770000000001</v>
      </c>
      <c r="M4634">
        <v>-0.79860330000000002</v>
      </c>
      <c r="N4634">
        <v>-1.471357E-2</v>
      </c>
      <c r="O4634">
        <v>-0.6016783</v>
      </c>
      <c r="P4634">
        <v>-0.51940790000000003</v>
      </c>
      <c r="Q4634">
        <v>0.13512750000000001</v>
      </c>
      <c r="R4634">
        <v>-0.84377519999999995</v>
      </c>
      <c r="S4634">
        <v>-0.80816650000000001</v>
      </c>
      <c r="T4634">
        <v>-0.38567839999999998</v>
      </c>
      <c r="U4634">
        <v>-3.1347499999999999</v>
      </c>
      <c r="V4634">
        <v>-0.36497879999999999</v>
      </c>
      <c r="W4634">
        <v>0.13958010000000001</v>
      </c>
      <c r="X4634">
        <v>0.92049329999999996</v>
      </c>
      <c r="Y4634">
        <v>-0.62164799999999998</v>
      </c>
      <c r="Z4634">
        <v>2.5428119999999999E-2</v>
      </c>
      <c r="AA4634">
        <v>0.78288389999999997</v>
      </c>
      <c r="AB4634">
        <v>26</v>
      </c>
      <c r="AC4634">
        <v>-2.1719999999999602</v>
      </c>
      <c r="AD4634">
        <v>-1.130974884907</v>
      </c>
      <c r="AE4634">
        <v>-9.0283999999999995</v>
      </c>
      <c r="AF4634">
        <v>-5.8176057603149696</v>
      </c>
      <c r="AG4634">
        <v>-1.130974884907</v>
      </c>
      <c r="AH4634">
        <v>7.0627658643063196</v>
      </c>
      <c r="AI4634">
        <v>97.046042196973403</v>
      </c>
      <c r="AJ4634">
        <v>129.47831011609301</v>
      </c>
      <c r="AK4634">
        <v>9.2198862588836192</v>
      </c>
      <c r="AL4634">
        <v>81.976450997684793</v>
      </c>
      <c r="AM4634">
        <v>111.628498396585</v>
      </c>
      <c r="AN4634">
        <v>1.0000000220551599</v>
      </c>
    </row>
    <row r="4635" spans="1:40" x14ac:dyDescent="0.25">
      <c r="A4635" t="str">
        <f>"20190303162353816"</f>
        <v>20190303162353816</v>
      </c>
      <c r="B4635" t="str">
        <f>"1551601433809605"</f>
        <v>1551601433809605</v>
      </c>
      <c r="C4635" t="s">
        <v>40</v>
      </c>
      <c r="D4635">
        <v>5.6830040000000004</v>
      </c>
      <c r="E4635">
        <v>0.37452869999999999</v>
      </c>
      <c r="F4635" t="s">
        <v>55</v>
      </c>
      <c r="G4635">
        <v>-413.65640000000002</v>
      </c>
      <c r="H4635" s="1">
        <v>-4.8235999999999999E-6</v>
      </c>
      <c r="I4635">
        <v>126.8289</v>
      </c>
      <c r="J4635">
        <v>-411.59359999999998</v>
      </c>
      <c r="K4635">
        <v>1.1309359999999999</v>
      </c>
      <c r="L4635">
        <v>135.82740000000001</v>
      </c>
      <c r="M4635">
        <v>-0.78953859999999998</v>
      </c>
      <c r="N4635">
        <v>-1.47099E-2</v>
      </c>
      <c r="O4635">
        <v>-0.61352469999999903</v>
      </c>
      <c r="P4635">
        <v>-0.509963099999999</v>
      </c>
      <c r="Q4635">
        <v>0.13470019999999999</v>
      </c>
      <c r="R4635">
        <v>-0.84958419999999901</v>
      </c>
      <c r="S4635">
        <v>-0.77484129999999996</v>
      </c>
      <c r="T4635">
        <v>-0.38738270000000002</v>
      </c>
      <c r="U4635">
        <v>-3.1405180000000001</v>
      </c>
      <c r="V4635">
        <v>-0.361537</v>
      </c>
      <c r="W4635">
        <v>0.1392864</v>
      </c>
      <c r="X4635">
        <v>0.92189500000000002</v>
      </c>
      <c r="Y4635">
        <v>-0.61817469999999997</v>
      </c>
      <c r="Z4635">
        <v>2.7552199999999999E-2</v>
      </c>
      <c r="AA4635">
        <v>0.78555769999999903</v>
      </c>
      <c r="AB4635">
        <v>26</v>
      </c>
      <c r="AC4635">
        <v>-2.0628000000000299</v>
      </c>
      <c r="AD4635">
        <v>-1.1309408236</v>
      </c>
      <c r="AE4635">
        <v>-8.9984999999999999</v>
      </c>
      <c r="AF4635">
        <v>-5.7533743172201399</v>
      </c>
      <c r="AG4635">
        <v>-1.1309408236</v>
      </c>
      <c r="AH4635">
        <v>7.0445176015118403</v>
      </c>
      <c r="AI4635">
        <v>97.087886127742905</v>
      </c>
      <c r="AJ4635">
        <v>129.23908265006801</v>
      </c>
      <c r="AK4635">
        <v>9.1654553306719801</v>
      </c>
      <c r="AL4635">
        <v>81.993444975495507</v>
      </c>
      <c r="AM4635">
        <v>111.413483841502</v>
      </c>
      <c r="AN4635">
        <v>1.0000000473094699</v>
      </c>
    </row>
    <row r="4636" spans="1:40" x14ac:dyDescent="0.25">
      <c r="A4636" t="str">
        <f>"20190303162353837"</f>
        <v>20190303162353837</v>
      </c>
      <c r="B4636" t="str">
        <f>"1551601433829126"</f>
        <v>1551601433829126</v>
      </c>
      <c r="C4636" t="s">
        <v>40</v>
      </c>
      <c r="D4636">
        <v>5.8806770000000004</v>
      </c>
      <c r="E4636">
        <v>0.4013256</v>
      </c>
      <c r="F4636" t="s">
        <v>55</v>
      </c>
      <c r="G4636">
        <v>-413.75819999999999</v>
      </c>
      <c r="H4636" s="1">
        <v>-4.7593990000000003E-6</v>
      </c>
      <c r="I4636">
        <v>126.6848</v>
      </c>
      <c r="J4636">
        <v>-411.77839999999998</v>
      </c>
      <c r="K4636">
        <v>1.13089</v>
      </c>
      <c r="L4636">
        <v>135.66489999999999</v>
      </c>
      <c r="M4636">
        <v>-0.78090199999999999</v>
      </c>
      <c r="N4636">
        <v>-1.4703590000000001E-2</v>
      </c>
      <c r="O4636">
        <v>-0.62448049999999999</v>
      </c>
      <c r="P4636">
        <v>-0.50094830000000001</v>
      </c>
      <c r="Q4636">
        <v>0.13357049999999901</v>
      </c>
      <c r="R4636">
        <v>-0.85510779999999997</v>
      </c>
      <c r="S4636">
        <v>-0.74481200000000003</v>
      </c>
      <c r="T4636">
        <v>-0.38913170000000002</v>
      </c>
      <c r="U4636">
        <v>-3.1457519999999999</v>
      </c>
      <c r="V4636">
        <v>-0.35851349999999998</v>
      </c>
      <c r="W4636">
        <v>0.138283399999999</v>
      </c>
      <c r="X4636">
        <v>0.92322579999999999</v>
      </c>
      <c r="Y4636">
        <v>-0.6146469</v>
      </c>
      <c r="Z4636">
        <v>2.9579939999999999E-2</v>
      </c>
      <c r="AA4636">
        <v>0.78824759999999905</v>
      </c>
      <c r="AB4636">
        <v>26</v>
      </c>
      <c r="AC4636">
        <v>-1.97980000000001</v>
      </c>
      <c r="AD4636">
        <v>-1.130894759399</v>
      </c>
      <c r="AE4636">
        <v>-8.9800999999999895</v>
      </c>
      <c r="AF4636">
        <v>-5.6907878222685397</v>
      </c>
      <c r="AG4636">
        <v>-1.130894759399</v>
      </c>
      <c r="AH4636">
        <v>7.04810410138706</v>
      </c>
      <c r="AI4636">
        <v>97.115997328393803</v>
      </c>
      <c r="AJ4636">
        <v>128.91813751653899</v>
      </c>
      <c r="AK4636">
        <v>9.1290613109401892</v>
      </c>
      <c r="AL4636">
        <v>82.051474263563605</v>
      </c>
      <c r="AM4636">
        <v>111.222535276637</v>
      </c>
      <c r="AN4636">
        <v>1.0000000530917199</v>
      </c>
    </row>
    <row r="4637" spans="1:40" x14ac:dyDescent="0.25">
      <c r="A4637" t="str">
        <f>"20190303162353860"</f>
        <v>20190303162353860</v>
      </c>
      <c r="B4637" t="str">
        <f>"1551601433849622"</f>
        <v>1551601433849622</v>
      </c>
      <c r="C4637" t="s">
        <v>40</v>
      </c>
      <c r="D4637">
        <v>5.8078649999999996</v>
      </c>
      <c r="E4637">
        <v>0.42038979999999998</v>
      </c>
      <c r="F4637" t="s">
        <v>42</v>
      </c>
      <c r="G4637">
        <v>-412.04109999999997</v>
      </c>
      <c r="H4637">
        <v>1.034821</v>
      </c>
      <c r="I4637">
        <v>134.76910000000001</v>
      </c>
      <c r="J4637">
        <v>-411.9667</v>
      </c>
      <c r="K4637">
        <v>1.1308199999999999</v>
      </c>
      <c r="L4637">
        <v>135.49459999999999</v>
      </c>
      <c r="M4637">
        <v>-0.77187130000000004</v>
      </c>
      <c r="N4637">
        <v>-1.4693680000000001E-2</v>
      </c>
      <c r="O4637">
        <v>-0.63560899999999998</v>
      </c>
      <c r="P4637">
        <v>-0.49138609999999999</v>
      </c>
      <c r="Q4637">
        <v>0.13120270000000001</v>
      </c>
      <c r="R4637">
        <v>-0.86100270000000001</v>
      </c>
      <c r="S4637">
        <v>-0.89083860000000004</v>
      </c>
      <c r="T4637">
        <v>-0.32573750000000001</v>
      </c>
      <c r="U4637">
        <v>-3.0373230000000002</v>
      </c>
      <c r="V4637">
        <v>-0.35576600000000003</v>
      </c>
      <c r="W4637">
        <v>0.1360451</v>
      </c>
      <c r="X4637">
        <v>0.92462009999999994</v>
      </c>
      <c r="Y4637">
        <v>-0.56092839999999999</v>
      </c>
      <c r="Z4637">
        <v>2.8096739999999999E-2</v>
      </c>
      <c r="AA4637">
        <v>0.8273874</v>
      </c>
      <c r="AB4637">
        <v>26</v>
      </c>
      <c r="AC4637">
        <v>-7.43999999999687E-2</v>
      </c>
      <c r="AD4637">
        <v>-9.5999000000000098E-2</v>
      </c>
      <c r="AE4637">
        <v>-0.72549999999998205</v>
      </c>
      <c r="AF4637">
        <v>-0.50402558616556903</v>
      </c>
      <c r="AG4637">
        <v>-9.5999000000000098E-2</v>
      </c>
      <c r="AH4637">
        <v>0.50978466858344296</v>
      </c>
      <c r="AI4637">
        <v>97.627191300923599</v>
      </c>
      <c r="AJ4637">
        <v>134.67452729384701</v>
      </c>
      <c r="AK4637">
        <v>0.723282799348413</v>
      </c>
      <c r="AL4637">
        <v>82.180942887948902</v>
      </c>
      <c r="AM4637">
        <v>111.04522373997899</v>
      </c>
      <c r="AN4637">
        <v>1.0000000226570001</v>
      </c>
    </row>
    <row r="4638" spans="1:40" x14ac:dyDescent="0.25">
      <c r="A4638" t="str">
        <f>"20190303162353883"</f>
        <v>20190303162353883</v>
      </c>
      <c r="B4638" t="str">
        <f>"1551601433869142"</f>
        <v>1551601433869142</v>
      </c>
      <c r="C4638" t="s">
        <v>40</v>
      </c>
      <c r="D4638">
        <v>5.8015420000000004</v>
      </c>
      <c r="E4638">
        <v>0.43149419999999999</v>
      </c>
      <c r="F4638" t="s">
        <v>42</v>
      </c>
      <c r="G4638">
        <v>-412.2473</v>
      </c>
      <c r="H4638">
        <v>1.046597</v>
      </c>
      <c r="I4638">
        <v>134.65129999999999</v>
      </c>
      <c r="J4638">
        <v>-412.16079999999999</v>
      </c>
      <c r="K4638">
        <v>1.130728</v>
      </c>
      <c r="L4638">
        <v>135.3141</v>
      </c>
      <c r="M4638">
        <v>-0.76232909999999998</v>
      </c>
      <c r="N4638">
        <v>-1.467942E-2</v>
      </c>
      <c r="O4638">
        <v>-0.64702329999999997</v>
      </c>
      <c r="P4638">
        <v>-0.48183900000000002</v>
      </c>
      <c r="Q4638">
        <v>0.12883720000000001</v>
      </c>
      <c r="R4638">
        <v>-0.86673670000000003</v>
      </c>
      <c r="S4638">
        <v>-0.98602290000000004</v>
      </c>
      <c r="T4638">
        <v>-0.2961762</v>
      </c>
      <c r="U4638">
        <v>-2.9667509999999999</v>
      </c>
      <c r="V4638">
        <v>-0.35240680000000002</v>
      </c>
      <c r="W4638">
        <v>0.1338386</v>
      </c>
      <c r="X4638">
        <v>0.92622720000000003</v>
      </c>
      <c r="Y4638">
        <v>-0.51875079999999996</v>
      </c>
      <c r="Z4638">
        <v>2.8369789999999999E-2</v>
      </c>
      <c r="AA4638">
        <v>0.85445459999999995</v>
      </c>
      <c r="AB4638">
        <v>26</v>
      </c>
      <c r="AC4638">
        <v>-8.6500000000000896E-2</v>
      </c>
      <c r="AD4638">
        <v>-8.41309999999999E-2</v>
      </c>
      <c r="AE4638">
        <v>-0.66280000000000405</v>
      </c>
      <c r="AF4638">
        <v>-0.44234489592576298</v>
      </c>
      <c r="AG4638">
        <v>-8.41309999999999E-2</v>
      </c>
      <c r="AH4638">
        <v>0.48712468361884498</v>
      </c>
      <c r="AI4638">
        <v>97.286266425333494</v>
      </c>
      <c r="AJ4638">
        <v>132.24174886104001</v>
      </c>
      <c r="AK4638">
        <v>0.66335321624556398</v>
      </c>
      <c r="AL4638">
        <v>82.308533454352798</v>
      </c>
      <c r="AM4638">
        <v>110.83059606139</v>
      </c>
      <c r="AN4638">
        <v>1.00000007477801</v>
      </c>
    </row>
    <row r="4639" spans="1:40" x14ac:dyDescent="0.25">
      <c r="A4639" t="str">
        <f>"20190303162353907"</f>
        <v>20190303162353907</v>
      </c>
      <c r="B4639" t="str">
        <f>"1551601433899398"</f>
        <v>1551601433899398</v>
      </c>
      <c r="C4639" t="s">
        <v>40</v>
      </c>
      <c r="D4639">
        <v>5.7372940000000003</v>
      </c>
      <c r="E4639">
        <v>0.43958140000000001</v>
      </c>
      <c r="F4639" t="s">
        <v>42</v>
      </c>
      <c r="G4639">
        <v>-412.51580000000001</v>
      </c>
      <c r="H4639">
        <v>1.036267</v>
      </c>
      <c r="I4639">
        <v>134.30109999999999</v>
      </c>
      <c r="J4639">
        <v>-412.35120000000001</v>
      </c>
      <c r="K4639">
        <v>1.13063</v>
      </c>
      <c r="L4639">
        <v>135.13130000000001</v>
      </c>
      <c r="M4639">
        <v>-0.75273440000000003</v>
      </c>
      <c r="N4639">
        <v>-1.466073E-2</v>
      </c>
      <c r="O4639">
        <v>-0.65816140000000001</v>
      </c>
      <c r="P4639">
        <v>-0.47266659999999999</v>
      </c>
      <c r="Q4639">
        <v>0.12802249999999901</v>
      </c>
      <c r="R4639">
        <v>-0.87189259999999902</v>
      </c>
      <c r="S4639">
        <v>-1.0268250000000001</v>
      </c>
      <c r="T4639">
        <v>-0.27326099999999998</v>
      </c>
      <c r="U4639">
        <v>-2.9310299999999998</v>
      </c>
      <c r="V4639">
        <v>-0.34859289999999998</v>
      </c>
      <c r="W4639">
        <v>0.13319919999999999</v>
      </c>
      <c r="X4639">
        <v>0.92776130000000001</v>
      </c>
      <c r="Y4639">
        <v>-0.4923363</v>
      </c>
      <c r="Z4639">
        <v>2.7834370000000001E-2</v>
      </c>
      <c r="AA4639">
        <v>0.86995990000000001</v>
      </c>
      <c r="AB4639">
        <v>26</v>
      </c>
      <c r="AC4639">
        <v>-0.16460000000000699</v>
      </c>
      <c r="AD4639">
        <v>-9.4362999999999905E-2</v>
      </c>
      <c r="AE4639">
        <v>-0.83020000000001903</v>
      </c>
      <c r="AF4639">
        <v>-0.51029880663204397</v>
      </c>
      <c r="AG4639">
        <v>-9.4362999999999905E-2</v>
      </c>
      <c r="AH4639">
        <v>0.66214667417261397</v>
      </c>
      <c r="AI4639">
        <v>96.440211127694994</v>
      </c>
      <c r="AJ4639">
        <v>127.62048391222601</v>
      </c>
      <c r="AK4639">
        <v>0.84127728243245803</v>
      </c>
      <c r="AL4639">
        <v>82.345499037032496</v>
      </c>
      <c r="AM4639">
        <v>110.592984241911</v>
      </c>
      <c r="AN4639">
        <v>1.0000000332943599</v>
      </c>
    </row>
    <row r="4640" spans="1:40" x14ac:dyDescent="0.25">
      <c r="A4640" t="str">
        <f>"20190303162353927"</f>
        <v>20190303162353927</v>
      </c>
      <c r="B4640" t="str">
        <f>"1551601433919894"</f>
        <v>1551601433919894</v>
      </c>
      <c r="C4640" t="s">
        <v>40</v>
      </c>
      <c r="D4640">
        <v>5.7946549999999997</v>
      </c>
      <c r="E4640">
        <v>0.44301590000000002</v>
      </c>
      <c r="F4640" t="s">
        <v>42</v>
      </c>
      <c r="G4640">
        <v>-412.70069999999998</v>
      </c>
      <c r="H4640">
        <v>1.044972</v>
      </c>
      <c r="I4640">
        <v>134.16370000000001</v>
      </c>
      <c r="J4640">
        <v>-412.52210000000002</v>
      </c>
      <c r="K4640">
        <v>1.130552</v>
      </c>
      <c r="L4640">
        <v>134.96289999999999</v>
      </c>
      <c r="M4640">
        <v>-0.74392899999999995</v>
      </c>
      <c r="N4640">
        <v>-1.4642290000000001E-2</v>
      </c>
      <c r="O4640">
        <v>-0.66809830000000003</v>
      </c>
      <c r="P4640">
        <v>-0.46396320000000002</v>
      </c>
      <c r="Q4640">
        <v>0.12722890000000001</v>
      </c>
      <c r="R4640">
        <v>-0.87667019999999996</v>
      </c>
      <c r="S4640">
        <v>-1.0505370000000001</v>
      </c>
      <c r="T4640">
        <v>-0.25749670000000002</v>
      </c>
      <c r="U4640">
        <v>-2.909103</v>
      </c>
      <c r="V4640">
        <v>-0.34554230000000002</v>
      </c>
      <c r="W4640">
        <v>0.13254939999999901</v>
      </c>
      <c r="X4640">
        <v>0.92899469999999995</v>
      </c>
      <c r="Y4640">
        <v>-0.47241179999999999</v>
      </c>
      <c r="Z4640">
        <v>2.747289E-2</v>
      </c>
      <c r="AA4640">
        <v>0.88094969999999995</v>
      </c>
      <c r="AB4640">
        <v>26</v>
      </c>
      <c r="AC4640">
        <v>-0.17859999999996001</v>
      </c>
      <c r="AD4640">
        <v>-8.5579999999999906E-2</v>
      </c>
      <c r="AE4640">
        <v>-0.79919999999998403</v>
      </c>
      <c r="AF4640">
        <v>-0.47014213031734298</v>
      </c>
      <c r="AG4640">
        <v>-8.5579999999999906E-2</v>
      </c>
      <c r="AH4640">
        <v>0.65967690211212704</v>
      </c>
      <c r="AI4640">
        <v>96.030682239755805</v>
      </c>
      <c r="AJ4640">
        <v>125.476919273045</v>
      </c>
      <c r="AK4640">
        <v>0.814574228833433</v>
      </c>
      <c r="AL4640">
        <v>82.383062574158998</v>
      </c>
      <c r="AM4640">
        <v>110.402831900233</v>
      </c>
      <c r="AN4640">
        <v>0.99999998857886896</v>
      </c>
    </row>
    <row r="4641" spans="1:40" x14ac:dyDescent="0.25">
      <c r="A4641" t="str">
        <f>"20190303162353950"</f>
        <v>20190303162353950</v>
      </c>
      <c r="B4641" t="str">
        <f>"1551601433939414"</f>
        <v>1551601433939414</v>
      </c>
      <c r="C4641" t="s">
        <v>40</v>
      </c>
      <c r="D4641">
        <v>5.7972089999999996</v>
      </c>
      <c r="E4641">
        <v>0.44550309999999999</v>
      </c>
      <c r="F4641" t="s">
        <v>42</v>
      </c>
      <c r="G4641">
        <v>-412.86520000000002</v>
      </c>
      <c r="H4641">
        <v>1.048143</v>
      </c>
      <c r="I4641">
        <v>134.0102</v>
      </c>
      <c r="J4641">
        <v>-412.7002</v>
      </c>
      <c r="K4641">
        <v>1.1304719999999999</v>
      </c>
      <c r="L4641">
        <v>134.7826</v>
      </c>
      <c r="M4641">
        <v>-0.73455419999999905</v>
      </c>
      <c r="N4641">
        <v>-1.4622380000000001E-2</v>
      </c>
      <c r="O4641">
        <v>-0.67839240000000001</v>
      </c>
      <c r="P4641">
        <v>-0.45401659999999999</v>
      </c>
      <c r="Q4641">
        <v>0.1279634</v>
      </c>
      <c r="R4641">
        <v>-0.88175619999999999</v>
      </c>
      <c r="S4641">
        <v>-1.0453490000000001</v>
      </c>
      <c r="T4641">
        <v>-0.25120879999999901</v>
      </c>
      <c r="U4641">
        <v>-2.9052280000000001</v>
      </c>
      <c r="V4641">
        <v>-0.34302129999999997</v>
      </c>
      <c r="W4641">
        <v>0.13340949999999999</v>
      </c>
      <c r="X4641">
        <v>0.92980549999999995</v>
      </c>
      <c r="Y4641">
        <v>-0.4611691</v>
      </c>
      <c r="Z4641">
        <v>2.7970209999999999E-2</v>
      </c>
      <c r="AA4641">
        <v>0.88687130000000003</v>
      </c>
      <c r="AB4641">
        <v>26</v>
      </c>
      <c r="AC4641">
        <v>-0.16500000000001999</v>
      </c>
      <c r="AD4641">
        <v>-8.2328999999999805E-2</v>
      </c>
      <c r="AE4641">
        <v>-0.77240000000000397</v>
      </c>
      <c r="AF4641">
        <v>-0.45058785806850499</v>
      </c>
      <c r="AG4641">
        <v>-8.2328999999999805E-2</v>
      </c>
      <c r="AH4641">
        <v>0.63832514672663898</v>
      </c>
      <c r="AI4641">
        <v>96.015021199198102</v>
      </c>
      <c r="AJ4641">
        <v>125.217916567619</v>
      </c>
      <c r="AK4641">
        <v>0.785663079839793</v>
      </c>
      <c r="AL4641">
        <v>82.333340874279102</v>
      </c>
      <c r="AM4641">
        <v>110.249888328228</v>
      </c>
      <c r="AN4641">
        <v>0.99999998738709395</v>
      </c>
    </row>
    <row r="4642" spans="1:40" x14ac:dyDescent="0.25">
      <c r="A4642" t="str">
        <f>"20190303162353971"</f>
        <v>20190303162353971</v>
      </c>
      <c r="B4642" t="str">
        <f>"1551601433959910"</f>
        <v>1551601433959910</v>
      </c>
      <c r="C4642" t="s">
        <v>40</v>
      </c>
      <c r="D4642">
        <v>5.7315809999999896</v>
      </c>
      <c r="E4642">
        <v>0.44751639999999998</v>
      </c>
      <c r="F4642" t="s">
        <v>42</v>
      </c>
      <c r="G4642">
        <v>-413.0283</v>
      </c>
      <c r="H4642">
        <v>1.053663</v>
      </c>
      <c r="I4642">
        <v>133.85480000000001</v>
      </c>
      <c r="J4642">
        <v>-412.875</v>
      </c>
      <c r="K4642">
        <v>1.130398</v>
      </c>
      <c r="L4642">
        <v>134.601</v>
      </c>
      <c r="M4642">
        <v>-0.7251647</v>
      </c>
      <c r="N4642">
        <v>-1.460174E-2</v>
      </c>
      <c r="O4642">
        <v>-0.6884209</v>
      </c>
      <c r="P4642">
        <v>-0.44510519999999998</v>
      </c>
      <c r="Q4642">
        <v>0.1302353</v>
      </c>
      <c r="R4642">
        <v>-0.88595709999999905</v>
      </c>
      <c r="S4642">
        <v>-1.0284120000000001</v>
      </c>
      <c r="T4642">
        <v>-0.2407579</v>
      </c>
      <c r="U4642">
        <v>-2.9076689999999998</v>
      </c>
      <c r="V4642">
        <v>-0.33939730000000001</v>
      </c>
      <c r="W4642">
        <v>0.13583290000000001</v>
      </c>
      <c r="X4642">
        <v>0.93078399999999994</v>
      </c>
      <c r="Y4642">
        <v>-0.45382119999999998</v>
      </c>
      <c r="Z4642">
        <v>2.7491450000000001E-2</v>
      </c>
      <c r="AA4642">
        <v>0.89066859999999903</v>
      </c>
      <c r="AB4642">
        <v>26</v>
      </c>
      <c r="AC4642">
        <v>-0.15330000000000099</v>
      </c>
      <c r="AD4642">
        <v>-7.6734999999999998E-2</v>
      </c>
      <c r="AE4642">
        <v>-0.74619999999998698</v>
      </c>
      <c r="AF4642">
        <v>-0.43125355187050401</v>
      </c>
      <c r="AG4642">
        <v>-7.6734999999999998E-2</v>
      </c>
      <c r="AH4642">
        <v>0.61865663133830295</v>
      </c>
      <c r="AI4642">
        <v>95.810003345944395</v>
      </c>
      <c r="AJ4642">
        <v>124.87960589097899</v>
      </c>
      <c r="AK4642">
        <v>0.75802632785727297</v>
      </c>
      <c r="AL4642">
        <v>82.193214630801606</v>
      </c>
      <c r="AM4642">
        <v>110.033673205515</v>
      </c>
      <c r="AN4642">
        <v>0.99999997931284901</v>
      </c>
    </row>
    <row r="4643" spans="1:40" x14ac:dyDescent="0.25">
      <c r="A4643" t="str">
        <f>"20190303162353995"</f>
        <v>20190303162353995</v>
      </c>
      <c r="B4643" t="str">
        <f>"1551601433979431"</f>
        <v>1551601433979431</v>
      </c>
      <c r="C4643" t="s">
        <v>40</v>
      </c>
      <c r="D4643">
        <v>5.7933079999999997</v>
      </c>
      <c r="E4643">
        <v>0.4492062</v>
      </c>
      <c r="F4643" t="s">
        <v>42</v>
      </c>
      <c r="G4643">
        <v>-413.1891</v>
      </c>
      <c r="H4643">
        <v>1.0597810000000001</v>
      </c>
      <c r="I4643">
        <v>133.69720000000001</v>
      </c>
      <c r="J4643">
        <v>-413.05040000000002</v>
      </c>
      <c r="K4643">
        <v>1.130323</v>
      </c>
      <c r="L4643">
        <v>134.41380000000001</v>
      </c>
      <c r="M4643">
        <v>-0.71555299999999999</v>
      </c>
      <c r="N4643">
        <v>-1.457893E-2</v>
      </c>
      <c r="O4643">
        <v>-0.69840630000000004</v>
      </c>
      <c r="P4643">
        <v>-0.437222</v>
      </c>
      <c r="Q4643">
        <v>0.133079799999999</v>
      </c>
      <c r="R4643">
        <v>-0.88945289999999999</v>
      </c>
      <c r="S4643">
        <v>-1.011536</v>
      </c>
      <c r="T4643">
        <v>-0.22742219999999999</v>
      </c>
      <c r="U4643">
        <v>-2.9113769999999999</v>
      </c>
      <c r="V4643">
        <v>-0.33448240000000001</v>
      </c>
      <c r="W4643">
        <v>0.13886470000000001</v>
      </c>
      <c r="X4643">
        <v>0.93211489999999997</v>
      </c>
      <c r="Y4643">
        <v>-0.44644440000000002</v>
      </c>
      <c r="Z4643">
        <v>2.6392659999999998E-2</v>
      </c>
      <c r="AA4643">
        <v>0.8944221</v>
      </c>
      <c r="AB4643">
        <v>26</v>
      </c>
      <c r="AC4643">
        <v>-0.13869999999997101</v>
      </c>
      <c r="AD4643">
        <v>-7.0542000000000105E-2</v>
      </c>
      <c r="AE4643">
        <v>-0.71659999999999902</v>
      </c>
      <c r="AF4643">
        <v>-0.41209139769877001</v>
      </c>
      <c r="AG4643">
        <v>-7.0542000000000105E-2</v>
      </c>
      <c r="AH4643">
        <v>0.59423842480687294</v>
      </c>
      <c r="AI4643">
        <v>95.571512847182106</v>
      </c>
      <c r="AJ4643">
        <v>124.740465034774</v>
      </c>
      <c r="AK4643">
        <v>0.72657745584230704</v>
      </c>
      <c r="AL4643">
        <v>82.017843608770605</v>
      </c>
      <c r="AM4643">
        <v>109.740141547787</v>
      </c>
      <c r="AN4643">
        <v>1.0000000338089201</v>
      </c>
    </row>
    <row r="4644" spans="1:40" x14ac:dyDescent="0.25">
      <c r="A4644" t="str">
        <f>"20190303162354017"</f>
        <v>20190303162354017</v>
      </c>
      <c r="B4644" t="str">
        <f>"1551601434009686"</f>
        <v>1551601434009686</v>
      </c>
      <c r="C4644" t="s">
        <v>40</v>
      </c>
      <c r="D4644">
        <v>5.7949909999999996</v>
      </c>
      <c r="E4644">
        <v>0.45168320000000001</v>
      </c>
      <c r="F4644" t="s">
        <v>42</v>
      </c>
      <c r="G4644">
        <v>-413.3648</v>
      </c>
      <c r="H4644">
        <v>1.0632109999999999</v>
      </c>
      <c r="I4644">
        <v>133.4941</v>
      </c>
      <c r="J4644">
        <v>-413.22250000000003</v>
      </c>
      <c r="K4644">
        <v>1.1302369999999999</v>
      </c>
      <c r="L4644">
        <v>134.22499999999999</v>
      </c>
      <c r="M4644">
        <v>-0.70592519999999903</v>
      </c>
      <c r="N4644">
        <v>-1.4554259999999999E-2</v>
      </c>
      <c r="O4644">
        <v>-0.70813700000000002</v>
      </c>
      <c r="P4644">
        <v>-0.43065940000000003</v>
      </c>
      <c r="Q4644">
        <v>0.1336135</v>
      </c>
      <c r="R4644">
        <v>-0.89256950000000002</v>
      </c>
      <c r="S4644">
        <v>-0.99642940000000002</v>
      </c>
      <c r="T4644">
        <v>-0.2126999</v>
      </c>
      <c r="U4644">
        <v>-2.9149020000000001</v>
      </c>
      <c r="V4644">
        <v>-0.32849440000000002</v>
      </c>
      <c r="W4644">
        <v>0.1396174</v>
      </c>
      <c r="X4644">
        <v>0.93412980000000001</v>
      </c>
      <c r="Y4644">
        <v>-0.43868809999999903</v>
      </c>
      <c r="Z4644">
        <v>2.4900869999999999E-2</v>
      </c>
      <c r="AA4644">
        <v>0.89829429999999999</v>
      </c>
      <c r="AB4644">
        <v>26</v>
      </c>
      <c r="AC4644">
        <v>-0.142299999999977</v>
      </c>
      <c r="AD4644">
        <v>-6.7026000000000002E-2</v>
      </c>
      <c r="AE4644">
        <v>-0.730899999999991</v>
      </c>
      <c r="AF4644">
        <v>-0.411899398423691</v>
      </c>
      <c r="AG4644">
        <v>-6.7026000000000002E-2</v>
      </c>
      <c r="AH4644">
        <v>0.61312808445820199</v>
      </c>
      <c r="AI4644">
        <v>95.184967872847693</v>
      </c>
      <c r="AJ4644">
        <v>123.893202640346</v>
      </c>
      <c r="AK4644">
        <v>0.74167354479527103</v>
      </c>
      <c r="AL4644">
        <v>81.974292846271794</v>
      </c>
      <c r="AM4644">
        <v>109.374641718999</v>
      </c>
      <c r="AN4644">
        <v>1.0000000362310699</v>
      </c>
    </row>
    <row r="4645" spans="1:40" x14ac:dyDescent="0.25">
      <c r="A4645" t="str">
        <f>"20190303162354038"</f>
        <v>20190303162354038</v>
      </c>
      <c r="B4645" t="str">
        <f>"1551601434029205"</f>
        <v>1551601434029205</v>
      </c>
      <c r="C4645" t="s">
        <v>40</v>
      </c>
      <c r="D4645">
        <v>5.7802829999999998</v>
      </c>
      <c r="E4645">
        <v>0.45323419999999998</v>
      </c>
      <c r="F4645" t="s">
        <v>41</v>
      </c>
      <c r="G4645">
        <v>-418.63580000000002</v>
      </c>
      <c r="H4645" s="1">
        <v>-3.9677470000000004E-6</v>
      </c>
      <c r="I4645">
        <v>118.3176</v>
      </c>
      <c r="J4645">
        <v>-413.38490000000002</v>
      </c>
      <c r="K4645">
        <v>1.130161</v>
      </c>
      <c r="L4645">
        <v>134.04239999999999</v>
      </c>
      <c r="M4645">
        <v>-0.69667570000000001</v>
      </c>
      <c r="N4645">
        <v>-1.4529210000000001E-2</v>
      </c>
      <c r="O4645">
        <v>-0.71723899999999996</v>
      </c>
      <c r="P4645">
        <v>-0.42599130000000002</v>
      </c>
      <c r="Q4645">
        <v>0.1332576</v>
      </c>
      <c r="R4645">
        <v>-0.89485969999999904</v>
      </c>
      <c r="S4645">
        <v>-0.99151610000000001</v>
      </c>
      <c r="T4645">
        <v>-0.20701849999999999</v>
      </c>
      <c r="U4645">
        <v>-2.9136510000000002</v>
      </c>
      <c r="V4645">
        <v>-0.32122430000000002</v>
      </c>
      <c r="W4645">
        <v>0.13951450000000001</v>
      </c>
      <c r="X4645">
        <v>0.93667</v>
      </c>
      <c r="Y4645">
        <v>-0.4282646</v>
      </c>
      <c r="Z4645">
        <v>2.4954110000000002E-2</v>
      </c>
      <c r="AA4645">
        <v>0.90330880000000002</v>
      </c>
      <c r="AB4645">
        <v>26</v>
      </c>
      <c r="AC4645">
        <v>-5.2508999999999997</v>
      </c>
      <c r="AD4645">
        <v>-1.130164967747</v>
      </c>
      <c r="AE4645">
        <v>-15.724799999999901</v>
      </c>
      <c r="AF4645">
        <v>-7.1564368179333</v>
      </c>
      <c r="AG4645">
        <v>-1.130164967747</v>
      </c>
      <c r="AH4645">
        <v>14.869090428053401</v>
      </c>
      <c r="AI4645">
        <v>93.917955104984898</v>
      </c>
      <c r="AJ4645">
        <v>115.70133547452799</v>
      </c>
      <c r="AK4645">
        <v>16.540305648355599</v>
      </c>
      <c r="AL4645">
        <v>81.980246705868396</v>
      </c>
      <c r="AM4645">
        <v>108.92903955676999</v>
      </c>
      <c r="AN4645">
        <v>1.0000000177603601</v>
      </c>
    </row>
    <row r="4646" spans="1:40" x14ac:dyDescent="0.25">
      <c r="A4646" t="str">
        <f>"20190303162354061"</f>
        <v>20190303162354061</v>
      </c>
      <c r="B4646" t="str">
        <f>"1551601434049702"</f>
        <v>1551601434049702</v>
      </c>
      <c r="C4646" t="s">
        <v>40</v>
      </c>
      <c r="D4646">
        <v>5.8480850000000002</v>
      </c>
      <c r="E4646">
        <v>0.4545015</v>
      </c>
      <c r="F4646" t="s">
        <v>41</v>
      </c>
      <c r="G4646">
        <v>-418.7801</v>
      </c>
      <c r="H4646" s="1">
        <v>-3.8557969999999997E-6</v>
      </c>
      <c r="I4646">
        <v>118.1163</v>
      </c>
      <c r="J4646">
        <v>-413.5582</v>
      </c>
      <c r="K4646">
        <v>1.130077</v>
      </c>
      <c r="L4646">
        <v>133.8424</v>
      </c>
      <c r="M4646">
        <v>-0.68662100000000004</v>
      </c>
      <c r="N4646">
        <v>-1.450107E-2</v>
      </c>
      <c r="O4646">
        <v>-0.72687089999999999</v>
      </c>
      <c r="P4646">
        <v>-0.42150599999999999</v>
      </c>
      <c r="Q4646">
        <v>0.134579799999999</v>
      </c>
      <c r="R4646">
        <v>-0.89678389999999997</v>
      </c>
      <c r="S4646">
        <v>-0.98696899999999999</v>
      </c>
      <c r="T4646">
        <v>-0.20674780000000001</v>
      </c>
      <c r="U4646">
        <v>-2.9134519999999999</v>
      </c>
      <c r="V4646">
        <v>-0.31270100000000001</v>
      </c>
      <c r="W4646">
        <v>0.141124</v>
      </c>
      <c r="X4646">
        <v>0.93930939999999996</v>
      </c>
      <c r="Y4646">
        <v>-0.41692240000000003</v>
      </c>
      <c r="Z4646">
        <v>2.6008449999999999E-2</v>
      </c>
      <c r="AA4646">
        <v>0.90856990000000004</v>
      </c>
      <c r="AB4646">
        <v>26</v>
      </c>
      <c r="AC4646">
        <v>-5.2218999999999998</v>
      </c>
      <c r="AD4646">
        <v>-1.1300808557969999</v>
      </c>
      <c r="AE4646">
        <v>-15.726100000000001</v>
      </c>
      <c r="AF4646">
        <v>-6.9705393017886896</v>
      </c>
      <c r="AG4646">
        <v>-1.1300808557969999</v>
      </c>
      <c r="AH4646">
        <v>14.948364014344801</v>
      </c>
      <c r="AI4646">
        <v>93.919547723028799</v>
      </c>
      <c r="AJ4646">
        <v>115.000008453303</v>
      </c>
      <c r="AK4646">
        <v>16.532364852124999</v>
      </c>
      <c r="AL4646">
        <v>81.887107700609405</v>
      </c>
      <c r="AM4646">
        <v>108.412869675067</v>
      </c>
      <c r="AN4646">
        <v>1.0000000238526701</v>
      </c>
    </row>
    <row r="4647" spans="1:40" x14ac:dyDescent="0.25">
      <c r="A4647" t="str">
        <f>"20190303162354084"</f>
        <v>20190303162354084</v>
      </c>
      <c r="B4647" t="str">
        <f>"1551601434069221"</f>
        <v>1551601434069221</v>
      </c>
      <c r="C4647" t="s">
        <v>40</v>
      </c>
      <c r="D4647">
        <v>5.7957479999999997</v>
      </c>
      <c r="E4647">
        <v>0.47232299999999999</v>
      </c>
      <c r="F4647" t="s">
        <v>41</v>
      </c>
      <c r="G4647">
        <v>-419.07920000000001</v>
      </c>
      <c r="H4647" s="1">
        <v>-3.5051180000000002E-6</v>
      </c>
      <c r="I4647">
        <v>117.4226</v>
      </c>
      <c r="J4647">
        <v>-413.71940000000001</v>
      </c>
      <c r="K4647">
        <v>1.129996</v>
      </c>
      <c r="L4647">
        <v>133.65110000000001</v>
      </c>
      <c r="M4647">
        <v>-0.67710159999999997</v>
      </c>
      <c r="N4647">
        <v>-1.4472570000000001E-2</v>
      </c>
      <c r="O4647">
        <v>-0.7357475</v>
      </c>
      <c r="P4647">
        <v>-0.41780319999999999</v>
      </c>
      <c r="Q4647">
        <v>0.13986419999999999</v>
      </c>
      <c r="R4647">
        <v>-0.89770749999999999</v>
      </c>
      <c r="S4647">
        <v>-0.98007200000000005</v>
      </c>
      <c r="T4647">
        <v>-0.20060629999999999</v>
      </c>
      <c r="U4647">
        <v>-2.9147639999999999</v>
      </c>
      <c r="V4647">
        <v>-0.30385620000000002</v>
      </c>
      <c r="W4647">
        <v>0.1466935</v>
      </c>
      <c r="X4647">
        <v>0.94135670000000005</v>
      </c>
      <c r="Y4647">
        <v>-0.40714460000000002</v>
      </c>
      <c r="Z4647">
        <v>2.5815689999999999E-2</v>
      </c>
      <c r="AA4647">
        <v>0.9129988</v>
      </c>
      <c r="AB4647">
        <v>26</v>
      </c>
      <c r="AC4647">
        <v>-5.3597999999999999</v>
      </c>
      <c r="AD4647">
        <v>-1.1299995051180001</v>
      </c>
      <c r="AE4647">
        <v>-16.2285</v>
      </c>
      <c r="AF4647">
        <v>-7.01495395490742</v>
      </c>
      <c r="AG4647">
        <v>-1.1299995051180001</v>
      </c>
      <c r="AH4647">
        <v>15.503062297926499</v>
      </c>
      <c r="AI4647">
        <v>93.799255787008903</v>
      </c>
      <c r="AJ4647">
        <v>114.34619435298499</v>
      </c>
      <c r="AK4647">
        <v>17.053780181661399</v>
      </c>
      <c r="AL4647">
        <v>81.5646416964167</v>
      </c>
      <c r="AM4647">
        <v>107.889321895447</v>
      </c>
      <c r="AN4647">
        <v>1.00000000492779</v>
      </c>
    </row>
    <row r="4648" spans="1:40" x14ac:dyDescent="0.25">
      <c r="A4648" t="str">
        <f>"20190303162354107"</f>
        <v>20190303162354107</v>
      </c>
      <c r="B4648" t="str">
        <f>"1551601434099480"</f>
        <v>1551601434099480</v>
      </c>
      <c r="C4648" t="s">
        <v>40</v>
      </c>
      <c r="D4648">
        <v>5.5415279999999996</v>
      </c>
      <c r="E4648">
        <v>0.48833749999999998</v>
      </c>
      <c r="F4648" t="s">
        <v>41</v>
      </c>
      <c r="G4648">
        <v>-420.47379999999998</v>
      </c>
      <c r="H4648" s="1">
        <v>-2.8868309999999998E-6</v>
      </c>
      <c r="I4648">
        <v>116.02460000000001</v>
      </c>
      <c r="J4648">
        <v>-413.88369999999998</v>
      </c>
      <c r="K4648">
        <v>1.129893</v>
      </c>
      <c r="L4648">
        <v>133.45079999999999</v>
      </c>
      <c r="M4648">
        <v>-0.66725809999999997</v>
      </c>
      <c r="N4648">
        <v>-1.444027E-2</v>
      </c>
      <c r="O4648">
        <v>-0.74468669999999904</v>
      </c>
      <c r="P4648">
        <v>-0.41245140000000002</v>
      </c>
      <c r="Q4648">
        <v>0.145346</v>
      </c>
      <c r="R4648">
        <v>-0.89931019999999995</v>
      </c>
      <c r="S4648">
        <v>-1.096039</v>
      </c>
      <c r="T4648">
        <v>-0.18336730000000001</v>
      </c>
      <c r="U4648">
        <v>-2.8602910000000001</v>
      </c>
      <c r="V4648">
        <v>-0.29641659999999997</v>
      </c>
      <c r="W4648">
        <v>0.15242559999999999</v>
      </c>
      <c r="X4648">
        <v>0.94281689999999996</v>
      </c>
      <c r="Y4648">
        <v>-0.35653509999999899</v>
      </c>
      <c r="Z4648">
        <v>2.4647720000000001E-2</v>
      </c>
      <c r="AA4648">
        <v>0.93395669999999997</v>
      </c>
      <c r="AB4648">
        <v>26</v>
      </c>
      <c r="AC4648">
        <v>-6.5900999999999996</v>
      </c>
      <c r="AD4648">
        <v>-1.1298958868310001</v>
      </c>
      <c r="AE4648">
        <v>-17.426199999999898</v>
      </c>
      <c r="AF4648">
        <v>-6.6962840606257403</v>
      </c>
      <c r="AG4648">
        <v>-1.1298958868310001</v>
      </c>
      <c r="AH4648">
        <v>17.312490664705901</v>
      </c>
      <c r="AI4648">
        <v>93.483304988891703</v>
      </c>
      <c r="AJ4648">
        <v>111.145931042261</v>
      </c>
      <c r="AK4648">
        <v>18.5967528872972</v>
      </c>
      <c r="AL4648">
        <v>81.232480426037696</v>
      </c>
      <c r="AM4648">
        <v>107.452869304365</v>
      </c>
      <c r="AN4648">
        <v>1.0000000356082599</v>
      </c>
    </row>
    <row r="4649" spans="1:40" x14ac:dyDescent="0.25">
      <c r="A4649" t="str">
        <f>"20190303162354128"</f>
        <v>20190303162354128</v>
      </c>
      <c r="B4649" t="str">
        <f>"1551601434118998"</f>
        <v>1551601434118998</v>
      </c>
      <c r="C4649" t="s">
        <v>40</v>
      </c>
      <c r="D4649">
        <v>5.7736080000000003</v>
      </c>
      <c r="E4649">
        <v>0.49123749999999999</v>
      </c>
      <c r="F4649" t="s">
        <v>41</v>
      </c>
      <c r="G4649">
        <v>-420.29820000000001</v>
      </c>
      <c r="H4649" s="1">
        <v>-3.8467720000000002E-6</v>
      </c>
      <c r="I4649">
        <v>118.371</v>
      </c>
      <c r="J4649">
        <v>-414.03809999999999</v>
      </c>
      <c r="K4649">
        <v>1.129775</v>
      </c>
      <c r="L4649">
        <v>133.25799999999899</v>
      </c>
      <c r="M4649">
        <v>-0.65787259999999903</v>
      </c>
      <c r="N4649">
        <v>-1.44078E-2</v>
      </c>
      <c r="O4649">
        <v>-0.75299159999999998</v>
      </c>
      <c r="P4649">
        <v>-0.40640039999999999</v>
      </c>
      <c r="Q4649">
        <v>0.1477552</v>
      </c>
      <c r="R4649">
        <v>-0.90166930000000001</v>
      </c>
      <c r="S4649">
        <v>-1.1994929999999999</v>
      </c>
      <c r="T4649">
        <v>-0.21128710000000001</v>
      </c>
      <c r="U4649">
        <v>-2.8198699999999999</v>
      </c>
      <c r="V4649">
        <v>-0.29066769999999997</v>
      </c>
      <c r="W4649">
        <v>0.15503829999999999</v>
      </c>
      <c r="X4649">
        <v>0.94417980000000001</v>
      </c>
      <c r="Y4649">
        <v>-0.31068390000000001</v>
      </c>
      <c r="Z4649">
        <v>3.2268280000000003E-2</v>
      </c>
      <c r="AA4649">
        <v>0.94996539999999996</v>
      </c>
      <c r="AB4649">
        <v>26</v>
      </c>
      <c r="AC4649">
        <v>-6.26010000000002</v>
      </c>
      <c r="AD4649">
        <v>-1.129778846772</v>
      </c>
      <c r="AE4649">
        <v>-14.886999999999899</v>
      </c>
      <c r="AF4649">
        <v>-5.0557307633078601</v>
      </c>
      <c r="AG4649">
        <v>-1.129778846772</v>
      </c>
      <c r="AH4649">
        <v>15.255065564227699</v>
      </c>
      <c r="AI4649">
        <v>94.021230235485206</v>
      </c>
      <c r="AJ4649">
        <v>108.33588013244</v>
      </c>
      <c r="AK4649">
        <v>16.110674696068902</v>
      </c>
      <c r="AL4649">
        <v>81.080982830876707</v>
      </c>
      <c r="AM4649">
        <v>107.111090301543</v>
      </c>
      <c r="AN4649">
        <v>1.0000000405091001</v>
      </c>
    </row>
    <row r="4650" spans="1:40" x14ac:dyDescent="0.25">
      <c r="A4650" t="str">
        <f>"20190303162354150"</f>
        <v>20190303162354150</v>
      </c>
      <c r="B4650" t="str">
        <f>"1551601434139494"</f>
        <v>1551601434139494</v>
      </c>
      <c r="C4650" t="s">
        <v>40</v>
      </c>
      <c r="D4650">
        <v>5.6623269999999897</v>
      </c>
      <c r="E4650">
        <v>0.49135220000000002</v>
      </c>
      <c r="F4650" t="s">
        <v>41</v>
      </c>
      <c r="G4650">
        <v>-420.48590000000002</v>
      </c>
      <c r="H4650" s="1">
        <v>-3.8130440000000001E-6</v>
      </c>
      <c r="I4650">
        <v>118.176</v>
      </c>
      <c r="J4650">
        <v>-414.19009999999997</v>
      </c>
      <c r="K4650">
        <v>1.1296379999999999</v>
      </c>
      <c r="L4650">
        <v>133.0635</v>
      </c>
      <c r="M4650">
        <v>-0.64851829999999999</v>
      </c>
      <c r="N4650">
        <v>-1.4374339999999999E-2</v>
      </c>
      <c r="O4650">
        <v>-0.7610635</v>
      </c>
      <c r="P4650">
        <v>-0.39959749999999999</v>
      </c>
      <c r="Q4650">
        <v>0.14575659999999999</v>
      </c>
      <c r="R4650">
        <v>-0.90502870000000002</v>
      </c>
      <c r="S4650">
        <v>-1.205017</v>
      </c>
      <c r="T4650">
        <v>-0.2111402</v>
      </c>
      <c r="U4650">
        <v>-2.818619</v>
      </c>
      <c r="V4650">
        <v>-0.28621639999999998</v>
      </c>
      <c r="W4650">
        <v>0.15321870000000001</v>
      </c>
      <c r="X4650">
        <v>0.94583519999999999</v>
      </c>
      <c r="Y4650">
        <v>-0.29721009999999998</v>
      </c>
      <c r="Z4650">
        <v>3.3204209999999998E-2</v>
      </c>
      <c r="AA4650">
        <v>0.95423460000000004</v>
      </c>
      <c r="AB4650">
        <v>26</v>
      </c>
      <c r="AC4650">
        <v>-6.2958000000000398</v>
      </c>
      <c r="AD4650">
        <v>-1.129641813044</v>
      </c>
      <c r="AE4650">
        <v>-14.887499999999999</v>
      </c>
      <c r="AF4650">
        <v>-4.8401746198833697</v>
      </c>
      <c r="AG4650">
        <v>-1.129641813044</v>
      </c>
      <c r="AH4650">
        <v>15.3399432498063</v>
      </c>
      <c r="AI4650">
        <v>94.017151335180898</v>
      </c>
      <c r="AJ4650">
        <v>107.511920764514</v>
      </c>
      <c r="AK4650">
        <v>16.125050073845301</v>
      </c>
      <c r="AL4650">
        <v>81.186498819559503</v>
      </c>
      <c r="AM4650">
        <v>106.83618514656401</v>
      </c>
      <c r="AN4650">
        <v>1.0000000116088399</v>
      </c>
    </row>
    <row r="4651" spans="1:40" x14ac:dyDescent="0.25">
      <c r="A4651" t="str">
        <f>"20190303162354172"</f>
        <v>20190303162354172</v>
      </c>
      <c r="B4651" t="str">
        <f>"1551601434159014"</f>
        <v>1551601434159014</v>
      </c>
      <c r="C4651" t="s">
        <v>40</v>
      </c>
      <c r="D4651">
        <v>5.7196530000000001</v>
      </c>
      <c r="E4651">
        <v>0.49178559999999999</v>
      </c>
      <c r="F4651" t="s">
        <v>41</v>
      </c>
      <c r="G4651">
        <v>-420.27409999999998</v>
      </c>
      <c r="H4651" s="1">
        <v>-3.9207859999999998E-6</v>
      </c>
      <c r="I4651">
        <v>118.5585</v>
      </c>
      <c r="J4651">
        <v>-414.34339999999997</v>
      </c>
      <c r="K4651">
        <v>1.1294630000000001</v>
      </c>
      <c r="L4651">
        <v>132.86259999999999</v>
      </c>
      <c r="M4651">
        <v>-0.63900349999999995</v>
      </c>
      <c r="N4651">
        <v>-1.4337030000000001E-2</v>
      </c>
      <c r="O4651">
        <v>-0.76907040000000004</v>
      </c>
      <c r="P4651">
        <v>-0.39183839999999998</v>
      </c>
      <c r="Q4651">
        <v>0.14143739999999999</v>
      </c>
      <c r="R4651">
        <v>-0.90909770000000001</v>
      </c>
      <c r="S4651">
        <v>-1.1856690000000001</v>
      </c>
      <c r="T4651">
        <v>-0.22014590000000001</v>
      </c>
      <c r="U4651">
        <v>-2.8267519999999999</v>
      </c>
      <c r="V4651">
        <v>-0.28282360000000001</v>
      </c>
      <c r="W4651">
        <v>0.14906510000000001</v>
      </c>
      <c r="X4651">
        <v>0.94751810000000003</v>
      </c>
      <c r="Y4651">
        <v>-0.29190440000000001</v>
      </c>
      <c r="Z4651">
        <v>3.5912729999999997E-2</v>
      </c>
      <c r="AA4651">
        <v>0.95577310000000004</v>
      </c>
      <c r="AB4651">
        <v>26</v>
      </c>
      <c r="AC4651">
        <v>-5.9306999999999999</v>
      </c>
      <c r="AD4651">
        <v>-1.129466920786</v>
      </c>
      <c r="AE4651">
        <v>-14.304099999999901</v>
      </c>
      <c r="AF4651">
        <v>-4.5554778071267297</v>
      </c>
      <c r="AG4651">
        <v>-1.129466920786</v>
      </c>
      <c r="AH4651">
        <v>14.713834572594999</v>
      </c>
      <c r="AI4651">
        <v>94.193890400926506</v>
      </c>
      <c r="AJ4651">
        <v>107.20279003272999</v>
      </c>
      <c r="AK4651">
        <v>15.4442546406768</v>
      </c>
      <c r="AL4651">
        <v>81.427248982819506</v>
      </c>
      <c r="AM4651">
        <v>106.61977839674201</v>
      </c>
      <c r="AN4651">
        <v>1.00000007129128</v>
      </c>
    </row>
    <row r="4652" spans="1:40" x14ac:dyDescent="0.25">
      <c r="A4652" t="str">
        <f>"20190303162354196"</f>
        <v>20190303162354196</v>
      </c>
      <c r="B4652" t="str">
        <f>"1551601434189270"</f>
        <v>1551601434189270</v>
      </c>
      <c r="C4652" t="s">
        <v>40</v>
      </c>
      <c r="D4652">
        <v>5.6625540000000001</v>
      </c>
      <c r="E4652">
        <v>0.49174440000000003</v>
      </c>
      <c r="F4652" t="s">
        <v>41</v>
      </c>
      <c r="G4652">
        <v>-419.8295</v>
      </c>
      <c r="H4652" s="1">
        <v>-4.2565330000000001E-6</v>
      </c>
      <c r="I4652">
        <v>119.4843</v>
      </c>
      <c r="J4652">
        <v>-414.50069999999999</v>
      </c>
      <c r="K4652">
        <v>1.1292409999999999</v>
      </c>
      <c r="L4652">
        <v>132.65129999999999</v>
      </c>
      <c r="M4652">
        <v>-0.62920159999999903</v>
      </c>
      <c r="N4652">
        <v>-1.4292249999999999E-2</v>
      </c>
      <c r="O4652">
        <v>-0.777111</v>
      </c>
      <c r="P4652">
        <v>-0.38168629999999998</v>
      </c>
      <c r="Q4652">
        <v>0.137018</v>
      </c>
      <c r="R4652">
        <v>-0.9140798</v>
      </c>
      <c r="S4652">
        <v>-1.1629640000000001</v>
      </c>
      <c r="T4652">
        <v>-0.2394289</v>
      </c>
      <c r="U4652">
        <v>-2.8359679999999998</v>
      </c>
      <c r="V4652">
        <v>-0.28162409999999999</v>
      </c>
      <c r="W4652">
        <v>0.1447716</v>
      </c>
      <c r="X4652">
        <v>0.94854050000000001</v>
      </c>
      <c r="Y4652">
        <v>-0.28749000000000002</v>
      </c>
      <c r="Z4652">
        <v>4.0950739999999999E-2</v>
      </c>
      <c r="AA4652">
        <v>0.95690779999999998</v>
      </c>
      <c r="AB4652">
        <v>26</v>
      </c>
      <c r="AC4652">
        <v>-5.3288000000000002</v>
      </c>
      <c r="AD4652">
        <v>-1.129245256533</v>
      </c>
      <c r="AE4652">
        <v>-13.1669999999999</v>
      </c>
      <c r="AF4652">
        <v>-4.1180241528077897</v>
      </c>
      <c r="AG4652">
        <v>-1.129245256533</v>
      </c>
      <c r="AH4652">
        <v>13.5011652090301</v>
      </c>
      <c r="AI4652">
        <v>94.574031101730696</v>
      </c>
      <c r="AJ4652">
        <v>106.962361125502</v>
      </c>
      <c r="AK4652">
        <v>14.160324140853399</v>
      </c>
      <c r="AL4652">
        <v>81.675946847674297</v>
      </c>
      <c r="AM4652">
        <v>106.536288868694</v>
      </c>
      <c r="AN4652">
        <v>1.0000000150038</v>
      </c>
    </row>
    <row r="4653" spans="1:40" x14ac:dyDescent="0.25">
      <c r="A4653" t="str">
        <f>"20190303162354217"</f>
        <v>20190303162354217</v>
      </c>
      <c r="B4653" t="str">
        <f>"1551601434209766"</f>
        <v>1551601434209766</v>
      </c>
      <c r="C4653" t="s">
        <v>40</v>
      </c>
      <c r="D4653">
        <v>5.66012</v>
      </c>
      <c r="E4653">
        <v>0.49204740000000002</v>
      </c>
      <c r="F4653" t="s">
        <v>55</v>
      </c>
      <c r="G4653">
        <v>-419.4298</v>
      </c>
      <c r="H4653" s="1">
        <v>-4.6092729999999999E-7</v>
      </c>
      <c r="I4653">
        <v>120.22580000000001</v>
      </c>
      <c r="J4653">
        <v>-414.64569999999998</v>
      </c>
      <c r="K4653">
        <v>1.129006</v>
      </c>
      <c r="L4653">
        <v>132.4521</v>
      </c>
      <c r="M4653">
        <v>-0.62017019999999901</v>
      </c>
      <c r="N4653">
        <v>-1.4244720000000001E-2</v>
      </c>
      <c r="O4653">
        <v>-0.78433819999999999</v>
      </c>
      <c r="P4653">
        <v>-0.37174970000000002</v>
      </c>
      <c r="Q4653">
        <v>0.1318694</v>
      </c>
      <c r="R4653">
        <v>-0.91891979999999995</v>
      </c>
      <c r="S4653">
        <v>-1.1301270000000001</v>
      </c>
      <c r="T4653">
        <v>-0.25890960000000002</v>
      </c>
      <c r="U4653">
        <v>-2.8488920000000002</v>
      </c>
      <c r="V4653">
        <v>-0.28122659999999899</v>
      </c>
      <c r="W4653">
        <v>0.1397378</v>
      </c>
      <c r="X4653">
        <v>0.9494129</v>
      </c>
      <c r="Y4653">
        <v>-0.28750419999999999</v>
      </c>
      <c r="Z4653">
        <v>4.5954170000000003E-2</v>
      </c>
      <c r="AA4653">
        <v>0.95667630000000003</v>
      </c>
      <c r="AB4653">
        <v>26</v>
      </c>
      <c r="AC4653">
        <v>-4.78410000000002</v>
      </c>
      <c r="AD4653">
        <v>-1.1290064609273001</v>
      </c>
      <c r="AE4653">
        <v>-12.226299999999901</v>
      </c>
      <c r="AF4653">
        <v>-3.8023048181397301</v>
      </c>
      <c r="AG4653">
        <v>-1.1290064609273001</v>
      </c>
      <c r="AH4653">
        <v>12.4656003829199</v>
      </c>
      <c r="AI4653">
        <v>94.951138033167794</v>
      </c>
      <c r="AJ4653">
        <v>106.96295354573201</v>
      </c>
      <c r="AK4653">
        <v>13.0814131662262</v>
      </c>
      <c r="AL4653">
        <v>81.967325475326803</v>
      </c>
      <c r="AM4653">
        <v>106.499871658163</v>
      </c>
      <c r="AN4653">
        <v>0.99999995399140396</v>
      </c>
    </row>
    <row r="4654" spans="1:40" x14ac:dyDescent="0.25">
      <c r="A4654" t="str">
        <f>"20190303162354240"</f>
        <v>20190303162354240</v>
      </c>
      <c r="B4654" t="str">
        <f>"1551601434229285"</f>
        <v>1551601434229285</v>
      </c>
      <c r="C4654" t="s">
        <v>40</v>
      </c>
      <c r="D4654">
        <v>5.345796</v>
      </c>
      <c r="E4654">
        <v>0.49234879999999998</v>
      </c>
      <c r="F4654" t="s">
        <v>55</v>
      </c>
      <c r="G4654">
        <v>-419.13900000000001</v>
      </c>
      <c r="H4654" s="1">
        <v>-8.6566649999999995E-7</v>
      </c>
      <c r="I4654">
        <v>120.7989</v>
      </c>
      <c r="J4654">
        <v>-414.78879999999998</v>
      </c>
      <c r="K4654">
        <v>1.12874599999999</v>
      </c>
      <c r="L4654">
        <v>132.25120000000001</v>
      </c>
      <c r="M4654">
        <v>-0.61128199999999999</v>
      </c>
      <c r="N4654">
        <v>-1.419342E-2</v>
      </c>
      <c r="O4654">
        <v>-0.79128559999999903</v>
      </c>
      <c r="P4654">
        <v>-0.36366549999999997</v>
      </c>
      <c r="Q4654">
        <v>0.12830919999999901</v>
      </c>
      <c r="R4654">
        <v>-0.92265050000000004</v>
      </c>
      <c r="S4654">
        <v>-1.102203</v>
      </c>
      <c r="T4654">
        <v>-0.27694550000000001</v>
      </c>
      <c r="U4654">
        <v>-2.8585509999999998</v>
      </c>
      <c r="V4654">
        <v>-0.2790048</v>
      </c>
      <c r="W4654">
        <v>0.13634499999999999</v>
      </c>
      <c r="X4654">
        <v>0.95056110000000005</v>
      </c>
      <c r="Y4654">
        <v>-0.28599920000000001</v>
      </c>
      <c r="Z4654">
        <v>5.0782679999999997E-2</v>
      </c>
      <c r="AA4654">
        <v>0.95688329999999999</v>
      </c>
      <c r="AB4654">
        <v>26</v>
      </c>
      <c r="AC4654">
        <v>-4.3502000000000196</v>
      </c>
      <c r="AD4654">
        <v>-1.1287468656664901</v>
      </c>
      <c r="AE4654">
        <v>-11.452299999999999</v>
      </c>
      <c r="AF4654">
        <v>-3.5287361309916601</v>
      </c>
      <c r="AG4654">
        <v>-1.1287468656664901</v>
      </c>
      <c r="AH4654">
        <v>11.6237421743044</v>
      </c>
      <c r="AI4654">
        <v>95.308656999866699</v>
      </c>
      <c r="AJ4654">
        <v>106.887242964297</v>
      </c>
      <c r="AK4654">
        <v>12.19989468412</v>
      </c>
      <c r="AL4654">
        <v>82.163598255598401</v>
      </c>
      <c r="AM4654">
        <v>106.357802808985</v>
      </c>
      <c r="AN4654">
        <v>1.0000000211406199</v>
      </c>
    </row>
    <row r="4655" spans="1:40" x14ac:dyDescent="0.25">
      <c r="A4655" t="str">
        <f>"20190303162354262"</f>
        <v>20190303162354262</v>
      </c>
      <c r="B4655" t="str">
        <f>"1551601434249782"</f>
        <v>1551601434249782</v>
      </c>
      <c r="C4655" t="s">
        <v>40</v>
      </c>
      <c r="D4655">
        <v>5.5323799999999999</v>
      </c>
      <c r="E4655">
        <v>0.49277310000000002</v>
      </c>
      <c r="F4655" t="s">
        <v>55</v>
      </c>
      <c r="G4655">
        <v>-419.01679999999999</v>
      </c>
      <c r="H4655" s="1">
        <v>-1.009316E-6</v>
      </c>
      <c r="I4655">
        <v>120.99809999999999</v>
      </c>
      <c r="J4655">
        <v>-414.93329999999997</v>
      </c>
      <c r="K4655">
        <v>1.128482</v>
      </c>
      <c r="L4655">
        <v>132.04409999999999</v>
      </c>
      <c r="M4655">
        <v>-0.602352</v>
      </c>
      <c r="N4655">
        <v>-1.413963E-2</v>
      </c>
      <c r="O4655">
        <v>-0.79810550000000002</v>
      </c>
      <c r="P4655">
        <v>-0.35893009999999997</v>
      </c>
      <c r="Q4655">
        <v>0.1252289</v>
      </c>
      <c r="R4655">
        <v>-0.92492560000000001</v>
      </c>
      <c r="S4655">
        <v>-1.0771790000000001</v>
      </c>
      <c r="T4655">
        <v>-0.28756979999999999</v>
      </c>
      <c r="U4655">
        <v>-2.866943</v>
      </c>
      <c r="V4655">
        <v>-0.27329510000000001</v>
      </c>
      <c r="W4655">
        <v>0.13351489999999999</v>
      </c>
      <c r="X4655">
        <v>0.95261929999999995</v>
      </c>
      <c r="Y4655">
        <v>-0.28353089999999997</v>
      </c>
      <c r="Z4655">
        <v>5.4030759999999997E-2</v>
      </c>
      <c r="AA4655">
        <v>0.95743979999999995</v>
      </c>
      <c r="AB4655">
        <v>26</v>
      </c>
      <c r="AC4655">
        <v>-4.0835000000000097</v>
      </c>
      <c r="AD4655">
        <v>-1.1284830093160001</v>
      </c>
      <c r="AE4655">
        <v>-11.0459999999999</v>
      </c>
      <c r="AF4655">
        <v>-3.3639666539594901</v>
      </c>
      <c r="AG4655">
        <v>-1.1284830093160001</v>
      </c>
      <c r="AH4655">
        <v>11.174100596792201</v>
      </c>
      <c r="AI4655">
        <v>95.523543395202395</v>
      </c>
      <c r="AJ4655">
        <v>106.754438704341</v>
      </c>
      <c r="AK4655">
        <v>11.723918700609399</v>
      </c>
      <c r="AL4655">
        <v>82.327247371305702</v>
      </c>
      <c r="AM4655">
        <v>106.00755310993701</v>
      </c>
      <c r="AN4655">
        <v>0.99999998546925395</v>
      </c>
    </row>
    <row r="4656" spans="1:40" x14ac:dyDescent="0.25">
      <c r="A4656" t="str">
        <f>"20190303162354285"</f>
        <v>20190303162354285</v>
      </c>
      <c r="B4656" t="str">
        <f>"1551601434279062"</f>
        <v>1551601434279062</v>
      </c>
      <c r="C4656" t="s">
        <v>40</v>
      </c>
      <c r="D4656">
        <v>5.4628670000000001</v>
      </c>
      <c r="E4656">
        <v>0.49303760000000002</v>
      </c>
      <c r="F4656" t="s">
        <v>55</v>
      </c>
      <c r="G4656">
        <v>-418.99250000000001</v>
      </c>
      <c r="H4656" s="1">
        <v>-1.0569049999999999E-6</v>
      </c>
      <c r="I4656">
        <v>121.0676</v>
      </c>
      <c r="J4656">
        <v>-415.08019999999999</v>
      </c>
      <c r="K4656">
        <v>1.128244</v>
      </c>
      <c r="L4656">
        <v>131.8287</v>
      </c>
      <c r="M4656">
        <v>-0.59332719999999906</v>
      </c>
      <c r="N4656">
        <v>-1.4084950000000001E-2</v>
      </c>
      <c r="O4656">
        <v>-0.804838099999999</v>
      </c>
      <c r="P4656">
        <v>-0.35579349999999998</v>
      </c>
      <c r="Q4656">
        <v>0.1235356</v>
      </c>
      <c r="R4656">
        <v>-0.92636350000000001</v>
      </c>
      <c r="S4656">
        <v>-1.06189</v>
      </c>
      <c r="T4656">
        <v>-0.29520829999999998</v>
      </c>
      <c r="U4656">
        <v>-2.8713989999999998</v>
      </c>
      <c r="V4656">
        <v>-0.26580120000000002</v>
      </c>
      <c r="W4656">
        <v>0.13209560000000001</v>
      </c>
      <c r="X4656">
        <v>0.95493479999999997</v>
      </c>
      <c r="Y4656">
        <v>-0.27775349999999999</v>
      </c>
      <c r="Z4656">
        <v>5.6755670000000001E-2</v>
      </c>
      <c r="AA4656">
        <v>0.9589744</v>
      </c>
      <c r="AB4656">
        <v>26</v>
      </c>
      <c r="AC4656">
        <v>-3.9123000000000099</v>
      </c>
      <c r="AD4656">
        <v>-1.128245056905</v>
      </c>
      <c r="AE4656">
        <v>-10.761100000000001</v>
      </c>
      <c r="AF4656">
        <v>-3.2052859084143002</v>
      </c>
      <c r="AG4656">
        <v>-1.128245056905</v>
      </c>
      <c r="AH4656">
        <v>10.877694424277401</v>
      </c>
      <c r="AI4656">
        <v>95.681747787221198</v>
      </c>
      <c r="AJ4656">
        <v>106.418449029578</v>
      </c>
      <c r="AK4656">
        <v>11.3960971674985</v>
      </c>
      <c r="AL4656">
        <v>82.409294138792404</v>
      </c>
      <c r="AM4656">
        <v>105.554270913786</v>
      </c>
      <c r="AN4656">
        <v>0.99999999885591995</v>
      </c>
    </row>
    <row r="4657" spans="1:40" x14ac:dyDescent="0.25">
      <c r="A4657" t="str">
        <f>"20190303162354308"</f>
        <v>20190303162354308</v>
      </c>
      <c r="B4657" t="str">
        <f>"1551601434299559"</f>
        <v>1551601434299559</v>
      </c>
      <c r="C4657" t="s">
        <v>40</v>
      </c>
      <c r="D4657">
        <v>5.4685259999999998</v>
      </c>
      <c r="E4657">
        <v>0.4991971</v>
      </c>
      <c r="F4657" t="s">
        <v>55</v>
      </c>
      <c r="G4657">
        <v>-419.07220000000001</v>
      </c>
      <c r="H4657" s="1">
        <v>-9.4958029999999999E-7</v>
      </c>
      <c r="I4657">
        <v>120.91630000000001</v>
      </c>
      <c r="J4657">
        <v>-415.22179999999997</v>
      </c>
      <c r="K4657">
        <v>1.1280600000000001</v>
      </c>
      <c r="L4657">
        <v>131.6163</v>
      </c>
      <c r="M4657">
        <v>-0.58463830000000006</v>
      </c>
      <c r="N4657">
        <v>-1.403479E-2</v>
      </c>
      <c r="O4657">
        <v>-0.81117259999999902</v>
      </c>
      <c r="P4657">
        <v>-0.35257749999999999</v>
      </c>
      <c r="Q4657">
        <v>0.1247702</v>
      </c>
      <c r="R4657">
        <v>-0.92742720000000001</v>
      </c>
      <c r="S4657">
        <v>-1.0514829999999999</v>
      </c>
      <c r="T4657">
        <v>-0.2971722</v>
      </c>
      <c r="U4657">
        <v>-2.8742519999999998</v>
      </c>
      <c r="V4657">
        <v>-0.258689</v>
      </c>
      <c r="W4657">
        <v>0.13355839999999999</v>
      </c>
      <c r="X4657">
        <v>0.9566829</v>
      </c>
      <c r="Y4657">
        <v>-0.27082149999999999</v>
      </c>
      <c r="Z4657">
        <v>5.8175310000000001E-2</v>
      </c>
      <c r="AA4657">
        <v>0.96087009999999995</v>
      </c>
      <c r="AB4657">
        <v>26</v>
      </c>
      <c r="AC4657">
        <v>-3.8504000000000298</v>
      </c>
      <c r="AD4657">
        <v>-1.1280609495803</v>
      </c>
      <c r="AE4657">
        <v>-10.6999999999999</v>
      </c>
      <c r="AF4657">
        <v>-3.1020737647883299</v>
      </c>
      <c r="AG4657">
        <v>-1.1280609495803</v>
      </c>
      <c r="AH4657">
        <v>10.8251907649549</v>
      </c>
      <c r="AI4657">
        <v>95.720527571248198</v>
      </c>
      <c r="AJ4657">
        <v>105.990219422737</v>
      </c>
      <c r="AK4657">
        <v>11.3172495883859</v>
      </c>
      <c r="AL4657">
        <v>82.324732655486301</v>
      </c>
      <c r="AM4657">
        <v>105.131042544401</v>
      </c>
      <c r="AN4657">
        <v>1.00000000804198</v>
      </c>
    </row>
    <row r="4658" spans="1:40" x14ac:dyDescent="0.25">
      <c r="A4658" t="str">
        <f>"20190303162354330"</f>
        <v>20190303162354330</v>
      </c>
      <c r="B4658" t="str">
        <f>"1551601434319079"</f>
        <v>1551601434319079</v>
      </c>
      <c r="C4658" t="s">
        <v>40</v>
      </c>
      <c r="D4658">
        <v>5.2164339999999996</v>
      </c>
      <c r="E4658">
        <v>0.49927539999999998</v>
      </c>
      <c r="F4658" t="s">
        <v>41</v>
      </c>
      <c r="G4658">
        <v>-420.05200000000002</v>
      </c>
      <c r="H4658" s="1">
        <v>-4.0047510000000003E-6</v>
      </c>
      <c r="I4658">
        <v>118.892</v>
      </c>
      <c r="J4658">
        <v>-415.36380000000003</v>
      </c>
      <c r="K4658">
        <v>1.1279429999999999</v>
      </c>
      <c r="L4658">
        <v>131.399</v>
      </c>
      <c r="M4658">
        <v>-0.57590059999999998</v>
      </c>
      <c r="N4658">
        <v>-1.398927E-2</v>
      </c>
      <c r="O4658">
        <v>-0.81740009999999996</v>
      </c>
      <c r="P4658">
        <v>-0.34740189999999999</v>
      </c>
      <c r="Q4658">
        <v>0.1285935</v>
      </c>
      <c r="R4658">
        <v>-0.92885740000000006</v>
      </c>
      <c r="S4658">
        <v>-1.084381</v>
      </c>
      <c r="T4658">
        <v>-0.25324980000000002</v>
      </c>
      <c r="U4658">
        <v>-2.856598</v>
      </c>
      <c r="V4658">
        <v>-0.25346439999999998</v>
      </c>
      <c r="W4658">
        <v>0.13753299999999999</v>
      </c>
      <c r="X4658">
        <v>0.95751790000000003</v>
      </c>
      <c r="Y4658">
        <v>-0.2486534</v>
      </c>
      <c r="Z4658">
        <v>4.911956E-2</v>
      </c>
      <c r="AA4658">
        <v>0.96734629999999999</v>
      </c>
      <c r="AB4658">
        <v>26</v>
      </c>
      <c r="AC4658">
        <v>-4.68819999999993</v>
      </c>
      <c r="AD4658">
        <v>-1.1279470047509901</v>
      </c>
      <c r="AE4658">
        <v>-12.5069999999999</v>
      </c>
      <c r="AF4658">
        <v>-3.3471138500177799</v>
      </c>
      <c r="AG4658">
        <v>-1.1279470047509901</v>
      </c>
      <c r="AH4658">
        <v>12.832908112163301</v>
      </c>
      <c r="AI4658">
        <v>94.861283472553396</v>
      </c>
      <c r="AJ4658">
        <v>104.618360320522</v>
      </c>
      <c r="AK4658">
        <v>13.3101076699527</v>
      </c>
      <c r="AL4658">
        <v>82.094883596920994</v>
      </c>
      <c r="AM4658">
        <v>104.82669131325</v>
      </c>
      <c r="AN4658">
        <v>1.0000000284883801</v>
      </c>
    </row>
    <row r="4659" spans="1:40" x14ac:dyDescent="0.25">
      <c r="A4659" t="str">
        <f>"20190303162354352"</f>
        <v>20190303162354352</v>
      </c>
      <c r="B4659" t="str">
        <f>"1551601434340550"</f>
        <v>1551601434340550</v>
      </c>
      <c r="C4659" t="s">
        <v>40</v>
      </c>
      <c r="D4659">
        <v>5.2203140000000001</v>
      </c>
      <c r="E4659">
        <v>0.49847390000000003</v>
      </c>
      <c r="F4659" t="s">
        <v>41</v>
      </c>
      <c r="G4659">
        <v>-420.5523</v>
      </c>
      <c r="H4659" s="1">
        <v>-3.5421029999999998E-6</v>
      </c>
      <c r="I4659">
        <v>117.5033</v>
      </c>
      <c r="J4659">
        <v>-415.495</v>
      </c>
      <c r="K4659">
        <v>1.1278809999999999</v>
      </c>
      <c r="L4659">
        <v>131.19370000000001</v>
      </c>
      <c r="M4659">
        <v>-0.56775529999999996</v>
      </c>
      <c r="N4659">
        <v>-1.3951949999999999E-2</v>
      </c>
      <c r="O4659">
        <v>-0.82307900000000001</v>
      </c>
      <c r="P4659">
        <v>-0.34065010000000001</v>
      </c>
      <c r="Q4659">
        <v>0.13226399999999999</v>
      </c>
      <c r="R4659">
        <v>-0.93084020000000001</v>
      </c>
      <c r="S4659">
        <v>-1.0687260000000001</v>
      </c>
      <c r="T4659">
        <v>-0.23233380000000001</v>
      </c>
      <c r="U4659">
        <v>-2.862228</v>
      </c>
      <c r="V4659">
        <v>-0.25064059999999999</v>
      </c>
      <c r="W4659">
        <v>0.14127879999999901</v>
      </c>
      <c r="X4659">
        <v>0.95771580000000001</v>
      </c>
      <c r="Y4659">
        <v>-0.24422949999999999</v>
      </c>
      <c r="Z4659">
        <v>4.4657160000000001E-2</v>
      </c>
      <c r="AA4659">
        <v>0.96868869999999896</v>
      </c>
      <c r="AB4659">
        <v>26</v>
      </c>
      <c r="AC4659">
        <v>-5.0572999999999899</v>
      </c>
      <c r="AD4659">
        <v>-1.1278845421029999</v>
      </c>
      <c r="AE4659">
        <v>-13.6904</v>
      </c>
      <c r="AF4659">
        <v>-3.5891559849727201</v>
      </c>
      <c r="AG4659">
        <v>-1.1278845421029999</v>
      </c>
      <c r="AH4659">
        <v>14.057014622877601</v>
      </c>
      <c r="AI4659">
        <v>94.445365230896797</v>
      </c>
      <c r="AJ4659">
        <v>104.323221154302</v>
      </c>
      <c r="AK4659">
        <v>14.551763615884299</v>
      </c>
      <c r="AL4659">
        <v>81.878148206244106</v>
      </c>
      <c r="AM4659">
        <v>104.665770630463</v>
      </c>
      <c r="AN4659">
        <v>0.99999998163371895</v>
      </c>
    </row>
    <row r="4660" spans="1:40" x14ac:dyDescent="0.25">
      <c r="A4660" t="str">
        <f>"20190303162354375"</f>
        <v>20190303162354375</v>
      </c>
      <c r="B4660" t="str">
        <f>"1551601434369831"</f>
        <v>1551601434369831</v>
      </c>
      <c r="C4660" t="s">
        <v>40</v>
      </c>
      <c r="D4660">
        <v>5.2801049999999998</v>
      </c>
      <c r="E4660">
        <v>0.47500360000000003</v>
      </c>
      <c r="F4660" t="s">
        <v>41</v>
      </c>
      <c r="G4660">
        <v>-421.00130000000001</v>
      </c>
      <c r="H4660" s="1">
        <v>-3.0198969999999998E-6</v>
      </c>
      <c r="I4660">
        <v>116.0076</v>
      </c>
      <c r="J4660">
        <v>-415.63130000000001</v>
      </c>
      <c r="K4660">
        <v>1.127831</v>
      </c>
      <c r="L4660">
        <v>130.97569999999999</v>
      </c>
      <c r="M4660">
        <v>-0.55919419999999898</v>
      </c>
      <c r="N4660">
        <v>-1.391705E-2</v>
      </c>
      <c r="O4660">
        <v>-0.82892009999999905</v>
      </c>
      <c r="P4660">
        <v>-0.332785</v>
      </c>
      <c r="Q4660">
        <v>0.13447120000000001</v>
      </c>
      <c r="R4660">
        <v>-0.93336589999999997</v>
      </c>
      <c r="S4660">
        <v>-1.041382</v>
      </c>
      <c r="T4660">
        <v>-0.2133138</v>
      </c>
      <c r="U4660">
        <v>-2.8721160000000001</v>
      </c>
      <c r="V4660">
        <v>-0.2486264</v>
      </c>
      <c r="W4660">
        <v>0.14353389999999999</v>
      </c>
      <c r="X4660">
        <v>0.95790549999999997</v>
      </c>
      <c r="Y4660">
        <v>-0.24333779999999999</v>
      </c>
      <c r="Z4660">
        <v>4.0468709999999998E-2</v>
      </c>
      <c r="AA4660">
        <v>0.96909699999999999</v>
      </c>
      <c r="AB4660">
        <v>26</v>
      </c>
      <c r="AC4660">
        <v>-5.37</v>
      </c>
      <c r="AD4660">
        <v>-1.1278340198970001</v>
      </c>
      <c r="AE4660">
        <v>-14.9680999999999</v>
      </c>
      <c r="AF4660">
        <v>-3.8995376402991702</v>
      </c>
      <c r="AG4660">
        <v>-1.1278340198970001</v>
      </c>
      <c r="AH4660">
        <v>15.3345874291578</v>
      </c>
      <c r="AI4660">
        <v>94.077133607230905</v>
      </c>
      <c r="AJ4660">
        <v>104.26771897325899</v>
      </c>
      <c r="AK4660">
        <v>15.862785852649999</v>
      </c>
      <c r="AL4660">
        <v>81.7476102649225</v>
      </c>
      <c r="AM4660">
        <v>104.55017664381501</v>
      </c>
      <c r="AN4660">
        <v>1.00000000707821</v>
      </c>
    </row>
    <row r="4661" spans="1:40" x14ac:dyDescent="0.25">
      <c r="A4661" t="str">
        <f>"20190303162354397"</f>
        <v>20190303162354397</v>
      </c>
      <c r="B4661" t="str">
        <f>"1551601434389351"</f>
        <v>1551601434389351</v>
      </c>
      <c r="C4661" t="s">
        <v>40</v>
      </c>
      <c r="D4661">
        <v>5.2734069999999997</v>
      </c>
      <c r="E4661">
        <v>0.47016170000000002</v>
      </c>
      <c r="F4661" t="s">
        <v>41</v>
      </c>
      <c r="G4661">
        <v>-420.24770000000001</v>
      </c>
      <c r="H4661" s="1">
        <v>-2.3041780000000001E-6</v>
      </c>
      <c r="I4661">
        <v>114.8066</v>
      </c>
      <c r="J4661">
        <v>-415.76080000000002</v>
      </c>
      <c r="K4661">
        <v>1.1277839999999999</v>
      </c>
      <c r="L4661">
        <v>130.76410000000001</v>
      </c>
      <c r="M4661">
        <v>-0.55093999999999999</v>
      </c>
      <c r="N4661">
        <v>-1.3886320000000001E-2</v>
      </c>
      <c r="O4661">
        <v>-0.83442929999999904</v>
      </c>
      <c r="P4661">
        <v>-0.324864599999999</v>
      </c>
      <c r="Q4661">
        <v>0.13603860000000001</v>
      </c>
      <c r="R4661">
        <v>-0.93592549999999997</v>
      </c>
      <c r="S4661">
        <v>-0.84054569999999995</v>
      </c>
      <c r="T4661">
        <v>-0.20535800000000001</v>
      </c>
      <c r="U4661">
        <v>-2.9441069999999998</v>
      </c>
      <c r="V4661">
        <v>-0.2471149</v>
      </c>
      <c r="W4661">
        <v>0.14513489999999901</v>
      </c>
      <c r="X4661">
        <v>0.9580554</v>
      </c>
      <c r="Y4661">
        <v>-0.30074070000000003</v>
      </c>
      <c r="Z4661">
        <v>3.7437529999999997E-2</v>
      </c>
      <c r="AA4661">
        <v>0.95297089999999995</v>
      </c>
      <c r="AB4661">
        <v>26</v>
      </c>
      <c r="AC4661">
        <v>-4.4868999999999897</v>
      </c>
      <c r="AD4661">
        <v>-1.1277863041779901</v>
      </c>
      <c r="AE4661">
        <v>-15.9575</v>
      </c>
      <c r="AF4661">
        <v>-5.0248514968001903</v>
      </c>
      <c r="AG4661">
        <v>-1.1277863041779901</v>
      </c>
      <c r="AH4661">
        <v>15.716192145034499</v>
      </c>
      <c r="AI4661">
        <v>93.910139771790398</v>
      </c>
      <c r="AJ4661">
        <v>107.73035114169301</v>
      </c>
      <c r="AK4661">
        <v>16.538431910324199</v>
      </c>
      <c r="AL4661">
        <v>81.654909237531498</v>
      </c>
      <c r="AM4661">
        <v>104.463273717481</v>
      </c>
      <c r="AN4661">
        <v>1.00000003123458</v>
      </c>
    </row>
    <row r="4662" spans="1:40" x14ac:dyDescent="0.25">
      <c r="A4662" t="str">
        <f>"20190303162354418"</f>
        <v>20190303162354418</v>
      </c>
      <c r="B4662" t="str">
        <f>"1551601434409847"</f>
        <v>1551601434409847</v>
      </c>
      <c r="C4662" t="s">
        <v>40</v>
      </c>
      <c r="D4662">
        <v>5.2099769999999896</v>
      </c>
      <c r="E4662">
        <v>0.4693601</v>
      </c>
      <c r="F4662" t="s">
        <v>41</v>
      </c>
      <c r="G4662">
        <v>-420.17039999999997</v>
      </c>
      <c r="H4662" s="1">
        <v>-1.9253360000000002E-6</v>
      </c>
      <c r="I4662">
        <v>113.9714</v>
      </c>
      <c r="J4662">
        <v>-415.88690000000003</v>
      </c>
      <c r="K4662">
        <v>1.1277360000000001</v>
      </c>
      <c r="L4662">
        <v>130.55350000000001</v>
      </c>
      <c r="M4662">
        <v>-0.54276139999999995</v>
      </c>
      <c r="N4662">
        <v>-1.3858270000000001E-2</v>
      </c>
      <c r="O4662">
        <v>-0.83977259999999998</v>
      </c>
      <c r="P4662">
        <v>-0.31611539999999999</v>
      </c>
      <c r="Q4662">
        <v>0.1373183</v>
      </c>
      <c r="R4662">
        <v>-0.93873010000000001</v>
      </c>
      <c r="S4662">
        <v>-0.77835080000000001</v>
      </c>
      <c r="T4662">
        <v>-0.1990683</v>
      </c>
      <c r="U4662">
        <v>-2.964127</v>
      </c>
      <c r="V4662">
        <v>-0.24659529999999999</v>
      </c>
      <c r="W4662">
        <v>0.14642929999999901</v>
      </c>
      <c r="X4662">
        <v>0.95799230000000002</v>
      </c>
      <c r="Y4662">
        <v>-0.31169049999999998</v>
      </c>
      <c r="Z4662">
        <v>3.600482E-2</v>
      </c>
      <c r="AA4662">
        <v>0.94950129999999999</v>
      </c>
      <c r="AB4662">
        <v>26</v>
      </c>
      <c r="AC4662">
        <v>-4.2834999999999397</v>
      </c>
      <c r="AD4662">
        <v>-1.127737925336</v>
      </c>
      <c r="AE4662">
        <v>-16.582100000000001</v>
      </c>
      <c r="AF4662">
        <v>-5.3801487672282402</v>
      </c>
      <c r="AG4662">
        <v>-1.127737925336</v>
      </c>
      <c r="AH4662">
        <v>16.181510262086402</v>
      </c>
      <c r="AI4662">
        <v>93.783651863494498</v>
      </c>
      <c r="AJ4662">
        <v>108.39131775852201</v>
      </c>
      <c r="AK4662">
        <v>17.089735748330199</v>
      </c>
      <c r="AL4662">
        <v>81.579944567456494</v>
      </c>
      <c r="AM4662">
        <v>104.435045028489</v>
      </c>
      <c r="AN4662">
        <v>1.0000000143699299</v>
      </c>
    </row>
    <row r="4663" spans="1:40" x14ac:dyDescent="0.25">
      <c r="A4663" t="str">
        <f>"20190303162354441"</f>
        <v>20190303162354441</v>
      </c>
      <c r="B4663" t="str">
        <f>"1551601434429367"</f>
        <v>1551601434429367</v>
      </c>
      <c r="C4663" t="s">
        <v>40</v>
      </c>
      <c r="D4663">
        <v>5.2084390000000003</v>
      </c>
      <c r="E4663">
        <v>0.46986270000000002</v>
      </c>
      <c r="F4663" t="s">
        <v>41</v>
      </c>
      <c r="G4663">
        <v>-420.166</v>
      </c>
      <c r="H4663" s="1">
        <v>-1.7121789999999999E-6</v>
      </c>
      <c r="I4663">
        <v>113.4773</v>
      </c>
      <c r="J4663">
        <v>-416.01339999999999</v>
      </c>
      <c r="K4663">
        <v>1.1276790000000001</v>
      </c>
      <c r="L4663">
        <v>130.33760000000001</v>
      </c>
      <c r="M4663">
        <v>-0.5344177</v>
      </c>
      <c r="N4663">
        <v>-1.383178E-2</v>
      </c>
      <c r="O4663">
        <v>-0.84510730000000001</v>
      </c>
      <c r="P4663">
        <v>-0.3057375</v>
      </c>
      <c r="Q4663">
        <v>0.13610899999999901</v>
      </c>
      <c r="R4663">
        <v>-0.94233699999999998</v>
      </c>
      <c r="S4663">
        <v>-0.74514769999999997</v>
      </c>
      <c r="T4663">
        <v>-0.19638040000000001</v>
      </c>
      <c r="U4663">
        <v>-2.9735870000000002</v>
      </c>
      <c r="V4663">
        <v>-0.24773149999999999</v>
      </c>
      <c r="W4663">
        <v>0.1452108</v>
      </c>
      <c r="X4663">
        <v>0.95788459999999997</v>
      </c>
      <c r="Y4663">
        <v>-0.31296879999999999</v>
      </c>
      <c r="Z4663">
        <v>3.5699769999999999E-2</v>
      </c>
      <c r="AA4663">
        <v>0.94909219999999905</v>
      </c>
      <c r="AB4663">
        <v>26</v>
      </c>
      <c r="AC4663">
        <v>-4.1525999999999996</v>
      </c>
      <c r="AD4663">
        <v>-1.127680712179</v>
      </c>
      <c r="AE4663">
        <v>-16.860299999999999</v>
      </c>
      <c r="AF4663">
        <v>-5.4784706434949504</v>
      </c>
      <c r="AG4663">
        <v>-1.127680712179</v>
      </c>
      <c r="AH4663">
        <v>16.4003912993198</v>
      </c>
      <c r="AI4663">
        <v>93.731370932861495</v>
      </c>
      <c r="AJ4663">
        <v>108.471645003083</v>
      </c>
      <c r="AK4663">
        <v>17.327958308787</v>
      </c>
      <c r="AL4663">
        <v>81.650513576349496</v>
      </c>
      <c r="AM4663">
        <v>104.50031949529</v>
      </c>
      <c r="AN4663">
        <v>0.99999998972302495</v>
      </c>
    </row>
    <row r="4664" spans="1:40" x14ac:dyDescent="0.25">
      <c r="A4664" t="str">
        <f>"20190303162354465"</f>
        <v>20190303162354465</v>
      </c>
      <c r="B4664" t="str">
        <f>"1551601434449862"</f>
        <v>1551601434449862</v>
      </c>
      <c r="C4664" t="s">
        <v>40</v>
      </c>
      <c r="D4664">
        <v>5.139723</v>
      </c>
      <c r="E4664">
        <v>0.47065119999999999</v>
      </c>
      <c r="F4664" t="s">
        <v>41</v>
      </c>
      <c r="G4664">
        <v>-420.07240000000002</v>
      </c>
      <c r="H4664" s="1">
        <v>-1.68296E-6</v>
      </c>
      <c r="I4664">
        <v>113.46720000000001</v>
      </c>
      <c r="J4664">
        <v>-416.14109999999999</v>
      </c>
      <c r="K4664">
        <v>1.127597</v>
      </c>
      <c r="L4664">
        <v>130.11449999999999</v>
      </c>
      <c r="M4664">
        <v>-0.52584819999999999</v>
      </c>
      <c r="N4664">
        <v>-1.380604E-2</v>
      </c>
      <c r="O4664">
        <v>-0.85046669999999902</v>
      </c>
      <c r="P4664">
        <v>-0.2955489</v>
      </c>
      <c r="Q4664">
        <v>0.133749799999999</v>
      </c>
      <c r="R4664">
        <v>-0.9459187</v>
      </c>
      <c r="S4664">
        <v>-0.71691890000000003</v>
      </c>
      <c r="T4664">
        <v>-0.19917489999999999</v>
      </c>
      <c r="U4664">
        <v>-2.9797060000000002</v>
      </c>
      <c r="V4664">
        <v>-0.24849979999999999</v>
      </c>
      <c r="W4664">
        <v>0.14285909999999999</v>
      </c>
      <c r="X4664">
        <v>0.95803919999999998</v>
      </c>
      <c r="Y4664">
        <v>-0.31231700000000001</v>
      </c>
      <c r="Z4664">
        <v>3.6821659999999999E-2</v>
      </c>
      <c r="AA4664">
        <v>0.949264</v>
      </c>
      <c r="AB4664">
        <v>26</v>
      </c>
      <c r="AC4664">
        <v>-3.9313000000000198</v>
      </c>
      <c r="AD4664">
        <v>-1.12759868296</v>
      </c>
      <c r="AE4664">
        <v>-16.647299999999898</v>
      </c>
      <c r="AF4664">
        <v>-5.3876146488227397</v>
      </c>
      <c r="AG4664">
        <v>-1.12759868296</v>
      </c>
      <c r="AH4664">
        <v>16.1565729166187</v>
      </c>
      <c r="AI4664">
        <v>93.787904059266396</v>
      </c>
      <c r="AJ4664">
        <v>108.44162021787</v>
      </c>
      <c r="AK4664">
        <v>17.068471484114799</v>
      </c>
      <c r="AL4664">
        <v>81.786675924856695</v>
      </c>
      <c r="AM4664">
        <v>104.54113841553</v>
      </c>
      <c r="AN4664">
        <v>0.99999999089474501</v>
      </c>
    </row>
    <row r="4665" spans="1:40" x14ac:dyDescent="0.25">
      <c r="A4665" t="str">
        <f>"20190303162354486"</f>
        <v>20190303162354486</v>
      </c>
      <c r="B4665" t="str">
        <f>"1551601434479649"</f>
        <v>1551601434479649</v>
      </c>
      <c r="C4665" t="s">
        <v>40</v>
      </c>
      <c r="D4665">
        <v>5.1335600000000001</v>
      </c>
      <c r="E4665">
        <v>0.47191680000000003</v>
      </c>
      <c r="F4665" t="s">
        <v>41</v>
      </c>
      <c r="G4665">
        <v>-419.91140000000001</v>
      </c>
      <c r="H4665" s="1">
        <v>-1.816412E-6</v>
      </c>
      <c r="I4665">
        <v>113.8302</v>
      </c>
      <c r="J4665">
        <v>-416.26620000000003</v>
      </c>
      <c r="K4665">
        <v>1.1275109999999999</v>
      </c>
      <c r="L4665">
        <v>129.89089999999999</v>
      </c>
      <c r="M4665">
        <v>-0.51732829999999996</v>
      </c>
      <c r="N4665">
        <v>-1.3780819999999999E-2</v>
      </c>
      <c r="O4665">
        <v>-0.85567590000000004</v>
      </c>
      <c r="P4665">
        <v>-0.28596379999999999</v>
      </c>
      <c r="Q4665">
        <v>0.1321435</v>
      </c>
      <c r="R4665">
        <v>-0.94908519999999996</v>
      </c>
      <c r="S4665">
        <v>-0.69107059999999998</v>
      </c>
      <c r="T4665">
        <v>-0.2066827</v>
      </c>
      <c r="U4665">
        <v>-2.9848180000000002</v>
      </c>
      <c r="V4665">
        <v>-0.24868609999999999</v>
      </c>
      <c r="W4665">
        <v>0.14127590000000001</v>
      </c>
      <c r="X4665">
        <v>0.95822560000000001</v>
      </c>
      <c r="Y4665">
        <v>-0.31100240000000001</v>
      </c>
      <c r="Z4665">
        <v>3.9148500000000003E-2</v>
      </c>
      <c r="AA4665">
        <v>0.94960250000000002</v>
      </c>
      <c r="AB4665">
        <v>26</v>
      </c>
      <c r="AC4665">
        <v>-3.64519999999998</v>
      </c>
      <c r="AD4665">
        <v>-1.1275128164120001</v>
      </c>
      <c r="AE4665">
        <v>-16.060699999999901</v>
      </c>
      <c r="AF4665">
        <v>-5.1658259105524396</v>
      </c>
      <c r="AG4665">
        <v>-1.1275128164120001</v>
      </c>
      <c r="AH4665">
        <v>15.5570885629992</v>
      </c>
      <c r="AI4665">
        <v>93.934773251544399</v>
      </c>
      <c r="AJ4665">
        <v>108.369060721598</v>
      </c>
      <c r="AK4665">
        <v>16.4310695648917</v>
      </c>
      <c r="AL4665">
        <v>81.878316020798295</v>
      </c>
      <c r="AM4665">
        <v>104.54886674741</v>
      </c>
      <c r="AN4665">
        <v>0.99999997837468901</v>
      </c>
    </row>
    <row r="4666" spans="1:40" x14ac:dyDescent="0.25">
      <c r="A4666" t="str">
        <f>"20190303162354509"</f>
        <v>20190303162354509</v>
      </c>
      <c r="B4666" t="str">
        <f>"1551601434499170"</f>
        <v>1551601434499170</v>
      </c>
      <c r="C4666" t="s">
        <v>40</v>
      </c>
      <c r="D4666">
        <v>5.1341289999999997</v>
      </c>
      <c r="E4666">
        <v>0.4727459</v>
      </c>
      <c r="F4666" t="s">
        <v>41</v>
      </c>
      <c r="G4666">
        <v>-419.78910000000002</v>
      </c>
      <c r="H4666" s="1">
        <v>-1.9803669999999999E-6</v>
      </c>
      <c r="I4666">
        <v>114.1618</v>
      </c>
      <c r="J4666">
        <v>-416.3886</v>
      </c>
      <c r="K4666">
        <v>1.1274379999999999</v>
      </c>
      <c r="L4666">
        <v>129.6671</v>
      </c>
      <c r="M4666">
        <v>-0.50886229999999999</v>
      </c>
      <c r="N4666">
        <v>-1.375645E-2</v>
      </c>
      <c r="O4666">
        <v>-0.860737999999999</v>
      </c>
      <c r="P4666">
        <v>-0.2759356</v>
      </c>
      <c r="Q4666">
        <v>0.13223950000000001</v>
      </c>
      <c r="R4666">
        <v>-0.95203610000000005</v>
      </c>
      <c r="S4666">
        <v>-0.66946410000000001</v>
      </c>
      <c r="T4666">
        <v>-0.21426609999999999</v>
      </c>
      <c r="U4666">
        <v>-2.9890590000000001</v>
      </c>
      <c r="V4666">
        <v>-0.249311</v>
      </c>
      <c r="W4666">
        <v>0.14138210000000001</v>
      </c>
      <c r="X4666">
        <v>0.9580476</v>
      </c>
      <c r="Y4666">
        <v>-0.30846630000000003</v>
      </c>
      <c r="Z4666">
        <v>4.1540939999999998E-2</v>
      </c>
      <c r="AA4666">
        <v>0.95032779999999994</v>
      </c>
      <c r="AB4666">
        <v>26</v>
      </c>
      <c r="AC4666">
        <v>-3.4005000000000201</v>
      </c>
      <c r="AD4666">
        <v>-1.1274399803670001</v>
      </c>
      <c r="AE4666">
        <v>-15.5053</v>
      </c>
      <c r="AF4666">
        <v>-4.9386792209816104</v>
      </c>
      <c r="AG4666">
        <v>-1.1274399803670001</v>
      </c>
      <c r="AH4666">
        <v>15.002134591304801</v>
      </c>
      <c r="AI4666">
        <v>94.083045973969206</v>
      </c>
      <c r="AJ4666">
        <v>108.221463959297</v>
      </c>
      <c r="AK4666">
        <v>15.834320814380099</v>
      </c>
      <c r="AL4666">
        <v>81.872170005566105</v>
      </c>
      <c r="AM4666">
        <v>104.58646237904701</v>
      </c>
      <c r="AN4666">
        <v>1.0000000383935801</v>
      </c>
    </row>
    <row r="4667" spans="1:40" x14ac:dyDescent="0.25">
      <c r="A4667" t="str">
        <f>"20190303162354533"</f>
        <v>20190303162354533</v>
      </c>
      <c r="B4667" t="str">
        <f>"1551601434519666"</f>
        <v>1551601434519666</v>
      </c>
      <c r="C4667" t="s">
        <v>40</v>
      </c>
      <c r="D4667">
        <v>5.1364369999999999</v>
      </c>
      <c r="E4667">
        <v>0.4737905</v>
      </c>
      <c r="F4667" t="s">
        <v>41</v>
      </c>
      <c r="G4667">
        <v>-419.803</v>
      </c>
      <c r="H4667" s="1">
        <v>-1.830674E-6</v>
      </c>
      <c r="I4667">
        <v>113.81870000000001</v>
      </c>
      <c r="J4667">
        <v>-416.50979999999998</v>
      </c>
      <c r="K4667">
        <v>1.1273709999999999</v>
      </c>
      <c r="L4667">
        <v>129.44049999999999</v>
      </c>
      <c r="M4667">
        <v>-0.50036890000000001</v>
      </c>
      <c r="N4667">
        <v>-1.373309E-2</v>
      </c>
      <c r="O4667">
        <v>-0.86570349999999996</v>
      </c>
      <c r="P4667">
        <v>-0.2658952</v>
      </c>
      <c r="Q4667">
        <v>0.1329457</v>
      </c>
      <c r="R4667">
        <v>-0.9547909</v>
      </c>
      <c r="S4667">
        <v>-0.64498900000000003</v>
      </c>
      <c r="T4667">
        <v>-0.212976</v>
      </c>
      <c r="U4667">
        <v>-2.993805</v>
      </c>
      <c r="V4667">
        <v>-0.24990950000000001</v>
      </c>
      <c r="W4667">
        <v>0.14209910000000001</v>
      </c>
      <c r="X4667">
        <v>0.95778549999999996</v>
      </c>
      <c r="Y4667">
        <v>-0.30684319999999998</v>
      </c>
      <c r="Z4667">
        <v>4.1671020000000003E-2</v>
      </c>
      <c r="AA4667">
        <v>0.95084740000000001</v>
      </c>
      <c r="AB4667">
        <v>26</v>
      </c>
      <c r="AC4667">
        <v>-3.2932000000000698</v>
      </c>
      <c r="AD4667">
        <v>-1.1273728306739901</v>
      </c>
      <c r="AE4667">
        <v>-15.621799999999901</v>
      </c>
      <c r="AF4667">
        <v>-4.9415552824999196</v>
      </c>
      <c r="AG4667">
        <v>-1.1273728306739901</v>
      </c>
      <c r="AH4667">
        <v>15.097807159895799</v>
      </c>
      <c r="AI4667">
        <v>94.059290022930696</v>
      </c>
      <c r="AJ4667">
        <v>108.123419064202</v>
      </c>
      <c r="AK4667">
        <v>15.925882052393399</v>
      </c>
      <c r="AL4667">
        <v>81.830669528043501</v>
      </c>
      <c r="AM4667">
        <v>104.62380957709399</v>
      </c>
      <c r="AN4667">
        <v>0.99999998821065395</v>
      </c>
    </row>
    <row r="4668" spans="1:40" x14ac:dyDescent="0.25">
      <c r="A4668" t="str">
        <f>"20190303162354553"</f>
        <v>20190303162354553</v>
      </c>
      <c r="B4668" t="str">
        <f>"1551601434539187"</f>
        <v>1551601434539187</v>
      </c>
      <c r="C4668" t="s">
        <v>40</v>
      </c>
      <c r="D4668">
        <v>5.1423639999999997</v>
      </c>
      <c r="E4668">
        <v>0.48367209999999999</v>
      </c>
      <c r="F4668" t="s">
        <v>41</v>
      </c>
      <c r="G4668">
        <v>-419.86900000000003</v>
      </c>
      <c r="H4668" s="1">
        <v>-1.5836899999999999E-6</v>
      </c>
      <c r="I4668">
        <v>113.2702</v>
      </c>
      <c r="J4668">
        <v>-416.6223</v>
      </c>
      <c r="K4668">
        <v>1.1273029999999999</v>
      </c>
      <c r="L4668">
        <v>129.22559999999999</v>
      </c>
      <c r="M4668">
        <v>-0.492394</v>
      </c>
      <c r="N4668">
        <v>-1.371143E-2</v>
      </c>
      <c r="O4668">
        <v>-0.87026440000000005</v>
      </c>
      <c r="P4668">
        <v>-0.25678400000000001</v>
      </c>
      <c r="Q4668">
        <v>0.13341910000000001</v>
      </c>
      <c r="R4668">
        <v>-0.95721540000000005</v>
      </c>
      <c r="S4668">
        <v>-0.62274169999999995</v>
      </c>
      <c r="T4668">
        <v>-0.20899760000000001</v>
      </c>
      <c r="U4668">
        <v>-2.9977260000000001</v>
      </c>
      <c r="V4668">
        <v>-0.25018760000000001</v>
      </c>
      <c r="W4668">
        <v>0.14258950000000001</v>
      </c>
      <c r="X4668">
        <v>0.95764009999999999</v>
      </c>
      <c r="Y4668">
        <v>-0.3051082</v>
      </c>
      <c r="Z4668">
        <v>4.1076090000000003E-2</v>
      </c>
      <c r="AA4668">
        <v>0.95143140000000004</v>
      </c>
      <c r="AB4668">
        <v>26</v>
      </c>
      <c r="AC4668">
        <v>-3.2467000000000299</v>
      </c>
      <c r="AD4668">
        <v>-1.12730458369</v>
      </c>
      <c r="AE4668">
        <v>-15.9553999999999</v>
      </c>
      <c r="AF4668">
        <v>-5.0073265299584904</v>
      </c>
      <c r="AG4668">
        <v>-1.12730458369</v>
      </c>
      <c r="AH4668">
        <v>15.411653332393101</v>
      </c>
      <c r="AI4668">
        <v>93.979456147893103</v>
      </c>
      <c r="AJ4668">
        <v>107.999249481896</v>
      </c>
      <c r="AK4668">
        <v>16.243866320550001</v>
      </c>
      <c r="AL4668">
        <v>81.802283384266502</v>
      </c>
      <c r="AM4668">
        <v>104.641511512018</v>
      </c>
      <c r="AN4668">
        <v>1.0000000809159999</v>
      </c>
    </row>
    <row r="4669" spans="1:40" x14ac:dyDescent="0.25">
      <c r="A4669" t="str">
        <f>"20190303162354575"</f>
        <v>20190303162354575</v>
      </c>
      <c r="B4669" t="str">
        <f>"1551601434569442"</f>
        <v>1551601434569442</v>
      </c>
      <c r="C4669" t="s">
        <v>40</v>
      </c>
      <c r="D4669">
        <v>5.1405510000000003</v>
      </c>
      <c r="E4669">
        <v>0.46971790000000002</v>
      </c>
      <c r="F4669" t="s">
        <v>41</v>
      </c>
      <c r="G4669">
        <v>-420.51760000000002</v>
      </c>
      <c r="H4669" s="1">
        <v>-1.1248589999999999E-6</v>
      </c>
      <c r="I4669">
        <v>111.89019999999999</v>
      </c>
      <c r="J4669">
        <v>-416.73379999999997</v>
      </c>
      <c r="K4669">
        <v>1.1272340000000001</v>
      </c>
      <c r="L4669">
        <v>129.00790000000001</v>
      </c>
      <c r="M4669">
        <v>-0.48440369999999999</v>
      </c>
      <c r="N4669">
        <v>-1.3689379999999999E-2</v>
      </c>
      <c r="O4669">
        <v>-0.8747376</v>
      </c>
      <c r="P4669">
        <v>-0.2480501</v>
      </c>
      <c r="Q4669">
        <v>0.13390679999999999</v>
      </c>
      <c r="R4669">
        <v>-0.95944799999999997</v>
      </c>
      <c r="S4669">
        <v>-0.66992189999999996</v>
      </c>
      <c r="T4669">
        <v>-0.1938761</v>
      </c>
      <c r="U4669">
        <v>-2.9813839999999998</v>
      </c>
      <c r="V4669">
        <v>-0.25009209999999998</v>
      </c>
      <c r="W4669">
        <v>0.14310300000000001</v>
      </c>
      <c r="X4669">
        <v>0.95758840000000001</v>
      </c>
      <c r="Y4669">
        <v>-0.28087669999999998</v>
      </c>
      <c r="Z4669">
        <v>3.8097779999999998E-2</v>
      </c>
      <c r="AA4669">
        <v>0.95898740000000005</v>
      </c>
      <c r="AB4669">
        <v>26</v>
      </c>
      <c r="AC4669">
        <v>-3.7838000000000398</v>
      </c>
      <c r="AD4669">
        <v>-1.127235124859</v>
      </c>
      <c r="AE4669">
        <v>-17.117699999999999</v>
      </c>
      <c r="AF4669">
        <v>-4.9619961986696097</v>
      </c>
      <c r="AG4669">
        <v>-1.127235124859</v>
      </c>
      <c r="AH4669">
        <v>16.738749818331701</v>
      </c>
      <c r="AI4669">
        <v>93.694215029157405</v>
      </c>
      <c r="AJ4669">
        <v>106.511808123357</v>
      </c>
      <c r="AK4669">
        <v>17.4950796163672</v>
      </c>
      <c r="AL4669">
        <v>81.7725567812317</v>
      </c>
      <c r="AM4669">
        <v>104.63691893993099</v>
      </c>
      <c r="AN4669">
        <v>1.0000000354529801</v>
      </c>
    </row>
    <row r="4670" spans="1:40" x14ac:dyDescent="0.25">
      <c r="A4670" t="str">
        <f>"20190303162354596"</f>
        <v>20190303162354596</v>
      </c>
      <c r="B4670" t="str">
        <f>"1551601434588962"</f>
        <v>1551601434588962</v>
      </c>
      <c r="C4670" t="s">
        <v>40</v>
      </c>
      <c r="D4670">
        <v>4.9414509999999998</v>
      </c>
      <c r="E4670">
        <v>0.46907019999999999</v>
      </c>
      <c r="F4670" t="s">
        <v>41</v>
      </c>
      <c r="G4670">
        <v>-419.7337</v>
      </c>
      <c r="H4670" s="1">
        <v>-1.1109339999999999E-6</v>
      </c>
      <c r="I4670">
        <v>112.1123</v>
      </c>
      <c r="J4670">
        <v>-416.84440000000001</v>
      </c>
      <c r="K4670">
        <v>1.127167</v>
      </c>
      <c r="L4670">
        <v>128.78720000000001</v>
      </c>
      <c r="M4670">
        <v>-0.47638920000000001</v>
      </c>
      <c r="N4670">
        <v>-1.366705E-2</v>
      </c>
      <c r="O4670">
        <v>-0.87912839999999903</v>
      </c>
      <c r="P4670">
        <v>-0.23960609999999999</v>
      </c>
      <c r="Q4670">
        <v>0.13493559999999999</v>
      </c>
      <c r="R4670">
        <v>-0.96144770000000002</v>
      </c>
      <c r="S4670">
        <v>-0.53558349999999999</v>
      </c>
      <c r="T4670">
        <v>-0.20124919999999999</v>
      </c>
      <c r="U4670">
        <v>-3.0164339999999998</v>
      </c>
      <c r="V4670">
        <v>-0.24967790000000001</v>
      </c>
      <c r="W4670">
        <v>0.14416379999999901</v>
      </c>
      <c r="X4670">
        <v>0.95753730000000004</v>
      </c>
      <c r="Y4670">
        <v>-0.31533909999999998</v>
      </c>
      <c r="Z4670">
        <v>3.9538289999999997E-2</v>
      </c>
      <c r="AA4670">
        <v>0.94815499999999997</v>
      </c>
      <c r="AB4670">
        <v>26</v>
      </c>
      <c r="AC4670">
        <v>-2.8892999999999902</v>
      </c>
      <c r="AD4670">
        <v>-1.1271681109339999</v>
      </c>
      <c r="AE4670">
        <v>-16.674900000000001</v>
      </c>
      <c r="AF4670">
        <v>-5.3803130365572001</v>
      </c>
      <c r="AG4670">
        <v>-1.1271681109339999</v>
      </c>
      <c r="AH4670">
        <v>15.966476416808201</v>
      </c>
      <c r="AI4670">
        <v>93.827368074585905</v>
      </c>
      <c r="AJ4670">
        <v>108.622561221719</v>
      </c>
      <c r="AK4670">
        <v>16.886285722151801</v>
      </c>
      <c r="AL4670">
        <v>81.711140027203697</v>
      </c>
      <c r="AM4670">
        <v>104.614462463024</v>
      </c>
      <c r="AN4670">
        <v>0.99999996793506896</v>
      </c>
    </row>
    <row r="4671" spans="1:40" x14ac:dyDescent="0.25">
      <c r="A4671" t="str">
        <f>"20190303162354620"</f>
        <v>20190303162354620</v>
      </c>
      <c r="B4671" t="str">
        <f>"1551601434609458"</f>
        <v>1551601434609458</v>
      </c>
      <c r="C4671" t="s">
        <v>40</v>
      </c>
      <c r="D4671">
        <v>5.1439579999999996</v>
      </c>
      <c r="E4671">
        <v>0.46997840000000002</v>
      </c>
      <c r="F4671" t="s">
        <v>41</v>
      </c>
      <c r="G4671">
        <v>-419.83150000000001</v>
      </c>
      <c r="H4671" s="1">
        <v>-5.701562E-7</v>
      </c>
      <c r="I4671">
        <v>110.8922</v>
      </c>
      <c r="J4671">
        <v>-416.95499999999998</v>
      </c>
      <c r="K4671">
        <v>1.127097</v>
      </c>
      <c r="L4671">
        <v>128.5616</v>
      </c>
      <c r="M4671">
        <v>-0.46827950000000002</v>
      </c>
      <c r="N4671">
        <v>-1.364522E-2</v>
      </c>
      <c r="O4671">
        <v>-0.88347509999999996</v>
      </c>
      <c r="P4671">
        <v>-0.23267869999999999</v>
      </c>
      <c r="Q4671">
        <v>0.13578570000000001</v>
      </c>
      <c r="R4671">
        <v>-0.963028</v>
      </c>
      <c r="S4671">
        <v>-0.50433349999999999</v>
      </c>
      <c r="T4671">
        <v>-0.19030730000000001</v>
      </c>
      <c r="U4671">
        <v>-3.021347</v>
      </c>
      <c r="V4671">
        <v>-0.24768570000000001</v>
      </c>
      <c r="W4671">
        <v>0.14507590000000001</v>
      </c>
      <c r="X4671">
        <v>0.95791689999999996</v>
      </c>
      <c r="Y4671">
        <v>-0.31638860000000002</v>
      </c>
      <c r="Z4671">
        <v>3.7004599999999999E-2</v>
      </c>
      <c r="AA4671">
        <v>0.94790759999999996</v>
      </c>
      <c r="AB4671">
        <v>25</v>
      </c>
      <c r="AC4671">
        <v>-2.87650000000002</v>
      </c>
      <c r="AD4671">
        <v>-1.1270975701561901</v>
      </c>
      <c r="AE4671">
        <v>-17.6693999999999</v>
      </c>
      <c r="AF4671">
        <v>-5.7107982070510399</v>
      </c>
      <c r="AG4671">
        <v>-1.1270975701561901</v>
      </c>
      <c r="AH4671">
        <v>16.892100568975099</v>
      </c>
      <c r="AI4671">
        <v>93.616788020336898</v>
      </c>
      <c r="AJ4671">
        <v>108.679113742034</v>
      </c>
      <c r="AK4671">
        <v>17.866914303445899</v>
      </c>
      <c r="AL4671">
        <v>81.658325628952895</v>
      </c>
      <c r="AM4671">
        <v>104.49728344101599</v>
      </c>
      <c r="AN4671">
        <v>1.0000000050254501</v>
      </c>
    </row>
    <row r="4672" spans="1:40" x14ac:dyDescent="0.25">
      <c r="A4672" t="str">
        <f>"20190303162354641"</f>
        <v>20190303162354641</v>
      </c>
      <c r="B4672" t="str">
        <f>"1551601434629954"</f>
        <v>1551601434629954</v>
      </c>
      <c r="C4672" t="s">
        <v>40</v>
      </c>
      <c r="D4672">
        <v>4.9563169999999896</v>
      </c>
      <c r="E4672">
        <v>0.4707385</v>
      </c>
      <c r="F4672" t="s">
        <v>41</v>
      </c>
      <c r="G4672">
        <v>-419.9461</v>
      </c>
      <c r="H4672" s="1">
        <v>-1.9214530000000001E-7</v>
      </c>
      <c r="I4672">
        <v>110.05840000000001</v>
      </c>
      <c r="J4672">
        <v>-417.06389999999999</v>
      </c>
      <c r="K4672">
        <v>1.1270119999999999</v>
      </c>
      <c r="L4672">
        <v>128.3349</v>
      </c>
      <c r="M4672">
        <v>-0.46020899999999998</v>
      </c>
      <c r="N4672">
        <v>-1.3624570000000001E-2</v>
      </c>
      <c r="O4672">
        <v>-0.88770629999999995</v>
      </c>
      <c r="P4672">
        <v>-0.22629640000000001</v>
      </c>
      <c r="Q4672">
        <v>0.13439989999999999</v>
      </c>
      <c r="R4672">
        <v>-0.96474210000000005</v>
      </c>
      <c r="S4672">
        <v>-0.488678</v>
      </c>
      <c r="T4672">
        <v>-0.18414549999999999</v>
      </c>
      <c r="U4672">
        <v>-3.0230709999999998</v>
      </c>
      <c r="V4672">
        <v>-0.24533540000000001</v>
      </c>
      <c r="W4672">
        <v>0.14376140000000001</v>
      </c>
      <c r="X4672">
        <v>0.95871960000000001</v>
      </c>
      <c r="Y4672">
        <v>-0.3126099</v>
      </c>
      <c r="Z4672">
        <v>3.5782189999999998E-2</v>
      </c>
      <c r="AA4672">
        <v>0.94920740000000003</v>
      </c>
      <c r="AB4672">
        <v>25</v>
      </c>
      <c r="AC4672">
        <v>-2.8822000000000099</v>
      </c>
      <c r="AD4672">
        <v>-1.1270121921453</v>
      </c>
      <c r="AE4672">
        <v>-18.276499999999999</v>
      </c>
      <c r="AF4672">
        <v>-5.8313688939775696</v>
      </c>
      <c r="AG4672">
        <v>-1.1270121921453</v>
      </c>
      <c r="AH4672">
        <v>17.487321724971199</v>
      </c>
      <c r="AI4672">
        <v>93.498582477682206</v>
      </c>
      <c r="AJ4672">
        <v>108.44161767112701</v>
      </c>
      <c r="AK4672">
        <v>18.4683903134936</v>
      </c>
      <c r="AL4672">
        <v>81.734439105880497</v>
      </c>
      <c r="AM4672">
        <v>104.353906195173</v>
      </c>
      <c r="AN4672">
        <v>1.00000003502363</v>
      </c>
    </row>
    <row r="4673" spans="1:40" x14ac:dyDescent="0.25">
      <c r="A4673" t="str">
        <f>"20190303162354665"</f>
        <v>20190303162354665</v>
      </c>
      <c r="B4673" t="str">
        <f>"1551601434660209"</f>
        <v>1551601434660209</v>
      </c>
      <c r="C4673" t="s">
        <v>40</v>
      </c>
      <c r="D4673">
        <v>5.1343959999999997</v>
      </c>
      <c r="E4673">
        <v>0.47243380000000001</v>
      </c>
      <c r="F4673" t="s">
        <v>41</v>
      </c>
      <c r="G4673">
        <v>-419.84789999999998</v>
      </c>
      <c r="H4673" s="1">
        <v>-4.3621229999999999E-7</v>
      </c>
      <c r="I4673">
        <v>110.58669999999999</v>
      </c>
      <c r="J4673">
        <v>-417.1712</v>
      </c>
      <c r="K4673">
        <v>1.1269279999999999</v>
      </c>
      <c r="L4673">
        <v>128.10570000000001</v>
      </c>
      <c r="M4673">
        <v>-0.45214100000000002</v>
      </c>
      <c r="N4673">
        <v>-1.360485E-2</v>
      </c>
      <c r="O4673">
        <v>-0.89184269999999999</v>
      </c>
      <c r="P4673">
        <v>-0.21923880000000001</v>
      </c>
      <c r="Q4673">
        <v>0.13214629999999999</v>
      </c>
      <c r="R4673">
        <v>-0.96668080000000001</v>
      </c>
      <c r="S4673">
        <v>-0.47451779999999999</v>
      </c>
      <c r="T4673">
        <v>-0.1920943</v>
      </c>
      <c r="U4673">
        <v>-3.0251009999999998</v>
      </c>
      <c r="V4673">
        <v>-0.24372840000000001</v>
      </c>
      <c r="W4673">
        <v>0.14156389999999999</v>
      </c>
      <c r="X4673">
        <v>0.95945610000000003</v>
      </c>
      <c r="Y4673">
        <v>-0.30843930000000003</v>
      </c>
      <c r="Z4673">
        <v>3.8287189999999999E-2</v>
      </c>
      <c r="AA4673">
        <v>0.95047320000000002</v>
      </c>
      <c r="AB4673">
        <v>25</v>
      </c>
      <c r="AC4673">
        <v>-2.6766999999999799</v>
      </c>
      <c r="AD4673">
        <v>-1.1269284362123</v>
      </c>
      <c r="AE4673">
        <v>-17.518999999999998</v>
      </c>
      <c r="AF4673">
        <v>-5.5120872349676198</v>
      </c>
      <c r="AG4673">
        <v>-1.1269284362123</v>
      </c>
      <c r="AH4673">
        <v>16.768195052765702</v>
      </c>
      <c r="AI4673">
        <v>93.653105595951104</v>
      </c>
      <c r="AJ4673">
        <v>108.196870755756</v>
      </c>
      <c r="AK4673">
        <v>17.686871931289399</v>
      </c>
      <c r="AL4673">
        <v>81.861646990106294</v>
      </c>
      <c r="AM4673">
        <v>104.25323080610001</v>
      </c>
      <c r="AN4673">
        <v>0.99999993928848796</v>
      </c>
    </row>
    <row r="4674" spans="1:40" x14ac:dyDescent="0.25">
      <c r="A4674" t="str">
        <f>"20190303162354687"</f>
        <v>20190303162354687</v>
      </c>
      <c r="B4674" t="str">
        <f>"1551601434679730"</f>
        <v>1551601434679730</v>
      </c>
      <c r="C4674" t="s">
        <v>40</v>
      </c>
      <c r="D4674">
        <v>5.0736160000000003</v>
      </c>
      <c r="E4674">
        <v>0.4735124</v>
      </c>
      <c r="F4674" t="s">
        <v>41</v>
      </c>
      <c r="G4674">
        <v>-419.86750000000001</v>
      </c>
      <c r="H4674" s="1">
        <v>-4.4246730000000002E-7</v>
      </c>
      <c r="I4674">
        <v>110.60939999999999</v>
      </c>
      <c r="J4674">
        <v>-417.27679999999998</v>
      </c>
      <c r="K4674">
        <v>1.1268579999999999</v>
      </c>
      <c r="L4674">
        <v>127.8751</v>
      </c>
      <c r="M4674">
        <v>-0.44409120000000002</v>
      </c>
      <c r="N4674">
        <v>-1.358618E-2</v>
      </c>
      <c r="O4674">
        <v>-0.89587870000000003</v>
      </c>
      <c r="P4674">
        <v>-0.21102480000000001</v>
      </c>
      <c r="Q4674">
        <v>0.1306505</v>
      </c>
      <c r="R4674">
        <v>-0.96871010000000002</v>
      </c>
      <c r="S4674">
        <v>-0.46606449999999999</v>
      </c>
      <c r="T4674">
        <v>-0.19479540000000001</v>
      </c>
      <c r="U4674">
        <v>-3.0243380000000002</v>
      </c>
      <c r="V4674">
        <v>-0.2432773</v>
      </c>
      <c r="W4674">
        <v>0.1400981</v>
      </c>
      <c r="X4674">
        <v>0.95978580000000002</v>
      </c>
      <c r="Y4674">
        <v>-0.30243360000000002</v>
      </c>
      <c r="Z4674">
        <v>3.9470539999999998E-2</v>
      </c>
      <c r="AA4674">
        <v>0.95235289999999995</v>
      </c>
      <c r="AB4674">
        <v>25</v>
      </c>
      <c r="AC4674">
        <v>-2.59070000000002</v>
      </c>
      <c r="AD4674">
        <v>-1.1268584424672901</v>
      </c>
      <c r="AE4674">
        <v>-17.265699999999999</v>
      </c>
      <c r="AF4674">
        <v>-5.3249028019893903</v>
      </c>
      <c r="AG4674">
        <v>-1.1268584424672901</v>
      </c>
      <c r="AH4674">
        <v>16.551063257430801</v>
      </c>
      <c r="AI4674">
        <v>93.708271027987394</v>
      </c>
      <c r="AJ4674">
        <v>107.834318839511</v>
      </c>
      <c r="AK4674">
        <v>17.423033454352002</v>
      </c>
      <c r="AL4674">
        <v>81.946477513130503</v>
      </c>
      <c r="AM4674">
        <v>104.223233484883</v>
      </c>
      <c r="AN4674">
        <v>1.0000000521002601</v>
      </c>
    </row>
    <row r="4675" spans="1:40" x14ac:dyDescent="0.25">
      <c r="A4675" t="str">
        <f>"20190303162354709"</f>
        <v>20190303162354709</v>
      </c>
      <c r="B4675" t="str">
        <f>"1551601434699251"</f>
        <v>1551601434699251</v>
      </c>
      <c r="C4675" t="s">
        <v>40</v>
      </c>
      <c r="D4675">
        <v>5.1296670000000004</v>
      </c>
      <c r="E4675">
        <v>0.47450039999999999</v>
      </c>
      <c r="F4675" t="s">
        <v>41</v>
      </c>
      <c r="G4675">
        <v>-419.84469999999999</v>
      </c>
      <c r="H4675" s="1">
        <v>-4.3047519999999998E-7</v>
      </c>
      <c r="I4675">
        <v>110.572</v>
      </c>
      <c r="J4675">
        <v>-417.37740000000002</v>
      </c>
      <c r="K4675">
        <v>1.126795</v>
      </c>
      <c r="L4675">
        <v>127.65009999999999</v>
      </c>
      <c r="M4675">
        <v>-0.43629220000000002</v>
      </c>
      <c r="N4675">
        <v>-1.3569350000000001E-2</v>
      </c>
      <c r="O4675">
        <v>-0.89970280000000002</v>
      </c>
      <c r="P4675">
        <v>-0.20306370000000001</v>
      </c>
      <c r="Q4675">
        <v>0.12896050000000001</v>
      </c>
      <c r="R4675">
        <v>-0.97063619999999995</v>
      </c>
      <c r="S4675">
        <v>-0.44903559999999998</v>
      </c>
      <c r="T4675">
        <v>-0.19704579999999999</v>
      </c>
      <c r="U4675">
        <v>-3.025665</v>
      </c>
      <c r="V4675">
        <v>-0.24287520000000001</v>
      </c>
      <c r="W4675">
        <v>0.1384331</v>
      </c>
      <c r="X4675">
        <v>0.96012909999999996</v>
      </c>
      <c r="Y4675">
        <v>-0.29946159999999999</v>
      </c>
      <c r="Z4675">
        <v>4.045559E-2</v>
      </c>
      <c r="AA4675">
        <v>0.95325029999999999</v>
      </c>
      <c r="AB4675">
        <v>25</v>
      </c>
      <c r="AC4675">
        <v>-2.4672999999999599</v>
      </c>
      <c r="AD4675">
        <v>-1.1267954304751999</v>
      </c>
      <c r="AE4675">
        <v>-17.0780999999999</v>
      </c>
      <c r="AF4675">
        <v>-5.2094720658913003</v>
      </c>
      <c r="AG4675">
        <v>-1.1267954304751999</v>
      </c>
      <c r="AH4675">
        <v>16.3733711979913</v>
      </c>
      <c r="AI4675">
        <v>93.752053877637906</v>
      </c>
      <c r="AJ4675">
        <v>107.64937127323201</v>
      </c>
      <c r="AK4675">
        <v>17.219046185391701</v>
      </c>
      <c r="AL4675">
        <v>82.042813264704094</v>
      </c>
      <c r="AM4675">
        <v>104.195804145754</v>
      </c>
      <c r="AN4675">
        <v>0.99999998730872997</v>
      </c>
    </row>
    <row r="4676" spans="1:40" x14ac:dyDescent="0.25">
      <c r="A4676" t="str">
        <f>"20190303162354732"</f>
        <v>20190303162354732</v>
      </c>
      <c r="B4676" t="str">
        <f>"1551601434719746"</f>
        <v>1551601434719746</v>
      </c>
      <c r="C4676" t="s">
        <v>40</v>
      </c>
      <c r="D4676">
        <v>5.1348060000000002</v>
      </c>
      <c r="E4676">
        <v>0.47539209999999898</v>
      </c>
      <c r="F4676" t="s">
        <v>41</v>
      </c>
      <c r="G4676">
        <v>-419.8039</v>
      </c>
      <c r="H4676" s="1">
        <v>-4.754539E-7</v>
      </c>
      <c r="I4676">
        <v>110.66</v>
      </c>
      <c r="J4676">
        <v>-417.4796</v>
      </c>
      <c r="K4676">
        <v>1.126741</v>
      </c>
      <c r="L4676">
        <v>127.4165</v>
      </c>
      <c r="M4676">
        <v>-0.42823660000000002</v>
      </c>
      <c r="N4676">
        <v>-1.3553590000000001E-2</v>
      </c>
      <c r="O4676">
        <v>-0.90356499999999995</v>
      </c>
      <c r="P4676">
        <v>-0.19546959999999999</v>
      </c>
      <c r="Q4676">
        <v>0.1268832</v>
      </c>
      <c r="R4676">
        <v>-0.97246719999999998</v>
      </c>
      <c r="S4676">
        <v>-0.43231199999999997</v>
      </c>
      <c r="T4676">
        <v>-0.2007506</v>
      </c>
      <c r="U4676">
        <v>-3.0269780000000002</v>
      </c>
      <c r="V4676">
        <v>-0.241872</v>
      </c>
      <c r="W4676">
        <v>0.13638939999999999</v>
      </c>
      <c r="X4676">
        <v>0.96067469999999999</v>
      </c>
      <c r="Y4676">
        <v>-0.296160799999999</v>
      </c>
      <c r="Z4676">
        <v>4.1852380000000002E-2</v>
      </c>
      <c r="AA4676">
        <v>0.95422070000000003</v>
      </c>
      <c r="AB4676">
        <v>25</v>
      </c>
      <c r="AC4676">
        <v>-2.3242999999999898</v>
      </c>
      <c r="AD4676">
        <v>-1.1267414754539</v>
      </c>
      <c r="AE4676">
        <v>-16.756499999999999</v>
      </c>
      <c r="AF4676">
        <v>-5.05363808285483</v>
      </c>
      <c r="AG4676">
        <v>-1.1267414754539</v>
      </c>
      <c r="AH4676">
        <v>16.066147902792402</v>
      </c>
      <c r="AI4676">
        <v>93.827374239152704</v>
      </c>
      <c r="AJ4676">
        <v>107.461070035053</v>
      </c>
      <c r="AK4676">
        <v>16.8798670806197</v>
      </c>
      <c r="AL4676">
        <v>82.161030215159101</v>
      </c>
      <c r="AM4676">
        <v>104.13181604864801</v>
      </c>
      <c r="AN4676">
        <v>1.0000000060182199</v>
      </c>
    </row>
    <row r="4677" spans="1:40" x14ac:dyDescent="0.25">
      <c r="A4677" t="str">
        <f>"20190303162354753"</f>
        <v>20190303162354753</v>
      </c>
      <c r="B4677" t="str">
        <f>"1551601434740242"</f>
        <v>1551601434740242</v>
      </c>
      <c r="C4677" t="s">
        <v>40</v>
      </c>
      <c r="D4677">
        <v>5.1429369999999999</v>
      </c>
      <c r="E4677">
        <v>0.47589939999999997</v>
      </c>
      <c r="F4677" t="s">
        <v>41</v>
      </c>
      <c r="G4677">
        <v>-419.76600000000002</v>
      </c>
      <c r="H4677" s="1">
        <v>-5.1767709999999998E-7</v>
      </c>
      <c r="I4677">
        <v>110.7427</v>
      </c>
      <c r="J4677">
        <v>-417.5761</v>
      </c>
      <c r="K4677">
        <v>1.1266959999999999</v>
      </c>
      <c r="L4677">
        <v>127.1904</v>
      </c>
      <c r="M4677">
        <v>-0.42047839999999997</v>
      </c>
      <c r="N4677">
        <v>-1.353972E-2</v>
      </c>
      <c r="O4677">
        <v>-0.90720160000000005</v>
      </c>
      <c r="P4677">
        <v>-0.18716240000000001</v>
      </c>
      <c r="Q4677">
        <v>0.12558369999999999</v>
      </c>
      <c r="R4677">
        <v>-0.97426840000000003</v>
      </c>
      <c r="S4677">
        <v>-0.41525269999999997</v>
      </c>
      <c r="T4677">
        <v>-0.20463029999999999</v>
      </c>
      <c r="U4677">
        <v>-3.028168</v>
      </c>
      <c r="V4677">
        <v>-0.24187800000000001</v>
      </c>
      <c r="W4677">
        <v>0.1351011</v>
      </c>
      <c r="X4677">
        <v>0.96085520000000002</v>
      </c>
      <c r="Y4677">
        <v>-0.293307599999999</v>
      </c>
      <c r="Z4677">
        <v>4.3285659999999997E-2</v>
      </c>
      <c r="AA4677">
        <v>0.95503769999999999</v>
      </c>
      <c r="AB4677">
        <v>25</v>
      </c>
      <c r="AC4677">
        <v>-2.1898999999999602</v>
      </c>
      <c r="AD4677">
        <v>-1.1266965176771</v>
      </c>
      <c r="AE4677">
        <v>-16.447699999999902</v>
      </c>
      <c r="AF4677">
        <v>-4.9070481010009104</v>
      </c>
      <c r="AG4677">
        <v>-1.1266965176771</v>
      </c>
      <c r="AH4677">
        <v>15.770920649252201</v>
      </c>
      <c r="AI4677">
        <v>93.902422330809003</v>
      </c>
      <c r="AJ4677">
        <v>107.283285240818</v>
      </c>
      <c r="AK4677">
        <v>16.555074878522699</v>
      </c>
      <c r="AL4677">
        <v>82.235533908595002</v>
      </c>
      <c r="AM4677">
        <v>104.129604131656</v>
      </c>
      <c r="AN4677">
        <v>0.999999994736125</v>
      </c>
    </row>
    <row r="4678" spans="1:40" x14ac:dyDescent="0.25">
      <c r="A4678" t="str">
        <f>"20190303162354776"</f>
        <v>20190303162354776</v>
      </c>
      <c r="B4678" t="str">
        <f>"1551601434769522"</f>
        <v>1551601434769522</v>
      </c>
      <c r="C4678" t="s">
        <v>40</v>
      </c>
      <c r="D4678">
        <v>5.0482300000000002</v>
      </c>
      <c r="E4678">
        <v>0.45440550000000002</v>
      </c>
      <c r="F4678" t="s">
        <v>41</v>
      </c>
      <c r="G4678">
        <v>-419.73079999999999</v>
      </c>
      <c r="H4678" s="1">
        <v>-4.561043E-7</v>
      </c>
      <c r="I4678">
        <v>110.5847</v>
      </c>
      <c r="J4678">
        <v>-417.67309999999998</v>
      </c>
      <c r="K4678">
        <v>1.126668</v>
      </c>
      <c r="L4678">
        <v>126.9581</v>
      </c>
      <c r="M4678">
        <v>-0.41253849999999997</v>
      </c>
      <c r="N4678">
        <v>-1.352651E-2</v>
      </c>
      <c r="O4678">
        <v>-0.91083979999999998</v>
      </c>
      <c r="P4678">
        <v>-0.1775581</v>
      </c>
      <c r="Q4678">
        <v>0.1258783</v>
      </c>
      <c r="R4678">
        <v>-0.97602639999999996</v>
      </c>
      <c r="S4678">
        <v>-0.3931885</v>
      </c>
      <c r="T4678">
        <v>-0.2055979</v>
      </c>
      <c r="U4678">
        <v>-3.0301969999999998</v>
      </c>
      <c r="V4678">
        <v>-0.2429267</v>
      </c>
      <c r="W4678">
        <v>0.13538459999999999</v>
      </c>
      <c r="X4678">
        <v>0.96055069999999998</v>
      </c>
      <c r="Y4678">
        <v>-0.29187940000000001</v>
      </c>
      <c r="Z4678">
        <v>4.3897369999999998E-2</v>
      </c>
      <c r="AA4678">
        <v>0.9554473</v>
      </c>
      <c r="AB4678">
        <v>25</v>
      </c>
      <c r="AC4678">
        <v>-2.0577000000000099</v>
      </c>
      <c r="AD4678">
        <v>-1.1266684561043001</v>
      </c>
      <c r="AE4678">
        <v>-16.3734</v>
      </c>
      <c r="AF4678">
        <v>-4.8582233240628199</v>
      </c>
      <c r="AG4678">
        <v>-1.1266684561043001</v>
      </c>
      <c r="AH4678">
        <v>15.6907265818213</v>
      </c>
      <c r="AI4678">
        <v>93.923892359581203</v>
      </c>
      <c r="AJ4678">
        <v>107.203772337537</v>
      </c>
      <c r="AK4678">
        <v>16.464222312090001</v>
      </c>
      <c r="AL4678">
        <v>82.219140049655195</v>
      </c>
      <c r="AM4678">
        <v>104.192712401609</v>
      </c>
      <c r="AN4678">
        <v>1.0000000093802699</v>
      </c>
    </row>
    <row r="4679" spans="1:40" x14ac:dyDescent="0.25">
      <c r="A4679" t="str">
        <f>"20190303162354797"</f>
        <v>20190303162354797</v>
      </c>
      <c r="B4679" t="str">
        <f>"1551601434790018"</f>
        <v>1551601434790018</v>
      </c>
      <c r="C4679" t="s">
        <v>40</v>
      </c>
      <c r="D4679">
        <v>5.0333420000000002</v>
      </c>
      <c r="E4679">
        <v>0.45156449999999998</v>
      </c>
      <c r="F4679" t="s">
        <v>41</v>
      </c>
      <c r="G4679">
        <v>-418.95440000000002</v>
      </c>
      <c r="H4679" s="1">
        <v>-3.5839690000000001E-6</v>
      </c>
      <c r="I4679">
        <v>106.8207</v>
      </c>
      <c r="J4679">
        <v>-417.7636</v>
      </c>
      <c r="K4679">
        <v>1.1266480000000001</v>
      </c>
      <c r="L4679">
        <v>126.7359</v>
      </c>
      <c r="M4679">
        <v>-0.40496799999999999</v>
      </c>
      <c r="N4679">
        <v>-1.351479E-2</v>
      </c>
      <c r="O4679">
        <v>-0.91423140000000003</v>
      </c>
      <c r="P4679">
        <v>-0.168179</v>
      </c>
      <c r="Q4679">
        <v>0.1272906</v>
      </c>
      <c r="R4679">
        <v>-0.97750400000000004</v>
      </c>
      <c r="S4679">
        <v>-0.19473270000000001</v>
      </c>
      <c r="T4679">
        <v>-0.1712234</v>
      </c>
      <c r="U4679">
        <v>-3.060333</v>
      </c>
      <c r="V4679">
        <v>-0.24411869999999999</v>
      </c>
      <c r="W4679">
        <v>0.13678009999999999</v>
      </c>
      <c r="X4679">
        <v>0.96005059999999998</v>
      </c>
      <c r="Y4679">
        <v>-0.34597640000000002</v>
      </c>
      <c r="Z4679">
        <v>3.3627419999999998E-2</v>
      </c>
      <c r="AA4679">
        <v>0.93764040000000004</v>
      </c>
      <c r="AB4679">
        <v>25</v>
      </c>
      <c r="AC4679">
        <v>-1.1908000000000201</v>
      </c>
      <c r="AD4679">
        <v>-1.1266515839689999</v>
      </c>
      <c r="AE4679">
        <v>-19.915199999999999</v>
      </c>
      <c r="AF4679">
        <v>-6.9548072716935598</v>
      </c>
      <c r="AG4679">
        <v>-1.1266515839689999</v>
      </c>
      <c r="AH4679">
        <v>18.631619801912301</v>
      </c>
      <c r="AI4679">
        <v>93.242436136770905</v>
      </c>
      <c r="AJ4679">
        <v>110.46958733460301</v>
      </c>
      <c r="AK4679">
        <v>19.919235538069099</v>
      </c>
      <c r="AL4679">
        <v>82.138432498907704</v>
      </c>
      <c r="AM4679">
        <v>104.266644615749</v>
      </c>
      <c r="AN4679">
        <v>0.99999994500302802</v>
      </c>
    </row>
    <row r="4680" spans="1:40" x14ac:dyDescent="0.25">
      <c r="A4680" t="str">
        <f>"20190303162354822"</f>
        <v>20190303162354822</v>
      </c>
      <c r="B4680" t="str">
        <f>"1551601434809538"</f>
        <v>1551601434809538</v>
      </c>
      <c r="C4680" t="s">
        <v>40</v>
      </c>
      <c r="D4680">
        <v>5.0919480000000004</v>
      </c>
      <c r="E4680">
        <v>0.45187040000000001</v>
      </c>
      <c r="F4680" t="s">
        <v>41</v>
      </c>
      <c r="G4680">
        <v>-418.75150000000002</v>
      </c>
      <c r="H4680" s="1">
        <v>-3.047084E-6</v>
      </c>
      <c r="I4680">
        <v>105.6088</v>
      </c>
      <c r="J4680">
        <v>-417.86149999999998</v>
      </c>
      <c r="K4680">
        <v>1.1266309999999999</v>
      </c>
      <c r="L4680">
        <v>126.48990000000001</v>
      </c>
      <c r="M4680">
        <v>-0.39660450000000003</v>
      </c>
      <c r="N4680">
        <v>-1.3503340000000001E-2</v>
      </c>
      <c r="O4680">
        <v>-0.91789019999999999</v>
      </c>
      <c r="P4680">
        <v>-0.1591265</v>
      </c>
      <c r="Q4680">
        <v>0.12943869999999999</v>
      </c>
      <c r="R4680">
        <v>-0.97873589999999999</v>
      </c>
      <c r="S4680">
        <v>-0.1433411</v>
      </c>
      <c r="T4680">
        <v>-0.163483399999999</v>
      </c>
      <c r="U4680">
        <v>-3.0656590000000001</v>
      </c>
      <c r="V4680">
        <v>-0.24414749999999999</v>
      </c>
      <c r="W4680">
        <v>0.13892889999999999</v>
      </c>
      <c r="X4680">
        <v>0.95973470000000005</v>
      </c>
      <c r="Y4680">
        <v>-0.35317459999999901</v>
      </c>
      <c r="Z4680">
        <v>3.1624439999999997E-2</v>
      </c>
      <c r="AA4680">
        <v>0.93502280000000004</v>
      </c>
      <c r="AB4680">
        <v>25</v>
      </c>
      <c r="AC4680">
        <v>-0.89000000000004298</v>
      </c>
      <c r="AD4680">
        <v>-1.1266340470839999</v>
      </c>
      <c r="AE4680">
        <v>-20.8811</v>
      </c>
      <c r="AF4680">
        <v>-7.4436669468296497</v>
      </c>
      <c r="AG4680">
        <v>-1.1266340470839999</v>
      </c>
      <c r="AH4680">
        <v>19.464754647505998</v>
      </c>
      <c r="AI4680">
        <v>93.094536345569097</v>
      </c>
      <c r="AJ4680">
        <v>110.927739455539</v>
      </c>
      <c r="AK4680">
        <v>20.869934244721101</v>
      </c>
      <c r="AL4680">
        <v>82.014128684323097</v>
      </c>
      <c r="AM4680">
        <v>104.27276358917899</v>
      </c>
      <c r="AN4680">
        <v>0.99999996769777399</v>
      </c>
    </row>
    <row r="4681" spans="1:40" x14ac:dyDescent="0.25">
      <c r="A4681" t="str">
        <f>"20190303162354844"</f>
        <v>20190303162354844</v>
      </c>
      <c r="B4681" t="str">
        <f>"1551601434830035"</f>
        <v>1551601434830035</v>
      </c>
      <c r="C4681" t="s">
        <v>40</v>
      </c>
      <c r="D4681">
        <v>4.978275</v>
      </c>
      <c r="E4681">
        <v>0.4531522</v>
      </c>
      <c r="F4681" t="s">
        <v>41</v>
      </c>
      <c r="G4681">
        <v>-418.76819999999998</v>
      </c>
      <c r="H4681" s="1">
        <v>-1.6029419999999901E-6</v>
      </c>
      <c r="I4681">
        <v>102.56</v>
      </c>
      <c r="J4681">
        <v>-417.94920000000002</v>
      </c>
      <c r="K4681">
        <v>1.126609</v>
      </c>
      <c r="L4681">
        <v>126.2633</v>
      </c>
      <c r="M4681">
        <v>-0.38890459999999999</v>
      </c>
      <c r="N4681">
        <v>-1.349435E-2</v>
      </c>
      <c r="O4681">
        <v>-0.92117919999999998</v>
      </c>
      <c r="P4681">
        <v>-0.1519916</v>
      </c>
      <c r="Q4681">
        <v>0.1303839</v>
      </c>
      <c r="R4681">
        <v>-0.97974430000000001</v>
      </c>
      <c r="S4681">
        <v>-0.1161499</v>
      </c>
      <c r="T4681">
        <v>-0.144318899999999</v>
      </c>
      <c r="U4681">
        <v>-3.065369</v>
      </c>
      <c r="V4681">
        <v>-0.24305959999999999</v>
      </c>
      <c r="W4681">
        <v>0.13989409999999999</v>
      </c>
      <c r="X4681">
        <v>0.95987060000000002</v>
      </c>
      <c r="Y4681">
        <v>-0.35362929999999998</v>
      </c>
      <c r="Z4681">
        <v>2.6576200000000001E-2</v>
      </c>
      <c r="AA4681">
        <v>0.93500799999999995</v>
      </c>
      <c r="AB4681">
        <v>25</v>
      </c>
      <c r="AC4681">
        <v>-0.81899999999995898</v>
      </c>
      <c r="AD4681">
        <v>-1.126610602942</v>
      </c>
      <c r="AE4681">
        <v>-23.703299999999999</v>
      </c>
      <c r="AF4681">
        <v>-8.4455909084263592</v>
      </c>
      <c r="AG4681">
        <v>-1.126610602942</v>
      </c>
      <c r="AH4681">
        <v>22.105638401864901</v>
      </c>
      <c r="AI4681">
        <v>92.725709684060007</v>
      </c>
      <c r="AJ4681">
        <v>110.90965483614799</v>
      </c>
      <c r="AK4681">
        <v>23.6908528001244</v>
      </c>
      <c r="AL4681">
        <v>81.958281264311296</v>
      </c>
      <c r="AM4681">
        <v>104.209816838165</v>
      </c>
      <c r="AN4681">
        <v>0.99999994855566299</v>
      </c>
    </row>
    <row r="4682" spans="1:40" x14ac:dyDescent="0.25">
      <c r="A4682" t="str">
        <f>"20190303162354866"</f>
        <v>20190303162354866</v>
      </c>
      <c r="B4682" t="str">
        <f>"1551601434859314"</f>
        <v>1551601434859314</v>
      </c>
      <c r="C4682" t="s">
        <v>40</v>
      </c>
      <c r="D4682">
        <v>5.0848009999999997</v>
      </c>
      <c r="E4682">
        <v>0.45479730000000002</v>
      </c>
      <c r="F4682" t="s">
        <v>41</v>
      </c>
      <c r="G4682">
        <v>-418.81779999999998</v>
      </c>
      <c r="H4682" s="1">
        <v>-6.4333759999999997E-7</v>
      </c>
      <c r="I4682">
        <v>100.50069999999999</v>
      </c>
      <c r="J4682">
        <v>-418.03640000000001</v>
      </c>
      <c r="K4682">
        <v>1.1265989999999999</v>
      </c>
      <c r="L4682">
        <v>126.03230000000001</v>
      </c>
      <c r="M4682">
        <v>-0.38106240000000002</v>
      </c>
      <c r="N4682">
        <v>-1.3486430000000001E-2</v>
      </c>
      <c r="O4682">
        <v>-0.92445109999999997</v>
      </c>
      <c r="P4682">
        <v>-0.14446129999999999</v>
      </c>
      <c r="Q4682">
        <v>0.13079060000000001</v>
      </c>
      <c r="R4682">
        <v>-0.98082879999999995</v>
      </c>
      <c r="S4682">
        <v>-0.103302</v>
      </c>
      <c r="T4682">
        <v>-0.133982399999999</v>
      </c>
      <c r="U4682">
        <v>-3.063828</v>
      </c>
      <c r="V4682">
        <v>-0.242255</v>
      </c>
      <c r="W4682">
        <v>0.14031389999999999</v>
      </c>
      <c r="X4682">
        <v>0.9600128</v>
      </c>
      <c r="Y4682">
        <v>-0.3495856</v>
      </c>
      <c r="Z4682">
        <v>2.397931E-2</v>
      </c>
      <c r="AA4682">
        <v>0.93659749999999997</v>
      </c>
      <c r="AB4682">
        <v>25</v>
      </c>
      <c r="AC4682">
        <v>-0.78139999999996201</v>
      </c>
      <c r="AD4682">
        <v>-1.1265996433376</v>
      </c>
      <c r="AE4682">
        <v>-25.531600000000001</v>
      </c>
      <c r="AF4682">
        <v>-8.9900966268840996</v>
      </c>
      <c r="AG4682">
        <v>-1.1265996433376</v>
      </c>
      <c r="AH4682">
        <v>23.856241979643801</v>
      </c>
      <c r="AI4682">
        <v>92.530302465605999</v>
      </c>
      <c r="AJ4682">
        <v>110.64864816324</v>
      </c>
      <c r="AK4682">
        <v>25.518842950031999</v>
      </c>
      <c r="AL4682">
        <v>81.933989521643298</v>
      </c>
      <c r="AM4682">
        <v>104.162660665093</v>
      </c>
      <c r="AN4682">
        <v>1.00000002586102</v>
      </c>
    </row>
    <row r="4683" spans="1:40" x14ac:dyDescent="0.25">
      <c r="A4683" t="str">
        <f>"20190303162354887"</f>
        <v>20190303162354887</v>
      </c>
      <c r="B4683" t="str">
        <f>"1551601434879810"</f>
        <v>1551601434879810</v>
      </c>
      <c r="C4683" t="s">
        <v>40</v>
      </c>
      <c r="D4683">
        <v>4.9674769999999997</v>
      </c>
      <c r="E4683">
        <v>0.45587240000000001</v>
      </c>
      <c r="F4683" t="s">
        <v>41</v>
      </c>
      <c r="G4683">
        <v>-418.89319999999998</v>
      </c>
      <c r="H4683" s="1">
        <v>-3.6067300000000001E-6</v>
      </c>
      <c r="I4683">
        <v>97.582499999999996</v>
      </c>
      <c r="J4683">
        <v>-418.1207</v>
      </c>
      <c r="K4683">
        <v>1.126595</v>
      </c>
      <c r="L4683">
        <v>125.80289999999999</v>
      </c>
      <c r="M4683">
        <v>-0.37327300000000002</v>
      </c>
      <c r="N4683">
        <v>-1.34794999999999E-2</v>
      </c>
      <c r="O4683">
        <v>-0.92762370000000005</v>
      </c>
      <c r="P4683">
        <v>-0.136117299999999</v>
      </c>
      <c r="Q4683">
        <v>0.1310704</v>
      </c>
      <c r="R4683">
        <v>-0.98198419999999997</v>
      </c>
      <c r="S4683">
        <v>-9.2193600000000001E-2</v>
      </c>
      <c r="T4683">
        <v>-0.1212239</v>
      </c>
      <c r="U4683">
        <v>-3.0612339999999998</v>
      </c>
      <c r="V4683">
        <v>-0.24232919999999999</v>
      </c>
      <c r="W4683">
        <v>0.14058950000000001</v>
      </c>
      <c r="X4683">
        <v>0.95995370000000002</v>
      </c>
      <c r="Y4683">
        <v>-0.34508169999999999</v>
      </c>
      <c r="Z4683">
        <v>2.0670419999999998E-2</v>
      </c>
      <c r="AA4683">
        <v>0.93834499999999998</v>
      </c>
      <c r="AB4683">
        <v>25</v>
      </c>
      <c r="AC4683">
        <v>-0.77249999999997898</v>
      </c>
      <c r="AD4683">
        <v>-1.12659860673</v>
      </c>
      <c r="AE4683">
        <v>-28.220400000000001</v>
      </c>
      <c r="AF4683">
        <v>-9.8026043828805598</v>
      </c>
      <c r="AG4683">
        <v>-1.12659860673</v>
      </c>
      <c r="AH4683">
        <v>26.4265828637262</v>
      </c>
      <c r="AI4683">
        <v>92.288895591258097</v>
      </c>
      <c r="AJ4683">
        <v>110.35169419319</v>
      </c>
      <c r="AK4683">
        <v>28.2085901625966</v>
      </c>
      <c r="AL4683">
        <v>81.918040318938907</v>
      </c>
      <c r="AM4683">
        <v>104.167660971177</v>
      </c>
      <c r="AN4683">
        <v>0.99999997741328905</v>
      </c>
    </row>
    <row r="4684" spans="1:40" x14ac:dyDescent="0.25">
      <c r="A4684" t="str">
        <f>"20190303162354911"</f>
        <v>20190303162354911</v>
      </c>
      <c r="B4684" t="str">
        <f>"1551601434899332"</f>
        <v>1551601434899332</v>
      </c>
      <c r="C4684" t="s">
        <v>40</v>
      </c>
      <c r="D4684">
        <v>4.9738170000000004</v>
      </c>
      <c r="E4684">
        <v>0.4570263</v>
      </c>
      <c r="F4684" t="s">
        <v>41</v>
      </c>
      <c r="G4684">
        <v>-418.85289999999998</v>
      </c>
      <c r="H4684" s="1">
        <v>-3.0812019999999999E-6</v>
      </c>
      <c r="I4684">
        <v>96.340829999999997</v>
      </c>
      <c r="J4684">
        <v>-418.20699999999999</v>
      </c>
      <c r="K4684">
        <v>1.126587</v>
      </c>
      <c r="L4684">
        <v>125.5621</v>
      </c>
      <c r="M4684">
        <v>-0.36509170000000002</v>
      </c>
      <c r="N4684">
        <v>-1.3473010000000001E-2</v>
      </c>
      <c r="O4684">
        <v>-0.93087419999999998</v>
      </c>
      <c r="P4684">
        <v>-0.12673960000000001</v>
      </c>
      <c r="Q4684">
        <v>0.13046199999999999</v>
      </c>
      <c r="R4684">
        <v>-0.98331930000000001</v>
      </c>
      <c r="S4684">
        <v>-7.6049800000000001E-2</v>
      </c>
      <c r="T4684">
        <v>-0.1170158</v>
      </c>
      <c r="U4684">
        <v>-3.06012</v>
      </c>
      <c r="V4684">
        <v>-0.24305850000000001</v>
      </c>
      <c r="W4684">
        <v>0.1399668</v>
      </c>
      <c r="X4684">
        <v>0.9598603</v>
      </c>
      <c r="Y4684">
        <v>-0.3417578</v>
      </c>
      <c r="Z4684">
        <v>1.9702250000000001E-2</v>
      </c>
      <c r="AA4684">
        <v>0.93958149999999996</v>
      </c>
      <c r="AB4684">
        <v>25</v>
      </c>
      <c r="AC4684">
        <v>-0.64589999999998304</v>
      </c>
      <c r="AD4684">
        <v>-1.126590081202</v>
      </c>
      <c r="AE4684">
        <v>-29.221269999999901</v>
      </c>
      <c r="AF4684">
        <v>-10.0531684179526</v>
      </c>
      <c r="AG4684">
        <v>-1.126590081202</v>
      </c>
      <c r="AH4684">
        <v>27.3989205485531</v>
      </c>
      <c r="AI4684">
        <v>92.210612223109393</v>
      </c>
      <c r="AJ4684">
        <v>110.14901693829199</v>
      </c>
      <c r="AK4684">
        <v>29.206784274834298</v>
      </c>
      <c r="AL4684">
        <v>81.954074625296499</v>
      </c>
      <c r="AM4684">
        <v>104.209901439299</v>
      </c>
      <c r="AN4684">
        <v>0.99999996752028897</v>
      </c>
    </row>
    <row r="4685" spans="1:40" x14ac:dyDescent="0.25">
      <c r="A4685" t="str">
        <f>"20190303162354933"</f>
        <v>20190303162354933</v>
      </c>
      <c r="B4685" t="str">
        <f>"1551601434919826"</f>
        <v>1551601434919826</v>
      </c>
      <c r="C4685" t="s">
        <v>40</v>
      </c>
      <c r="D4685">
        <v>5.1397349999999999</v>
      </c>
      <c r="E4685">
        <v>0.4581307</v>
      </c>
      <c r="F4685" t="s">
        <v>41</v>
      </c>
      <c r="G4685">
        <v>-418.75979999999998</v>
      </c>
      <c r="H4685" s="1">
        <v>-2.672959E-6</v>
      </c>
      <c r="I4685">
        <v>95.35069</v>
      </c>
      <c r="J4685">
        <v>-418.29050000000001</v>
      </c>
      <c r="K4685">
        <v>1.1265799999999999</v>
      </c>
      <c r="L4685">
        <v>125.3223</v>
      </c>
      <c r="M4685">
        <v>-0.3569388</v>
      </c>
      <c r="N4685">
        <v>-1.346726E-2</v>
      </c>
      <c r="O4685">
        <v>-0.93403080000000005</v>
      </c>
      <c r="P4685">
        <v>-0.1172229</v>
      </c>
      <c r="Q4685">
        <v>0.12986900000000001</v>
      </c>
      <c r="R4685">
        <v>-0.9845777</v>
      </c>
      <c r="S4685">
        <v>-5.5969240000000003E-2</v>
      </c>
      <c r="T4685">
        <v>-0.1140636</v>
      </c>
      <c r="U4685">
        <v>-3.0588069999999998</v>
      </c>
      <c r="V4685">
        <v>-0.24396979999999999</v>
      </c>
      <c r="W4685">
        <v>0.1393568</v>
      </c>
      <c r="X4685">
        <v>0.95971790000000001</v>
      </c>
      <c r="Y4685">
        <v>-0.33969890000000003</v>
      </c>
      <c r="Z4685">
        <v>1.9060259999999999E-2</v>
      </c>
      <c r="AA4685">
        <v>0.94034110000000004</v>
      </c>
      <c r="AB4685">
        <v>25</v>
      </c>
      <c r="AC4685">
        <v>-0.46929999999997501</v>
      </c>
      <c r="AD4685">
        <v>-1.1265826729589901</v>
      </c>
      <c r="AE4685">
        <v>-29.971609999999998</v>
      </c>
      <c r="AF4685">
        <v>-10.246146239893999</v>
      </c>
      <c r="AG4685">
        <v>-1.1265826729589901</v>
      </c>
      <c r="AH4685">
        <v>28.124742254580699</v>
      </c>
      <c r="AI4685">
        <v>92.155412910083697</v>
      </c>
      <c r="AJ4685">
        <v>110.017226510424</v>
      </c>
      <c r="AK4685">
        <v>29.954195502047799</v>
      </c>
      <c r="AL4685">
        <v>81.989371360029907</v>
      </c>
      <c r="AM4685">
        <v>104.26303881816401</v>
      </c>
      <c r="AN4685">
        <v>1.0000000142993399</v>
      </c>
    </row>
    <row r="4686" spans="1:40" x14ac:dyDescent="0.25">
      <c r="A4686" t="str">
        <f>"20190303162354955"</f>
        <v>20190303162354955</v>
      </c>
      <c r="B4686" t="str">
        <f>"1551601434950082"</f>
        <v>1551601434950082</v>
      </c>
      <c r="C4686" t="s">
        <v>40</v>
      </c>
      <c r="D4686">
        <v>5.1418350000000004</v>
      </c>
      <c r="E4686">
        <v>0.47072950000000002</v>
      </c>
      <c r="F4686" t="s">
        <v>41</v>
      </c>
      <c r="G4686">
        <v>-418.64240000000001</v>
      </c>
      <c r="H4686" s="1">
        <v>-2.2371519999999999E-6</v>
      </c>
      <c r="I4686">
        <v>94.286270000000002</v>
      </c>
      <c r="J4686">
        <v>-418.36900000000003</v>
      </c>
      <c r="K4686">
        <v>1.1265780000000001</v>
      </c>
      <c r="L4686">
        <v>125.0907</v>
      </c>
      <c r="M4686">
        <v>-0.3490548</v>
      </c>
      <c r="N4686">
        <v>-1.346228E-2</v>
      </c>
      <c r="O4686">
        <v>-0.93700589999999995</v>
      </c>
      <c r="P4686">
        <v>-0.1079686</v>
      </c>
      <c r="Q4686">
        <v>0.1298243</v>
      </c>
      <c r="R4686">
        <v>-0.98564149999999995</v>
      </c>
      <c r="S4686">
        <v>-3.4667969999999999E-2</v>
      </c>
      <c r="T4686">
        <v>-0.1109846</v>
      </c>
      <c r="U4686">
        <v>-3.0574949999999999</v>
      </c>
      <c r="V4686">
        <v>-0.24489859999999999</v>
      </c>
      <c r="W4686">
        <v>0.13929349999999999</v>
      </c>
      <c r="X4686">
        <v>0.95949050000000002</v>
      </c>
      <c r="Y4686">
        <v>-0.33831820000000001</v>
      </c>
      <c r="Z4686">
        <v>1.8355739999999999E-2</v>
      </c>
      <c r="AA4686">
        <v>0.94085280000000004</v>
      </c>
      <c r="AB4686">
        <v>25</v>
      </c>
      <c r="AC4686">
        <v>-0.27339999999998099</v>
      </c>
      <c r="AD4686">
        <v>-1.126580237152</v>
      </c>
      <c r="AE4686">
        <v>-30.80443</v>
      </c>
      <c r="AF4686">
        <v>-10.4831848642396</v>
      </c>
      <c r="AG4686">
        <v>-1.126580237152</v>
      </c>
      <c r="AH4686">
        <v>28.923298695069501</v>
      </c>
      <c r="AI4686">
        <v>92.097205098545004</v>
      </c>
      <c r="AJ4686">
        <v>109.922935187926</v>
      </c>
      <c r="AK4686">
        <v>30.785119056660701</v>
      </c>
      <c r="AL4686">
        <v>81.993033882260207</v>
      </c>
      <c r="AM4686">
        <v>104.318364124377</v>
      </c>
      <c r="AN4686">
        <v>1.0000000115072301</v>
      </c>
    </row>
    <row r="4687" spans="1:40" x14ac:dyDescent="0.25">
      <c r="A4687" t="str">
        <f>"20190303162354977"</f>
        <v>20190303162354977</v>
      </c>
      <c r="B4687" t="str">
        <f>"1551601434969602"</f>
        <v>1551601434969602</v>
      </c>
      <c r="C4687" t="s">
        <v>40</v>
      </c>
      <c r="D4687">
        <v>5.1407379999999998</v>
      </c>
      <c r="E4687">
        <v>0.47146139999999997</v>
      </c>
      <c r="F4687" t="s">
        <v>41</v>
      </c>
      <c r="G4687">
        <v>-420.32209999999998</v>
      </c>
      <c r="H4687" s="1">
        <v>-3.8141820000000002E-6</v>
      </c>
      <c r="I4687">
        <v>68.280280000000005</v>
      </c>
      <c r="J4687">
        <v>-418.44470000000001</v>
      </c>
      <c r="K4687">
        <v>1.126574</v>
      </c>
      <c r="L4687">
        <v>124.8609</v>
      </c>
      <c r="M4687">
        <v>-0.34122740000000001</v>
      </c>
      <c r="N4687">
        <v>-1.3457800000000001E-2</v>
      </c>
      <c r="O4687">
        <v>-0.93988470000000002</v>
      </c>
      <c r="P4687">
        <v>-9.9302470000000004E-2</v>
      </c>
      <c r="Q4687">
        <v>0.13019410000000001</v>
      </c>
      <c r="R4687">
        <v>-0.98650329999999997</v>
      </c>
      <c r="S4687">
        <v>-0.104522699999999</v>
      </c>
      <c r="T4687">
        <v>-6.028903E-2</v>
      </c>
      <c r="U4687">
        <v>-3.0402070000000001</v>
      </c>
      <c r="V4687">
        <v>-0.24531510000000001</v>
      </c>
      <c r="W4687">
        <v>0.13965420000000001</v>
      </c>
      <c r="X4687">
        <v>0.95933159999999895</v>
      </c>
      <c r="Y4687">
        <v>-0.30868770000000001</v>
      </c>
      <c r="Z4687">
        <v>4.1800470000000001E-3</v>
      </c>
      <c r="AA4687">
        <v>0.95115430000000001</v>
      </c>
      <c r="AB4687">
        <v>25</v>
      </c>
      <c r="AC4687">
        <v>-1.87739999999996</v>
      </c>
      <c r="AD4687">
        <v>-1.126577814182</v>
      </c>
      <c r="AE4687">
        <v>-56.580620000000003</v>
      </c>
      <c r="AF4687">
        <v>-17.536957852342798</v>
      </c>
      <c r="AG4687">
        <v>-1.126577814182</v>
      </c>
      <c r="AH4687">
        <v>53.803433454773398</v>
      </c>
      <c r="AI4687">
        <v>91.140490757010994</v>
      </c>
      <c r="AJ4687">
        <v>108.053117672757</v>
      </c>
      <c r="AK4687">
        <v>56.600561126268701</v>
      </c>
      <c r="AL4687">
        <v>81.972162854504802</v>
      </c>
      <c r="AM4687">
        <v>104.343989226967</v>
      </c>
      <c r="AN4687">
        <v>0.99999995631210303</v>
      </c>
    </row>
    <row r="4688" spans="1:40" x14ac:dyDescent="0.25">
      <c r="A4688" t="str">
        <f>"20190303162355011"</f>
        <v>20190303162355011</v>
      </c>
      <c r="B4688" t="str">
        <f>"1551601434999858"</f>
        <v>1551601434999858</v>
      </c>
      <c r="C4688" t="s">
        <v>40</v>
      </c>
      <c r="D4688">
        <v>5.2041269999999997</v>
      </c>
      <c r="E4688">
        <v>0.47254980000000002</v>
      </c>
      <c r="F4688" t="s">
        <v>41</v>
      </c>
      <c r="G4688">
        <v>-420.04270000000002</v>
      </c>
      <c r="H4688" s="1">
        <v>-3.0313340000000002E-6</v>
      </c>
      <c r="I4688">
        <v>66.628749999999997</v>
      </c>
      <c r="J4688">
        <v>-418.55770000000001</v>
      </c>
      <c r="K4688">
        <v>1.126571</v>
      </c>
      <c r="L4688">
        <v>124.5051</v>
      </c>
      <c r="M4688">
        <v>-0.32909620000000001</v>
      </c>
      <c r="N4688">
        <v>-1.3451619999999999E-2</v>
      </c>
      <c r="O4688">
        <v>-0.94420079999999995</v>
      </c>
      <c r="P4688">
        <v>-8.7827059999999998E-2</v>
      </c>
      <c r="Q4688">
        <v>0.13090839999999901</v>
      </c>
      <c r="R4688">
        <v>-0.98749659999999995</v>
      </c>
      <c r="S4688">
        <v>-8.3435060000000005E-2</v>
      </c>
      <c r="T4688">
        <v>-5.8820959999999999E-2</v>
      </c>
      <c r="U4688">
        <v>-3.0404209999999998</v>
      </c>
      <c r="V4688">
        <v>-0.24408850000000001</v>
      </c>
      <c r="W4688">
        <v>0.1403884</v>
      </c>
      <c r="X4688">
        <v>0.95953730000000004</v>
      </c>
      <c r="Y4688">
        <v>-0.30302959999999901</v>
      </c>
      <c r="Z4688">
        <v>3.8824300000000001E-3</v>
      </c>
      <c r="AA4688">
        <v>0.95297319999999996</v>
      </c>
      <c r="AB4688">
        <v>25</v>
      </c>
      <c r="AC4688">
        <v>-1.4850000000000101</v>
      </c>
      <c r="AD4688">
        <v>-1.126574031334</v>
      </c>
      <c r="AE4688">
        <v>-57.876350000000002</v>
      </c>
      <c r="AF4688">
        <v>-17.6396625207271</v>
      </c>
      <c r="AG4688">
        <v>-1.126574031334</v>
      </c>
      <c r="AH4688">
        <v>55.119710842351502</v>
      </c>
      <c r="AI4688">
        <v>91.115187491396597</v>
      </c>
      <c r="AJ4688">
        <v>107.745949325646</v>
      </c>
      <c r="AK4688">
        <v>57.8844485698677</v>
      </c>
      <c r="AL4688">
        <v>81.929677813526496</v>
      </c>
      <c r="AM4688">
        <v>104.272270998858</v>
      </c>
      <c r="AN4688">
        <v>0.99999996438904903</v>
      </c>
    </row>
    <row r="4689" spans="1:40" x14ac:dyDescent="0.25">
      <c r="A4689" t="str">
        <f>"20190303162355034"</f>
        <v>20190303162355034</v>
      </c>
      <c r="B4689" t="str">
        <f>"1551601435019378"</f>
        <v>1551601435019378</v>
      </c>
      <c r="C4689" t="s">
        <v>40</v>
      </c>
      <c r="D4689">
        <v>5.1380569999999999</v>
      </c>
      <c r="E4689">
        <v>0.47322740000000002</v>
      </c>
      <c r="F4689" t="s">
        <v>41</v>
      </c>
      <c r="G4689">
        <v>-419.68520000000001</v>
      </c>
      <c r="H4689" s="1">
        <v>-2.3756760000000002E-6</v>
      </c>
      <c r="I4689">
        <v>65.04034</v>
      </c>
      <c r="J4689">
        <v>-418.63069999999999</v>
      </c>
      <c r="K4689">
        <v>1.126566</v>
      </c>
      <c r="L4689">
        <v>124.2663</v>
      </c>
      <c r="M4689">
        <v>-0.32094929999999999</v>
      </c>
      <c r="N4689">
        <v>-1.3447809999999999E-2</v>
      </c>
      <c r="O4689">
        <v>-0.94700099999999998</v>
      </c>
      <c r="P4689">
        <v>-8.1003980000000003E-2</v>
      </c>
      <c r="Q4689">
        <v>0.13114289999999901</v>
      </c>
      <c r="R4689">
        <v>-0.98804860000000005</v>
      </c>
      <c r="S4689">
        <v>-5.7647709999999998E-2</v>
      </c>
      <c r="T4689">
        <v>-5.7602639999999997E-2</v>
      </c>
      <c r="U4689">
        <v>-3.0404819999999999</v>
      </c>
      <c r="V4689">
        <v>-0.24243700000000001</v>
      </c>
      <c r="W4689">
        <v>0.1406509</v>
      </c>
      <c r="X4689">
        <v>0.95991749999999998</v>
      </c>
      <c r="Y4689">
        <v>-0.30289870000000002</v>
      </c>
      <c r="Z4689">
        <v>3.5885969999999998E-3</v>
      </c>
      <c r="AA4689">
        <v>0.95301599999999997</v>
      </c>
      <c r="AB4689">
        <v>25</v>
      </c>
      <c r="AC4689">
        <v>-1.05450000000001</v>
      </c>
      <c r="AD4689">
        <v>-1.1265683756760001</v>
      </c>
      <c r="AE4689">
        <v>-59.225960000000001</v>
      </c>
      <c r="AF4689">
        <v>-18.005032349907498</v>
      </c>
      <c r="AG4689">
        <v>-1.1265683756760001</v>
      </c>
      <c r="AH4689">
        <v>56.410178001428697</v>
      </c>
      <c r="AI4689">
        <v>91.089943332200207</v>
      </c>
      <c r="AJ4689">
        <v>107.70207232598101</v>
      </c>
      <c r="AK4689">
        <v>59.2246446032322</v>
      </c>
      <c r="AL4689">
        <v>81.9144871596923</v>
      </c>
      <c r="AM4689">
        <v>104.174222475257</v>
      </c>
      <c r="AN4689">
        <v>0.99999999072303003</v>
      </c>
    </row>
    <row r="4690" spans="1:40" x14ac:dyDescent="0.25">
      <c r="A4690" t="str">
        <f>"20190303162355055"</f>
        <v>20190303162355055</v>
      </c>
      <c r="B4690" t="str">
        <f>"1551601435049634"</f>
        <v>1551601435049634</v>
      </c>
      <c r="C4690" t="s">
        <v>40</v>
      </c>
      <c r="D4690">
        <v>5.1965629999999896</v>
      </c>
      <c r="E4690">
        <v>0.47882259999999999</v>
      </c>
      <c r="F4690" t="s">
        <v>41</v>
      </c>
      <c r="G4690">
        <v>-419.46140000000003</v>
      </c>
      <c r="H4690" s="1">
        <v>-1.6817670000000001E-6</v>
      </c>
      <c r="I4690">
        <v>63.330289999999998</v>
      </c>
      <c r="J4690">
        <v>-418.7013</v>
      </c>
      <c r="K4690">
        <v>1.1265700000000001</v>
      </c>
      <c r="L4690">
        <v>124.02849999999999</v>
      </c>
      <c r="M4690">
        <v>-0.31283270000000002</v>
      </c>
      <c r="N4690">
        <v>-1.344426E-2</v>
      </c>
      <c r="O4690">
        <v>-0.94971309999999998</v>
      </c>
      <c r="P4690">
        <v>-7.4562970000000006E-2</v>
      </c>
      <c r="Q4690">
        <v>0.13208520000000001</v>
      </c>
      <c r="R4690">
        <v>-0.98842980000000003</v>
      </c>
      <c r="S4690">
        <v>-4.144287E-2</v>
      </c>
      <c r="T4690">
        <v>-5.6209330000000002E-2</v>
      </c>
      <c r="U4690">
        <v>-3.040359</v>
      </c>
      <c r="V4690">
        <v>-0.2404454</v>
      </c>
      <c r="W4690">
        <v>0.14162710000000001</v>
      </c>
      <c r="X4690">
        <v>0.96027479999999998</v>
      </c>
      <c r="Y4690">
        <v>-0.29981999999999998</v>
      </c>
      <c r="Z4690">
        <v>3.2536349999999999E-3</v>
      </c>
      <c r="AA4690">
        <v>0.95399029999999996</v>
      </c>
      <c r="AB4690">
        <v>25</v>
      </c>
      <c r="AC4690">
        <v>-0.76010000000002198</v>
      </c>
      <c r="AD4690">
        <v>-1.126571681767</v>
      </c>
      <c r="AE4690">
        <v>-60.698209999999897</v>
      </c>
      <c r="AF4690">
        <v>-18.2618689748412</v>
      </c>
      <c r="AG4690">
        <v>-1.126571681767</v>
      </c>
      <c r="AH4690">
        <v>57.868969008045497</v>
      </c>
      <c r="AI4690">
        <v>91.063582538816107</v>
      </c>
      <c r="AJ4690">
        <v>107.514275681947</v>
      </c>
      <c r="AK4690">
        <v>60.692525044378897</v>
      </c>
      <c r="AL4690">
        <v>81.857989200239004</v>
      </c>
      <c r="AM4690">
        <v>104.05739557701899</v>
      </c>
      <c r="AN4690">
        <v>0.999999958675304</v>
      </c>
    </row>
    <row r="4691" spans="1:40" x14ac:dyDescent="0.25">
      <c r="A4691" t="str">
        <f>"20190303162355077"</f>
        <v>20190303162355077</v>
      </c>
      <c r="B4691" t="str">
        <f>"1551601435070130"</f>
        <v>1551601435070130</v>
      </c>
      <c r="C4691" t="s">
        <v>40</v>
      </c>
      <c r="D4691">
        <v>5.1372039999999997</v>
      </c>
      <c r="E4691">
        <v>0.47965200000000002</v>
      </c>
      <c r="F4691" t="s">
        <v>41</v>
      </c>
      <c r="G4691">
        <v>-419.91059999999999</v>
      </c>
      <c r="H4691" s="1">
        <v>-3.7832250000000001E-6</v>
      </c>
      <c r="I4691">
        <v>68.414599999999993</v>
      </c>
      <c r="J4691">
        <v>-418.76909999999998</v>
      </c>
      <c r="K4691">
        <v>1.126568</v>
      </c>
      <c r="L4691">
        <v>123.7925</v>
      </c>
      <c r="M4691">
        <v>-0.30477330000000002</v>
      </c>
      <c r="N4691">
        <v>-1.344092E-2</v>
      </c>
      <c r="O4691">
        <v>-0.95233040000000002</v>
      </c>
      <c r="P4691">
        <v>-6.9649069999999993E-2</v>
      </c>
      <c r="Q4691">
        <v>0.13345389999999999</v>
      </c>
      <c r="R4691">
        <v>-0.98860519999999996</v>
      </c>
      <c r="S4691">
        <v>-6.607056E-2</v>
      </c>
      <c r="T4691">
        <v>-6.1548230000000002E-2</v>
      </c>
      <c r="U4691">
        <v>-3.0383610000000001</v>
      </c>
      <c r="V4691">
        <v>-0.2370343</v>
      </c>
      <c r="W4691">
        <v>0.14305300000000001</v>
      </c>
      <c r="X4691">
        <v>0.96091130000000002</v>
      </c>
      <c r="Y4691">
        <v>-0.2839566</v>
      </c>
      <c r="Z4691">
        <v>4.9957270000000002E-3</v>
      </c>
      <c r="AA4691">
        <v>0.95882409999999996</v>
      </c>
      <c r="AB4691">
        <v>25</v>
      </c>
      <c r="AC4691">
        <v>-1.1415</v>
      </c>
      <c r="AD4691">
        <v>-1.126571783225</v>
      </c>
      <c r="AE4691">
        <v>-55.377899999999997</v>
      </c>
      <c r="AF4691">
        <v>-15.7855117935579</v>
      </c>
      <c r="AG4691">
        <v>-1.126571783225</v>
      </c>
      <c r="AH4691">
        <v>53.0687826722029</v>
      </c>
      <c r="AI4691">
        <v>91.165661546701799</v>
      </c>
      <c r="AJ4691">
        <v>106.565310500088</v>
      </c>
      <c r="AK4691">
        <v>55.3782199143022</v>
      </c>
      <c r="AL4691">
        <v>81.775450836630796</v>
      </c>
      <c r="AM4691">
        <v>103.85688617549999</v>
      </c>
      <c r="AN4691">
        <v>0.99999997332658896</v>
      </c>
    </row>
    <row r="4692" spans="1:40" x14ac:dyDescent="0.25">
      <c r="A4692" t="str">
        <f>"20190303162355101"</f>
        <v>20190303162355101</v>
      </c>
      <c r="B4692" t="str">
        <f>"1551601435089650"</f>
        <v>1551601435089650</v>
      </c>
      <c r="C4692" t="s">
        <v>40</v>
      </c>
      <c r="D4692">
        <v>5.1950089999999998</v>
      </c>
      <c r="E4692">
        <v>0.48012539999999998</v>
      </c>
      <c r="F4692" t="s">
        <v>41</v>
      </c>
      <c r="G4692">
        <v>-419.89370000000002</v>
      </c>
      <c r="H4692" s="1">
        <v>-1.6082130000000001E-6</v>
      </c>
      <c r="I4692">
        <v>63.337600000000002</v>
      </c>
      <c r="J4692">
        <v>-418.83699999999999</v>
      </c>
      <c r="K4692">
        <v>1.1265639999999999</v>
      </c>
      <c r="L4692">
        <v>123.5487</v>
      </c>
      <c r="M4692">
        <v>-0.29644880000000001</v>
      </c>
      <c r="N4692">
        <v>-1.343752E-2</v>
      </c>
      <c r="O4692">
        <v>-0.95495430000000003</v>
      </c>
      <c r="P4692">
        <v>-6.5999820000000001E-2</v>
      </c>
      <c r="Q4692">
        <v>0.13444320000000001</v>
      </c>
      <c r="R4692">
        <v>-0.98872110000000002</v>
      </c>
      <c r="S4692">
        <v>-5.6518550000000001E-2</v>
      </c>
      <c r="T4692">
        <v>-5.6617500000000001E-2</v>
      </c>
      <c r="U4692">
        <v>-3.0382539999999998</v>
      </c>
      <c r="V4692">
        <v>-0.23215250000000001</v>
      </c>
      <c r="W4692">
        <v>0.14412749999999999</v>
      </c>
      <c r="X4692">
        <v>0.96194199999999996</v>
      </c>
      <c r="Y4692">
        <v>-0.2785995</v>
      </c>
      <c r="Z4692">
        <v>3.6071620000000001E-3</v>
      </c>
      <c r="AA4692">
        <v>0.96040060000000005</v>
      </c>
      <c r="AB4692">
        <v>25</v>
      </c>
      <c r="AC4692">
        <v>-1.0567000000000299</v>
      </c>
      <c r="AD4692">
        <v>-1.126565608213</v>
      </c>
      <c r="AE4692">
        <v>-60.211100000000002</v>
      </c>
      <c r="AF4692">
        <v>-16.836035248344</v>
      </c>
      <c r="AG4692">
        <v>-1.126565608213</v>
      </c>
      <c r="AH4692">
        <v>57.797094450627199</v>
      </c>
      <c r="AI4692">
        <v>91.072104108190899</v>
      </c>
      <c r="AJ4692">
        <v>106.24060531998801</v>
      </c>
      <c r="AK4692">
        <v>60.209844376877498</v>
      </c>
      <c r="AL4692">
        <v>81.713241793281099</v>
      </c>
      <c r="AM4692">
        <v>103.56816071119501</v>
      </c>
      <c r="AN4692">
        <v>0.99999996543824898</v>
      </c>
    </row>
    <row r="4693" spans="1:40" x14ac:dyDescent="0.25">
      <c r="A4693" t="str">
        <f>"20190303162355123"</f>
        <v>20190303162355123</v>
      </c>
      <c r="B4693" t="str">
        <f>"1551601435110146"</f>
        <v>1551601435110146</v>
      </c>
      <c r="C4693" t="s">
        <v>40</v>
      </c>
      <c r="D4693">
        <v>5.1928349999999996</v>
      </c>
      <c r="E4693">
        <v>0.48053449999999998</v>
      </c>
      <c r="F4693" t="s">
        <v>41</v>
      </c>
      <c r="G4693">
        <v>-419.92950000000002</v>
      </c>
      <c r="H4693" s="1">
        <v>-2.3417859999999998E-6</v>
      </c>
      <c r="I4693">
        <v>55.062390000000001</v>
      </c>
      <c r="J4693">
        <v>-418.90109999999999</v>
      </c>
      <c r="K4693">
        <v>1.126555</v>
      </c>
      <c r="L4693">
        <v>123.3103</v>
      </c>
      <c r="M4693">
        <v>-0.2883269</v>
      </c>
      <c r="N4693">
        <v>-1.343369E-2</v>
      </c>
      <c r="O4693">
        <v>-0.95743809999999996</v>
      </c>
      <c r="P4693">
        <v>-6.3122410000000004E-2</v>
      </c>
      <c r="Q4693">
        <v>0.13529579999999999</v>
      </c>
      <c r="R4693">
        <v>-0.98879280000000003</v>
      </c>
      <c r="S4693">
        <v>-4.8461909999999997E-2</v>
      </c>
      <c r="T4693">
        <v>-4.9970269999999997E-2</v>
      </c>
      <c r="U4693">
        <v>-3.0377960000000002</v>
      </c>
      <c r="V4693">
        <v>-0.22674040000000001</v>
      </c>
      <c r="W4693">
        <v>0.14507629999999999</v>
      </c>
      <c r="X4693">
        <v>0.96308959999999999</v>
      </c>
      <c r="Y4693">
        <v>-0.27298660000000002</v>
      </c>
      <c r="Z4693">
        <v>1.6851870000000001E-3</v>
      </c>
      <c r="AA4693">
        <v>0.96201630000000005</v>
      </c>
      <c r="AB4693">
        <v>25</v>
      </c>
      <c r="AC4693">
        <v>-1.02840000000003</v>
      </c>
      <c r="AD4693">
        <v>-1.126557341786</v>
      </c>
      <c r="AE4693">
        <v>-68.247909999999905</v>
      </c>
      <c r="AF4693">
        <v>-18.6896691679576</v>
      </c>
      <c r="AG4693">
        <v>-1.126557341786</v>
      </c>
      <c r="AH4693">
        <v>65.627691306660594</v>
      </c>
      <c r="AI4693">
        <v>90.945836603351196</v>
      </c>
      <c r="AJ4693">
        <v>105.896066930608</v>
      </c>
      <c r="AK4693">
        <v>68.246367898184701</v>
      </c>
      <c r="AL4693">
        <v>81.658302084975304</v>
      </c>
      <c r="AM4693">
        <v>103.24790890368</v>
      </c>
      <c r="AN4693">
        <v>0.99999995972100397</v>
      </c>
    </row>
    <row r="4694" spans="1:40" x14ac:dyDescent="0.25">
      <c r="A4694" t="str">
        <f>"20190303162355146"</f>
        <v>20190303162355146</v>
      </c>
      <c r="B4694" t="str">
        <f>"1551601435139426"</f>
        <v>1551601435139426</v>
      </c>
      <c r="C4694" t="s">
        <v>40</v>
      </c>
      <c r="D4694">
        <v>5.2501309999999997</v>
      </c>
      <c r="E4694">
        <v>0.4811957</v>
      </c>
      <c r="F4694" t="s">
        <v>41</v>
      </c>
      <c r="G4694">
        <v>-419.8766</v>
      </c>
      <c r="H4694" s="1">
        <v>-1.6147120000000001E-6</v>
      </c>
      <c r="I4694">
        <v>53.345689999999998</v>
      </c>
      <c r="J4694">
        <v>-418.96339999999998</v>
      </c>
      <c r="K4694">
        <v>1.1265240000000001</v>
      </c>
      <c r="L4694">
        <v>123.0702</v>
      </c>
      <c r="M4694">
        <v>-0.28018300000000002</v>
      </c>
      <c r="N4694">
        <v>-1.3428259999999999E-2</v>
      </c>
      <c r="O4694">
        <v>-0.95985290000000001</v>
      </c>
      <c r="P4694">
        <v>-5.9391859999999998E-2</v>
      </c>
      <c r="Q4694">
        <v>0.1354378</v>
      </c>
      <c r="R4694">
        <v>-0.98900449999999995</v>
      </c>
      <c r="S4694">
        <v>-4.2358399999999997E-2</v>
      </c>
      <c r="T4694">
        <v>-4.8917170000000003E-2</v>
      </c>
      <c r="U4694">
        <v>-3.0379939999999999</v>
      </c>
      <c r="V4694">
        <v>-0.22216630000000001</v>
      </c>
      <c r="W4694">
        <v>0.14530899999999999</v>
      </c>
      <c r="X4694">
        <v>0.96411999999999998</v>
      </c>
      <c r="Y4694">
        <v>-0.26674379999999998</v>
      </c>
      <c r="Z4694">
        <v>1.439411E-3</v>
      </c>
      <c r="AA4694">
        <v>0.96376640000000002</v>
      </c>
      <c r="AB4694">
        <v>25</v>
      </c>
      <c r="AC4694">
        <v>-0.913200000000017</v>
      </c>
      <c r="AD4694">
        <v>-1.126525614712</v>
      </c>
      <c r="AE4694">
        <v>-69.724509999999995</v>
      </c>
      <c r="AF4694">
        <v>-18.6558941532403</v>
      </c>
      <c r="AG4694">
        <v>-1.126525614712</v>
      </c>
      <c r="AH4694">
        <v>67.169648768782096</v>
      </c>
      <c r="AI4694">
        <v>90.925798607225502</v>
      </c>
      <c r="AJ4694">
        <v>105.522256659623</v>
      </c>
      <c r="AK4694">
        <v>69.721396732560294</v>
      </c>
      <c r="AL4694">
        <v>81.6448266682427</v>
      </c>
      <c r="AM4694">
        <v>102.97639464565999</v>
      </c>
      <c r="AN4694">
        <v>0.99999997236834404</v>
      </c>
    </row>
    <row r="4695" spans="1:40" x14ac:dyDescent="0.25">
      <c r="A4695" t="str">
        <f>"20190303162355167"</f>
        <v>20190303162355167</v>
      </c>
      <c r="B4695" t="str">
        <f>"1551601435159453"</f>
        <v>1551601435159453</v>
      </c>
      <c r="C4695" t="s">
        <v>40</v>
      </c>
      <c r="D4695">
        <v>5.189514</v>
      </c>
      <c r="E4695">
        <v>0.48174650000000002</v>
      </c>
      <c r="F4695" t="s">
        <v>41</v>
      </c>
      <c r="G4695">
        <v>-419.78620000000001</v>
      </c>
      <c r="H4695" s="1">
        <v>-2.31068E-6</v>
      </c>
      <c r="I4695">
        <v>54.930599999999998</v>
      </c>
      <c r="J4695">
        <v>-419.02260000000001</v>
      </c>
      <c r="K4695">
        <v>1.1264730000000001</v>
      </c>
      <c r="L4695">
        <v>122.8339</v>
      </c>
      <c r="M4695">
        <v>-0.2722116</v>
      </c>
      <c r="N4695">
        <v>-1.3421270000000001E-2</v>
      </c>
      <c r="O4695">
        <v>-0.962144</v>
      </c>
      <c r="P4695">
        <v>-5.4461639999999999E-2</v>
      </c>
      <c r="Q4695">
        <v>0.13528479999999901</v>
      </c>
      <c r="R4695">
        <v>-0.98930910000000005</v>
      </c>
      <c r="S4695">
        <v>-3.668213E-2</v>
      </c>
      <c r="T4695">
        <v>-5.0226569999999998E-2</v>
      </c>
      <c r="U4695">
        <v>-3.0380250000000002</v>
      </c>
      <c r="V4695">
        <v>-0.2189557</v>
      </c>
      <c r="W4695">
        <v>0.14522639999999901</v>
      </c>
      <c r="X4695">
        <v>0.96486669999999997</v>
      </c>
      <c r="Y4695">
        <v>-0.26054519999999998</v>
      </c>
      <c r="Z4695">
        <v>1.9100269999999999E-3</v>
      </c>
      <c r="AA4695">
        <v>0.96545979999999998</v>
      </c>
      <c r="AB4695">
        <v>25</v>
      </c>
      <c r="AC4695">
        <v>-0.76359999999999595</v>
      </c>
      <c r="AD4695">
        <v>-1.1264753106799901</v>
      </c>
      <c r="AE4695">
        <v>-67.903300000000002</v>
      </c>
      <c r="AF4695">
        <v>-17.7460851273005</v>
      </c>
      <c r="AG4695">
        <v>-1.1264753106799901</v>
      </c>
      <c r="AH4695">
        <v>65.528473600495701</v>
      </c>
      <c r="AI4695">
        <v>90.950617068623899</v>
      </c>
      <c r="AJ4695">
        <v>105.153082522792</v>
      </c>
      <c r="AK4695">
        <v>67.8982572411239</v>
      </c>
      <c r="AL4695">
        <v>81.649610501848699</v>
      </c>
      <c r="AM4695">
        <v>102.785507613446</v>
      </c>
      <c r="AN4695">
        <v>1.00000002729416</v>
      </c>
    </row>
    <row r="4696" spans="1:40" x14ac:dyDescent="0.25">
      <c r="A4696" t="str">
        <f>"20190303162355189"</f>
        <v>20190303162355189</v>
      </c>
      <c r="B4696" t="str">
        <f>"1551601435179949"</f>
        <v>1551601435179949</v>
      </c>
      <c r="C4696" t="s">
        <v>40</v>
      </c>
      <c r="D4696">
        <v>5.1962539999999997</v>
      </c>
      <c r="E4696">
        <v>0.48200009999999999</v>
      </c>
      <c r="F4696" t="s">
        <v>41</v>
      </c>
      <c r="G4696">
        <v>-419.6103</v>
      </c>
      <c r="H4696" s="1">
        <v>-2.8549680000000002E-6</v>
      </c>
      <c r="I4696">
        <v>56.126649999999998</v>
      </c>
      <c r="J4696">
        <v>-419.08010000000002</v>
      </c>
      <c r="K4696">
        <v>1.126401</v>
      </c>
      <c r="L4696">
        <v>122.5968</v>
      </c>
      <c r="M4696">
        <v>-0.2642854</v>
      </c>
      <c r="N4696">
        <v>-1.341286E-2</v>
      </c>
      <c r="O4696">
        <v>-0.96435150000000003</v>
      </c>
      <c r="P4696">
        <v>-4.7997989999999997E-2</v>
      </c>
      <c r="Q4696">
        <v>0.13475889999999999</v>
      </c>
      <c r="R4696">
        <v>-0.98971580000000003</v>
      </c>
      <c r="S4696">
        <v>-2.676392E-2</v>
      </c>
      <c r="T4696">
        <v>-5.1301720000000002E-2</v>
      </c>
      <c r="U4696">
        <v>-3.0379640000000001</v>
      </c>
      <c r="V4696">
        <v>-0.21730650000000001</v>
      </c>
      <c r="W4696">
        <v>0.1447513</v>
      </c>
      <c r="X4696">
        <v>0.96531080000000002</v>
      </c>
      <c r="Y4696">
        <v>-0.25574950000000002</v>
      </c>
      <c r="Z4696">
        <v>2.3066330000000002E-3</v>
      </c>
      <c r="AA4696">
        <v>0.9667403</v>
      </c>
      <c r="AB4696">
        <v>25</v>
      </c>
      <c r="AC4696">
        <v>-0.53019999999997902</v>
      </c>
      <c r="AD4696">
        <v>-1.126403854968</v>
      </c>
      <c r="AE4696">
        <v>-66.470150000000004</v>
      </c>
      <c r="AF4696">
        <v>-17.052424639777598</v>
      </c>
      <c r="AG4696">
        <v>-1.126403854968</v>
      </c>
      <c r="AH4696">
        <v>64.228033507585295</v>
      </c>
      <c r="AI4696">
        <v>90.9710897894564</v>
      </c>
      <c r="AJ4696">
        <v>104.868893295937</v>
      </c>
      <c r="AK4696">
        <v>66.462728351996503</v>
      </c>
      <c r="AL4696">
        <v>81.677122184595106</v>
      </c>
      <c r="AM4696">
        <v>102.686686449891</v>
      </c>
      <c r="AN4696">
        <v>0.99999999719528998</v>
      </c>
    </row>
    <row r="4697" spans="1:40" x14ac:dyDescent="0.25">
      <c r="A4697" t="str">
        <f>"20190303162355212"</f>
        <v>20190303162355212</v>
      </c>
      <c r="B4697" t="str">
        <f>"1551601435199469"</f>
        <v>1551601435199469</v>
      </c>
      <c r="C4697" t="s">
        <v>40</v>
      </c>
      <c r="D4697">
        <v>5.2514789999999998</v>
      </c>
      <c r="E4697">
        <v>0.48215219999999998</v>
      </c>
      <c r="F4697" t="s">
        <v>41</v>
      </c>
      <c r="G4697">
        <v>-419.31279999999998</v>
      </c>
      <c r="H4697" s="1">
        <v>-3.6703799999999999E-6</v>
      </c>
      <c r="I4697">
        <v>57.904359999999997</v>
      </c>
      <c r="J4697">
        <v>-419.13639999999998</v>
      </c>
      <c r="K4697">
        <v>1.126314</v>
      </c>
      <c r="L4697">
        <v>122.3561</v>
      </c>
      <c r="M4697">
        <v>-0.25635469999999999</v>
      </c>
      <c r="N4697">
        <v>-1.340175E-2</v>
      </c>
      <c r="O4697">
        <v>-0.96648990000000001</v>
      </c>
      <c r="P4697">
        <v>-4.0856120000000003E-2</v>
      </c>
      <c r="Q4697">
        <v>0.13419439999999999</v>
      </c>
      <c r="R4697">
        <v>-0.99011249999999995</v>
      </c>
      <c r="S4697">
        <v>-1.0925290000000001E-2</v>
      </c>
      <c r="T4697">
        <v>-5.2893999999999997E-2</v>
      </c>
      <c r="U4697">
        <v>-3.0378419999999999</v>
      </c>
      <c r="V4697">
        <v>-0.2163216</v>
      </c>
      <c r="W4697">
        <v>0.1442379</v>
      </c>
      <c r="X4697">
        <v>0.96560880000000004</v>
      </c>
      <c r="Y4697">
        <v>-0.25284659999999998</v>
      </c>
      <c r="Z4697">
        <v>2.8586219999999999E-3</v>
      </c>
      <c r="AA4697">
        <v>0.96750219999999998</v>
      </c>
      <c r="AB4697">
        <v>25</v>
      </c>
      <c r="AC4697">
        <v>-0.176400000000001</v>
      </c>
      <c r="AD4697">
        <v>-1.12631767038</v>
      </c>
      <c r="AE4697">
        <v>-64.451740000000001</v>
      </c>
      <c r="AF4697">
        <v>-16.348493177816401</v>
      </c>
      <c r="AG4697">
        <v>-1.12631767038</v>
      </c>
      <c r="AH4697">
        <v>62.323740705856103</v>
      </c>
      <c r="AI4697">
        <v>91.001464672781097</v>
      </c>
      <c r="AJ4697">
        <v>104.698422414539</v>
      </c>
      <c r="AK4697">
        <v>64.442148290156396</v>
      </c>
      <c r="AL4697">
        <v>81.706849672996299</v>
      </c>
      <c r="AM4697">
        <v>102.627262333875</v>
      </c>
      <c r="AN4697">
        <v>0.999999980530204</v>
      </c>
    </row>
    <row r="4698" spans="1:40" x14ac:dyDescent="0.25">
      <c r="A4698" t="str">
        <f>"20190303162355234"</f>
        <v>20190303162355234</v>
      </c>
      <c r="B4698" t="str">
        <f>"1551601435229725"</f>
        <v>1551601435229725</v>
      </c>
      <c r="C4698" t="s">
        <v>40</v>
      </c>
      <c r="D4698">
        <v>5.1942969999999997</v>
      </c>
      <c r="E4698">
        <v>0.48623830000000001</v>
      </c>
      <c r="F4698" t="s">
        <v>41</v>
      </c>
      <c r="G4698">
        <v>-418.98919999999998</v>
      </c>
      <c r="H4698" s="1">
        <v>-5.5629070000000001E-7</v>
      </c>
      <c r="I4698">
        <v>60.492400000000004</v>
      </c>
      <c r="J4698">
        <v>-419.19200000000001</v>
      </c>
      <c r="K4698">
        <v>1.1261969999999999</v>
      </c>
      <c r="L4698">
        <v>122.11069999999999</v>
      </c>
      <c r="M4698">
        <v>-0.24842110000000001</v>
      </c>
      <c r="N4698">
        <v>-1.3386810000000001E-2</v>
      </c>
      <c r="O4698">
        <v>-0.96855970000000002</v>
      </c>
      <c r="P4698">
        <v>-3.5162289999999999E-2</v>
      </c>
      <c r="Q4698">
        <v>0.1328249</v>
      </c>
      <c r="R4698">
        <v>-0.99051560000000005</v>
      </c>
      <c r="S4698">
        <v>7.2326659999999996E-3</v>
      </c>
      <c r="T4698">
        <v>-5.5306429999999997E-2</v>
      </c>
      <c r="U4698">
        <v>-3.03775</v>
      </c>
      <c r="V4698">
        <v>-0.2139384</v>
      </c>
      <c r="W4698">
        <v>0.14295439999999901</v>
      </c>
      <c r="X4698">
        <v>0.96633040000000003</v>
      </c>
      <c r="Y4698">
        <v>-0.25069469999999999</v>
      </c>
      <c r="Z4698">
        <v>3.6663749999999999E-3</v>
      </c>
      <c r="AA4698">
        <v>0.96805920000000001</v>
      </c>
      <c r="AB4698">
        <v>25</v>
      </c>
      <c r="AC4698">
        <v>0.20279999999996701</v>
      </c>
      <c r="AD4698">
        <v>-1.1261975562906901</v>
      </c>
      <c r="AE4698">
        <v>-61.618299999999898</v>
      </c>
      <c r="AF4698">
        <v>-15.4999203710359</v>
      </c>
      <c r="AG4698">
        <v>-1.1261975562906901</v>
      </c>
      <c r="AH4698">
        <v>59.616047502438803</v>
      </c>
      <c r="AI4698">
        <v>91.047422297685898</v>
      </c>
      <c r="AJ4698">
        <v>104.573989359566</v>
      </c>
      <c r="AK4698">
        <v>61.608351481412797</v>
      </c>
      <c r="AL4698">
        <v>81.781159259109003</v>
      </c>
      <c r="AM4698">
        <v>102.483502810543</v>
      </c>
      <c r="AN4698">
        <v>1.00000002071903</v>
      </c>
    </row>
    <row r="4699" spans="1:40" x14ac:dyDescent="0.25">
      <c r="A4699" t="str">
        <f>"20190303162355256"</f>
        <v>20190303162355256</v>
      </c>
      <c r="B4699" t="str">
        <f>"1551601435249245"</f>
        <v>1551601435249245</v>
      </c>
      <c r="C4699" t="s">
        <v>40</v>
      </c>
      <c r="D4699">
        <v>5.2552820000000002</v>
      </c>
      <c r="E4699">
        <v>0.4863749</v>
      </c>
      <c r="F4699" t="s">
        <v>41</v>
      </c>
      <c r="G4699">
        <v>-419.33339999999998</v>
      </c>
      <c r="H4699" s="1">
        <v>-1.5106420000000001E-6</v>
      </c>
      <c r="I4699">
        <v>72.878500000000003</v>
      </c>
      <c r="J4699">
        <v>-419.24430000000001</v>
      </c>
      <c r="K4699">
        <v>1.12606299999999</v>
      </c>
      <c r="L4699">
        <v>121.87179999999999</v>
      </c>
      <c r="M4699">
        <v>-0.24086869999999999</v>
      </c>
      <c r="N4699">
        <v>-1.3369209999999999E-2</v>
      </c>
      <c r="O4699">
        <v>-0.97046569999999999</v>
      </c>
      <c r="P4699">
        <v>-3.1777930000000003E-2</v>
      </c>
      <c r="Q4699">
        <v>0.13071350000000001</v>
      </c>
      <c r="R4699">
        <v>-0.99091090000000004</v>
      </c>
      <c r="S4699">
        <v>-8.7280269999999993E-3</v>
      </c>
      <c r="T4699">
        <v>-6.9489239999999994E-2</v>
      </c>
      <c r="U4699">
        <v>-3.03775</v>
      </c>
      <c r="V4699">
        <v>-0.2096962</v>
      </c>
      <c r="W4699">
        <v>0.1409658</v>
      </c>
      <c r="X4699">
        <v>0.96755159999999996</v>
      </c>
      <c r="Y4699">
        <v>-0.23804169999999999</v>
      </c>
      <c r="Z4699">
        <v>8.1675800000000007E-3</v>
      </c>
      <c r="AA4699">
        <v>0.97122059999999999</v>
      </c>
      <c r="AB4699">
        <v>25</v>
      </c>
      <c r="AC4699">
        <v>-8.9099999999973506E-2</v>
      </c>
      <c r="AD4699">
        <v>-1.12606451064199</v>
      </c>
      <c r="AE4699">
        <v>-48.993299999999898</v>
      </c>
      <c r="AF4699">
        <v>-11.709344561849401</v>
      </c>
      <c r="AG4699">
        <v>-1.12606451064199</v>
      </c>
      <c r="AH4699">
        <v>47.5469094600939</v>
      </c>
      <c r="AI4699">
        <v>91.317350429003397</v>
      </c>
      <c r="AJ4699">
        <v>103.83488842003899</v>
      </c>
      <c r="AK4699">
        <v>48.980459068455197</v>
      </c>
      <c r="AL4699">
        <v>81.896263029111694</v>
      </c>
      <c r="AM4699">
        <v>102.22851748419301</v>
      </c>
      <c r="AN4699">
        <v>0.99999997586331901</v>
      </c>
    </row>
    <row r="4700" spans="1:40" x14ac:dyDescent="0.25">
      <c r="A4700" t="str">
        <f>"20190303162355278"</f>
        <v>20190303162355278</v>
      </c>
      <c r="B4700" t="str">
        <f>"1551601435269272"</f>
        <v>1551601435269272</v>
      </c>
      <c r="C4700" t="s">
        <v>40</v>
      </c>
      <c r="D4700">
        <v>5.3143060000000002</v>
      </c>
      <c r="E4700">
        <v>0.48134700000000002</v>
      </c>
      <c r="F4700" t="s">
        <v>41</v>
      </c>
      <c r="G4700">
        <v>-419.22460000000001</v>
      </c>
      <c r="H4700" s="1">
        <v>-2.5931440000000002E-6</v>
      </c>
      <c r="I4700">
        <v>75.356849999999994</v>
      </c>
      <c r="J4700">
        <v>-419.29349999999999</v>
      </c>
      <c r="K4700">
        <v>1.1259269999999999</v>
      </c>
      <c r="L4700">
        <v>121.639</v>
      </c>
      <c r="M4700">
        <v>-0.2336876</v>
      </c>
      <c r="N4700">
        <v>-1.3350509999999999E-2</v>
      </c>
      <c r="O4700">
        <v>-0.97222039999999998</v>
      </c>
      <c r="P4700">
        <v>-3.015905E-2</v>
      </c>
      <c r="Q4700">
        <v>0.13055039999999901</v>
      </c>
      <c r="R4700">
        <v>-0.9909829</v>
      </c>
      <c r="S4700">
        <v>1.2817379999999999E-3</v>
      </c>
      <c r="T4700">
        <v>-7.3528170000000004E-2</v>
      </c>
      <c r="U4700">
        <v>-3.0372620000000001</v>
      </c>
      <c r="V4700">
        <v>-0.2040651</v>
      </c>
      <c r="W4700">
        <v>0.1409427</v>
      </c>
      <c r="X4700">
        <v>0.96875829999999996</v>
      </c>
      <c r="Y4700">
        <v>-0.2340584</v>
      </c>
      <c r="Z4700">
        <v>9.5108950000000001E-3</v>
      </c>
      <c r="AA4700">
        <v>0.97217600000000004</v>
      </c>
      <c r="AB4700">
        <v>25</v>
      </c>
      <c r="AC4700">
        <v>6.8899999999985001E-2</v>
      </c>
      <c r="AD4700">
        <v>-1.1259295931440001</v>
      </c>
      <c r="AE4700">
        <v>-46.282150000000001</v>
      </c>
      <c r="AF4700">
        <v>-10.877079693326101</v>
      </c>
      <c r="AG4700">
        <v>-1.1259295931440001</v>
      </c>
      <c r="AH4700">
        <v>44.957736901582102</v>
      </c>
      <c r="AI4700">
        <v>91.394411819941197</v>
      </c>
      <c r="AJ4700">
        <v>103.600792775336</v>
      </c>
      <c r="AK4700">
        <v>46.268528044617597</v>
      </c>
      <c r="AL4700">
        <v>81.897600324149806</v>
      </c>
      <c r="AM4700">
        <v>101.895226467491</v>
      </c>
      <c r="AN4700">
        <v>1.0000000267700899</v>
      </c>
    </row>
    <row r="4701" spans="1:40" x14ac:dyDescent="0.25">
      <c r="A4701" t="str">
        <f>"20190303162355302"</f>
        <v>20190303162355302</v>
      </c>
      <c r="B4701" t="str">
        <f>"1551601435289768"</f>
        <v>1551601435289768</v>
      </c>
      <c r="C4701" t="s">
        <v>40</v>
      </c>
      <c r="D4701">
        <v>5.3069689999999996</v>
      </c>
      <c r="E4701">
        <v>0.483904</v>
      </c>
      <c r="F4701" t="s">
        <v>41</v>
      </c>
      <c r="G4701">
        <v>-418.68360000000001</v>
      </c>
      <c r="H4701" s="1">
        <v>-1.816736E-6</v>
      </c>
      <c r="I4701">
        <v>83.323300000000003</v>
      </c>
      <c r="J4701">
        <v>-419.34570000000002</v>
      </c>
      <c r="K4701">
        <v>1.125783</v>
      </c>
      <c r="L4701">
        <v>121.384</v>
      </c>
      <c r="M4701">
        <v>-0.22601250000000001</v>
      </c>
      <c r="N4701">
        <v>-1.3329779999999999E-2</v>
      </c>
      <c r="O4701">
        <v>-0.97403320000000004</v>
      </c>
      <c r="P4701">
        <v>-2.716996E-2</v>
      </c>
      <c r="Q4701">
        <v>0.13113079999999999</v>
      </c>
      <c r="R4701">
        <v>-0.99099269999999995</v>
      </c>
      <c r="S4701">
        <v>4.840088E-2</v>
      </c>
      <c r="T4701">
        <v>-8.9347599999999999E-2</v>
      </c>
      <c r="U4701">
        <v>-3.040527</v>
      </c>
      <c r="V4701">
        <v>-0.19927329999999999</v>
      </c>
      <c r="W4701">
        <v>0.14164789999999999</v>
      </c>
      <c r="X4701">
        <v>0.96965250000000003</v>
      </c>
      <c r="Y4701">
        <v>-0.24143609999999999</v>
      </c>
      <c r="Z4701">
        <v>1.4445019999999999E-2</v>
      </c>
      <c r="AA4701">
        <v>0.97030919999999998</v>
      </c>
      <c r="AB4701">
        <v>25</v>
      </c>
      <c r="AC4701">
        <v>0.66210000000000901</v>
      </c>
      <c r="AD4701">
        <v>-1.1257848167360001</v>
      </c>
      <c r="AE4701">
        <v>-38.060699999999997</v>
      </c>
      <c r="AF4701">
        <v>-9.2398414703246594</v>
      </c>
      <c r="AG4701">
        <v>-1.1257848167360001</v>
      </c>
      <c r="AH4701">
        <v>36.893754610084002</v>
      </c>
      <c r="AI4701">
        <v>91.695463474757403</v>
      </c>
      <c r="AJ4701">
        <v>104.060215996498</v>
      </c>
      <c r="AK4701">
        <v>38.049851393657498</v>
      </c>
      <c r="AL4701">
        <v>81.856785430254106</v>
      </c>
      <c r="AM4701">
        <v>101.61316661121199</v>
      </c>
      <c r="AN4701">
        <v>0.99999997321177403</v>
      </c>
    </row>
    <row r="4702" spans="1:40" x14ac:dyDescent="0.25">
      <c r="A4702" t="str">
        <f>"20190303162355324"</f>
        <v>20190303162355324</v>
      </c>
      <c r="B4702" t="str">
        <f>"1551601435310265"</f>
        <v>1551601435310265</v>
      </c>
      <c r="C4702" t="s">
        <v>40</v>
      </c>
      <c r="D4702">
        <v>5.2419520000000004</v>
      </c>
      <c r="E4702">
        <v>0.48396879999999998</v>
      </c>
      <c r="F4702" t="s">
        <v>41</v>
      </c>
      <c r="G4702">
        <v>-418.89620000000002</v>
      </c>
      <c r="H4702" s="1">
        <v>-3.046702E-6</v>
      </c>
      <c r="I4702">
        <v>86.278310000000005</v>
      </c>
      <c r="J4702">
        <v>-419.39330000000001</v>
      </c>
      <c r="K4702">
        <v>1.1256630000000001</v>
      </c>
      <c r="L4702">
        <v>121.1426</v>
      </c>
      <c r="M4702">
        <v>-0.218946</v>
      </c>
      <c r="N4702">
        <v>-1.3310199999999999E-2</v>
      </c>
      <c r="O4702">
        <v>-0.97564620000000002</v>
      </c>
      <c r="P4702">
        <v>-2.4174939999999999E-2</v>
      </c>
      <c r="Q4702">
        <v>0.13279659999999999</v>
      </c>
      <c r="R4702">
        <v>-0.99084850000000002</v>
      </c>
      <c r="S4702">
        <v>3.8940429999999998E-2</v>
      </c>
      <c r="T4702">
        <v>-9.7527619999999995E-2</v>
      </c>
      <c r="U4702">
        <v>-3.041229</v>
      </c>
      <c r="V4702">
        <v>-0.1950915</v>
      </c>
      <c r="W4702">
        <v>0.14341590000000001</v>
      </c>
      <c r="X4702">
        <v>0.97024290000000002</v>
      </c>
      <c r="Y4702">
        <v>-0.23136599999999999</v>
      </c>
      <c r="Z4702">
        <v>1.7123860000000001E-2</v>
      </c>
      <c r="AA4702">
        <v>0.97271609999999997</v>
      </c>
      <c r="AB4702">
        <v>25</v>
      </c>
      <c r="AC4702">
        <v>0.497099999999989</v>
      </c>
      <c r="AD4702">
        <v>-1.1256660467020001</v>
      </c>
      <c r="AE4702">
        <v>-34.864289999999997</v>
      </c>
      <c r="AF4702">
        <v>-8.1106564328069997</v>
      </c>
      <c r="AG4702">
        <v>-1.1256660467020001</v>
      </c>
      <c r="AH4702">
        <v>33.874072477376203</v>
      </c>
      <c r="AI4702">
        <v>91.851008920739702</v>
      </c>
      <c r="AJ4702">
        <v>103.46514894142</v>
      </c>
      <c r="AK4702">
        <v>34.849715321968802</v>
      </c>
      <c r="AL4702">
        <v>81.754442197874198</v>
      </c>
      <c r="AM4702">
        <v>101.369139043242</v>
      </c>
      <c r="AN4702">
        <v>1.0000000493727299</v>
      </c>
    </row>
    <row r="4703" spans="1:40" x14ac:dyDescent="0.25">
      <c r="A4703" t="str">
        <f>"20190303162355348"</f>
        <v>20190303162355348</v>
      </c>
      <c r="B4703" t="str">
        <f>"1551601435339544"</f>
        <v>1551601435339544</v>
      </c>
      <c r="C4703" t="s">
        <v>40</v>
      </c>
      <c r="D4703">
        <v>5.3083159999999996</v>
      </c>
      <c r="E4703">
        <v>0.4841588</v>
      </c>
      <c r="F4703" t="s">
        <v>41</v>
      </c>
      <c r="G4703">
        <v>-418.76920000000001</v>
      </c>
      <c r="H4703" s="1">
        <v>-1.648417E-6</v>
      </c>
      <c r="I4703">
        <v>82.966369999999998</v>
      </c>
      <c r="J4703">
        <v>-419.4418</v>
      </c>
      <c r="K4703">
        <v>1.125556</v>
      </c>
      <c r="L4703">
        <v>120.8875</v>
      </c>
      <c r="M4703">
        <v>-0.21166450000000001</v>
      </c>
      <c r="N4703">
        <v>-1.328999E-2</v>
      </c>
      <c r="O4703">
        <v>-0.97725229999999996</v>
      </c>
      <c r="P4703">
        <v>-2.2068279999999999E-2</v>
      </c>
      <c r="Q4703">
        <v>0.1341551</v>
      </c>
      <c r="R4703">
        <v>-0.99071480000000001</v>
      </c>
      <c r="S4703">
        <v>4.9713130000000001E-2</v>
      </c>
      <c r="T4703">
        <v>-8.966565E-2</v>
      </c>
      <c r="U4703">
        <v>-3.0409549999999999</v>
      </c>
      <c r="V4703">
        <v>-0.1898416</v>
      </c>
      <c r="W4703">
        <v>0.14488239999999999</v>
      </c>
      <c r="X4703">
        <v>0.97106610000000004</v>
      </c>
      <c r="Y4703">
        <v>-0.22756190000000001</v>
      </c>
      <c r="Z4703">
        <v>1.477239E-2</v>
      </c>
      <c r="AA4703">
        <v>0.97365159999999995</v>
      </c>
      <c r="AB4703">
        <v>25</v>
      </c>
      <c r="AC4703">
        <v>0.67259999999998799</v>
      </c>
      <c r="AD4703">
        <v>-1.125557648417</v>
      </c>
      <c r="AE4703">
        <v>-37.921129999999998</v>
      </c>
      <c r="AF4703">
        <v>-8.6769795897264501</v>
      </c>
      <c r="AG4703">
        <v>-1.125557648417</v>
      </c>
      <c r="AH4703">
        <v>36.886909598910599</v>
      </c>
      <c r="AI4703">
        <v>91.701357000723704</v>
      </c>
      <c r="AJ4703">
        <v>103.237144656016</v>
      </c>
      <c r="AK4703">
        <v>37.910433320903103</v>
      </c>
      <c r="AL4703">
        <v>81.669531181482199</v>
      </c>
      <c r="AM4703">
        <v>101.06170129031</v>
      </c>
      <c r="AN4703">
        <v>1.00000005674476</v>
      </c>
    </row>
    <row r="4704" spans="1:40" x14ac:dyDescent="0.25">
      <c r="A4704" t="str">
        <f>"20190303162355368"</f>
        <v>20190303162355368</v>
      </c>
      <c r="B4704" t="str">
        <f>"1551601435359572"</f>
        <v>1551601435359572</v>
      </c>
      <c r="C4704" t="s">
        <v>40</v>
      </c>
      <c r="D4704">
        <v>5.2413550000000004</v>
      </c>
      <c r="E4704">
        <v>0.48422349999999997</v>
      </c>
      <c r="F4704" t="s">
        <v>41</v>
      </c>
      <c r="G4704">
        <v>-418.7158</v>
      </c>
      <c r="H4704" s="1">
        <v>-1.1304589999999999E-6</v>
      </c>
      <c r="I4704">
        <v>81.736879999999999</v>
      </c>
      <c r="J4704">
        <v>-419.48250000000002</v>
      </c>
      <c r="K4704">
        <v>1.1254770000000001</v>
      </c>
      <c r="L4704">
        <v>120.6661</v>
      </c>
      <c r="M4704">
        <v>-0.20545669999999999</v>
      </c>
      <c r="N4704">
        <v>-1.327333E-2</v>
      </c>
      <c r="O4704">
        <v>-0.97857620000000001</v>
      </c>
      <c r="P4704">
        <v>-2.4065799999999998E-2</v>
      </c>
      <c r="Q4704">
        <v>0.13442479999999901</v>
      </c>
      <c r="R4704">
        <v>-0.99063129999999999</v>
      </c>
      <c r="S4704">
        <v>5.6396479999999999E-2</v>
      </c>
      <c r="T4704">
        <v>-8.7432620000000003E-2</v>
      </c>
      <c r="U4704">
        <v>-3.0411990000000002</v>
      </c>
      <c r="V4704">
        <v>-0.1816634</v>
      </c>
      <c r="W4704">
        <v>0.14528820000000001</v>
      </c>
      <c r="X4704">
        <v>0.97256860000000001</v>
      </c>
      <c r="Y4704">
        <v>-0.2235192</v>
      </c>
      <c r="Z4704">
        <v>1.415551E-2</v>
      </c>
      <c r="AA4704">
        <v>0.97459669999999998</v>
      </c>
      <c r="AB4704">
        <v>25</v>
      </c>
      <c r="AC4704">
        <v>0.76670000000001404</v>
      </c>
      <c r="AD4704">
        <v>-1.125478130459</v>
      </c>
      <c r="AE4704">
        <v>-38.929220000000001</v>
      </c>
      <c r="AF4704">
        <v>-8.7420100624129393</v>
      </c>
      <c r="AG4704">
        <v>-1.125478130459</v>
      </c>
      <c r="AH4704">
        <v>37.909352780452998</v>
      </c>
      <c r="AI4704">
        <v>91.657071989512502</v>
      </c>
      <c r="AJ4704">
        <v>102.98557310978001</v>
      </c>
      <c r="AK4704">
        <v>38.920540453420102</v>
      </c>
      <c r="AL4704">
        <v>81.646031156618605</v>
      </c>
      <c r="AM4704">
        <v>100.580198747895</v>
      </c>
      <c r="AN4704">
        <v>0.99999996683237902</v>
      </c>
    </row>
    <row r="4705" spans="1:40" x14ac:dyDescent="0.25">
      <c r="A4705" t="str">
        <f>"20190303162355390"</f>
        <v>20190303162355390</v>
      </c>
      <c r="B4705" t="str">
        <f>"1551601435380068"</f>
        <v>1551601435380068</v>
      </c>
      <c r="C4705" t="s">
        <v>40</v>
      </c>
      <c r="D4705">
        <v>5.3062180000000003</v>
      </c>
      <c r="E4705">
        <v>0.4842844</v>
      </c>
      <c r="F4705" t="s">
        <v>41</v>
      </c>
      <c r="G4705">
        <v>-418.8143</v>
      </c>
      <c r="H4705" s="1">
        <v>-7.8904770000000001E-7</v>
      </c>
      <c r="I4705">
        <v>80.981769999999997</v>
      </c>
      <c r="J4705">
        <v>-419.52569999999997</v>
      </c>
      <c r="K4705">
        <v>1.1254090000000001</v>
      </c>
      <c r="L4705">
        <v>120.4218</v>
      </c>
      <c r="M4705">
        <v>-0.1987129</v>
      </c>
      <c r="N4705">
        <v>-1.325643E-2</v>
      </c>
      <c r="O4705">
        <v>-0.97996819999999896</v>
      </c>
      <c r="P4705">
        <v>-2.676916E-2</v>
      </c>
      <c r="Q4705">
        <v>0.1337276</v>
      </c>
      <c r="R4705">
        <v>-0.99065669999999995</v>
      </c>
      <c r="S4705">
        <v>5.1208499999999997E-2</v>
      </c>
      <c r="T4705">
        <v>-8.6254120000000004E-2</v>
      </c>
      <c r="U4705">
        <v>-3.0413209999999999</v>
      </c>
      <c r="V4705">
        <v>-0.17226929999999999</v>
      </c>
      <c r="W4705">
        <v>0.14473759999999999</v>
      </c>
      <c r="X4705">
        <v>0.97435839999999996</v>
      </c>
      <c r="Y4705">
        <v>-0.2151392</v>
      </c>
      <c r="Z4705">
        <v>1.389103E-2</v>
      </c>
      <c r="AA4705">
        <v>0.97648460000000004</v>
      </c>
      <c r="AB4705">
        <v>25</v>
      </c>
      <c r="AC4705">
        <v>0.71139999999996895</v>
      </c>
      <c r="AD4705">
        <v>-1.1254097890476999</v>
      </c>
      <c r="AE4705">
        <v>-39.44003</v>
      </c>
      <c r="AF4705">
        <v>-8.5281994963325403</v>
      </c>
      <c r="AG4705">
        <v>-1.1254097890476999</v>
      </c>
      <c r="AH4705">
        <v>38.480668714907701</v>
      </c>
      <c r="AI4705">
        <v>91.635538679501195</v>
      </c>
      <c r="AJ4705">
        <v>102.496083843938</v>
      </c>
      <c r="AK4705">
        <v>39.430427319381202</v>
      </c>
      <c r="AL4705">
        <v>81.6779154149135</v>
      </c>
      <c r="AM4705">
        <v>100.02643860169501</v>
      </c>
      <c r="AN4705">
        <v>0.99999998811340396</v>
      </c>
    </row>
    <row r="4706" spans="1:40" x14ac:dyDescent="0.25">
      <c r="A4706" t="str">
        <f>"20190303162355413"</f>
        <v>20190303162355413</v>
      </c>
      <c r="B4706" t="str">
        <f>"1551601435399588"</f>
        <v>1551601435399588</v>
      </c>
      <c r="C4706" t="s">
        <v>40</v>
      </c>
      <c r="D4706">
        <v>5.3638789999999998</v>
      </c>
      <c r="E4706">
        <v>0.48441899999999899</v>
      </c>
      <c r="F4706" t="s">
        <v>41</v>
      </c>
      <c r="G4706">
        <v>-418.96550000000002</v>
      </c>
      <c r="H4706" s="1">
        <v>-1.242401E-6</v>
      </c>
      <c r="I4706">
        <v>82.101100000000002</v>
      </c>
      <c r="J4706">
        <v>-419.56720000000001</v>
      </c>
      <c r="K4706">
        <v>1.1253420000000001</v>
      </c>
      <c r="L4706">
        <v>120.1786</v>
      </c>
      <c r="M4706">
        <v>-0.19210540000000001</v>
      </c>
      <c r="N4706">
        <v>-1.324066E-2</v>
      </c>
      <c r="O4706">
        <v>-0.98128490000000002</v>
      </c>
      <c r="P4706">
        <v>-2.5296099999999998E-2</v>
      </c>
      <c r="Q4706">
        <v>0.13386909999999999</v>
      </c>
      <c r="R4706">
        <v>-0.990676</v>
      </c>
      <c r="S4706">
        <v>4.4464110000000001E-2</v>
      </c>
      <c r="T4706">
        <v>-8.932495E-2</v>
      </c>
      <c r="U4706">
        <v>-3.04155</v>
      </c>
      <c r="V4706">
        <v>-0.1671134</v>
      </c>
      <c r="W4706">
        <v>0.14496220000000001</v>
      </c>
      <c r="X4706">
        <v>0.97522260000000005</v>
      </c>
      <c r="Y4706">
        <v>-0.2063856</v>
      </c>
      <c r="Z4706">
        <v>1.496127E-2</v>
      </c>
      <c r="AA4706">
        <v>0.97835640000000001</v>
      </c>
      <c r="AB4706">
        <v>25</v>
      </c>
      <c r="AC4706">
        <v>0.60169999999999302</v>
      </c>
      <c r="AD4706">
        <v>-1.1253432424009999</v>
      </c>
      <c r="AE4706">
        <v>-38.077500000000001</v>
      </c>
      <c r="AF4706">
        <v>-7.8991284265070396</v>
      </c>
      <c r="AG4706">
        <v>-1.1253432424009999</v>
      </c>
      <c r="AH4706">
        <v>37.220052902910297</v>
      </c>
      <c r="AI4706">
        <v>91.694093916240305</v>
      </c>
      <c r="AJ4706">
        <v>101.981974162093</v>
      </c>
      <c r="AK4706">
        <v>38.065666491040297</v>
      </c>
      <c r="AL4706">
        <v>81.664909917738896</v>
      </c>
      <c r="AM4706">
        <v>99.723719312114696</v>
      </c>
      <c r="AN4706">
        <v>1.0000000237195701</v>
      </c>
    </row>
    <row r="4707" spans="1:40" x14ac:dyDescent="0.25">
      <c r="A4707" t="str">
        <f>"20190303162355435"</f>
        <v>20190303162355435</v>
      </c>
      <c r="B4707" t="str">
        <f>"1551601435429843"</f>
        <v>1551601435429843</v>
      </c>
      <c r="C4707" t="s">
        <v>40</v>
      </c>
      <c r="D4707">
        <v>5.3694730000000002</v>
      </c>
      <c r="E4707">
        <v>0.48425659999999998</v>
      </c>
      <c r="F4707" t="s">
        <v>41</v>
      </c>
      <c r="G4707">
        <v>-418.96960000000001</v>
      </c>
      <c r="H4707" s="1">
        <v>-1.364377E-6</v>
      </c>
      <c r="I4707">
        <v>82.387129999999999</v>
      </c>
      <c r="J4707">
        <v>-419.60680000000002</v>
      </c>
      <c r="K4707">
        <v>1.1252740000000001</v>
      </c>
      <c r="L4707">
        <v>119.9379</v>
      </c>
      <c r="M4707">
        <v>-0.18566589999999999</v>
      </c>
      <c r="N4707">
        <v>-1.3225239999999999E-2</v>
      </c>
      <c r="O4707">
        <v>-0.98252390000000001</v>
      </c>
      <c r="P4707">
        <v>-2.7244689999999998E-2</v>
      </c>
      <c r="Q4707">
        <v>0.13669319999999999</v>
      </c>
      <c r="R4707">
        <v>-0.99023870000000003</v>
      </c>
      <c r="S4707">
        <v>4.8095699999999998E-2</v>
      </c>
      <c r="T4707">
        <v>-9.0574979999999999E-2</v>
      </c>
      <c r="U4707">
        <v>-3.0417019999999999</v>
      </c>
      <c r="V4707">
        <v>-0.158710299999999</v>
      </c>
      <c r="W4707">
        <v>0.14790599999999901</v>
      </c>
      <c r="X4707">
        <v>0.97618380000000005</v>
      </c>
      <c r="Y4707">
        <v>-0.2011339</v>
      </c>
      <c r="Z4707">
        <v>1.544042E-2</v>
      </c>
      <c r="AA4707">
        <v>0.97944209999999998</v>
      </c>
      <c r="AB4707">
        <v>25</v>
      </c>
      <c r="AC4707">
        <v>0.63720000000000698</v>
      </c>
      <c r="AD4707">
        <v>-1.1252753643769999</v>
      </c>
      <c r="AE4707">
        <v>-37.55077</v>
      </c>
      <c r="AF4707">
        <v>-7.5918109517756998</v>
      </c>
      <c r="AG4707">
        <v>-1.1252753643769999</v>
      </c>
      <c r="AH4707">
        <v>36.746451187098103</v>
      </c>
      <c r="AI4707">
        <v>91.717748767912795</v>
      </c>
      <c r="AJ4707">
        <v>101.67306575749799</v>
      </c>
      <c r="AK4707">
        <v>37.539359517964101</v>
      </c>
      <c r="AL4707">
        <v>81.4944041712656</v>
      </c>
      <c r="AM4707">
        <v>99.234485606332598</v>
      </c>
      <c r="AN4707">
        <v>0.99999997777226401</v>
      </c>
    </row>
    <row r="4708" spans="1:40" x14ac:dyDescent="0.25">
      <c r="A4708" t="str">
        <f>"20190303162355457"</f>
        <v>20190303162355457</v>
      </c>
      <c r="B4708" t="str">
        <f>"1551601435449363"</f>
        <v>1551601435449363</v>
      </c>
      <c r="C4708" t="s">
        <v>40</v>
      </c>
      <c r="D4708">
        <v>5.3662619999999999</v>
      </c>
      <c r="E4708">
        <v>0.48430580000000001</v>
      </c>
      <c r="F4708" t="s">
        <v>41</v>
      </c>
      <c r="G4708">
        <v>-419.01920000000001</v>
      </c>
      <c r="H4708" s="1">
        <v>-4.3156769999999996E-6</v>
      </c>
      <c r="I4708">
        <v>79.28716</v>
      </c>
      <c r="J4708">
        <v>-419.64449999999999</v>
      </c>
      <c r="K4708">
        <v>1.1251960000000001</v>
      </c>
      <c r="L4708">
        <v>119.6992</v>
      </c>
      <c r="M4708">
        <v>-0.17938519999999999</v>
      </c>
      <c r="N4708">
        <v>-1.3209429999999999E-2</v>
      </c>
      <c r="O4708">
        <v>-0.98369039999999996</v>
      </c>
      <c r="P4708">
        <v>-2.8592039999999999E-2</v>
      </c>
      <c r="Q4708">
        <v>0.13950599999999999</v>
      </c>
      <c r="R4708">
        <v>-0.98980860000000004</v>
      </c>
      <c r="S4708">
        <v>4.397583E-2</v>
      </c>
      <c r="T4708">
        <v>-8.4218979999999999E-2</v>
      </c>
      <c r="U4708">
        <v>-3.0424190000000002</v>
      </c>
      <c r="V4708">
        <v>-0.15105499999999999</v>
      </c>
      <c r="W4708">
        <v>0.1508283</v>
      </c>
      <c r="X4708">
        <v>0.97695089999999996</v>
      </c>
      <c r="Y4708">
        <v>-0.19354579999999999</v>
      </c>
      <c r="Z4708">
        <v>1.3510370000000001E-2</v>
      </c>
      <c r="AA4708">
        <v>0.98099820000000004</v>
      </c>
      <c r="AB4708">
        <v>25</v>
      </c>
      <c r="AC4708">
        <v>0.62529999999998098</v>
      </c>
      <c r="AD4708">
        <v>-1.1252003156770001</v>
      </c>
      <c r="AE4708">
        <v>-40.412039999999998</v>
      </c>
      <c r="AF4708">
        <v>-7.8590171633782404</v>
      </c>
      <c r="AG4708">
        <v>-1.1252003156770001</v>
      </c>
      <c r="AH4708">
        <v>39.6135155670827</v>
      </c>
      <c r="AI4708">
        <v>91.595930066460994</v>
      </c>
      <c r="AJ4708">
        <v>101.221334562634</v>
      </c>
      <c r="AK4708">
        <v>40.4012480266164</v>
      </c>
      <c r="AL4708">
        <v>81.325068549920104</v>
      </c>
      <c r="AM4708">
        <v>98.789404412950702</v>
      </c>
      <c r="AN4708">
        <v>0.99999992505834701</v>
      </c>
    </row>
    <row r="4709" spans="1:40" x14ac:dyDescent="0.25">
      <c r="A4709" t="str">
        <f>"20190303162355480"</f>
        <v>20190303162355480</v>
      </c>
      <c r="B4709" t="str">
        <f>"1551601435469859"</f>
        <v>1551601435469859</v>
      </c>
      <c r="C4709" t="s">
        <v>40</v>
      </c>
      <c r="D4709">
        <v>5.4310460000000003</v>
      </c>
      <c r="E4709">
        <v>0.48421019999999998</v>
      </c>
      <c r="F4709" t="s">
        <v>41</v>
      </c>
      <c r="G4709">
        <v>-419.08089999999999</v>
      </c>
      <c r="H4709" s="1">
        <v>-2.760804E-6</v>
      </c>
      <c r="I4709">
        <v>75.688220000000001</v>
      </c>
      <c r="J4709">
        <v>-419.68200000000002</v>
      </c>
      <c r="K4709">
        <v>1.1250880000000001</v>
      </c>
      <c r="L4709">
        <v>119.4528</v>
      </c>
      <c r="M4709">
        <v>-0.17304310000000001</v>
      </c>
      <c r="N4709">
        <v>-1.3192250000000001E-2</v>
      </c>
      <c r="O4709">
        <v>-0.98482599999999998</v>
      </c>
      <c r="P4709">
        <v>-3.0471089999999999E-2</v>
      </c>
      <c r="Q4709">
        <v>0.14113120000000001</v>
      </c>
      <c r="R4709">
        <v>-0.98952229999999997</v>
      </c>
      <c r="S4709">
        <v>3.8970949999999997E-2</v>
      </c>
      <c r="T4709">
        <v>-7.7798370000000006E-2</v>
      </c>
      <c r="U4709">
        <v>-3.042999</v>
      </c>
      <c r="V4709">
        <v>-0.14282149999999999</v>
      </c>
      <c r="W4709">
        <v>0.15257409999999999</v>
      </c>
      <c r="X4709">
        <v>0.97791779999999995</v>
      </c>
      <c r="Y4709">
        <v>-0.18560740000000001</v>
      </c>
      <c r="Z4709">
        <v>1.1551489999999999E-2</v>
      </c>
      <c r="AA4709">
        <v>0.98255610000000004</v>
      </c>
      <c r="AB4709">
        <v>25</v>
      </c>
      <c r="AC4709">
        <v>0.60109999999997399</v>
      </c>
      <c r="AD4709">
        <v>-1.1250907608039999</v>
      </c>
      <c r="AE4709">
        <v>-43.764580000000002</v>
      </c>
      <c r="AF4709">
        <v>-8.16045513793512</v>
      </c>
      <c r="AG4709">
        <v>-1.1250907608039999</v>
      </c>
      <c r="AH4709">
        <v>42.971823376833598</v>
      </c>
      <c r="AI4709">
        <v>91.473457396405394</v>
      </c>
      <c r="AJ4709">
        <v>100.752573297936</v>
      </c>
      <c r="AK4709">
        <v>43.754273638218201</v>
      </c>
      <c r="AL4709">
        <v>81.223871258666094</v>
      </c>
      <c r="AM4709">
        <v>98.309105422674904</v>
      </c>
      <c r="AN4709">
        <v>1.0000000302049401</v>
      </c>
    </row>
    <row r="4710" spans="1:40" x14ac:dyDescent="0.25">
      <c r="A4710" t="str">
        <f>"20190303162355503"</f>
        <v>20190303162355503</v>
      </c>
      <c r="B4710" t="str">
        <f>"1551601435489379"</f>
        <v>1551601435489379</v>
      </c>
      <c r="C4710" t="s">
        <v>40</v>
      </c>
      <c r="D4710">
        <v>5.245101</v>
      </c>
      <c r="E4710">
        <v>0.48417090000000002</v>
      </c>
      <c r="F4710" t="s">
        <v>41</v>
      </c>
      <c r="G4710">
        <v>-419.16</v>
      </c>
      <c r="H4710" s="1">
        <v>-1.4221300000000001E-6</v>
      </c>
      <c r="I4710">
        <v>72.600470000000001</v>
      </c>
      <c r="J4710">
        <v>-419.71809999999999</v>
      </c>
      <c r="K4710">
        <v>1.1249629999999999</v>
      </c>
      <c r="L4710">
        <v>119.2062</v>
      </c>
      <c r="M4710">
        <v>-0.16686509999999999</v>
      </c>
      <c r="N4710">
        <v>-1.3173900000000001E-2</v>
      </c>
      <c r="O4710">
        <v>-0.98589190000000004</v>
      </c>
      <c r="P4710">
        <v>-3.3504939999999997E-2</v>
      </c>
      <c r="Q4710">
        <v>0.139965899999999</v>
      </c>
      <c r="R4710">
        <v>-0.98958970000000002</v>
      </c>
      <c r="S4710">
        <v>3.3905030000000003E-2</v>
      </c>
      <c r="T4710">
        <v>-7.3078989999999996E-2</v>
      </c>
      <c r="U4710">
        <v>-3.0432429999999999</v>
      </c>
      <c r="V4710">
        <v>-0.13363549999999999</v>
      </c>
      <c r="W4710">
        <v>0.15154709999999999</v>
      </c>
      <c r="X4710">
        <v>0.97937479999999999</v>
      </c>
      <c r="Y4710">
        <v>-0.17780869999999999</v>
      </c>
      <c r="Z4710">
        <v>1.012506E-2</v>
      </c>
      <c r="AA4710">
        <v>0.98401300000000003</v>
      </c>
      <c r="AB4710">
        <v>25</v>
      </c>
      <c r="AC4710">
        <v>0.55809999999996696</v>
      </c>
      <c r="AD4710">
        <v>-1.1249644221299999</v>
      </c>
      <c r="AE4710">
        <v>-46.605730000000001</v>
      </c>
      <c r="AF4710">
        <v>-8.3229687021547605</v>
      </c>
      <c r="AG4710">
        <v>-1.1249644221299999</v>
      </c>
      <c r="AH4710">
        <v>45.8323560004754</v>
      </c>
      <c r="AI4710">
        <v>91.383437313571406</v>
      </c>
      <c r="AJ4710">
        <v>100.292518648476</v>
      </c>
      <c r="AK4710">
        <v>46.595517053922897</v>
      </c>
      <c r="AL4710">
        <v>81.283405948173893</v>
      </c>
      <c r="AM4710">
        <v>97.770012904413306</v>
      </c>
      <c r="AN4710">
        <v>0.99999998462684903</v>
      </c>
    </row>
    <row r="4711" spans="1:40" x14ac:dyDescent="0.25">
      <c r="A4711" t="str">
        <f>"20190303162355526"</f>
        <v>20190303162355526</v>
      </c>
      <c r="B4711" t="str">
        <f>"1551601435519635"</f>
        <v>1551601435519635</v>
      </c>
      <c r="C4711" t="s">
        <v>40</v>
      </c>
      <c r="D4711">
        <v>5.428032</v>
      </c>
      <c r="E4711">
        <v>0.48399239999999999</v>
      </c>
      <c r="F4711" t="s">
        <v>41</v>
      </c>
      <c r="G4711">
        <v>-419.36</v>
      </c>
      <c r="H4711" s="1">
        <v>-2.4178279999999999E-6</v>
      </c>
      <c r="I4711">
        <v>75.004159999999999</v>
      </c>
      <c r="J4711">
        <v>-419.75310000000002</v>
      </c>
      <c r="K4711">
        <v>1.1248</v>
      </c>
      <c r="L4711">
        <v>118.95780000000001</v>
      </c>
      <c r="M4711">
        <v>-0.1608628</v>
      </c>
      <c r="N4711">
        <v>-1.315388E-2</v>
      </c>
      <c r="O4711">
        <v>-0.98688920000000002</v>
      </c>
      <c r="P4711">
        <v>-3.4748950000000001E-2</v>
      </c>
      <c r="Q4711">
        <v>0.138980399999999</v>
      </c>
      <c r="R4711">
        <v>-0.9896855</v>
      </c>
      <c r="S4711">
        <v>2.4658200000000002E-2</v>
      </c>
      <c r="T4711">
        <v>-7.7454809999999999E-2</v>
      </c>
      <c r="U4711">
        <v>-3.0433500000000002</v>
      </c>
      <c r="V4711">
        <v>-0.12638469999999999</v>
      </c>
      <c r="W4711">
        <v>0.15067510000000001</v>
      </c>
      <c r="X4711">
        <v>0.98047130000000005</v>
      </c>
      <c r="Y4711">
        <v>-0.168824</v>
      </c>
      <c r="Z4711">
        <v>1.1601709999999999E-2</v>
      </c>
      <c r="AA4711">
        <v>0.98557790000000001</v>
      </c>
      <c r="AB4711">
        <v>25</v>
      </c>
      <c r="AC4711">
        <v>0.393100000000003</v>
      </c>
      <c r="AD4711">
        <v>-1.1248024178280001</v>
      </c>
      <c r="AE4711">
        <v>-43.95364</v>
      </c>
      <c r="AF4711">
        <v>-7.4542152489448501</v>
      </c>
      <c r="AG4711">
        <v>-1.1248024178280001</v>
      </c>
      <c r="AH4711">
        <v>43.289534464889698</v>
      </c>
      <c r="AI4711">
        <v>91.466817426230705</v>
      </c>
      <c r="AJ4711">
        <v>99.770198957103801</v>
      </c>
      <c r="AK4711">
        <v>43.941032073036602</v>
      </c>
      <c r="AL4711">
        <v>81.333948603663501</v>
      </c>
      <c r="AM4711">
        <v>97.345037562381705</v>
      </c>
      <c r="AN4711">
        <v>1.00000002413889</v>
      </c>
    </row>
    <row r="4712" spans="1:40" x14ac:dyDescent="0.25">
      <c r="A4712" t="str">
        <f>"20190303162355547"</f>
        <v>20190303162355547</v>
      </c>
      <c r="B4712" t="str">
        <f>"1551601435540131"</f>
        <v>1551601435540131</v>
      </c>
      <c r="C4712" t="s">
        <v>40</v>
      </c>
      <c r="D4712">
        <v>5.4298070000000003</v>
      </c>
      <c r="E4712">
        <v>0.4837842</v>
      </c>
      <c r="F4712" t="s">
        <v>41</v>
      </c>
      <c r="G4712">
        <v>-419.45359999999999</v>
      </c>
      <c r="H4712" s="1">
        <v>-3.6556370000000002E-6</v>
      </c>
      <c r="I4712">
        <v>77.928209999999893</v>
      </c>
      <c r="J4712">
        <v>-419.78590000000003</v>
      </c>
      <c r="K4712">
        <v>1.1246590000000001</v>
      </c>
      <c r="L4712">
        <v>118.71469999999999</v>
      </c>
      <c r="M4712">
        <v>-0.155168</v>
      </c>
      <c r="N4712">
        <v>-1.313455E-2</v>
      </c>
      <c r="O4712">
        <v>-0.98780069999999998</v>
      </c>
      <c r="P4712">
        <v>-3.422422E-2</v>
      </c>
      <c r="Q4712">
        <v>0.1381657</v>
      </c>
      <c r="R4712">
        <v>-0.98981770000000002</v>
      </c>
      <c r="S4712">
        <v>2.2216799999999998E-2</v>
      </c>
      <c r="T4712">
        <v>-8.344269E-2</v>
      </c>
      <c r="U4712">
        <v>-3.0437470000000002</v>
      </c>
      <c r="V4712">
        <v>-0.12119630000000001</v>
      </c>
      <c r="W4712">
        <v>0.14994250000000001</v>
      </c>
      <c r="X4712">
        <v>0.98123839999999996</v>
      </c>
      <c r="Y4712">
        <v>-0.1623434</v>
      </c>
      <c r="Z4712">
        <v>1.358463E-2</v>
      </c>
      <c r="AA4712">
        <v>0.98664079999999998</v>
      </c>
      <c r="AB4712">
        <v>25</v>
      </c>
      <c r="AC4712">
        <v>0.33230000000003201</v>
      </c>
      <c r="AD4712">
        <v>-1.1246626556370001</v>
      </c>
      <c r="AE4712">
        <v>-40.786490000000001</v>
      </c>
      <c r="AF4712">
        <v>-6.6525211666906499</v>
      </c>
      <c r="AG4712">
        <v>-1.1246626556370001</v>
      </c>
      <c r="AH4712">
        <v>40.210263638245799</v>
      </c>
      <c r="AI4712">
        <v>91.580643876004999</v>
      </c>
      <c r="AJ4712">
        <v>99.394112793756705</v>
      </c>
      <c r="AK4712">
        <v>40.772370618097298</v>
      </c>
      <c r="AL4712">
        <v>81.3764060432772</v>
      </c>
      <c r="AM4712">
        <v>97.041147574913197</v>
      </c>
      <c r="AN4712">
        <v>1.0000000470372401</v>
      </c>
    </row>
    <row r="4713" spans="1:40" x14ac:dyDescent="0.25">
      <c r="A4713" t="str">
        <f>"20190303162355568"</f>
        <v>20190303162355568</v>
      </c>
      <c r="B4713" t="str">
        <f>"1551601435560159"</f>
        <v>1551601435560159</v>
      </c>
      <c r="C4713" t="s">
        <v>40</v>
      </c>
      <c r="D4713">
        <v>5.4940089999999904</v>
      </c>
      <c r="E4713">
        <v>0.48381259999999998</v>
      </c>
      <c r="F4713" t="s">
        <v>41</v>
      </c>
      <c r="G4713">
        <v>-419.45769999999999</v>
      </c>
      <c r="H4713" s="1">
        <v>-4.2494740000000003E-6</v>
      </c>
      <c r="I4713">
        <v>79.314160000000001</v>
      </c>
      <c r="J4713">
        <v>-419.8159</v>
      </c>
      <c r="K4713">
        <v>1.124525</v>
      </c>
      <c r="L4713">
        <v>118.4855</v>
      </c>
      <c r="M4713">
        <v>-0.14997869999999999</v>
      </c>
      <c r="N4713">
        <v>-1.311699E-2</v>
      </c>
      <c r="O4713">
        <v>-0.98860230000000004</v>
      </c>
      <c r="P4713">
        <v>-3.3577629999999997E-2</v>
      </c>
      <c r="Q4713">
        <v>0.1381114</v>
      </c>
      <c r="R4713">
        <v>-0.98984749999999999</v>
      </c>
      <c r="S4713">
        <v>2.5360110000000002E-2</v>
      </c>
      <c r="T4713">
        <v>-8.6885329999999997E-2</v>
      </c>
      <c r="U4713">
        <v>-3.0438689999999999</v>
      </c>
      <c r="V4713">
        <v>-0.1166282</v>
      </c>
      <c r="W4713">
        <v>0.1499567</v>
      </c>
      <c r="X4713">
        <v>0.98178960000000004</v>
      </c>
      <c r="Y4713">
        <v>-0.15817870000000001</v>
      </c>
      <c r="Z4713">
        <v>1.474615E-2</v>
      </c>
      <c r="AA4713">
        <v>0.98730039999999997</v>
      </c>
      <c r="AB4713">
        <v>25</v>
      </c>
      <c r="AC4713">
        <v>0.35820000000001001</v>
      </c>
      <c r="AD4713">
        <v>-1.124529249474</v>
      </c>
      <c r="AE4713">
        <v>-39.171340000000001</v>
      </c>
      <c r="AF4713">
        <v>-6.2243900052814203</v>
      </c>
      <c r="AG4713">
        <v>-1.124529249474</v>
      </c>
      <c r="AH4713">
        <v>38.642633767687698</v>
      </c>
      <c r="AI4713">
        <v>91.645678883225699</v>
      </c>
      <c r="AJ4713">
        <v>99.150362505151094</v>
      </c>
      <c r="AK4713">
        <v>39.156873489521701</v>
      </c>
      <c r="AL4713">
        <v>81.375582589563606</v>
      </c>
      <c r="AM4713">
        <v>96.774501254796306</v>
      </c>
      <c r="AN4713">
        <v>0.99999998378914401</v>
      </c>
    </row>
    <row r="4714" spans="1:40" x14ac:dyDescent="0.25">
      <c r="A4714" t="str">
        <f>"20190303162355592"</f>
        <v>20190303162355592</v>
      </c>
      <c r="B4714" t="str">
        <f>"1551601435579681"</f>
        <v>1551601435579681</v>
      </c>
      <c r="C4714" t="s">
        <v>40</v>
      </c>
      <c r="D4714">
        <v>5.4334439999999997</v>
      </c>
      <c r="E4714">
        <v>0.48392200000000002</v>
      </c>
      <c r="F4714" t="s">
        <v>41</v>
      </c>
      <c r="G4714">
        <v>-419.4615</v>
      </c>
      <c r="H4714" s="1">
        <v>-4.20055E-6</v>
      </c>
      <c r="I4714">
        <v>79.201679999999996</v>
      </c>
      <c r="J4714">
        <v>-419.84730000000002</v>
      </c>
      <c r="K4714">
        <v>1.1243829999999999</v>
      </c>
      <c r="L4714">
        <v>118.23650000000001</v>
      </c>
      <c r="M4714">
        <v>-0.144567</v>
      </c>
      <c r="N4714">
        <v>-1.3097589999999999E-2</v>
      </c>
      <c r="O4714">
        <v>-0.98940839999999997</v>
      </c>
      <c r="P4714">
        <v>-3.3154370000000002E-2</v>
      </c>
      <c r="Q4714">
        <v>0.13841979999999901</v>
      </c>
      <c r="R4714">
        <v>-0.98981870000000005</v>
      </c>
      <c r="S4714">
        <v>2.7465819999999998E-2</v>
      </c>
      <c r="T4714">
        <v>-8.7132929999999997E-2</v>
      </c>
      <c r="U4714">
        <v>-3.0438689999999999</v>
      </c>
      <c r="V4714">
        <v>-0.111609</v>
      </c>
      <c r="W4714">
        <v>0.1503371</v>
      </c>
      <c r="X4714">
        <v>0.98231469999999999</v>
      </c>
      <c r="Y4714">
        <v>-0.15345829999999999</v>
      </c>
      <c r="Z4714">
        <v>1.488973E-2</v>
      </c>
      <c r="AA4714">
        <v>0.988043</v>
      </c>
      <c r="AB4714">
        <v>25</v>
      </c>
      <c r="AC4714">
        <v>0.38580000000001702</v>
      </c>
      <c r="AD4714">
        <v>-1.12438720055</v>
      </c>
      <c r="AE4714">
        <v>-39.034820000000003</v>
      </c>
      <c r="AF4714">
        <v>-6.0203822860256198</v>
      </c>
      <c r="AG4714">
        <v>-1.12438720055</v>
      </c>
      <c r="AH4714">
        <v>38.536938917700901</v>
      </c>
      <c r="AI4714">
        <v>91.651220346010007</v>
      </c>
      <c r="AJ4714">
        <v>98.879186874036904</v>
      </c>
      <c r="AK4714">
        <v>39.0205703519729</v>
      </c>
      <c r="AL4714">
        <v>81.353537427561406</v>
      </c>
      <c r="AM4714">
        <v>96.482056160264406</v>
      </c>
      <c r="AN4714">
        <v>0.99999999117674998</v>
      </c>
    </row>
    <row r="4715" spans="1:40" x14ac:dyDescent="0.25">
      <c r="A4715" t="str">
        <f>"20190303162355614"</f>
        <v>20190303162355614</v>
      </c>
      <c r="B4715" t="str">
        <f>"1551601435609936"</f>
        <v>1551601435609936</v>
      </c>
      <c r="C4715" t="s">
        <v>40</v>
      </c>
      <c r="D4715">
        <v>5.5005860000000002</v>
      </c>
      <c r="E4715">
        <v>0.4809156</v>
      </c>
      <c r="F4715" t="s">
        <v>41</v>
      </c>
      <c r="G4715">
        <v>-419.48649999999998</v>
      </c>
      <c r="H4715" s="1">
        <v>-3.9414570000000002E-6</v>
      </c>
      <c r="I4715">
        <v>78.608090000000004</v>
      </c>
      <c r="J4715">
        <v>-419.87799999999999</v>
      </c>
      <c r="K4715">
        <v>1.124233</v>
      </c>
      <c r="L4715">
        <v>117.9841</v>
      </c>
      <c r="M4715">
        <v>-0.13933699999999999</v>
      </c>
      <c r="N4715">
        <v>-1.307665E-2</v>
      </c>
      <c r="O4715">
        <v>-0.99015880000000001</v>
      </c>
      <c r="P4715">
        <v>-3.2339960000000001E-2</v>
      </c>
      <c r="Q4715">
        <v>0.1395102</v>
      </c>
      <c r="R4715">
        <v>-0.98969269999999998</v>
      </c>
      <c r="S4715">
        <v>2.7709959999999999E-2</v>
      </c>
      <c r="T4715">
        <v>-8.6364979999999994E-2</v>
      </c>
      <c r="U4715">
        <v>-3.0438839999999998</v>
      </c>
      <c r="V4715">
        <v>-0.1071469</v>
      </c>
      <c r="W4715">
        <v>0.1514906</v>
      </c>
      <c r="X4715">
        <v>0.98263429999999996</v>
      </c>
      <c r="Y4715">
        <v>-0.1483158</v>
      </c>
      <c r="Z4715">
        <v>1.470723E-2</v>
      </c>
      <c r="AA4715">
        <v>0.98883069999999895</v>
      </c>
      <c r="AB4715">
        <v>25</v>
      </c>
      <c r="AC4715">
        <v>0.39150000000006402</v>
      </c>
      <c r="AD4715">
        <v>-1.1242369414569999</v>
      </c>
      <c r="AE4715">
        <v>-39.376010000000001</v>
      </c>
      <c r="AF4715">
        <v>-5.8698993136408797</v>
      </c>
      <c r="AG4715">
        <v>-1.1242369414569999</v>
      </c>
      <c r="AH4715">
        <v>38.905564996364198</v>
      </c>
      <c r="AI4715">
        <v>91.636677124230403</v>
      </c>
      <c r="AJ4715">
        <v>98.579821881860795</v>
      </c>
      <c r="AK4715">
        <v>39.361943731720501</v>
      </c>
      <c r="AL4715">
        <v>81.286681228179205</v>
      </c>
      <c r="AM4715">
        <v>96.222972749575902</v>
      </c>
      <c r="AN4715">
        <v>1.00000001380222</v>
      </c>
    </row>
    <row r="4716" spans="1:40" x14ac:dyDescent="0.25">
      <c r="A4716" t="str">
        <f>"20190303162355638"</f>
        <v>20190303162355638</v>
      </c>
      <c r="B4716" t="str">
        <f>"1551601435629456"</f>
        <v>1551601435629456</v>
      </c>
      <c r="C4716" t="s">
        <v>40</v>
      </c>
      <c r="D4716">
        <v>5.3800939999999997</v>
      </c>
      <c r="E4716">
        <v>0.48050799999999999</v>
      </c>
      <c r="F4716" t="s">
        <v>41</v>
      </c>
      <c r="G4716">
        <v>-419.30599999999998</v>
      </c>
      <c r="H4716" s="1">
        <v>-2.746674E-6</v>
      </c>
      <c r="I4716">
        <v>85.748390000000001</v>
      </c>
      <c r="J4716">
        <v>-419.90769999999998</v>
      </c>
      <c r="K4716">
        <v>1.1240619999999999</v>
      </c>
      <c r="L4716">
        <v>117.7306</v>
      </c>
      <c r="M4716">
        <v>-0.13434399999999999</v>
      </c>
      <c r="N4716">
        <v>-1.305478E-2</v>
      </c>
      <c r="O4716">
        <v>-0.99084899999999998</v>
      </c>
      <c r="P4716">
        <v>-3.1180780000000002E-2</v>
      </c>
      <c r="Q4716">
        <v>0.14046020000000001</v>
      </c>
      <c r="R4716">
        <v>-0.98959540000000001</v>
      </c>
      <c r="S4716">
        <v>5.4077149999999997E-2</v>
      </c>
      <c r="T4716">
        <v>-0.10630050000000001</v>
      </c>
      <c r="U4716">
        <v>-3.0480040000000002</v>
      </c>
      <c r="V4716">
        <v>-0.1032597</v>
      </c>
      <c r="W4716">
        <v>0.15249869999999999</v>
      </c>
      <c r="X4716">
        <v>0.9828945</v>
      </c>
      <c r="Y4716">
        <v>-0.15186040000000001</v>
      </c>
      <c r="Z4716">
        <v>2.1109929999999999E-2</v>
      </c>
      <c r="AA4716">
        <v>0.98817650000000001</v>
      </c>
      <c r="AB4716">
        <v>25</v>
      </c>
      <c r="AC4716">
        <v>0.60169999999999302</v>
      </c>
      <c r="AD4716">
        <v>-1.1240647466739999</v>
      </c>
      <c r="AE4716">
        <v>-31.982209999999899</v>
      </c>
      <c r="AF4716">
        <v>-4.8871927608154397</v>
      </c>
      <c r="AG4716">
        <v>-1.1240647466739999</v>
      </c>
      <c r="AH4716">
        <v>31.572405297090501</v>
      </c>
      <c r="AI4716">
        <v>92.015048440732201</v>
      </c>
      <c r="AJ4716">
        <v>98.799160273023105</v>
      </c>
      <c r="AK4716">
        <v>31.968186543497101</v>
      </c>
      <c r="AL4716">
        <v>81.228242322701206</v>
      </c>
      <c r="AM4716">
        <v>95.997308906734006</v>
      </c>
      <c r="AN4716">
        <v>1.0000000086380101</v>
      </c>
    </row>
    <row r="4717" spans="1:40" x14ac:dyDescent="0.25">
      <c r="A4717" t="str">
        <f>"20190303162355658"</f>
        <v>20190303162355658</v>
      </c>
      <c r="B4717" t="str">
        <f>"1551601435649952"</f>
        <v>1551601435649952</v>
      </c>
      <c r="C4717" t="s">
        <v>40</v>
      </c>
      <c r="D4717">
        <v>5.4983139999999997</v>
      </c>
      <c r="E4717">
        <v>0.48017900000000002</v>
      </c>
      <c r="F4717" t="s">
        <v>41</v>
      </c>
      <c r="G4717">
        <v>-419.22890000000001</v>
      </c>
      <c r="H4717" s="1">
        <v>-2.0614369999999998E-6</v>
      </c>
      <c r="I4717">
        <v>84.119169999999997</v>
      </c>
      <c r="J4717">
        <v>-419.93290000000002</v>
      </c>
      <c r="K4717">
        <v>1.1238969999999999</v>
      </c>
      <c r="L4717">
        <v>117.5086</v>
      </c>
      <c r="M4717">
        <v>-0.13020979999999999</v>
      </c>
      <c r="N4717">
        <v>-1.303553E-2</v>
      </c>
      <c r="O4717">
        <v>-0.99140079999999997</v>
      </c>
      <c r="P4717">
        <v>-3.0249680000000001E-2</v>
      </c>
      <c r="Q4717">
        <v>0.1414945</v>
      </c>
      <c r="R4717">
        <v>-0.98947700000000005</v>
      </c>
      <c r="S4717">
        <v>6.1553959999999998E-2</v>
      </c>
      <c r="T4717">
        <v>-0.10193199999999999</v>
      </c>
      <c r="U4717">
        <v>-3.0479430000000001</v>
      </c>
      <c r="V4717">
        <v>-0.10000299999999999</v>
      </c>
      <c r="W4717">
        <v>0.15358289999999999</v>
      </c>
      <c r="X4717">
        <v>0.9830624</v>
      </c>
      <c r="Y4717">
        <v>-0.15016350000000001</v>
      </c>
      <c r="Z4717">
        <v>1.9756099999999999E-2</v>
      </c>
      <c r="AA4717">
        <v>0.9884638</v>
      </c>
      <c r="AB4717">
        <v>25</v>
      </c>
      <c r="AC4717">
        <v>0.70400000000000695</v>
      </c>
      <c r="AD4717">
        <v>-1.1238990614369999</v>
      </c>
      <c r="AE4717">
        <v>-33.389429999999997</v>
      </c>
      <c r="AF4717">
        <v>-5.0402975379332897</v>
      </c>
      <c r="AG4717">
        <v>-1.1238990614369999</v>
      </c>
      <c r="AH4717">
        <v>32.9760980011933</v>
      </c>
      <c r="AI4717">
        <v>91.929619815224001</v>
      </c>
      <c r="AJ4717">
        <v>98.690230027662693</v>
      </c>
      <c r="AK4717">
        <v>33.377998558264402</v>
      </c>
      <c r="AL4717">
        <v>81.165381606085802</v>
      </c>
      <c r="AM4717">
        <v>95.808489365243105</v>
      </c>
      <c r="AN4717">
        <v>0.99999999473758405</v>
      </c>
    </row>
    <row r="4718" spans="1:40" x14ac:dyDescent="0.25">
      <c r="A4718" t="str">
        <f>"20190303162355681"</f>
        <v>20190303162355681</v>
      </c>
      <c r="B4718" t="str">
        <f>"1551601435669474"</f>
        <v>1551601435669474</v>
      </c>
      <c r="C4718" t="s">
        <v>40</v>
      </c>
      <c r="D4718">
        <v>5.498704</v>
      </c>
      <c r="E4718">
        <v>0.4800989</v>
      </c>
      <c r="F4718" t="s">
        <v>41</v>
      </c>
      <c r="G4718">
        <v>-419.18990000000002</v>
      </c>
      <c r="H4718" s="1">
        <v>-2.0231830000000001E-6</v>
      </c>
      <c r="I4718">
        <v>84.013890000000004</v>
      </c>
      <c r="J4718">
        <v>-419.95979999999997</v>
      </c>
      <c r="K4718">
        <v>1.1237029999999999</v>
      </c>
      <c r="L4718">
        <v>117.26439999999999</v>
      </c>
      <c r="M4718">
        <v>-0.12592590000000001</v>
      </c>
      <c r="N4718">
        <v>-1.301447E-2</v>
      </c>
      <c r="O4718">
        <v>-0.99195420000000001</v>
      </c>
      <c r="P4718">
        <v>-2.8728099999999999E-2</v>
      </c>
      <c r="Q4718">
        <v>0.14258100000000001</v>
      </c>
      <c r="R4718">
        <v>-0.98936610000000003</v>
      </c>
      <c r="S4718">
        <v>6.7626950000000005E-2</v>
      </c>
      <c r="T4718">
        <v>-0.1022942</v>
      </c>
      <c r="U4718">
        <v>-3.0485989999999998</v>
      </c>
      <c r="V4718">
        <v>-9.7174529999999995E-2</v>
      </c>
      <c r="W4718">
        <v>0.15471889999999999</v>
      </c>
      <c r="X4718">
        <v>0.98316789999999998</v>
      </c>
      <c r="Y4718">
        <v>-0.14785690000000001</v>
      </c>
      <c r="Z4718">
        <v>1.9918450000000001E-2</v>
      </c>
      <c r="AA4718">
        <v>0.98880820000000003</v>
      </c>
      <c r="AB4718">
        <v>25</v>
      </c>
      <c r="AC4718">
        <v>0.76989999999994996</v>
      </c>
      <c r="AD4718">
        <v>-1.1237050231829999</v>
      </c>
      <c r="AE4718">
        <v>-33.250509999999899</v>
      </c>
      <c r="AF4718">
        <v>-4.9455802800028303</v>
      </c>
      <c r="AG4718">
        <v>-1.1237050231829999</v>
      </c>
      <c r="AH4718">
        <v>32.851320956513199</v>
      </c>
      <c r="AI4718">
        <v>91.937270096018594</v>
      </c>
      <c r="AJ4718">
        <v>98.561265000772806</v>
      </c>
      <c r="AK4718">
        <v>33.240498881228</v>
      </c>
      <c r="AL4718">
        <v>81.099506017536299</v>
      </c>
      <c r="AM4718">
        <v>95.644677522937002</v>
      </c>
      <c r="AN4718">
        <v>0.99999997344417002</v>
      </c>
    </row>
    <row r="4719" spans="1:40" x14ac:dyDescent="0.25">
      <c r="A4719" t="str">
        <f>"20190303162355704"</f>
        <v>20190303162355704</v>
      </c>
      <c r="B4719" t="str">
        <f>"1551601435699729"</f>
        <v>1551601435699729</v>
      </c>
      <c r="C4719" t="s">
        <v>40</v>
      </c>
      <c r="D4719">
        <v>5.5016759999999998</v>
      </c>
      <c r="E4719">
        <v>0.48030879999999998</v>
      </c>
      <c r="F4719" t="s">
        <v>41</v>
      </c>
      <c r="G4719">
        <v>-419.16160000000002</v>
      </c>
      <c r="H4719" s="1">
        <v>-1.765321E-6</v>
      </c>
      <c r="I4719">
        <v>83.401119999999906</v>
      </c>
      <c r="J4719">
        <v>-419.98660000000001</v>
      </c>
      <c r="K4719">
        <v>1.123497</v>
      </c>
      <c r="L4719">
        <v>117.01479999999999</v>
      </c>
      <c r="M4719">
        <v>-0.1218684</v>
      </c>
      <c r="N4719">
        <v>-1.299288E-2</v>
      </c>
      <c r="O4719">
        <v>-0.99246129999999999</v>
      </c>
      <c r="P4719">
        <v>-2.615986E-2</v>
      </c>
      <c r="Q4719">
        <v>0.14397869999999999</v>
      </c>
      <c r="R4719">
        <v>-0.98923530000000004</v>
      </c>
      <c r="S4719">
        <v>7.1868899999999999E-2</v>
      </c>
      <c r="T4719">
        <v>-0.1011739</v>
      </c>
      <c r="U4719">
        <v>-3.0489199999999999</v>
      </c>
      <c r="V4719">
        <v>-9.560449E-2</v>
      </c>
      <c r="W4719">
        <v>0.1561555</v>
      </c>
      <c r="X4719">
        <v>0.98309469999999999</v>
      </c>
      <c r="Y4719">
        <v>-0.14518599999999901</v>
      </c>
      <c r="Z4719">
        <v>1.960682E-2</v>
      </c>
      <c r="AA4719">
        <v>0.98921009999999998</v>
      </c>
      <c r="AB4719">
        <v>25</v>
      </c>
      <c r="AC4719">
        <v>0.82499999999998797</v>
      </c>
      <c r="AD4719">
        <v>-1.123498765321</v>
      </c>
      <c r="AE4719">
        <v>-33.613680000000002</v>
      </c>
      <c r="AF4719">
        <v>-4.9101584271444398</v>
      </c>
      <c r="AG4719">
        <v>-1.123498765321</v>
      </c>
      <c r="AH4719">
        <v>33.225444691698101</v>
      </c>
      <c r="AI4719">
        <v>91.915892355882505</v>
      </c>
      <c r="AJ4719">
        <v>98.406500087347496</v>
      </c>
      <c r="AK4719">
        <v>33.605090093859701</v>
      </c>
      <c r="AL4719">
        <v>81.016182158122504</v>
      </c>
      <c r="AM4719">
        <v>95.554462829598506</v>
      </c>
      <c r="AN4719">
        <v>0.99999997392824902</v>
      </c>
    </row>
    <row r="4720" spans="1:40" x14ac:dyDescent="0.25">
      <c r="A4720" t="str">
        <f>"20190303162355727"</f>
        <v>20190303162355727</v>
      </c>
      <c r="B4720" t="str">
        <f>"1551601435719248"</f>
        <v>1551601435719248</v>
      </c>
      <c r="C4720" t="s">
        <v>40</v>
      </c>
      <c r="D4720">
        <v>5.5008650000000001</v>
      </c>
      <c r="E4720">
        <v>0.48082259999999999</v>
      </c>
      <c r="F4720" t="s">
        <v>41</v>
      </c>
      <c r="G4720">
        <v>-419.09870000000001</v>
      </c>
      <c r="H4720" s="1">
        <v>-9.5084269999999996E-7</v>
      </c>
      <c r="I4720">
        <v>81.47654</v>
      </c>
      <c r="J4720">
        <v>-420.01249999999999</v>
      </c>
      <c r="K4720">
        <v>1.1232770000000001</v>
      </c>
      <c r="L4720">
        <v>116.7672</v>
      </c>
      <c r="M4720">
        <v>-0.11819440000000001</v>
      </c>
      <c r="N4720">
        <v>-1.2971470000000001E-2</v>
      </c>
      <c r="O4720">
        <v>-0.9929057</v>
      </c>
      <c r="P4720">
        <v>-2.2694599999999999E-2</v>
      </c>
      <c r="Q4720">
        <v>0.14498629999999901</v>
      </c>
      <c r="R4720">
        <v>-0.98917350000000004</v>
      </c>
      <c r="S4720">
        <v>7.6171879999999997E-2</v>
      </c>
      <c r="T4720">
        <v>-9.6380469999999996E-2</v>
      </c>
      <c r="U4720">
        <v>-3.0486909999999998</v>
      </c>
      <c r="V4720">
        <v>-9.531249E-2</v>
      </c>
      <c r="W4720">
        <v>0.157194</v>
      </c>
      <c r="X4720">
        <v>0.98295750000000004</v>
      </c>
      <c r="Y4720">
        <v>-0.14292379999999999</v>
      </c>
      <c r="Z4720">
        <v>1.811165E-2</v>
      </c>
      <c r="AA4720">
        <v>0.98956789999999994</v>
      </c>
      <c r="AB4720">
        <v>25</v>
      </c>
      <c r="AC4720">
        <v>0.91379999999997996</v>
      </c>
      <c r="AD4720">
        <v>-1.1232779508427</v>
      </c>
      <c r="AE4720">
        <v>-35.290659999999903</v>
      </c>
      <c r="AF4720">
        <v>-5.0737663403650703</v>
      </c>
      <c r="AG4720">
        <v>-1.1232779508427</v>
      </c>
      <c r="AH4720">
        <v>34.899898699322499</v>
      </c>
      <c r="AI4720">
        <v>91.824304022623707</v>
      </c>
      <c r="AJ4720">
        <v>98.271740790585199</v>
      </c>
      <c r="AK4720">
        <v>35.2846678807445</v>
      </c>
      <c r="AL4720">
        <v>80.955936117950799</v>
      </c>
      <c r="AM4720">
        <v>95.538371847753993</v>
      </c>
      <c r="AN4720">
        <v>0.99999993559612299</v>
      </c>
    </row>
    <row r="4721" spans="1:40" x14ac:dyDescent="0.25">
      <c r="A4721" t="str">
        <f>"20190303162355748"</f>
        <v>20190303162355748</v>
      </c>
      <c r="B4721" t="str">
        <f>"1551601435739744"</f>
        <v>1551601435739744</v>
      </c>
      <c r="C4721" t="s">
        <v>40</v>
      </c>
      <c r="D4721">
        <v>5.5015689999999999</v>
      </c>
      <c r="E4721">
        <v>0.4807611</v>
      </c>
      <c r="F4721" t="s">
        <v>41</v>
      </c>
      <c r="G4721">
        <v>-419.03840000000002</v>
      </c>
      <c r="H4721" s="1">
        <v>-4.4813160000000001E-7</v>
      </c>
      <c r="I4721">
        <v>80.213040000000007</v>
      </c>
      <c r="J4721">
        <v>-420.03620000000001</v>
      </c>
      <c r="K4721">
        <v>1.1230850000000001</v>
      </c>
      <c r="L4721">
        <v>116.5363</v>
      </c>
      <c r="M4721">
        <v>-0.1150152</v>
      </c>
      <c r="N4721">
        <v>-1.295255E-2</v>
      </c>
      <c r="O4721">
        <v>-0.99327940000000003</v>
      </c>
      <c r="P4721">
        <v>-1.907994E-2</v>
      </c>
      <c r="Q4721">
        <v>0.14573520000000001</v>
      </c>
      <c r="R4721">
        <v>-0.98913969999999996</v>
      </c>
      <c r="S4721">
        <v>8.1237790000000004E-2</v>
      </c>
      <c r="T4721">
        <v>-9.3675140000000004E-2</v>
      </c>
      <c r="U4721">
        <v>-3.048416</v>
      </c>
      <c r="V4721">
        <v>-9.5676029999999995E-2</v>
      </c>
      <c r="W4721">
        <v>0.157964299999999</v>
      </c>
      <c r="X4721">
        <v>0.98279879999999997</v>
      </c>
      <c r="Y4721">
        <v>-0.14140259999999999</v>
      </c>
      <c r="Z4721">
        <v>1.7280139999999999E-2</v>
      </c>
      <c r="AA4721">
        <v>0.9898013</v>
      </c>
      <c r="AB4721">
        <v>25</v>
      </c>
      <c r="AC4721">
        <v>0.99779999999998303</v>
      </c>
      <c r="AD4721">
        <v>-1.1230854481315999</v>
      </c>
      <c r="AE4721">
        <v>-36.323259999999898</v>
      </c>
      <c r="AF4721">
        <v>-5.1643208923555299</v>
      </c>
      <c r="AG4721">
        <v>-1.1230854481315999</v>
      </c>
      <c r="AH4721">
        <v>35.933070838252</v>
      </c>
      <c r="AI4721">
        <v>91.771997035087495</v>
      </c>
      <c r="AJ4721">
        <v>98.1785769708994</v>
      </c>
      <c r="AK4721">
        <v>36.319651857773401</v>
      </c>
      <c r="AL4721">
        <v>80.911243859827806</v>
      </c>
      <c r="AM4721">
        <v>95.560256253201501</v>
      </c>
      <c r="AN4721">
        <v>1.00000005203624</v>
      </c>
    </row>
    <row r="4722" spans="1:40" x14ac:dyDescent="0.25">
      <c r="A4722" t="str">
        <f>"20190303162355770"</f>
        <v>20190303162355770</v>
      </c>
      <c r="B4722" t="str">
        <f>"1551601435759265"</f>
        <v>1551601435759265</v>
      </c>
      <c r="C4722" t="s">
        <v>40</v>
      </c>
      <c r="D4722">
        <v>5.4338050000000004</v>
      </c>
      <c r="E4722">
        <v>0.48123179999999999</v>
      </c>
      <c r="F4722" t="s">
        <v>41</v>
      </c>
      <c r="G4722">
        <v>-418.96339999999998</v>
      </c>
      <c r="H4722" s="1">
        <v>-5.8675199999999999E-7</v>
      </c>
      <c r="I4722">
        <v>80.561809999999994</v>
      </c>
      <c r="J4722">
        <v>-420.06079999999997</v>
      </c>
      <c r="K4722">
        <v>1.1228739999999999</v>
      </c>
      <c r="L4722">
        <v>116.29170000000001</v>
      </c>
      <c r="M4722">
        <v>-0.1119445</v>
      </c>
      <c r="N4722">
        <v>-1.2933500000000001E-2</v>
      </c>
      <c r="O4722">
        <v>-0.99363040000000002</v>
      </c>
      <c r="P4722">
        <v>-1.4691040000000001E-2</v>
      </c>
      <c r="Q4722">
        <v>0.14560609999999999</v>
      </c>
      <c r="R4722">
        <v>-0.98923369999999999</v>
      </c>
      <c r="S4722">
        <v>9.0911870000000006E-2</v>
      </c>
      <c r="T4722">
        <v>-9.5177410000000004E-2</v>
      </c>
      <c r="U4722">
        <v>-3.0487060000000001</v>
      </c>
      <c r="V4722">
        <v>-9.6927020000000003E-2</v>
      </c>
      <c r="W4722">
        <v>0.15785460000000001</v>
      </c>
      <c r="X4722">
        <v>0.98269379999999995</v>
      </c>
      <c r="Y4722">
        <v>-0.14147779999999999</v>
      </c>
      <c r="Z4722">
        <v>1.779418E-2</v>
      </c>
      <c r="AA4722">
        <v>0.98978149999999998</v>
      </c>
      <c r="AB4722">
        <v>25</v>
      </c>
      <c r="AC4722">
        <v>1.0973999999999899</v>
      </c>
      <c r="AD4722">
        <v>-1.122874586752</v>
      </c>
      <c r="AE4722">
        <v>-35.729889999999997</v>
      </c>
      <c r="AF4722">
        <v>-5.0855819043269799</v>
      </c>
      <c r="AG4722">
        <v>-1.122874586752</v>
      </c>
      <c r="AH4722">
        <v>35.347534787595301</v>
      </c>
      <c r="AI4722">
        <v>91.8009543709274</v>
      </c>
      <c r="AJ4722">
        <v>98.187175804530497</v>
      </c>
      <c r="AK4722">
        <v>35.7291506504625</v>
      </c>
      <c r="AL4722">
        <v>80.917608711737998</v>
      </c>
      <c r="AM4722">
        <v>95.633091563743506</v>
      </c>
      <c r="AN4722">
        <v>1.0000000132528399</v>
      </c>
    </row>
    <row r="4723" spans="1:40" x14ac:dyDescent="0.25">
      <c r="A4723" t="str">
        <f>"20190303162355794"</f>
        <v>20190303162355794</v>
      </c>
      <c r="B4723" t="str">
        <f>"1551601435789520"</f>
        <v>1551601435789520</v>
      </c>
      <c r="C4723" t="s">
        <v>40</v>
      </c>
      <c r="D4723">
        <v>5.5453530000000004</v>
      </c>
      <c r="E4723">
        <v>0.48728250000000001</v>
      </c>
      <c r="F4723" t="s">
        <v>41</v>
      </c>
      <c r="G4723">
        <v>-418.93549999999999</v>
      </c>
      <c r="H4723" s="1">
        <v>-8.5521589999999995E-7</v>
      </c>
      <c r="I4723">
        <v>81.186130000000006</v>
      </c>
      <c r="J4723">
        <v>-420.08609999999999</v>
      </c>
      <c r="K4723">
        <v>1.1226370000000001</v>
      </c>
      <c r="L4723">
        <v>116.0351</v>
      </c>
      <c r="M4723">
        <v>-0.109087</v>
      </c>
      <c r="N4723">
        <v>-1.2913920000000001E-2</v>
      </c>
      <c r="O4723">
        <v>-0.99394830000000001</v>
      </c>
      <c r="P4723">
        <v>-1.0010099999999999E-2</v>
      </c>
      <c r="Q4723">
        <v>0.14472119999999999</v>
      </c>
      <c r="R4723">
        <v>-0.98942189999999997</v>
      </c>
      <c r="S4723">
        <v>9.7717289999999998E-2</v>
      </c>
      <c r="T4723">
        <v>-9.7507120000000003E-2</v>
      </c>
      <c r="U4723">
        <v>-3.0484619999999998</v>
      </c>
      <c r="V4723">
        <v>-9.8679509999999998E-2</v>
      </c>
      <c r="W4723">
        <v>0.1569943</v>
      </c>
      <c r="X4723">
        <v>0.98265720000000001</v>
      </c>
      <c r="Y4723">
        <v>-0.140840299999999</v>
      </c>
      <c r="Z4723">
        <v>1.8582950000000001E-2</v>
      </c>
      <c r="AA4723">
        <v>0.98985789999999996</v>
      </c>
      <c r="AB4723">
        <v>25</v>
      </c>
      <c r="AC4723">
        <v>1.1505999999999901</v>
      </c>
      <c r="AD4723">
        <v>-1.1226378552159</v>
      </c>
      <c r="AE4723">
        <v>-34.848969999999902</v>
      </c>
      <c r="AF4723">
        <v>-4.9404974967514601</v>
      </c>
      <c r="AG4723">
        <v>-1.1226378552159</v>
      </c>
      <c r="AH4723">
        <v>34.479694857311998</v>
      </c>
      <c r="AI4723">
        <v>91.846015927111495</v>
      </c>
      <c r="AJ4723">
        <v>98.154246210414698</v>
      </c>
      <c r="AK4723">
        <v>34.849938145177802</v>
      </c>
      <c r="AL4723">
        <v>80.967522656748798</v>
      </c>
      <c r="AM4723">
        <v>95.734480108230002</v>
      </c>
      <c r="AN4723">
        <v>1.0000000143190799</v>
      </c>
    </row>
    <row r="4724" spans="1:40" x14ac:dyDescent="0.25">
      <c r="A4724" t="str">
        <f>"20190303162355819"</f>
        <v>20190303162355819</v>
      </c>
      <c r="B4724" t="str">
        <f>"1551601435810018"</f>
        <v>1551601435810018</v>
      </c>
      <c r="C4724" t="s">
        <v>40</v>
      </c>
      <c r="D4724">
        <v>5.4886280000000003</v>
      </c>
      <c r="E4724">
        <v>0.48701109999999997</v>
      </c>
      <c r="F4724" t="s">
        <v>41</v>
      </c>
      <c r="G4724">
        <v>-419.44479999999999</v>
      </c>
      <c r="H4724" s="1">
        <v>-2.158218E-6</v>
      </c>
      <c r="I4724">
        <v>84.434069999999906</v>
      </c>
      <c r="J4724">
        <v>-420.11320000000001</v>
      </c>
      <c r="K4724">
        <v>1.122358</v>
      </c>
      <c r="L4724">
        <v>115.7567</v>
      </c>
      <c r="M4724">
        <v>-0.1064184</v>
      </c>
      <c r="N4724">
        <v>-1.2893129999999999E-2</v>
      </c>
      <c r="O4724">
        <v>-0.99423810000000001</v>
      </c>
      <c r="P4724">
        <v>-5.7798969999999896E-3</v>
      </c>
      <c r="Q4724">
        <v>0.14279549999999999</v>
      </c>
      <c r="R4724">
        <v>-0.98973580000000005</v>
      </c>
      <c r="S4724">
        <v>6.1859129999999998E-2</v>
      </c>
      <c r="T4724">
        <v>-0.1083012</v>
      </c>
      <c r="U4724">
        <v>-3.0485530000000001</v>
      </c>
      <c r="V4724">
        <v>-0.100164</v>
      </c>
      <c r="W4724">
        <v>0.1551099</v>
      </c>
      <c r="X4724">
        <v>0.98280630000000002</v>
      </c>
      <c r="Y4724">
        <v>-0.12653239999999999</v>
      </c>
      <c r="Z4724">
        <v>2.2152359999999999E-2</v>
      </c>
      <c r="AA4724">
        <v>0.99171509999999996</v>
      </c>
      <c r="AB4724">
        <v>25</v>
      </c>
      <c r="AC4724">
        <v>0.66840000000001898</v>
      </c>
      <c r="AD4724">
        <v>-1.1223601582179901</v>
      </c>
      <c r="AE4724">
        <v>-31.32263</v>
      </c>
      <c r="AF4724">
        <v>-3.99305967237557</v>
      </c>
      <c r="AG4724">
        <v>-1.1223601582179901</v>
      </c>
      <c r="AH4724">
        <v>31.033769351001698</v>
      </c>
      <c r="AI4724">
        <v>92.054322568231498</v>
      </c>
      <c r="AJ4724">
        <v>97.331861805117796</v>
      </c>
      <c r="AK4724">
        <v>31.309727849393401</v>
      </c>
      <c r="AL4724">
        <v>81.076830444559903</v>
      </c>
      <c r="AM4724">
        <v>95.819282254723504</v>
      </c>
      <c r="AN4724">
        <v>1.00000006564684</v>
      </c>
    </row>
    <row r="4725" spans="1:40" x14ac:dyDescent="0.25">
      <c r="A4725" t="str">
        <f>"20190303162355837"</f>
        <v>20190303162355837</v>
      </c>
      <c r="B4725" t="str">
        <f>"1551601435829536"</f>
        <v>1551601435829536</v>
      </c>
      <c r="C4725" t="s">
        <v>40</v>
      </c>
      <c r="D4725">
        <v>5.6048249999999999</v>
      </c>
      <c r="E4725">
        <v>0.48735400000000001</v>
      </c>
      <c r="F4725" t="s">
        <v>41</v>
      </c>
      <c r="G4725">
        <v>-419.37049999999999</v>
      </c>
      <c r="H4725" s="1">
        <v>-2.9196189999999999E-6</v>
      </c>
      <c r="I4725">
        <v>86.178179999999998</v>
      </c>
      <c r="J4725">
        <v>-420.13240000000002</v>
      </c>
      <c r="K4725">
        <v>1.1221479999999999</v>
      </c>
      <c r="L4725">
        <v>115.55800000000001</v>
      </c>
      <c r="M4725">
        <v>-0.10481650000000001</v>
      </c>
      <c r="N4725">
        <v>-1.2879140000000001E-2</v>
      </c>
      <c r="O4725">
        <v>-0.99440830000000002</v>
      </c>
      <c r="P4725">
        <v>-2.2311459999999998E-3</v>
      </c>
      <c r="Q4725">
        <v>0.14170529999999901</v>
      </c>
      <c r="R4725">
        <v>-0.98990659999999997</v>
      </c>
      <c r="S4725">
        <v>7.6538090000000003E-2</v>
      </c>
      <c r="T4725">
        <v>-0.11566559999999999</v>
      </c>
      <c r="U4725">
        <v>-3.0482330000000002</v>
      </c>
      <c r="V4725">
        <v>-0.10204009999999999</v>
      </c>
      <c r="W4725">
        <v>0.15405079999999999</v>
      </c>
      <c r="X4725">
        <v>0.98277979999999998</v>
      </c>
      <c r="Y4725">
        <v>-0.1297045</v>
      </c>
      <c r="Z4725">
        <v>2.4548380000000002E-2</v>
      </c>
      <c r="AA4725">
        <v>0.99124880000000004</v>
      </c>
      <c r="AB4725">
        <v>25</v>
      </c>
      <c r="AC4725">
        <v>0.761900000000025</v>
      </c>
      <c r="AD4725">
        <v>-1.1221509196189901</v>
      </c>
      <c r="AE4725">
        <v>-29.379819999999899</v>
      </c>
      <c r="AF4725">
        <v>-3.8318611343465698</v>
      </c>
      <c r="AG4725">
        <v>-1.1221509196189901</v>
      </c>
      <c r="AH4725">
        <v>29.095673326076799</v>
      </c>
      <c r="AI4725">
        <v>92.189777225336002</v>
      </c>
      <c r="AJ4725">
        <v>97.502599728812001</v>
      </c>
      <c r="AK4725">
        <v>29.368360334501102</v>
      </c>
      <c r="AL4725">
        <v>81.138249924106006</v>
      </c>
      <c r="AM4725">
        <v>95.927668747885903</v>
      </c>
      <c r="AN4725">
        <v>0.99999998313834404</v>
      </c>
    </row>
    <row r="4726" spans="1:40" x14ac:dyDescent="0.25">
      <c r="A4726" t="str">
        <f>"20190303162355859"</f>
        <v>20190303162355859</v>
      </c>
      <c r="B4726" t="str">
        <f>"1551601435850033"</f>
        <v>1551601435850033</v>
      </c>
      <c r="C4726" t="s">
        <v>40</v>
      </c>
      <c r="D4726">
        <v>5.5345849999999999</v>
      </c>
      <c r="E4726">
        <v>0.49470360000000002</v>
      </c>
      <c r="F4726" t="s">
        <v>41</v>
      </c>
      <c r="G4726">
        <v>-419.35579999999999</v>
      </c>
      <c r="H4726" s="1">
        <v>-3.385767E-6</v>
      </c>
      <c r="I4726">
        <v>87.258700000000005</v>
      </c>
      <c r="J4726">
        <v>-420.15620000000001</v>
      </c>
      <c r="K4726">
        <v>1.12188</v>
      </c>
      <c r="L4726">
        <v>115.31180000000001</v>
      </c>
      <c r="M4726">
        <v>-0.1031485</v>
      </c>
      <c r="N4726">
        <v>-1.2863370000000001E-2</v>
      </c>
      <c r="O4726">
        <v>-0.99458279999999999</v>
      </c>
      <c r="P4726">
        <v>1.9694589999999998E-3</v>
      </c>
      <c r="Q4726">
        <v>0.1415515</v>
      </c>
      <c r="R4726">
        <v>-0.98992899999999995</v>
      </c>
      <c r="S4726">
        <v>8.3648680000000003E-2</v>
      </c>
      <c r="T4726">
        <v>-0.1208656</v>
      </c>
      <c r="U4726">
        <v>-3.0480800000000001</v>
      </c>
      <c r="V4726">
        <v>-0.1044663</v>
      </c>
      <c r="W4726">
        <v>0.1539392</v>
      </c>
      <c r="X4726">
        <v>0.98254240000000004</v>
      </c>
      <c r="Y4726">
        <v>-0.13035070000000001</v>
      </c>
      <c r="Z4726">
        <v>2.625359E-2</v>
      </c>
      <c r="AA4726">
        <v>0.99112029999999995</v>
      </c>
      <c r="AB4726">
        <v>25</v>
      </c>
      <c r="AC4726">
        <v>0.80040000000002398</v>
      </c>
      <c r="AD4726">
        <v>-1.1218833857670001</v>
      </c>
      <c r="AE4726">
        <v>-28.053100000000001</v>
      </c>
      <c r="AF4726">
        <v>-3.6841172425236501</v>
      </c>
      <c r="AG4726">
        <v>-1.1218833857670001</v>
      </c>
      <c r="AH4726">
        <v>27.776484952290801</v>
      </c>
      <c r="AI4726">
        <v>92.292843069584407</v>
      </c>
      <c r="AJ4726">
        <v>97.555292982669997</v>
      </c>
      <c r="AK4726">
        <v>28.042190686405998</v>
      </c>
      <c r="AL4726">
        <v>81.144721713270201</v>
      </c>
      <c r="AM4726">
        <v>96.069026278467504</v>
      </c>
      <c r="AN4726">
        <v>1.0000000264650399</v>
      </c>
    </row>
    <row r="4727" spans="1:40" x14ac:dyDescent="0.25">
      <c r="A4727" t="str">
        <f>"20190303162355883"</f>
        <v>20190303162355883</v>
      </c>
      <c r="B4727" t="str">
        <f>"1551601435869553"</f>
        <v>1551601435869553</v>
      </c>
      <c r="C4727" t="s">
        <v>40</v>
      </c>
      <c r="D4727">
        <v>5.2699369999999996</v>
      </c>
      <c r="E4727">
        <v>0.4962838</v>
      </c>
      <c r="F4727" t="s">
        <v>41</v>
      </c>
      <c r="G4727">
        <v>-419.95030000000003</v>
      </c>
      <c r="H4727" s="1">
        <v>-3.388129E-6</v>
      </c>
      <c r="I4727">
        <v>97.510019999999997</v>
      </c>
      <c r="J4727">
        <v>-420.17989999999998</v>
      </c>
      <c r="K4727">
        <v>1.121624</v>
      </c>
      <c r="L4727">
        <v>115.0668</v>
      </c>
      <c r="M4727">
        <v>-0.1018477</v>
      </c>
      <c r="N4727">
        <v>-1.2849370000000001E-2</v>
      </c>
      <c r="O4727">
        <v>-0.99471710000000002</v>
      </c>
      <c r="P4727">
        <v>4.031041E-3</v>
      </c>
      <c r="Q4727">
        <v>0.14157169999999999</v>
      </c>
      <c r="R4727">
        <v>-0.98992009999999997</v>
      </c>
      <c r="S4727">
        <v>3.5369869999999998E-2</v>
      </c>
      <c r="T4727">
        <v>-0.1927181</v>
      </c>
      <c r="U4727">
        <v>-3.058014</v>
      </c>
      <c r="V4727">
        <v>-0.1051308</v>
      </c>
      <c r="W4727">
        <v>0.1540098</v>
      </c>
      <c r="X4727">
        <v>0.98246040000000001</v>
      </c>
      <c r="Y4727">
        <v>-0.1132846</v>
      </c>
      <c r="Z4727">
        <v>4.9364289999999998E-2</v>
      </c>
      <c r="AA4727">
        <v>0.99233550000000004</v>
      </c>
      <c r="AB4727">
        <v>25</v>
      </c>
      <c r="AC4727">
        <v>0.22959999999994801</v>
      </c>
      <c r="AD4727">
        <v>-1.121627388129</v>
      </c>
      <c r="AE4727">
        <v>-17.55678</v>
      </c>
      <c r="AF4727">
        <v>-2.0084750705499199</v>
      </c>
      <c r="AG4727">
        <v>-1.121627388129</v>
      </c>
      <c r="AH4727">
        <v>17.371197130615499</v>
      </c>
      <c r="AI4727">
        <v>93.669976964790806</v>
      </c>
      <c r="AJ4727">
        <v>96.595309820276199</v>
      </c>
      <c r="AK4727">
        <v>17.5228567835706</v>
      </c>
      <c r="AL4727">
        <v>81.140627311795896</v>
      </c>
      <c r="AM4727">
        <v>96.107845811403095</v>
      </c>
      <c r="AN4727">
        <v>0.99999997058641898</v>
      </c>
    </row>
    <row r="4728" spans="1:40" x14ac:dyDescent="0.25">
      <c r="A4728" t="str">
        <f>"20190303162355905"</f>
        <v>20190303162355905</v>
      </c>
      <c r="B4728" t="str">
        <f>"1551601435899809"</f>
        <v>1551601435899809</v>
      </c>
      <c r="C4728" t="s">
        <v>40</v>
      </c>
      <c r="D4728">
        <v>5.3526879999999997</v>
      </c>
      <c r="E4728">
        <v>0.498838</v>
      </c>
      <c r="F4728" t="s">
        <v>41</v>
      </c>
      <c r="G4728">
        <v>-420.0206</v>
      </c>
      <c r="H4728" s="1">
        <v>-3.547985E-6</v>
      </c>
      <c r="I4728">
        <v>97.846760000000003</v>
      </c>
      <c r="J4728">
        <v>-420.20400000000001</v>
      </c>
      <c r="K4728">
        <v>1.121391</v>
      </c>
      <c r="L4728">
        <v>114.818</v>
      </c>
      <c r="M4728">
        <v>-0.10090929999999999</v>
      </c>
      <c r="N4728">
        <v>-1.283655E-2</v>
      </c>
      <c r="O4728">
        <v>-0.99481299999999995</v>
      </c>
      <c r="P4728">
        <v>4.4193619999999996E-3</v>
      </c>
      <c r="Q4728">
        <v>0.14167449999999901</v>
      </c>
      <c r="R4728">
        <v>-0.98990370000000005</v>
      </c>
      <c r="S4728">
        <v>2.8289789999999999E-2</v>
      </c>
      <c r="T4728">
        <v>-0.19924310000000001</v>
      </c>
      <c r="U4728">
        <v>-3.058929</v>
      </c>
      <c r="V4728">
        <v>-0.1044977</v>
      </c>
      <c r="W4728">
        <v>0.15416250000000001</v>
      </c>
      <c r="X4728">
        <v>0.98250400000000004</v>
      </c>
      <c r="Y4728">
        <v>-0.1100458</v>
      </c>
      <c r="Z4728">
        <v>5.1480230000000002E-2</v>
      </c>
      <c r="AA4728">
        <v>0.99259240000000004</v>
      </c>
      <c r="AB4728">
        <v>25</v>
      </c>
      <c r="AC4728">
        <v>0.183400000000006</v>
      </c>
      <c r="AD4728">
        <v>-1.121394547985</v>
      </c>
      <c r="AE4728">
        <v>-16.971239999999899</v>
      </c>
      <c r="AF4728">
        <v>-1.8869229914966901</v>
      </c>
      <c r="AG4728">
        <v>-1.121394547985</v>
      </c>
      <c r="AH4728">
        <v>16.792780201326099</v>
      </c>
      <c r="AI4728">
        <v>93.796624568186999</v>
      </c>
      <c r="AJ4728">
        <v>96.411155918695997</v>
      </c>
      <c r="AK4728">
        <v>16.935627269107599</v>
      </c>
      <c r="AL4728">
        <v>81.131772561679597</v>
      </c>
      <c r="AM4728">
        <v>96.071072357431007</v>
      </c>
      <c r="AN4728">
        <v>0.99999997786376904</v>
      </c>
    </row>
    <row r="4729" spans="1:40" x14ac:dyDescent="0.25">
      <c r="A4729" t="str">
        <f>"20190303162355961"</f>
        <v>20190303162355961</v>
      </c>
      <c r="B4729" t="str">
        <f>"1551601435949584"</f>
        <v>1551601435949584</v>
      </c>
      <c r="C4729" t="s">
        <v>40</v>
      </c>
      <c r="D4729">
        <v>5.6337010000000003</v>
      </c>
      <c r="E4729">
        <v>0.50148490000000001</v>
      </c>
      <c r="F4729" t="s">
        <v>41</v>
      </c>
      <c r="G4729">
        <v>-420.15129999999999</v>
      </c>
      <c r="H4729" s="1">
        <v>-3.6155910000000001E-6</v>
      </c>
      <c r="I4729">
        <v>97.923299999999998</v>
      </c>
      <c r="J4729">
        <v>-420.26339999999999</v>
      </c>
      <c r="K4729">
        <v>1.120986</v>
      </c>
      <c r="L4729">
        <v>114.21250000000001</v>
      </c>
      <c r="M4729">
        <v>-9.9814769999999997E-2</v>
      </c>
      <c r="N4729">
        <v>-1.281029E-2</v>
      </c>
      <c r="O4729">
        <v>-0.99492369999999997</v>
      </c>
      <c r="P4729">
        <v>1.071554E-3</v>
      </c>
      <c r="Q4729">
        <v>0.14305699999999999</v>
      </c>
      <c r="R4729">
        <v>-0.98971410000000004</v>
      </c>
      <c r="S4729">
        <v>9.5520020000000004E-3</v>
      </c>
      <c r="T4729">
        <v>-0.2030843</v>
      </c>
      <c r="U4729">
        <v>-3.059631</v>
      </c>
      <c r="V4729">
        <v>-9.9905949999999993E-2</v>
      </c>
      <c r="W4729">
        <v>0.1556313</v>
      </c>
      <c r="X4729">
        <v>0.98275009999999996</v>
      </c>
      <c r="Y4729">
        <v>-0.10287159999999999</v>
      </c>
      <c r="Z4729">
        <v>5.276844E-2</v>
      </c>
      <c r="AA4729">
        <v>0.99329400000000001</v>
      </c>
      <c r="AB4729">
        <v>25</v>
      </c>
      <c r="AC4729">
        <v>0.11209999999999801</v>
      </c>
      <c r="AD4729">
        <v>-1.120989615591</v>
      </c>
      <c r="AE4729">
        <v>-16.289200000000001</v>
      </c>
      <c r="AF4729">
        <v>-1.7293862149250301</v>
      </c>
      <c r="AG4729">
        <v>-1.120989615591</v>
      </c>
      <c r="AH4729">
        <v>16.1203080528364</v>
      </c>
      <c r="AI4729">
        <v>93.9552630390411</v>
      </c>
      <c r="AJ4729">
        <v>96.123270459340901</v>
      </c>
      <c r="AK4729">
        <v>16.251514579170099</v>
      </c>
      <c r="AL4729">
        <v>81.046588860215294</v>
      </c>
      <c r="AM4729">
        <v>95.804722344692706</v>
      </c>
      <c r="AN4729">
        <v>1.00000002971755</v>
      </c>
    </row>
    <row r="4730" spans="1:40" x14ac:dyDescent="0.25">
      <c r="A4730" t="str">
        <f>"20190303162355982"</f>
        <v>20190303162355982</v>
      </c>
      <c r="B4730" t="str">
        <f>"1551601435970081"</f>
        <v>1551601435970081</v>
      </c>
      <c r="C4730" t="s">
        <v>40</v>
      </c>
      <c r="D4730">
        <v>5.6963869999999996</v>
      </c>
      <c r="E4730">
        <v>0.50190659999999998</v>
      </c>
      <c r="F4730" t="s">
        <v>41</v>
      </c>
      <c r="G4730">
        <v>-420.37909999999999</v>
      </c>
      <c r="H4730" s="1">
        <v>-3.498514E-6</v>
      </c>
      <c r="I4730">
        <v>97.509079999999997</v>
      </c>
      <c r="J4730">
        <v>-420.28730000000002</v>
      </c>
      <c r="K4730">
        <v>1.1208830000000001</v>
      </c>
      <c r="L4730">
        <v>113.9713</v>
      </c>
      <c r="M4730">
        <v>-9.9719119999999994E-2</v>
      </c>
      <c r="N4730">
        <v>-1.28015E-2</v>
      </c>
      <c r="O4730">
        <v>-0.99493339999999997</v>
      </c>
      <c r="P4730" s="1">
        <v>-9.6217610000000006E-5</v>
      </c>
      <c r="Q4730">
        <v>0.14496419999999999</v>
      </c>
      <c r="R4730">
        <v>-0.98943700000000001</v>
      </c>
      <c r="S4730">
        <v>-2.1209720000000001E-2</v>
      </c>
      <c r="T4730">
        <v>-0.20541980000000001</v>
      </c>
      <c r="U4730">
        <v>-3.060883</v>
      </c>
      <c r="V4730">
        <v>-9.8578289999999999E-2</v>
      </c>
      <c r="W4730">
        <v>0.15755569999999999</v>
      </c>
      <c r="X4730">
        <v>0.98257749999999999</v>
      </c>
      <c r="Y4730">
        <v>-9.2792310000000003E-2</v>
      </c>
      <c r="Z4730">
        <v>5.3541360000000003E-2</v>
      </c>
      <c r="AA4730">
        <v>0.99424489999999999</v>
      </c>
      <c r="AB4730">
        <v>25</v>
      </c>
      <c r="AC4730">
        <v>-9.1799999999977899E-2</v>
      </c>
      <c r="AD4730">
        <v>-1.1208864985139999</v>
      </c>
      <c r="AE4730">
        <v>-16.462219999999899</v>
      </c>
      <c r="AF4730">
        <v>-1.54323578449087</v>
      </c>
      <c r="AG4730">
        <v>-1.1208864985139999</v>
      </c>
      <c r="AH4730">
        <v>16.313679254419799</v>
      </c>
      <c r="AI4730">
        <v>93.913107906738006</v>
      </c>
      <c r="AJ4730">
        <v>95.403965092820897</v>
      </c>
      <c r="AK4730">
        <v>16.4248011873865</v>
      </c>
      <c r="AL4730">
        <v>80.934951419262205</v>
      </c>
      <c r="AM4730">
        <v>95.729098714628705</v>
      </c>
      <c r="AN4730">
        <v>1.0000000106840301</v>
      </c>
    </row>
    <row r="4731" spans="1:40" x14ac:dyDescent="0.25">
      <c r="A4731" t="str">
        <f>"20190303162356005"</f>
        <v>20190303162356005</v>
      </c>
      <c r="B4731" t="str">
        <f>"1551601435999361"</f>
        <v>1551601435999361</v>
      </c>
      <c r="C4731" t="s">
        <v>40</v>
      </c>
      <c r="D4731">
        <v>5.5079180000000001</v>
      </c>
      <c r="E4731">
        <v>0.5279587</v>
      </c>
      <c r="F4731" t="s">
        <v>41</v>
      </c>
      <c r="G4731">
        <v>-420.45179999999999</v>
      </c>
      <c r="H4731" s="1">
        <v>-3.2239830000000001E-6</v>
      </c>
      <c r="I4731">
        <v>96.824100000000001</v>
      </c>
      <c r="J4731">
        <v>-420.31189999999998</v>
      </c>
      <c r="K4731">
        <v>1.1207879999999999</v>
      </c>
      <c r="L4731">
        <v>113.7248</v>
      </c>
      <c r="M4731">
        <v>-9.9784460000000005E-2</v>
      </c>
      <c r="N4731">
        <v>-1.2793819999999999E-2</v>
      </c>
      <c r="O4731">
        <v>-0.99492689999999995</v>
      </c>
      <c r="P4731" s="1">
        <v>-6.5892589999999999E-5</v>
      </c>
      <c r="Q4731">
        <v>0.14634420000000001</v>
      </c>
      <c r="R4731">
        <v>-0.98923380000000005</v>
      </c>
      <c r="S4731">
        <v>-2.9357910000000001E-2</v>
      </c>
      <c r="T4731">
        <v>-0.20011499999999999</v>
      </c>
      <c r="U4731">
        <v>-3.06134</v>
      </c>
      <c r="V4731">
        <v>-9.8614530000000006E-2</v>
      </c>
      <c r="W4731">
        <v>0.15894929999999999</v>
      </c>
      <c r="X4731">
        <v>0.98234940000000004</v>
      </c>
      <c r="Y4731">
        <v>-9.0213810000000005E-2</v>
      </c>
      <c r="Z4731">
        <v>5.184101E-2</v>
      </c>
      <c r="AA4731">
        <v>0.99457229999999996</v>
      </c>
      <c r="AB4731">
        <v>25</v>
      </c>
      <c r="AC4731">
        <v>-0.13990000000001099</v>
      </c>
      <c r="AD4731">
        <v>-1.12079122398299</v>
      </c>
      <c r="AE4731">
        <v>-16.900700000000001</v>
      </c>
      <c r="AF4731">
        <v>-1.5405886633443</v>
      </c>
      <c r="AG4731">
        <v>-1.12079122398299</v>
      </c>
      <c r="AH4731">
        <v>16.756609105915299</v>
      </c>
      <c r="AI4731">
        <v>93.810591858263706</v>
      </c>
      <c r="AJ4731">
        <v>95.252958635115107</v>
      </c>
      <c r="AK4731">
        <v>16.864564480763399</v>
      </c>
      <c r="AL4731">
        <v>80.854085118902603</v>
      </c>
      <c r="AM4731">
        <v>95.732512776675605</v>
      </c>
      <c r="AN4731">
        <v>1.00000002458898</v>
      </c>
    </row>
    <row r="4732" spans="1:40" x14ac:dyDescent="0.25">
      <c r="A4732" t="str">
        <f>"20190303162356027"</f>
        <v>20190303162356027</v>
      </c>
      <c r="B4732" t="str">
        <f>"1551601436019857"</f>
        <v>1551601436019857</v>
      </c>
      <c r="C4732" t="s">
        <v>40</v>
      </c>
      <c r="D4732">
        <v>5.5101750000000003</v>
      </c>
      <c r="E4732">
        <v>0.54431439999999998</v>
      </c>
      <c r="F4732" t="s">
        <v>42</v>
      </c>
      <c r="G4732">
        <v>-420.38299999999998</v>
      </c>
      <c r="H4732">
        <v>0.99661849999999996</v>
      </c>
      <c r="I4732">
        <v>112.8284</v>
      </c>
      <c r="J4732">
        <v>-420.33580000000001</v>
      </c>
      <c r="K4732">
        <v>1.1207100000000001</v>
      </c>
      <c r="L4732">
        <v>113.4872</v>
      </c>
      <c r="M4732">
        <v>-9.9947090000000002E-2</v>
      </c>
      <c r="N4732">
        <v>-1.2787389999999999E-2</v>
      </c>
      <c r="O4732">
        <v>-0.99491059999999998</v>
      </c>
      <c r="P4732">
        <v>-1.5424970000000001E-3</v>
      </c>
      <c r="Q4732">
        <v>0.14680399999999999</v>
      </c>
      <c r="R4732">
        <v>-0.9891645</v>
      </c>
      <c r="S4732">
        <v>-0.2445068</v>
      </c>
      <c r="T4732">
        <v>-0.42888870000000001</v>
      </c>
      <c r="U4732">
        <v>-3.0960999999999999</v>
      </c>
      <c r="V4732">
        <v>-9.7266770000000002E-2</v>
      </c>
      <c r="W4732">
        <v>0.15942239999999999</v>
      </c>
      <c r="X4732">
        <v>0.98240709999999998</v>
      </c>
      <c r="Y4732">
        <v>-2.189545E-2</v>
      </c>
      <c r="Z4732">
        <v>0.1233389</v>
      </c>
      <c r="AA4732">
        <v>0.99212299999999998</v>
      </c>
      <c r="AB4732">
        <v>25</v>
      </c>
      <c r="AC4732">
        <v>-4.7200000000032098E-2</v>
      </c>
      <c r="AD4732">
        <v>-0.12409149999999999</v>
      </c>
      <c r="AE4732">
        <v>-0.65879999999999905</v>
      </c>
      <c r="AF4732">
        <v>-1.8242961579316899E-2</v>
      </c>
      <c r="AG4732">
        <v>-0.12409149999999999</v>
      </c>
      <c r="AH4732">
        <v>0.63770856906108397</v>
      </c>
      <c r="AI4732">
        <v>101.007165342227</v>
      </c>
      <c r="AJ4732">
        <v>91.638616391469199</v>
      </c>
      <c r="AK4732">
        <v>0.64992593814477795</v>
      </c>
      <c r="AL4732">
        <v>80.826628315441894</v>
      </c>
      <c r="AM4732">
        <v>95.654348067663605</v>
      </c>
      <c r="AN4732">
        <v>1.0000000181491999</v>
      </c>
    </row>
    <row r="4733" spans="1:40" x14ac:dyDescent="0.25">
      <c r="A4733" t="str">
        <f>"20190303162356049"</f>
        <v>20190303162356049</v>
      </c>
      <c r="B4733" t="str">
        <f>"1551601436039377"</f>
        <v>1551601436039377</v>
      </c>
      <c r="C4733" t="s">
        <v>40</v>
      </c>
      <c r="D4733">
        <v>5.4590630000000004</v>
      </c>
      <c r="E4733">
        <v>0.54253109999999904</v>
      </c>
      <c r="F4733" t="s">
        <v>42</v>
      </c>
      <c r="G4733">
        <v>-420.4366</v>
      </c>
      <c r="H4733">
        <v>0.87350369999999999</v>
      </c>
      <c r="I4733">
        <v>112.67140000000001</v>
      </c>
      <c r="J4733">
        <v>-420.35989999999998</v>
      </c>
      <c r="K4733">
        <v>1.120641</v>
      </c>
      <c r="L4733">
        <v>113.2495</v>
      </c>
      <c r="M4733">
        <v>-0.1001682</v>
      </c>
      <c r="N4733">
        <v>-1.278171E-2</v>
      </c>
      <c r="O4733">
        <v>-0.99488840000000001</v>
      </c>
      <c r="P4733">
        <v>-4.3880730000000001E-3</v>
      </c>
      <c r="Q4733">
        <v>0.14529909999999999</v>
      </c>
      <c r="R4733">
        <v>-0.98937799999999998</v>
      </c>
      <c r="S4733">
        <v>-0.39080809999999999</v>
      </c>
      <c r="T4733">
        <v>-0.96207399999999998</v>
      </c>
      <c r="U4733">
        <v>-3.175049</v>
      </c>
      <c r="V4733">
        <v>-9.4652500000000001E-2</v>
      </c>
      <c r="W4733">
        <v>0.157931399999999</v>
      </c>
      <c r="X4733">
        <v>0.98290310000000003</v>
      </c>
      <c r="Y4733">
        <v>1.7358439999999999E-2</v>
      </c>
      <c r="Z4733">
        <v>0.27467390000000003</v>
      </c>
      <c r="AA4733">
        <v>0.96138069999999998</v>
      </c>
      <c r="AB4733">
        <v>25</v>
      </c>
      <c r="AC4733">
        <v>-7.6700000000016602E-2</v>
      </c>
      <c r="AD4733">
        <v>-0.2471373</v>
      </c>
      <c r="AE4733">
        <v>-0.57809999999999195</v>
      </c>
      <c r="AF4733">
        <v>1.5600455976662099E-2</v>
      </c>
      <c r="AG4733">
        <v>-0.2471373</v>
      </c>
      <c r="AH4733">
        <v>0.49413222617849101</v>
      </c>
      <c r="AI4733">
        <v>116.560237682281</v>
      </c>
      <c r="AJ4733">
        <v>88.191691542676907</v>
      </c>
      <c r="AK4733">
        <v>0.55270867211043595</v>
      </c>
      <c r="AL4733">
        <v>80.913152041595197</v>
      </c>
      <c r="AM4733">
        <v>95.500560012152306</v>
      </c>
      <c r="AN4733">
        <v>0.99999996342590902</v>
      </c>
    </row>
    <row r="4734" spans="1:40" x14ac:dyDescent="0.25">
      <c r="A4734" t="str">
        <f>"20190303162356072"</f>
        <v>20190303162356072</v>
      </c>
      <c r="B4734" t="str">
        <f>"1551601436059873"</f>
        <v>1551601436059873</v>
      </c>
      <c r="C4734" t="s">
        <v>40</v>
      </c>
      <c r="D4734">
        <v>5.4590139999999998</v>
      </c>
      <c r="E4734">
        <v>0.54248319999999906</v>
      </c>
      <c r="F4734" t="s">
        <v>42</v>
      </c>
      <c r="G4734">
        <v>-420.4547</v>
      </c>
      <c r="H4734">
        <v>0.86431990000000003</v>
      </c>
      <c r="I4734">
        <v>112.4569</v>
      </c>
      <c r="J4734">
        <v>-420.38569999999999</v>
      </c>
      <c r="K4734">
        <v>1.1205860000000001</v>
      </c>
      <c r="L4734">
        <v>112.99639999999999</v>
      </c>
      <c r="M4734">
        <v>-0.1004437</v>
      </c>
      <c r="N4734">
        <v>-1.277623E-2</v>
      </c>
      <c r="O4734">
        <v>-0.99486090000000005</v>
      </c>
      <c r="P4734">
        <v>-7.76168E-3</v>
      </c>
      <c r="Q4734">
        <v>0.1411868</v>
      </c>
      <c r="R4734">
        <v>-0.98995250000000001</v>
      </c>
      <c r="S4734">
        <v>-0.37893680000000002</v>
      </c>
      <c r="T4734">
        <v>-1.0287059999999999</v>
      </c>
      <c r="U4734">
        <v>-3.1815950000000002</v>
      </c>
      <c r="V4734">
        <v>-9.1613520000000004E-2</v>
      </c>
      <c r="W4734">
        <v>0.15383269999999999</v>
      </c>
      <c r="X4734">
        <v>0.98384070000000001</v>
      </c>
      <c r="Y4734">
        <v>1.2692409999999999E-2</v>
      </c>
      <c r="Z4734">
        <v>0.29229699999999997</v>
      </c>
      <c r="AA4734">
        <v>0.95624339999999997</v>
      </c>
      <c r="AB4734">
        <v>24</v>
      </c>
      <c r="AC4734">
        <v>-6.9000000000016798E-2</v>
      </c>
      <c r="AD4734">
        <v>-0.2562661</v>
      </c>
      <c r="AE4734">
        <v>-0.53949999999998899</v>
      </c>
      <c r="AF4734">
        <v>1.1830771960255899E-2</v>
      </c>
      <c r="AG4734">
        <v>-0.2562661</v>
      </c>
      <c r="AH4734">
        <v>0.44492827301344101</v>
      </c>
      <c r="AI4734">
        <v>119.931969154992</v>
      </c>
      <c r="AJ4734">
        <v>88.476847498165597</v>
      </c>
      <c r="AK4734">
        <v>0.51358879397929702</v>
      </c>
      <c r="AL4734">
        <v>81.150897302890698</v>
      </c>
      <c r="AM4734">
        <v>95.319941448506697</v>
      </c>
      <c r="AN4734">
        <v>1.0000000298062801</v>
      </c>
    </row>
    <row r="4735" spans="1:40" x14ac:dyDescent="0.25">
      <c r="A4735" t="str">
        <f>"20190303162356095"</f>
        <v>20190303162356095</v>
      </c>
      <c r="B4735" t="str">
        <f>"1551601436089153"</f>
        <v>1551601436089153</v>
      </c>
      <c r="C4735" t="s">
        <v>40</v>
      </c>
      <c r="D4735">
        <v>5.4717739999999999</v>
      </c>
      <c r="E4735">
        <v>0.54242029999999997</v>
      </c>
      <c r="F4735" t="s">
        <v>42</v>
      </c>
      <c r="G4735">
        <v>-420.47730000000001</v>
      </c>
      <c r="H4735">
        <v>0.86943110000000001</v>
      </c>
      <c r="I4735">
        <v>112.23690000000001</v>
      </c>
      <c r="J4735">
        <v>-420.41149999999999</v>
      </c>
      <c r="K4735">
        <v>1.12056</v>
      </c>
      <c r="L4735">
        <v>112.7449</v>
      </c>
      <c r="M4735">
        <v>-0.1007378</v>
      </c>
      <c r="N4735">
        <v>-1.2771309999999999E-2</v>
      </c>
      <c r="O4735">
        <v>-0.99483109999999997</v>
      </c>
      <c r="P4735">
        <v>-9.9749920000000002E-3</v>
      </c>
      <c r="Q4735">
        <v>0.13779710000000001</v>
      </c>
      <c r="R4735">
        <v>-0.99041029999999997</v>
      </c>
      <c r="S4735">
        <v>-0.38302609999999998</v>
      </c>
      <c r="T4735">
        <v>-1.05063</v>
      </c>
      <c r="U4735">
        <v>-3.1772770000000001</v>
      </c>
      <c r="V4735">
        <v>-8.9747090000000002E-2</v>
      </c>
      <c r="W4735">
        <v>0.1504479</v>
      </c>
      <c r="X4735">
        <v>0.98453590000000002</v>
      </c>
      <c r="Y4735">
        <v>1.352743E-2</v>
      </c>
      <c r="Z4735">
        <v>0.2985332</v>
      </c>
      <c r="AA4735">
        <v>0.95430340000000002</v>
      </c>
      <c r="AB4735">
        <v>24</v>
      </c>
      <c r="AC4735">
        <v>-6.58000000000242E-2</v>
      </c>
      <c r="AD4735">
        <v>-0.25112889999999999</v>
      </c>
      <c r="AE4735">
        <v>-0.50799999999999501</v>
      </c>
      <c r="AF4735">
        <v>1.1517937650954E-2</v>
      </c>
      <c r="AG4735">
        <v>-0.25112889999999999</v>
      </c>
      <c r="AH4735">
        <v>0.412823313762262</v>
      </c>
      <c r="AI4735">
        <v>121.303111204614</v>
      </c>
      <c r="AJ4735">
        <v>88.401839147091593</v>
      </c>
      <c r="AK4735">
        <v>0.483344055191119</v>
      </c>
      <c r="AL4735">
        <v>81.347116311691195</v>
      </c>
      <c r="AM4735">
        <v>95.208501936349094</v>
      </c>
      <c r="AN4735">
        <v>1.00000002458334</v>
      </c>
    </row>
    <row r="4736" spans="1:40" x14ac:dyDescent="0.25">
      <c r="A4736" t="str">
        <f>"20190303162356118"</f>
        <v>20190303162356118</v>
      </c>
      <c r="B4736" t="str">
        <f>"1551601436109649"</f>
        <v>1551601436109649</v>
      </c>
      <c r="C4736" t="s">
        <v>40</v>
      </c>
      <c r="D4736">
        <v>5.4940540000000002</v>
      </c>
      <c r="E4736">
        <v>0.54260710000000001</v>
      </c>
      <c r="F4736" t="s">
        <v>42</v>
      </c>
      <c r="G4736">
        <v>-420.50060000000002</v>
      </c>
      <c r="H4736">
        <v>0.87519669999999905</v>
      </c>
      <c r="I4736">
        <v>112.0168</v>
      </c>
      <c r="J4736">
        <v>-420.43680000000001</v>
      </c>
      <c r="K4736">
        <v>1.120565</v>
      </c>
      <c r="L4736">
        <v>112.4979</v>
      </c>
      <c r="M4736">
        <v>-0.1010318</v>
      </c>
      <c r="N4736">
        <v>-1.276702E-2</v>
      </c>
      <c r="O4736">
        <v>-0.9948013</v>
      </c>
      <c r="P4736">
        <v>-1.168638E-2</v>
      </c>
      <c r="Q4736">
        <v>0.13616329999999999</v>
      </c>
      <c r="R4736">
        <v>-0.99061779999999999</v>
      </c>
      <c r="S4736">
        <v>-0.38729859999999999</v>
      </c>
      <c r="T4736">
        <v>-1.069607</v>
      </c>
      <c r="U4736">
        <v>-3.1739649999999999</v>
      </c>
      <c r="V4736">
        <v>-8.8361200000000001E-2</v>
      </c>
      <c r="W4736">
        <v>0.1488119</v>
      </c>
      <c r="X4736">
        <v>0.98490979999999995</v>
      </c>
      <c r="Y4736">
        <v>1.440774E-2</v>
      </c>
      <c r="Z4736">
        <v>0.3038669</v>
      </c>
      <c r="AA4736">
        <v>0.95260549999999999</v>
      </c>
      <c r="AB4736">
        <v>24</v>
      </c>
      <c r="AC4736">
        <v>-6.3800000000014706E-2</v>
      </c>
      <c r="AD4736">
        <v>-0.24536830000000001</v>
      </c>
      <c r="AE4736">
        <v>-0.48109999999999697</v>
      </c>
      <c r="AF4736">
        <v>1.1837286544619499E-2</v>
      </c>
      <c r="AG4736">
        <v>-0.24536830000000001</v>
      </c>
      <c r="AH4736">
        <v>0.38633043218094099</v>
      </c>
      <c r="AI4736">
        <v>122.40850537269399</v>
      </c>
      <c r="AJ4736">
        <v>88.244988288143205</v>
      </c>
      <c r="AK4736">
        <v>0.45781756937315299</v>
      </c>
      <c r="AL4736">
        <v>81.441919279914501</v>
      </c>
      <c r="AM4736">
        <v>95.126567051515707</v>
      </c>
      <c r="AN4736">
        <v>0.99999999869154399</v>
      </c>
    </row>
    <row r="4737" spans="1:40" x14ac:dyDescent="0.25">
      <c r="A4737" t="str">
        <f>"20190303162356139"</f>
        <v>20190303162356139</v>
      </c>
      <c r="B4737" t="str">
        <f>"1551601436129169"</f>
        <v>1551601436129169</v>
      </c>
      <c r="C4737" t="s">
        <v>40</v>
      </c>
      <c r="D4737">
        <v>5.4577960000000001</v>
      </c>
      <c r="E4737">
        <v>0.54279599999999995</v>
      </c>
      <c r="F4737" t="s">
        <v>42</v>
      </c>
      <c r="G4737">
        <v>-420.524</v>
      </c>
      <c r="H4737">
        <v>0.88324199999999997</v>
      </c>
      <c r="I4737">
        <v>111.7959</v>
      </c>
      <c r="J4737">
        <v>-420.46100000000001</v>
      </c>
      <c r="K4737">
        <v>1.120576</v>
      </c>
      <c r="L4737">
        <v>112.2632</v>
      </c>
      <c r="M4737">
        <v>-0.1013044</v>
      </c>
      <c r="N4737">
        <v>-1.2763450000000001E-2</v>
      </c>
      <c r="O4737">
        <v>-0.99477369999999998</v>
      </c>
      <c r="P4737">
        <v>-1.4446270000000001E-2</v>
      </c>
      <c r="Q4737">
        <v>0.13576740000000001</v>
      </c>
      <c r="R4737">
        <v>-0.9906353</v>
      </c>
      <c r="S4737">
        <v>-0.39343260000000002</v>
      </c>
      <c r="T4737">
        <v>-1.0719810000000001</v>
      </c>
      <c r="U4737">
        <v>-3.1711269999999998</v>
      </c>
      <c r="V4737">
        <v>-8.5895369999999999E-2</v>
      </c>
      <c r="W4737">
        <v>0.14841009999999999</v>
      </c>
      <c r="X4737">
        <v>0.98518850000000002</v>
      </c>
      <c r="Y4737">
        <v>1.6014190000000001E-2</v>
      </c>
      <c r="Z4737">
        <v>0.30470900000000001</v>
      </c>
      <c r="AA4737">
        <v>0.95231089999999996</v>
      </c>
      <c r="AB4737">
        <v>24</v>
      </c>
      <c r="AC4737">
        <v>-6.2999999999988093E-2</v>
      </c>
      <c r="AD4737">
        <v>-0.23733399999999999</v>
      </c>
      <c r="AE4737">
        <v>-0.467299999999994</v>
      </c>
      <c r="AF4737">
        <v>1.2233257431286299E-2</v>
      </c>
      <c r="AG4737">
        <v>-0.23733399999999999</v>
      </c>
      <c r="AH4737">
        <v>0.37601756398962399</v>
      </c>
      <c r="AI4737">
        <v>122.245540337183</v>
      </c>
      <c r="AJ4737">
        <v>88.136611286953098</v>
      </c>
      <c r="AK4737">
        <v>0.44482163680746301</v>
      </c>
      <c r="AL4737">
        <v>81.465199039881</v>
      </c>
      <c r="AM4737">
        <v>94.982831803795506</v>
      </c>
      <c r="AN4737">
        <v>0.99999997645084804</v>
      </c>
    </row>
    <row r="4738" spans="1:40" x14ac:dyDescent="0.25">
      <c r="A4738" t="str">
        <f>"20190303162356162"</f>
        <v>20190303162356162</v>
      </c>
      <c r="B4738" t="str">
        <f>"1551601436149665"</f>
        <v>1551601436149665</v>
      </c>
      <c r="C4738" t="s">
        <v>40</v>
      </c>
      <c r="D4738">
        <v>5.5086769999999996</v>
      </c>
      <c r="E4738">
        <v>0.54312099999999996</v>
      </c>
      <c r="F4738" t="s">
        <v>42</v>
      </c>
      <c r="G4738">
        <v>-420.54820000000001</v>
      </c>
      <c r="H4738">
        <v>0.88893089999999997</v>
      </c>
      <c r="I4738">
        <v>111.5763</v>
      </c>
      <c r="J4738">
        <v>-420.4864</v>
      </c>
      <c r="K4738">
        <v>1.120595</v>
      </c>
      <c r="L4738">
        <v>112.01730000000001</v>
      </c>
      <c r="M4738">
        <v>-0.10157330000000001</v>
      </c>
      <c r="N4738">
        <v>-1.276014E-2</v>
      </c>
      <c r="O4738">
        <v>-0.99474629999999997</v>
      </c>
      <c r="P4738">
        <v>-1.672527E-2</v>
      </c>
      <c r="Q4738">
        <v>0.13448080000000001</v>
      </c>
      <c r="R4738">
        <v>-0.99077519999999997</v>
      </c>
      <c r="S4738">
        <v>-0.40097050000000001</v>
      </c>
      <c r="T4738">
        <v>-1.068527</v>
      </c>
      <c r="U4738">
        <v>-3.1689609999999999</v>
      </c>
      <c r="V4738">
        <v>-8.3918779999999998E-2</v>
      </c>
      <c r="W4738">
        <v>0.1471179</v>
      </c>
      <c r="X4738">
        <v>0.9855526</v>
      </c>
      <c r="Y4738">
        <v>1.808065E-2</v>
      </c>
      <c r="Z4738">
        <v>0.30392629999999998</v>
      </c>
      <c r="AA4738">
        <v>0.95252389999999998</v>
      </c>
      <c r="AB4738">
        <v>24</v>
      </c>
      <c r="AC4738">
        <v>-6.1800000000005101E-2</v>
      </c>
      <c r="AD4738">
        <v>-0.23166410000000001</v>
      </c>
      <c r="AE4738">
        <v>-0.441000000000002</v>
      </c>
      <c r="AF4738">
        <v>1.31294737416179E-2</v>
      </c>
      <c r="AG4738">
        <v>-0.23166410000000001</v>
      </c>
      <c r="AH4738">
        <v>0.35021410515388002</v>
      </c>
      <c r="AI4738">
        <v>123.46583606229299</v>
      </c>
      <c r="AJ4738">
        <v>87.8529953937649</v>
      </c>
      <c r="AK4738">
        <v>0.42010779302254603</v>
      </c>
      <c r="AL4738">
        <v>81.540058464858106</v>
      </c>
      <c r="AM4738">
        <v>94.866936432921406</v>
      </c>
      <c r="AN4738">
        <v>0.99999998275192903</v>
      </c>
    </row>
    <row r="4739" spans="1:40" x14ac:dyDescent="0.25">
      <c r="A4739" t="str">
        <f>"20190303162356184"</f>
        <v>20190303162356184</v>
      </c>
      <c r="B4739" t="str">
        <f>"1551601436169185"</f>
        <v>1551601436169185</v>
      </c>
      <c r="C4739" t="s">
        <v>40</v>
      </c>
      <c r="D4739">
        <v>5.503171</v>
      </c>
      <c r="E4739">
        <v>0.5432169</v>
      </c>
      <c r="F4739" t="s">
        <v>42</v>
      </c>
      <c r="G4739">
        <v>-420.57209999999998</v>
      </c>
      <c r="H4739">
        <v>0.897559199999999</v>
      </c>
      <c r="I4739">
        <v>111.3554</v>
      </c>
      <c r="J4739">
        <v>-420.5111</v>
      </c>
      <c r="K4739">
        <v>1.1206100000000001</v>
      </c>
      <c r="L4739">
        <v>111.7791</v>
      </c>
      <c r="M4739">
        <v>-0.101812899999999</v>
      </c>
      <c r="N4739">
        <v>-1.275722E-2</v>
      </c>
      <c r="O4739">
        <v>-0.994722</v>
      </c>
      <c r="P4739">
        <v>-1.732036E-2</v>
      </c>
      <c r="Q4739">
        <v>0.13331760000000001</v>
      </c>
      <c r="R4739">
        <v>-0.99092230000000003</v>
      </c>
      <c r="S4739">
        <v>-0.40893550000000001</v>
      </c>
      <c r="T4739">
        <v>-1.066713</v>
      </c>
      <c r="U4739">
        <v>-3.1658170000000001</v>
      </c>
      <c r="V4739">
        <v>-8.3588469999999998E-2</v>
      </c>
      <c r="W4739">
        <v>0.14594960000000001</v>
      </c>
      <c r="X4739">
        <v>0.98575440000000003</v>
      </c>
      <c r="Y4739">
        <v>2.0321280000000001E-2</v>
      </c>
      <c r="Z4739">
        <v>0.30366470000000001</v>
      </c>
      <c r="AA4739">
        <v>0.95256229999999997</v>
      </c>
      <c r="AB4739">
        <v>24</v>
      </c>
      <c r="AC4739">
        <v>-6.0999999999978599E-2</v>
      </c>
      <c r="AD4739">
        <v>-0.22305079999999999</v>
      </c>
      <c r="AE4739">
        <v>-0.42369999999999602</v>
      </c>
      <c r="AF4739">
        <v>1.37957090490255E-2</v>
      </c>
      <c r="AG4739">
        <v>-0.22305079999999999</v>
      </c>
      <c r="AH4739">
        <v>0.33637960958749202</v>
      </c>
      <c r="AI4739">
        <v>123.525888761652</v>
      </c>
      <c r="AJ4739">
        <v>87.651483162939201</v>
      </c>
      <c r="AK4739">
        <v>0.40384801932786502</v>
      </c>
      <c r="AL4739">
        <v>81.607727950968098</v>
      </c>
      <c r="AM4739">
        <v>94.846883608857098</v>
      </c>
      <c r="AN4739">
        <v>1.0000000275882299</v>
      </c>
    </row>
    <row r="4740" spans="1:40" x14ac:dyDescent="0.25">
      <c r="A4740" t="str">
        <f>"20190303162356207"</f>
        <v>20190303162356207</v>
      </c>
      <c r="B4740" t="str">
        <f>"1551601436199441"</f>
        <v>1551601436199441</v>
      </c>
      <c r="C4740" t="s">
        <v>40</v>
      </c>
      <c r="D4740">
        <v>5.4656719999999996</v>
      </c>
      <c r="E4740">
        <v>0.54329209999999994</v>
      </c>
      <c r="F4740" t="s">
        <v>42</v>
      </c>
      <c r="G4740">
        <v>-420.62060000000002</v>
      </c>
      <c r="H4740">
        <v>0.83940419999999905</v>
      </c>
      <c r="I4740">
        <v>110.9468</v>
      </c>
      <c r="J4740">
        <v>-420.53649999999999</v>
      </c>
      <c r="K4740">
        <v>1.120628</v>
      </c>
      <c r="L4740">
        <v>111.5333</v>
      </c>
      <c r="M4740">
        <v>-0.1020422</v>
      </c>
      <c r="N4740">
        <v>-1.275448E-2</v>
      </c>
      <c r="O4740">
        <v>-0.99469850000000004</v>
      </c>
      <c r="P4740">
        <v>-1.6992469999999999E-2</v>
      </c>
      <c r="Q4740">
        <v>0.13385089999999999</v>
      </c>
      <c r="R4740">
        <v>-0.99085590000000001</v>
      </c>
      <c r="S4740">
        <v>-0.41574100000000003</v>
      </c>
      <c r="T4740">
        <v>-1.0690029999999999</v>
      </c>
      <c r="U4740">
        <v>-3.1640320000000002</v>
      </c>
      <c r="V4740">
        <v>-8.4141659999999993E-2</v>
      </c>
      <c r="W4740">
        <v>0.14647560000000001</v>
      </c>
      <c r="X4740">
        <v>0.98562930000000004</v>
      </c>
      <c r="Y4740">
        <v>2.2139300000000001E-2</v>
      </c>
      <c r="Z4740">
        <v>0.30438490000000001</v>
      </c>
      <c r="AA4740">
        <v>0.95229180000000002</v>
      </c>
      <c r="AB4740">
        <v>24</v>
      </c>
      <c r="AC4740">
        <v>-8.4100000000034897E-2</v>
      </c>
      <c r="AD4740">
        <v>-0.28122379999999902</v>
      </c>
      <c r="AE4740">
        <v>-0.58650000000000002</v>
      </c>
      <c r="AF4740">
        <v>1.9430874804891501E-2</v>
      </c>
      <c r="AG4740">
        <v>-0.28122379999999902</v>
      </c>
      <c r="AH4740">
        <v>0.48317028543651402</v>
      </c>
      <c r="AI4740">
        <v>120.180938371712</v>
      </c>
      <c r="AJ4740">
        <v>87.697069628073507</v>
      </c>
      <c r="AK4740">
        <v>0.55939065894142803</v>
      </c>
      <c r="AL4740">
        <v>81.577262894509204</v>
      </c>
      <c r="AM4740">
        <v>94.879422296299197</v>
      </c>
      <c r="AN4740">
        <v>1.0000000186807001</v>
      </c>
    </row>
    <row r="4741" spans="1:40" x14ac:dyDescent="0.25">
      <c r="A4741" t="str">
        <f>"20190303162356228"</f>
        <v>20190303162356228</v>
      </c>
      <c r="B4741" t="str">
        <f>"1551601436219937"</f>
        <v>1551601436219937</v>
      </c>
      <c r="C4741" t="s">
        <v>40</v>
      </c>
      <c r="D4741">
        <v>5.4368239999999997</v>
      </c>
      <c r="E4741">
        <v>0.54328739999999998</v>
      </c>
      <c r="F4741" t="s">
        <v>42</v>
      </c>
      <c r="G4741">
        <v>-420.64400000000001</v>
      </c>
      <c r="H4741">
        <v>0.84820839999999997</v>
      </c>
      <c r="I4741">
        <v>110.72629999999999</v>
      </c>
      <c r="J4741">
        <v>-420.56060000000002</v>
      </c>
      <c r="K4741">
        <v>1.120641</v>
      </c>
      <c r="L4741">
        <v>111.30159999999999</v>
      </c>
      <c r="M4741">
        <v>-0.1022488</v>
      </c>
      <c r="N4741">
        <v>-1.2752100000000001E-2</v>
      </c>
      <c r="O4741">
        <v>-0.99467729999999999</v>
      </c>
      <c r="P4741">
        <v>-1.7069399999999998E-2</v>
      </c>
      <c r="Q4741">
        <v>0.13523579999999999</v>
      </c>
      <c r="R4741">
        <v>-0.99066659999999995</v>
      </c>
      <c r="S4741">
        <v>-0.41970829999999998</v>
      </c>
      <c r="T4741">
        <v>-1.0683309999999999</v>
      </c>
      <c r="U4741">
        <v>-3.1647949999999998</v>
      </c>
      <c r="V4741">
        <v>-8.4254399999999993E-2</v>
      </c>
      <c r="W4741">
        <v>0.1478527</v>
      </c>
      <c r="X4741">
        <v>0.98541400000000001</v>
      </c>
      <c r="Y4741">
        <v>2.308499E-2</v>
      </c>
      <c r="Z4741">
        <v>0.30410419999999999</v>
      </c>
      <c r="AA4741">
        <v>0.95235899999999996</v>
      </c>
      <c r="AB4741">
        <v>24</v>
      </c>
      <c r="AC4741">
        <v>-8.3399999999983196E-2</v>
      </c>
      <c r="AD4741">
        <v>-0.27243259999999903</v>
      </c>
      <c r="AE4741">
        <v>-0.57529999999999804</v>
      </c>
      <c r="AF4741">
        <v>1.9788179061277299E-2</v>
      </c>
      <c r="AG4741">
        <v>-0.27243259999999903</v>
      </c>
      <c r="AH4741">
        <v>0.47621921204172202</v>
      </c>
      <c r="AI4741">
        <v>119.75145156112499</v>
      </c>
      <c r="AJ4741">
        <v>87.620576293169705</v>
      </c>
      <c r="AK4741">
        <v>0.54899529277668602</v>
      </c>
      <c r="AL4741">
        <v>81.497492074157606</v>
      </c>
      <c r="AM4741">
        <v>94.886990866092901</v>
      </c>
      <c r="AN4741">
        <v>0.99999998810632496</v>
      </c>
    </row>
    <row r="4742" spans="1:40" x14ac:dyDescent="0.25">
      <c r="A4742" t="str">
        <f>"20190303162356251"</f>
        <v>20190303162356251</v>
      </c>
      <c r="B4742" t="str">
        <f>"1551601436239457"</f>
        <v>1551601436239457</v>
      </c>
      <c r="C4742" t="s">
        <v>40</v>
      </c>
      <c r="D4742">
        <v>5.3704640000000001</v>
      </c>
      <c r="E4742">
        <v>0.54330349999999905</v>
      </c>
      <c r="F4742" t="s">
        <v>42</v>
      </c>
      <c r="G4742">
        <v>-420.66579999999999</v>
      </c>
      <c r="H4742">
        <v>0.853270999999999</v>
      </c>
      <c r="I4742">
        <v>110.5073</v>
      </c>
      <c r="J4742">
        <v>-420.58600000000001</v>
      </c>
      <c r="K4742">
        <v>1.1206480000000001</v>
      </c>
      <c r="L4742">
        <v>111.0581</v>
      </c>
      <c r="M4742">
        <v>-0.1024631</v>
      </c>
      <c r="N4742">
        <v>-1.2749750000000001E-2</v>
      </c>
      <c r="O4742">
        <v>-0.99465510000000001</v>
      </c>
      <c r="P4742">
        <v>-1.9069240000000001E-2</v>
      </c>
      <c r="Q4742">
        <v>0.13466639999999999</v>
      </c>
      <c r="R4742">
        <v>-0.99070769999999997</v>
      </c>
      <c r="S4742">
        <v>-0.41842649999999998</v>
      </c>
      <c r="T4742">
        <v>-1.0658890000000001</v>
      </c>
      <c r="U4742">
        <v>-3.16655</v>
      </c>
      <c r="V4742">
        <v>-8.2485699999999995E-2</v>
      </c>
      <c r="W4742">
        <v>0.1472812</v>
      </c>
      <c r="X4742">
        <v>0.9856492</v>
      </c>
      <c r="Y4742">
        <v>2.2457390000000001E-2</v>
      </c>
      <c r="Z4742">
        <v>0.30329650000000002</v>
      </c>
      <c r="AA4742">
        <v>0.95263160000000002</v>
      </c>
      <c r="AB4742">
        <v>24</v>
      </c>
      <c r="AC4742">
        <v>-7.9799999999977403E-2</v>
      </c>
      <c r="AD4742">
        <v>-0.26737699999999998</v>
      </c>
      <c r="AE4742">
        <v>-0.55079999999999496</v>
      </c>
      <c r="AF4742">
        <v>1.8637177360287902E-2</v>
      </c>
      <c r="AG4742">
        <v>-0.26737699999999998</v>
      </c>
      <c r="AH4742">
        <v>0.45180135053660903</v>
      </c>
      <c r="AI4742">
        <v>120.59579321803101</v>
      </c>
      <c r="AJ4742">
        <v>87.637841196668106</v>
      </c>
      <c r="AK4742">
        <v>0.52532110642507301</v>
      </c>
      <c r="AL4742">
        <v>81.530599116542703</v>
      </c>
      <c r="AM4742">
        <v>94.783746221461101</v>
      </c>
      <c r="AN4742">
        <v>0.99999999401928497</v>
      </c>
    </row>
    <row r="4743" spans="1:40" x14ac:dyDescent="0.25">
      <c r="A4743" t="str">
        <f>"20190303162356273"</f>
        <v>20190303162356273</v>
      </c>
      <c r="B4743" t="str">
        <f>"1551601436269713"</f>
        <v>1551601436269713</v>
      </c>
      <c r="C4743" t="s">
        <v>40</v>
      </c>
      <c r="D4743">
        <v>5.3389949999999997</v>
      </c>
      <c r="E4743">
        <v>0.54342290000000004</v>
      </c>
      <c r="F4743" t="s">
        <v>42</v>
      </c>
      <c r="G4743">
        <v>-420.6893</v>
      </c>
      <c r="H4743">
        <v>0.860587199999999</v>
      </c>
      <c r="I4743">
        <v>110.2878</v>
      </c>
      <c r="J4743">
        <v>-420.61189999999999</v>
      </c>
      <c r="K4743">
        <v>1.1206579999999999</v>
      </c>
      <c r="L4743">
        <v>110.8091</v>
      </c>
      <c r="M4743">
        <v>-0.10268529999999999</v>
      </c>
      <c r="N4743">
        <v>-1.27475E-2</v>
      </c>
      <c r="O4743">
        <v>-0.99463219999999997</v>
      </c>
      <c r="P4743">
        <v>-2.0967079999999999E-2</v>
      </c>
      <c r="Q4743">
        <v>0.133483399999999</v>
      </c>
      <c r="R4743">
        <v>-0.99082950000000003</v>
      </c>
      <c r="S4743">
        <v>-0.42358400000000002</v>
      </c>
      <c r="T4743">
        <v>-1.068432</v>
      </c>
      <c r="U4743">
        <v>-3.165222</v>
      </c>
      <c r="V4743">
        <v>-8.0834729999999994E-2</v>
      </c>
      <c r="W4743">
        <v>0.1460977</v>
      </c>
      <c r="X4743">
        <v>0.98596209999999995</v>
      </c>
      <c r="Y4743">
        <v>2.3775850000000001E-2</v>
      </c>
      <c r="Z4743">
        <v>0.30405260000000001</v>
      </c>
      <c r="AA4743">
        <v>0.9523585</v>
      </c>
      <c r="AB4743">
        <v>24</v>
      </c>
      <c r="AC4743">
        <v>-7.7400000000011404E-2</v>
      </c>
      <c r="AD4743">
        <v>-0.26007079999999999</v>
      </c>
      <c r="AE4743">
        <v>-0.52129999999999599</v>
      </c>
      <c r="AF4743">
        <v>1.8863032400261399E-2</v>
      </c>
      <c r="AG4743">
        <v>-0.26007079999999999</v>
      </c>
      <c r="AH4743">
        <v>0.42338815674529601</v>
      </c>
      <c r="AI4743">
        <v>121.535450892513</v>
      </c>
      <c r="AJ4743">
        <v>87.449012467137507</v>
      </c>
      <c r="AK4743">
        <v>0.497242562816331</v>
      </c>
      <c r="AL4743">
        <v>81.599150501149396</v>
      </c>
      <c r="AM4743">
        <v>94.686948356175805</v>
      </c>
      <c r="AN4743">
        <v>1.0000000270779299</v>
      </c>
    </row>
    <row r="4744" spans="1:40" x14ac:dyDescent="0.25">
      <c r="A4744" t="str">
        <f>"20190303162356295"</f>
        <v>20190303162356295</v>
      </c>
      <c r="B4744" t="str">
        <f>"1551601436289740"</f>
        <v>1551601436289740</v>
      </c>
      <c r="C4744" t="s">
        <v>40</v>
      </c>
      <c r="D4744">
        <v>5.2692629999999996</v>
      </c>
      <c r="E4744">
        <v>0.5434909</v>
      </c>
      <c r="F4744" t="s">
        <v>42</v>
      </c>
      <c r="G4744">
        <v>-420.71249999999998</v>
      </c>
      <c r="H4744">
        <v>0.86933400000000005</v>
      </c>
      <c r="I4744">
        <v>110.0675</v>
      </c>
      <c r="J4744">
        <v>-420.63709999999998</v>
      </c>
      <c r="K4744">
        <v>1.120665</v>
      </c>
      <c r="L4744">
        <v>110.5684</v>
      </c>
      <c r="M4744">
        <v>-0.1029033</v>
      </c>
      <c r="N4744">
        <v>-1.27454E-2</v>
      </c>
      <c r="O4744">
        <v>-0.99460999999999999</v>
      </c>
      <c r="P4744">
        <v>-2.1725939999999999E-2</v>
      </c>
      <c r="Q4744">
        <v>0.1343559</v>
      </c>
      <c r="R4744">
        <v>-0.99069510000000005</v>
      </c>
      <c r="S4744">
        <v>-0.42807010000000001</v>
      </c>
      <c r="T4744">
        <v>-1.0717939999999999</v>
      </c>
      <c r="U4744">
        <v>-3.1631010000000002</v>
      </c>
      <c r="V4744">
        <v>-8.0284090000000002E-2</v>
      </c>
      <c r="W4744">
        <v>0.1469656</v>
      </c>
      <c r="X4744">
        <v>0.98587809999999998</v>
      </c>
      <c r="Y4744">
        <v>2.4919110000000001E-2</v>
      </c>
      <c r="Z4744">
        <v>0.30510209999999999</v>
      </c>
      <c r="AA4744">
        <v>0.9519936</v>
      </c>
      <c r="AB4744">
        <v>24</v>
      </c>
      <c r="AC4744">
        <v>-7.5400000000001896E-2</v>
      </c>
      <c r="AD4744">
        <v>-0.25133100000000003</v>
      </c>
      <c r="AE4744">
        <v>-0.50090000000000101</v>
      </c>
      <c r="AF4744">
        <v>1.8818437340330001E-2</v>
      </c>
      <c r="AG4744">
        <v>-0.25133100000000003</v>
      </c>
      <c r="AH4744">
        <v>0.406039678239699</v>
      </c>
      <c r="AI4744">
        <v>121.729234169246</v>
      </c>
      <c r="AJ4744">
        <v>87.3464513649742</v>
      </c>
      <c r="AK4744">
        <v>0.47790127165548602</v>
      </c>
      <c r="AL4744">
        <v>81.548880868140898</v>
      </c>
      <c r="AM4744">
        <v>94.655556911570798</v>
      </c>
      <c r="AN4744">
        <v>1.0000000253750401</v>
      </c>
    </row>
    <row r="4745" spans="1:40" x14ac:dyDescent="0.25">
      <c r="A4745" t="str">
        <f>"20190303162356319"</f>
        <v>20190303162356319</v>
      </c>
      <c r="B4745" t="str">
        <f>"1551601436309259"</f>
        <v>1551601436309259</v>
      </c>
      <c r="C4745" t="s">
        <v>40</v>
      </c>
      <c r="D4745">
        <v>5.2409689999999998</v>
      </c>
      <c r="E4745">
        <v>0.54358030000000002</v>
      </c>
      <c r="F4745" t="s">
        <v>42</v>
      </c>
      <c r="G4745">
        <v>-420.73570000000001</v>
      </c>
      <c r="H4745">
        <v>0.8771776</v>
      </c>
      <c r="I4745">
        <v>109.8476</v>
      </c>
      <c r="J4745">
        <v>-420.66300000000001</v>
      </c>
      <c r="K4745">
        <v>1.1206750000000001</v>
      </c>
      <c r="L4745">
        <v>110.3207</v>
      </c>
      <c r="M4745">
        <v>-0.1031287</v>
      </c>
      <c r="N4745">
        <v>-1.274349E-2</v>
      </c>
      <c r="O4745">
        <v>-0.99458639999999998</v>
      </c>
      <c r="P4745">
        <v>-2.1314139999999999E-2</v>
      </c>
      <c r="Q4745">
        <v>0.13606480000000001</v>
      </c>
      <c r="R4745">
        <v>-0.99047059999999998</v>
      </c>
      <c r="S4745">
        <v>-0.43133539999999998</v>
      </c>
      <c r="T4745">
        <v>-1.0686389999999999</v>
      </c>
      <c r="U4745">
        <v>-3.1636350000000002</v>
      </c>
      <c r="V4745">
        <v>-8.0894110000000005E-2</v>
      </c>
      <c r="W4745">
        <v>0.14866860000000001</v>
      </c>
      <c r="X4745">
        <v>0.98557280000000003</v>
      </c>
      <c r="Y4745">
        <v>2.5674499999999999E-2</v>
      </c>
      <c r="Z4745">
        <v>0.30418119999999998</v>
      </c>
      <c r="AA4745">
        <v>0.95226809999999995</v>
      </c>
      <c r="AB4745">
        <v>24</v>
      </c>
      <c r="AC4745">
        <v>-7.2699999999997503E-2</v>
      </c>
      <c r="AD4745">
        <v>-0.2434974</v>
      </c>
      <c r="AE4745">
        <v>-0.47310000000000202</v>
      </c>
      <c r="AF4745">
        <v>1.8683149279751898E-2</v>
      </c>
      <c r="AG4745">
        <v>-0.2434974</v>
      </c>
      <c r="AH4745">
        <v>0.37978953977365099</v>
      </c>
      <c r="AI4745">
        <v>122.634009732184</v>
      </c>
      <c r="AJ4745">
        <v>87.183694560188897</v>
      </c>
      <c r="AK4745">
        <v>0.45153088310242001</v>
      </c>
      <c r="AL4745">
        <v>81.450221935585702</v>
      </c>
      <c r="AM4745">
        <v>94.692220385113103</v>
      </c>
      <c r="AN4745">
        <v>0.99999997687924502</v>
      </c>
    </row>
    <row r="4746" spans="1:40" x14ac:dyDescent="0.25">
      <c r="A4746" t="str">
        <f>"20190303162356341"</f>
        <v>20190303162356341</v>
      </c>
      <c r="B4746" t="str">
        <f>"1551601436329756"</f>
        <v>1551601436329756</v>
      </c>
      <c r="C4746" t="s">
        <v>40</v>
      </c>
      <c r="D4746">
        <v>5.236694</v>
      </c>
      <c r="E4746">
        <v>0.54362319999999997</v>
      </c>
      <c r="F4746" t="s">
        <v>42</v>
      </c>
      <c r="G4746">
        <v>-420.75760000000002</v>
      </c>
      <c r="H4746">
        <v>0.88775099999999996</v>
      </c>
      <c r="I4746">
        <v>109.62649999999999</v>
      </c>
      <c r="J4746">
        <v>-420.68819999999999</v>
      </c>
      <c r="K4746">
        <v>1.1206860000000001</v>
      </c>
      <c r="L4746">
        <v>110.08069999999999</v>
      </c>
      <c r="M4746">
        <v>-0.1033483</v>
      </c>
      <c r="N4746">
        <v>-1.274191E-2</v>
      </c>
      <c r="O4746">
        <v>-0.994564</v>
      </c>
      <c r="P4746">
        <v>-1.9234680000000001E-2</v>
      </c>
      <c r="Q4746">
        <v>0.13721620000000001</v>
      </c>
      <c r="R4746">
        <v>-0.99035479999999998</v>
      </c>
      <c r="S4746">
        <v>-0.4312744</v>
      </c>
      <c r="T4746">
        <v>-1.06213</v>
      </c>
      <c r="U4746">
        <v>-3.1654819999999999</v>
      </c>
      <c r="V4746">
        <v>-8.3168510000000001E-2</v>
      </c>
      <c r="W4746">
        <v>0.14981529999999901</v>
      </c>
      <c r="X4746">
        <v>0.98520980000000002</v>
      </c>
      <c r="Y4746">
        <v>2.544505E-2</v>
      </c>
      <c r="Z4746">
        <v>0.30226900000000001</v>
      </c>
      <c r="AA4746">
        <v>0.95288300000000004</v>
      </c>
      <c r="AB4746">
        <v>24</v>
      </c>
      <c r="AC4746">
        <v>-6.9400000000030104E-2</v>
      </c>
      <c r="AD4746">
        <v>-0.232935</v>
      </c>
      <c r="AE4746">
        <v>-0.45419999999999999</v>
      </c>
      <c r="AF4746">
        <v>1.7568438242051499E-2</v>
      </c>
      <c r="AG4746">
        <v>-0.232935</v>
      </c>
      <c r="AH4746">
        <v>0.365104408252443</v>
      </c>
      <c r="AI4746">
        <v>122.507660679167</v>
      </c>
      <c r="AJ4746">
        <v>87.245112587256997</v>
      </c>
      <c r="AK4746">
        <v>0.43343810766086399</v>
      </c>
      <c r="AL4746">
        <v>81.3837768133845</v>
      </c>
      <c r="AM4746">
        <v>94.825300596529999</v>
      </c>
      <c r="AN4746">
        <v>0.99999998759287401</v>
      </c>
    </row>
    <row r="4747" spans="1:40" x14ac:dyDescent="0.25">
      <c r="A4747" t="str">
        <f>"20190303162356363"</f>
        <v>20190303162356363</v>
      </c>
      <c r="B4747" t="str">
        <f>"1551601436360011"</f>
        <v>1551601436360011</v>
      </c>
      <c r="C4747" t="s">
        <v>40</v>
      </c>
      <c r="D4747">
        <v>5.2310230000000004</v>
      </c>
      <c r="E4747">
        <v>0.53455469999999905</v>
      </c>
      <c r="F4747" t="s">
        <v>42</v>
      </c>
      <c r="G4747">
        <v>-420.77949999999998</v>
      </c>
      <c r="H4747">
        <v>0.89557099999999901</v>
      </c>
      <c r="I4747">
        <v>109.4067</v>
      </c>
      <c r="J4747">
        <v>-420.71359999999999</v>
      </c>
      <c r="K4747">
        <v>1.1206959999999999</v>
      </c>
      <c r="L4747">
        <v>109.839</v>
      </c>
      <c r="M4747">
        <v>-0.10357130000000001</v>
      </c>
      <c r="N4747">
        <v>-1.274047E-2</v>
      </c>
      <c r="O4747">
        <v>-0.9945406</v>
      </c>
      <c r="P4747">
        <v>-1.323191E-2</v>
      </c>
      <c r="Q4747">
        <v>0.13885890000000001</v>
      </c>
      <c r="R4747">
        <v>-0.9902242</v>
      </c>
      <c r="S4747">
        <v>-0.42709350000000001</v>
      </c>
      <c r="T4747">
        <v>-1.057858</v>
      </c>
      <c r="U4747">
        <v>-3.1674959999999999</v>
      </c>
      <c r="V4747">
        <v>-8.9345469999999996E-2</v>
      </c>
      <c r="W4747">
        <v>0.1514491</v>
      </c>
      <c r="X4747">
        <v>0.98441889999999999</v>
      </c>
      <c r="Y4747">
        <v>2.396357E-2</v>
      </c>
      <c r="Z4747">
        <v>0.30096709999999999</v>
      </c>
      <c r="AA4747">
        <v>0.9533334</v>
      </c>
      <c r="AB4747">
        <v>24</v>
      </c>
      <c r="AC4747">
        <v>-6.5899999999999098E-2</v>
      </c>
      <c r="AD4747">
        <v>-0.22512499999999999</v>
      </c>
      <c r="AE4747">
        <v>-0.43229999999999702</v>
      </c>
      <c r="AF4747">
        <v>1.6416987786004499E-2</v>
      </c>
      <c r="AG4747">
        <v>-0.22512499999999999</v>
      </c>
      <c r="AH4747">
        <v>0.34528787653767501</v>
      </c>
      <c r="AI4747">
        <v>123.074447807353</v>
      </c>
      <c r="AJ4747">
        <v>87.277876393569699</v>
      </c>
      <c r="AK4747">
        <v>0.41252212158484602</v>
      </c>
      <c r="AL4747">
        <v>81.2890866967265</v>
      </c>
      <c r="AM4747">
        <v>95.185934055874895</v>
      </c>
      <c r="AN4747">
        <v>1.00000000678877</v>
      </c>
    </row>
    <row r="4748" spans="1:40" x14ac:dyDescent="0.25">
      <c r="A4748" t="str">
        <f>"20190303162356386"</f>
        <v>20190303162356386</v>
      </c>
      <c r="B4748" t="str">
        <f>"1551601436379531"</f>
        <v>1551601436379531</v>
      </c>
      <c r="C4748" t="s">
        <v>40</v>
      </c>
      <c r="D4748">
        <v>5.3883609999999997</v>
      </c>
      <c r="E4748">
        <v>0.47252650000000002</v>
      </c>
      <c r="F4748" t="s">
        <v>42</v>
      </c>
      <c r="G4748">
        <v>-420.80610000000001</v>
      </c>
      <c r="H4748">
        <v>0.88638030000000001</v>
      </c>
      <c r="I4748">
        <v>108.9757</v>
      </c>
      <c r="J4748">
        <v>-420.73919999999998</v>
      </c>
      <c r="K4748">
        <v>1.1207049999999901</v>
      </c>
      <c r="L4748">
        <v>109.5951</v>
      </c>
      <c r="M4748">
        <v>-0.10380060000000001</v>
      </c>
      <c r="N4748">
        <v>-1.273905E-2</v>
      </c>
      <c r="O4748">
        <v>-0.99451670000000003</v>
      </c>
      <c r="P4748">
        <v>-6.8416769999999896E-3</v>
      </c>
      <c r="Q4748">
        <v>0.14196889999999901</v>
      </c>
      <c r="R4748">
        <v>-0.98984740000000004</v>
      </c>
      <c r="S4748">
        <v>-0.33557130000000002</v>
      </c>
      <c r="T4748">
        <v>-0.85352809999999901</v>
      </c>
      <c r="U4748">
        <v>-3.1448360000000002</v>
      </c>
      <c r="V4748">
        <v>-9.5887829999999993E-2</v>
      </c>
      <c r="W4748">
        <v>0.1545465</v>
      </c>
      <c r="X4748">
        <v>0.98332140000000001</v>
      </c>
      <c r="Y4748">
        <v>-1.0011499999999999E-3</v>
      </c>
      <c r="Z4748">
        <v>0.24692339999999999</v>
      </c>
      <c r="AA4748">
        <v>0.96903450000000002</v>
      </c>
      <c r="AB4748">
        <v>24</v>
      </c>
      <c r="AC4748">
        <v>-6.6900000000032295E-2</v>
      </c>
      <c r="AD4748">
        <v>-0.234324699999999</v>
      </c>
      <c r="AE4748">
        <v>-0.61939999999999795</v>
      </c>
      <c r="AF4748">
        <v>1.96173514725666E-3</v>
      </c>
      <c r="AG4748">
        <v>-0.234324699999999</v>
      </c>
      <c r="AH4748">
        <v>0.54578720069225095</v>
      </c>
      <c r="AI4748">
        <v>113.235331693603</v>
      </c>
      <c r="AJ4748">
        <v>89.794061384569702</v>
      </c>
      <c r="AK4748">
        <v>0.59396597703434195</v>
      </c>
      <c r="AL4748">
        <v>81.109504628473204</v>
      </c>
      <c r="AM4748">
        <v>95.569544766449397</v>
      </c>
      <c r="AN4748">
        <v>1.0000000361511501</v>
      </c>
    </row>
    <row r="4749" spans="1:40" x14ac:dyDescent="0.25">
      <c r="A4749" t="str">
        <f>"20190303162356406"</f>
        <v>20190303162356406</v>
      </c>
      <c r="B4749" t="str">
        <f>"1551601436400027"</f>
        <v>1551601436400027</v>
      </c>
      <c r="C4749" t="s">
        <v>40</v>
      </c>
      <c r="D4749">
        <v>5.35351</v>
      </c>
      <c r="E4749">
        <v>0.46903590000000001</v>
      </c>
      <c r="F4749" t="s">
        <v>41</v>
      </c>
      <c r="G4749">
        <v>-418.07659999999998</v>
      </c>
      <c r="H4749" s="1">
        <v>-3.4921469999999998E-6</v>
      </c>
      <c r="I4749">
        <v>66.977739999999997</v>
      </c>
      <c r="J4749">
        <v>-420.76319999999998</v>
      </c>
      <c r="K4749">
        <v>1.1207210000000001</v>
      </c>
      <c r="L4749">
        <v>109.3673</v>
      </c>
      <c r="M4749">
        <v>-0.1040177</v>
      </c>
      <c r="N4749">
        <v>-1.2737740000000001E-2</v>
      </c>
      <c r="O4749">
        <v>-0.99449430000000005</v>
      </c>
      <c r="P4749">
        <v>-1.522257E-3</v>
      </c>
      <c r="Q4749">
        <v>0.1447186</v>
      </c>
      <c r="R4749">
        <v>-0.98947240000000003</v>
      </c>
      <c r="S4749">
        <v>0.19015499999999999</v>
      </c>
      <c r="T4749">
        <v>-8.003652E-2</v>
      </c>
      <c r="U4749">
        <v>-3.0435639999999999</v>
      </c>
      <c r="V4749">
        <v>-0.10135230000000001</v>
      </c>
      <c r="W4749">
        <v>0.1572858</v>
      </c>
      <c r="X4749">
        <v>0.9823385</v>
      </c>
      <c r="Y4749">
        <v>-0.16579469999999999</v>
      </c>
      <c r="Z4749">
        <v>1.3089669999999999E-2</v>
      </c>
      <c r="AA4749">
        <v>0.98607339999999999</v>
      </c>
      <c r="AB4749">
        <v>24</v>
      </c>
      <c r="AC4749">
        <v>2.6865999999999901</v>
      </c>
      <c r="AD4749">
        <v>-1.1207244921470001</v>
      </c>
      <c r="AE4749">
        <v>-42.389559999999904</v>
      </c>
      <c r="AF4749">
        <v>-7.0767175861985301</v>
      </c>
      <c r="AG4749">
        <v>-1.1207244921470001</v>
      </c>
      <c r="AH4749">
        <v>41.850964850419103</v>
      </c>
      <c r="AI4749">
        <v>91.512493227177302</v>
      </c>
      <c r="AJ4749">
        <v>99.597546643316903</v>
      </c>
      <c r="AK4749">
        <v>42.459854145923799</v>
      </c>
      <c r="AL4749">
        <v>80.950610882882202</v>
      </c>
      <c r="AM4749">
        <v>95.890621515301504</v>
      </c>
      <c r="AN4749">
        <v>1.00000002008958</v>
      </c>
    </row>
    <row r="4750" spans="1:40" x14ac:dyDescent="0.25">
      <c r="A4750" t="str">
        <f>"20190303162356430"</f>
        <v>20190303162356430</v>
      </c>
      <c r="B4750" t="str">
        <f>"1551601436419548"</f>
        <v>1551601436419548</v>
      </c>
      <c r="C4750" t="s">
        <v>40</v>
      </c>
      <c r="D4750">
        <v>5.224526</v>
      </c>
      <c r="E4750">
        <v>0.47123429999999999</v>
      </c>
      <c r="F4750" t="s">
        <v>41</v>
      </c>
      <c r="G4750">
        <v>-415.97739999999999</v>
      </c>
      <c r="H4750" s="1">
        <v>-3.9791200000000003E-6</v>
      </c>
      <c r="I4750">
        <v>47.244909999999997</v>
      </c>
      <c r="J4750">
        <v>-420.78910000000002</v>
      </c>
      <c r="K4750">
        <v>1.1207290000000001</v>
      </c>
      <c r="L4750">
        <v>109.1225</v>
      </c>
      <c r="M4750">
        <v>-0.1042536</v>
      </c>
      <c r="N4750">
        <v>-1.273642E-2</v>
      </c>
      <c r="O4750">
        <v>-0.99446920000000005</v>
      </c>
      <c r="P4750">
        <v>3.719212E-3</v>
      </c>
      <c r="Q4750">
        <v>0.1466577</v>
      </c>
      <c r="R4750">
        <v>-0.98918010000000001</v>
      </c>
      <c r="S4750">
        <v>0.2342224</v>
      </c>
      <c r="T4750">
        <v>-5.484903E-2</v>
      </c>
      <c r="U4750">
        <v>-3.040314</v>
      </c>
      <c r="V4750">
        <v>-0.10676670000000001</v>
      </c>
      <c r="W4750">
        <v>0.159215299999999</v>
      </c>
      <c r="X4750">
        <v>0.98145369999999998</v>
      </c>
      <c r="Y4750">
        <v>-0.18031040000000001</v>
      </c>
      <c r="Z4750">
        <v>4.9288359999999998E-3</v>
      </c>
      <c r="AA4750">
        <v>0.98359739999999996</v>
      </c>
      <c r="AB4750">
        <v>24</v>
      </c>
      <c r="AC4750">
        <v>4.8117000000000303</v>
      </c>
      <c r="AD4750">
        <v>-1.12073297912</v>
      </c>
      <c r="AE4750">
        <v>-61.877589999999998</v>
      </c>
      <c r="AF4750">
        <v>-11.233297392131099</v>
      </c>
      <c r="AG4750">
        <v>-1.12073297912</v>
      </c>
      <c r="AH4750">
        <v>61.018773948189697</v>
      </c>
      <c r="AI4750">
        <v>91.034848201405595</v>
      </c>
      <c r="AJ4750">
        <v>100.431115250131</v>
      </c>
      <c r="AK4750">
        <v>62.054280971185399</v>
      </c>
      <c r="AL4750">
        <v>80.838647650265798</v>
      </c>
      <c r="AM4750">
        <v>96.208464591676204</v>
      </c>
      <c r="AN4750">
        <v>1.00000000261333</v>
      </c>
    </row>
    <row r="4751" spans="1:40" x14ac:dyDescent="0.25">
      <c r="A4751" t="str">
        <f>"20190303162356452"</f>
        <v>20190303162356452</v>
      </c>
      <c r="B4751" t="str">
        <f>"1551601436439068"</f>
        <v>1551601436439068</v>
      </c>
      <c r="C4751" t="s">
        <v>40</v>
      </c>
      <c r="D4751">
        <v>5.1542130000000004</v>
      </c>
      <c r="E4751">
        <v>0.47356619999999999</v>
      </c>
      <c r="F4751" t="s">
        <v>41</v>
      </c>
      <c r="G4751">
        <v>-417.2167</v>
      </c>
      <c r="H4751" s="1">
        <v>-1.590635E-6</v>
      </c>
      <c r="I4751">
        <v>62.146070000000002</v>
      </c>
      <c r="J4751">
        <v>-420.81479999999999</v>
      </c>
      <c r="K4751">
        <v>1.1207339999999999</v>
      </c>
      <c r="L4751">
        <v>108.8802</v>
      </c>
      <c r="M4751">
        <v>-0.1044885</v>
      </c>
      <c r="N4751">
        <v>-1.2735140000000001E-2</v>
      </c>
      <c r="O4751">
        <v>-0.99444489999999996</v>
      </c>
      <c r="P4751">
        <v>9.2176489999999996E-3</v>
      </c>
      <c r="Q4751">
        <v>0.14843480000000001</v>
      </c>
      <c r="R4751">
        <v>-0.98887970000000003</v>
      </c>
      <c r="S4751">
        <v>0.23138429999999999</v>
      </c>
      <c r="T4751">
        <v>-7.2590829999999995E-2</v>
      </c>
      <c r="U4751">
        <v>-3.0427089999999999</v>
      </c>
      <c r="V4751">
        <v>-0.1124343</v>
      </c>
      <c r="W4751">
        <v>0.16098219999999999</v>
      </c>
      <c r="X4751">
        <v>0.98053210000000002</v>
      </c>
      <c r="Y4751">
        <v>-0.17956129999999901</v>
      </c>
      <c r="Z4751">
        <v>1.06426E-2</v>
      </c>
      <c r="AA4751">
        <v>0.98368920000000004</v>
      </c>
      <c r="AB4751">
        <v>24</v>
      </c>
      <c r="AC4751">
        <v>3.5980999999999801</v>
      </c>
      <c r="AD4751">
        <v>-1.1207355906350001</v>
      </c>
      <c r="AE4751">
        <v>-46.73413</v>
      </c>
      <c r="AF4751">
        <v>-8.4571396636723399</v>
      </c>
      <c r="AG4751">
        <v>-1.1207355906350001</v>
      </c>
      <c r="AH4751">
        <v>46.075938137715099</v>
      </c>
      <c r="AI4751">
        <v>91.370483004806502</v>
      </c>
      <c r="AJ4751">
        <v>100.400748924255</v>
      </c>
      <c r="AK4751">
        <v>46.859058193966398</v>
      </c>
      <c r="AL4751">
        <v>80.736088510699602</v>
      </c>
      <c r="AM4751">
        <v>96.541343639425094</v>
      </c>
      <c r="AN4751">
        <v>0.99999996983186901</v>
      </c>
    </row>
    <row r="4752" spans="1:40" x14ac:dyDescent="0.25">
      <c r="A4752" t="str">
        <f>"20190303162356474"</f>
        <v>20190303162356474</v>
      </c>
      <c r="B4752" t="str">
        <f>"1551601436469324"</f>
        <v>1551601436469324</v>
      </c>
      <c r="C4752" t="s">
        <v>40</v>
      </c>
      <c r="D4752">
        <v>5.205006</v>
      </c>
      <c r="E4752">
        <v>0.47624640000000001</v>
      </c>
      <c r="F4752" t="s">
        <v>41</v>
      </c>
      <c r="G4752">
        <v>-417.62119999999999</v>
      </c>
      <c r="H4752" s="1">
        <v>-3.203373E-6</v>
      </c>
      <c r="I4752">
        <v>66.116299999999995</v>
      </c>
      <c r="J4752">
        <v>-420.84030000000001</v>
      </c>
      <c r="K4752">
        <v>1.120746</v>
      </c>
      <c r="L4752">
        <v>108.6403</v>
      </c>
      <c r="M4752">
        <v>-0.10471800000000001</v>
      </c>
      <c r="N4752">
        <v>-1.2733909999999999E-2</v>
      </c>
      <c r="O4752">
        <v>-0.99442050000000004</v>
      </c>
      <c r="P4752">
        <v>1.2920350000000001E-2</v>
      </c>
      <c r="Q4752">
        <v>0.15145610000000001</v>
      </c>
      <c r="R4752">
        <v>-0.98837949999999997</v>
      </c>
      <c r="S4752">
        <v>0.22729489999999999</v>
      </c>
      <c r="T4752">
        <v>-7.9765559999999999E-2</v>
      </c>
      <c r="U4752">
        <v>-3.0436100000000001</v>
      </c>
      <c r="V4752">
        <v>-0.1162907</v>
      </c>
      <c r="W4752">
        <v>0.16399149999999901</v>
      </c>
      <c r="X4752">
        <v>0.97958319999999999</v>
      </c>
      <c r="Y4752">
        <v>-0.17844749999999901</v>
      </c>
      <c r="Z4752">
        <v>1.295456E-2</v>
      </c>
      <c r="AA4752">
        <v>0.98386410000000002</v>
      </c>
      <c r="AB4752">
        <v>24</v>
      </c>
      <c r="AC4752">
        <v>3.2191000000000201</v>
      </c>
      <c r="AD4752">
        <v>-1.120749203373</v>
      </c>
      <c r="AE4752">
        <v>-42.523999999999901</v>
      </c>
      <c r="AF4752">
        <v>-7.6495041241950501</v>
      </c>
      <c r="AG4752">
        <v>-1.120749203373</v>
      </c>
      <c r="AH4752">
        <v>41.924082698394102</v>
      </c>
      <c r="AI4752">
        <v>91.506454031824305</v>
      </c>
      <c r="AJ4752">
        <v>100.340486773408</v>
      </c>
      <c r="AK4752">
        <v>42.630971162110797</v>
      </c>
      <c r="AL4752">
        <v>80.561346254786898</v>
      </c>
      <c r="AM4752">
        <v>96.770152522769393</v>
      </c>
      <c r="AN4752">
        <v>0.99999999235048997</v>
      </c>
    </row>
    <row r="4753" spans="1:40" x14ac:dyDescent="0.25">
      <c r="A4753" t="str">
        <f>"20190303162356496"</f>
        <v>20190303162356496</v>
      </c>
      <c r="B4753" t="str">
        <f>"1551601436489820"</f>
        <v>1551601436489820</v>
      </c>
      <c r="C4753" t="s">
        <v>40</v>
      </c>
      <c r="D4753">
        <v>5.2587900000000003</v>
      </c>
      <c r="E4753">
        <v>0.47747339999999999</v>
      </c>
      <c r="F4753" t="s">
        <v>41</v>
      </c>
      <c r="G4753">
        <v>-417.96269999999998</v>
      </c>
      <c r="H4753" s="1">
        <v>-4.1365049999999996E-6</v>
      </c>
      <c r="I4753">
        <v>68.432659999999998</v>
      </c>
      <c r="J4753">
        <v>-420.86579999999998</v>
      </c>
      <c r="K4753">
        <v>1.12076</v>
      </c>
      <c r="L4753">
        <v>108.4006</v>
      </c>
      <c r="M4753">
        <v>-0.10492700000000001</v>
      </c>
      <c r="N4753">
        <v>-1.273268E-2</v>
      </c>
      <c r="O4753">
        <v>-0.99439849999999996</v>
      </c>
      <c r="P4753">
        <v>1.429276E-2</v>
      </c>
      <c r="Q4753">
        <v>0.1530185</v>
      </c>
      <c r="R4753">
        <v>-0.98812009999999995</v>
      </c>
      <c r="S4753">
        <v>0.2179565</v>
      </c>
      <c r="T4753">
        <v>-8.4888820000000004E-2</v>
      </c>
      <c r="U4753">
        <v>-3.0454409999999998</v>
      </c>
      <c r="V4753">
        <v>-0.1178384</v>
      </c>
      <c r="W4753">
        <v>0.165545</v>
      </c>
      <c r="X4753">
        <v>0.97913680000000003</v>
      </c>
      <c r="Y4753">
        <v>-0.17560590000000001</v>
      </c>
      <c r="Z4753">
        <v>1.4602830000000001E-2</v>
      </c>
      <c r="AA4753">
        <v>0.98435220000000001</v>
      </c>
      <c r="AB4753">
        <v>24</v>
      </c>
      <c r="AC4753">
        <v>2.90309999999999</v>
      </c>
      <c r="AD4753">
        <v>-1.1207641365050001</v>
      </c>
      <c r="AE4753">
        <v>-39.967939999999999</v>
      </c>
      <c r="AF4753">
        <v>-7.0755931835602501</v>
      </c>
      <c r="AG4753">
        <v>-1.1207641365050001</v>
      </c>
      <c r="AH4753">
        <v>39.411811917103996</v>
      </c>
      <c r="AI4753">
        <v>91.603277311756997</v>
      </c>
      <c r="AJ4753">
        <v>100.177874435116</v>
      </c>
      <c r="AK4753">
        <v>40.057596654543602</v>
      </c>
      <c r="AL4753">
        <v>80.471103479574595</v>
      </c>
      <c r="AM4753">
        <v>96.862500267313095</v>
      </c>
      <c r="AN4753">
        <v>0.99999995432689803</v>
      </c>
    </row>
    <row r="4754" spans="1:40" x14ac:dyDescent="0.25">
      <c r="A4754" t="str">
        <f>"20190303162356518"</f>
        <v>20190303162356518</v>
      </c>
      <c r="B4754" t="str">
        <f>"1551601436509340"</f>
        <v>1551601436509340</v>
      </c>
      <c r="C4754" t="s">
        <v>40</v>
      </c>
      <c r="D4754">
        <v>5.2461589999999996</v>
      </c>
      <c r="E4754">
        <v>0.47865530000000001</v>
      </c>
      <c r="F4754" t="s">
        <v>41</v>
      </c>
      <c r="G4754">
        <v>-418.0659</v>
      </c>
      <c r="H4754" s="1">
        <v>-4.1876439999999999E-6</v>
      </c>
      <c r="I4754">
        <v>68.594569999999905</v>
      </c>
      <c r="J4754">
        <v>-420.89080000000001</v>
      </c>
      <c r="K4754">
        <v>1.120781</v>
      </c>
      <c r="L4754">
        <v>108.1658</v>
      </c>
      <c r="M4754">
        <v>-0.105088</v>
      </c>
      <c r="N4754">
        <v>-1.273142E-2</v>
      </c>
      <c r="O4754">
        <v>-0.99438159999999998</v>
      </c>
      <c r="P4754">
        <v>1.427876E-2</v>
      </c>
      <c r="Q4754">
        <v>0.15189649999999999</v>
      </c>
      <c r="R4754">
        <v>-0.98829339999999999</v>
      </c>
      <c r="S4754">
        <v>0.21426390000000001</v>
      </c>
      <c r="T4754">
        <v>-8.5768700000000003E-2</v>
      </c>
      <c r="U4754">
        <v>-3.0462340000000001</v>
      </c>
      <c r="V4754">
        <v>-0.1180123</v>
      </c>
      <c r="W4754">
        <v>0.16441629999999999</v>
      </c>
      <c r="X4754">
        <v>0.97930609999999996</v>
      </c>
      <c r="Y4754">
        <v>-0.1745594</v>
      </c>
      <c r="Z4754">
        <v>1.4884410000000001E-2</v>
      </c>
      <c r="AA4754">
        <v>0.98453409999999997</v>
      </c>
      <c r="AB4754">
        <v>24</v>
      </c>
      <c r="AC4754">
        <v>2.8249000000000102</v>
      </c>
      <c r="AD4754">
        <v>-1.120785187644</v>
      </c>
      <c r="AE4754">
        <v>-39.57123</v>
      </c>
      <c r="AF4754">
        <v>-6.9624965160978096</v>
      </c>
      <c r="AG4754">
        <v>-1.120785187644</v>
      </c>
      <c r="AH4754">
        <v>39.0240519638973</v>
      </c>
      <c r="AI4754">
        <v>91.619542876682502</v>
      </c>
      <c r="AJ4754">
        <v>100.116014555704</v>
      </c>
      <c r="AK4754">
        <v>39.656136332911601</v>
      </c>
      <c r="AL4754">
        <v>80.536672450777402</v>
      </c>
      <c r="AM4754">
        <v>96.871354066084095</v>
      </c>
      <c r="AN4754">
        <v>1.0000000300770899</v>
      </c>
    </row>
    <row r="4755" spans="1:40" x14ac:dyDescent="0.25">
      <c r="A4755" t="str">
        <f>"20190303162356541"</f>
        <v>20190303162356541</v>
      </c>
      <c r="B4755" t="str">
        <f>"1551601436529836"</f>
        <v>1551601436529836</v>
      </c>
      <c r="C4755" t="s">
        <v>40</v>
      </c>
      <c r="D4755">
        <v>5.2407969999999997</v>
      </c>
      <c r="E4755">
        <v>0.4797226</v>
      </c>
      <c r="F4755" t="s">
        <v>41</v>
      </c>
      <c r="G4755">
        <v>-418.4579</v>
      </c>
      <c r="H4755" s="1">
        <v>-1.3077749999999999E-6</v>
      </c>
      <c r="I4755">
        <v>72.043569999999903</v>
      </c>
      <c r="J4755">
        <v>-420.91730000000001</v>
      </c>
      <c r="K4755">
        <v>1.1208180000000001</v>
      </c>
      <c r="L4755">
        <v>107.91679999999999</v>
      </c>
      <c r="M4755">
        <v>-0.1052033</v>
      </c>
      <c r="N4755">
        <v>-1.2730109999999999E-2</v>
      </c>
      <c r="O4755">
        <v>-0.99436930000000001</v>
      </c>
      <c r="P4755">
        <v>1.483553E-2</v>
      </c>
      <c r="Q4755">
        <v>0.150559</v>
      </c>
      <c r="R4755">
        <v>-0.98848970000000003</v>
      </c>
      <c r="S4755">
        <v>0.20523069999999999</v>
      </c>
      <c r="T4755">
        <v>-9.4543929999999998E-2</v>
      </c>
      <c r="U4755">
        <v>-3.047104</v>
      </c>
      <c r="V4755">
        <v>-0.11871859999999999</v>
      </c>
      <c r="W4755">
        <v>0.16306670000000001</v>
      </c>
      <c r="X4755">
        <v>0.97944640000000005</v>
      </c>
      <c r="Y4755">
        <v>-0.1717427</v>
      </c>
      <c r="Z4755">
        <v>1.7717480000000001E-2</v>
      </c>
      <c r="AA4755">
        <v>0.98498249999999998</v>
      </c>
      <c r="AB4755">
        <v>24</v>
      </c>
      <c r="AC4755">
        <v>2.4594000000000098</v>
      </c>
      <c r="AD4755">
        <v>-1.1208193077749999</v>
      </c>
      <c r="AE4755">
        <v>-35.87323</v>
      </c>
      <c r="AF4755">
        <v>-6.2140001465477903</v>
      </c>
      <c r="AG4755">
        <v>-1.1208193077749999</v>
      </c>
      <c r="AH4755">
        <v>35.380993009261097</v>
      </c>
      <c r="AI4755">
        <v>91.787106356261702</v>
      </c>
      <c r="AJ4755">
        <v>99.961322589806201</v>
      </c>
      <c r="AK4755">
        <v>35.940015304161399</v>
      </c>
      <c r="AL4755">
        <v>80.615056983019599</v>
      </c>
      <c r="AM4755">
        <v>96.911101684184899</v>
      </c>
      <c r="AN4755">
        <v>1.0000000525538999</v>
      </c>
    </row>
    <row r="4756" spans="1:40" x14ac:dyDescent="0.25">
      <c r="A4756" t="str">
        <f>"20190303162356564"</f>
        <v>20190303162356564</v>
      </c>
      <c r="B4756" t="str">
        <f>"1551601436560092"</f>
        <v>1551601436560092</v>
      </c>
      <c r="C4756" t="s">
        <v>40</v>
      </c>
      <c r="D4756">
        <v>5.3066890000000004</v>
      </c>
      <c r="E4756">
        <v>0.48087730000000001</v>
      </c>
      <c r="F4756" t="s">
        <v>41</v>
      </c>
      <c r="G4756">
        <v>-418.7647</v>
      </c>
      <c r="H4756" s="1">
        <v>-2.411326E-6</v>
      </c>
      <c r="I4756">
        <v>74.742869999999996</v>
      </c>
      <c r="J4756">
        <v>-420.94290000000001</v>
      </c>
      <c r="K4756">
        <v>1.120865</v>
      </c>
      <c r="L4756">
        <v>107.6756</v>
      </c>
      <c r="M4756">
        <v>-0.1052529</v>
      </c>
      <c r="N4756">
        <v>-1.2728959999999999E-2</v>
      </c>
      <c r="O4756">
        <v>-0.99436429999999998</v>
      </c>
      <c r="P4756">
        <v>1.4497799999999899E-2</v>
      </c>
      <c r="Q4756">
        <v>0.14973359999999999</v>
      </c>
      <c r="R4756">
        <v>-0.98862019999999995</v>
      </c>
      <c r="S4756">
        <v>0.19775390000000001</v>
      </c>
      <c r="T4756">
        <v>-0.1029685</v>
      </c>
      <c r="U4756">
        <v>-3.0476529999999999</v>
      </c>
      <c r="V4756">
        <v>-0.11846619999999999</v>
      </c>
      <c r="W4756">
        <v>0.16222690000000001</v>
      </c>
      <c r="X4756">
        <v>0.9796163</v>
      </c>
      <c r="Y4756">
        <v>-0.16936780000000001</v>
      </c>
      <c r="Z4756">
        <v>2.0438419999999999E-2</v>
      </c>
      <c r="AA4756">
        <v>0.98534100000000002</v>
      </c>
      <c r="AB4756">
        <v>24</v>
      </c>
      <c r="AC4756">
        <v>2.1781999999999999</v>
      </c>
      <c r="AD4756">
        <v>-1.120867411326</v>
      </c>
      <c r="AE4756">
        <v>-32.932729999999999</v>
      </c>
      <c r="AF4756">
        <v>-5.6261555448495599</v>
      </c>
      <c r="AG4756">
        <v>-1.120867411326</v>
      </c>
      <c r="AH4756">
        <v>32.483030755600403</v>
      </c>
      <c r="AI4756">
        <v>91.947307842372595</v>
      </c>
      <c r="AJ4756">
        <v>99.826309221325204</v>
      </c>
      <c r="AK4756">
        <v>32.985712922989798</v>
      </c>
      <c r="AL4756">
        <v>80.663822380386193</v>
      </c>
      <c r="AM4756">
        <v>96.895365504226106</v>
      </c>
      <c r="AN4756">
        <v>0.99999995142586795</v>
      </c>
    </row>
    <row r="4757" spans="1:40" x14ac:dyDescent="0.25">
      <c r="A4757" t="str">
        <f>"20190303162356586"</f>
        <v>20190303162356586</v>
      </c>
      <c r="B4757" t="str">
        <f>"1551601436579142"</f>
        <v>1551601436579142</v>
      </c>
      <c r="C4757" t="s">
        <v>40</v>
      </c>
      <c r="D4757">
        <v>5.3032029999999999</v>
      </c>
      <c r="E4757">
        <v>0.48158620000000002</v>
      </c>
      <c r="F4757" t="s">
        <v>41</v>
      </c>
      <c r="G4757">
        <v>-419.03559999999999</v>
      </c>
      <c r="H4757" s="1">
        <v>-3.179262E-6</v>
      </c>
      <c r="I4757">
        <v>76.644940000000005</v>
      </c>
      <c r="J4757">
        <v>-420.96850000000001</v>
      </c>
      <c r="K4757">
        <v>1.1209209999999901</v>
      </c>
      <c r="L4757">
        <v>107.4337</v>
      </c>
      <c r="M4757">
        <v>-0.10522140000000001</v>
      </c>
      <c r="N4757">
        <v>-1.2727870000000001E-2</v>
      </c>
      <c r="O4757">
        <v>-0.99436749999999996</v>
      </c>
      <c r="P4757">
        <v>1.404391E-2</v>
      </c>
      <c r="Q4757">
        <v>0.14908060000000001</v>
      </c>
      <c r="R4757">
        <v>-0.98872559999999998</v>
      </c>
      <c r="S4757">
        <v>0.18737789999999999</v>
      </c>
      <c r="T4757">
        <v>-0.11011509999999999</v>
      </c>
      <c r="U4757">
        <v>-3.0484770000000001</v>
      </c>
      <c r="V4757">
        <v>-0.11801689999999899</v>
      </c>
      <c r="W4757">
        <v>0.16155919999999999</v>
      </c>
      <c r="X4757">
        <v>0.97978089999999995</v>
      </c>
      <c r="Y4757">
        <v>-0.16597339999999999</v>
      </c>
      <c r="Z4757">
        <v>2.274934E-2</v>
      </c>
      <c r="AA4757">
        <v>0.98586779999999996</v>
      </c>
      <c r="AB4757">
        <v>24</v>
      </c>
      <c r="AC4757">
        <v>1.9329000000000101</v>
      </c>
      <c r="AD4757">
        <v>-1.1209241792619999</v>
      </c>
      <c r="AE4757">
        <v>-30.78876</v>
      </c>
      <c r="AF4757">
        <v>-5.1552605354329399</v>
      </c>
      <c r="AG4757">
        <v>-1.1209241792619999</v>
      </c>
      <c r="AH4757">
        <v>30.374317430862799</v>
      </c>
      <c r="AI4757">
        <v>92.083694294688399</v>
      </c>
      <c r="AJ4757">
        <v>99.632693279748594</v>
      </c>
      <c r="AK4757">
        <v>30.8290827238609</v>
      </c>
      <c r="AL4757">
        <v>80.702590530069997</v>
      </c>
      <c r="AM4757">
        <v>96.868321186769407</v>
      </c>
      <c r="AN4757">
        <v>0.99999998789752897</v>
      </c>
    </row>
    <row r="4758" spans="1:40" x14ac:dyDescent="0.25">
      <c r="A4758" t="str">
        <f>"20190303162356608"</f>
        <v>20190303162356608</v>
      </c>
      <c r="B4758" t="str">
        <f>"1551601436599639"</f>
        <v>1551601436599639</v>
      </c>
      <c r="C4758" t="s">
        <v>40</v>
      </c>
      <c r="D4758">
        <v>5.3041600000000004</v>
      </c>
      <c r="E4758">
        <v>0.48214849999999998</v>
      </c>
      <c r="F4758" t="s">
        <v>41</v>
      </c>
      <c r="G4758">
        <v>-419.20600000000002</v>
      </c>
      <c r="H4758" s="1">
        <v>-3.5941679999999998E-6</v>
      </c>
      <c r="I4758">
        <v>77.682540000000003</v>
      </c>
      <c r="J4758">
        <v>-420.99290000000002</v>
      </c>
      <c r="K4758">
        <v>1.1209720000000001</v>
      </c>
      <c r="L4758">
        <v>107.2033</v>
      </c>
      <c r="M4758">
        <v>-0.10512000000000001</v>
      </c>
      <c r="N4758">
        <v>-1.272681E-2</v>
      </c>
      <c r="O4758">
        <v>-0.99437810000000004</v>
      </c>
      <c r="P4758">
        <v>1.355601E-2</v>
      </c>
      <c r="Q4758">
        <v>0.148308</v>
      </c>
      <c r="R4758">
        <v>-0.98884830000000001</v>
      </c>
      <c r="S4758">
        <v>0.1806335</v>
      </c>
      <c r="T4758">
        <v>-0.114875</v>
      </c>
      <c r="U4758">
        <v>-3.0489649999999999</v>
      </c>
      <c r="V4758">
        <v>-0.1174631</v>
      </c>
      <c r="W4758">
        <v>0.16077420000000001</v>
      </c>
      <c r="X4758">
        <v>0.97997659999999998</v>
      </c>
      <c r="Y4758">
        <v>-0.16368679999999999</v>
      </c>
      <c r="Z4758">
        <v>2.4289890000000001E-2</v>
      </c>
      <c r="AA4758">
        <v>0.98621329999999996</v>
      </c>
      <c r="AB4758">
        <v>24</v>
      </c>
      <c r="AC4758">
        <v>1.7869000000000499</v>
      </c>
      <c r="AD4758">
        <v>-1.120975594168</v>
      </c>
      <c r="AE4758">
        <v>-29.520759999999999</v>
      </c>
      <c r="AF4758">
        <v>-4.8734703648239703</v>
      </c>
      <c r="AG4758">
        <v>-1.120975594168</v>
      </c>
      <c r="AH4758">
        <v>29.127475037641702</v>
      </c>
      <c r="AI4758">
        <v>92.173762716692295</v>
      </c>
      <c r="AJ4758">
        <v>99.498474363680501</v>
      </c>
      <c r="AK4758">
        <v>29.553630940173498</v>
      </c>
      <c r="AL4758">
        <v>80.748163877017504</v>
      </c>
      <c r="AM4758">
        <v>96.835044692487401</v>
      </c>
      <c r="AN4758">
        <v>1.0000000298973999</v>
      </c>
    </row>
    <row r="4759" spans="1:40" x14ac:dyDescent="0.25">
      <c r="A4759" t="str">
        <f>"20190303162356629"</f>
        <v>20190303162356629</v>
      </c>
      <c r="B4759" t="str">
        <f>"1551601436619158"</f>
        <v>1551601436619158</v>
      </c>
      <c r="C4759" t="s">
        <v>40</v>
      </c>
      <c r="D4759">
        <v>5.3063859999999998</v>
      </c>
      <c r="E4759">
        <v>0.4826223</v>
      </c>
      <c r="F4759" t="s">
        <v>41</v>
      </c>
      <c r="G4759">
        <v>-419.37810000000002</v>
      </c>
      <c r="H4759" s="1">
        <v>-4.0579270000000003E-6</v>
      </c>
      <c r="I4759">
        <v>78.834739999999996</v>
      </c>
      <c r="J4759">
        <v>-421.01780000000002</v>
      </c>
      <c r="K4759">
        <v>1.1210279999999999</v>
      </c>
      <c r="L4759">
        <v>106.9661</v>
      </c>
      <c r="M4759">
        <v>-0.104931</v>
      </c>
      <c r="N4759">
        <v>-1.272568E-2</v>
      </c>
      <c r="O4759">
        <v>-0.99439820000000001</v>
      </c>
      <c r="P4759">
        <v>1.380636E-2</v>
      </c>
      <c r="Q4759">
        <v>0.14834929999999999</v>
      </c>
      <c r="R4759">
        <v>-0.98883889999999997</v>
      </c>
      <c r="S4759">
        <v>0.17358399999999999</v>
      </c>
      <c r="T4759">
        <v>-0.12050089999999999</v>
      </c>
      <c r="U4759">
        <v>-3.049515</v>
      </c>
      <c r="V4759">
        <v>-0.1175443</v>
      </c>
      <c r="W4759">
        <v>0.16079959999999999</v>
      </c>
      <c r="X4759">
        <v>0.97996260000000002</v>
      </c>
      <c r="Y4759">
        <v>-0.161212299999999</v>
      </c>
      <c r="Z4759">
        <v>2.6110029999999999E-2</v>
      </c>
      <c r="AA4759">
        <v>0.98657430000000002</v>
      </c>
      <c r="AB4759">
        <v>24</v>
      </c>
      <c r="AC4759">
        <v>1.6396999999999999</v>
      </c>
      <c r="AD4759">
        <v>-1.1210320579269999</v>
      </c>
      <c r="AE4759">
        <v>-28.131359999999901</v>
      </c>
      <c r="AF4759">
        <v>-4.57549565156474</v>
      </c>
      <c r="AG4759">
        <v>-1.1210320579269999</v>
      </c>
      <c r="AH4759">
        <v>27.760032412291299</v>
      </c>
      <c r="AI4759">
        <v>92.281763133304693</v>
      </c>
      <c r="AJ4759">
        <v>99.359519938154804</v>
      </c>
      <c r="AK4759">
        <v>28.1569045327048</v>
      </c>
      <c r="AL4759">
        <v>80.746688499663705</v>
      </c>
      <c r="AM4759">
        <v>96.839821671194898</v>
      </c>
      <c r="AN4759">
        <v>0.999999935610702</v>
      </c>
    </row>
    <row r="4760" spans="1:40" x14ac:dyDescent="0.25">
      <c r="A4760" t="str">
        <f>"20190303162356653"</f>
        <v>20190303162356653</v>
      </c>
      <c r="B4760" t="str">
        <f>"1551601436639654"</f>
        <v>1551601436639654</v>
      </c>
      <c r="C4760" t="s">
        <v>40</v>
      </c>
      <c r="D4760">
        <v>5.3687630000000004</v>
      </c>
      <c r="E4760">
        <v>0.48295290000000002</v>
      </c>
      <c r="F4760" t="s">
        <v>41</v>
      </c>
      <c r="G4760">
        <v>-419.4615</v>
      </c>
      <c r="H4760" s="1">
        <v>-4.1068259999999997E-6</v>
      </c>
      <c r="I4760">
        <v>78.983219999999903</v>
      </c>
      <c r="J4760">
        <v>-421.04320000000001</v>
      </c>
      <c r="K4760">
        <v>1.1211</v>
      </c>
      <c r="L4760">
        <v>106.7231</v>
      </c>
      <c r="M4760">
        <v>-0.104634</v>
      </c>
      <c r="N4760">
        <v>-1.2724640000000001E-2</v>
      </c>
      <c r="O4760">
        <v>-0.99442929999999996</v>
      </c>
      <c r="P4760">
        <v>1.459475E-2</v>
      </c>
      <c r="Q4760">
        <v>0.14973829999999999</v>
      </c>
      <c r="R4760">
        <v>-0.98861779999999999</v>
      </c>
      <c r="S4760">
        <v>0.16961670000000001</v>
      </c>
      <c r="T4760">
        <v>-0.1221797</v>
      </c>
      <c r="U4760">
        <v>-3.04982</v>
      </c>
      <c r="V4760">
        <v>-0.11803719999999999</v>
      </c>
      <c r="W4760">
        <v>0.1621657</v>
      </c>
      <c r="X4760">
        <v>0.9796783</v>
      </c>
      <c r="Y4760">
        <v>-0.15963169999999999</v>
      </c>
      <c r="Z4760">
        <v>2.6657460000000001E-2</v>
      </c>
      <c r="AA4760">
        <v>0.98681660000000004</v>
      </c>
      <c r="AB4760">
        <v>24</v>
      </c>
      <c r="AC4760">
        <v>1.5817000000000101</v>
      </c>
      <c r="AD4760">
        <v>-1.1211041068259999</v>
      </c>
      <c r="AE4760">
        <v>-27.739879999999999</v>
      </c>
      <c r="AF4760">
        <v>-4.4685111413397802</v>
      </c>
      <c r="AG4760">
        <v>-1.1211041068259999</v>
      </c>
      <c r="AH4760">
        <v>27.3774999257956</v>
      </c>
      <c r="AI4760">
        <v>92.314351716056095</v>
      </c>
      <c r="AJ4760">
        <v>99.269982804385094</v>
      </c>
      <c r="AK4760">
        <v>27.7624200750864</v>
      </c>
      <c r="AL4760">
        <v>80.667376706306896</v>
      </c>
      <c r="AM4760">
        <v>96.870203867407199</v>
      </c>
      <c r="AN4760">
        <v>1.0000000331656</v>
      </c>
    </row>
    <row r="4761" spans="1:40" x14ac:dyDescent="0.25">
      <c r="A4761" t="str">
        <f>"20190303162356675"</f>
        <v>20190303162356675</v>
      </c>
      <c r="B4761" t="str">
        <f>"1551601436669910"</f>
        <v>1551601436669910</v>
      </c>
      <c r="C4761" t="s">
        <v>40</v>
      </c>
      <c r="D4761">
        <v>5.4365800000000002</v>
      </c>
      <c r="E4761">
        <v>0.48339890000000002</v>
      </c>
      <c r="F4761" t="s">
        <v>41</v>
      </c>
      <c r="G4761">
        <v>-419.45600000000002</v>
      </c>
      <c r="H4761" s="1">
        <v>-3.78817E-6</v>
      </c>
      <c r="I4761">
        <v>78.238159999999993</v>
      </c>
      <c r="J4761">
        <v>-421.06830000000002</v>
      </c>
      <c r="K4761">
        <v>1.1211880000000001</v>
      </c>
      <c r="L4761">
        <v>106.4806</v>
      </c>
      <c r="M4761">
        <v>-0.1042117</v>
      </c>
      <c r="N4761">
        <v>-1.272394E-2</v>
      </c>
      <c r="O4761">
        <v>-0.99447379999999996</v>
      </c>
      <c r="P4761">
        <v>1.5055239999999999E-2</v>
      </c>
      <c r="Q4761">
        <v>0.1510975</v>
      </c>
      <c r="R4761">
        <v>-0.98840470000000002</v>
      </c>
      <c r="S4761">
        <v>0.169952399999999</v>
      </c>
      <c r="T4761">
        <v>-0.12004910000000001</v>
      </c>
      <c r="U4761">
        <v>-3.0502009999999999</v>
      </c>
      <c r="V4761">
        <v>-0.1180903</v>
      </c>
      <c r="W4761">
        <v>0.16349720000000001</v>
      </c>
      <c r="X4761">
        <v>0.9794505</v>
      </c>
      <c r="Y4761">
        <v>-0.15931579999999901</v>
      </c>
      <c r="Z4761">
        <v>2.5970400000000001E-2</v>
      </c>
      <c r="AA4761">
        <v>0.98688600000000004</v>
      </c>
      <c r="AB4761">
        <v>24</v>
      </c>
      <c r="AC4761">
        <v>1.61230000000006</v>
      </c>
      <c r="AD4761">
        <v>-1.12119178816999</v>
      </c>
      <c r="AE4761">
        <v>-28.242439999999998</v>
      </c>
      <c r="AF4761">
        <v>-4.5398191165292801</v>
      </c>
      <c r="AG4761">
        <v>-1.12119178816999</v>
      </c>
      <c r="AH4761">
        <v>27.876813672136301</v>
      </c>
      <c r="AI4761">
        <v>92.273251623225605</v>
      </c>
      <c r="AJ4761">
        <v>99.249582965969395</v>
      </c>
      <c r="AK4761">
        <v>28.266300945607799</v>
      </c>
      <c r="AL4761">
        <v>80.590054812776899</v>
      </c>
      <c r="AM4761">
        <v>96.874848208040802</v>
      </c>
      <c r="AN4761">
        <v>0.99999996765608901</v>
      </c>
    </row>
    <row r="4762" spans="1:40" x14ac:dyDescent="0.25">
      <c r="A4762" t="str">
        <f>"20190303162356697"</f>
        <v>20190303162356697</v>
      </c>
      <c r="B4762" t="str">
        <f>"1551601436689430"</f>
        <v>1551601436689430</v>
      </c>
      <c r="C4762" t="s">
        <v>40</v>
      </c>
      <c r="D4762">
        <v>5.4362320000000004</v>
      </c>
      <c r="E4762">
        <v>0.48367529999999997</v>
      </c>
      <c r="F4762" t="s">
        <v>41</v>
      </c>
      <c r="G4762">
        <v>-419.36779999999999</v>
      </c>
      <c r="H4762" s="1">
        <v>-2.8361069999999998E-6</v>
      </c>
      <c r="I4762">
        <v>75.982410000000002</v>
      </c>
      <c r="J4762">
        <v>-421.09219999999999</v>
      </c>
      <c r="K4762">
        <v>1.121294</v>
      </c>
      <c r="L4762">
        <v>106.2473</v>
      </c>
      <c r="M4762">
        <v>-0.10365340000000001</v>
      </c>
      <c r="N4762">
        <v>-1.2723709999999999E-2</v>
      </c>
      <c r="O4762">
        <v>-0.99453199999999997</v>
      </c>
      <c r="P4762">
        <v>1.500596E-2</v>
      </c>
      <c r="Q4762">
        <v>0.15148539999999999</v>
      </c>
      <c r="R4762">
        <v>-0.98834540000000004</v>
      </c>
      <c r="S4762">
        <v>0.1700439</v>
      </c>
      <c r="T4762">
        <v>-0.1121162</v>
      </c>
      <c r="U4762">
        <v>-3.049744</v>
      </c>
      <c r="V4762">
        <v>-0.11752700000000001</v>
      </c>
      <c r="W4762">
        <v>0.1638551</v>
      </c>
      <c r="X4762">
        <v>0.97945850000000001</v>
      </c>
      <c r="Y4762">
        <v>-0.15880569999999999</v>
      </c>
      <c r="Z4762">
        <v>2.3424480000000001E-2</v>
      </c>
      <c r="AA4762">
        <v>0.98703189999999996</v>
      </c>
      <c r="AB4762">
        <v>24</v>
      </c>
      <c r="AC4762">
        <v>1.7243999999999999</v>
      </c>
      <c r="AD4762">
        <v>-1.1212968361069999</v>
      </c>
      <c r="AE4762">
        <v>-30.264889999999902</v>
      </c>
      <c r="AF4762">
        <v>-4.8457928682767903</v>
      </c>
      <c r="AG4762">
        <v>-1.1212968361069999</v>
      </c>
      <c r="AH4762">
        <v>29.8822012537813</v>
      </c>
      <c r="AI4762">
        <v>92.121268487751706</v>
      </c>
      <c r="AJ4762">
        <v>99.211083527947096</v>
      </c>
      <c r="AK4762">
        <v>30.293315547961999</v>
      </c>
      <c r="AL4762">
        <v>80.569268839769194</v>
      </c>
      <c r="AM4762">
        <v>96.842310922849805</v>
      </c>
      <c r="AN4762">
        <v>1.00000002137362</v>
      </c>
    </row>
    <row r="4763" spans="1:40" x14ac:dyDescent="0.25">
      <c r="A4763" t="str">
        <f>"20190303162356719"</f>
        <v>20190303162356719</v>
      </c>
      <c r="B4763" t="str">
        <f>"1551601436709926"</f>
        <v>1551601436709926</v>
      </c>
      <c r="C4763" t="s">
        <v>40</v>
      </c>
      <c r="D4763">
        <v>5.37521</v>
      </c>
      <c r="E4763">
        <v>0.48395909999999898</v>
      </c>
      <c r="F4763" t="s">
        <v>41</v>
      </c>
      <c r="G4763">
        <v>-419.34710000000001</v>
      </c>
      <c r="H4763" s="1">
        <v>-2.3249349999999999E-6</v>
      </c>
      <c r="I4763">
        <v>74.782290000000003</v>
      </c>
      <c r="J4763">
        <v>-421.11649999999997</v>
      </c>
      <c r="K4763">
        <v>1.1214309999999901</v>
      </c>
      <c r="L4763">
        <v>106.00709999999999</v>
      </c>
      <c r="M4763">
        <v>-0.102882</v>
      </c>
      <c r="N4763">
        <v>-1.272415E-2</v>
      </c>
      <c r="O4763">
        <v>-0.9946123</v>
      </c>
      <c r="P4763">
        <v>1.4525939999999999E-2</v>
      </c>
      <c r="Q4763">
        <v>0.15105639999999901</v>
      </c>
      <c r="R4763">
        <v>-0.98841849999999998</v>
      </c>
      <c r="S4763">
        <v>0.16912839999999901</v>
      </c>
      <c r="T4763">
        <v>-0.1086718</v>
      </c>
      <c r="U4763">
        <v>-3.0494690000000002</v>
      </c>
      <c r="V4763">
        <v>-0.1163506</v>
      </c>
      <c r="W4763">
        <v>0.16339039999999999</v>
      </c>
      <c r="X4763">
        <v>0.97967649999999995</v>
      </c>
      <c r="Y4763">
        <v>-0.15775220000000001</v>
      </c>
      <c r="Z4763">
        <v>2.2324730000000001E-2</v>
      </c>
      <c r="AA4763">
        <v>0.98722639999999995</v>
      </c>
      <c r="AB4763">
        <v>24</v>
      </c>
      <c r="AC4763">
        <v>1.7693999999999599</v>
      </c>
      <c r="AD4763">
        <v>-1.1214333249349999</v>
      </c>
      <c r="AE4763">
        <v>-31.224809999999898</v>
      </c>
      <c r="AF4763">
        <v>-4.9663544182813801</v>
      </c>
      <c r="AG4763">
        <v>-1.1214333249349999</v>
      </c>
      <c r="AH4763">
        <v>30.8373876469803</v>
      </c>
      <c r="AI4763">
        <v>92.056229812039703</v>
      </c>
      <c r="AJ4763">
        <v>99.148913766102098</v>
      </c>
      <c r="AK4763">
        <v>31.254867873667202</v>
      </c>
      <c r="AL4763">
        <v>80.596257383589503</v>
      </c>
      <c r="AM4763">
        <v>96.772968261744793</v>
      </c>
      <c r="AN4763">
        <v>0.99999996479238396</v>
      </c>
    </row>
    <row r="4764" spans="1:40" x14ac:dyDescent="0.25">
      <c r="A4764" t="str">
        <f>"20190303162356744"</f>
        <v>20190303162356744</v>
      </c>
      <c r="B4764" t="str">
        <f>"1551601436729447"</f>
        <v>1551601436729447</v>
      </c>
      <c r="C4764" t="s">
        <v>40</v>
      </c>
      <c r="D4764">
        <v>5.3725670000000001</v>
      </c>
      <c r="E4764">
        <v>0.484232</v>
      </c>
      <c r="F4764" t="s">
        <v>41</v>
      </c>
      <c r="G4764">
        <v>-419.39499999999998</v>
      </c>
      <c r="H4764" s="1">
        <v>-2.1796720000000001E-6</v>
      </c>
      <c r="I4764">
        <v>74.463480000000004</v>
      </c>
      <c r="J4764">
        <v>-421.14109999999999</v>
      </c>
      <c r="K4764">
        <v>1.12159599999999</v>
      </c>
      <c r="L4764">
        <v>105.7587</v>
      </c>
      <c r="M4764">
        <v>-0.1018332</v>
      </c>
      <c r="N4764">
        <v>-1.2725800000000001E-2</v>
      </c>
      <c r="O4764">
        <v>-0.99472039999999995</v>
      </c>
      <c r="P4764">
        <v>1.283752E-2</v>
      </c>
      <c r="Q4764">
        <v>0.15184900000000001</v>
      </c>
      <c r="R4764">
        <v>-0.9883208</v>
      </c>
      <c r="S4764">
        <v>0.16641239999999999</v>
      </c>
      <c r="T4764">
        <v>-0.1084075</v>
      </c>
      <c r="U4764">
        <v>-3.0492859999999999</v>
      </c>
      <c r="V4764">
        <v>-0.113695</v>
      </c>
      <c r="W4764">
        <v>0.1641435</v>
      </c>
      <c r="X4764">
        <v>0.97986240000000002</v>
      </c>
      <c r="Y4764">
        <v>-0.15583810000000001</v>
      </c>
      <c r="Z4764">
        <v>2.2252899999999999E-2</v>
      </c>
      <c r="AA4764">
        <v>0.98753190000000002</v>
      </c>
      <c r="AB4764">
        <v>24</v>
      </c>
      <c r="AC4764">
        <v>1.74610000000001</v>
      </c>
      <c r="AD4764">
        <v>-1.12159817967199</v>
      </c>
      <c r="AE4764">
        <v>-31.29522</v>
      </c>
      <c r="AF4764">
        <v>-4.9178737206194096</v>
      </c>
      <c r="AG4764">
        <v>-1.12159817967199</v>
      </c>
      <c r="AH4764">
        <v>30.915094005269399</v>
      </c>
      <c r="AI4764">
        <v>92.0519982737665</v>
      </c>
      <c r="AJ4764">
        <v>99.038693451897601</v>
      </c>
      <c r="AK4764">
        <v>31.3238966567578</v>
      </c>
      <c r="AL4764">
        <v>80.552517564903496</v>
      </c>
      <c r="AM4764">
        <v>96.618524280453798</v>
      </c>
      <c r="AN4764">
        <v>0.99999998227550402</v>
      </c>
    </row>
    <row r="4765" spans="1:40" x14ac:dyDescent="0.25">
      <c r="A4765" t="str">
        <f>"20190303162356765"</f>
        <v>20190303162356765</v>
      </c>
      <c r="B4765" t="str">
        <f>"1551601436759702"</f>
        <v>1551601436759702</v>
      </c>
      <c r="C4765" t="s">
        <v>40</v>
      </c>
      <c r="D4765">
        <v>5.4290969999999996</v>
      </c>
      <c r="E4765">
        <v>0.48464289999999999</v>
      </c>
      <c r="F4765" t="s">
        <v>41</v>
      </c>
      <c r="G4765">
        <v>-419.423</v>
      </c>
      <c r="H4765" s="1">
        <v>-1.6643159999999999E-6</v>
      </c>
      <c r="I4765">
        <v>73.273759999999996</v>
      </c>
      <c r="J4765">
        <v>-421.16399999999999</v>
      </c>
      <c r="K4765">
        <v>1.121774</v>
      </c>
      <c r="L4765">
        <v>105.5218</v>
      </c>
      <c r="M4765">
        <v>-0.1005495</v>
      </c>
      <c r="N4765">
        <v>-1.272878E-2</v>
      </c>
      <c r="O4765">
        <v>-0.99485060000000003</v>
      </c>
      <c r="P4765">
        <v>1.0091869999999999E-2</v>
      </c>
      <c r="Q4765">
        <v>0.1521767</v>
      </c>
      <c r="R4765">
        <v>-0.98830180000000001</v>
      </c>
      <c r="S4765">
        <v>0.1612854</v>
      </c>
      <c r="T4765">
        <v>-0.1052902</v>
      </c>
      <c r="U4765">
        <v>-3.0495299999999999</v>
      </c>
      <c r="V4765">
        <v>-0.10976669999999999</v>
      </c>
      <c r="W4765">
        <v>0.16443840000000001</v>
      </c>
      <c r="X4765">
        <v>0.98026080000000004</v>
      </c>
      <c r="Y4765">
        <v>-0.15290609999999999</v>
      </c>
      <c r="Z4765">
        <v>2.1259050000000002E-2</v>
      </c>
      <c r="AA4765">
        <v>0.988012</v>
      </c>
      <c r="AB4765">
        <v>24</v>
      </c>
      <c r="AC4765">
        <v>1.7409999999999799</v>
      </c>
      <c r="AD4765">
        <v>-1.121775664316</v>
      </c>
      <c r="AE4765">
        <v>-32.248040000000003</v>
      </c>
      <c r="AF4765">
        <v>-4.9689671311524597</v>
      </c>
      <c r="AG4765">
        <v>-1.121775664316</v>
      </c>
      <c r="AH4765">
        <v>31.8710576659895</v>
      </c>
      <c r="AI4765">
        <v>91.991782955425805</v>
      </c>
      <c r="AJ4765">
        <v>98.861555042319694</v>
      </c>
      <c r="AK4765">
        <v>32.275584142511697</v>
      </c>
      <c r="AL4765">
        <v>80.535388224488898</v>
      </c>
      <c r="AM4765">
        <v>96.389195935260801</v>
      </c>
      <c r="AN4765">
        <v>0.99999997592004397</v>
      </c>
    </row>
    <row r="4766" spans="1:40" x14ac:dyDescent="0.25">
      <c r="A4766" t="str">
        <f>"20190303162356788"</f>
        <v>20190303162356788</v>
      </c>
      <c r="B4766" t="str">
        <f>"1551601436779223"</f>
        <v>1551601436779223</v>
      </c>
      <c r="C4766" t="s">
        <v>40</v>
      </c>
      <c r="D4766">
        <v>5.3682809999999996</v>
      </c>
      <c r="E4766">
        <v>0.48483739999999997</v>
      </c>
      <c r="F4766" t="s">
        <v>41</v>
      </c>
      <c r="G4766">
        <v>-419.5188</v>
      </c>
      <c r="H4766" s="1">
        <v>-1.246835E-6</v>
      </c>
      <c r="I4766">
        <v>72.340190000000007</v>
      </c>
      <c r="J4766">
        <v>-421.18630000000002</v>
      </c>
      <c r="K4766">
        <v>1.121942</v>
      </c>
      <c r="L4766">
        <v>105.2846</v>
      </c>
      <c r="M4766">
        <v>-9.9046300000000004E-2</v>
      </c>
      <c r="N4766">
        <v>-1.2732149999999999E-2</v>
      </c>
      <c r="O4766">
        <v>-0.99500140000000004</v>
      </c>
      <c r="P4766">
        <v>7.5877469999999997E-3</v>
      </c>
      <c r="Q4766">
        <v>0.15112929999999999</v>
      </c>
      <c r="R4766">
        <v>-0.9884849</v>
      </c>
      <c r="S4766">
        <v>0.1512146</v>
      </c>
      <c r="T4766">
        <v>-0.1031064</v>
      </c>
      <c r="U4766">
        <v>-3.0498349999999999</v>
      </c>
      <c r="V4766">
        <v>-0.1058712</v>
      </c>
      <c r="W4766">
        <v>0.16336829999999999</v>
      </c>
      <c r="X4766">
        <v>0.98086799999999996</v>
      </c>
      <c r="Y4766">
        <v>-0.14815490000000001</v>
      </c>
      <c r="Z4766">
        <v>2.0572650000000001E-2</v>
      </c>
      <c r="AA4766">
        <v>0.98875020000000002</v>
      </c>
      <c r="AB4766">
        <v>24</v>
      </c>
      <c r="AC4766">
        <v>1.66750000000001</v>
      </c>
      <c r="AD4766">
        <v>-1.1219432468349999</v>
      </c>
      <c r="AE4766">
        <v>-32.944409999999898</v>
      </c>
      <c r="AF4766">
        <v>-4.9168976230370403</v>
      </c>
      <c r="AG4766">
        <v>-1.1219432468349999</v>
      </c>
      <c r="AH4766">
        <v>32.579528429887603</v>
      </c>
      <c r="AI4766">
        <v>91.9502510577301</v>
      </c>
      <c r="AJ4766">
        <v>98.5823025655679</v>
      </c>
      <c r="AK4766">
        <v>32.967564538473297</v>
      </c>
      <c r="AL4766">
        <v>80.597540943303997</v>
      </c>
      <c r="AM4766">
        <v>96.160441136083904</v>
      </c>
      <c r="AN4766">
        <v>0.99999997292916398</v>
      </c>
    </row>
    <row r="4767" spans="1:40" x14ac:dyDescent="0.25">
      <c r="A4767" t="str">
        <f>"20190303162356809"</f>
        <v>20190303162356809</v>
      </c>
      <c r="B4767" t="str">
        <f>"1551601436799718"</f>
        <v>1551601436799718</v>
      </c>
      <c r="C4767" t="s">
        <v>40</v>
      </c>
      <c r="D4767">
        <v>5.4273879999999997</v>
      </c>
      <c r="E4767">
        <v>0.48500969999999999</v>
      </c>
      <c r="F4767" t="s">
        <v>41</v>
      </c>
      <c r="G4767">
        <v>-419.67189999999999</v>
      </c>
      <c r="H4767" s="1">
        <v>-1.496722E-6</v>
      </c>
      <c r="I4767">
        <v>72.986019999999996</v>
      </c>
      <c r="J4767">
        <v>-421.20740000000001</v>
      </c>
      <c r="K4767">
        <v>1.1220730000000001</v>
      </c>
      <c r="L4767">
        <v>105.0548</v>
      </c>
      <c r="M4767">
        <v>-9.7397919999999999E-2</v>
      </c>
      <c r="N4767">
        <v>-1.273491E-2</v>
      </c>
      <c r="O4767">
        <v>-0.99516420000000005</v>
      </c>
      <c r="P4767">
        <v>6.2857099999999999E-3</v>
      </c>
      <c r="Q4767">
        <v>0.15073420000000001</v>
      </c>
      <c r="R4767">
        <v>-0.9885545</v>
      </c>
      <c r="S4767">
        <v>0.14300539999999901</v>
      </c>
      <c r="T4767">
        <v>-0.1059483</v>
      </c>
      <c r="U4767">
        <v>-3.050049</v>
      </c>
      <c r="V4767">
        <v>-0.1030047</v>
      </c>
      <c r="W4767">
        <v>0.16295470000000001</v>
      </c>
      <c r="X4767">
        <v>0.9812419</v>
      </c>
      <c r="Y4767">
        <v>-0.14385629999999999</v>
      </c>
      <c r="Z4767">
        <v>2.150937E-2</v>
      </c>
      <c r="AA4767">
        <v>0.98936480000000004</v>
      </c>
      <c r="AB4767">
        <v>24</v>
      </c>
      <c r="AC4767">
        <v>1.5355000000000101</v>
      </c>
      <c r="AD4767">
        <v>-1.12207449672199</v>
      </c>
      <c r="AE4767">
        <v>-32.068779999999997</v>
      </c>
      <c r="AF4767">
        <v>-4.6462083713841098</v>
      </c>
      <c r="AG4767">
        <v>-1.12207449672199</v>
      </c>
      <c r="AH4767">
        <v>31.727963416286499</v>
      </c>
      <c r="AI4767">
        <v>92.004091781449006</v>
      </c>
      <c r="AJ4767">
        <v>98.331116454855803</v>
      </c>
      <c r="AK4767">
        <v>32.085977715378</v>
      </c>
      <c r="AL4767">
        <v>80.621559989037195</v>
      </c>
      <c r="AM4767">
        <v>95.992608687315794</v>
      </c>
      <c r="AN4767">
        <v>0.99999993439489199</v>
      </c>
    </row>
    <row r="4768" spans="1:40" x14ac:dyDescent="0.25">
      <c r="A4768" t="str">
        <f>"20190303162356831"</f>
        <v>20190303162356831</v>
      </c>
      <c r="B4768" t="str">
        <f>"1551601436819238"</f>
        <v>1551601436819238</v>
      </c>
      <c r="C4768" t="s">
        <v>40</v>
      </c>
      <c r="D4768">
        <v>5.4370500000000002</v>
      </c>
      <c r="E4768">
        <v>0.4851068</v>
      </c>
      <c r="F4768" t="s">
        <v>41</v>
      </c>
      <c r="G4768">
        <v>-419.75959999999998</v>
      </c>
      <c r="H4768" s="1">
        <v>-1.4406469999999901E-6</v>
      </c>
      <c r="I4768">
        <v>72.891540000000006</v>
      </c>
      <c r="J4768">
        <v>-421.2287</v>
      </c>
      <c r="K4768">
        <v>1.12219</v>
      </c>
      <c r="L4768">
        <v>104.81529999999999</v>
      </c>
      <c r="M4768">
        <v>-9.5500340000000003E-2</v>
      </c>
      <c r="N4768">
        <v>-1.273518E-2</v>
      </c>
      <c r="O4768">
        <v>-0.99534800000000001</v>
      </c>
      <c r="P4768">
        <v>6.278896E-3</v>
      </c>
      <c r="Q4768">
        <v>0.15103420000000001</v>
      </c>
      <c r="R4768">
        <v>-0.98850859999999996</v>
      </c>
      <c r="S4768">
        <v>0.13729859999999999</v>
      </c>
      <c r="T4768">
        <v>-0.1064075</v>
      </c>
      <c r="U4768">
        <v>-3.0500790000000002</v>
      </c>
      <c r="V4768">
        <v>-0.1011638</v>
      </c>
      <c r="W4768">
        <v>0.16323509999999999</v>
      </c>
      <c r="X4768">
        <v>0.9813868</v>
      </c>
      <c r="Y4768">
        <v>-0.14012169999999999</v>
      </c>
      <c r="Z4768">
        <v>2.167931E-2</v>
      </c>
      <c r="AA4768">
        <v>0.98989689999999997</v>
      </c>
      <c r="AB4768">
        <v>24</v>
      </c>
      <c r="AC4768">
        <v>1.4691000000000201</v>
      </c>
      <c r="AD4768">
        <v>-1.1221914406469999</v>
      </c>
      <c r="AE4768">
        <v>-31.923759999999898</v>
      </c>
      <c r="AF4768">
        <v>-4.5058052502191703</v>
      </c>
      <c r="AG4768">
        <v>-1.1221914406469999</v>
      </c>
      <c r="AH4768">
        <v>31.598551390010801</v>
      </c>
      <c r="AI4768">
        <v>92.013596766012796</v>
      </c>
      <c r="AJ4768">
        <v>98.115399970376401</v>
      </c>
      <c r="AK4768">
        <v>31.937909207234</v>
      </c>
      <c r="AL4768">
        <v>80.605276192915099</v>
      </c>
      <c r="AM4768">
        <v>95.885404549298201</v>
      </c>
      <c r="AN4768">
        <v>0.99999993175834201</v>
      </c>
    </row>
    <row r="4769" spans="1:40" x14ac:dyDescent="0.25">
      <c r="A4769" t="str">
        <f>"20190303162356854"</f>
        <v>20190303162356854</v>
      </c>
      <c r="B4769" t="str">
        <f>"1551601436839735"</f>
        <v>1551601436839735</v>
      </c>
      <c r="C4769" t="s">
        <v>40</v>
      </c>
      <c r="D4769">
        <v>5.36456</v>
      </c>
      <c r="E4769">
        <v>0.48516989999999999</v>
      </c>
      <c r="F4769" t="s">
        <v>41</v>
      </c>
      <c r="G4769">
        <v>-419.79809999999998</v>
      </c>
      <c r="H4769" s="1">
        <v>-1.2042170000000001E-6</v>
      </c>
      <c r="I4769">
        <v>72.356350000000006</v>
      </c>
      <c r="J4769">
        <v>-421.24930000000001</v>
      </c>
      <c r="K4769">
        <v>1.1222760000000001</v>
      </c>
      <c r="L4769">
        <v>104.5775</v>
      </c>
      <c r="M4769">
        <v>-9.3485380000000007E-2</v>
      </c>
      <c r="N4769">
        <v>-1.2729499999999999E-2</v>
      </c>
      <c r="O4769">
        <v>-0.99553939999999996</v>
      </c>
      <c r="P4769">
        <v>9.0221869999999992E-3</v>
      </c>
      <c r="Q4769">
        <v>0.15191189999999999</v>
      </c>
      <c r="R4769">
        <v>-0.98835309999999998</v>
      </c>
      <c r="S4769">
        <v>0.13442989999999999</v>
      </c>
      <c r="T4769">
        <v>-0.10545119999999999</v>
      </c>
      <c r="U4769">
        <v>-3.0501399999999999</v>
      </c>
      <c r="V4769">
        <v>-0.1019246</v>
      </c>
      <c r="W4769">
        <v>0.1640819</v>
      </c>
      <c r="X4769">
        <v>0.98116689999999995</v>
      </c>
      <c r="Y4769">
        <v>-0.13718830000000001</v>
      </c>
      <c r="Z4769">
        <v>2.139396E-2</v>
      </c>
      <c r="AA4769">
        <v>0.99031389999999997</v>
      </c>
      <c r="AB4769">
        <v>24</v>
      </c>
      <c r="AC4769">
        <v>1.45120000000002</v>
      </c>
      <c r="AD4769">
        <v>-1.1222772042169999</v>
      </c>
      <c r="AE4769">
        <v>-32.221149999999902</v>
      </c>
      <c r="AF4769">
        <v>-4.4519038693917601</v>
      </c>
      <c r="AG4769">
        <v>-1.1222772042169999</v>
      </c>
      <c r="AH4769">
        <v>31.905714155138501</v>
      </c>
      <c r="AI4769">
        <v>91.995223665363099</v>
      </c>
      <c r="AJ4769">
        <v>97.943372735176098</v>
      </c>
      <c r="AK4769">
        <v>32.234353567813599</v>
      </c>
      <c r="AL4769">
        <v>80.556095567964803</v>
      </c>
      <c r="AM4769">
        <v>95.930670848549298</v>
      </c>
      <c r="AN4769">
        <v>0.99999998982418903</v>
      </c>
    </row>
    <row r="4770" spans="1:40" x14ac:dyDescent="0.25">
      <c r="A4770" t="str">
        <f>"20190303162356876"</f>
        <v>20190303162356876</v>
      </c>
      <c r="B4770" t="str">
        <f>"1551601436869991"</f>
        <v>1551601436869991</v>
      </c>
      <c r="C4770" t="s">
        <v>40</v>
      </c>
      <c r="D4770">
        <v>5.4390010000000002</v>
      </c>
      <c r="E4770">
        <v>0.48520010000000002</v>
      </c>
      <c r="F4770" t="s">
        <v>41</v>
      </c>
      <c r="G4770">
        <v>-419.73489999999998</v>
      </c>
      <c r="H4770" s="1">
        <v>-7.3451659999999999E-7</v>
      </c>
      <c r="I4770">
        <v>71.235339999999994</v>
      </c>
      <c r="J4770">
        <v>-421.27</v>
      </c>
      <c r="K4770">
        <v>1.1223259999999999</v>
      </c>
      <c r="L4770">
        <v>104.3309</v>
      </c>
      <c r="M4770">
        <v>-9.1316159999999993E-2</v>
      </c>
      <c r="N4770">
        <v>-1.271329E-2</v>
      </c>
      <c r="O4770">
        <v>-0.99574079999999998</v>
      </c>
      <c r="P4770">
        <v>1.3274869999999999E-2</v>
      </c>
      <c r="Q4770">
        <v>0.1526641</v>
      </c>
      <c r="R4770">
        <v>-0.98818899999999998</v>
      </c>
      <c r="S4770">
        <v>0.13851930000000001</v>
      </c>
      <c r="T4770">
        <v>-0.1026566</v>
      </c>
      <c r="U4770">
        <v>-3.0498660000000002</v>
      </c>
      <c r="V4770">
        <v>-0.1040251</v>
      </c>
      <c r="W4770">
        <v>0.16479440000000001</v>
      </c>
      <c r="X4770">
        <v>0.980827</v>
      </c>
      <c r="Y4770">
        <v>-0.13636129999999999</v>
      </c>
      <c r="Z4770">
        <v>2.0519920000000001E-2</v>
      </c>
      <c r="AA4770">
        <v>0.99044659999999995</v>
      </c>
      <c r="AB4770">
        <v>24</v>
      </c>
      <c r="AC4770">
        <v>1.5350999999999999</v>
      </c>
      <c r="AD4770">
        <v>-1.1223267345165999</v>
      </c>
      <c r="AE4770">
        <v>-33.0955599999999</v>
      </c>
      <c r="AF4770">
        <v>-4.5458723926601499</v>
      </c>
      <c r="AG4770">
        <v>-1.1223267345165999</v>
      </c>
      <c r="AH4770">
        <v>32.779456417901997</v>
      </c>
      <c r="AI4770">
        <v>91.942393361745999</v>
      </c>
      <c r="AJ4770">
        <v>97.895450220595293</v>
      </c>
      <c r="AK4770">
        <v>33.112193164490002</v>
      </c>
      <c r="AL4770">
        <v>80.5147091353181</v>
      </c>
      <c r="AM4770">
        <v>96.054076012024396</v>
      </c>
      <c r="AN4770">
        <v>1.00000000981518</v>
      </c>
    </row>
    <row r="4771" spans="1:40" x14ac:dyDescent="0.25">
      <c r="A4771" t="str">
        <f>"20190303162356898"</f>
        <v>20190303162356898</v>
      </c>
      <c r="B4771" t="str">
        <f>"1551601436889511"</f>
        <v>1551601436889511</v>
      </c>
      <c r="C4771" t="s">
        <v>40</v>
      </c>
      <c r="D4771">
        <v>5.4913889999999999</v>
      </c>
      <c r="E4771">
        <v>0.48530689999999999</v>
      </c>
      <c r="F4771" t="s">
        <v>41</v>
      </c>
      <c r="G4771">
        <v>-419.58109999999999</v>
      </c>
      <c r="H4771" s="1">
        <v>-1.666412E-7</v>
      </c>
      <c r="I4771">
        <v>69.81026</v>
      </c>
      <c r="J4771">
        <v>-421.28859999999997</v>
      </c>
      <c r="K4771">
        <v>1.1223240000000001</v>
      </c>
      <c r="L4771">
        <v>104.10299999999999</v>
      </c>
      <c r="M4771">
        <v>-8.9284879999999997E-2</v>
      </c>
      <c r="N4771">
        <v>-1.267625E-2</v>
      </c>
      <c r="O4771">
        <v>-0.99592570000000002</v>
      </c>
      <c r="P4771">
        <v>1.775755E-2</v>
      </c>
      <c r="Q4771">
        <v>0.1518504</v>
      </c>
      <c r="R4771">
        <v>-0.98824429999999996</v>
      </c>
      <c r="S4771">
        <v>0.14916989999999999</v>
      </c>
      <c r="T4771">
        <v>-9.9133730000000003E-2</v>
      </c>
      <c r="U4771">
        <v>-3.0491640000000002</v>
      </c>
      <c r="V4771">
        <v>-0.1064948</v>
      </c>
      <c r="W4771">
        <v>0.16392899999999999</v>
      </c>
      <c r="X4771">
        <v>0.98070690000000005</v>
      </c>
      <c r="Y4771">
        <v>-0.13780439999999999</v>
      </c>
      <c r="Z4771">
        <v>1.9425709999999999E-2</v>
      </c>
      <c r="AA4771">
        <v>0.99026890000000001</v>
      </c>
      <c r="AB4771">
        <v>24</v>
      </c>
      <c r="AC4771">
        <v>1.70749999999998</v>
      </c>
      <c r="AD4771">
        <v>-1.1223241666411901</v>
      </c>
      <c r="AE4771">
        <v>-34.292739999999903</v>
      </c>
      <c r="AF4771">
        <v>-4.7576644865416604</v>
      </c>
      <c r="AG4771">
        <v>-1.1223241666411901</v>
      </c>
      <c r="AH4771">
        <v>33.966998841485299</v>
      </c>
      <c r="AI4771">
        <v>91.874174012094699</v>
      </c>
      <c r="AJ4771">
        <v>97.973390039696497</v>
      </c>
      <c r="AK4771">
        <v>34.316934495945198</v>
      </c>
      <c r="AL4771">
        <v>80.564975884221994</v>
      </c>
      <c r="AM4771">
        <v>96.197455724822504</v>
      </c>
      <c r="AN4771">
        <v>0.99999994158782302</v>
      </c>
    </row>
    <row r="4772" spans="1:40" x14ac:dyDescent="0.25">
      <c r="A4772" t="str">
        <f>"20190303162356920"</f>
        <v>20190303162356920</v>
      </c>
      <c r="B4772" t="str">
        <f>"1551601436910006"</f>
        <v>1551601436910006</v>
      </c>
      <c r="C4772" t="s">
        <v>40</v>
      </c>
      <c r="D4772">
        <v>5.4326980000000002</v>
      </c>
      <c r="E4772">
        <v>0.48545240000000001</v>
      </c>
      <c r="F4772" t="s">
        <v>41</v>
      </c>
      <c r="G4772">
        <v>-419.49430000000001</v>
      </c>
      <c r="H4772" s="1">
        <v>-2.8788460000000002E-7</v>
      </c>
      <c r="I4772">
        <v>70.094729999999998</v>
      </c>
      <c r="J4772">
        <v>-421.30739999999997</v>
      </c>
      <c r="K4772">
        <v>1.1222859999999999</v>
      </c>
      <c r="L4772">
        <v>103.8665</v>
      </c>
      <c r="M4772">
        <v>-8.7191889999999994E-2</v>
      </c>
      <c r="N4772">
        <v>-1.2605959999999999E-2</v>
      </c>
      <c r="O4772">
        <v>-0.99611190000000005</v>
      </c>
      <c r="P4772">
        <v>2.184929E-2</v>
      </c>
      <c r="Q4772">
        <v>0.1499308</v>
      </c>
      <c r="R4772">
        <v>-0.98845510000000003</v>
      </c>
      <c r="S4772">
        <v>0.16082759999999999</v>
      </c>
      <c r="T4772">
        <v>-0.1005979</v>
      </c>
      <c r="U4772">
        <v>-3.048279</v>
      </c>
      <c r="V4772">
        <v>-0.1085131</v>
      </c>
      <c r="W4772">
        <v>0.16193750000000001</v>
      </c>
      <c r="X4772">
        <v>0.98081660000000004</v>
      </c>
      <c r="Y4772">
        <v>-0.139513</v>
      </c>
      <c r="Z4772">
        <v>1.9980310000000001E-2</v>
      </c>
      <c r="AA4772">
        <v>0.99001870000000003</v>
      </c>
      <c r="AB4772">
        <v>24</v>
      </c>
      <c r="AC4772">
        <v>1.81309999999996</v>
      </c>
      <c r="AD4772">
        <v>-1.1222862878846001</v>
      </c>
      <c r="AE4772">
        <v>-33.771769999999997</v>
      </c>
      <c r="AF4772">
        <v>-4.7458259445172502</v>
      </c>
      <c r="AG4772">
        <v>-1.1222862878846001</v>
      </c>
      <c r="AH4772">
        <v>33.448199029791098</v>
      </c>
      <c r="AI4772">
        <v>91.902680063931101</v>
      </c>
      <c r="AJ4772">
        <v>98.075556646178995</v>
      </c>
      <c r="AK4772">
        <v>33.801840315937604</v>
      </c>
      <c r="AL4772">
        <v>80.680626659319103</v>
      </c>
      <c r="AM4772">
        <v>96.313270139658897</v>
      </c>
      <c r="AN4772">
        <v>1.0000000248067</v>
      </c>
    </row>
    <row r="4773" spans="1:40" x14ac:dyDescent="0.25">
      <c r="A4773" t="str">
        <f>"20190303162356945"</f>
        <v>20190303162356945</v>
      </c>
      <c r="B4773" t="str">
        <f>"1551601436929526"</f>
        <v>1551601436929526</v>
      </c>
      <c r="C4773" t="s">
        <v>40</v>
      </c>
      <c r="D4773">
        <v>5.4306299999999998</v>
      </c>
      <c r="E4773">
        <v>0.4856085</v>
      </c>
      <c r="F4773" t="s">
        <v>41</v>
      </c>
      <c r="G4773">
        <v>-419.47359999999998</v>
      </c>
      <c r="H4773" s="1">
        <v>-8.1955510000000003E-7</v>
      </c>
      <c r="I4773">
        <v>71.325509999999994</v>
      </c>
      <c r="J4773">
        <v>-421.32679999999999</v>
      </c>
      <c r="K4773">
        <v>1.122214</v>
      </c>
      <c r="L4773">
        <v>103.6157</v>
      </c>
      <c r="M4773">
        <v>-8.5034979999999996E-2</v>
      </c>
      <c r="N4773">
        <v>-1.250661E-2</v>
      </c>
      <c r="O4773">
        <v>-0.99629970000000001</v>
      </c>
      <c r="P4773">
        <v>2.6231520000000001E-2</v>
      </c>
      <c r="Q4773">
        <v>0.148412299999999</v>
      </c>
      <c r="R4773">
        <v>-0.98857779999999995</v>
      </c>
      <c r="S4773">
        <v>0.1717224</v>
      </c>
      <c r="T4773">
        <v>-0.1050936</v>
      </c>
      <c r="U4773">
        <v>-3.0472109999999999</v>
      </c>
      <c r="V4773">
        <v>-0.11073860000000001</v>
      </c>
      <c r="W4773">
        <v>0.16032569999999999</v>
      </c>
      <c r="X4773">
        <v>0.98083260000000005</v>
      </c>
      <c r="Y4773">
        <v>-0.14091300000000001</v>
      </c>
      <c r="Z4773">
        <v>2.1549720000000001E-2</v>
      </c>
      <c r="AA4773">
        <v>0.98978739999999998</v>
      </c>
      <c r="AB4773">
        <v>24</v>
      </c>
      <c r="AC4773">
        <v>1.85320000000001</v>
      </c>
      <c r="AD4773">
        <v>-1.1222148195551001</v>
      </c>
      <c r="AE4773">
        <v>-32.290190000000003</v>
      </c>
      <c r="AF4773">
        <v>-4.5869742420643904</v>
      </c>
      <c r="AG4773">
        <v>-1.1222148195551001</v>
      </c>
      <c r="AH4773">
        <v>31.9771198930979</v>
      </c>
      <c r="AI4773">
        <v>91.989582134864804</v>
      </c>
      <c r="AJ4773">
        <v>98.163136312948694</v>
      </c>
      <c r="AK4773">
        <v>32.323921412108199</v>
      </c>
      <c r="AL4773">
        <v>80.774198286428899</v>
      </c>
      <c r="AM4773">
        <v>96.441567537932798</v>
      </c>
      <c r="AN4773">
        <v>0.99999997841660404</v>
      </c>
    </row>
    <row r="4774" spans="1:40" x14ac:dyDescent="0.25">
      <c r="A4774" t="str">
        <f>"20190303162356966"</f>
        <v>20190303162356966</v>
      </c>
      <c r="B4774" t="str">
        <f>"1551601436959782"</f>
        <v>1551601436959782</v>
      </c>
      <c r="C4774" t="s">
        <v>40</v>
      </c>
      <c r="D4774">
        <v>5.4929220000000001</v>
      </c>
      <c r="E4774">
        <v>0.48572900000000002</v>
      </c>
      <c r="F4774" t="s">
        <v>41</v>
      </c>
      <c r="G4774">
        <v>-419.428</v>
      </c>
      <c r="H4774" s="1">
        <v>-1.2072000000000001E-6</v>
      </c>
      <c r="I4774">
        <v>72.210279999999997</v>
      </c>
      <c r="J4774">
        <v>-421.34480000000002</v>
      </c>
      <c r="K4774">
        <v>1.122125</v>
      </c>
      <c r="L4774">
        <v>103.37860000000001</v>
      </c>
      <c r="M4774">
        <v>-8.3090860000000002E-2</v>
      </c>
      <c r="N4774">
        <v>-1.24113E-2</v>
      </c>
      <c r="O4774">
        <v>-0.99646460000000003</v>
      </c>
      <c r="P4774">
        <v>2.9398690000000002E-2</v>
      </c>
      <c r="Q4774">
        <v>0.147035</v>
      </c>
      <c r="R4774">
        <v>-0.98869410000000002</v>
      </c>
      <c r="S4774">
        <v>0.18417359999999999</v>
      </c>
      <c r="T4774">
        <v>-0.1088485</v>
      </c>
      <c r="U4774">
        <v>-3.0461429999999998</v>
      </c>
      <c r="V4774">
        <v>-0.1119555</v>
      </c>
      <c r="W4774">
        <v>0.15887019999999999</v>
      </c>
      <c r="X4774">
        <v>0.98093129999999995</v>
      </c>
      <c r="Y4774">
        <v>-0.1430293</v>
      </c>
      <c r="Z4774">
        <v>2.2871909999999999E-2</v>
      </c>
      <c r="AA4774">
        <v>0.98945419999999995</v>
      </c>
      <c r="AB4774">
        <v>24</v>
      </c>
      <c r="AC4774">
        <v>1.9167999999999601</v>
      </c>
      <c r="AD4774">
        <v>-1.1221262072</v>
      </c>
      <c r="AE4774">
        <v>-31.168319999999898</v>
      </c>
      <c r="AF4774">
        <v>-4.4943694116524302</v>
      </c>
      <c r="AG4774">
        <v>-1.1221262072</v>
      </c>
      <c r="AH4774">
        <v>30.861391290670401</v>
      </c>
      <c r="AI4774">
        <v>92.060650568949399</v>
      </c>
      <c r="AJ4774">
        <v>98.285782551301295</v>
      </c>
      <c r="AK4774">
        <v>31.207114509821999</v>
      </c>
      <c r="AL4774">
        <v>80.858675271010597</v>
      </c>
      <c r="AM4774">
        <v>96.511099256578902</v>
      </c>
      <c r="AN4774">
        <v>0.99999999487398905</v>
      </c>
    </row>
    <row r="4775" spans="1:40" x14ac:dyDescent="0.25">
      <c r="A4775" t="str">
        <f>"20190303162356989"</f>
        <v>20190303162356989</v>
      </c>
      <c r="B4775" t="str">
        <f>"1551601436980278"</f>
        <v>1551601436980278</v>
      </c>
      <c r="C4775" t="s">
        <v>40</v>
      </c>
      <c r="D4775">
        <v>5.4425080000000001</v>
      </c>
      <c r="E4775">
        <v>0.48572900000000002</v>
      </c>
      <c r="F4775" t="s">
        <v>41</v>
      </c>
      <c r="G4775">
        <v>-419.41250000000002</v>
      </c>
      <c r="H4775" s="1">
        <v>-1.5070830000000001E-6</v>
      </c>
      <c r="I4775">
        <v>72.902879999999996</v>
      </c>
      <c r="J4775">
        <v>-421.36270000000002</v>
      </c>
      <c r="K4775">
        <v>1.1220289999999999</v>
      </c>
      <c r="L4775">
        <v>103.1379</v>
      </c>
      <c r="M4775">
        <v>-8.1210229999999994E-2</v>
      </c>
      <c r="N4775">
        <v>-1.232198E-2</v>
      </c>
      <c r="O4775">
        <v>-0.99662099999999998</v>
      </c>
      <c r="P4775">
        <v>3.1446109999999999E-2</v>
      </c>
      <c r="Q4775">
        <v>0.14538989999999999</v>
      </c>
      <c r="R4775">
        <v>-0.9888747</v>
      </c>
      <c r="S4775">
        <v>0.1930847</v>
      </c>
      <c r="T4775">
        <v>-0.1121273</v>
      </c>
      <c r="U4775">
        <v>-3.045258</v>
      </c>
      <c r="V4775">
        <v>-0.11212080000000001</v>
      </c>
      <c r="W4775">
        <v>0.15716060000000001</v>
      </c>
      <c r="X4775">
        <v>0.98118780000000005</v>
      </c>
      <c r="Y4775">
        <v>-0.14406040000000001</v>
      </c>
      <c r="Z4775">
        <v>2.403634E-2</v>
      </c>
      <c r="AA4775">
        <v>0.98927690000000001</v>
      </c>
      <c r="AB4775">
        <v>24</v>
      </c>
      <c r="AC4775">
        <v>1.9501999999999899</v>
      </c>
      <c r="AD4775">
        <v>-1.1220305070829999</v>
      </c>
      <c r="AE4775">
        <v>-30.235019999999899</v>
      </c>
      <c r="AF4775">
        <v>-4.3933111367539501</v>
      </c>
      <c r="AG4775">
        <v>-1.1220305070829999</v>
      </c>
      <c r="AH4775">
        <v>29.935694365790798</v>
      </c>
      <c r="AI4775">
        <v>92.123790788029297</v>
      </c>
      <c r="AJ4775">
        <v>98.349030265211695</v>
      </c>
      <c r="AK4775">
        <v>30.2771519857002</v>
      </c>
      <c r="AL4775">
        <v>80.957874592410207</v>
      </c>
      <c r="AM4775">
        <v>96.518940093036207</v>
      </c>
      <c r="AN4775">
        <v>1.00000001342692</v>
      </c>
    </row>
    <row r="4776" spans="1:40" x14ac:dyDescent="0.25">
      <c r="A4776" t="str">
        <f>"20190303162357010"</f>
        <v>20190303162357010</v>
      </c>
      <c r="B4776" t="str">
        <f>"1551601436999799"</f>
        <v>1551601436999799</v>
      </c>
      <c r="C4776" t="s">
        <v>40</v>
      </c>
      <c r="D4776">
        <v>5.5465330000000002</v>
      </c>
      <c r="E4776">
        <v>0.48576780000000003</v>
      </c>
      <c r="F4776" t="s">
        <v>41</v>
      </c>
      <c r="G4776">
        <v>-419.43860000000001</v>
      </c>
      <c r="H4776" s="1">
        <v>-1.910869E-6</v>
      </c>
      <c r="I4776">
        <v>73.854929999999996</v>
      </c>
      <c r="J4776">
        <v>-421.37889999999999</v>
      </c>
      <c r="K4776">
        <v>1.121939</v>
      </c>
      <c r="L4776">
        <v>102.91419999999999</v>
      </c>
      <c r="M4776">
        <v>-7.9563010000000003E-2</v>
      </c>
      <c r="N4776">
        <v>-1.224245E-2</v>
      </c>
      <c r="O4776">
        <v>-0.9967549</v>
      </c>
      <c r="P4776">
        <v>3.2777090000000002E-2</v>
      </c>
      <c r="Q4776">
        <v>0.14417679999999999</v>
      </c>
      <c r="R4776">
        <v>-0.98900909999999997</v>
      </c>
      <c r="S4776">
        <v>0.20004269999999999</v>
      </c>
      <c r="T4776">
        <v>-0.11665789999999999</v>
      </c>
      <c r="U4776">
        <v>-3.044556</v>
      </c>
      <c r="V4776">
        <v>-0.1118025</v>
      </c>
      <c r="W4776">
        <v>0.1558927</v>
      </c>
      <c r="X4776">
        <v>0.98142640000000003</v>
      </c>
      <c r="Y4776">
        <v>-0.14468699999999901</v>
      </c>
      <c r="Z4776">
        <v>2.5595980000000001E-2</v>
      </c>
      <c r="AA4776">
        <v>0.98914639999999998</v>
      </c>
      <c r="AB4776">
        <v>24</v>
      </c>
      <c r="AC4776">
        <v>1.9402999999999799</v>
      </c>
      <c r="AD4776">
        <v>-1.1219409108689999</v>
      </c>
      <c r="AE4776">
        <v>-29.059269999999898</v>
      </c>
      <c r="AF4776">
        <v>-4.2400713955042697</v>
      </c>
      <c r="AG4776">
        <v>-1.1219409108689999</v>
      </c>
      <c r="AH4776">
        <v>28.770050777215701</v>
      </c>
      <c r="AI4776">
        <v>92.209381192420693</v>
      </c>
      <c r="AJ4776">
        <v>98.383783410005506</v>
      </c>
      <c r="AK4776">
        <v>29.1024531366348</v>
      </c>
      <c r="AL4776">
        <v>81.031426919205998</v>
      </c>
      <c r="AM4776">
        <v>96.499025217480707</v>
      </c>
      <c r="AN4776">
        <v>1.00000005576824</v>
      </c>
    </row>
    <row r="4777" spans="1:40" x14ac:dyDescent="0.25">
      <c r="A4777" t="str">
        <f>"20190303162357055"</f>
        <v>20190303162357055</v>
      </c>
      <c r="B4777" t="str">
        <f>"1551601437049575"</f>
        <v>1551601437049575</v>
      </c>
      <c r="C4777" t="s">
        <v>40</v>
      </c>
      <c r="D4777">
        <v>5.4273689999999997</v>
      </c>
      <c r="E4777">
        <v>0.48588890000000001</v>
      </c>
      <c r="F4777" t="s">
        <v>41</v>
      </c>
      <c r="G4777">
        <v>-419.47129999999999</v>
      </c>
      <c r="H4777" s="1">
        <v>-2.153278E-6</v>
      </c>
      <c r="I4777">
        <v>74.433520000000001</v>
      </c>
      <c r="J4777">
        <v>-421.4135</v>
      </c>
      <c r="K4777">
        <v>1.121748</v>
      </c>
      <c r="L4777">
        <v>102.4273</v>
      </c>
      <c r="M4777">
        <v>-7.6352929999999999E-2</v>
      </c>
      <c r="N4777">
        <v>-1.2043119999999999E-2</v>
      </c>
      <c r="O4777">
        <v>-0.99700820000000001</v>
      </c>
      <c r="P4777">
        <v>3.5582589999999997E-2</v>
      </c>
      <c r="Q4777">
        <v>0.1443132</v>
      </c>
      <c r="R4777">
        <v>-0.9888922</v>
      </c>
      <c r="S4777">
        <v>0.20388790000000001</v>
      </c>
      <c r="T4777">
        <v>-0.1199149</v>
      </c>
      <c r="U4777">
        <v>-3.0440670000000001</v>
      </c>
      <c r="V4777">
        <v>-0.1113619</v>
      </c>
      <c r="W4777">
        <v>0.15587909999999999</v>
      </c>
      <c r="X4777">
        <v>0.98147859999999998</v>
      </c>
      <c r="Y4777">
        <v>-0.14275309999999999</v>
      </c>
      <c r="Z4777">
        <v>2.6877370000000001E-2</v>
      </c>
      <c r="AA4777">
        <v>0.98939339999999998</v>
      </c>
      <c r="AB4777">
        <v>24</v>
      </c>
      <c r="AC4777">
        <v>1.9422000000000099</v>
      </c>
      <c r="AD4777">
        <v>-1.1217501532780001</v>
      </c>
      <c r="AE4777">
        <v>-27.993779999999902</v>
      </c>
      <c r="AF4777">
        <v>-4.0675914722035396</v>
      </c>
      <c r="AG4777">
        <v>-1.1217501532780001</v>
      </c>
      <c r="AH4777">
        <v>27.719450427483999</v>
      </c>
      <c r="AI4777">
        <v>92.292852027673206</v>
      </c>
      <c r="AJ4777">
        <v>98.348084305158395</v>
      </c>
      <c r="AK4777">
        <v>28.038750967060999</v>
      </c>
      <c r="AL4777">
        <v>81.032215321351799</v>
      </c>
      <c r="AM4777">
        <v>96.473289815073002</v>
      </c>
      <c r="AN4777">
        <v>1.00000000442318</v>
      </c>
    </row>
    <row r="4778" spans="1:40" x14ac:dyDescent="0.25">
      <c r="A4778" t="str">
        <f>"20190303162357077"</f>
        <v>20190303162357077</v>
      </c>
      <c r="B4778" t="str">
        <f>"1551601437070070"</f>
        <v>1551601437070070</v>
      </c>
      <c r="C4778" t="s">
        <v>40</v>
      </c>
      <c r="D4778">
        <v>5.4341359999999996</v>
      </c>
      <c r="E4778">
        <v>0.48603390000000002</v>
      </c>
      <c r="F4778" t="s">
        <v>41</v>
      </c>
      <c r="G4778">
        <v>-419.40370000000001</v>
      </c>
      <c r="H4778" s="1">
        <v>-1.7332800000000001E-6</v>
      </c>
      <c r="I4778">
        <v>73.42653</v>
      </c>
      <c r="J4778">
        <v>-421.43</v>
      </c>
      <c r="K4778">
        <v>1.1216539999999999</v>
      </c>
      <c r="L4778">
        <v>102.18980000000001</v>
      </c>
      <c r="M4778">
        <v>-7.4957010000000004E-2</v>
      </c>
      <c r="N4778">
        <v>-1.192056E-2</v>
      </c>
      <c r="O4778">
        <v>-0.99711570000000005</v>
      </c>
      <c r="P4778">
        <v>3.6518130000000003E-2</v>
      </c>
      <c r="Q4778">
        <v>0.1445195</v>
      </c>
      <c r="R4778">
        <v>-0.98882800000000004</v>
      </c>
      <c r="S4778">
        <v>0.21090700000000001</v>
      </c>
      <c r="T4778">
        <v>-0.1177151</v>
      </c>
      <c r="U4778">
        <v>-3.043304</v>
      </c>
      <c r="V4778">
        <v>-0.110884</v>
      </c>
      <c r="W4778">
        <v>0.15598689999999901</v>
      </c>
      <c r="X4778">
        <v>0.98151560000000004</v>
      </c>
      <c r="Y4778">
        <v>-0.14365710000000001</v>
      </c>
      <c r="Z4778">
        <v>2.629627E-2</v>
      </c>
      <c r="AA4778">
        <v>0.98927810000000005</v>
      </c>
      <c r="AB4778">
        <v>24</v>
      </c>
      <c r="AC4778">
        <v>2.0262999999999902</v>
      </c>
      <c r="AD4778">
        <v>-1.1216557332799999</v>
      </c>
      <c r="AE4778">
        <v>-28.763269999999999</v>
      </c>
      <c r="AF4778">
        <v>-4.1704495806192101</v>
      </c>
      <c r="AG4778">
        <v>-1.1216557332799999</v>
      </c>
      <c r="AH4778">
        <v>28.487337883416899</v>
      </c>
      <c r="AI4778">
        <v>92.231033278341798</v>
      </c>
      <c r="AJ4778">
        <v>98.328743501106501</v>
      </c>
      <c r="AK4778">
        <v>28.812830145135798</v>
      </c>
      <c r="AL4778">
        <v>81.025962522425402</v>
      </c>
      <c r="AM4778">
        <v>96.445503602707106</v>
      </c>
      <c r="AN4778">
        <v>1.00000002373548</v>
      </c>
    </row>
    <row r="4779" spans="1:40" x14ac:dyDescent="0.25">
      <c r="A4779" t="str">
        <f>"20190303162357099"</f>
        <v>20190303162357099</v>
      </c>
      <c r="B4779" t="str">
        <f>"1551601437089590"</f>
        <v>1551601437089590</v>
      </c>
      <c r="C4779" t="s">
        <v>40</v>
      </c>
      <c r="D4779">
        <v>5.4326290000000004</v>
      </c>
      <c r="E4779">
        <v>0.49458770000000002</v>
      </c>
      <c r="F4779" t="s">
        <v>41</v>
      </c>
      <c r="G4779">
        <v>-419.35980000000001</v>
      </c>
      <c r="H4779" s="1">
        <v>-1.4424979999999999E-6</v>
      </c>
      <c r="I4779">
        <v>72.730549999999994</v>
      </c>
      <c r="J4779">
        <v>-421.44589999999999</v>
      </c>
      <c r="K4779">
        <v>1.121567</v>
      </c>
      <c r="L4779">
        <v>101.95780000000001</v>
      </c>
      <c r="M4779">
        <v>-7.3676259999999993E-2</v>
      </c>
      <c r="N4779">
        <v>-1.178356E-2</v>
      </c>
      <c r="O4779">
        <v>-0.9972126</v>
      </c>
      <c r="P4779">
        <v>3.7460319999999998E-2</v>
      </c>
      <c r="Q4779">
        <v>0.1444703</v>
      </c>
      <c r="R4779">
        <v>-0.98879989999999995</v>
      </c>
      <c r="S4779">
        <v>0.21383669999999999</v>
      </c>
      <c r="T4779">
        <v>-0.115859199999999</v>
      </c>
      <c r="U4779">
        <v>-3.0429379999999999</v>
      </c>
      <c r="V4779">
        <v>-0.11053259999999999</v>
      </c>
      <c r="W4779">
        <v>0.15582299999999999</v>
      </c>
      <c r="X4779">
        <v>0.98158129999999999</v>
      </c>
      <c r="Y4779">
        <v>-0.1433441</v>
      </c>
      <c r="Z4779">
        <v>2.584096E-2</v>
      </c>
      <c r="AA4779">
        <v>0.98933550000000003</v>
      </c>
      <c r="AB4779">
        <v>24</v>
      </c>
      <c r="AC4779">
        <v>2.0860999999999801</v>
      </c>
      <c r="AD4779">
        <v>-1.1215684424979999</v>
      </c>
      <c r="AE4779">
        <v>-29.227250000000002</v>
      </c>
      <c r="AF4779">
        <v>-4.22773952001842</v>
      </c>
      <c r="AG4779">
        <v>-1.1215684424979999</v>
      </c>
      <c r="AH4779">
        <v>28.951681487206901</v>
      </c>
      <c r="AI4779">
        <v>92.195231208847602</v>
      </c>
      <c r="AJ4779">
        <v>98.308033764464994</v>
      </c>
      <c r="AK4779">
        <v>29.280224694442001</v>
      </c>
      <c r="AL4779">
        <v>81.035469841203096</v>
      </c>
      <c r="AM4779">
        <v>96.424821926492498</v>
      </c>
      <c r="AN4779">
        <v>1.00000005575072</v>
      </c>
    </row>
    <row r="4780" spans="1:40" x14ac:dyDescent="0.25">
      <c r="A4780" t="str">
        <f>"20190303162357122"</f>
        <v>20190303162357122</v>
      </c>
      <c r="B4780" t="str">
        <f>"1551601437110087"</f>
        <v>1551601437110087</v>
      </c>
      <c r="C4780" t="s">
        <v>40</v>
      </c>
      <c r="D4780">
        <v>5.4288429999999996</v>
      </c>
      <c r="E4780">
        <v>0.4950022</v>
      </c>
      <c r="F4780" t="s">
        <v>41</v>
      </c>
      <c r="G4780">
        <v>-418.86320000000001</v>
      </c>
      <c r="H4780" s="1">
        <v>-4.4166589999999999E-6</v>
      </c>
      <c r="I4780">
        <v>49.458069999999999</v>
      </c>
      <c r="J4780">
        <v>-421.46249999999998</v>
      </c>
      <c r="K4780">
        <v>1.121486</v>
      </c>
      <c r="L4780">
        <v>101.7124</v>
      </c>
      <c r="M4780">
        <v>-7.2390330000000003E-2</v>
      </c>
      <c r="N4780">
        <v>-1.1625480000000001E-2</v>
      </c>
      <c r="O4780">
        <v>-0.9973088</v>
      </c>
      <c r="P4780">
        <v>3.8619939999999998E-2</v>
      </c>
      <c r="Q4780">
        <v>0.14459849999999999</v>
      </c>
      <c r="R4780">
        <v>-0.98873650000000002</v>
      </c>
      <c r="S4780">
        <v>0.14944460000000001</v>
      </c>
      <c r="T4780">
        <v>-6.489789E-2</v>
      </c>
      <c r="U4780">
        <v>-3.037811</v>
      </c>
      <c r="V4780">
        <v>-0.1103938</v>
      </c>
      <c r="W4780">
        <v>0.1558117</v>
      </c>
      <c r="X4780">
        <v>0.98159870000000005</v>
      </c>
      <c r="Y4780">
        <v>-0.1212887</v>
      </c>
      <c r="Z4780">
        <v>9.5377450000000003E-3</v>
      </c>
      <c r="AA4780">
        <v>0.99257150000000005</v>
      </c>
      <c r="AB4780">
        <v>24</v>
      </c>
      <c r="AC4780">
        <v>2.5992999999999702</v>
      </c>
      <c r="AD4780">
        <v>-1.1214904166590001</v>
      </c>
      <c r="AE4780">
        <v>-52.254329999999896</v>
      </c>
      <c r="AF4780">
        <v>-6.3725145800744398</v>
      </c>
      <c r="AG4780">
        <v>-1.1214904166590001</v>
      </c>
      <c r="AH4780">
        <v>51.905189271801397</v>
      </c>
      <c r="AI4780">
        <v>91.228548238566006</v>
      </c>
      <c r="AJ4780">
        <v>96.999302618233898</v>
      </c>
      <c r="AK4780">
        <v>52.3069341117356</v>
      </c>
      <c r="AL4780">
        <v>81.036125168428001</v>
      </c>
      <c r="AM4780">
        <v>96.416708570985605</v>
      </c>
      <c r="AN4780">
        <v>1.0000000423885</v>
      </c>
    </row>
    <row r="4781" spans="1:40" x14ac:dyDescent="0.25">
      <c r="A4781" t="str">
        <f>"20190303162357145"</f>
        <v>20190303162357145</v>
      </c>
      <c r="B4781" t="str">
        <f>"1551601437139367"</f>
        <v>1551601437139367</v>
      </c>
      <c r="C4781" t="s">
        <v>40</v>
      </c>
      <c r="D4781">
        <v>5.4184919999999996</v>
      </c>
      <c r="E4781">
        <v>0.49527060000000001</v>
      </c>
      <c r="F4781" t="s">
        <v>41</v>
      </c>
      <c r="G4781">
        <v>-419.00380000000001</v>
      </c>
      <c r="H4781" s="1">
        <v>-1.0964889999999999E-6</v>
      </c>
      <c r="I4781">
        <v>51.776809999999998</v>
      </c>
      <c r="J4781">
        <v>-421.4787</v>
      </c>
      <c r="K4781">
        <v>1.1214280000000001</v>
      </c>
      <c r="L4781">
        <v>101.46939999999999</v>
      </c>
      <c r="M4781">
        <v>-7.1170549999999999E-2</v>
      </c>
      <c r="N4781">
        <v>-1.1450689999999999E-2</v>
      </c>
      <c r="O4781">
        <v>-0.99739860000000002</v>
      </c>
      <c r="P4781">
        <v>3.917375E-2</v>
      </c>
      <c r="Q4781">
        <v>0.1442639</v>
      </c>
      <c r="R4781">
        <v>-0.98876370000000002</v>
      </c>
      <c r="S4781">
        <v>0.14959720000000001</v>
      </c>
      <c r="T4781">
        <v>-6.8236229999999995E-2</v>
      </c>
      <c r="U4781">
        <v>-3.0383</v>
      </c>
      <c r="V4781">
        <v>-0.1097307</v>
      </c>
      <c r="W4781">
        <v>0.15531809999999999</v>
      </c>
      <c r="X4781">
        <v>0.98175120000000005</v>
      </c>
      <c r="Y4781">
        <v>-0.12011570000000001</v>
      </c>
      <c r="Z4781">
        <v>1.0803439999999999E-2</v>
      </c>
      <c r="AA4781">
        <v>0.9927011</v>
      </c>
      <c r="AB4781">
        <v>24</v>
      </c>
      <c r="AC4781">
        <v>2.4748999999999901</v>
      </c>
      <c r="AD4781">
        <v>-1.1214290964889999</v>
      </c>
      <c r="AE4781">
        <v>-49.692590000000003</v>
      </c>
      <c r="AF4781">
        <v>-6.0024540933414698</v>
      </c>
      <c r="AG4781">
        <v>-1.1214290964889999</v>
      </c>
      <c r="AH4781">
        <v>49.365330797229703</v>
      </c>
      <c r="AI4781">
        <v>91.291849243305194</v>
      </c>
      <c r="AJ4781">
        <v>96.932704794554695</v>
      </c>
      <c r="AK4781">
        <v>49.741561526363803</v>
      </c>
      <c r="AL4781">
        <v>81.064754338441801</v>
      </c>
      <c r="AM4781">
        <v>96.377501445222407</v>
      </c>
      <c r="AN4781">
        <v>0.99999997870576895</v>
      </c>
    </row>
    <row r="4782" spans="1:40" x14ac:dyDescent="0.25">
      <c r="A4782" t="str">
        <f>"20190303162357178"</f>
        <v>20190303162357178</v>
      </c>
      <c r="B4782" t="str">
        <f>"1551601437169623"</f>
        <v>1551601437169623</v>
      </c>
      <c r="C4782" t="s">
        <v>40</v>
      </c>
      <c r="D4782">
        <v>5.3497729999999999</v>
      </c>
      <c r="E4782">
        <v>0.51690249999999904</v>
      </c>
      <c r="F4782" t="s">
        <v>41</v>
      </c>
      <c r="G4782">
        <v>-419.16129999999998</v>
      </c>
      <c r="H4782" s="1">
        <v>-2.1885619999999999E-6</v>
      </c>
      <c r="I4782">
        <v>54.38758</v>
      </c>
      <c r="J4782">
        <v>-421.50259999999997</v>
      </c>
      <c r="K4782">
        <v>1.1213360000000001</v>
      </c>
      <c r="L4782">
        <v>101.104</v>
      </c>
      <c r="M4782">
        <v>-6.9387219999999999E-2</v>
      </c>
      <c r="N4782">
        <v>-1.113837E-2</v>
      </c>
      <c r="O4782">
        <v>-0.99752799999999997</v>
      </c>
      <c r="P4782">
        <v>3.9438540000000001E-2</v>
      </c>
      <c r="Q4782">
        <v>0.1433808</v>
      </c>
      <c r="R4782">
        <v>-0.98888189999999998</v>
      </c>
      <c r="S4782">
        <v>0.1495667</v>
      </c>
      <c r="T4782">
        <v>-7.2378750000000006E-2</v>
      </c>
      <c r="U4782">
        <v>-3.0387270000000002</v>
      </c>
      <c r="V4782">
        <v>-0.108234</v>
      </c>
      <c r="W4782">
        <v>0.1541399</v>
      </c>
      <c r="X4782">
        <v>0.98210299999999995</v>
      </c>
      <c r="Y4782">
        <v>-0.11832280000000001</v>
      </c>
      <c r="Z4782">
        <v>1.2472230000000001E-2</v>
      </c>
      <c r="AA4782">
        <v>0.99289689999999997</v>
      </c>
      <c r="AB4782">
        <v>24</v>
      </c>
      <c r="AC4782">
        <v>2.34129999999998</v>
      </c>
      <c r="AD4782">
        <v>-1.121338188562</v>
      </c>
      <c r="AE4782">
        <v>-46.7164199999999</v>
      </c>
      <c r="AF4782">
        <v>-5.5741751787438698</v>
      </c>
      <c r="AG4782">
        <v>-1.121338188562</v>
      </c>
      <c r="AH4782">
        <v>46.414669253978602</v>
      </c>
      <c r="AI4782">
        <v>91.374077424488405</v>
      </c>
      <c r="AJ4782">
        <v>96.848145845446695</v>
      </c>
      <c r="AK4782">
        <v>46.761633314210499</v>
      </c>
      <c r="AL4782">
        <v>81.133083354134399</v>
      </c>
      <c r="AM4782">
        <v>96.288980615725507</v>
      </c>
      <c r="AN4782">
        <v>1.0000000050685001</v>
      </c>
    </row>
    <row r="4783" spans="1:40" x14ac:dyDescent="0.25">
      <c r="A4783" t="str">
        <f>"20190303162357199"</f>
        <v>20190303162357199</v>
      </c>
      <c r="B4783" t="str">
        <f>"1551601437190118"</f>
        <v>1551601437190118</v>
      </c>
      <c r="C4783" t="s">
        <v>40</v>
      </c>
      <c r="D4783">
        <v>5.331537</v>
      </c>
      <c r="E4783">
        <v>0.52663079999999995</v>
      </c>
      <c r="F4783" t="s">
        <v>41</v>
      </c>
      <c r="G4783">
        <v>-421.60700000000003</v>
      </c>
      <c r="H4783" s="1">
        <v>-4.0595379999999996E-6</v>
      </c>
      <c r="I4783">
        <v>88.078289999999996</v>
      </c>
      <c r="J4783">
        <v>-421.5172</v>
      </c>
      <c r="K4783">
        <v>1.121302</v>
      </c>
      <c r="L4783">
        <v>100.87439999999999</v>
      </c>
      <c r="M4783">
        <v>-6.8274860000000007E-2</v>
      </c>
      <c r="N4783">
        <v>-1.092839E-2</v>
      </c>
      <c r="O4783">
        <v>-0.99760660000000001</v>
      </c>
      <c r="P4783">
        <v>3.9234060000000001E-2</v>
      </c>
      <c r="Q4783">
        <v>0.14399389999999901</v>
      </c>
      <c r="R4783">
        <v>-0.98880060000000003</v>
      </c>
      <c r="S4783">
        <v>-2.4627690000000001E-2</v>
      </c>
      <c r="T4783">
        <v>-0.26454939999999999</v>
      </c>
      <c r="U4783">
        <v>-3.0730590000000002</v>
      </c>
      <c r="V4783">
        <v>-0.10692840000000001</v>
      </c>
      <c r="W4783">
        <v>0.1545493</v>
      </c>
      <c r="X4783">
        <v>0.98218170000000005</v>
      </c>
      <c r="Y4783">
        <v>-6.0271819999999997E-2</v>
      </c>
      <c r="Z4783">
        <v>7.4500049999999998E-2</v>
      </c>
      <c r="AA4783">
        <v>0.99539789999999995</v>
      </c>
      <c r="AB4783">
        <v>24</v>
      </c>
      <c r="AC4783">
        <v>-8.9799999999968294E-2</v>
      </c>
      <c r="AD4783">
        <v>-1.121306059538</v>
      </c>
      <c r="AE4783">
        <v>-12.796110000000001</v>
      </c>
      <c r="AF4783">
        <v>-0.77813957263510702</v>
      </c>
      <c r="AG4783">
        <v>-1.121306059538</v>
      </c>
      <c r="AH4783">
        <v>12.6750545768565</v>
      </c>
      <c r="AI4783">
        <v>95.046092310449694</v>
      </c>
      <c r="AJ4783">
        <v>93.513060107221506</v>
      </c>
      <c r="AK4783">
        <v>12.748326831390401</v>
      </c>
      <c r="AL4783">
        <v>81.109342197239798</v>
      </c>
      <c r="AM4783">
        <v>96.213221209200896</v>
      </c>
      <c r="AN4783">
        <v>1.00000003033596</v>
      </c>
    </row>
    <row r="4784" spans="1:40" x14ac:dyDescent="0.25">
      <c r="A4784" t="str">
        <f>"20190303162357223"</f>
        <v>20190303162357223</v>
      </c>
      <c r="B4784" t="str">
        <f>"1551601437209639"</f>
        <v>1551601437209639</v>
      </c>
      <c r="C4784" t="s">
        <v>40</v>
      </c>
      <c r="D4784">
        <v>5.2695879999999997</v>
      </c>
      <c r="E4784">
        <v>0.53144559999999996</v>
      </c>
      <c r="F4784" t="s">
        <v>42</v>
      </c>
      <c r="G4784">
        <v>-421.54270000000002</v>
      </c>
      <c r="H4784">
        <v>1.022157</v>
      </c>
      <c r="I4784">
        <v>100.1232</v>
      </c>
      <c r="J4784">
        <v>-421.53300000000002</v>
      </c>
      <c r="K4784">
        <v>1.1212740000000001</v>
      </c>
      <c r="L4784">
        <v>100.6241</v>
      </c>
      <c r="M4784">
        <v>-6.7062410000000003E-2</v>
      </c>
      <c r="N4784">
        <v>-1.068012E-2</v>
      </c>
      <c r="O4784">
        <v>-0.99769180000000002</v>
      </c>
      <c r="P4784">
        <v>3.9587810000000001E-2</v>
      </c>
      <c r="Q4784">
        <v>0.14330970000000001</v>
      </c>
      <c r="R4784">
        <v>-0.98888589999999998</v>
      </c>
      <c r="S4784">
        <v>-0.1044006</v>
      </c>
      <c r="T4784">
        <v>-0.4089642</v>
      </c>
      <c r="U4784">
        <v>-3.0976870000000001</v>
      </c>
      <c r="V4784">
        <v>-0.10609200000000001</v>
      </c>
      <c r="W4784">
        <v>0.15362300000000001</v>
      </c>
      <c r="X4784">
        <v>0.9824176</v>
      </c>
      <c r="Y4784">
        <v>-3.3637939999999998E-2</v>
      </c>
      <c r="Z4784">
        <v>0.1197894</v>
      </c>
      <c r="AA4784">
        <v>0.99222929999999998</v>
      </c>
      <c r="AB4784">
        <v>24</v>
      </c>
      <c r="AC4784">
        <v>-9.7000000000093695E-3</v>
      </c>
      <c r="AD4784">
        <v>-9.91169999999999E-2</v>
      </c>
      <c r="AE4784">
        <v>-0.50090000000000101</v>
      </c>
      <c r="AF4784">
        <v>-2.3014500890072401E-2</v>
      </c>
      <c r="AG4784">
        <v>-9.91169999999999E-2</v>
      </c>
      <c r="AH4784">
        <v>0.48157353200299502</v>
      </c>
      <c r="AI4784">
        <v>101.617255896234</v>
      </c>
      <c r="AJ4784">
        <v>92.736095687728707</v>
      </c>
      <c r="AK4784">
        <v>0.49220616987809002</v>
      </c>
      <c r="AL4784">
        <v>81.163055961561398</v>
      </c>
      <c r="AM4784">
        <v>96.163527792194699</v>
      </c>
      <c r="AN4784">
        <v>0.99999993969137801</v>
      </c>
    </row>
    <row r="4785" spans="1:40" x14ac:dyDescent="0.25">
      <c r="A4785" t="str">
        <f>"20190303162357244"</f>
        <v>20190303162357244</v>
      </c>
      <c r="B4785" t="str">
        <f>"1551601437239895"</f>
        <v>1551601437239895</v>
      </c>
      <c r="C4785" t="s">
        <v>40</v>
      </c>
      <c r="D4785">
        <v>5.2965080000000002</v>
      </c>
      <c r="E4785">
        <v>0.53449990000000003</v>
      </c>
      <c r="F4785" t="s">
        <v>42</v>
      </c>
      <c r="G4785">
        <v>-421.57499999999999</v>
      </c>
      <c r="H4785">
        <v>0.97681770000000001</v>
      </c>
      <c r="I4785">
        <v>99.712419999999995</v>
      </c>
      <c r="J4785">
        <v>-421.5478</v>
      </c>
      <c r="K4785">
        <v>1.1212279999999999</v>
      </c>
      <c r="L4785">
        <v>100.3841</v>
      </c>
      <c r="M4785">
        <v>-6.5905329999999998E-2</v>
      </c>
      <c r="N4785">
        <v>-1.043635E-2</v>
      </c>
      <c r="O4785">
        <v>-0.99777150000000003</v>
      </c>
      <c r="P4785">
        <v>4.0327910000000002E-2</v>
      </c>
      <c r="Q4785">
        <v>0.14038249999999999</v>
      </c>
      <c r="R4785">
        <v>-0.98927589999999999</v>
      </c>
      <c r="S4785">
        <v>-0.1435852</v>
      </c>
      <c r="T4785">
        <v>-0.4928594</v>
      </c>
      <c r="U4785">
        <v>-3.1109010000000001</v>
      </c>
      <c r="V4785">
        <v>-0.1057097</v>
      </c>
      <c r="W4785">
        <v>0.1504616</v>
      </c>
      <c r="X4785">
        <v>0.98294800000000004</v>
      </c>
      <c r="Y4785">
        <v>-2.0307430000000001E-2</v>
      </c>
      <c r="Z4785">
        <v>0.1455736</v>
      </c>
      <c r="AA4785">
        <v>0.98913899999999999</v>
      </c>
      <c r="AB4785">
        <v>24</v>
      </c>
      <c r="AC4785">
        <v>-2.71999999999934E-2</v>
      </c>
      <c r="AD4785">
        <v>-0.14441029999999999</v>
      </c>
      <c r="AE4785">
        <v>-0.67168000000000905</v>
      </c>
      <c r="AF4785">
        <v>-1.6373232562334201E-2</v>
      </c>
      <c r="AG4785">
        <v>-0.14441029999999999</v>
      </c>
      <c r="AH4785">
        <v>0.642367783675167</v>
      </c>
      <c r="AI4785">
        <v>102.66600635331901</v>
      </c>
      <c r="AJ4785">
        <v>91.460088856082606</v>
      </c>
      <c r="AK4785">
        <v>0.65860366457709396</v>
      </c>
      <c r="AL4785">
        <v>81.346322126503594</v>
      </c>
      <c r="AM4785">
        <v>96.138199052070803</v>
      </c>
      <c r="AN4785">
        <v>1.00000000222632</v>
      </c>
    </row>
    <row r="4786" spans="1:40" x14ac:dyDescent="0.25">
      <c r="A4786" t="str">
        <f>"20190303162357267"</f>
        <v>20190303162357267</v>
      </c>
      <c r="B4786" t="str">
        <f>"1551601437259414"</f>
        <v>1551601437259414</v>
      </c>
      <c r="C4786" t="s">
        <v>40</v>
      </c>
      <c r="D4786">
        <v>5.3194520000000001</v>
      </c>
      <c r="E4786">
        <v>0.53578669999999995</v>
      </c>
      <c r="F4786" t="s">
        <v>42</v>
      </c>
      <c r="G4786">
        <v>-421.59640000000002</v>
      </c>
      <c r="H4786">
        <v>0.96400589999999997</v>
      </c>
      <c r="I4786">
        <v>99.501270000000005</v>
      </c>
      <c r="J4786">
        <v>-421.56270000000001</v>
      </c>
      <c r="K4786">
        <v>1.1211850000000001</v>
      </c>
      <c r="L4786">
        <v>100.1379</v>
      </c>
      <c r="M4786">
        <v>-6.4727919999999994E-2</v>
      </c>
      <c r="N4786">
        <v>-1.0203790000000001E-2</v>
      </c>
      <c r="O4786">
        <v>-0.99785080000000004</v>
      </c>
      <c r="P4786">
        <v>4.1681290000000003E-2</v>
      </c>
      <c r="Q4786">
        <v>0.1377535</v>
      </c>
      <c r="R4786">
        <v>-0.9895891</v>
      </c>
      <c r="S4786">
        <v>-0.1704407</v>
      </c>
      <c r="T4786">
        <v>-0.5554597</v>
      </c>
      <c r="U4786">
        <v>-3.1182859999999999</v>
      </c>
      <c r="V4786">
        <v>-0.1059123</v>
      </c>
      <c r="W4786">
        <v>0.14760889999999999</v>
      </c>
      <c r="X4786">
        <v>0.98335859999999997</v>
      </c>
      <c r="Y4786">
        <v>-1.090907E-2</v>
      </c>
      <c r="Z4786">
        <v>0.1646541</v>
      </c>
      <c r="AA4786">
        <v>0.98629109999999998</v>
      </c>
      <c r="AB4786">
        <v>24</v>
      </c>
      <c r="AC4786">
        <v>-3.3700000000010201E-2</v>
      </c>
      <c r="AD4786">
        <v>-0.15717909999999999</v>
      </c>
      <c r="AE4786">
        <v>-0.63663000000001002</v>
      </c>
      <c r="AF4786">
        <v>-7.1461743022768597E-3</v>
      </c>
      <c r="AG4786">
        <v>-0.15717909999999999</v>
      </c>
      <c r="AH4786">
        <v>0.60094736060243803</v>
      </c>
      <c r="AI4786">
        <v>104.65649587786299</v>
      </c>
      <c r="AJ4786">
        <v>90.681301484986705</v>
      </c>
      <c r="AK4786">
        <v>0.62120372463387996</v>
      </c>
      <c r="AL4786">
        <v>81.5116155962058</v>
      </c>
      <c r="AM4786">
        <v>96.1473250684313</v>
      </c>
      <c r="AN4786">
        <v>0.99999996942222902</v>
      </c>
    </row>
    <row r="4787" spans="1:40" x14ac:dyDescent="0.25">
      <c r="A4787" t="str">
        <f>"20190303162357288"</f>
        <v>20190303162357288</v>
      </c>
      <c r="B4787" t="str">
        <f>"1551601437279911"</f>
        <v>1551601437279911</v>
      </c>
      <c r="C4787" t="s">
        <v>40</v>
      </c>
      <c r="D4787">
        <v>5.3227469999999997</v>
      </c>
      <c r="E4787">
        <v>0.53687549999999995</v>
      </c>
      <c r="F4787" t="s">
        <v>42</v>
      </c>
      <c r="G4787">
        <v>-421.61149999999998</v>
      </c>
      <c r="H4787">
        <v>0.9621111</v>
      </c>
      <c r="I4787">
        <v>99.283810000000003</v>
      </c>
      <c r="J4787">
        <v>-421.57659999999998</v>
      </c>
      <c r="K4787">
        <v>1.1211469999999999</v>
      </c>
      <c r="L4787">
        <v>99.906620000000004</v>
      </c>
      <c r="M4787">
        <v>-6.3648930000000006E-2</v>
      </c>
      <c r="N4787">
        <v>-1.0006330000000001E-2</v>
      </c>
      <c r="O4787">
        <v>-0.99792219999999998</v>
      </c>
      <c r="P4787">
        <v>4.254633E-2</v>
      </c>
      <c r="Q4787">
        <v>0.13756380000000001</v>
      </c>
      <c r="R4787">
        <v>-0.98957879999999998</v>
      </c>
      <c r="S4787">
        <v>-0.1784973</v>
      </c>
      <c r="T4787">
        <v>-0.58110019999999996</v>
      </c>
      <c r="U4787">
        <v>-3.1199650000000001</v>
      </c>
      <c r="V4787">
        <v>-0.1057041</v>
      </c>
      <c r="W4787">
        <v>0.14722879999999899</v>
      </c>
      <c r="X4787">
        <v>0.98343800000000003</v>
      </c>
      <c r="Y4787">
        <v>-7.3984819999999996E-3</v>
      </c>
      <c r="Z4787">
        <v>0.17257709999999901</v>
      </c>
      <c r="AA4787">
        <v>0.98496819999999896</v>
      </c>
      <c r="AB4787">
        <v>24</v>
      </c>
      <c r="AC4787">
        <v>-3.48999999999932E-2</v>
      </c>
      <c r="AD4787">
        <v>-0.15903589999999901</v>
      </c>
      <c r="AE4787">
        <v>-0.62280999999998699</v>
      </c>
      <c r="AF4787">
        <v>-4.5201346221961699E-3</v>
      </c>
      <c r="AG4787">
        <v>-0.15903589999999901</v>
      </c>
      <c r="AH4787">
        <v>0.585697764926432</v>
      </c>
      <c r="AI4787">
        <v>105.19094457235499</v>
      </c>
      <c r="AJ4787">
        <v>90.442172585684801</v>
      </c>
      <c r="AK4787">
        <v>0.60692233518435501</v>
      </c>
      <c r="AL4787">
        <v>81.533634454818198</v>
      </c>
      <c r="AM4787">
        <v>96.134841478421905</v>
      </c>
      <c r="AN4787">
        <v>0.99999998807512402</v>
      </c>
    </row>
    <row r="4788" spans="1:40" x14ac:dyDescent="0.25">
      <c r="A4788" t="str">
        <f>"20190303162357313"</f>
        <v>20190303162357313</v>
      </c>
      <c r="B4788" t="str">
        <f>"1551601437299431"</f>
        <v>1551601437299431</v>
      </c>
      <c r="C4788" t="s">
        <v>40</v>
      </c>
      <c r="D4788">
        <v>5.3496620000000004</v>
      </c>
      <c r="E4788">
        <v>0.53758419999999996</v>
      </c>
      <c r="F4788" t="s">
        <v>42</v>
      </c>
      <c r="G4788">
        <v>-421.62729999999999</v>
      </c>
      <c r="H4788">
        <v>0.96107039999999999</v>
      </c>
      <c r="I4788">
        <v>99.065439999999995</v>
      </c>
      <c r="J4788">
        <v>-421.59210000000002</v>
      </c>
      <c r="K4788">
        <v>1.121105</v>
      </c>
      <c r="L4788">
        <v>99.642150000000001</v>
      </c>
      <c r="M4788">
        <v>-6.2479529999999998E-2</v>
      </c>
      <c r="N4788">
        <v>-9.8027619999999996E-3</v>
      </c>
      <c r="O4788">
        <v>-0.99799819999999995</v>
      </c>
      <c r="P4788">
        <v>4.3615059999999997E-2</v>
      </c>
      <c r="Q4788">
        <v>0.13897039999999999</v>
      </c>
      <c r="R4788">
        <v>-0.98933599999999999</v>
      </c>
      <c r="S4788">
        <v>-0.18673709999999999</v>
      </c>
      <c r="T4788">
        <v>-0.59431519999999904</v>
      </c>
      <c r="U4788">
        <v>-3.1222530000000002</v>
      </c>
      <c r="V4788">
        <v>-0.1055918</v>
      </c>
      <c r="W4788">
        <v>0.1484422</v>
      </c>
      <c r="X4788">
        <v>0.98326769999999997</v>
      </c>
      <c r="Y4788">
        <v>-3.7241990000000001E-3</v>
      </c>
      <c r="Z4788">
        <v>0.17666660000000001</v>
      </c>
      <c r="AA4788">
        <v>0.98426369999999996</v>
      </c>
      <c r="AB4788">
        <v>25</v>
      </c>
      <c r="AC4788">
        <v>-3.51999999999748E-2</v>
      </c>
      <c r="AD4788">
        <v>-0.1600346</v>
      </c>
      <c r="AE4788">
        <v>-0.57671000000000505</v>
      </c>
      <c r="AF4788">
        <v>-8.3873058328659501E-4</v>
      </c>
      <c r="AG4788">
        <v>-0.1600346</v>
      </c>
      <c r="AH4788">
        <v>0.53661447729509903</v>
      </c>
      <c r="AI4788">
        <v>106.606146184178</v>
      </c>
      <c r="AJ4788">
        <v>90.089553460577605</v>
      </c>
      <c r="AK4788">
        <v>0.55997042235179095</v>
      </c>
      <c r="AL4788">
        <v>81.463339812612801</v>
      </c>
      <c r="AM4788">
        <v>96.129426790498002</v>
      </c>
      <c r="AN4788">
        <v>1.0000000424156801</v>
      </c>
    </row>
    <row r="4789" spans="1:40" x14ac:dyDescent="0.25">
      <c r="A4789" t="str">
        <f>"20190303162357335"</f>
        <v>20190303162357335</v>
      </c>
      <c r="B4789" t="str">
        <f>"1551601437329687"</f>
        <v>1551601437329687</v>
      </c>
      <c r="C4789" t="s">
        <v>40</v>
      </c>
      <c r="D4789">
        <v>5.4504349999999997</v>
      </c>
      <c r="E4789">
        <v>0.53877430000000004</v>
      </c>
      <c r="F4789" t="s">
        <v>42</v>
      </c>
      <c r="G4789">
        <v>-421.6404</v>
      </c>
      <c r="H4789">
        <v>0.96796230000000005</v>
      </c>
      <c r="I4789">
        <v>98.842479999999995</v>
      </c>
      <c r="J4789">
        <v>-421.60640000000001</v>
      </c>
      <c r="K4789">
        <v>1.1210469999999999</v>
      </c>
      <c r="L4789">
        <v>99.394589999999994</v>
      </c>
      <c r="M4789">
        <v>-6.1474470000000003E-2</v>
      </c>
      <c r="N4789">
        <v>-9.6312229999999995E-3</v>
      </c>
      <c r="O4789">
        <v>-0.99806209999999995</v>
      </c>
      <c r="P4789">
        <v>4.4424539999999998E-2</v>
      </c>
      <c r="Q4789">
        <v>0.1403703</v>
      </c>
      <c r="R4789">
        <v>-0.98910209999999998</v>
      </c>
      <c r="S4789">
        <v>-0.1889343</v>
      </c>
      <c r="T4789">
        <v>-0.59840039999999906</v>
      </c>
      <c r="U4789">
        <v>-3.1247250000000002</v>
      </c>
      <c r="V4789">
        <v>-0.10537680000000001</v>
      </c>
      <c r="W4789">
        <v>0.1496847</v>
      </c>
      <c r="X4789">
        <v>0.98310229999999998</v>
      </c>
      <c r="Y4789">
        <v>-2.0893259999999999E-3</v>
      </c>
      <c r="Z4789">
        <v>0.17794360000000001</v>
      </c>
      <c r="AA4789">
        <v>0.98403850000000004</v>
      </c>
      <c r="AB4789">
        <v>25</v>
      </c>
      <c r="AC4789">
        <v>-3.3999999999991801E-2</v>
      </c>
      <c r="AD4789">
        <v>-0.15308469999999899</v>
      </c>
      <c r="AE4789">
        <v>-0.55210999999999899</v>
      </c>
      <c r="AF4789" s="1">
        <v>-6.0919573229151203E-6</v>
      </c>
      <c r="AG4789">
        <v>-0.15308469999999899</v>
      </c>
      <c r="AH4789">
        <v>0.51380398105298897</v>
      </c>
      <c r="AI4789">
        <v>106.591098056432</v>
      </c>
      <c r="AJ4789">
        <v>90.000679331917198</v>
      </c>
      <c r="AK4789">
        <v>0.53612447841625599</v>
      </c>
      <c r="AL4789">
        <v>81.391344706240403</v>
      </c>
      <c r="AM4789">
        <v>96.118062461342802</v>
      </c>
      <c r="AN4789">
        <v>0.99999995582880896</v>
      </c>
    </row>
    <row r="4790" spans="1:40" x14ac:dyDescent="0.25">
      <c r="A4790" t="str">
        <f>"20190303162357359"</f>
        <v>20190303162357359</v>
      </c>
      <c r="B4790" t="str">
        <f>"1551601437350183"</f>
        <v>1551601437350183</v>
      </c>
      <c r="C4790" t="s">
        <v>40</v>
      </c>
      <c r="D4790">
        <v>5.3659290000000004</v>
      </c>
      <c r="E4790">
        <v>0.54834359999999904</v>
      </c>
      <c r="F4790" t="s">
        <v>42</v>
      </c>
      <c r="G4790">
        <v>-421.65519999999998</v>
      </c>
      <c r="H4790">
        <v>0.97186090000000003</v>
      </c>
      <c r="I4790">
        <v>98.620540000000005</v>
      </c>
      <c r="J4790">
        <v>-421.62150000000003</v>
      </c>
      <c r="K4790">
        <v>1.1209639999999901</v>
      </c>
      <c r="L4790">
        <v>99.133359999999996</v>
      </c>
      <c r="M4790">
        <v>-6.0531109999999999E-2</v>
      </c>
      <c r="N4790">
        <v>-9.4706570000000004E-3</v>
      </c>
      <c r="O4790">
        <v>-0.9981217</v>
      </c>
      <c r="P4790">
        <v>4.4631839999999999E-2</v>
      </c>
      <c r="Q4790">
        <v>0.14016329999999999</v>
      </c>
      <c r="R4790">
        <v>-0.98912219999999995</v>
      </c>
      <c r="S4790">
        <v>-0.19613649999999999</v>
      </c>
      <c r="T4790">
        <v>-0.60284399999999905</v>
      </c>
      <c r="U4790">
        <v>-3.1274109999999999</v>
      </c>
      <c r="V4790">
        <v>-0.104628</v>
      </c>
      <c r="W4790">
        <v>0.14934</v>
      </c>
      <c r="X4790">
        <v>0.98323479999999996</v>
      </c>
      <c r="Y4790">
        <v>1.0443099999999999E-3</v>
      </c>
      <c r="Z4790">
        <v>0.17929339999999999</v>
      </c>
      <c r="AA4790">
        <v>0.98379510000000003</v>
      </c>
      <c r="AB4790">
        <v>25</v>
      </c>
      <c r="AC4790">
        <v>-3.3699999999953399E-2</v>
      </c>
      <c r="AD4790">
        <v>-0.14910309999999899</v>
      </c>
      <c r="AE4790">
        <v>-0.51281999999998995</v>
      </c>
      <c r="AF4790">
        <v>2.39376317655687E-3</v>
      </c>
      <c r="AG4790">
        <v>-0.14910309999999899</v>
      </c>
      <c r="AH4790">
        <v>0.47401994727819202</v>
      </c>
      <c r="AI4790">
        <v>107.46077329681999</v>
      </c>
      <c r="AJ4790">
        <v>89.710663312584799</v>
      </c>
      <c r="AK4790">
        <v>0.496922906444626</v>
      </c>
      <c r="AL4790">
        <v>81.411320004247898</v>
      </c>
      <c r="AM4790">
        <v>96.074101654820396</v>
      </c>
      <c r="AN4790">
        <v>1.0000000629575101</v>
      </c>
    </row>
    <row r="4791" spans="1:40" x14ac:dyDescent="0.25">
      <c r="A4791" t="str">
        <f>"20190303162357379"</f>
        <v>20190303162357379</v>
      </c>
      <c r="B4791" t="str">
        <f>"1551601437370212"</f>
        <v>1551601437370212</v>
      </c>
      <c r="C4791" t="s">
        <v>40</v>
      </c>
      <c r="D4791">
        <v>5.3095239999999997</v>
      </c>
      <c r="E4791">
        <v>0.54464250000000003</v>
      </c>
      <c r="F4791" t="s">
        <v>42</v>
      </c>
      <c r="G4791">
        <v>-421.68329999999997</v>
      </c>
      <c r="H4791">
        <v>0.91918619999999995</v>
      </c>
      <c r="I4791">
        <v>98.425579999999997</v>
      </c>
      <c r="J4791">
        <v>-421.63459999999998</v>
      </c>
      <c r="K4791">
        <v>1.1208720000000001</v>
      </c>
      <c r="L4791">
        <v>98.903080000000003</v>
      </c>
      <c r="M4791">
        <v>-5.9819650000000002E-2</v>
      </c>
      <c r="N4791">
        <v>-9.350667E-3</v>
      </c>
      <c r="O4791">
        <v>-0.99816550000000004</v>
      </c>
      <c r="P4791">
        <v>4.326091E-2</v>
      </c>
      <c r="Q4791">
        <v>0.13889550000000001</v>
      </c>
      <c r="R4791">
        <v>-0.98936190000000002</v>
      </c>
      <c r="S4791">
        <v>-0.27685549999999998</v>
      </c>
      <c r="T4791">
        <v>-0.90479209999999999</v>
      </c>
      <c r="U4791">
        <v>-3.1737060000000001</v>
      </c>
      <c r="V4791">
        <v>-0.10254199999999999</v>
      </c>
      <c r="W4791">
        <v>0.1479801</v>
      </c>
      <c r="X4791">
        <v>0.98365999999999998</v>
      </c>
      <c r="Y4791">
        <v>2.4028750000000001E-2</v>
      </c>
      <c r="Z4791">
        <v>0.2639512</v>
      </c>
      <c r="AA4791">
        <v>0.96423669999999995</v>
      </c>
      <c r="AB4791">
        <v>25</v>
      </c>
      <c r="AC4791">
        <v>-4.86999999999966E-2</v>
      </c>
      <c r="AD4791">
        <v>-0.201685799999999</v>
      </c>
      <c r="AE4791">
        <v>-0.47749999999999199</v>
      </c>
      <c r="AF4791">
        <v>1.7039106162510299E-2</v>
      </c>
      <c r="AG4791">
        <v>-0.201685799999999</v>
      </c>
      <c r="AH4791">
        <v>0.40759100607735399</v>
      </c>
      <c r="AI4791">
        <v>116.30743043752</v>
      </c>
      <c r="AJ4791">
        <v>87.606176930967294</v>
      </c>
      <c r="AK4791">
        <v>0.45508012623669503</v>
      </c>
      <c r="AL4791">
        <v>81.490111365452805</v>
      </c>
      <c r="AM4791">
        <v>95.951323944362599</v>
      </c>
      <c r="AN4791">
        <v>0.99999998368000398</v>
      </c>
    </row>
    <row r="4792" spans="1:40" x14ac:dyDescent="0.25">
      <c r="A4792" t="str">
        <f>"20190303162357403"</f>
        <v>20190303162357403</v>
      </c>
      <c r="B4792" t="str">
        <f>"1551601437389730"</f>
        <v>1551601437389730</v>
      </c>
      <c r="C4792" t="s">
        <v>40</v>
      </c>
      <c r="D4792">
        <v>5.2821009999999999</v>
      </c>
      <c r="E4792">
        <v>0.54296359999999999</v>
      </c>
      <c r="F4792" t="s">
        <v>42</v>
      </c>
      <c r="G4792">
        <v>-421.6893</v>
      </c>
      <c r="H4792">
        <v>0.90016309999999999</v>
      </c>
      <c r="I4792">
        <v>98.211640000000003</v>
      </c>
      <c r="J4792">
        <v>-421.64890000000003</v>
      </c>
      <c r="K4792">
        <v>1.1207800000000001</v>
      </c>
      <c r="L4792">
        <v>98.653750000000002</v>
      </c>
      <c r="M4792">
        <v>-5.917617E-2</v>
      </c>
      <c r="N4792">
        <v>-9.2462540000000006E-3</v>
      </c>
      <c r="O4792">
        <v>-0.99820489999999995</v>
      </c>
      <c r="P4792">
        <v>4.149249E-2</v>
      </c>
      <c r="Q4792">
        <v>0.1383074</v>
      </c>
      <c r="R4792">
        <v>-0.98951999999999996</v>
      </c>
      <c r="S4792">
        <v>-0.25097659999999999</v>
      </c>
      <c r="T4792">
        <v>-1.0169900000000001</v>
      </c>
      <c r="U4792">
        <v>-3.1860050000000002</v>
      </c>
      <c r="V4792">
        <v>-0.10011879999999999</v>
      </c>
      <c r="W4792">
        <v>0.147317</v>
      </c>
      <c r="X4792">
        <v>0.98400909999999997</v>
      </c>
      <c r="Y4792">
        <v>1.5890709999999999E-2</v>
      </c>
      <c r="Z4792">
        <v>0.29407139999999998</v>
      </c>
      <c r="AA4792">
        <v>0.95565129999999998</v>
      </c>
      <c r="AB4792">
        <v>25</v>
      </c>
      <c r="AC4792">
        <v>-4.0399999999976899E-2</v>
      </c>
      <c r="AD4792">
        <v>-0.22061689999999901</v>
      </c>
      <c r="AE4792">
        <v>-0.442109999999999</v>
      </c>
      <c r="AF4792">
        <v>1.13603013468806E-2</v>
      </c>
      <c r="AG4792">
        <v>-0.22061689999999901</v>
      </c>
      <c r="AH4792">
        <v>0.35584963673844799</v>
      </c>
      <c r="AI4792">
        <v>121.784696899853</v>
      </c>
      <c r="AJ4792">
        <v>88.171485188969498</v>
      </c>
      <c r="AK4792">
        <v>0.41884345163698999</v>
      </c>
      <c r="AL4792">
        <v>81.528525278531504</v>
      </c>
      <c r="AM4792">
        <v>95.809612927478895</v>
      </c>
      <c r="AN4792">
        <v>0.99999999074262402</v>
      </c>
    </row>
    <row r="4793" spans="1:40" x14ac:dyDescent="0.25">
      <c r="A4793" t="str">
        <f>"20190303162357446"</f>
        <v>20190303162357446</v>
      </c>
      <c r="B4793" t="str">
        <f>"1551601437439507"</f>
        <v>1551601437439507</v>
      </c>
      <c r="C4793" t="s">
        <v>40</v>
      </c>
      <c r="D4793">
        <v>5.2586360000000001</v>
      </c>
      <c r="E4793">
        <v>0.54255540000000002</v>
      </c>
      <c r="F4793" t="s">
        <v>42</v>
      </c>
      <c r="G4793">
        <v>-421.69889999999998</v>
      </c>
      <c r="H4793">
        <v>0.89938960000000001</v>
      </c>
      <c r="I4793">
        <v>97.989639999999994</v>
      </c>
      <c r="J4793">
        <v>-421.67689999999999</v>
      </c>
      <c r="K4793">
        <v>1.1206430000000001</v>
      </c>
      <c r="L4793">
        <v>98.159610000000001</v>
      </c>
      <c r="M4793">
        <v>-5.8277910000000002E-2</v>
      </c>
      <c r="N4793">
        <v>-9.1123620000000006E-3</v>
      </c>
      <c r="O4793">
        <v>-0.99825909999999995</v>
      </c>
      <c r="P4793">
        <v>3.8280260000000003E-2</v>
      </c>
      <c r="Q4793">
        <v>0.13936479999999901</v>
      </c>
      <c r="R4793">
        <v>-0.98950110000000002</v>
      </c>
      <c r="S4793">
        <v>-0.23977660000000001</v>
      </c>
      <c r="T4793">
        <v>-1.0635889999999999</v>
      </c>
      <c r="U4793">
        <v>-3.1904910000000002</v>
      </c>
      <c r="V4793">
        <v>-9.5970600000000003E-2</v>
      </c>
      <c r="W4793">
        <v>0.1482842</v>
      </c>
      <c r="X4793">
        <v>0.98427710000000002</v>
      </c>
      <c r="Y4793">
        <v>1.306177E-2</v>
      </c>
      <c r="Z4793">
        <v>0.30642360000000002</v>
      </c>
      <c r="AA4793">
        <v>0.95180569999999998</v>
      </c>
      <c r="AB4793">
        <v>25</v>
      </c>
      <c r="AC4793">
        <v>-2.1999999999991301E-2</v>
      </c>
      <c r="AD4793">
        <v>-0.22125339999999999</v>
      </c>
      <c r="AE4793">
        <v>-0.16996999999999199</v>
      </c>
      <c r="AF4793">
        <v>4.5214514705194699E-3</v>
      </c>
      <c r="AG4793">
        <v>-0.22125339999999999</v>
      </c>
      <c r="AH4793">
        <v>6.4113897891235602E-2</v>
      </c>
      <c r="AI4793">
        <v>163.801653345261</v>
      </c>
      <c r="AJ4793">
        <v>85.966055656887704</v>
      </c>
      <c r="AK4793">
        <v>0.230399875081928</v>
      </c>
      <c r="AL4793">
        <v>81.472493358811406</v>
      </c>
      <c r="AM4793">
        <v>95.568943669544296</v>
      </c>
      <c r="AN4793">
        <v>0.99999998480920405</v>
      </c>
    </row>
    <row r="4794" spans="1:40" x14ac:dyDescent="0.25">
      <c r="A4794" t="str">
        <f>"20190303162357467"</f>
        <v>20190303162357467</v>
      </c>
      <c r="B4794" t="str">
        <f>"1551601437460003"</f>
        <v>1551601437460003</v>
      </c>
      <c r="C4794" t="s">
        <v>40</v>
      </c>
      <c r="D4794">
        <v>5.23597</v>
      </c>
      <c r="E4794">
        <v>0.54258039999999996</v>
      </c>
      <c r="F4794" t="s">
        <v>42</v>
      </c>
      <c r="G4794">
        <v>-421.73950000000002</v>
      </c>
      <c r="H4794">
        <v>0.84638359999999901</v>
      </c>
      <c r="I4794">
        <v>97.343559999999997</v>
      </c>
      <c r="J4794">
        <v>-421.69040000000001</v>
      </c>
      <c r="K4794">
        <v>1.1206</v>
      </c>
      <c r="L4794">
        <v>97.922120000000007</v>
      </c>
      <c r="M4794">
        <v>-5.796631E-2</v>
      </c>
      <c r="N4794">
        <v>-9.0659509999999992E-3</v>
      </c>
      <c r="O4794">
        <v>-0.99827759999999999</v>
      </c>
      <c r="P4794">
        <v>3.6036319999999997E-2</v>
      </c>
      <c r="Q4794">
        <v>0.1404427</v>
      </c>
      <c r="R4794">
        <v>-0.9894328</v>
      </c>
      <c r="S4794">
        <v>-0.24328610000000001</v>
      </c>
      <c r="T4794">
        <v>-1.072908</v>
      </c>
      <c r="U4794">
        <v>-3.192383</v>
      </c>
      <c r="V4794">
        <v>-9.3402680000000002E-2</v>
      </c>
      <c r="W4794">
        <v>0.14932909999999999</v>
      </c>
      <c r="X4794">
        <v>0.98436619999999997</v>
      </c>
      <c r="Y4794">
        <v>1.431205E-2</v>
      </c>
      <c r="Z4794">
        <v>0.30878270000000002</v>
      </c>
      <c r="AA4794">
        <v>0.95102489999999995</v>
      </c>
      <c r="AB4794">
        <v>25</v>
      </c>
      <c r="AC4794">
        <v>-4.91000000000099E-2</v>
      </c>
      <c r="AD4794">
        <v>-0.27421640000000003</v>
      </c>
      <c r="AE4794">
        <v>-0.57855999999999597</v>
      </c>
      <c r="AF4794">
        <v>1.2656279036270399E-2</v>
      </c>
      <c r="AG4794">
        <v>-0.27421640000000003</v>
      </c>
      <c r="AH4794">
        <v>0.474584351390756</v>
      </c>
      <c r="AI4794">
        <v>120.01064157986499</v>
      </c>
      <c r="AJ4794">
        <v>88.472390550462094</v>
      </c>
      <c r="AK4794">
        <v>0.54825643818653702</v>
      </c>
      <c r="AL4794">
        <v>81.411951309998301</v>
      </c>
      <c r="AM4794">
        <v>95.420345404974796</v>
      </c>
      <c r="AN4794">
        <v>1.0000000282202099</v>
      </c>
    </row>
    <row r="4795" spans="1:40" x14ac:dyDescent="0.25">
      <c r="A4795" t="str">
        <f>"20190303162357490"</f>
        <v>20190303162357490</v>
      </c>
      <c r="B4795" t="str">
        <f>"1551601437479523"</f>
        <v>1551601437479523</v>
      </c>
      <c r="C4795" t="s">
        <v>40</v>
      </c>
      <c r="D4795">
        <v>5.2075909999999999</v>
      </c>
      <c r="E4795">
        <v>0.54276159999999996</v>
      </c>
      <c r="F4795" t="s">
        <v>42</v>
      </c>
      <c r="G4795">
        <v>-421.75360000000001</v>
      </c>
      <c r="H4795">
        <v>0.85110659999999905</v>
      </c>
      <c r="I4795">
        <v>97.117760000000004</v>
      </c>
      <c r="J4795">
        <v>-421.7045</v>
      </c>
      <c r="K4795">
        <v>1.1205670000000001</v>
      </c>
      <c r="L4795">
        <v>97.673370000000006</v>
      </c>
      <c r="M4795">
        <v>-5.7687780000000001E-2</v>
      </c>
      <c r="N4795">
        <v>-9.0273839999999994E-3</v>
      </c>
      <c r="O4795">
        <v>-0.99829400000000001</v>
      </c>
      <c r="P4795">
        <v>3.3912490000000003E-2</v>
      </c>
      <c r="Q4795">
        <v>0.1405827</v>
      </c>
      <c r="R4795">
        <v>-0.98948820000000004</v>
      </c>
      <c r="S4795">
        <v>-0.25036619999999998</v>
      </c>
      <c r="T4795">
        <v>-1.069785</v>
      </c>
      <c r="U4795">
        <v>-3.192993</v>
      </c>
      <c r="V4795">
        <v>-9.0999990000000003E-2</v>
      </c>
      <c r="W4795">
        <v>0.14943989999999999</v>
      </c>
      <c r="X4795">
        <v>0.98457439999999996</v>
      </c>
      <c r="Y4795">
        <v>1.6692249999999999E-2</v>
      </c>
      <c r="Z4795">
        <v>0.30790959999999901</v>
      </c>
      <c r="AA4795">
        <v>0.95126909999999998</v>
      </c>
      <c r="AB4795">
        <v>25</v>
      </c>
      <c r="AC4795">
        <v>-4.91000000000099E-2</v>
      </c>
      <c r="AD4795">
        <v>-0.26946039999999999</v>
      </c>
      <c r="AE4795">
        <v>-0.55560999999998695</v>
      </c>
      <c r="AF4795">
        <v>1.37548523756793E-2</v>
      </c>
      <c r="AG4795">
        <v>-0.26946039999999999</v>
      </c>
      <c r="AH4795">
        <v>0.45202238101210601</v>
      </c>
      <c r="AI4795">
        <v>120.788431260615</v>
      </c>
      <c r="AJ4795">
        <v>88.257051179129306</v>
      </c>
      <c r="AK4795">
        <v>0.52642410285613805</v>
      </c>
      <c r="AL4795">
        <v>81.405530785474397</v>
      </c>
      <c r="AM4795">
        <v>95.280600788293498</v>
      </c>
      <c r="AN4795">
        <v>1.0000000155136799</v>
      </c>
    </row>
    <row r="4796" spans="1:40" x14ac:dyDescent="0.25">
      <c r="A4796" t="str">
        <f>"20190303162357512"</f>
        <v>20190303162357512</v>
      </c>
      <c r="B4796" t="str">
        <f>"1551601437509779"</f>
        <v>1551601437509779</v>
      </c>
      <c r="C4796" t="s">
        <v>40</v>
      </c>
      <c r="D4796">
        <v>5.1667160000000001</v>
      </c>
      <c r="E4796">
        <v>0.54297819999999997</v>
      </c>
      <c r="F4796" t="s">
        <v>42</v>
      </c>
      <c r="G4796">
        <v>-421.7681</v>
      </c>
      <c r="H4796">
        <v>0.85857619999999901</v>
      </c>
      <c r="I4796">
        <v>96.890330000000006</v>
      </c>
      <c r="J4796">
        <v>-421.71890000000002</v>
      </c>
      <c r="K4796">
        <v>1.1205499999999999</v>
      </c>
      <c r="L4796">
        <v>97.419489999999996</v>
      </c>
      <c r="M4796">
        <v>-5.7428E-2</v>
      </c>
      <c r="N4796">
        <v>-9.0037750000000003E-3</v>
      </c>
      <c r="O4796">
        <v>-0.99830920000000001</v>
      </c>
      <c r="P4796">
        <v>3.1996709999999998E-2</v>
      </c>
      <c r="Q4796">
        <v>0.13998139999999901</v>
      </c>
      <c r="R4796">
        <v>-0.98963719999999999</v>
      </c>
      <c r="S4796">
        <v>-0.25753779999999998</v>
      </c>
      <c r="T4796">
        <v>-1.06813799999999</v>
      </c>
      <c r="U4796">
        <v>-3.1924440000000001</v>
      </c>
      <c r="V4796">
        <v>-8.883539E-2</v>
      </c>
      <c r="W4796">
        <v>0.14882129999999999</v>
      </c>
      <c r="X4796">
        <v>0.98486569999999996</v>
      </c>
      <c r="Y4796">
        <v>1.909539E-2</v>
      </c>
      <c r="Z4796">
        <v>0.30751689999999998</v>
      </c>
      <c r="AA4796">
        <v>0.95135099999999995</v>
      </c>
      <c r="AB4796">
        <v>25</v>
      </c>
      <c r="AC4796">
        <v>-4.9199999999984798E-2</v>
      </c>
      <c r="AD4796">
        <v>-0.26197379999999998</v>
      </c>
      <c r="AE4796">
        <v>-0.52915999999998997</v>
      </c>
      <c r="AF4796">
        <v>1.50675723268503E-2</v>
      </c>
      <c r="AG4796">
        <v>-0.26197379999999998</v>
      </c>
      <c r="AH4796">
        <v>0.42728308915600699</v>
      </c>
      <c r="AI4796">
        <v>121.497236432363</v>
      </c>
      <c r="AJ4796">
        <v>87.980377081411902</v>
      </c>
      <c r="AK4796">
        <v>0.50142610811660504</v>
      </c>
      <c r="AL4796">
        <v>81.441374443018901</v>
      </c>
      <c r="AM4796">
        <v>95.1541605134219</v>
      </c>
      <c r="AN4796">
        <v>0.99999997644331495</v>
      </c>
    </row>
    <row r="4797" spans="1:40" x14ac:dyDescent="0.25">
      <c r="A4797" t="str">
        <f>"20190303162357536"</f>
        <v>20190303162357536</v>
      </c>
      <c r="B4797" t="str">
        <f>"1551601437530274"</f>
        <v>1551601437530274</v>
      </c>
      <c r="C4797" t="s">
        <v>40</v>
      </c>
      <c r="D4797">
        <v>5.1543070000000002</v>
      </c>
      <c r="E4797">
        <v>0.54312959999999999</v>
      </c>
      <c r="F4797" t="s">
        <v>42</v>
      </c>
      <c r="G4797">
        <v>-421.78199999999998</v>
      </c>
      <c r="H4797">
        <v>0.8670388</v>
      </c>
      <c r="I4797">
        <v>96.661959999999993</v>
      </c>
      <c r="J4797">
        <v>-421.73349999999999</v>
      </c>
      <c r="K4797">
        <v>1.1205499999999999</v>
      </c>
      <c r="L4797">
        <v>97.159419999999997</v>
      </c>
      <c r="M4797">
        <v>-5.7165899999999999E-2</v>
      </c>
      <c r="N4797">
        <v>-8.9951440000000001E-3</v>
      </c>
      <c r="O4797">
        <v>-0.99832449999999995</v>
      </c>
      <c r="P4797">
        <v>3.002523E-2</v>
      </c>
      <c r="Q4797">
        <v>0.139522799999999</v>
      </c>
      <c r="R4797">
        <v>-0.98976379999999997</v>
      </c>
      <c r="S4797">
        <v>-0.26528930000000001</v>
      </c>
      <c r="T4797">
        <v>-1.0678749999999999</v>
      </c>
      <c r="U4797">
        <v>-3.1910400000000001</v>
      </c>
      <c r="V4797">
        <v>-8.6614789999999997E-2</v>
      </c>
      <c r="W4797">
        <v>0.14835779999999901</v>
      </c>
      <c r="X4797">
        <v>0.98513340000000005</v>
      </c>
      <c r="Y4797">
        <v>2.1682119999999999E-2</v>
      </c>
      <c r="Z4797">
        <v>0.30755159999999998</v>
      </c>
      <c r="AA4797">
        <v>0.95128429999999997</v>
      </c>
      <c r="AB4797">
        <v>25</v>
      </c>
      <c r="AC4797">
        <v>-4.8499999999990002E-2</v>
      </c>
      <c r="AD4797">
        <v>-0.25351119999999899</v>
      </c>
      <c r="AE4797">
        <v>-0.49746000000000301</v>
      </c>
      <c r="AF4797">
        <v>1.5893147673904599E-2</v>
      </c>
      <c r="AG4797">
        <v>-0.25351119999999899</v>
      </c>
      <c r="AH4797">
        <v>0.39722871714403901</v>
      </c>
      <c r="AI4797">
        <v>122.52522491335</v>
      </c>
      <c r="AJ4797">
        <v>87.708814069902999</v>
      </c>
      <c r="AK4797">
        <v>0.47149885937542202</v>
      </c>
      <c r="AL4797">
        <v>81.468229245763098</v>
      </c>
      <c r="AM4797">
        <v>95.024632544308105</v>
      </c>
      <c r="AN4797">
        <v>0.99999998723157202</v>
      </c>
    </row>
    <row r="4798" spans="1:40" x14ac:dyDescent="0.25">
      <c r="A4798" t="str">
        <f>"20190303162357557"</f>
        <v>20190303162357557</v>
      </c>
      <c r="B4798" t="str">
        <f>"1551601437549795"</f>
        <v>1551601437549795</v>
      </c>
      <c r="C4798" t="s">
        <v>40</v>
      </c>
      <c r="D4798">
        <v>5.1240389999999998</v>
      </c>
      <c r="E4798">
        <v>0.5432148</v>
      </c>
      <c r="F4798" t="s">
        <v>42</v>
      </c>
      <c r="G4798">
        <v>-421.79629999999997</v>
      </c>
      <c r="H4798">
        <v>0.8775134</v>
      </c>
      <c r="I4798">
        <v>96.432329999999993</v>
      </c>
      <c r="J4798">
        <v>-421.74709999999999</v>
      </c>
      <c r="K4798">
        <v>1.1205609999999999</v>
      </c>
      <c r="L4798">
        <v>96.916839999999993</v>
      </c>
      <c r="M4798">
        <v>-5.6912049999999999E-2</v>
      </c>
      <c r="N4798">
        <v>-8.9940929999999999E-3</v>
      </c>
      <c r="O4798">
        <v>-0.99833899999999998</v>
      </c>
      <c r="P4798">
        <v>2.8787139999999999E-2</v>
      </c>
      <c r="Q4798">
        <v>0.1392245</v>
      </c>
      <c r="R4798">
        <v>-0.98984269999999996</v>
      </c>
      <c r="S4798">
        <v>-0.27401730000000002</v>
      </c>
      <c r="T4798">
        <v>-1.066154</v>
      </c>
      <c r="U4798">
        <v>-3.1896360000000001</v>
      </c>
      <c r="V4798">
        <v>-8.513366E-2</v>
      </c>
      <c r="W4798">
        <v>0.14805979999999999</v>
      </c>
      <c r="X4798">
        <v>0.9853073</v>
      </c>
      <c r="Y4798">
        <v>2.4561329999999999E-2</v>
      </c>
      <c r="Z4798">
        <v>0.30718220000000002</v>
      </c>
      <c r="AA4798">
        <v>0.95133369999999995</v>
      </c>
      <c r="AB4798">
        <v>25</v>
      </c>
      <c r="AC4798">
        <v>-4.9199999999984798E-2</v>
      </c>
      <c r="AD4798">
        <v>-0.2430476</v>
      </c>
      <c r="AE4798">
        <v>-0.48451</v>
      </c>
      <c r="AF4798">
        <v>1.7248578326642099E-2</v>
      </c>
      <c r="AG4798">
        <v>-0.2430476</v>
      </c>
      <c r="AH4798">
        <v>0.389509578014752</v>
      </c>
      <c r="AI4798">
        <v>121.93828792152399</v>
      </c>
      <c r="AJ4798">
        <v>87.464438446127303</v>
      </c>
      <c r="AK4798">
        <v>0.45944244545457502</v>
      </c>
      <c r="AL4798">
        <v>81.485493825241093</v>
      </c>
      <c r="AM4798">
        <v>94.938271626936498</v>
      </c>
      <c r="AN4798">
        <v>0.99999995993716195</v>
      </c>
    </row>
    <row r="4799" spans="1:40" x14ac:dyDescent="0.25">
      <c r="A4799" t="str">
        <f>"20190303162357581"</f>
        <v>20190303162357581</v>
      </c>
      <c r="B4799" t="str">
        <f>"1551601437570290"</f>
        <v>1551601437570290</v>
      </c>
      <c r="C4799" t="s">
        <v>40</v>
      </c>
      <c r="D4799">
        <v>5.1415030000000002</v>
      </c>
      <c r="E4799">
        <v>0.54318719999999998</v>
      </c>
      <c r="F4799" t="s">
        <v>42</v>
      </c>
      <c r="G4799">
        <v>-421.80959999999999</v>
      </c>
      <c r="H4799">
        <v>0.88260539999999998</v>
      </c>
      <c r="I4799">
        <v>96.204470000000001</v>
      </c>
      <c r="J4799">
        <v>-421.76150000000001</v>
      </c>
      <c r="K4799">
        <v>1.120571</v>
      </c>
      <c r="L4799">
        <v>96.658510000000007</v>
      </c>
      <c r="M4799">
        <v>-5.6626349999999999E-2</v>
      </c>
      <c r="N4799">
        <v>-8.9955529999999999E-3</v>
      </c>
      <c r="O4799">
        <v>-0.99835529999999995</v>
      </c>
      <c r="P4799">
        <v>2.7831310000000001E-2</v>
      </c>
      <c r="Q4799">
        <v>0.13932749999999999</v>
      </c>
      <c r="R4799">
        <v>-0.98985529999999999</v>
      </c>
      <c r="S4799">
        <v>-0.2790222</v>
      </c>
      <c r="T4799">
        <v>-1.0651170000000001</v>
      </c>
      <c r="U4799">
        <v>-3.1887210000000001</v>
      </c>
      <c r="V4799">
        <v>-8.3899909999999994E-2</v>
      </c>
      <c r="W4799">
        <v>0.14816399999999999</v>
      </c>
      <c r="X4799">
        <v>0.98539750000000004</v>
      </c>
      <c r="Y4799">
        <v>2.6356109999999999E-2</v>
      </c>
      <c r="Z4799">
        <v>0.30696659999999998</v>
      </c>
      <c r="AA4799">
        <v>0.95135530000000001</v>
      </c>
      <c r="AB4799">
        <v>25</v>
      </c>
      <c r="AC4799">
        <v>-4.8099999999976703E-2</v>
      </c>
      <c r="AD4799">
        <v>-0.2379656</v>
      </c>
      <c r="AE4799">
        <v>-0.45403999999999201</v>
      </c>
      <c r="AF4799">
        <v>1.7545186597515E-2</v>
      </c>
      <c r="AG4799">
        <v>-0.2379656</v>
      </c>
      <c r="AH4799">
        <v>0.35861984951693998</v>
      </c>
      <c r="AI4799">
        <v>123.535094061325</v>
      </c>
      <c r="AJ4799">
        <v>87.199083557829795</v>
      </c>
      <c r="AK4799">
        <v>0.43074778794981</v>
      </c>
      <c r="AL4799">
        <v>81.479457361256195</v>
      </c>
      <c r="AM4799">
        <v>94.866609505836394</v>
      </c>
      <c r="AN4799">
        <v>0.99999999940012896</v>
      </c>
    </row>
    <row r="4800" spans="1:40" x14ac:dyDescent="0.25">
      <c r="A4800" t="str">
        <f>"20190303162357602"</f>
        <v>20190303162357602</v>
      </c>
      <c r="B4800" t="str">
        <f>"1551601437589811"</f>
        <v>1551601437589811</v>
      </c>
      <c r="C4800" t="s">
        <v>40</v>
      </c>
      <c r="D4800">
        <v>5.1074010000000003</v>
      </c>
      <c r="E4800">
        <v>0.54306790000000005</v>
      </c>
      <c r="F4800" t="s">
        <v>42</v>
      </c>
      <c r="G4800">
        <v>-421.82209999999998</v>
      </c>
      <c r="H4800">
        <v>0.89186350000000003</v>
      </c>
      <c r="I4800">
        <v>95.974299999999999</v>
      </c>
      <c r="J4800">
        <v>-421.77569999999997</v>
      </c>
      <c r="K4800">
        <v>1.1205780000000001</v>
      </c>
      <c r="L4800">
        <v>96.402469999999994</v>
      </c>
      <c r="M4800">
        <v>-5.6327250000000002E-2</v>
      </c>
      <c r="N4800">
        <v>-9.0036189999999992E-3</v>
      </c>
      <c r="O4800">
        <v>-0.99837169999999997</v>
      </c>
      <c r="P4800">
        <v>2.6523580000000001E-2</v>
      </c>
      <c r="Q4800">
        <v>0.13965649999999999</v>
      </c>
      <c r="R4800">
        <v>-0.98984470000000002</v>
      </c>
      <c r="S4800">
        <v>-0.28082279999999998</v>
      </c>
      <c r="T4800">
        <v>-1.0658700000000001</v>
      </c>
      <c r="U4800">
        <v>-3.18866</v>
      </c>
      <c r="V4800">
        <v>-8.2300360000000003E-2</v>
      </c>
      <c r="W4800">
        <v>0.14850160000000001</v>
      </c>
      <c r="X4800">
        <v>0.98548159999999896</v>
      </c>
      <c r="Y4800">
        <v>2.7183390000000002E-2</v>
      </c>
      <c r="Z4800">
        <v>0.30716320000000003</v>
      </c>
      <c r="AA4800">
        <v>0.95126860000000002</v>
      </c>
      <c r="AB4800">
        <v>25</v>
      </c>
      <c r="AC4800">
        <v>-4.6400000000005499E-2</v>
      </c>
      <c r="AD4800">
        <v>-0.22871449999999999</v>
      </c>
      <c r="AE4800">
        <v>-0.428169999999994</v>
      </c>
      <c r="AF4800">
        <v>1.73223965709914E-2</v>
      </c>
      <c r="AG4800">
        <v>-0.22871449999999999</v>
      </c>
      <c r="AH4800">
        <v>0.33548842383005101</v>
      </c>
      <c r="AI4800">
        <v>124.248167276879</v>
      </c>
      <c r="AJ4800">
        <v>87.044250862421904</v>
      </c>
      <c r="AK4800">
        <v>0.40640235045725798</v>
      </c>
      <c r="AL4800">
        <v>81.459898186168701</v>
      </c>
      <c r="AM4800">
        <v>94.773855167650495</v>
      </c>
      <c r="AN4800">
        <v>1.00000002919862</v>
      </c>
    </row>
    <row r="4801" spans="1:40" x14ac:dyDescent="0.25">
      <c r="A4801" t="str">
        <f>"20190303162357625"</f>
        <v>20190303162357625</v>
      </c>
      <c r="B4801" t="str">
        <f>"1551601437620067"</f>
        <v>1551601437620067</v>
      </c>
      <c r="C4801" t="s">
        <v>40</v>
      </c>
      <c r="D4801">
        <v>5.1057329999999999</v>
      </c>
      <c r="E4801">
        <v>0.54301569999999899</v>
      </c>
      <c r="F4801" t="s">
        <v>42</v>
      </c>
      <c r="G4801">
        <v>-421.83409999999998</v>
      </c>
      <c r="H4801">
        <v>0.90002209999999905</v>
      </c>
      <c r="I4801">
        <v>95.744140000000002</v>
      </c>
      <c r="J4801">
        <v>-421.79</v>
      </c>
      <c r="K4801">
        <v>1.1205849999999999</v>
      </c>
      <c r="L4801">
        <v>96.143370000000004</v>
      </c>
      <c r="M4801">
        <v>-5.601196E-2</v>
      </c>
      <c r="N4801">
        <v>-9.0198129999999998E-3</v>
      </c>
      <c r="O4801">
        <v>-0.99838939999999998</v>
      </c>
      <c r="P4801">
        <v>2.6232160000000001E-2</v>
      </c>
      <c r="Q4801">
        <v>0.14018320000000001</v>
      </c>
      <c r="R4801">
        <v>-0.9897783</v>
      </c>
      <c r="S4801">
        <v>-0.28195189999999998</v>
      </c>
      <c r="T4801">
        <v>-1.068417</v>
      </c>
      <c r="U4801">
        <v>-3.1890869999999998</v>
      </c>
      <c r="V4801">
        <v>-8.1696840000000007E-2</v>
      </c>
      <c r="W4801">
        <v>0.14904249999999999</v>
      </c>
      <c r="X4801">
        <v>0.9854501</v>
      </c>
      <c r="Y4801">
        <v>2.7803120000000001E-2</v>
      </c>
      <c r="Z4801">
        <v>0.30779139999999999</v>
      </c>
      <c r="AA4801">
        <v>0.95104750000000005</v>
      </c>
      <c r="AB4801">
        <v>25</v>
      </c>
      <c r="AC4801">
        <v>-4.4099999999957597E-2</v>
      </c>
      <c r="AD4801">
        <v>-0.22056289999999901</v>
      </c>
      <c r="AE4801">
        <v>-0.39922999999998798</v>
      </c>
      <c r="AF4801">
        <v>1.6648065698834501E-2</v>
      </c>
      <c r="AG4801">
        <v>-0.22056289999999901</v>
      </c>
      <c r="AH4801">
        <v>0.308151912781013</v>
      </c>
      <c r="AI4801">
        <v>125.554074900819</v>
      </c>
      <c r="AJ4801">
        <v>86.907572363361496</v>
      </c>
      <c r="AK4801">
        <v>0.37931880034941601</v>
      </c>
      <c r="AL4801">
        <v>81.428557621317793</v>
      </c>
      <c r="AM4801">
        <v>94.739158642601794</v>
      </c>
      <c r="AN4801">
        <v>0.99999997003112195</v>
      </c>
    </row>
    <row r="4802" spans="1:40" x14ac:dyDescent="0.25">
      <c r="A4802" t="str">
        <f>"20190303162357647"</f>
        <v>20190303162357647</v>
      </c>
      <c r="B4802" t="str">
        <f>"1551601437639587"</f>
        <v>1551601437639587</v>
      </c>
      <c r="C4802" t="s">
        <v>40</v>
      </c>
      <c r="D4802">
        <v>5.115278</v>
      </c>
      <c r="E4802">
        <v>0.54300479999999995</v>
      </c>
      <c r="F4802" t="s">
        <v>42</v>
      </c>
      <c r="G4802">
        <v>-421.86340000000001</v>
      </c>
      <c r="H4802">
        <v>0.84279369999999998</v>
      </c>
      <c r="I4802">
        <v>95.314329999999998</v>
      </c>
      <c r="J4802">
        <v>-421.80340000000001</v>
      </c>
      <c r="K4802">
        <v>1.1205959999999999</v>
      </c>
      <c r="L4802">
        <v>95.898499999999999</v>
      </c>
      <c r="M4802">
        <v>-5.5707189999999997E-2</v>
      </c>
      <c r="N4802">
        <v>-9.0418519999999995E-3</v>
      </c>
      <c r="O4802">
        <v>-0.99840629999999997</v>
      </c>
      <c r="P4802">
        <v>2.6727210000000001E-2</v>
      </c>
      <c r="Q4802">
        <v>0.140676</v>
      </c>
      <c r="R4802">
        <v>-0.9896952</v>
      </c>
      <c r="S4802">
        <v>-0.28228760000000003</v>
      </c>
      <c r="T4802">
        <v>-1.0688470000000001</v>
      </c>
      <c r="U4802">
        <v>-3.1898499999999999</v>
      </c>
      <c r="V4802">
        <v>-8.1887310000000005E-2</v>
      </c>
      <c r="W4802">
        <v>0.14955499999999999</v>
      </c>
      <c r="X4802">
        <v>0.98535669999999997</v>
      </c>
      <c r="Y4802">
        <v>2.8186059999999999E-2</v>
      </c>
      <c r="Z4802">
        <v>0.30782199999999998</v>
      </c>
      <c r="AA4802">
        <v>0.95102640000000005</v>
      </c>
      <c r="AB4802">
        <v>25</v>
      </c>
      <c r="AC4802">
        <v>-6.0000000000002197E-2</v>
      </c>
      <c r="AD4802">
        <v>-0.277802299999999</v>
      </c>
      <c r="AE4802">
        <v>-0.58416999999999997</v>
      </c>
      <c r="AF4802">
        <v>2.2359295770176198E-2</v>
      </c>
      <c r="AG4802">
        <v>-0.277802299999999</v>
      </c>
      <c r="AH4802">
        <v>0.47933599919075698</v>
      </c>
      <c r="AI4802">
        <v>120.067709405165</v>
      </c>
      <c r="AJ4802">
        <v>87.329294434683206</v>
      </c>
      <c r="AK4802">
        <v>0.55447006782407104</v>
      </c>
      <c r="AL4802">
        <v>81.398861195373897</v>
      </c>
      <c r="AM4802">
        <v>94.750605328238393</v>
      </c>
      <c r="AN4802">
        <v>1.0000000278994601</v>
      </c>
    </row>
    <row r="4803" spans="1:40" x14ac:dyDescent="0.25">
      <c r="A4803" t="str">
        <f>"20190303162357668"</f>
        <v>20190303162357668</v>
      </c>
      <c r="B4803" t="str">
        <f>"1551601437660084"</f>
        <v>1551601437660084</v>
      </c>
      <c r="C4803" t="s">
        <v>40</v>
      </c>
      <c r="D4803">
        <v>5.1006159999999996</v>
      </c>
      <c r="E4803">
        <v>0.5429446</v>
      </c>
      <c r="F4803" t="s">
        <v>42</v>
      </c>
      <c r="G4803">
        <v>-421.87490000000003</v>
      </c>
      <c r="H4803">
        <v>0.84798859999999998</v>
      </c>
      <c r="I4803">
        <v>95.084360000000004</v>
      </c>
      <c r="J4803">
        <v>-421.81700000000001</v>
      </c>
      <c r="K4803">
        <v>1.1206039999999999</v>
      </c>
      <c r="L4803">
        <v>95.649140000000003</v>
      </c>
      <c r="M4803">
        <v>-5.5394449999999998E-2</v>
      </c>
      <c r="N4803">
        <v>-9.0673139999999999E-3</v>
      </c>
      <c r="O4803">
        <v>-0.99842350000000002</v>
      </c>
      <c r="P4803">
        <v>2.6644790000000002E-2</v>
      </c>
      <c r="Q4803">
        <v>0.14042869999999999</v>
      </c>
      <c r="R4803">
        <v>-0.98973219999999995</v>
      </c>
      <c r="S4803">
        <v>-0.27911380000000002</v>
      </c>
      <c r="T4803">
        <v>-1.0683579999999999</v>
      </c>
      <c r="U4803">
        <v>-3.1906430000000001</v>
      </c>
      <c r="V4803">
        <v>-8.1500080000000003E-2</v>
      </c>
      <c r="W4803">
        <v>0.14933289999999999</v>
      </c>
      <c r="X4803">
        <v>0.98542240000000003</v>
      </c>
      <c r="Y4803">
        <v>2.7546310000000001E-2</v>
      </c>
      <c r="Z4803">
        <v>0.30761939999999999</v>
      </c>
      <c r="AA4803">
        <v>0.95111069999999998</v>
      </c>
      <c r="AB4803">
        <v>25</v>
      </c>
      <c r="AC4803">
        <v>-5.79000000000746E-2</v>
      </c>
      <c r="AD4803">
        <v>-0.27261540000000001</v>
      </c>
      <c r="AE4803">
        <v>-0.56477999999999895</v>
      </c>
      <c r="AF4803">
        <v>2.1554356301377201E-2</v>
      </c>
      <c r="AG4803">
        <v>-0.27261540000000001</v>
      </c>
      <c r="AH4803">
        <v>0.46086001199332099</v>
      </c>
      <c r="AI4803">
        <v>120.578430286534</v>
      </c>
      <c r="AJ4803">
        <v>87.3222359814024</v>
      </c>
      <c r="AK4803">
        <v>0.53588776553230899</v>
      </c>
      <c r="AL4803">
        <v>81.411730373093604</v>
      </c>
      <c r="AM4803">
        <v>94.727928872102396</v>
      </c>
      <c r="AN4803">
        <v>0.99999994224208599</v>
      </c>
    </row>
    <row r="4804" spans="1:40" x14ac:dyDescent="0.25">
      <c r="A4804" t="str">
        <f>"20190303162357692"</f>
        <v>20190303162357692</v>
      </c>
      <c r="B4804" t="str">
        <f>"1551601437679603"</f>
        <v>1551601437679603</v>
      </c>
      <c r="C4804" t="s">
        <v>40</v>
      </c>
      <c r="D4804">
        <v>5.1030379999999997</v>
      </c>
      <c r="E4804">
        <v>0.54285719999999904</v>
      </c>
      <c r="F4804" t="s">
        <v>42</v>
      </c>
      <c r="G4804">
        <v>-421.88619999999997</v>
      </c>
      <c r="H4804">
        <v>0.85361209999999899</v>
      </c>
      <c r="I4804">
        <v>94.85378</v>
      </c>
      <c r="J4804">
        <v>-421.83139999999997</v>
      </c>
      <c r="K4804">
        <v>1.1206050000000001</v>
      </c>
      <c r="L4804">
        <v>95.383480000000006</v>
      </c>
      <c r="M4804">
        <v>-5.506014E-2</v>
      </c>
      <c r="N4804">
        <v>-9.0960610000000008E-3</v>
      </c>
      <c r="O4804">
        <v>-0.99844180000000005</v>
      </c>
      <c r="P4804">
        <v>2.716903E-2</v>
      </c>
      <c r="Q4804">
        <v>0.13956389999999999</v>
      </c>
      <c r="R4804">
        <v>-0.98984059999999996</v>
      </c>
      <c r="S4804">
        <v>-0.27740479999999901</v>
      </c>
      <c r="T4804">
        <v>-1.0710309999999901</v>
      </c>
      <c r="U4804">
        <v>-3.1905519999999998</v>
      </c>
      <c r="V4804">
        <v>-8.1700809999999999E-2</v>
      </c>
      <c r="W4804">
        <v>0.1484965</v>
      </c>
      <c r="X4804">
        <v>0.98553219999999997</v>
      </c>
      <c r="Y4804">
        <v>2.7357869999999999E-2</v>
      </c>
      <c r="Z4804">
        <v>0.30832969999999998</v>
      </c>
      <c r="AA4804">
        <v>0.95088609999999896</v>
      </c>
      <c r="AB4804">
        <v>26</v>
      </c>
      <c r="AC4804">
        <v>-5.4800000000000099E-2</v>
      </c>
      <c r="AD4804">
        <v>-0.26699289999999998</v>
      </c>
      <c r="AE4804">
        <v>-0.52970000000000494</v>
      </c>
      <c r="AF4804">
        <v>2.0417843428098499E-2</v>
      </c>
      <c r="AG4804">
        <v>-0.26699289999999998</v>
      </c>
      <c r="AH4804">
        <v>0.42506468798624503</v>
      </c>
      <c r="AI4804">
        <v>122.10414327813599</v>
      </c>
      <c r="AJ4804">
        <v>87.249929754916494</v>
      </c>
      <c r="AK4804">
        <v>0.50237643849359404</v>
      </c>
      <c r="AL4804">
        <v>81.460193204948993</v>
      </c>
      <c r="AM4804">
        <v>94.738994872025401</v>
      </c>
      <c r="AN4804">
        <v>0.99999997505187199</v>
      </c>
    </row>
    <row r="4805" spans="1:40" x14ac:dyDescent="0.25">
      <c r="A4805" t="str">
        <f>"20190303162357713"</f>
        <v>20190303162357713</v>
      </c>
      <c r="B4805" t="str">
        <f>"1551601437709859"</f>
        <v>1551601437709859</v>
      </c>
      <c r="C4805" t="s">
        <v>40</v>
      </c>
      <c r="D4805">
        <v>5.115113</v>
      </c>
      <c r="E4805">
        <v>0.54279820000000001</v>
      </c>
      <c r="F4805" t="s">
        <v>42</v>
      </c>
      <c r="G4805">
        <v>-421.89729999999997</v>
      </c>
      <c r="H4805">
        <v>0.86339859999999902</v>
      </c>
      <c r="I4805">
        <v>94.62106</v>
      </c>
      <c r="J4805">
        <v>-421.8449</v>
      </c>
      <c r="K4805">
        <v>1.1206020000000001</v>
      </c>
      <c r="L4805">
        <v>95.133300000000006</v>
      </c>
      <c r="M4805">
        <v>-5.4746240000000002E-2</v>
      </c>
      <c r="N4805">
        <v>-9.1269369999999999E-3</v>
      </c>
      <c r="O4805">
        <v>-0.99845890000000004</v>
      </c>
      <c r="P4805">
        <v>2.701185E-2</v>
      </c>
      <c r="Q4805">
        <v>0.137867299999999</v>
      </c>
      <c r="R4805">
        <v>-0.99008280000000004</v>
      </c>
      <c r="S4805">
        <v>-0.27365109999999998</v>
      </c>
      <c r="T4805">
        <v>-1.0761689999999999</v>
      </c>
      <c r="U4805">
        <v>-3.1900330000000001</v>
      </c>
      <c r="V4805">
        <v>-8.1247509999999995E-2</v>
      </c>
      <c r="W4805">
        <v>0.14683170000000001</v>
      </c>
      <c r="X4805">
        <v>0.98581909999999895</v>
      </c>
      <c r="Y4805">
        <v>2.6536460000000001E-2</v>
      </c>
      <c r="Z4805">
        <v>0.30974269999999998</v>
      </c>
      <c r="AA4805">
        <v>0.95045009999999996</v>
      </c>
      <c r="AB4805">
        <v>26</v>
      </c>
      <c r="AC4805">
        <v>-5.2399999999977298E-2</v>
      </c>
      <c r="AD4805">
        <v>-0.25720340000000003</v>
      </c>
      <c r="AE4805">
        <v>-0.51224000000000502</v>
      </c>
      <c r="AF4805">
        <v>1.9429267834081498E-2</v>
      </c>
      <c r="AG4805">
        <v>-0.25720340000000003</v>
      </c>
      <c r="AH4805">
        <v>0.41163428514740202</v>
      </c>
      <c r="AI4805">
        <v>121.969930975187</v>
      </c>
      <c r="AJ4805">
        <v>87.297626825537904</v>
      </c>
      <c r="AK4805">
        <v>0.48577141757100201</v>
      </c>
      <c r="AL4805">
        <v>81.5566367148094</v>
      </c>
      <c r="AM4805">
        <v>94.711454922958595</v>
      </c>
      <c r="AN4805">
        <v>1.00000000196544</v>
      </c>
    </row>
    <row r="4806" spans="1:40" x14ac:dyDescent="0.25">
      <c r="A4806" t="str">
        <f>"20190303162357737"</f>
        <v>20190303162357737</v>
      </c>
      <c r="B4806" t="str">
        <f>"1551601437729378"</f>
        <v>1551601437729378</v>
      </c>
      <c r="C4806" t="s">
        <v>40</v>
      </c>
      <c r="D4806">
        <v>5.1357179999999998</v>
      </c>
      <c r="E4806">
        <v>0.54274350000000005</v>
      </c>
      <c r="F4806" t="s">
        <v>42</v>
      </c>
      <c r="G4806">
        <v>-421.90879999999999</v>
      </c>
      <c r="H4806">
        <v>0.86815209999999998</v>
      </c>
      <c r="I4806">
        <v>94.389979999999994</v>
      </c>
      <c r="J4806">
        <v>-421.85879999999997</v>
      </c>
      <c r="K4806">
        <v>1.1205940000000001</v>
      </c>
      <c r="L4806">
        <v>94.872919999999993</v>
      </c>
      <c r="M4806">
        <v>-5.4420679999999999E-2</v>
      </c>
      <c r="N4806">
        <v>-9.1636719999999994E-3</v>
      </c>
      <c r="O4806">
        <v>-0.99847629999999998</v>
      </c>
      <c r="P4806">
        <v>2.6737759999999999E-2</v>
      </c>
      <c r="Q4806">
        <v>0.13565839999999901</v>
      </c>
      <c r="R4806">
        <v>-0.99039509999999997</v>
      </c>
      <c r="S4806">
        <v>-0.27307130000000002</v>
      </c>
      <c r="T4806">
        <v>-1.082827</v>
      </c>
      <c r="U4806">
        <v>-3.1882929999999998</v>
      </c>
      <c r="V4806">
        <v>-8.0669039999999997E-2</v>
      </c>
      <c r="W4806">
        <v>0.14466209999999999</v>
      </c>
      <c r="X4806">
        <v>0.98618729999999999</v>
      </c>
      <c r="Y4806">
        <v>2.6680990000000002E-2</v>
      </c>
      <c r="Z4806">
        <v>0.31164730000000002</v>
      </c>
      <c r="AA4806">
        <v>0.94982319999999998</v>
      </c>
      <c r="AB4806">
        <v>26</v>
      </c>
      <c r="AC4806">
        <v>-5.0000000000011299E-2</v>
      </c>
      <c r="AD4806">
        <v>-0.2524419</v>
      </c>
      <c r="AE4806">
        <v>-0.48293999999998499</v>
      </c>
      <c r="AF4806">
        <v>1.8611495569366199E-2</v>
      </c>
      <c r="AG4806">
        <v>-0.2524419</v>
      </c>
      <c r="AH4806">
        <v>0.38174537316441498</v>
      </c>
      <c r="AI4806">
        <v>123.44471986842299</v>
      </c>
      <c r="AJ4806">
        <v>87.208829394454995</v>
      </c>
      <c r="AK4806">
        <v>0.45804238949618697</v>
      </c>
      <c r="AL4806">
        <v>81.682287389901305</v>
      </c>
      <c r="AM4806">
        <v>94.676320648301498</v>
      </c>
      <c r="AN4806">
        <v>1.0000000039361101</v>
      </c>
    </row>
    <row r="4807" spans="1:40" x14ac:dyDescent="0.25">
      <c r="A4807" t="str">
        <f>"20190303162357758"</f>
        <v>20190303162357758</v>
      </c>
      <c r="B4807" t="str">
        <f>"1551601437749875"</f>
        <v>1551601437749875</v>
      </c>
      <c r="C4807" t="s">
        <v>40</v>
      </c>
      <c r="D4807">
        <v>5.1587680000000002</v>
      </c>
      <c r="E4807">
        <v>0.542684099999999</v>
      </c>
      <c r="F4807" t="s">
        <v>42</v>
      </c>
      <c r="G4807">
        <v>-421.92039999999997</v>
      </c>
      <c r="H4807">
        <v>0.87578109999999998</v>
      </c>
      <c r="I4807">
        <v>94.157340000000005</v>
      </c>
      <c r="J4807">
        <v>-421.87189999999998</v>
      </c>
      <c r="K4807">
        <v>1.120592</v>
      </c>
      <c r="L4807">
        <v>94.626310000000004</v>
      </c>
      <c r="M4807">
        <v>-5.4113479999999999E-2</v>
      </c>
      <c r="N4807">
        <v>-9.2053029999999997E-3</v>
      </c>
      <c r="O4807">
        <v>-0.9984923</v>
      </c>
      <c r="P4807">
        <v>2.587675E-2</v>
      </c>
      <c r="Q4807">
        <v>0.13434009999999999</v>
      </c>
      <c r="R4807">
        <v>-0.99059730000000001</v>
      </c>
      <c r="S4807">
        <v>-0.27297969999999999</v>
      </c>
      <c r="T4807">
        <v>-1.0898950000000001</v>
      </c>
      <c r="U4807">
        <v>-3.1857600000000001</v>
      </c>
      <c r="V4807">
        <v>-7.9516719999999999E-2</v>
      </c>
      <c r="W4807">
        <v>0.1433876</v>
      </c>
      <c r="X4807">
        <v>0.98646690000000004</v>
      </c>
      <c r="Y4807">
        <v>2.6966130000000001E-2</v>
      </c>
      <c r="Z4807">
        <v>0.31372369999999999</v>
      </c>
      <c r="AA4807">
        <v>0.94913130000000001</v>
      </c>
      <c r="AB4807">
        <v>26</v>
      </c>
      <c r="AC4807">
        <v>-4.8499999999990002E-2</v>
      </c>
      <c r="AD4807">
        <v>-0.2448109</v>
      </c>
      <c r="AE4807">
        <v>-0.468969999999998</v>
      </c>
      <c r="AF4807">
        <v>1.8155248711547001E-2</v>
      </c>
      <c r="AG4807">
        <v>-0.2448109</v>
      </c>
      <c r="AH4807">
        <v>0.37090439918385898</v>
      </c>
      <c r="AI4807">
        <v>123.39480557149599</v>
      </c>
      <c r="AJ4807">
        <v>87.197688823343398</v>
      </c>
      <c r="AK4807">
        <v>0.44478316419186498</v>
      </c>
      <c r="AL4807">
        <v>81.756079600198007</v>
      </c>
      <c r="AM4807">
        <v>94.608510578881393</v>
      </c>
      <c r="AN4807">
        <v>0.99999992869446097</v>
      </c>
    </row>
    <row r="4808" spans="1:40" x14ac:dyDescent="0.25">
      <c r="A4808" t="str">
        <f>"20190303162357782"</f>
        <v>20190303162357782</v>
      </c>
      <c r="B4808" t="str">
        <f>"1551601437769395"</f>
        <v>1551601437769395</v>
      </c>
      <c r="C4808" t="s">
        <v>40</v>
      </c>
      <c r="D4808">
        <v>5.1686579999999998</v>
      </c>
      <c r="E4808">
        <v>0.54265030000000003</v>
      </c>
      <c r="F4808" t="s">
        <v>42</v>
      </c>
      <c r="G4808">
        <v>-421.93259999999998</v>
      </c>
      <c r="H4808">
        <v>0.87987269999999895</v>
      </c>
      <c r="I4808">
        <v>93.925929999999994</v>
      </c>
      <c r="J4808">
        <v>-421.88589999999999</v>
      </c>
      <c r="K4808">
        <v>1.1205969999999901</v>
      </c>
      <c r="L4808">
        <v>94.362399999999994</v>
      </c>
      <c r="M4808">
        <v>-5.378608E-2</v>
      </c>
      <c r="N4808">
        <v>-9.254356E-3</v>
      </c>
      <c r="O4808">
        <v>-0.99850969999999994</v>
      </c>
      <c r="P4808">
        <v>2.5070729999999999E-2</v>
      </c>
      <c r="Q4808">
        <v>0.1331986</v>
      </c>
      <c r="R4808">
        <v>-0.99077219999999999</v>
      </c>
      <c r="S4808">
        <v>-0.27493289999999998</v>
      </c>
      <c r="T4808">
        <v>-1.094357</v>
      </c>
      <c r="U4808">
        <v>-3.1840820000000001</v>
      </c>
      <c r="V4808">
        <v>-7.8397389999999997E-2</v>
      </c>
      <c r="W4808">
        <v>0.1422969</v>
      </c>
      <c r="X4808">
        <v>0.98671450000000005</v>
      </c>
      <c r="Y4808">
        <v>2.787566E-2</v>
      </c>
      <c r="Z4808">
        <v>0.31501180000000001</v>
      </c>
      <c r="AA4808">
        <v>0.94867829999999997</v>
      </c>
      <c r="AB4808">
        <v>26</v>
      </c>
      <c r="AC4808">
        <v>-4.6699999999987002E-2</v>
      </c>
      <c r="AD4808">
        <v>-0.2407243</v>
      </c>
      <c r="AE4808">
        <v>-0.43646999999998498</v>
      </c>
      <c r="AF4808">
        <v>1.7801733351791599E-2</v>
      </c>
      <c r="AG4808">
        <v>-0.2407243</v>
      </c>
      <c r="AH4808">
        <v>0.33700117849462502</v>
      </c>
      <c r="AI4808">
        <v>125.50096252079101</v>
      </c>
      <c r="AJ4808">
        <v>86.9762210138028</v>
      </c>
      <c r="AK4808">
        <v>0.41452971501158298</v>
      </c>
      <c r="AL4808">
        <v>81.819220432687203</v>
      </c>
      <c r="AM4808">
        <v>94.542776278206901</v>
      </c>
      <c r="AN4808">
        <v>1.00000003150933</v>
      </c>
    </row>
    <row r="4809" spans="1:40" x14ac:dyDescent="0.25">
      <c r="A4809" t="str">
        <f>"20190303162357804"</f>
        <v>20190303162357804</v>
      </c>
      <c r="B4809" t="str">
        <f>"1551601437799651"</f>
        <v>1551601437799651</v>
      </c>
      <c r="C4809" t="s">
        <v>40</v>
      </c>
      <c r="D4809">
        <v>5.2036150000000001</v>
      </c>
      <c r="E4809">
        <v>0.54265699999999994</v>
      </c>
      <c r="F4809" t="s">
        <v>42</v>
      </c>
      <c r="G4809">
        <v>-421.94450000000001</v>
      </c>
      <c r="H4809">
        <v>0.88929669999999905</v>
      </c>
      <c r="I4809">
        <v>93.691860000000005</v>
      </c>
      <c r="J4809">
        <v>-421.89960000000002</v>
      </c>
      <c r="K4809">
        <v>1.12059</v>
      </c>
      <c r="L4809">
        <v>94.10239</v>
      </c>
      <c r="M4809">
        <v>-5.3463480000000001E-2</v>
      </c>
      <c r="N4809">
        <v>-9.3012879999999996E-3</v>
      </c>
      <c r="O4809">
        <v>-0.99852640000000004</v>
      </c>
      <c r="P4809">
        <v>2.4891099999999999E-2</v>
      </c>
      <c r="Q4809">
        <v>0.13192809999999999</v>
      </c>
      <c r="R4809">
        <v>-0.99094649999999995</v>
      </c>
      <c r="S4809">
        <v>-0.27688600000000002</v>
      </c>
      <c r="T4809">
        <v>-1.097793</v>
      </c>
      <c r="U4809">
        <v>-3.1825260000000002</v>
      </c>
      <c r="V4809">
        <v>-7.7908179999999994E-2</v>
      </c>
      <c r="W4809">
        <v>0.141074799999999</v>
      </c>
      <c r="X4809">
        <v>0.98692869999999999</v>
      </c>
      <c r="Y4809">
        <v>2.8785249999999998E-2</v>
      </c>
      <c r="Z4809">
        <v>0.31601780000000002</v>
      </c>
      <c r="AA4809">
        <v>0.94831650000000001</v>
      </c>
      <c r="AB4809">
        <v>26</v>
      </c>
      <c r="AC4809">
        <v>-4.4899999999984098E-2</v>
      </c>
      <c r="AD4809">
        <v>-0.23129330000000001</v>
      </c>
      <c r="AE4809">
        <v>-0.410530000000008</v>
      </c>
      <c r="AF4809">
        <v>1.7421784660248501E-2</v>
      </c>
      <c r="AG4809">
        <v>-0.23129330000000001</v>
      </c>
      <c r="AH4809">
        <v>0.31388676235933899</v>
      </c>
      <c r="AI4809">
        <v>126.343263509308</v>
      </c>
      <c r="AJ4809">
        <v>86.823148598808203</v>
      </c>
      <c r="AK4809">
        <v>0.39028836619871998</v>
      </c>
      <c r="AL4809">
        <v>81.889955119407404</v>
      </c>
      <c r="AM4809">
        <v>94.513570533154507</v>
      </c>
      <c r="AN4809">
        <v>1.0000000212948199</v>
      </c>
    </row>
    <row r="4810" spans="1:40" x14ac:dyDescent="0.25">
      <c r="A4810" t="str">
        <f>"20190303162357826"</f>
        <v>20190303162357826</v>
      </c>
      <c r="B4810" t="str">
        <f>"1551601437820147"</f>
        <v>1551601437820147</v>
      </c>
      <c r="C4810" t="s">
        <v>40</v>
      </c>
      <c r="D4810">
        <v>5.1755459999999998</v>
      </c>
      <c r="E4810">
        <v>0.54266130000000001</v>
      </c>
      <c r="F4810" t="s">
        <v>42</v>
      </c>
      <c r="G4810">
        <v>-421.97410000000002</v>
      </c>
      <c r="H4810">
        <v>0.82825300000000002</v>
      </c>
      <c r="I4810">
        <v>93.256780000000006</v>
      </c>
      <c r="J4810">
        <v>-421.91300000000001</v>
      </c>
      <c r="K4810">
        <v>1.120584</v>
      </c>
      <c r="L4810">
        <v>93.844059999999999</v>
      </c>
      <c r="M4810">
        <v>-5.3144280000000002E-2</v>
      </c>
      <c r="N4810">
        <v>-9.3495750000000006E-3</v>
      </c>
      <c r="O4810">
        <v>-0.99854310000000002</v>
      </c>
      <c r="P4810">
        <v>2.569314E-2</v>
      </c>
      <c r="Q4810">
        <v>0.12963749999999999</v>
      </c>
      <c r="R4810">
        <v>-0.99122880000000002</v>
      </c>
      <c r="S4810">
        <v>-0.27929690000000001</v>
      </c>
      <c r="T4810">
        <v>-1.0996549999999901</v>
      </c>
      <c r="U4810">
        <v>-3.1808169999999998</v>
      </c>
      <c r="V4810">
        <v>-7.8407610000000003E-2</v>
      </c>
      <c r="W4810">
        <v>0.13883400000000001</v>
      </c>
      <c r="X4810">
        <v>0.9872069</v>
      </c>
      <c r="Y4810">
        <v>2.9842509999999999E-2</v>
      </c>
      <c r="Z4810">
        <v>0.31661600000000001</v>
      </c>
      <c r="AA4810">
        <v>0.94808419999999904</v>
      </c>
      <c r="AB4810">
        <v>26</v>
      </c>
      <c r="AC4810">
        <v>-6.1100000000010299E-2</v>
      </c>
      <c r="AD4810">
        <v>-0.29233100000000001</v>
      </c>
      <c r="AE4810">
        <v>-0.58727999999999203</v>
      </c>
      <c r="AF4810">
        <v>2.3934757395727899E-2</v>
      </c>
      <c r="AG4810">
        <v>-0.29233100000000001</v>
      </c>
      <c r="AH4810">
        <v>0.47360570412345099</v>
      </c>
      <c r="AI4810">
        <v>121.652121681065</v>
      </c>
      <c r="AJ4810">
        <v>87.106886884081007</v>
      </c>
      <c r="AK4810">
        <v>0.55707508394368399</v>
      </c>
      <c r="AL4810">
        <v>82.019619909204593</v>
      </c>
      <c r="AM4810">
        <v>94.5411093382302</v>
      </c>
      <c r="AN4810">
        <v>1.00000004813475</v>
      </c>
    </row>
    <row r="4811" spans="1:40" x14ac:dyDescent="0.25">
      <c r="A4811" t="str">
        <f>"20190303162357847"</f>
        <v>20190303162357847</v>
      </c>
      <c r="B4811" t="str">
        <f>"1551601437840173"</f>
        <v>1551601437840173</v>
      </c>
      <c r="C4811" t="s">
        <v>40</v>
      </c>
      <c r="D4811">
        <v>5.2258940000000003</v>
      </c>
      <c r="E4811">
        <v>0.54266020000000004</v>
      </c>
      <c r="F4811" t="s">
        <v>42</v>
      </c>
      <c r="G4811">
        <v>-421.98520000000002</v>
      </c>
      <c r="H4811">
        <v>0.83509990000000001</v>
      </c>
      <c r="I4811">
        <v>93.022930000000002</v>
      </c>
      <c r="J4811">
        <v>-421.92610000000002</v>
      </c>
      <c r="K4811">
        <v>1.120582</v>
      </c>
      <c r="L4811">
        <v>93.593230000000005</v>
      </c>
      <c r="M4811">
        <v>-5.283405E-2</v>
      </c>
      <c r="N4811">
        <v>-9.3970140000000004E-3</v>
      </c>
      <c r="O4811">
        <v>-0.99855930000000004</v>
      </c>
      <c r="P4811">
        <v>2.543786E-2</v>
      </c>
      <c r="Q4811">
        <v>0.12810170000000001</v>
      </c>
      <c r="R4811">
        <v>-0.99143510000000001</v>
      </c>
      <c r="S4811">
        <v>-0.27948000000000001</v>
      </c>
      <c r="T4811">
        <v>-1.1050340000000001</v>
      </c>
      <c r="U4811">
        <v>-3.1783139999999999</v>
      </c>
      <c r="V4811">
        <v>-7.7855709999999995E-2</v>
      </c>
      <c r="W4811">
        <v>0.13734730000000001</v>
      </c>
      <c r="X4811">
        <v>0.98745850000000002</v>
      </c>
      <c r="Y4811">
        <v>3.022358E-2</v>
      </c>
      <c r="Z4811">
        <v>0.31823220000000002</v>
      </c>
      <c r="AA4811">
        <v>0.94753089999999995</v>
      </c>
      <c r="AB4811">
        <v>26</v>
      </c>
      <c r="AC4811">
        <v>-5.9100000000000798E-2</v>
      </c>
      <c r="AD4811">
        <v>-0.28548210000000002</v>
      </c>
      <c r="AE4811">
        <v>-0.57030000000000303</v>
      </c>
      <c r="AF4811">
        <v>2.31464037053512E-2</v>
      </c>
      <c r="AG4811">
        <v>-0.28548210000000002</v>
      </c>
      <c r="AH4811">
        <v>0.45886428868126899</v>
      </c>
      <c r="AI4811">
        <v>121.855135293892</v>
      </c>
      <c r="AJ4811">
        <v>87.112287512869003</v>
      </c>
      <c r="AK4811">
        <v>0.54091794280821204</v>
      </c>
      <c r="AL4811">
        <v>82.105625459331094</v>
      </c>
      <c r="AM4811">
        <v>94.508133200216193</v>
      </c>
      <c r="AN4811">
        <v>1.0000000408095699</v>
      </c>
    </row>
    <row r="4812" spans="1:40" x14ac:dyDescent="0.25">
      <c r="A4812" t="str">
        <f>"20190303162357870"</f>
        <v>20190303162357870</v>
      </c>
      <c r="B4812" t="str">
        <f>"1551601437859694"</f>
        <v>1551601437859694</v>
      </c>
      <c r="C4812" t="s">
        <v>40</v>
      </c>
      <c r="D4812">
        <v>5.2306530000000002</v>
      </c>
      <c r="E4812">
        <v>0.54265249999999998</v>
      </c>
      <c r="F4812" t="s">
        <v>42</v>
      </c>
      <c r="G4812">
        <v>-421.99680000000001</v>
      </c>
      <c r="H4812">
        <v>0.84004809999999996</v>
      </c>
      <c r="I4812">
        <v>92.789580000000001</v>
      </c>
      <c r="J4812">
        <v>-421.9391</v>
      </c>
      <c r="K4812">
        <v>1.120582</v>
      </c>
      <c r="L4812">
        <v>93.340360000000004</v>
      </c>
      <c r="M4812">
        <v>-5.252134E-2</v>
      </c>
      <c r="N4812">
        <v>-9.4421360000000003E-3</v>
      </c>
      <c r="O4812">
        <v>-0.99857499999999999</v>
      </c>
      <c r="P4812">
        <v>2.3712250000000001E-2</v>
      </c>
      <c r="Q4812">
        <v>0.12757539999999901</v>
      </c>
      <c r="R4812">
        <v>-0.99154509999999996</v>
      </c>
      <c r="S4812">
        <v>-0.2785339</v>
      </c>
      <c r="T4812">
        <v>-1.108757</v>
      </c>
      <c r="U4812">
        <v>-3.1763309999999998</v>
      </c>
      <c r="V4812">
        <v>-7.5828870000000007E-2</v>
      </c>
      <c r="W4812">
        <v>0.13686889999999999</v>
      </c>
      <c r="X4812">
        <v>0.98768259999999997</v>
      </c>
      <c r="Y4812">
        <v>3.027411E-2</v>
      </c>
      <c r="Z4812">
        <v>0.31936979999999998</v>
      </c>
      <c r="AA4812">
        <v>0.9471465</v>
      </c>
      <c r="AB4812">
        <v>26</v>
      </c>
      <c r="AC4812">
        <v>-5.7700000000011097E-2</v>
      </c>
      <c r="AD4812">
        <v>-0.2805339</v>
      </c>
      <c r="AE4812">
        <v>-0.55078000000000304</v>
      </c>
      <c r="AF4812">
        <v>2.2832343367883898E-2</v>
      </c>
      <c r="AG4812">
        <v>-0.2805339</v>
      </c>
      <c r="AH4812">
        <v>0.44011287342169497</v>
      </c>
      <c r="AI4812">
        <v>122.47909758321499</v>
      </c>
      <c r="AJ4812">
        <v>87.030250034873504</v>
      </c>
      <c r="AK4812">
        <v>0.52241738706170504</v>
      </c>
      <c r="AL4812">
        <v>82.133296889970396</v>
      </c>
      <c r="AM4812">
        <v>94.390244362256198</v>
      </c>
      <c r="AN4812">
        <v>1.00000001582772</v>
      </c>
    </row>
    <row r="4813" spans="1:40" x14ac:dyDescent="0.25">
      <c r="A4813" t="str">
        <f>"20190303162357892"</f>
        <v>20190303162357892</v>
      </c>
      <c r="B4813" t="str">
        <f>"1551601437880189"</f>
        <v>1551601437880189</v>
      </c>
      <c r="C4813" t="s">
        <v>40</v>
      </c>
      <c r="D4813">
        <v>5.2427210000000004</v>
      </c>
      <c r="E4813">
        <v>0.54264409999999996</v>
      </c>
      <c r="F4813" t="s">
        <v>42</v>
      </c>
      <c r="G4813">
        <v>-422.00920000000002</v>
      </c>
      <c r="H4813">
        <v>0.84623099999999996</v>
      </c>
      <c r="I4813">
        <v>92.555480000000003</v>
      </c>
      <c r="J4813">
        <v>-421.9529</v>
      </c>
      <c r="K4813">
        <v>1.1205860000000001</v>
      </c>
      <c r="L4813">
        <v>93.07132</v>
      </c>
      <c r="M4813">
        <v>-5.2189060000000002E-2</v>
      </c>
      <c r="N4813">
        <v>-9.4856760000000002E-3</v>
      </c>
      <c r="O4813">
        <v>-0.99859219999999904</v>
      </c>
      <c r="P4813">
        <v>2.1658520000000001E-2</v>
      </c>
      <c r="Q4813">
        <v>0.12810759999999999</v>
      </c>
      <c r="R4813">
        <v>-0.99152390000000001</v>
      </c>
      <c r="S4813">
        <v>-0.28274539999999998</v>
      </c>
      <c r="T4813">
        <v>-1.109855</v>
      </c>
      <c r="U4813">
        <v>-3.1751399999999999</v>
      </c>
      <c r="V4813">
        <v>-7.3447670000000007E-2</v>
      </c>
      <c r="W4813">
        <v>0.13744609999999999</v>
      </c>
      <c r="X4813">
        <v>0.98778239999999995</v>
      </c>
      <c r="Y4813">
        <v>3.1870820000000001E-2</v>
      </c>
      <c r="Z4813">
        <v>0.31971280000000002</v>
      </c>
      <c r="AA4813">
        <v>0.94697830000000005</v>
      </c>
      <c r="AB4813">
        <v>26</v>
      </c>
      <c r="AC4813">
        <v>-5.63000000000215E-2</v>
      </c>
      <c r="AD4813">
        <v>-0.27435500000000002</v>
      </c>
      <c r="AE4813">
        <v>-0.51583999999999697</v>
      </c>
      <c r="AF4813">
        <v>2.2899417720540299E-2</v>
      </c>
      <c r="AG4813">
        <v>-0.27435500000000002</v>
      </c>
      <c r="AH4813">
        <v>0.40489003334388801</v>
      </c>
      <c r="AI4813">
        <v>124.0792397973</v>
      </c>
      <c r="AJ4813">
        <v>86.762963731117793</v>
      </c>
      <c r="AK4813">
        <v>0.48962331282135102</v>
      </c>
      <c r="AL4813">
        <v>82.099910351426303</v>
      </c>
      <c r="AM4813">
        <v>94.252466512311003</v>
      </c>
      <c r="AN4813">
        <v>1.00000003019169</v>
      </c>
    </row>
    <row r="4814" spans="1:40" x14ac:dyDescent="0.25">
      <c r="A4814" t="str">
        <f>"20190303162357915"</f>
        <v>20190303162357915</v>
      </c>
      <c r="B4814" t="str">
        <f>"1551601437909469"</f>
        <v>1551601437909469</v>
      </c>
      <c r="C4814" t="s">
        <v>40</v>
      </c>
      <c r="D4814">
        <v>5.2609459999999997</v>
      </c>
      <c r="E4814">
        <v>0.54265259999999904</v>
      </c>
      <c r="F4814" t="s">
        <v>42</v>
      </c>
      <c r="G4814">
        <v>-422.02190000000002</v>
      </c>
      <c r="H4814">
        <v>0.85819089999999998</v>
      </c>
      <c r="I4814">
        <v>92.318719999999999</v>
      </c>
      <c r="J4814">
        <v>-421.96589999999998</v>
      </c>
      <c r="K4814">
        <v>1.120592</v>
      </c>
      <c r="L4814">
        <v>92.815579999999997</v>
      </c>
      <c r="M4814">
        <v>-5.187216E-2</v>
      </c>
      <c r="N4814">
        <v>-9.523175E-3</v>
      </c>
      <c r="O4814">
        <v>-0.99860839999999995</v>
      </c>
      <c r="P4814">
        <v>1.9468820000000001E-2</v>
      </c>
      <c r="Q4814">
        <v>0.12895110000000001</v>
      </c>
      <c r="R4814">
        <v>-0.99146000000000001</v>
      </c>
      <c r="S4814">
        <v>-0.28988649999999999</v>
      </c>
      <c r="T4814">
        <v>-1.1069519999999999</v>
      </c>
      <c r="U4814">
        <v>-3.1749879999999999</v>
      </c>
      <c r="V4814">
        <v>-7.0944629999999995E-2</v>
      </c>
      <c r="W4814">
        <v>0.138328799999999</v>
      </c>
      <c r="X4814">
        <v>0.98784209999999995</v>
      </c>
      <c r="Y4814">
        <v>3.4325809999999998E-2</v>
      </c>
      <c r="Z4814">
        <v>0.3188879</v>
      </c>
      <c r="AA4814">
        <v>0.94717070000000003</v>
      </c>
      <c r="AB4814">
        <v>26</v>
      </c>
      <c r="AC4814">
        <v>-5.6000000000039997E-2</v>
      </c>
      <c r="AD4814">
        <v>-0.2624011</v>
      </c>
      <c r="AE4814">
        <v>-0.49686000000001201</v>
      </c>
      <c r="AF4814">
        <v>2.36396239792241E-2</v>
      </c>
      <c r="AG4814">
        <v>-0.2624011</v>
      </c>
      <c r="AH4814">
        <v>0.391321736517111</v>
      </c>
      <c r="AI4814">
        <v>123.795606011614</v>
      </c>
      <c r="AJ4814">
        <v>86.542981024062996</v>
      </c>
      <c r="AK4814">
        <v>0.47174767680811802</v>
      </c>
      <c r="AL4814">
        <v>82.0488474167215</v>
      </c>
      <c r="AM4814">
        <v>94.107803171155396</v>
      </c>
      <c r="AN4814">
        <v>1.0000000059838401</v>
      </c>
    </row>
    <row r="4815" spans="1:40" x14ac:dyDescent="0.25">
      <c r="A4815" t="str">
        <f>"20190303162357937"</f>
        <v>20190303162357937</v>
      </c>
      <c r="B4815" t="str">
        <f>"1551601437929967"</f>
        <v>1551601437929967</v>
      </c>
      <c r="C4815" t="s">
        <v>40</v>
      </c>
      <c r="D4815">
        <v>5.2854950000000001</v>
      </c>
      <c r="E4815">
        <v>0.54266179999999997</v>
      </c>
      <c r="F4815" t="s">
        <v>42</v>
      </c>
      <c r="G4815">
        <v>-422.03440000000001</v>
      </c>
      <c r="H4815">
        <v>0.86620839999999999</v>
      </c>
      <c r="I4815">
        <v>92.083200000000005</v>
      </c>
      <c r="J4815">
        <v>-421.97910000000002</v>
      </c>
      <c r="K4815">
        <v>1.120595</v>
      </c>
      <c r="L4815">
        <v>92.554900000000004</v>
      </c>
      <c r="M4815">
        <v>-5.1547000000000003E-2</v>
      </c>
      <c r="N4815">
        <v>-9.5579649999999999E-3</v>
      </c>
      <c r="O4815">
        <v>-0.99862510000000004</v>
      </c>
      <c r="P4815">
        <v>1.684886E-2</v>
      </c>
      <c r="Q4815">
        <v>0.12964030000000001</v>
      </c>
      <c r="R4815">
        <v>-0.99141809999999997</v>
      </c>
      <c r="S4815">
        <v>-0.29745480000000002</v>
      </c>
      <c r="T4815">
        <v>-1.1028309999999999</v>
      </c>
      <c r="U4815">
        <v>-3.1751100000000001</v>
      </c>
      <c r="V4815">
        <v>-6.8004629999999996E-2</v>
      </c>
      <c r="W4815">
        <v>0.1390546</v>
      </c>
      <c r="X4815">
        <v>0.98794700000000002</v>
      </c>
      <c r="Y4815">
        <v>3.6918979999999997E-2</v>
      </c>
      <c r="Z4815">
        <v>0.31771240000000001</v>
      </c>
      <c r="AA4815">
        <v>0.94746810000000004</v>
      </c>
      <c r="AB4815">
        <v>26</v>
      </c>
      <c r="AC4815">
        <v>-5.5299999999988303E-2</v>
      </c>
      <c r="AD4815">
        <v>-0.25438659999999902</v>
      </c>
      <c r="AE4815">
        <v>-0.47169999999999801</v>
      </c>
      <c r="AF4815">
        <v>2.4019493981859999E-2</v>
      </c>
      <c r="AG4815">
        <v>-0.25438659999999902</v>
      </c>
      <c r="AH4815">
        <v>0.368267982442399</v>
      </c>
      <c r="AI4815">
        <v>124.57850802248301</v>
      </c>
      <c r="AJ4815">
        <v>86.268290542370707</v>
      </c>
      <c r="AK4815">
        <v>0.44823072768709099</v>
      </c>
      <c r="AL4815">
        <v>82.006856619702504</v>
      </c>
      <c r="AM4815">
        <v>93.937702968916696</v>
      </c>
      <c r="AN4815">
        <v>1.0000000431457901</v>
      </c>
    </row>
    <row r="4816" spans="1:40" x14ac:dyDescent="0.25">
      <c r="A4816" t="str">
        <f>"20190303162357960"</f>
        <v>20190303162357960</v>
      </c>
      <c r="B4816" t="str">
        <f>"1551601437949485"</f>
        <v>1551601437949485</v>
      </c>
      <c r="C4816" t="s">
        <v>40</v>
      </c>
      <c r="D4816">
        <v>5.3285809999999998</v>
      </c>
      <c r="E4816">
        <v>0.54268119999999997</v>
      </c>
      <c r="F4816" t="s">
        <v>42</v>
      </c>
      <c r="G4816">
        <v>-422.04739999999998</v>
      </c>
      <c r="H4816">
        <v>0.87538519999999898</v>
      </c>
      <c r="I4816">
        <v>91.846760000000003</v>
      </c>
      <c r="J4816">
        <v>-421.99220000000003</v>
      </c>
      <c r="K4816">
        <v>1.1206100000000001</v>
      </c>
      <c r="L4816">
        <v>92.296660000000003</v>
      </c>
      <c r="M4816">
        <v>-5.1218630000000001E-2</v>
      </c>
      <c r="N4816">
        <v>-9.5890839999999995E-3</v>
      </c>
      <c r="O4816">
        <v>-0.99864160000000002</v>
      </c>
      <c r="P4816">
        <v>1.474842E-2</v>
      </c>
      <c r="Q4816">
        <v>0.13088540000000001</v>
      </c>
      <c r="R4816">
        <v>-0.99128769999999999</v>
      </c>
      <c r="S4816">
        <v>-0.3048401</v>
      </c>
      <c r="T4816">
        <v>-1.0993900000000001</v>
      </c>
      <c r="U4816">
        <v>-3.1748959999999999</v>
      </c>
      <c r="V4816">
        <v>-6.5577239999999995E-2</v>
      </c>
      <c r="W4816">
        <v>0.14033080000000001</v>
      </c>
      <c r="X4816">
        <v>0.98793059999999999</v>
      </c>
      <c r="Y4816">
        <v>3.9464270000000003E-2</v>
      </c>
      <c r="Z4816">
        <v>0.31674980000000003</v>
      </c>
      <c r="AA4816">
        <v>0.94768779999999997</v>
      </c>
      <c r="AB4816">
        <v>26</v>
      </c>
      <c r="AC4816">
        <v>-5.5199999999956603E-2</v>
      </c>
      <c r="AD4816">
        <v>-0.24522479999999999</v>
      </c>
      <c r="AE4816">
        <v>-0.44989999999999902</v>
      </c>
      <c r="AF4816">
        <v>2.4818964194245799E-2</v>
      </c>
      <c r="AG4816">
        <v>-0.24522479999999999</v>
      </c>
      <c r="AH4816">
        <v>0.34976434454562899</v>
      </c>
      <c r="AI4816">
        <v>124.967243290094</v>
      </c>
      <c r="AJ4816">
        <v>85.941146122480205</v>
      </c>
      <c r="AK4816">
        <v>0.42788582616645399</v>
      </c>
      <c r="AL4816">
        <v>81.933011248468006</v>
      </c>
      <c r="AM4816">
        <v>93.797630414429804</v>
      </c>
      <c r="AN4816">
        <v>0.99999998912550803</v>
      </c>
    </row>
    <row r="4817" spans="1:40" x14ac:dyDescent="0.25">
      <c r="A4817" t="str">
        <f>"20190303162357984"</f>
        <v>20190303162357984</v>
      </c>
      <c r="B4817" t="str">
        <f>"1551601437979741"</f>
        <v>1551601437979741</v>
      </c>
      <c r="C4817" t="s">
        <v>40</v>
      </c>
      <c r="D4817">
        <v>5.3896259999999998</v>
      </c>
      <c r="E4817">
        <v>0.54266579999999998</v>
      </c>
      <c r="F4817" t="s">
        <v>42</v>
      </c>
      <c r="G4817">
        <v>-422.0591</v>
      </c>
      <c r="H4817">
        <v>0.88400710000000005</v>
      </c>
      <c r="I4817">
        <v>91.610129999999998</v>
      </c>
      <c r="J4817">
        <v>-422.00599999999997</v>
      </c>
      <c r="K4817">
        <v>1.1206199999999999</v>
      </c>
      <c r="L4817">
        <v>92.019840000000002</v>
      </c>
      <c r="M4817">
        <v>-5.085278E-2</v>
      </c>
      <c r="N4817">
        <v>-9.6188060000000006E-3</v>
      </c>
      <c r="O4817">
        <v>-0.99865990000000004</v>
      </c>
      <c r="P4817">
        <v>1.3581920000000001E-2</v>
      </c>
      <c r="Q4817">
        <v>0.13230710000000001</v>
      </c>
      <c r="R4817">
        <v>-0.99111579999999999</v>
      </c>
      <c r="S4817">
        <v>-0.30920409999999998</v>
      </c>
      <c r="T4817">
        <v>-1.0943670000000001</v>
      </c>
      <c r="U4817">
        <v>-3.175446</v>
      </c>
      <c r="V4817">
        <v>-6.4045030000000003E-2</v>
      </c>
      <c r="W4817">
        <v>0.14178060000000001</v>
      </c>
      <c r="X4817">
        <v>0.98782409999999998</v>
      </c>
      <c r="Y4817">
        <v>4.114876E-2</v>
      </c>
      <c r="Z4817">
        <v>0.31531500000000001</v>
      </c>
      <c r="AA4817">
        <v>0.94809449999999995</v>
      </c>
      <c r="AB4817">
        <v>26</v>
      </c>
      <c r="AC4817">
        <v>-5.3100000000028999E-2</v>
      </c>
      <c r="AD4817">
        <v>-0.23661289999999999</v>
      </c>
      <c r="AE4817">
        <v>-0.40971000000000302</v>
      </c>
      <c r="AF4817">
        <v>2.4243336682089701E-2</v>
      </c>
      <c r="AG4817">
        <v>-0.23661289999999999</v>
      </c>
      <c r="AH4817">
        <v>0.31014805671916501</v>
      </c>
      <c r="AI4817">
        <v>127.256001015915</v>
      </c>
      <c r="AJ4817">
        <v>85.530450309735102</v>
      </c>
      <c r="AK4817">
        <v>0.39085191685159398</v>
      </c>
      <c r="AL4817">
        <v>81.849104806968796</v>
      </c>
      <c r="AM4817">
        <v>93.709548334347303</v>
      </c>
      <c r="AN4817">
        <v>0.99999997847243505</v>
      </c>
    </row>
    <row r="4818" spans="1:40" x14ac:dyDescent="0.25">
      <c r="A4818" t="str">
        <f>"20190303162358005"</f>
        <v>20190303162358005</v>
      </c>
      <c r="B4818" t="str">
        <f>"1551601438000237"</f>
        <v>1551601438000237</v>
      </c>
      <c r="C4818" t="s">
        <v>40</v>
      </c>
      <c r="D4818">
        <v>5.5238300000000002</v>
      </c>
      <c r="E4818">
        <v>0.54260810000000004</v>
      </c>
      <c r="F4818" t="s">
        <v>42</v>
      </c>
      <c r="G4818">
        <v>-422.08929999999998</v>
      </c>
      <c r="H4818">
        <v>0.82827009999999901</v>
      </c>
      <c r="I4818">
        <v>91.166659999999993</v>
      </c>
      <c r="J4818">
        <v>-422.01839999999999</v>
      </c>
      <c r="K4818">
        <v>1.1206449999999999</v>
      </c>
      <c r="L4818">
        <v>91.766940000000005</v>
      </c>
      <c r="M4818">
        <v>-5.0500410000000003E-2</v>
      </c>
      <c r="N4818">
        <v>-9.6428020000000007E-3</v>
      </c>
      <c r="O4818">
        <v>-0.99867760000000005</v>
      </c>
      <c r="P4818">
        <v>1.330482E-2</v>
      </c>
      <c r="Q4818">
        <v>0.1341435</v>
      </c>
      <c r="R4818">
        <v>-0.99087259999999999</v>
      </c>
      <c r="S4818">
        <v>-0.31082149999999997</v>
      </c>
      <c r="T4818">
        <v>-1.0884309999999999</v>
      </c>
      <c r="U4818">
        <v>-3.176453</v>
      </c>
      <c r="V4818">
        <v>-6.3412699999999905E-2</v>
      </c>
      <c r="W4818">
        <v>0.14363719999999999</v>
      </c>
      <c r="X4818">
        <v>0.98759669999999999</v>
      </c>
      <c r="Y4818">
        <v>4.2004270000000003E-2</v>
      </c>
      <c r="Z4818">
        <v>0.3136159</v>
      </c>
      <c r="AA4818">
        <v>0.94862040000000003</v>
      </c>
      <c r="AB4818">
        <v>26</v>
      </c>
      <c r="AC4818">
        <v>-7.0899999999994606E-2</v>
      </c>
      <c r="AD4818">
        <v>-0.29237489999999999</v>
      </c>
      <c r="AE4818">
        <v>-0.60028000000001203</v>
      </c>
      <c r="AF4818">
        <v>3.2815880663159602E-2</v>
      </c>
      <c r="AG4818">
        <v>-0.29237489999999999</v>
      </c>
      <c r="AH4818">
        <v>0.48874430378004402</v>
      </c>
      <c r="AI4818">
        <v>120.83181902662901</v>
      </c>
      <c r="AJ4818">
        <v>86.158740674375693</v>
      </c>
      <c r="AK4818">
        <v>0.57046556307208296</v>
      </c>
      <c r="AL4818">
        <v>81.7416298197695</v>
      </c>
      <c r="AM4818">
        <v>93.673867364967904</v>
      </c>
      <c r="AN4818">
        <v>1.000000028798</v>
      </c>
    </row>
    <row r="4819" spans="1:40" x14ac:dyDescent="0.25">
      <c r="A4819" t="str">
        <f>"20190303162358026"</f>
        <v>20190303162358026</v>
      </c>
      <c r="B4819" t="str">
        <f>"1551601438019761"</f>
        <v>1551601438019761</v>
      </c>
      <c r="C4819" t="s">
        <v>40</v>
      </c>
      <c r="D4819">
        <v>5.4996790000000004</v>
      </c>
      <c r="E4819">
        <v>0.52731439999999996</v>
      </c>
      <c r="F4819" t="s">
        <v>42</v>
      </c>
      <c r="G4819">
        <v>-422.10050000000001</v>
      </c>
      <c r="H4819">
        <v>0.83563019999999999</v>
      </c>
      <c r="I4819">
        <v>90.929860000000005</v>
      </c>
      <c r="J4819">
        <v>-422.0308</v>
      </c>
      <c r="K4819">
        <v>1.1206659999999999</v>
      </c>
      <c r="L4819">
        <v>91.514279999999999</v>
      </c>
      <c r="M4819">
        <v>-5.0133619999999997E-2</v>
      </c>
      <c r="N4819">
        <v>-9.6643010000000001E-3</v>
      </c>
      <c r="O4819">
        <v>-0.99869600000000003</v>
      </c>
      <c r="P4819">
        <v>1.4137759999999999E-2</v>
      </c>
      <c r="Q4819">
        <v>0.1356522</v>
      </c>
      <c r="R4819">
        <v>-0.99065579999999998</v>
      </c>
      <c r="S4819">
        <v>-0.3102722</v>
      </c>
      <c r="T4819">
        <v>-1.0821700000000001</v>
      </c>
      <c r="U4819">
        <v>-3.1783139999999999</v>
      </c>
      <c r="V4819">
        <v>-6.3876310000000006E-2</v>
      </c>
      <c r="W4819">
        <v>0.14516180000000001</v>
      </c>
      <c r="X4819">
        <v>0.98734379999999999</v>
      </c>
      <c r="Y4819">
        <v>4.2214229999999998E-2</v>
      </c>
      <c r="Z4819">
        <v>0.31176710000000002</v>
      </c>
      <c r="AA4819">
        <v>0.94922030000000002</v>
      </c>
      <c r="AB4819">
        <v>26</v>
      </c>
      <c r="AC4819">
        <v>-6.97000000000116E-2</v>
      </c>
      <c r="AD4819">
        <v>-0.28503579999999901</v>
      </c>
      <c r="AE4819">
        <v>-0.58442000000000804</v>
      </c>
      <c r="AF4819">
        <v>3.2653401116743197E-2</v>
      </c>
      <c r="AG4819">
        <v>-0.28503579999999901</v>
      </c>
      <c r="AH4819">
        <v>0.47562657610657999</v>
      </c>
      <c r="AI4819">
        <v>120.87425418052899</v>
      </c>
      <c r="AJ4819">
        <v>86.072610156666002</v>
      </c>
      <c r="AK4819">
        <v>0.55545683161250103</v>
      </c>
      <c r="AL4819">
        <v>81.653350845852401</v>
      </c>
      <c r="AM4819">
        <v>93.701597883592598</v>
      </c>
      <c r="AN4819">
        <v>0.99999995527844698</v>
      </c>
    </row>
    <row r="4820" spans="1:40" x14ac:dyDescent="0.25">
      <c r="A4820" t="str">
        <f>"20190303162358049"</f>
        <v>20190303162358049</v>
      </c>
      <c r="B4820" t="str">
        <f>"1551601438040254"</f>
        <v>1551601438040254</v>
      </c>
      <c r="C4820" t="s">
        <v>40</v>
      </c>
      <c r="D4820">
        <v>5.620749</v>
      </c>
      <c r="E4820">
        <v>0.51831099999999997</v>
      </c>
      <c r="F4820" t="s">
        <v>42</v>
      </c>
      <c r="G4820">
        <v>-422.08120000000002</v>
      </c>
      <c r="H4820">
        <v>0.93529589999999996</v>
      </c>
      <c r="I4820">
        <v>90.650419999999997</v>
      </c>
      <c r="J4820">
        <v>-422.04340000000002</v>
      </c>
      <c r="K4820">
        <v>1.120684</v>
      </c>
      <c r="L4820">
        <v>91.256739999999994</v>
      </c>
      <c r="M4820">
        <v>-4.9744049999999998E-2</v>
      </c>
      <c r="N4820">
        <v>-9.6839000000000005E-3</v>
      </c>
      <c r="O4820">
        <v>-0.99871509999999997</v>
      </c>
      <c r="P4820">
        <v>1.5546529999999999E-2</v>
      </c>
      <c r="Q4820">
        <v>0.13626099999999999</v>
      </c>
      <c r="R4820">
        <v>-0.99055079999999995</v>
      </c>
      <c r="S4820">
        <v>-0.18234249999999999</v>
      </c>
      <c r="T4820">
        <v>-0.67006089999999996</v>
      </c>
      <c r="U4820">
        <v>-3.1226500000000001</v>
      </c>
      <c r="V4820">
        <v>-6.4897540000000004E-2</v>
      </c>
      <c r="W4820">
        <v>0.14578640000000001</v>
      </c>
      <c r="X4820">
        <v>0.98718519999999998</v>
      </c>
      <c r="Y4820">
        <v>7.3744090000000002E-3</v>
      </c>
      <c r="Z4820">
        <v>0.1997834</v>
      </c>
      <c r="AA4820">
        <v>0.97981229999999997</v>
      </c>
      <c r="AB4820">
        <v>26</v>
      </c>
      <c r="AC4820">
        <v>-3.7800000000004198E-2</v>
      </c>
      <c r="AD4820">
        <v>-0.185388099999999</v>
      </c>
      <c r="AE4820">
        <v>-0.60632000000000996</v>
      </c>
      <c r="AF4820">
        <v>6.9442750278175197E-3</v>
      </c>
      <c r="AG4820">
        <v>-0.185388099999999</v>
      </c>
      <c r="AH4820">
        <v>0.55569916773508898</v>
      </c>
      <c r="AI4820">
        <v>108.44799209976</v>
      </c>
      <c r="AJ4820">
        <v>89.284042581240698</v>
      </c>
      <c r="AK4820">
        <v>0.58584856029416199</v>
      </c>
      <c r="AL4820">
        <v>81.6171794179036</v>
      </c>
      <c r="AM4820">
        <v>93.761211568978695</v>
      </c>
      <c r="AN4820">
        <v>0.99999999211102497</v>
      </c>
    </row>
    <row r="4821" spans="1:40" x14ac:dyDescent="0.25">
      <c r="A4821" t="str">
        <f>"20190303162358071"</f>
        <v>20190303162358071</v>
      </c>
      <c r="B4821" t="str">
        <f>"1551601438059773"</f>
        <v>1551601438059773</v>
      </c>
      <c r="C4821" t="s">
        <v>40</v>
      </c>
      <c r="D4821">
        <v>5.6806400000000004</v>
      </c>
      <c r="E4821">
        <v>0.4653291</v>
      </c>
      <c r="F4821" t="s">
        <v>42</v>
      </c>
      <c r="G4821">
        <v>-422.07240000000002</v>
      </c>
      <c r="H4821">
        <v>0.9668293</v>
      </c>
      <c r="I4821">
        <v>90.399420000000006</v>
      </c>
      <c r="J4821">
        <v>-422.05590000000001</v>
      </c>
      <c r="K4821">
        <v>1.120689</v>
      </c>
      <c r="L4821">
        <v>90.994450000000001</v>
      </c>
      <c r="M4821">
        <v>-4.9332540000000001E-2</v>
      </c>
      <c r="N4821">
        <v>-9.7017119999999995E-3</v>
      </c>
      <c r="O4821">
        <v>-0.99873540000000005</v>
      </c>
      <c r="P4821">
        <v>1.7867790000000001E-2</v>
      </c>
      <c r="Q4821">
        <v>0.135827</v>
      </c>
      <c r="R4821">
        <v>-0.99057130000000004</v>
      </c>
      <c r="S4821">
        <v>-0.1044312</v>
      </c>
      <c r="T4821">
        <v>-0.55761719999999904</v>
      </c>
      <c r="U4821">
        <v>-3.1069640000000001</v>
      </c>
      <c r="V4821">
        <v>-6.6813209999999998E-2</v>
      </c>
      <c r="W4821">
        <v>0.145366</v>
      </c>
      <c r="X4821">
        <v>0.98711939999999998</v>
      </c>
      <c r="Y4821">
        <v>-1.621129E-2</v>
      </c>
      <c r="Z4821">
        <v>0.1667216</v>
      </c>
      <c r="AA4821">
        <v>0.98587069999999999</v>
      </c>
      <c r="AB4821">
        <v>26</v>
      </c>
      <c r="AC4821">
        <v>-1.6500000000007699E-2</v>
      </c>
      <c r="AD4821">
        <v>-0.15385969999999999</v>
      </c>
      <c r="AE4821">
        <v>-0.59503000000000805</v>
      </c>
      <c r="AF4821">
        <v>-1.2069457309837699E-2</v>
      </c>
      <c r="AG4821">
        <v>-0.15385969999999999</v>
      </c>
      <c r="AH4821">
        <v>0.55784978842700395</v>
      </c>
      <c r="AI4821">
        <v>105.41587176461</v>
      </c>
      <c r="AJ4821">
        <v>91.239439554097999</v>
      </c>
      <c r="AK4821">
        <v>0.57880468686068598</v>
      </c>
      <c r="AL4821">
        <v>81.641525945773495</v>
      </c>
      <c r="AM4821">
        <v>93.872160852121198</v>
      </c>
      <c r="AN4821">
        <v>0.99999999442143195</v>
      </c>
    </row>
    <row r="4822" spans="1:40" x14ac:dyDescent="0.25">
      <c r="A4822" t="str">
        <f>"20190303162358093"</f>
        <v>20190303162358093</v>
      </c>
      <c r="B4822" t="str">
        <f>"1551601438079294"</f>
        <v>1551601438079294</v>
      </c>
      <c r="C4822" t="s">
        <v>40</v>
      </c>
      <c r="D4822">
        <v>5.5897949999999996</v>
      </c>
      <c r="E4822">
        <v>0.46340870000000001</v>
      </c>
      <c r="F4822" t="s">
        <v>41</v>
      </c>
      <c r="G4822">
        <v>-418.62240000000003</v>
      </c>
      <c r="H4822" s="1">
        <v>-4.3208070000000002E-6</v>
      </c>
      <c r="I4822">
        <v>59.135060000000003</v>
      </c>
      <c r="J4822">
        <v>-422.06869999999998</v>
      </c>
      <c r="K4822">
        <v>1.1206929999999999</v>
      </c>
      <c r="L4822">
        <v>90.725399999999993</v>
      </c>
      <c r="M4822">
        <v>-4.889777E-2</v>
      </c>
      <c r="N4822">
        <v>-9.7179569999999993E-3</v>
      </c>
      <c r="O4822">
        <v>-0.99875659999999999</v>
      </c>
      <c r="P4822">
        <v>2.0203619999999999E-2</v>
      </c>
      <c r="Q4822">
        <v>0.1355575</v>
      </c>
      <c r="R4822">
        <v>-0.99056359999999999</v>
      </c>
      <c r="S4822">
        <v>0.3273315</v>
      </c>
      <c r="T4822">
        <v>-0.1068405</v>
      </c>
      <c r="U4822">
        <v>-3.0372919999999999</v>
      </c>
      <c r="V4822">
        <v>-6.8717790000000001E-2</v>
      </c>
      <c r="W4822">
        <v>0.145108399999999</v>
      </c>
      <c r="X4822">
        <v>0.98702659999999998</v>
      </c>
      <c r="Y4822">
        <v>-0.1555733</v>
      </c>
      <c r="Z4822">
        <v>2.5037589999999998E-2</v>
      </c>
      <c r="AA4822">
        <v>0.98750700000000002</v>
      </c>
      <c r="AB4822">
        <v>26</v>
      </c>
      <c r="AC4822">
        <v>3.4462999999999502</v>
      </c>
      <c r="AD4822">
        <v>-1.1206973208069999</v>
      </c>
      <c r="AE4822">
        <v>-31.590340000000001</v>
      </c>
      <c r="AF4822">
        <v>-4.9807523307630897</v>
      </c>
      <c r="AG4822">
        <v>-1.1206973208069999</v>
      </c>
      <c r="AH4822">
        <v>31.3450382799492</v>
      </c>
      <c r="AI4822">
        <v>92.022306528981005</v>
      </c>
      <c r="AJ4822">
        <v>99.028860121326602</v>
      </c>
      <c r="AK4822">
        <v>31.758074265243899</v>
      </c>
      <c r="AL4822">
        <v>81.656443943077704</v>
      </c>
      <c r="AM4822">
        <v>93.982563796101203</v>
      </c>
      <c r="AN4822">
        <v>1.0000000457603</v>
      </c>
    </row>
    <row r="4823" spans="1:40" x14ac:dyDescent="0.25">
      <c r="A4823" t="str">
        <f>"20190303162358116"</f>
        <v>20190303162358116</v>
      </c>
      <c r="B4823" t="str">
        <f>"1551601438109549"</f>
        <v>1551601438109549</v>
      </c>
      <c r="C4823" t="s">
        <v>40</v>
      </c>
      <c r="D4823">
        <v>5.6304379999999998</v>
      </c>
      <c r="E4823">
        <v>0.46515570000000001</v>
      </c>
      <c r="F4823" t="s">
        <v>41</v>
      </c>
      <c r="G4823">
        <v>-418.57650000000001</v>
      </c>
      <c r="H4823" s="1">
        <v>-6.1002869999999895E-7</v>
      </c>
      <c r="I4823">
        <v>60.327669999999998</v>
      </c>
      <c r="J4823">
        <v>-422.08089999999999</v>
      </c>
      <c r="K4823">
        <v>1.1206969999999901</v>
      </c>
      <c r="L4823">
        <v>90.467250000000007</v>
      </c>
      <c r="M4823">
        <v>-4.8473429999999998E-2</v>
      </c>
      <c r="N4823">
        <v>-9.7318449999999994E-3</v>
      </c>
      <c r="O4823">
        <v>-0.99877709999999997</v>
      </c>
      <c r="P4823">
        <v>2.1697020000000001E-2</v>
      </c>
      <c r="Q4823">
        <v>0.13463049999999999</v>
      </c>
      <c r="R4823">
        <v>-0.9906585</v>
      </c>
      <c r="S4823">
        <v>0.34887699999999999</v>
      </c>
      <c r="T4823">
        <v>-0.11195869999999999</v>
      </c>
      <c r="U4823">
        <v>-3.0367739999999999</v>
      </c>
      <c r="V4823">
        <v>-6.9795549999999998E-2</v>
      </c>
      <c r="W4823">
        <v>0.14419499999999999</v>
      </c>
      <c r="X4823">
        <v>0.98708479999999998</v>
      </c>
      <c r="Y4823">
        <v>-0.1620809</v>
      </c>
      <c r="Z4823">
        <v>2.6660389999999999E-2</v>
      </c>
      <c r="AA4823">
        <v>0.98641719999999999</v>
      </c>
      <c r="AB4823">
        <v>26</v>
      </c>
      <c r="AC4823">
        <v>3.5043999999999702</v>
      </c>
      <c r="AD4823">
        <v>-1.1206976100286901</v>
      </c>
      <c r="AE4823">
        <v>-30.139579999999999</v>
      </c>
      <c r="AF4823">
        <v>-4.9545591515853999</v>
      </c>
      <c r="AG4823">
        <v>-1.1206976100286901</v>
      </c>
      <c r="AH4823">
        <v>29.893488421654101</v>
      </c>
      <c r="AI4823">
        <v>92.118127129207096</v>
      </c>
      <c r="AJ4823">
        <v>99.410678439397898</v>
      </c>
      <c r="AK4823">
        <v>30.3220096552859</v>
      </c>
      <c r="AL4823">
        <v>81.709333871617901</v>
      </c>
      <c r="AM4823">
        <v>94.0445823312171</v>
      </c>
      <c r="AN4823">
        <v>1.00000000960792</v>
      </c>
    </row>
    <row r="4824" spans="1:40" x14ac:dyDescent="0.25">
      <c r="A4824" t="str">
        <f>"20190303162358138"</f>
        <v>20190303162358138</v>
      </c>
      <c r="B4824" t="str">
        <f>"1551601438130045"</f>
        <v>1551601438130045</v>
      </c>
      <c r="C4824" t="s">
        <v>40</v>
      </c>
      <c r="D4824">
        <v>5.6261799999999997</v>
      </c>
      <c r="E4824">
        <v>0.46643970000000001</v>
      </c>
      <c r="F4824" t="s">
        <v>41</v>
      </c>
      <c r="G4824">
        <v>-419.23849999999999</v>
      </c>
      <c r="H4824" s="1">
        <v>-2.4538269999999998E-6</v>
      </c>
      <c r="I4824">
        <v>65.03783</v>
      </c>
      <c r="J4824">
        <v>-422.0933</v>
      </c>
      <c r="K4824">
        <v>1.1207020000000001</v>
      </c>
      <c r="L4824">
        <v>90.202759999999998</v>
      </c>
      <c r="M4824">
        <v>-4.8035019999999998E-2</v>
      </c>
      <c r="N4824">
        <v>-9.7447929999999999E-3</v>
      </c>
      <c r="O4824">
        <v>-0.99879830000000003</v>
      </c>
      <c r="P4824">
        <v>2.2094920000000001E-2</v>
      </c>
      <c r="Q4824">
        <v>0.13344839999999999</v>
      </c>
      <c r="R4824">
        <v>-0.99080970000000002</v>
      </c>
      <c r="S4824">
        <v>0.33969120000000003</v>
      </c>
      <c r="T4824">
        <v>-0.13393450000000001</v>
      </c>
      <c r="U4824">
        <v>-3.0390630000000001</v>
      </c>
      <c r="V4824">
        <v>-6.9766549999999997E-2</v>
      </c>
      <c r="W4824">
        <v>0.14302609999999999</v>
      </c>
      <c r="X4824">
        <v>0.98725689999999999</v>
      </c>
      <c r="Y4824">
        <v>-0.15859000000000001</v>
      </c>
      <c r="Z4824">
        <v>3.3774489999999997E-2</v>
      </c>
      <c r="AA4824">
        <v>0.9867667</v>
      </c>
      <c r="AB4824">
        <v>26</v>
      </c>
      <c r="AC4824">
        <v>2.8548000000000102</v>
      </c>
      <c r="AD4824">
        <v>-1.1207044538269999</v>
      </c>
      <c r="AE4824">
        <v>-25.164929999999998</v>
      </c>
      <c r="AF4824">
        <v>-4.0524242517069702</v>
      </c>
      <c r="AG4824">
        <v>-1.1207044538269999</v>
      </c>
      <c r="AH4824">
        <v>24.9498866631284</v>
      </c>
      <c r="AI4824">
        <v>92.538671447288607</v>
      </c>
      <c r="AJ4824">
        <v>99.225562881493801</v>
      </c>
      <c r="AK4824">
        <v>25.3016791002416</v>
      </c>
      <c r="AL4824">
        <v>81.777008424226807</v>
      </c>
      <c r="AM4824">
        <v>94.042204955187003</v>
      </c>
      <c r="AN4824">
        <v>1.0000000116888601</v>
      </c>
    </row>
    <row r="4825" spans="1:40" x14ac:dyDescent="0.25">
      <c r="A4825" t="str">
        <f>"20190303162358161"</f>
        <v>20190303162358161</v>
      </c>
      <c r="B4825" t="str">
        <f>"1551601438149566"</f>
        <v>1551601438149566</v>
      </c>
      <c r="C4825" t="s">
        <v>40</v>
      </c>
      <c r="D4825">
        <v>5.556718</v>
      </c>
      <c r="E4825">
        <v>0.46734439999999999</v>
      </c>
      <c r="F4825" t="s">
        <v>41</v>
      </c>
      <c r="G4825">
        <v>-419.5496</v>
      </c>
      <c r="H4825" s="1">
        <v>-3.1698300000000001E-6</v>
      </c>
      <c r="I4825">
        <v>66.835499999999996</v>
      </c>
      <c r="J4825">
        <v>-422.10539999999997</v>
      </c>
      <c r="K4825">
        <v>1.1207039999999999</v>
      </c>
      <c r="L4825">
        <v>89.940860000000001</v>
      </c>
      <c r="M4825">
        <v>-4.7600990000000003E-2</v>
      </c>
      <c r="N4825">
        <v>-9.7564720000000004E-3</v>
      </c>
      <c r="O4825">
        <v>-0.99881880000000001</v>
      </c>
      <c r="P4825">
        <v>2.1713090000000001E-2</v>
      </c>
      <c r="Q4825">
        <v>0.13256799999999999</v>
      </c>
      <c r="R4825">
        <v>-0.99093609999999999</v>
      </c>
      <c r="S4825">
        <v>0.33093260000000002</v>
      </c>
      <c r="T4825">
        <v>-0.14580460000000001</v>
      </c>
      <c r="U4825">
        <v>-3.0400999999999998</v>
      </c>
      <c r="V4825">
        <v>-6.8961759999999997E-2</v>
      </c>
      <c r="W4825">
        <v>0.1421596</v>
      </c>
      <c r="X4825">
        <v>0.98743860000000006</v>
      </c>
      <c r="Y4825">
        <v>-0.15529709999999999</v>
      </c>
      <c r="Z4825">
        <v>3.7620809999999998E-2</v>
      </c>
      <c r="AA4825">
        <v>0.98715120000000001</v>
      </c>
      <c r="AB4825">
        <v>26</v>
      </c>
      <c r="AC4825">
        <v>2.5557999999999699</v>
      </c>
      <c r="AD4825">
        <v>-1.12070716983</v>
      </c>
      <c r="AE4825">
        <v>-23.105360000000001</v>
      </c>
      <c r="AF4825">
        <v>-3.6443226794741501</v>
      </c>
      <c r="AG4825">
        <v>-1.12070716983</v>
      </c>
      <c r="AH4825">
        <v>22.9042670249009</v>
      </c>
      <c r="AI4825">
        <v>92.766506892734895</v>
      </c>
      <c r="AJ4825">
        <v>99.0406100193144</v>
      </c>
      <c r="AK4825">
        <v>23.219442721577099</v>
      </c>
      <c r="AL4825">
        <v>81.8271679462908</v>
      </c>
      <c r="AM4825">
        <v>93.994995254066495</v>
      </c>
      <c r="AN4825">
        <v>1.0000000324922</v>
      </c>
    </row>
    <row r="4826" spans="1:40" x14ac:dyDescent="0.25">
      <c r="A4826" t="str">
        <f>"20190303162358184"</f>
        <v>20190303162358184</v>
      </c>
      <c r="B4826" t="str">
        <f>"1551601438179821"</f>
        <v>1551601438179821</v>
      </c>
      <c r="C4826" t="s">
        <v>40</v>
      </c>
      <c r="D4826">
        <v>5.679081</v>
      </c>
      <c r="E4826">
        <v>0.46825309999999998</v>
      </c>
      <c r="F4826" t="s">
        <v>41</v>
      </c>
      <c r="G4826">
        <v>-419.75990000000002</v>
      </c>
      <c r="H4826" s="1">
        <v>-3.586414E-6</v>
      </c>
      <c r="I4826">
        <v>67.893519999999995</v>
      </c>
      <c r="J4826">
        <v>-422.11799999999999</v>
      </c>
      <c r="K4826">
        <v>1.120698</v>
      </c>
      <c r="L4826">
        <v>89.666380000000004</v>
      </c>
      <c r="M4826">
        <v>-4.714728E-2</v>
      </c>
      <c r="N4826">
        <v>-9.767497E-3</v>
      </c>
      <c r="O4826">
        <v>-0.99884050000000002</v>
      </c>
      <c r="P4826">
        <v>2.107815E-2</v>
      </c>
      <c r="Q4826">
        <v>0.13230359999999999</v>
      </c>
      <c r="R4826">
        <v>-0.99098529999999996</v>
      </c>
      <c r="S4826">
        <v>0.32351679999999999</v>
      </c>
      <c r="T4826">
        <v>-0.15458050000000001</v>
      </c>
      <c r="U4826">
        <v>-3.0410159999999999</v>
      </c>
      <c r="V4826">
        <v>-6.7880780000000002E-2</v>
      </c>
      <c r="W4826">
        <v>0.14190800000000001</v>
      </c>
      <c r="X4826">
        <v>0.98754969999999997</v>
      </c>
      <c r="Y4826">
        <v>-0.152423</v>
      </c>
      <c r="Z4826">
        <v>4.0461759999999999E-2</v>
      </c>
      <c r="AA4826">
        <v>0.9874868</v>
      </c>
      <c r="AB4826">
        <v>26</v>
      </c>
      <c r="AC4826">
        <v>2.3581000000000301</v>
      </c>
      <c r="AD4826">
        <v>-1.120701586414</v>
      </c>
      <c r="AE4826">
        <v>-21.772860000000001</v>
      </c>
      <c r="AF4826">
        <v>-3.3732237710689601</v>
      </c>
      <c r="AG4826">
        <v>-1.120701586414</v>
      </c>
      <c r="AH4826">
        <v>21.580948036668701</v>
      </c>
      <c r="AI4826">
        <v>92.937108565546794</v>
      </c>
      <c r="AJ4826">
        <v>98.883770765309094</v>
      </c>
      <c r="AK4826">
        <v>21.8717152691985</v>
      </c>
      <c r="AL4826">
        <v>81.841731314853902</v>
      </c>
      <c r="AM4826">
        <v>93.932130462084103</v>
      </c>
      <c r="AN4826">
        <v>1.0000000453637401</v>
      </c>
    </row>
    <row r="4827" spans="1:40" x14ac:dyDescent="0.25">
      <c r="A4827" t="str">
        <f>"20190303162358207"</f>
        <v>20190303162358207</v>
      </c>
      <c r="B4827" t="str">
        <f>"1551601438199342"</f>
        <v>1551601438199342</v>
      </c>
      <c r="C4827" t="s">
        <v>40</v>
      </c>
      <c r="D4827">
        <v>5.6140150000000002</v>
      </c>
      <c r="E4827">
        <v>0.4688445</v>
      </c>
      <c r="F4827" t="s">
        <v>41</v>
      </c>
      <c r="G4827">
        <v>-419.90499999999997</v>
      </c>
      <c r="H4827" s="1">
        <v>-3.7121489999999999E-6</v>
      </c>
      <c r="I4827">
        <v>68.246610000000004</v>
      </c>
      <c r="J4827">
        <v>-422.13029999999998</v>
      </c>
      <c r="K4827">
        <v>1.1207</v>
      </c>
      <c r="L4827">
        <v>89.395780000000002</v>
      </c>
      <c r="M4827">
        <v>-4.6702489999999999E-2</v>
      </c>
      <c r="N4827">
        <v>-9.7771790000000004E-3</v>
      </c>
      <c r="O4827">
        <v>-0.99886109999999995</v>
      </c>
      <c r="P4827">
        <v>1.931689E-2</v>
      </c>
      <c r="Q4827">
        <v>0.13335620000000001</v>
      </c>
      <c r="R4827">
        <v>-0.99088050000000005</v>
      </c>
      <c r="S4827">
        <v>0.31426999999999999</v>
      </c>
      <c r="T4827">
        <v>-0.1591533</v>
      </c>
      <c r="U4827">
        <v>-3.0418699999999999</v>
      </c>
      <c r="V4827">
        <v>-6.5677009999999994E-2</v>
      </c>
      <c r="W4827">
        <v>0.1429714</v>
      </c>
      <c r="X4827">
        <v>0.98754529999999996</v>
      </c>
      <c r="Y4827">
        <v>-0.1489772</v>
      </c>
      <c r="Z4827">
        <v>4.1945089999999997E-2</v>
      </c>
      <c r="AA4827">
        <v>0.98795060000000001</v>
      </c>
      <c r="AB4827">
        <v>26</v>
      </c>
      <c r="AC4827">
        <v>2.2252999999999998</v>
      </c>
      <c r="AD4827">
        <v>-1.120703712149</v>
      </c>
      <c r="AE4827">
        <v>-21.149170000000002</v>
      </c>
      <c r="AF4827">
        <v>-3.2017456126555599</v>
      </c>
      <c r="AG4827">
        <v>-1.120703712149</v>
      </c>
      <c r="AH4827">
        <v>20.963936868298401</v>
      </c>
      <c r="AI4827">
        <v>93.025031778506204</v>
      </c>
      <c r="AJ4827">
        <v>98.683475314320006</v>
      </c>
      <c r="AK4827">
        <v>21.236614626549699</v>
      </c>
      <c r="AL4827">
        <v>81.780174993473295</v>
      </c>
      <c r="AM4827">
        <v>93.804870799952496</v>
      </c>
      <c r="AN4827">
        <v>1.0000000052062901</v>
      </c>
    </row>
    <row r="4828" spans="1:40" x14ac:dyDescent="0.25">
      <c r="A4828" t="str">
        <f>"20190303162358238"</f>
        <v>20190303162358238</v>
      </c>
      <c r="B4828" t="str">
        <f>"1551601438229597"</f>
        <v>1551601438229597</v>
      </c>
      <c r="C4828" t="s">
        <v>40</v>
      </c>
      <c r="D4828">
        <v>5.6217949999999997</v>
      </c>
      <c r="E4828">
        <v>0.46933930000000001</v>
      </c>
      <c r="F4828" t="s">
        <v>41</v>
      </c>
      <c r="G4828">
        <v>-419.96260000000001</v>
      </c>
      <c r="H4828" s="1">
        <v>-3.487818E-6</v>
      </c>
      <c r="I4828">
        <v>67.742490000000004</v>
      </c>
      <c r="J4828">
        <v>-422.14749999999998</v>
      </c>
      <c r="K4828">
        <v>1.1207100000000001</v>
      </c>
      <c r="L4828">
        <v>89.013580000000005</v>
      </c>
      <c r="M4828">
        <v>-4.6074499999999997E-2</v>
      </c>
      <c r="N4828">
        <v>-9.7894260000000004E-3</v>
      </c>
      <c r="O4828">
        <v>-0.99889030000000001</v>
      </c>
      <c r="P4828">
        <v>1.765717E-2</v>
      </c>
      <c r="Q4828">
        <v>0.1337845</v>
      </c>
      <c r="R4828">
        <v>-0.99085330000000005</v>
      </c>
      <c r="S4828">
        <v>0.30462650000000002</v>
      </c>
      <c r="T4828">
        <v>-0.1574894</v>
      </c>
      <c r="U4828">
        <v>-3.0428769999999998</v>
      </c>
      <c r="V4828">
        <v>-6.3397339999999996E-2</v>
      </c>
      <c r="W4828">
        <v>0.14341400000000001</v>
      </c>
      <c r="X4828">
        <v>0.98763009999999996</v>
      </c>
      <c r="Y4828">
        <v>-0.14522579999999999</v>
      </c>
      <c r="Z4828">
        <v>4.1402170000000002E-2</v>
      </c>
      <c r="AA4828">
        <v>0.98853190000000002</v>
      </c>
      <c r="AB4828">
        <v>27</v>
      </c>
      <c r="AC4828">
        <v>2.1848999999999701</v>
      </c>
      <c r="AD4828">
        <v>-1.1207134878180001</v>
      </c>
      <c r="AE4828">
        <v>-21.271090000000001</v>
      </c>
      <c r="AF4828">
        <v>-3.15401702882051</v>
      </c>
      <c r="AG4828">
        <v>-1.1207134878180001</v>
      </c>
      <c r="AH4828">
        <v>21.089892120941499</v>
      </c>
      <c r="AI4828">
        <v>93.008433385331401</v>
      </c>
      <c r="AJ4828">
        <v>98.505611077985506</v>
      </c>
      <c r="AK4828">
        <v>21.353860817491899</v>
      </c>
      <c r="AL4828">
        <v>81.754551839078403</v>
      </c>
      <c r="AM4828">
        <v>93.6728560329163</v>
      </c>
      <c r="AN4828">
        <v>1.0000000062705401</v>
      </c>
    </row>
    <row r="4829" spans="1:40" x14ac:dyDescent="0.25">
      <c r="A4829" t="str">
        <f>"20190303162358261"</f>
        <v>20190303162358261</v>
      </c>
      <c r="B4829" t="str">
        <f>"1551601438250092"</f>
        <v>1551601438250092</v>
      </c>
      <c r="C4829" t="s">
        <v>40</v>
      </c>
      <c r="D4829">
        <v>5.5637860000000003</v>
      </c>
      <c r="E4829">
        <v>0.4695259</v>
      </c>
      <c r="F4829" t="s">
        <v>41</v>
      </c>
      <c r="G4829">
        <v>-420.05130000000003</v>
      </c>
      <c r="H4829" s="1">
        <v>-3.3995959999999999E-6</v>
      </c>
      <c r="I4829">
        <v>67.481859999999998</v>
      </c>
      <c r="J4829">
        <v>-422.15949999999998</v>
      </c>
      <c r="K4829">
        <v>1.120719</v>
      </c>
      <c r="L4829">
        <v>88.742829999999998</v>
      </c>
      <c r="M4829">
        <v>-4.5621269999999998E-2</v>
      </c>
      <c r="N4829">
        <v>-9.7973850000000005E-3</v>
      </c>
      <c r="O4829">
        <v>-0.99891099999999999</v>
      </c>
      <c r="P4829">
        <v>1.80273E-2</v>
      </c>
      <c r="Q4829">
        <v>0.13423740000000001</v>
      </c>
      <c r="R4829">
        <v>-0.99078549999999999</v>
      </c>
      <c r="S4829">
        <v>0.29632570000000003</v>
      </c>
      <c r="T4829">
        <v>-0.1584276</v>
      </c>
      <c r="U4829">
        <v>-3.043793</v>
      </c>
      <c r="V4829">
        <v>-6.331726E-2</v>
      </c>
      <c r="W4829">
        <v>0.14387320000000001</v>
      </c>
      <c r="X4829">
        <v>0.98756840000000001</v>
      </c>
      <c r="Y4829">
        <v>-0.14207639999999999</v>
      </c>
      <c r="Z4829">
        <v>4.1704329999999998E-2</v>
      </c>
      <c r="AA4829">
        <v>0.98897679999999999</v>
      </c>
      <c r="AB4829">
        <v>27</v>
      </c>
      <c r="AC4829">
        <v>2.1081999999999499</v>
      </c>
      <c r="AD4829">
        <v>-1.1207223995960001</v>
      </c>
      <c r="AE4829">
        <v>-21.26097</v>
      </c>
      <c r="AF4829">
        <v>-3.0675629107468301</v>
      </c>
      <c r="AG4829">
        <v>-1.1207223995960001</v>
      </c>
      <c r="AH4829">
        <v>21.084631918549299</v>
      </c>
      <c r="AI4829">
        <v>93.010968930638995</v>
      </c>
      <c r="AJ4829">
        <v>98.277775183503493</v>
      </c>
      <c r="AK4829">
        <v>21.3360648679426</v>
      </c>
      <c r="AL4829">
        <v>81.727965512501299</v>
      </c>
      <c r="AM4829">
        <v>93.668457913186899</v>
      </c>
      <c r="AN4829">
        <v>0.99999995888535298</v>
      </c>
    </row>
    <row r="4830" spans="1:40" x14ac:dyDescent="0.25">
      <c r="A4830" t="str">
        <f>"20190303162358286"</f>
        <v>20190303162358286</v>
      </c>
      <c r="B4830" t="str">
        <f>"1551601438279374"</f>
        <v>1551601438279374</v>
      </c>
      <c r="C4830" t="s">
        <v>40</v>
      </c>
      <c r="D4830">
        <v>5.4971920000000001</v>
      </c>
      <c r="E4830">
        <v>0.4699873</v>
      </c>
      <c r="F4830" t="s">
        <v>41</v>
      </c>
      <c r="G4830">
        <v>-420.065</v>
      </c>
      <c r="H4830" s="1">
        <v>-3.2938109999999998E-6</v>
      </c>
      <c r="I4830">
        <v>67.226770000000002</v>
      </c>
      <c r="J4830">
        <v>-422.17169999999999</v>
      </c>
      <c r="K4830">
        <v>1.1207389999999999</v>
      </c>
      <c r="L4830">
        <v>88.462459999999993</v>
      </c>
      <c r="M4830">
        <v>-4.5126489999999998E-2</v>
      </c>
      <c r="N4830">
        <v>-9.805065E-3</v>
      </c>
      <c r="O4830">
        <v>-0.99893319999999997</v>
      </c>
      <c r="P4830">
        <v>1.901075E-2</v>
      </c>
      <c r="Q4830">
        <v>0.13472290000000001</v>
      </c>
      <c r="R4830">
        <v>-0.9907011</v>
      </c>
      <c r="S4830">
        <v>0.29632570000000003</v>
      </c>
      <c r="T4830">
        <v>-0.15855540000000001</v>
      </c>
      <c r="U4830">
        <v>-3.044006</v>
      </c>
      <c r="V4830">
        <v>-6.3811820000000005E-2</v>
      </c>
      <c r="W4830">
        <v>0.14436299999999999</v>
      </c>
      <c r="X4830">
        <v>0.98746509999999998</v>
      </c>
      <c r="Y4830">
        <v>-0.14157939999999999</v>
      </c>
      <c r="Z4830">
        <v>4.173835E-2</v>
      </c>
      <c r="AA4830">
        <v>0.9890466</v>
      </c>
      <c r="AB4830">
        <v>27</v>
      </c>
      <c r="AC4830">
        <v>2.10669999999998</v>
      </c>
      <c r="AD4830">
        <v>-1.1207422938110001</v>
      </c>
      <c r="AE4830">
        <v>-21.235689999999899</v>
      </c>
      <c r="AF4830">
        <v>-3.0544670169978101</v>
      </c>
      <c r="AG4830">
        <v>-1.1207422938110001</v>
      </c>
      <c r="AH4830">
        <v>21.060892066869499</v>
      </c>
      <c r="AI4830">
        <v>93.014606017389397</v>
      </c>
      <c r="AJ4830">
        <v>98.252086261749398</v>
      </c>
      <c r="AK4830">
        <v>21.310725156582301</v>
      </c>
      <c r="AL4830">
        <v>81.699606104470007</v>
      </c>
      <c r="AM4830">
        <v>93.697418111605302</v>
      </c>
      <c r="AN4830">
        <v>0.99999997392936002</v>
      </c>
    </row>
    <row r="4831" spans="1:40" x14ac:dyDescent="0.25">
      <c r="A4831" t="str">
        <f>"20190303162358306"</f>
        <v>20190303162358306</v>
      </c>
      <c r="B4831" t="str">
        <f>"1551601438299869"</f>
        <v>1551601438299869</v>
      </c>
      <c r="C4831" t="s">
        <v>40</v>
      </c>
      <c r="D4831">
        <v>5.4399899999999999</v>
      </c>
      <c r="E4831">
        <v>0.47027720000000001</v>
      </c>
      <c r="F4831" t="s">
        <v>41</v>
      </c>
      <c r="G4831">
        <v>-420.05869999999999</v>
      </c>
      <c r="H4831" s="1">
        <v>-3.0935729999999998E-6</v>
      </c>
      <c r="I4831">
        <v>66.763909999999996</v>
      </c>
      <c r="J4831">
        <v>-422.18270000000001</v>
      </c>
      <c r="K4831">
        <v>1.12076</v>
      </c>
      <c r="L4831">
        <v>88.207790000000003</v>
      </c>
      <c r="M4831">
        <v>-4.4644549999999998E-2</v>
      </c>
      <c r="N4831">
        <v>-9.8115489999999993E-3</v>
      </c>
      <c r="O4831">
        <v>-0.99895469999999997</v>
      </c>
      <c r="P4831">
        <v>2.045317E-2</v>
      </c>
      <c r="Q4831">
        <v>0.13494829999999999</v>
      </c>
      <c r="R4831">
        <v>-0.99064160000000001</v>
      </c>
      <c r="S4831">
        <v>0.29641719999999999</v>
      </c>
      <c r="T4831">
        <v>-0.15721679999999999</v>
      </c>
      <c r="U4831">
        <v>-3.0438540000000001</v>
      </c>
      <c r="V4831">
        <v>-6.4780999999999894E-2</v>
      </c>
      <c r="W4831">
        <v>0.14458950000000001</v>
      </c>
      <c r="X4831">
        <v>0.98736889999999999</v>
      </c>
      <c r="Y4831">
        <v>-0.14113819999999999</v>
      </c>
      <c r="Z4831">
        <v>4.1303550000000001E-2</v>
      </c>
      <c r="AA4831">
        <v>0.98912789999999995</v>
      </c>
      <c r="AB4831">
        <v>27</v>
      </c>
      <c r="AC4831">
        <v>2.1240000000000201</v>
      </c>
      <c r="AD4831">
        <v>-1.120763093573</v>
      </c>
      <c r="AE4831">
        <v>-21.44388</v>
      </c>
      <c r="AF4831">
        <v>-3.07097329289603</v>
      </c>
      <c r="AG4831">
        <v>-1.120763093573</v>
      </c>
      <c r="AH4831">
        <v>21.270129893227601</v>
      </c>
      <c r="AI4831">
        <v>92.985334832043193</v>
      </c>
      <c r="AJ4831">
        <v>98.215571014679099</v>
      </c>
      <c r="AK4831">
        <v>21.519884120328602</v>
      </c>
      <c r="AL4831">
        <v>81.686491421482799</v>
      </c>
      <c r="AM4831">
        <v>93.753780171489296</v>
      </c>
      <c r="AN4831">
        <v>1.0000000230792201</v>
      </c>
    </row>
    <row r="4832" spans="1:40" x14ac:dyDescent="0.25">
      <c r="A4832" t="str">
        <f>"20190303162358328"</f>
        <v>20190303162358328</v>
      </c>
      <c r="B4832" t="str">
        <f>"1551601438319390"</f>
        <v>1551601438319390</v>
      </c>
      <c r="C4832" t="s">
        <v>40</v>
      </c>
      <c r="D4832">
        <v>5.3181059999999896</v>
      </c>
      <c r="E4832">
        <v>0.4704874</v>
      </c>
      <c r="F4832" t="s">
        <v>41</v>
      </c>
      <c r="G4832">
        <v>-420.02969999999999</v>
      </c>
      <c r="H4832" s="1">
        <v>-2.884397E-6</v>
      </c>
      <c r="I4832">
        <v>66.294280000000001</v>
      </c>
      <c r="J4832">
        <v>-422.19389999999999</v>
      </c>
      <c r="K4832">
        <v>1.1207769999999999</v>
      </c>
      <c r="L4832">
        <v>87.945830000000001</v>
      </c>
      <c r="M4832">
        <v>-4.4117549999999998E-2</v>
      </c>
      <c r="N4832">
        <v>-9.8177920000000005E-3</v>
      </c>
      <c r="O4832">
        <v>-0.99897840000000004</v>
      </c>
      <c r="P4832">
        <v>2.113367E-2</v>
      </c>
      <c r="Q4832">
        <v>0.13405420000000001</v>
      </c>
      <c r="R4832">
        <v>-0.99074899999999999</v>
      </c>
      <c r="S4832">
        <v>0.29901119999999998</v>
      </c>
      <c r="T4832">
        <v>-0.1556524</v>
      </c>
      <c r="U4832">
        <v>-3.0433650000000001</v>
      </c>
      <c r="V4832">
        <v>-6.4953360000000002E-2</v>
      </c>
      <c r="W4832">
        <v>0.1436981</v>
      </c>
      <c r="X4832">
        <v>0.98748769999999997</v>
      </c>
      <c r="Y4832">
        <v>-0.1414686</v>
      </c>
      <c r="Z4832">
        <v>4.0796300000000001E-2</v>
      </c>
      <c r="AA4832">
        <v>0.98910180000000003</v>
      </c>
      <c r="AB4832">
        <v>27</v>
      </c>
      <c r="AC4832">
        <v>2.1641999999999899</v>
      </c>
      <c r="AD4832">
        <v>-1.120779884397</v>
      </c>
      <c r="AE4832">
        <v>-21.65155</v>
      </c>
      <c r="AF4832">
        <v>-3.1091031153084199</v>
      </c>
      <c r="AG4832">
        <v>-1.120779884397</v>
      </c>
      <c r="AH4832">
        <v>21.478000939837699</v>
      </c>
      <c r="AI4832">
        <v>92.956379569629902</v>
      </c>
      <c r="AJ4832">
        <v>98.236782287665207</v>
      </c>
      <c r="AK4832">
        <v>21.730789081452201</v>
      </c>
      <c r="AL4832">
        <v>81.738103858462907</v>
      </c>
      <c r="AM4832">
        <v>93.763287526324504</v>
      </c>
      <c r="AN4832">
        <v>1.0000000202850901</v>
      </c>
    </row>
    <row r="4833" spans="1:40" x14ac:dyDescent="0.25">
      <c r="A4833" t="str">
        <f>"20190303162358351"</f>
        <v>20190303162358351</v>
      </c>
      <c r="B4833" t="str">
        <f>"1551601438339886"</f>
        <v>1551601438339886</v>
      </c>
      <c r="C4833" t="s">
        <v>40</v>
      </c>
      <c r="D4833">
        <v>5.3179970000000001</v>
      </c>
      <c r="E4833">
        <v>0.47079159999999998</v>
      </c>
      <c r="F4833" t="s">
        <v>41</v>
      </c>
      <c r="G4833">
        <v>-420.06619999999998</v>
      </c>
      <c r="H4833" s="1">
        <v>-2.9255959999999999E-6</v>
      </c>
      <c r="I4833">
        <v>66.367679999999993</v>
      </c>
      <c r="J4833">
        <v>-422.2054</v>
      </c>
      <c r="K4833">
        <v>1.120803</v>
      </c>
      <c r="L4833">
        <v>87.672359999999998</v>
      </c>
      <c r="M4833">
        <v>-4.352491E-2</v>
      </c>
      <c r="N4833">
        <v>-9.8239409999999992E-3</v>
      </c>
      <c r="O4833">
        <v>-0.999004</v>
      </c>
      <c r="P4833">
        <v>2.1306640000000002E-2</v>
      </c>
      <c r="Q4833">
        <v>0.13213610000000001</v>
      </c>
      <c r="R4833">
        <v>-0.99100270000000001</v>
      </c>
      <c r="S4833">
        <v>0.3000488</v>
      </c>
      <c r="T4833">
        <v>-0.1580549</v>
      </c>
      <c r="U4833">
        <v>-3.042999</v>
      </c>
      <c r="V4833">
        <v>-6.4559359999999996E-2</v>
      </c>
      <c r="W4833">
        <v>0.14178479999999999</v>
      </c>
      <c r="X4833">
        <v>0.98778999999999995</v>
      </c>
      <c r="Y4833">
        <v>-0.1412233</v>
      </c>
      <c r="Z4833">
        <v>4.1578259999999999E-2</v>
      </c>
      <c r="AA4833">
        <v>0.98910430000000005</v>
      </c>
      <c r="AB4833">
        <v>27</v>
      </c>
      <c r="AC4833">
        <v>2.13920000000001</v>
      </c>
      <c r="AD4833">
        <v>-1.1208059255959999</v>
      </c>
      <c r="AE4833">
        <v>-21.304679999999902</v>
      </c>
      <c r="AF4833">
        <v>-3.0561277817707402</v>
      </c>
      <c r="AG4833">
        <v>-1.1208059255959999</v>
      </c>
      <c r="AH4833">
        <v>21.1334693360815</v>
      </c>
      <c r="AI4833">
        <v>93.0046208614541</v>
      </c>
      <c r="AJ4833">
        <v>98.228545364380295</v>
      </c>
      <c r="AK4833">
        <v>21.382695085523199</v>
      </c>
      <c r="AL4833">
        <v>81.848861576040903</v>
      </c>
      <c r="AM4833">
        <v>93.739383348577206</v>
      </c>
      <c r="AN4833">
        <v>0.99999996228732402</v>
      </c>
    </row>
    <row r="4834" spans="1:40" x14ac:dyDescent="0.25">
      <c r="A4834" t="str">
        <f>"20190303162358373"</f>
        <v>20190303162358373</v>
      </c>
      <c r="B4834" t="str">
        <f>"1551601438359406"</f>
        <v>1551601438359406</v>
      </c>
      <c r="C4834" t="s">
        <v>40</v>
      </c>
      <c r="D4834">
        <v>5.2600259999999999</v>
      </c>
      <c r="E4834">
        <v>0.47094360000000002</v>
      </c>
      <c r="F4834" t="s">
        <v>41</v>
      </c>
      <c r="G4834">
        <v>-420.1626</v>
      </c>
      <c r="H4834" s="1">
        <v>-3.1532749999999999E-6</v>
      </c>
      <c r="I4834">
        <v>66.838639999999998</v>
      </c>
      <c r="J4834">
        <v>-422.21620000000001</v>
      </c>
      <c r="K4834">
        <v>1.1208400000000001</v>
      </c>
      <c r="L4834">
        <v>87.407469999999904</v>
      </c>
      <c r="M4834">
        <v>-4.2897699999999997E-2</v>
      </c>
      <c r="N4834">
        <v>-9.8297120000000009E-3</v>
      </c>
      <c r="O4834">
        <v>-0.99903120000000001</v>
      </c>
      <c r="P4834">
        <v>2.0750190000000002E-2</v>
      </c>
      <c r="Q4834">
        <v>0.13224569999999999</v>
      </c>
      <c r="R4834">
        <v>-0.99099979999999999</v>
      </c>
      <c r="S4834">
        <v>0.29833979999999999</v>
      </c>
      <c r="T4834">
        <v>-0.16368829999999901</v>
      </c>
      <c r="U4834">
        <v>-3.0426639999999998</v>
      </c>
      <c r="V4834">
        <v>-6.3394870000000006E-2</v>
      </c>
      <c r="W4834">
        <v>0.14189570000000001</v>
      </c>
      <c r="X4834">
        <v>0.98784950000000005</v>
      </c>
      <c r="Y4834">
        <v>-0.1400535</v>
      </c>
      <c r="Z4834">
        <v>4.3414950000000001E-2</v>
      </c>
      <c r="AA4834">
        <v>0.98919170000000001</v>
      </c>
      <c r="AB4834">
        <v>27</v>
      </c>
      <c r="AC4834">
        <v>2.0536000000000101</v>
      </c>
      <c r="AD4834">
        <v>-1.1208431532750001</v>
      </c>
      <c r="AE4834">
        <v>-20.568829999999899</v>
      </c>
      <c r="AF4834">
        <v>-2.9255061744074702</v>
      </c>
      <c r="AG4834">
        <v>-1.1208431532750001</v>
      </c>
      <c r="AH4834">
        <v>20.401811512527701</v>
      </c>
      <c r="AI4834">
        <v>93.112801830847104</v>
      </c>
      <c r="AJ4834">
        <v>98.160268796687305</v>
      </c>
      <c r="AK4834">
        <v>20.640949317883798</v>
      </c>
      <c r="AL4834">
        <v>81.8424426131036</v>
      </c>
      <c r="AM4834">
        <v>93.671899855167894</v>
      </c>
      <c r="AN4834">
        <v>0.99999996693552795</v>
      </c>
    </row>
    <row r="4835" spans="1:40" x14ac:dyDescent="0.25">
      <c r="A4835" t="str">
        <f>"20190303162358396"</f>
        <v>20190303162358396</v>
      </c>
      <c r="B4835" t="str">
        <f>"1551601438389661"</f>
        <v>1551601438389661</v>
      </c>
      <c r="C4835" t="s">
        <v>40</v>
      </c>
      <c r="D4835">
        <v>5.0151070000000004</v>
      </c>
      <c r="E4835">
        <v>0.4969809</v>
      </c>
      <c r="F4835" t="s">
        <v>41</v>
      </c>
      <c r="G4835">
        <v>-420.17899999999997</v>
      </c>
      <c r="H4835" s="1">
        <v>-2.9922529999999999E-6</v>
      </c>
      <c r="I4835">
        <v>66.453130000000002</v>
      </c>
      <c r="J4835">
        <v>-422.22719999999998</v>
      </c>
      <c r="K4835">
        <v>1.120886</v>
      </c>
      <c r="L4835">
        <v>87.135930000000002</v>
      </c>
      <c r="M4835">
        <v>-4.2192159999999999E-2</v>
      </c>
      <c r="N4835">
        <v>-9.8354050000000002E-3</v>
      </c>
      <c r="O4835">
        <v>-0.99906119999999998</v>
      </c>
      <c r="P4835">
        <v>1.9756099999999999E-2</v>
      </c>
      <c r="Q4835">
        <v>0.13304070000000001</v>
      </c>
      <c r="R4835">
        <v>-0.99091370000000001</v>
      </c>
      <c r="S4835">
        <v>0.29583739999999997</v>
      </c>
      <c r="T4835">
        <v>-0.16275800000000001</v>
      </c>
      <c r="U4835">
        <v>-3.042786</v>
      </c>
      <c r="V4835">
        <v>-6.1714970000000001E-2</v>
      </c>
      <c r="W4835">
        <v>0.14269200000000001</v>
      </c>
      <c r="X4835">
        <v>0.98784119999999997</v>
      </c>
      <c r="Y4835">
        <v>-0.13854629999999901</v>
      </c>
      <c r="Z4835">
        <v>4.3115870000000001E-2</v>
      </c>
      <c r="AA4835">
        <v>0.98941699999999999</v>
      </c>
      <c r="AB4835">
        <v>27</v>
      </c>
      <c r="AC4835">
        <v>2.0481999999999498</v>
      </c>
      <c r="AD4835">
        <v>-1.1208889922530001</v>
      </c>
      <c r="AE4835">
        <v>-20.6828</v>
      </c>
      <c r="AF4835">
        <v>-2.9106045862410101</v>
      </c>
      <c r="AG4835">
        <v>-1.1208889922530001</v>
      </c>
      <c r="AH4835">
        <v>20.518281020274301</v>
      </c>
      <c r="AI4835">
        <v>93.095958354026294</v>
      </c>
      <c r="AJ4835">
        <v>98.073780034318204</v>
      </c>
      <c r="AK4835">
        <v>20.753984369690301</v>
      </c>
      <c r="AL4835">
        <v>81.796349146953602</v>
      </c>
      <c r="AM4835">
        <v>93.574883923362805</v>
      </c>
      <c r="AN4835">
        <v>0.99999999040177001</v>
      </c>
    </row>
    <row r="4836" spans="1:40" x14ac:dyDescent="0.25">
      <c r="A4836" t="str">
        <f>"20190303162358418"</f>
        <v>20190303162358418</v>
      </c>
      <c r="B4836" t="str">
        <f>"1551601438410157"</f>
        <v>1551601438410157</v>
      </c>
      <c r="C4836" t="s">
        <v>40</v>
      </c>
      <c r="D4836">
        <v>4.9688119999999998</v>
      </c>
      <c r="E4836">
        <v>0.50077559999999999</v>
      </c>
      <c r="F4836" t="s">
        <v>41</v>
      </c>
      <c r="G4836">
        <v>-421.24259999999998</v>
      </c>
      <c r="H4836" s="1">
        <v>-1.4266630000000001E-6</v>
      </c>
      <c r="I4836">
        <v>52.144030000000001</v>
      </c>
      <c r="J4836">
        <v>-422.23779999999999</v>
      </c>
      <c r="K4836">
        <v>1.120932</v>
      </c>
      <c r="L4836">
        <v>86.866489999999999</v>
      </c>
      <c r="M4836">
        <v>-4.1429359999999998E-2</v>
      </c>
      <c r="N4836">
        <v>-9.8408899999999997E-3</v>
      </c>
      <c r="O4836">
        <v>-0.99909329999999996</v>
      </c>
      <c r="P4836">
        <v>1.912384E-2</v>
      </c>
      <c r="Q4836">
        <v>0.1333336</v>
      </c>
      <c r="R4836">
        <v>-0.99088699999999996</v>
      </c>
      <c r="S4836">
        <v>8.5510249999999996E-2</v>
      </c>
      <c r="T4836">
        <v>-9.7343680000000002E-2</v>
      </c>
      <c r="U4836">
        <v>-3.0388790000000001</v>
      </c>
      <c r="V4836">
        <v>-6.0343479999999998E-2</v>
      </c>
      <c r="W4836">
        <v>0.14298549999999999</v>
      </c>
      <c r="X4836">
        <v>0.98788350000000003</v>
      </c>
      <c r="Y4836">
        <v>-6.9497210000000004E-2</v>
      </c>
      <c r="Z4836">
        <v>2.2086950000000001E-2</v>
      </c>
      <c r="AA4836">
        <v>0.99733760000000005</v>
      </c>
      <c r="AB4836">
        <v>27</v>
      </c>
      <c r="AC4836">
        <v>0.99520000000001096</v>
      </c>
      <c r="AD4836">
        <v>-1.120933426663</v>
      </c>
      <c r="AE4836">
        <v>-34.722459999999998</v>
      </c>
      <c r="AF4836">
        <v>-2.4304131327988001</v>
      </c>
      <c r="AG4836">
        <v>-1.120933426663</v>
      </c>
      <c r="AH4836">
        <v>34.615367682131598</v>
      </c>
      <c r="AI4836">
        <v>91.850182916696099</v>
      </c>
      <c r="AJ4836">
        <v>94.016258487957501</v>
      </c>
      <c r="AK4836">
        <v>34.718684875902902</v>
      </c>
      <c r="AL4836">
        <v>81.7793586867231</v>
      </c>
      <c r="AM4836">
        <v>93.495489298505703</v>
      </c>
      <c r="AN4836">
        <v>0.99999999918050497</v>
      </c>
    </row>
    <row r="4837" spans="1:40" x14ac:dyDescent="0.25">
      <c r="A4837" t="str">
        <f>"20190303162358439"</f>
        <v>20190303162358439</v>
      </c>
      <c r="B4837" t="str">
        <f>"1551601438429677"</f>
        <v>1551601438429677</v>
      </c>
      <c r="C4837" t="s">
        <v>40</v>
      </c>
      <c r="D4837">
        <v>4.9220819999999996</v>
      </c>
      <c r="E4837">
        <v>0.50263899999999995</v>
      </c>
      <c r="F4837" t="s">
        <v>41</v>
      </c>
      <c r="G4837">
        <v>-421.60160000000002</v>
      </c>
      <c r="H4837" s="1">
        <v>-8.5221309999999995E-7</v>
      </c>
      <c r="I4837">
        <v>50.582270000000001</v>
      </c>
      <c r="J4837">
        <v>-422.2475</v>
      </c>
      <c r="K4837">
        <v>1.1209629999999999</v>
      </c>
      <c r="L4837">
        <v>86.61121</v>
      </c>
      <c r="M4837">
        <v>-4.0652720000000003E-2</v>
      </c>
      <c r="N4837">
        <v>-9.8458690000000001E-3</v>
      </c>
      <c r="O4837">
        <v>-0.99912489999999998</v>
      </c>
      <c r="P4837">
        <v>1.897331E-2</v>
      </c>
      <c r="Q4837">
        <v>0.1318752</v>
      </c>
      <c r="R4837">
        <v>-0.99108479999999999</v>
      </c>
      <c r="S4837">
        <v>5.3283690000000002E-2</v>
      </c>
      <c r="T4837">
        <v>-9.3890790000000002E-2</v>
      </c>
      <c r="U4837">
        <v>-3.039215</v>
      </c>
      <c r="V4837">
        <v>-5.9444990000000003E-2</v>
      </c>
      <c r="W4837">
        <v>0.1415294</v>
      </c>
      <c r="X4837">
        <v>0.98814760000000001</v>
      </c>
      <c r="Y4837">
        <v>-5.8147780000000003E-2</v>
      </c>
      <c r="Z4837">
        <v>2.0965419999999999E-2</v>
      </c>
      <c r="AA4837">
        <v>0.99808779999999997</v>
      </c>
      <c r="AB4837">
        <v>27</v>
      </c>
      <c r="AC4837">
        <v>0.64589999999998304</v>
      </c>
      <c r="AD4837">
        <v>-1.1209638522131</v>
      </c>
      <c r="AE4837">
        <v>-36.028939999999999</v>
      </c>
      <c r="AF4837">
        <v>-2.1080713241308202</v>
      </c>
      <c r="AG4837">
        <v>-1.1209638522131</v>
      </c>
      <c r="AH4837">
        <v>35.938117131087203</v>
      </c>
      <c r="AI4837">
        <v>91.783498468697601</v>
      </c>
      <c r="AJ4837">
        <v>93.357030190085197</v>
      </c>
      <c r="AK4837">
        <v>36.017340096033301</v>
      </c>
      <c r="AL4837">
        <v>81.863644121696197</v>
      </c>
      <c r="AM4837">
        <v>93.442650923281406</v>
      </c>
      <c r="AN4837">
        <v>0.99999997864310897</v>
      </c>
    </row>
    <row r="4838" spans="1:40" x14ac:dyDescent="0.25">
      <c r="A4838" t="str">
        <f>"20190303162358462"</f>
        <v>20190303162358462</v>
      </c>
      <c r="B4838" t="str">
        <f>"1551601438449198"</f>
        <v>1551601438449198</v>
      </c>
      <c r="C4838" t="s">
        <v>40</v>
      </c>
      <c r="D4838">
        <v>4.8721019999999999</v>
      </c>
      <c r="E4838">
        <v>0.50363809999999998</v>
      </c>
      <c r="F4838" t="s">
        <v>41</v>
      </c>
      <c r="G4838">
        <v>-421.79469999999998</v>
      </c>
      <c r="H4838" s="1">
        <v>-7.8514359999999998E-7</v>
      </c>
      <c r="I4838">
        <v>50.306179999999998</v>
      </c>
      <c r="J4838">
        <v>-422.2577</v>
      </c>
      <c r="K4838">
        <v>1.1209910000000001</v>
      </c>
      <c r="L4838">
        <v>86.337829999999997</v>
      </c>
      <c r="M4838">
        <v>-3.9771580000000001E-2</v>
      </c>
      <c r="N4838">
        <v>-9.8509909999999999E-3</v>
      </c>
      <c r="O4838">
        <v>-0.99916059999999995</v>
      </c>
      <c r="P4838">
        <v>1.9455790000000001E-2</v>
      </c>
      <c r="Q4838">
        <v>0.1296919</v>
      </c>
      <c r="R4838">
        <v>-0.99136380000000002</v>
      </c>
      <c r="S4838">
        <v>3.7902829999999998E-2</v>
      </c>
      <c r="T4838">
        <v>-9.3825459999999999E-2</v>
      </c>
      <c r="U4838">
        <v>-3.0387569999999999</v>
      </c>
      <c r="V4838">
        <v>-5.9076610000000002E-2</v>
      </c>
      <c r="W4838">
        <v>0.13934879999999999</v>
      </c>
      <c r="X4838">
        <v>0.98847960000000001</v>
      </c>
      <c r="Y4838">
        <v>-5.2219460000000002E-2</v>
      </c>
      <c r="Z4838">
        <v>2.0952439999999999E-2</v>
      </c>
      <c r="AA4838">
        <v>0.99841579999999996</v>
      </c>
      <c r="AB4838">
        <v>27</v>
      </c>
      <c r="AC4838">
        <v>0.46300000000002201</v>
      </c>
      <c r="AD4838">
        <v>-1.1209917851436</v>
      </c>
      <c r="AE4838">
        <v>-36.031649999999999</v>
      </c>
      <c r="AF4838">
        <v>-1.8939054721667501</v>
      </c>
      <c r="AG4838">
        <v>-1.1209917851436</v>
      </c>
      <c r="AH4838">
        <v>35.949933118463598</v>
      </c>
      <c r="AI4838">
        <v>91.783548148819307</v>
      </c>
      <c r="AJ4838">
        <v>93.015654277427004</v>
      </c>
      <c r="AK4838">
        <v>36.017234648732703</v>
      </c>
      <c r="AL4838">
        <v>81.989834343193706</v>
      </c>
      <c r="AM4838">
        <v>93.420221282561897</v>
      </c>
      <c r="AN4838">
        <v>1.00000002676334</v>
      </c>
    </row>
    <row r="4839" spans="1:40" x14ac:dyDescent="0.25">
      <c r="A4839" t="str">
        <f>"20190303162358486"</f>
        <v>20190303162358486</v>
      </c>
      <c r="B4839" t="str">
        <f>"1551601438479453"</f>
        <v>1551601438479453</v>
      </c>
      <c r="C4839" t="s">
        <v>40</v>
      </c>
      <c r="D4839">
        <v>4.8870139999999997</v>
      </c>
      <c r="E4839">
        <v>0.50413050000000004</v>
      </c>
      <c r="F4839" t="s">
        <v>41</v>
      </c>
      <c r="G4839">
        <v>-421.90800000000002</v>
      </c>
      <c r="H4839" s="1">
        <v>-1.278834E-6</v>
      </c>
      <c r="I4839">
        <v>51.386690000000002</v>
      </c>
      <c r="J4839">
        <v>-422.26760000000002</v>
      </c>
      <c r="K4839">
        <v>1.121024</v>
      </c>
      <c r="L4839">
        <v>86.063569999999999</v>
      </c>
      <c r="M4839">
        <v>-3.8841849999999997E-2</v>
      </c>
      <c r="N4839">
        <v>-9.8557590000000004E-3</v>
      </c>
      <c r="O4839">
        <v>-0.999197</v>
      </c>
      <c r="P4839">
        <v>2.101573E-2</v>
      </c>
      <c r="Q4839">
        <v>0.12977659999999999</v>
      </c>
      <c r="R4839">
        <v>-0.99132070000000005</v>
      </c>
      <c r="S4839">
        <v>3.0395510000000001E-2</v>
      </c>
      <c r="T4839">
        <v>-9.744775E-2</v>
      </c>
      <c r="U4839">
        <v>-3.0383</v>
      </c>
      <c r="V4839">
        <v>-5.972351E-2</v>
      </c>
      <c r="W4839">
        <v>0.13943229999999901</v>
      </c>
      <c r="X4839">
        <v>0.98842890000000005</v>
      </c>
      <c r="Y4839">
        <v>-4.8825300000000002E-2</v>
      </c>
      <c r="Z4839">
        <v>2.2146269999999999E-2</v>
      </c>
      <c r="AA4839">
        <v>0.99856180000000005</v>
      </c>
      <c r="AB4839">
        <v>27</v>
      </c>
      <c r="AC4839">
        <v>0.35959999999999998</v>
      </c>
      <c r="AD4839">
        <v>-1.1210252788339901</v>
      </c>
      <c r="AE4839">
        <v>-34.676879999999997</v>
      </c>
      <c r="AF4839">
        <v>-1.7045267051686701</v>
      </c>
      <c r="AG4839">
        <v>-1.1210252788339901</v>
      </c>
      <c r="AH4839">
        <v>34.6005844778485</v>
      </c>
      <c r="AI4839">
        <v>91.853432346035405</v>
      </c>
      <c r="AJ4839">
        <v>92.820278881296005</v>
      </c>
      <c r="AK4839">
        <v>34.660677361718598</v>
      </c>
      <c r="AL4839">
        <v>81.985002579142602</v>
      </c>
      <c r="AM4839">
        <v>93.457759901883605</v>
      </c>
      <c r="AN4839">
        <v>0.99999997714260902</v>
      </c>
    </row>
    <row r="4840" spans="1:40" x14ac:dyDescent="0.25">
      <c r="A4840" t="str">
        <f>"20190303162358506"</f>
        <v>20190303162358506</v>
      </c>
      <c r="B4840" t="str">
        <f>"1551601438499950"</f>
        <v>1551601438499950</v>
      </c>
      <c r="C4840" t="s">
        <v>40</v>
      </c>
      <c r="D4840">
        <v>4.8577620000000001</v>
      </c>
      <c r="E4840">
        <v>0.50428430000000002</v>
      </c>
      <c r="F4840" t="s">
        <v>41</v>
      </c>
      <c r="G4840">
        <v>-421.90719999999999</v>
      </c>
      <c r="H4840" s="1">
        <v>-7.3095779999999999E-7</v>
      </c>
      <c r="I4840">
        <v>50.11009</v>
      </c>
      <c r="J4840">
        <v>-422.27690000000001</v>
      </c>
      <c r="K4840">
        <v>1.1210629999999999</v>
      </c>
      <c r="L4840">
        <v>85.798280000000005</v>
      </c>
      <c r="M4840">
        <v>-3.7915699999999997E-2</v>
      </c>
      <c r="N4840">
        <v>-9.86012E-3</v>
      </c>
      <c r="O4840">
        <v>-0.99923240000000002</v>
      </c>
      <c r="P4840">
        <v>2.293833E-2</v>
      </c>
      <c r="Q4840">
        <v>0.1319612</v>
      </c>
      <c r="R4840">
        <v>-0.99098949999999997</v>
      </c>
      <c r="S4840">
        <v>3.0456540000000001E-2</v>
      </c>
      <c r="T4840">
        <v>-9.4725249999999997E-2</v>
      </c>
      <c r="U4840">
        <v>-3.0380250000000002</v>
      </c>
      <c r="V4840">
        <v>-6.0725840000000003E-2</v>
      </c>
      <c r="W4840">
        <v>0.1416125</v>
      </c>
      <c r="X4840">
        <v>0.98805790000000004</v>
      </c>
      <c r="Y4840">
        <v>-4.7921060000000001E-2</v>
      </c>
      <c r="Z4840">
        <v>2.125372E-2</v>
      </c>
      <c r="AA4840">
        <v>0.99862499999999998</v>
      </c>
      <c r="AB4840">
        <v>27</v>
      </c>
      <c r="AC4840">
        <v>0.36970000000002201</v>
      </c>
      <c r="AD4840">
        <v>-1.1210637309578</v>
      </c>
      <c r="AE4840">
        <v>-35.688189999999999</v>
      </c>
      <c r="AF4840">
        <v>-1.72094450600069</v>
      </c>
      <c r="AG4840">
        <v>-1.1210637309578</v>
      </c>
      <c r="AH4840">
        <v>35.613369412918701</v>
      </c>
      <c r="AI4840">
        <v>91.800903096120393</v>
      </c>
      <c r="AJ4840">
        <v>92.766551337175997</v>
      </c>
      <c r="AK4840">
        <v>35.672545673425297</v>
      </c>
      <c r="AL4840">
        <v>81.858835154485902</v>
      </c>
      <c r="AM4840">
        <v>93.516963331265998</v>
      </c>
      <c r="AN4840">
        <v>1.00000007077618</v>
      </c>
    </row>
    <row r="4841" spans="1:40" x14ac:dyDescent="0.25">
      <c r="A4841" t="str">
        <f>"20190303162358529"</f>
        <v>20190303162358529</v>
      </c>
      <c r="B4841" t="str">
        <f>"1551601438519469"</f>
        <v>1551601438519469</v>
      </c>
      <c r="C4841" t="s">
        <v>40</v>
      </c>
      <c r="D4841">
        <v>4.833151</v>
      </c>
      <c r="E4841">
        <v>0.50452089999999905</v>
      </c>
      <c r="F4841" t="s">
        <v>41</v>
      </c>
      <c r="G4841">
        <v>-421.82330000000002</v>
      </c>
      <c r="H4841" s="1">
        <v>-3.1357389999999999E-6</v>
      </c>
      <c r="I4841">
        <v>45.76773</v>
      </c>
      <c r="J4841">
        <v>-422.28590000000003</v>
      </c>
      <c r="K4841">
        <v>1.1210819999999999</v>
      </c>
      <c r="L4841">
        <v>85.535550000000001</v>
      </c>
      <c r="M4841">
        <v>-3.6983160000000001E-2</v>
      </c>
      <c r="N4841">
        <v>-9.8643080000000005E-3</v>
      </c>
      <c r="O4841">
        <v>-0.99926749999999998</v>
      </c>
      <c r="P4841">
        <v>2.5044E-2</v>
      </c>
      <c r="Q4841">
        <v>0.133063299999999</v>
      </c>
      <c r="R4841">
        <v>-0.99079119999999998</v>
      </c>
      <c r="S4841">
        <v>3.4423830000000002E-2</v>
      </c>
      <c r="T4841">
        <v>-8.5074659999999996E-2</v>
      </c>
      <c r="U4841">
        <v>-3.037811</v>
      </c>
      <c r="V4841">
        <v>-6.1906019999999999E-2</v>
      </c>
      <c r="W4841">
        <v>0.14271320000000001</v>
      </c>
      <c r="X4841">
        <v>0.98782619999999999</v>
      </c>
      <c r="Y4841">
        <v>-4.8294999999999998E-2</v>
      </c>
      <c r="Z4841">
        <v>1.8084449999999998E-2</v>
      </c>
      <c r="AA4841">
        <v>0.99866940000000004</v>
      </c>
      <c r="AB4841">
        <v>27</v>
      </c>
      <c r="AC4841">
        <v>0.462600000000008</v>
      </c>
      <c r="AD4841">
        <v>-1.1210851357389999</v>
      </c>
      <c r="AE4841">
        <v>-39.76782</v>
      </c>
      <c r="AF4841">
        <v>-1.9315594324106999</v>
      </c>
      <c r="AG4841">
        <v>-1.1210851357389999</v>
      </c>
      <c r="AH4841">
        <v>39.691962834010198</v>
      </c>
      <c r="AI4841">
        <v>91.615957164427002</v>
      </c>
      <c r="AJ4841">
        <v>92.786029155724805</v>
      </c>
      <c r="AK4841">
        <v>39.754743960173499</v>
      </c>
      <c r="AL4841">
        <v>81.795122054303107</v>
      </c>
      <c r="AM4841">
        <v>93.585976109289305</v>
      </c>
      <c r="AN4841">
        <v>1.0000000070864601</v>
      </c>
    </row>
    <row r="4842" spans="1:40" x14ac:dyDescent="0.25">
      <c r="A4842" t="str">
        <f>"20190303162358551"</f>
        <v>20190303162358551</v>
      </c>
      <c r="B4842" t="str">
        <f>"1551601438539965"</f>
        <v>1551601438539965</v>
      </c>
      <c r="C4842" t="s">
        <v>40</v>
      </c>
      <c r="D4842">
        <v>4.858403</v>
      </c>
      <c r="E4842">
        <v>0.50482539999999998</v>
      </c>
      <c r="F4842" t="s">
        <v>41</v>
      </c>
      <c r="G4842">
        <v>-421.73309999999998</v>
      </c>
      <c r="H4842" s="1">
        <v>-1.7999140000000001E-6</v>
      </c>
      <c r="I4842">
        <v>42.709850000000003</v>
      </c>
      <c r="J4842">
        <v>-422.29500000000002</v>
      </c>
      <c r="K4842">
        <v>1.121095</v>
      </c>
      <c r="L4842">
        <v>85.261930000000007</v>
      </c>
      <c r="M4842">
        <v>-3.6005820000000001E-2</v>
      </c>
      <c r="N4842">
        <v>-9.8685490000000008E-3</v>
      </c>
      <c r="O4842">
        <v>-0.99930300000000005</v>
      </c>
      <c r="P4842">
        <v>2.7214229999999999E-2</v>
      </c>
      <c r="Q4842">
        <v>0.1329968</v>
      </c>
      <c r="R4842">
        <v>-0.99074289999999998</v>
      </c>
      <c r="S4842">
        <v>3.9215090000000001E-2</v>
      </c>
      <c r="T4842">
        <v>-7.9516890000000007E-2</v>
      </c>
      <c r="U4842">
        <v>-3.0375670000000001</v>
      </c>
      <c r="V4842">
        <v>-6.3108189999999995E-2</v>
      </c>
      <c r="W4842">
        <v>0.1426471</v>
      </c>
      <c r="X4842">
        <v>0.98775959999999996</v>
      </c>
      <c r="Y4842">
        <v>-4.8894739999999999E-2</v>
      </c>
      <c r="Z4842">
        <v>1.625793E-2</v>
      </c>
      <c r="AA4842">
        <v>0.99867159999999999</v>
      </c>
      <c r="AB4842">
        <v>27</v>
      </c>
      <c r="AC4842">
        <v>0.56190000000003604</v>
      </c>
      <c r="AD4842">
        <v>-1.121096799914</v>
      </c>
      <c r="AE4842">
        <v>-42.552079999999997</v>
      </c>
      <c r="AF4842">
        <v>-2.0922804626536902</v>
      </c>
      <c r="AG4842">
        <v>-1.121096799914</v>
      </c>
      <c r="AH4842">
        <v>42.474774922869003</v>
      </c>
      <c r="AI4842">
        <v>91.510107326562604</v>
      </c>
      <c r="AJ4842">
        <v>92.820074262907298</v>
      </c>
      <c r="AK4842">
        <v>42.541050766495701</v>
      </c>
      <c r="AL4842">
        <v>81.798947842727003</v>
      </c>
      <c r="AM4842">
        <v>93.655671944005704</v>
      </c>
      <c r="AN4842">
        <v>0.99999993308781998</v>
      </c>
    </row>
    <row r="4843" spans="1:40" x14ac:dyDescent="0.25">
      <c r="A4843" t="str">
        <f>"20190303162358574"</f>
        <v>20190303162358574</v>
      </c>
      <c r="B4843" t="str">
        <f>"1551601438559485"</f>
        <v>1551601438559485</v>
      </c>
      <c r="C4843" t="s">
        <v>40</v>
      </c>
      <c r="D4843">
        <v>4.7805210000000002</v>
      </c>
      <c r="E4843">
        <v>0.50524729999999995</v>
      </c>
      <c r="F4843" t="s">
        <v>41</v>
      </c>
      <c r="G4843">
        <v>-421.67439999999999</v>
      </c>
      <c r="H4843" s="1">
        <v>-1.31231E-6</v>
      </c>
      <c r="I4843">
        <v>41.60962</v>
      </c>
      <c r="J4843">
        <v>-422.30399999999997</v>
      </c>
      <c r="K4843">
        <v>1.1210990000000001</v>
      </c>
      <c r="L4843">
        <v>84.98563</v>
      </c>
      <c r="M4843">
        <v>-3.501928E-2</v>
      </c>
      <c r="N4843">
        <v>-9.8726669999999999E-3</v>
      </c>
      <c r="O4843">
        <v>-0.9993379</v>
      </c>
      <c r="P4843">
        <v>2.8218099999999999E-2</v>
      </c>
      <c r="Q4843">
        <v>0.1328384</v>
      </c>
      <c r="R4843">
        <v>-0.99073630000000001</v>
      </c>
      <c r="S4843">
        <v>4.3182369999999998E-2</v>
      </c>
      <c r="T4843">
        <v>-7.8005790000000005E-2</v>
      </c>
      <c r="U4843">
        <v>-3.0373230000000002</v>
      </c>
      <c r="V4843">
        <v>-6.3135510000000006E-2</v>
      </c>
      <c r="W4843">
        <v>0.14249229999999999</v>
      </c>
      <c r="X4843">
        <v>0.98778030000000006</v>
      </c>
      <c r="Y4843">
        <v>-4.921412E-2</v>
      </c>
      <c r="Z4843">
        <v>1.5760360000000001E-2</v>
      </c>
      <c r="AA4843">
        <v>0.99866390000000005</v>
      </c>
      <c r="AB4843">
        <v>27</v>
      </c>
      <c r="AC4843">
        <v>0.62960000000003902</v>
      </c>
      <c r="AD4843">
        <v>-1.1211003123100001</v>
      </c>
      <c r="AE4843">
        <v>-43.376010000000001</v>
      </c>
      <c r="AF4843">
        <v>-2.1468505798606201</v>
      </c>
      <c r="AG4843">
        <v>-1.1211003123100001</v>
      </c>
      <c r="AH4843">
        <v>43.298434804417496</v>
      </c>
      <c r="AI4843">
        <v>91.481374737352496</v>
      </c>
      <c r="AJ4843">
        <v>92.838551231935497</v>
      </c>
      <c r="AK4843">
        <v>43.366119146574597</v>
      </c>
      <c r="AL4843">
        <v>81.807909605488007</v>
      </c>
      <c r="AM4843">
        <v>93.657173783434203</v>
      </c>
      <c r="AN4843">
        <v>1.0000000346251601</v>
      </c>
    </row>
    <row r="4844" spans="1:40" x14ac:dyDescent="0.25">
      <c r="A4844" t="str">
        <f>"20190303162358596"</f>
        <v>20190303162358596</v>
      </c>
      <c r="B4844" t="str">
        <f>"1551601438589742"</f>
        <v>1551601438589742</v>
      </c>
      <c r="C4844" t="s">
        <v>40</v>
      </c>
      <c r="D4844">
        <v>4.8374329999999999</v>
      </c>
      <c r="E4844">
        <v>0.50564070000000005</v>
      </c>
      <c r="F4844" t="s">
        <v>41</v>
      </c>
      <c r="G4844">
        <v>-421.69060000000002</v>
      </c>
      <c r="H4844" s="1">
        <v>-9.4973130000000003E-7</v>
      </c>
      <c r="I4844">
        <v>40.754370000000002</v>
      </c>
      <c r="J4844">
        <v>-422.31229999999999</v>
      </c>
      <c r="K4844">
        <v>1.1210990000000001</v>
      </c>
      <c r="L4844">
        <v>84.718019999999996</v>
      </c>
      <c r="M4844">
        <v>-3.4065079999999998E-2</v>
      </c>
      <c r="N4844">
        <v>-9.876513E-3</v>
      </c>
      <c r="O4844">
        <v>-0.99937089999999995</v>
      </c>
      <c r="P4844">
        <v>2.8090179999999999E-2</v>
      </c>
      <c r="Q4844">
        <v>0.134186</v>
      </c>
      <c r="R4844">
        <v>-0.99055800000000005</v>
      </c>
      <c r="S4844">
        <v>4.2114260000000001E-2</v>
      </c>
      <c r="T4844">
        <v>-7.6981899999999895E-2</v>
      </c>
      <c r="U4844">
        <v>-3.037201</v>
      </c>
      <c r="V4844">
        <v>-6.206014E-2</v>
      </c>
      <c r="W4844">
        <v>0.1438439</v>
      </c>
      <c r="X4844">
        <v>0.98765250000000004</v>
      </c>
      <c r="Y4844">
        <v>-4.7910229999999998E-2</v>
      </c>
      <c r="Z4844">
        <v>1.542346E-2</v>
      </c>
      <c r="AA4844">
        <v>0.99873259999999997</v>
      </c>
      <c r="AB4844">
        <v>27</v>
      </c>
      <c r="AC4844">
        <v>0.62169999999997505</v>
      </c>
      <c r="AD4844">
        <v>-1.1210999497312999</v>
      </c>
      <c r="AE4844">
        <v>-43.963650000000001</v>
      </c>
      <c r="AF4844">
        <v>-2.1176605160973501</v>
      </c>
      <c r="AG4844">
        <v>-1.1210999497312999</v>
      </c>
      <c r="AH4844">
        <v>43.888418350289598</v>
      </c>
      <c r="AI4844">
        <v>91.461564058478999</v>
      </c>
      <c r="AJ4844">
        <v>92.762436765778403</v>
      </c>
      <c r="AK4844">
        <v>43.953778181730399</v>
      </c>
      <c r="AL4844">
        <v>81.729662222405807</v>
      </c>
      <c r="AM4844">
        <v>93.595510880923598</v>
      </c>
      <c r="AN4844">
        <v>0.999999994650139</v>
      </c>
    </row>
    <row r="4845" spans="1:40" x14ac:dyDescent="0.25">
      <c r="A4845" t="str">
        <f>"20190303162358619"</f>
        <v>20190303162358619</v>
      </c>
      <c r="B4845" t="str">
        <f>"1551601438609262"</f>
        <v>1551601438609262</v>
      </c>
      <c r="C4845" t="s">
        <v>40</v>
      </c>
      <c r="D4845">
        <v>4.8194059999999999</v>
      </c>
      <c r="E4845">
        <v>0.50599459999999996</v>
      </c>
      <c r="F4845" t="s">
        <v>56</v>
      </c>
      <c r="G4845">
        <v>-421.70139999999998</v>
      </c>
      <c r="H4845" s="1">
        <v>-2.0023529999999999E-6</v>
      </c>
      <c r="I4845">
        <v>36.845590000000001</v>
      </c>
      <c r="J4845">
        <v>-422.32069999999999</v>
      </c>
      <c r="K4845">
        <v>1.1211180000000001</v>
      </c>
      <c r="L4845">
        <v>84.441040000000001</v>
      </c>
      <c r="M4845">
        <v>-3.3072520000000001E-2</v>
      </c>
      <c r="N4845">
        <v>-9.8804489999999995E-3</v>
      </c>
      <c r="O4845">
        <v>-0.99940399999999996</v>
      </c>
      <c r="P4845">
        <v>2.8282720000000001E-2</v>
      </c>
      <c r="Q4845">
        <v>0.13507479999999999</v>
      </c>
      <c r="R4845">
        <v>-0.99043150000000002</v>
      </c>
      <c r="S4845">
        <v>3.8757319999999998E-2</v>
      </c>
      <c r="T4845">
        <v>-7.1125270000000004E-2</v>
      </c>
      <c r="U4845">
        <v>-3.03714</v>
      </c>
      <c r="V4845">
        <v>-6.1269820000000003E-2</v>
      </c>
      <c r="W4845">
        <v>0.14473620000000001</v>
      </c>
      <c r="X4845">
        <v>0.98757150000000005</v>
      </c>
      <c r="Y4845">
        <v>-4.5815849999999998E-2</v>
      </c>
      <c r="Z4845">
        <v>1.3498660000000001E-2</v>
      </c>
      <c r="AA4845">
        <v>0.99885869999999999</v>
      </c>
      <c r="AB4845">
        <v>27</v>
      </c>
      <c r="AC4845">
        <v>0.61930000000000895</v>
      </c>
      <c r="AD4845">
        <v>-1.1211200023529999</v>
      </c>
      <c r="AE4845">
        <v>-47.59545</v>
      </c>
      <c r="AF4845">
        <v>-2.1919236980765802</v>
      </c>
      <c r="AG4845">
        <v>-1.1211200023529999</v>
      </c>
      <c r="AH4845">
        <v>47.522564470505401</v>
      </c>
      <c r="AI4845">
        <v>91.349997660748699</v>
      </c>
      <c r="AJ4845">
        <v>92.640830367515704</v>
      </c>
      <c r="AK4845">
        <v>47.586296067368103</v>
      </c>
      <c r="AL4845">
        <v>81.677996691400494</v>
      </c>
      <c r="AM4845">
        <v>93.550131217475197</v>
      </c>
      <c r="AN4845">
        <v>1.00000001302276</v>
      </c>
    </row>
    <row r="4846" spans="1:40" x14ac:dyDescent="0.25">
      <c r="A4846" t="str">
        <f>"20190303162358642"</f>
        <v>20190303162358642</v>
      </c>
      <c r="B4846" t="str">
        <f>"1551601438629758"</f>
        <v>1551601438629758</v>
      </c>
      <c r="C4846" t="s">
        <v>40</v>
      </c>
      <c r="D4846">
        <v>4.8676459999999997</v>
      </c>
      <c r="E4846">
        <v>0.50624349999999996</v>
      </c>
      <c r="F4846" t="s">
        <v>56</v>
      </c>
      <c r="G4846">
        <v>-421.73050000000001</v>
      </c>
      <c r="H4846" s="1">
        <v>-3.6446510000000001E-6</v>
      </c>
      <c r="I4846">
        <v>33.978940000000001</v>
      </c>
      <c r="J4846">
        <v>-422.32909999999998</v>
      </c>
      <c r="K4846">
        <v>1.12114</v>
      </c>
      <c r="L4846">
        <v>84.155360000000002</v>
      </c>
      <c r="M4846">
        <v>-3.2026949999999998E-2</v>
      </c>
      <c r="N4846">
        <v>-9.8846109999999997E-3</v>
      </c>
      <c r="O4846">
        <v>-0.99943820000000005</v>
      </c>
      <c r="P4846">
        <v>2.7434170000000001E-2</v>
      </c>
      <c r="Q4846">
        <v>0.1364464</v>
      </c>
      <c r="R4846">
        <v>-0.99026760000000003</v>
      </c>
      <c r="S4846">
        <v>3.5522459999999999E-2</v>
      </c>
      <c r="T4846">
        <v>-6.7477110000000007E-2</v>
      </c>
      <c r="U4846">
        <v>-3.0371700000000001</v>
      </c>
      <c r="V4846">
        <v>-5.9390409999999998E-2</v>
      </c>
      <c r="W4846">
        <v>0.1461114</v>
      </c>
      <c r="X4846">
        <v>0.98748380000000002</v>
      </c>
      <c r="Y4846">
        <v>-4.3707610000000001E-2</v>
      </c>
      <c r="Z4846">
        <v>1.229804E-2</v>
      </c>
      <c r="AA4846">
        <v>0.99896870000000004</v>
      </c>
      <c r="AB4846">
        <v>27</v>
      </c>
      <c r="AC4846">
        <v>0.59859999999997604</v>
      </c>
      <c r="AD4846">
        <v>-1.1211436446509999</v>
      </c>
      <c r="AE4846">
        <v>-50.17642</v>
      </c>
      <c r="AF4846">
        <v>-2.20426864285474</v>
      </c>
      <c r="AG4846">
        <v>-1.1211436446509999</v>
      </c>
      <c r="AH4846">
        <v>50.106492600272901</v>
      </c>
      <c r="AI4846">
        <v>91.280553523103904</v>
      </c>
      <c r="AJ4846">
        <v>92.518913345157202</v>
      </c>
      <c r="AK4846">
        <v>50.167483134227702</v>
      </c>
      <c r="AL4846">
        <v>81.598356878361997</v>
      </c>
      <c r="AM4846">
        <v>93.441804132219602</v>
      </c>
      <c r="AN4846">
        <v>1.00000000863618</v>
      </c>
    </row>
    <row r="4847" spans="1:40" x14ac:dyDescent="0.25">
      <c r="A4847" t="str">
        <f>"20190303162358663"</f>
        <v>20190303162358663</v>
      </c>
      <c r="B4847" t="str">
        <f>"1551601438650254"</f>
        <v>1551601438650254</v>
      </c>
      <c r="C4847" t="s">
        <v>40</v>
      </c>
      <c r="D4847">
        <v>4.849869</v>
      </c>
      <c r="E4847">
        <v>0.5065035</v>
      </c>
      <c r="F4847" t="s">
        <v>56</v>
      </c>
      <c r="G4847">
        <v>-421.7534</v>
      </c>
      <c r="H4847" s="1">
        <v>-5.6557309999999997E-6</v>
      </c>
      <c r="I4847">
        <v>29.955300000000001</v>
      </c>
      <c r="J4847">
        <v>-422.33620000000002</v>
      </c>
      <c r="K4847">
        <v>1.12117</v>
      </c>
      <c r="L4847">
        <v>83.899900000000002</v>
      </c>
      <c r="M4847">
        <v>-3.1050660000000001E-2</v>
      </c>
      <c r="N4847">
        <v>-9.8884850000000007E-3</v>
      </c>
      <c r="O4847">
        <v>-0.99946900000000005</v>
      </c>
      <c r="P4847">
        <v>2.5422699999999999E-2</v>
      </c>
      <c r="Q4847">
        <v>0.1375142</v>
      </c>
      <c r="R4847">
        <v>-0.99017390000000005</v>
      </c>
      <c r="S4847">
        <v>3.225708E-2</v>
      </c>
      <c r="T4847">
        <v>-6.2826750000000001E-2</v>
      </c>
      <c r="U4847">
        <v>-3.0372620000000001</v>
      </c>
      <c r="V4847">
        <v>-5.6423550000000003E-2</v>
      </c>
      <c r="W4847">
        <v>0.1471845</v>
      </c>
      <c r="X4847">
        <v>0.9874984</v>
      </c>
      <c r="Y4847">
        <v>-4.1658239999999999E-2</v>
      </c>
      <c r="Z4847">
        <v>1.076738E-2</v>
      </c>
      <c r="AA4847">
        <v>0.99907389999999996</v>
      </c>
      <c r="AB4847">
        <v>27</v>
      </c>
      <c r="AC4847">
        <v>0.58280000000001997</v>
      </c>
      <c r="AD4847">
        <v>-1.121175655731</v>
      </c>
      <c r="AE4847">
        <v>-53.944600000000001</v>
      </c>
      <c r="AF4847">
        <v>-2.25664142961773</v>
      </c>
      <c r="AG4847">
        <v>-1.121175655731</v>
      </c>
      <c r="AH4847">
        <v>53.877218308151399</v>
      </c>
      <c r="AI4847">
        <v>91.191099221562695</v>
      </c>
      <c r="AJ4847">
        <v>92.398425594852</v>
      </c>
      <c r="AK4847">
        <v>53.936111446943102</v>
      </c>
      <c r="AL4847">
        <v>81.536200647864007</v>
      </c>
      <c r="AM4847">
        <v>93.270202809881198</v>
      </c>
      <c r="AN4847">
        <v>0.99999999201870604</v>
      </c>
    </row>
    <row r="4848" spans="1:40" x14ac:dyDescent="0.25">
      <c r="A4848" t="str">
        <f>"20190303162358686"</f>
        <v>20190303162358686</v>
      </c>
      <c r="B4848" t="str">
        <f>"1551601438679534"</f>
        <v>1551601438679534</v>
      </c>
      <c r="C4848" t="s">
        <v>40</v>
      </c>
      <c r="D4848">
        <v>4.8796189999999999</v>
      </c>
      <c r="E4848">
        <v>0.50686880000000001</v>
      </c>
      <c r="F4848" t="s">
        <v>56</v>
      </c>
      <c r="G4848">
        <v>-421.8623</v>
      </c>
      <c r="H4848" s="1">
        <v>-6.8172529999999997E-6</v>
      </c>
      <c r="I4848">
        <v>27.204149999999998</v>
      </c>
      <c r="J4848">
        <v>-422.34379999999999</v>
      </c>
      <c r="K4848">
        <v>1.121216</v>
      </c>
      <c r="L4848">
        <v>83.618709999999993</v>
      </c>
      <c r="M4848">
        <v>-2.9901580000000001E-2</v>
      </c>
      <c r="N4848">
        <v>-9.8930819999999992E-3</v>
      </c>
      <c r="O4848">
        <v>-0.99950410000000001</v>
      </c>
      <c r="P4848">
        <v>2.3905570000000001E-2</v>
      </c>
      <c r="Q4848">
        <v>0.136908</v>
      </c>
      <c r="R4848">
        <v>-0.9902955</v>
      </c>
      <c r="S4848">
        <v>2.5390630000000001E-2</v>
      </c>
      <c r="T4848">
        <v>-6.0067059999999999E-2</v>
      </c>
      <c r="U4848">
        <v>-3.0374759999999998</v>
      </c>
      <c r="V4848">
        <v>-5.3790829999999998E-2</v>
      </c>
      <c r="W4848">
        <v>0.14658360000000001</v>
      </c>
      <c r="X4848">
        <v>0.98773469999999997</v>
      </c>
      <c r="Y4848">
        <v>-3.8251060000000003E-2</v>
      </c>
      <c r="Z4848">
        <v>9.8572639999999993E-3</v>
      </c>
      <c r="AA4848">
        <v>0.99921950000000004</v>
      </c>
      <c r="AB4848">
        <v>27</v>
      </c>
      <c r="AC4848">
        <v>0.481499999999982</v>
      </c>
      <c r="AD4848">
        <v>-1.1212228172530001</v>
      </c>
      <c r="AE4848">
        <v>-56.414560000000002</v>
      </c>
      <c r="AF4848">
        <v>-2.16739528599064</v>
      </c>
      <c r="AG4848">
        <v>-1.1212228172530001</v>
      </c>
      <c r="AH4848">
        <v>56.352675424862703</v>
      </c>
      <c r="AI4848">
        <v>91.138995017458498</v>
      </c>
      <c r="AJ4848">
        <v>92.202582621302497</v>
      </c>
      <c r="AK4848">
        <v>56.405485287085298</v>
      </c>
      <c r="AL4848">
        <v>81.571007453689802</v>
      </c>
      <c r="AM4848">
        <v>93.117179273818707</v>
      </c>
      <c r="AN4848">
        <v>1.0000000213825599</v>
      </c>
    </row>
    <row r="4849" spans="1:40" x14ac:dyDescent="0.25">
      <c r="A4849" t="str">
        <f>"20190303162358706"</f>
        <v>20190303162358706</v>
      </c>
      <c r="B4849" t="str">
        <f>"1551601438700030"</f>
        <v>1551601438700030</v>
      </c>
      <c r="C4849" t="s">
        <v>40</v>
      </c>
      <c r="D4849">
        <v>4.8963140000000003</v>
      </c>
      <c r="E4849">
        <v>0.50696200000000002</v>
      </c>
      <c r="F4849" t="s">
        <v>56</v>
      </c>
      <c r="G4849">
        <v>-422.0095</v>
      </c>
      <c r="H4849" s="1">
        <v>-6.1021889999999997E-6</v>
      </c>
      <c r="I4849">
        <v>28.980730000000001</v>
      </c>
      <c r="J4849">
        <v>-422.3503</v>
      </c>
      <c r="K4849">
        <v>1.12127</v>
      </c>
      <c r="L4849">
        <v>83.360200000000006</v>
      </c>
      <c r="M4849">
        <v>-2.878172E-2</v>
      </c>
      <c r="N4849">
        <v>-9.8975290000000004E-3</v>
      </c>
      <c r="O4849">
        <v>-0.9995368</v>
      </c>
      <c r="P4849">
        <v>2.3507259999999999E-2</v>
      </c>
      <c r="Q4849">
        <v>0.13653489999999999</v>
      </c>
      <c r="R4849">
        <v>-0.99035649999999997</v>
      </c>
      <c r="S4849">
        <v>1.8585210000000001E-2</v>
      </c>
      <c r="T4849">
        <v>-6.2333699999999999E-2</v>
      </c>
      <c r="U4849">
        <v>-3.0375670000000001</v>
      </c>
      <c r="V4849">
        <v>-5.2304879999999998E-2</v>
      </c>
      <c r="W4849">
        <v>0.1462118</v>
      </c>
      <c r="X4849">
        <v>0.98786960000000001</v>
      </c>
      <c r="Y4849">
        <v>-3.489279E-2</v>
      </c>
      <c r="Z4849">
        <v>1.0600099999999999E-2</v>
      </c>
      <c r="AA4849">
        <v>0.99933490000000003</v>
      </c>
      <c r="AB4849">
        <v>27</v>
      </c>
      <c r="AC4849">
        <v>0.34080000000000099</v>
      </c>
      <c r="AD4849">
        <v>-1.1212761021889901</v>
      </c>
      <c r="AE4849">
        <v>-54.379469999999998</v>
      </c>
      <c r="AF4849">
        <v>-1.9050600894374701</v>
      </c>
      <c r="AG4849">
        <v>-1.1212761021889901</v>
      </c>
      <c r="AH4849">
        <v>54.324034557742301</v>
      </c>
      <c r="AI4849">
        <v>91.181720342400993</v>
      </c>
      <c r="AJ4849">
        <v>92.008451541490999</v>
      </c>
      <c r="AK4849">
        <v>54.368991573069302</v>
      </c>
      <c r="AL4849">
        <v>81.592542019668898</v>
      </c>
      <c r="AM4849">
        <v>93.030818153455499</v>
      </c>
      <c r="AN4849">
        <v>1.0000000187675999</v>
      </c>
    </row>
    <row r="4850" spans="1:40" x14ac:dyDescent="0.25">
      <c r="A4850" t="str">
        <f>"20190303162358730"</f>
        <v>20190303162358730</v>
      </c>
      <c r="B4850" t="str">
        <f>"1551601438719550"</f>
        <v>1551601438719550</v>
      </c>
      <c r="C4850" t="s">
        <v>40</v>
      </c>
      <c r="D4850">
        <v>4.94292</v>
      </c>
      <c r="E4850">
        <v>0.50707360000000001</v>
      </c>
      <c r="F4850" t="s">
        <v>56</v>
      </c>
      <c r="G4850">
        <v>-422.05489999999998</v>
      </c>
      <c r="H4850" s="1">
        <v>-5.5999429999999997E-6</v>
      </c>
      <c r="I4850">
        <v>30.099139999999998</v>
      </c>
      <c r="J4850">
        <v>-422.35680000000002</v>
      </c>
      <c r="K4850">
        <v>1.1213379999999999</v>
      </c>
      <c r="L4850">
        <v>83.085750000000004</v>
      </c>
      <c r="M4850">
        <v>-2.7505760000000001E-2</v>
      </c>
      <c r="N4850">
        <v>-9.9024030000000006E-3</v>
      </c>
      <c r="O4850">
        <v>-0.99957289999999999</v>
      </c>
      <c r="P4850">
        <v>2.4082989999999999E-2</v>
      </c>
      <c r="Q4850">
        <v>0.13721910000000001</v>
      </c>
      <c r="R4850">
        <v>-0.99024840000000003</v>
      </c>
      <c r="S4850">
        <v>1.6845699999999901E-2</v>
      </c>
      <c r="T4850">
        <v>-6.3949469999999994E-2</v>
      </c>
      <c r="U4850">
        <v>-3.0376280000000002</v>
      </c>
      <c r="V4850">
        <v>-5.1638709999999997E-2</v>
      </c>
      <c r="W4850">
        <v>0.14689389999999999</v>
      </c>
      <c r="X4850">
        <v>0.98780349999999995</v>
      </c>
      <c r="Y4850">
        <v>-3.3044759999999999E-2</v>
      </c>
      <c r="Z4850">
        <v>1.1127919999999999E-2</v>
      </c>
      <c r="AA4850">
        <v>0.9993919</v>
      </c>
      <c r="AB4850">
        <v>27</v>
      </c>
      <c r="AC4850">
        <v>0.30190000000004602</v>
      </c>
      <c r="AD4850">
        <v>-1.1213435999429999</v>
      </c>
      <c r="AE4850">
        <v>-52.986609999999999</v>
      </c>
      <c r="AF4850">
        <v>-1.75850621648707</v>
      </c>
      <c r="AG4850">
        <v>-1.1213435999429999</v>
      </c>
      <c r="AH4850">
        <v>52.9345492493458</v>
      </c>
      <c r="AI4850">
        <v>91.212879716722199</v>
      </c>
      <c r="AJ4850">
        <v>91.902688248048094</v>
      </c>
      <c r="AK4850">
        <v>52.9756194849477</v>
      </c>
      <c r="AL4850">
        <v>81.553034382424599</v>
      </c>
      <c r="AM4850">
        <v>92.992487252375398</v>
      </c>
      <c r="AN4850">
        <v>1.00000006441996</v>
      </c>
    </row>
    <row r="4851" spans="1:40" x14ac:dyDescent="0.25">
      <c r="A4851" t="str">
        <f>"20190303162358753"</f>
        <v>20190303162358753</v>
      </c>
      <c r="B4851" t="str">
        <f>"1551601438740046"</f>
        <v>1551601438740046</v>
      </c>
      <c r="C4851" t="s">
        <v>40</v>
      </c>
      <c r="D4851">
        <v>4.954167</v>
      </c>
      <c r="E4851">
        <v>0.50712389999999996</v>
      </c>
      <c r="F4851" t="s">
        <v>56</v>
      </c>
      <c r="G4851">
        <v>-422.05270000000002</v>
      </c>
      <c r="H4851" s="1">
        <v>-6.328098E-6</v>
      </c>
      <c r="I4851">
        <v>28.43224</v>
      </c>
      <c r="J4851">
        <v>-422.36309999999997</v>
      </c>
      <c r="K4851">
        <v>1.1214170000000001</v>
      </c>
      <c r="L4851">
        <v>82.802949999999996</v>
      </c>
      <c r="M4851">
        <v>-2.6080610000000001E-2</v>
      </c>
      <c r="N4851">
        <v>-9.9076430000000007E-3</v>
      </c>
      <c r="O4851">
        <v>-0.99961100000000003</v>
      </c>
      <c r="P4851">
        <v>2.460832E-2</v>
      </c>
      <c r="Q4851">
        <v>0.13773279999999999</v>
      </c>
      <c r="R4851">
        <v>-0.99016400000000004</v>
      </c>
      <c r="S4851">
        <v>1.690674E-2</v>
      </c>
      <c r="T4851">
        <v>-6.2327149999999998E-2</v>
      </c>
      <c r="U4851">
        <v>-3.0377809999999998</v>
      </c>
      <c r="V4851">
        <v>-5.0779409999999997E-2</v>
      </c>
      <c r="W4851">
        <v>0.1474047</v>
      </c>
      <c r="X4851">
        <v>0.98777190000000004</v>
      </c>
      <c r="Y4851">
        <v>-3.163991E-2</v>
      </c>
      <c r="Z4851">
        <v>1.0589970000000001E-2</v>
      </c>
      <c r="AA4851">
        <v>0.99944319999999998</v>
      </c>
      <c r="AB4851">
        <v>27</v>
      </c>
      <c r="AC4851">
        <v>0.31039999999995799</v>
      </c>
      <c r="AD4851">
        <v>-1.1214233280979999</v>
      </c>
      <c r="AE4851">
        <v>-54.370709999999903</v>
      </c>
      <c r="AF4851">
        <v>-1.7276499900704301</v>
      </c>
      <c r="AG4851">
        <v>-1.1214233280979999</v>
      </c>
      <c r="AH4851">
        <v>54.321009775519101</v>
      </c>
      <c r="AI4851">
        <v>91.182070072302196</v>
      </c>
      <c r="AJ4851">
        <v>91.821646866594406</v>
      </c>
      <c r="AK4851">
        <v>54.360044773721697</v>
      </c>
      <c r="AL4851">
        <v>81.523445142462194</v>
      </c>
      <c r="AM4851">
        <v>92.942872662716894</v>
      </c>
      <c r="AN4851">
        <v>1.00000001024582</v>
      </c>
    </row>
    <row r="4852" spans="1:40" x14ac:dyDescent="0.25">
      <c r="A4852" t="str">
        <f>"20190303162358775"</f>
        <v>20190303162358775</v>
      </c>
      <c r="B4852" t="str">
        <f>"1551601438769325"</f>
        <v>1551601438769325</v>
      </c>
      <c r="C4852" t="s">
        <v>40</v>
      </c>
      <c r="D4852">
        <v>4.9879619999999996</v>
      </c>
      <c r="E4852">
        <v>0.50713679999999906</v>
      </c>
      <c r="F4852" t="s">
        <v>56</v>
      </c>
      <c r="G4852">
        <v>-422.01159999999999</v>
      </c>
      <c r="H4852" s="1">
        <v>-6.6613360000000002E-6</v>
      </c>
      <c r="I4852">
        <v>27.608229999999999</v>
      </c>
      <c r="J4852">
        <v>-422.36869999999999</v>
      </c>
      <c r="K4852">
        <v>1.1214869999999999</v>
      </c>
      <c r="L4852">
        <v>82.531400000000005</v>
      </c>
      <c r="M4852">
        <v>-2.4604709999999998E-2</v>
      </c>
      <c r="N4852">
        <v>-9.9130050000000008E-3</v>
      </c>
      <c r="O4852">
        <v>-0.99964819999999999</v>
      </c>
      <c r="P4852">
        <v>2.6124979999999999E-2</v>
      </c>
      <c r="Q4852">
        <v>0.13717579999999999</v>
      </c>
      <c r="R4852">
        <v>-0.99020249999999999</v>
      </c>
      <c r="S4852">
        <v>1.934814E-2</v>
      </c>
      <c r="T4852">
        <v>-6.1722869999999999E-2</v>
      </c>
      <c r="U4852">
        <v>-3.037903</v>
      </c>
      <c r="V4852">
        <v>-5.0861879999999998E-2</v>
      </c>
      <c r="W4852">
        <v>0.14684440000000001</v>
      </c>
      <c r="X4852">
        <v>0.98785109999999998</v>
      </c>
      <c r="Y4852">
        <v>-3.0967290000000001E-2</v>
      </c>
      <c r="Z4852">
        <v>1.0386370000000001E-2</v>
      </c>
      <c r="AA4852">
        <v>0.99946639999999998</v>
      </c>
      <c r="AB4852">
        <v>27</v>
      </c>
      <c r="AC4852">
        <v>0.35710000000000203</v>
      </c>
      <c r="AD4852">
        <v>-1.121493661336</v>
      </c>
      <c r="AE4852">
        <v>-54.923169999999999</v>
      </c>
      <c r="AF4852">
        <v>-1.7077148303824199</v>
      </c>
      <c r="AG4852">
        <v>-1.121493661336</v>
      </c>
      <c r="AH4852">
        <v>54.8748750300187</v>
      </c>
      <c r="AI4852">
        <v>91.170241021015002</v>
      </c>
      <c r="AJ4852">
        <v>91.782478488846493</v>
      </c>
      <c r="AK4852">
        <v>54.912894182828303</v>
      </c>
      <c r="AL4852">
        <v>81.555901086660299</v>
      </c>
      <c r="AM4852">
        <v>92.947407803851604</v>
      </c>
      <c r="AN4852">
        <v>1.0000000022098501</v>
      </c>
    </row>
    <row r="4853" spans="1:40" x14ac:dyDescent="0.25">
      <c r="A4853" t="str">
        <f>"20190303162358797"</f>
        <v>20190303162358797</v>
      </c>
      <c r="B4853" t="str">
        <f>"1551601438789821"</f>
        <v>1551601438789821</v>
      </c>
      <c r="C4853" t="s">
        <v>40</v>
      </c>
      <c r="D4853">
        <v>5.0451779999999999</v>
      </c>
      <c r="E4853">
        <v>0.50720229999999999</v>
      </c>
      <c r="F4853" t="s">
        <v>56</v>
      </c>
      <c r="G4853">
        <v>-421.9461</v>
      </c>
      <c r="H4853" s="1">
        <v>-5.5718800000000003E-6</v>
      </c>
      <c r="I4853">
        <v>30.14181</v>
      </c>
      <c r="J4853">
        <v>-422.37369999999999</v>
      </c>
      <c r="K4853">
        <v>1.121561</v>
      </c>
      <c r="L4853">
        <v>82.256590000000003</v>
      </c>
      <c r="M4853">
        <v>-2.3013519999999999E-2</v>
      </c>
      <c r="N4853">
        <v>-9.9185609999999994E-3</v>
      </c>
      <c r="O4853">
        <v>-0.99968610000000002</v>
      </c>
      <c r="P4853">
        <v>2.8405349999999999E-2</v>
      </c>
      <c r="Q4853">
        <v>0.13609289999999999</v>
      </c>
      <c r="R4853">
        <v>-0.99028899999999997</v>
      </c>
      <c r="S4853">
        <v>2.4505619999999999E-2</v>
      </c>
      <c r="T4853">
        <v>-6.5034990000000001E-2</v>
      </c>
      <c r="U4853">
        <v>-3.0380549999999999</v>
      </c>
      <c r="V4853">
        <v>-5.1592840000000001E-2</v>
      </c>
      <c r="W4853">
        <v>0.14575659999999999</v>
      </c>
      <c r="X4853">
        <v>0.98797429999999997</v>
      </c>
      <c r="Y4853">
        <v>-3.1072349999999999E-2</v>
      </c>
      <c r="Z4853">
        <v>1.14696E-2</v>
      </c>
      <c r="AA4853">
        <v>0.99945130000000004</v>
      </c>
      <c r="AB4853">
        <v>28</v>
      </c>
      <c r="AC4853">
        <v>0.42759999999998399</v>
      </c>
      <c r="AD4853">
        <v>-1.1215665718799901</v>
      </c>
      <c r="AE4853">
        <v>-52.114780000000003</v>
      </c>
      <c r="AF4853">
        <v>-1.62613698617626</v>
      </c>
      <c r="AG4853">
        <v>-1.1215665718799901</v>
      </c>
      <c r="AH4853">
        <v>52.067021599049902</v>
      </c>
      <c r="AI4853">
        <v>91.233406280983203</v>
      </c>
      <c r="AJ4853">
        <v>91.788858047285302</v>
      </c>
      <c r="AK4853">
        <v>52.104481297378797</v>
      </c>
      <c r="AL4853">
        <v>81.618905439470396</v>
      </c>
      <c r="AM4853">
        <v>92.9893179476623</v>
      </c>
      <c r="AN4853">
        <v>1.0000000125216499</v>
      </c>
    </row>
    <row r="4854" spans="1:40" x14ac:dyDescent="0.25">
      <c r="A4854" t="str">
        <f>"20190303162358821"</f>
        <v>20190303162358821</v>
      </c>
      <c r="B4854" t="str">
        <f>"1551601438809342"</f>
        <v>1551601438809342</v>
      </c>
      <c r="C4854" t="s">
        <v>40</v>
      </c>
      <c r="D4854">
        <v>5.0154629999999996</v>
      </c>
      <c r="E4854">
        <v>0.52894010000000002</v>
      </c>
      <c r="F4854" t="s">
        <v>56</v>
      </c>
      <c r="G4854">
        <v>-421.88200000000001</v>
      </c>
      <c r="H4854" s="1">
        <v>-4.0855699999999999E-6</v>
      </c>
      <c r="I4854">
        <v>33.05151</v>
      </c>
      <c r="J4854">
        <v>-422.3784</v>
      </c>
      <c r="K4854">
        <v>1.1216330000000001</v>
      </c>
      <c r="L4854">
        <v>81.972319999999996</v>
      </c>
      <c r="M4854">
        <v>-2.1286590000000001E-2</v>
      </c>
      <c r="N4854">
        <v>-9.9240149999999996E-3</v>
      </c>
      <c r="O4854">
        <v>-0.99972430000000001</v>
      </c>
      <c r="P4854">
        <v>3.305222E-2</v>
      </c>
      <c r="Q4854">
        <v>0.13596449999999999</v>
      </c>
      <c r="R4854">
        <v>-0.99016249999999995</v>
      </c>
      <c r="S4854">
        <v>3.0364990000000001E-2</v>
      </c>
      <c r="T4854">
        <v>-6.9248439999999994E-2</v>
      </c>
      <c r="U4854">
        <v>-3.0380549999999999</v>
      </c>
      <c r="V4854">
        <v>-5.455086E-2</v>
      </c>
      <c r="W4854">
        <v>0.14561559999999901</v>
      </c>
      <c r="X4854">
        <v>0.98783620000000005</v>
      </c>
      <c r="Y4854">
        <v>-3.1272800000000003E-2</v>
      </c>
      <c r="Z4854">
        <v>1.2850250000000001E-2</v>
      </c>
      <c r="AA4854">
        <v>0.99942830000000005</v>
      </c>
      <c r="AB4854">
        <v>28</v>
      </c>
      <c r="AC4854">
        <v>0.49640000000005102</v>
      </c>
      <c r="AD4854">
        <v>-1.12163708557</v>
      </c>
      <c r="AE4854">
        <v>-48.920810000000003</v>
      </c>
      <c r="AF4854">
        <v>-1.5368880534078699</v>
      </c>
      <c r="AG4854">
        <v>-1.12163708557</v>
      </c>
      <c r="AH4854">
        <v>48.873468078685399</v>
      </c>
      <c r="AI4854">
        <v>91.314047477895102</v>
      </c>
      <c r="AJ4854">
        <v>91.801144753520006</v>
      </c>
      <c r="AK4854">
        <v>48.910489434054099</v>
      </c>
      <c r="AL4854">
        <v>81.627071402696103</v>
      </c>
      <c r="AM4854">
        <v>93.160810170525295</v>
      </c>
      <c r="AN4854">
        <v>1.0000000286602599</v>
      </c>
    </row>
    <row r="4855" spans="1:40" x14ac:dyDescent="0.25">
      <c r="A4855" t="str">
        <f>"20190303162358843"</f>
        <v>20190303162358843</v>
      </c>
      <c r="B4855" t="str">
        <f>"1551601438829839"</f>
        <v>1551601438829839</v>
      </c>
      <c r="C4855" t="s">
        <v>40</v>
      </c>
      <c r="D4855">
        <v>5.0218550000000004</v>
      </c>
      <c r="E4855">
        <v>0.52942739999999999</v>
      </c>
      <c r="F4855" t="s">
        <v>41</v>
      </c>
      <c r="G4855">
        <v>-422.98930000000001</v>
      </c>
      <c r="H4855" s="1">
        <v>-4.1334400000000004E-6</v>
      </c>
      <c r="I4855">
        <v>67.574929999999995</v>
      </c>
      <c r="J4855">
        <v>-422.38249999999999</v>
      </c>
      <c r="K4855">
        <v>1.1216870000000001</v>
      </c>
      <c r="L4855">
        <v>81.697719999999904</v>
      </c>
      <c r="M4855">
        <v>-1.9562340000000001E-2</v>
      </c>
      <c r="N4855">
        <v>-9.9288889999999998E-3</v>
      </c>
      <c r="O4855">
        <v>-0.99975959999999997</v>
      </c>
      <c r="P4855">
        <v>3.8979350000000003E-2</v>
      </c>
      <c r="Q4855">
        <v>0.13705809999999999</v>
      </c>
      <c r="R4855">
        <v>-0.98979600000000001</v>
      </c>
      <c r="S4855">
        <v>-0.13012699999999999</v>
      </c>
      <c r="T4855">
        <v>-0.2389328</v>
      </c>
      <c r="U4855">
        <v>-3.0669559999999998</v>
      </c>
      <c r="V4855">
        <v>-5.878307E-2</v>
      </c>
      <c r="W4855">
        <v>0.14669109999999999</v>
      </c>
      <c r="X4855">
        <v>0.98743420000000004</v>
      </c>
      <c r="Y4855">
        <v>2.2729530000000001E-2</v>
      </c>
      <c r="Z4855">
        <v>6.7704589999999995E-2</v>
      </c>
      <c r="AA4855">
        <v>0.99744650000000001</v>
      </c>
      <c r="AB4855">
        <v>28</v>
      </c>
      <c r="AC4855">
        <v>-0.60680000000002099</v>
      </c>
      <c r="AD4855">
        <v>-1.1216911334399999</v>
      </c>
      <c r="AE4855">
        <v>-14.122789999999901</v>
      </c>
      <c r="AF4855">
        <v>0.32832816097019102</v>
      </c>
      <c r="AG4855">
        <v>-1.1216911334399999</v>
      </c>
      <c r="AH4855">
        <v>14.0435320045433</v>
      </c>
      <c r="AI4855">
        <v>94.565416612292594</v>
      </c>
      <c r="AJ4855">
        <v>88.660707892360307</v>
      </c>
      <c r="AK4855">
        <v>14.092082228781999</v>
      </c>
      <c r="AL4855">
        <v>81.564780784934499</v>
      </c>
      <c r="AM4855">
        <v>93.406861490890904</v>
      </c>
      <c r="AN4855">
        <v>1.0000000137337299</v>
      </c>
    </row>
    <row r="4856" spans="1:40" x14ac:dyDescent="0.25">
      <c r="A4856" t="str">
        <f>"20190303162358864"</f>
        <v>20190303162358864</v>
      </c>
      <c r="B4856" t="str">
        <f>"1551601438849359"</f>
        <v>1551601438849359</v>
      </c>
      <c r="C4856" t="s">
        <v>40</v>
      </c>
      <c r="D4856">
        <v>5.0823559999999999</v>
      </c>
      <c r="E4856">
        <v>0.53058430000000001</v>
      </c>
      <c r="F4856" t="s">
        <v>42</v>
      </c>
      <c r="G4856">
        <v>-422.42070000000001</v>
      </c>
      <c r="H4856">
        <v>1.0443070000000001</v>
      </c>
      <c r="I4856">
        <v>80.722980000000007</v>
      </c>
      <c r="J4856">
        <v>-422.38589999999999</v>
      </c>
      <c r="K4856">
        <v>1.1217090000000001</v>
      </c>
      <c r="L4856">
        <v>81.425600000000003</v>
      </c>
      <c r="M4856">
        <v>-1.782597E-2</v>
      </c>
      <c r="N4856">
        <v>-9.9332129999999998E-3</v>
      </c>
      <c r="O4856">
        <v>-0.99979200000000001</v>
      </c>
      <c r="P4856">
        <v>4.4177319999999999E-2</v>
      </c>
      <c r="Q4856">
        <v>0.1378221</v>
      </c>
      <c r="R4856">
        <v>-0.98947149999999995</v>
      </c>
      <c r="S4856">
        <v>-0.11853030000000001</v>
      </c>
      <c r="T4856">
        <v>-0.24393870000000001</v>
      </c>
      <c r="U4856">
        <v>-3.069366</v>
      </c>
      <c r="V4856">
        <v>-6.2267910000000003E-2</v>
      </c>
      <c r="W4856">
        <v>0.14744199999999999</v>
      </c>
      <c r="X4856">
        <v>0.98710869999999995</v>
      </c>
      <c r="Y4856">
        <v>2.0666830000000001E-2</v>
      </c>
      <c r="Z4856">
        <v>6.9266350000000004E-2</v>
      </c>
      <c r="AA4856">
        <v>0.9973841</v>
      </c>
      <c r="AB4856">
        <v>28</v>
      </c>
      <c r="AC4856">
        <v>-3.4800000000018302E-2</v>
      </c>
      <c r="AD4856">
        <v>-7.7402000000000096E-2</v>
      </c>
      <c r="AE4856">
        <v>-0.70261999999999603</v>
      </c>
      <c r="AF4856">
        <v>2.2002609162755801E-2</v>
      </c>
      <c r="AG4856">
        <v>-7.7402000000000096E-2</v>
      </c>
      <c r="AH4856">
        <v>0.69471848519318802</v>
      </c>
      <c r="AI4856">
        <v>96.3542255125259</v>
      </c>
      <c r="AJ4856">
        <v>88.185976888086998</v>
      </c>
      <c r="AK4856">
        <v>0.69936325188208703</v>
      </c>
      <c r="AL4856">
        <v>81.521284405240195</v>
      </c>
      <c r="AM4856">
        <v>93.609498625024898</v>
      </c>
      <c r="AN4856">
        <v>1.0000000107977201</v>
      </c>
    </row>
    <row r="4857" spans="1:40" x14ac:dyDescent="0.25">
      <c r="A4857" t="str">
        <f>"20190303162358887"</f>
        <v>20190303162358887</v>
      </c>
      <c r="B4857" t="str">
        <f>"1551601438879613"</f>
        <v>1551601438879613</v>
      </c>
      <c r="C4857" t="s">
        <v>40</v>
      </c>
      <c r="D4857">
        <v>5.1028669999999998</v>
      </c>
      <c r="E4857">
        <v>0.5320511</v>
      </c>
      <c r="F4857" t="s">
        <v>42</v>
      </c>
      <c r="G4857">
        <v>-422.42090000000002</v>
      </c>
      <c r="H4857">
        <v>1.0464450000000001</v>
      </c>
      <c r="I4857">
        <v>80.473690000000005</v>
      </c>
      <c r="J4857">
        <v>-422.38889999999998</v>
      </c>
      <c r="K4857">
        <v>1.121713</v>
      </c>
      <c r="L4857">
        <v>81.147949999999994</v>
      </c>
      <c r="M4857">
        <v>-1.6049270000000001E-2</v>
      </c>
      <c r="N4857">
        <v>-9.9373029999999998E-3</v>
      </c>
      <c r="O4857">
        <v>-0.99982199999999999</v>
      </c>
      <c r="P4857">
        <v>4.7538200000000003E-2</v>
      </c>
      <c r="Q4857">
        <v>0.1371211</v>
      </c>
      <c r="R4857">
        <v>-0.98941319999999999</v>
      </c>
      <c r="S4857">
        <v>-0.1122742</v>
      </c>
      <c r="T4857">
        <v>-0.2429248</v>
      </c>
      <c r="U4857">
        <v>-3.07077</v>
      </c>
      <c r="V4857">
        <v>-6.3870709999999997E-2</v>
      </c>
      <c r="W4857">
        <v>0.1467387</v>
      </c>
      <c r="X4857">
        <v>0.98711110000000002</v>
      </c>
      <c r="Y4857">
        <v>2.039786E-2</v>
      </c>
      <c r="Z4857">
        <v>6.8905469999999996E-2</v>
      </c>
      <c r="AA4857">
        <v>0.99741460000000004</v>
      </c>
      <c r="AB4857">
        <v>28</v>
      </c>
      <c r="AC4857">
        <v>-3.2000000000039101E-2</v>
      </c>
      <c r="AD4857">
        <v>-7.5267999999999793E-2</v>
      </c>
      <c r="AE4857">
        <v>-0.67425999999998898</v>
      </c>
      <c r="AF4857">
        <v>2.0913934199794398E-2</v>
      </c>
      <c r="AG4857">
        <v>-7.5267999999999793E-2</v>
      </c>
      <c r="AH4857">
        <v>0.66640113825383795</v>
      </c>
      <c r="AI4857">
        <v>96.440931355152401</v>
      </c>
      <c r="AJ4857">
        <v>88.202453561818601</v>
      </c>
      <c r="AK4857">
        <v>0.67096433700586799</v>
      </c>
      <c r="AL4857">
        <v>81.562023712920094</v>
      </c>
      <c r="AM4857">
        <v>93.702144374950706</v>
      </c>
      <c r="AN4857">
        <v>1.0000000187083999</v>
      </c>
    </row>
    <row r="4858" spans="1:40" x14ac:dyDescent="0.25">
      <c r="A4858" t="str">
        <f>"20190303162358908"</f>
        <v>20190303162358908</v>
      </c>
      <c r="B4858" t="str">
        <f>"1551601438900110"</f>
        <v>1551601438900110</v>
      </c>
      <c r="C4858" t="s">
        <v>40</v>
      </c>
      <c r="D4858">
        <v>5.135624</v>
      </c>
      <c r="E4858">
        <v>0.53299589999999997</v>
      </c>
      <c r="F4858" t="s">
        <v>42</v>
      </c>
      <c r="G4858">
        <v>-422.42290000000003</v>
      </c>
      <c r="H4858">
        <v>1.0474589999999999</v>
      </c>
      <c r="I4858">
        <v>80.225359999999995</v>
      </c>
      <c r="J4858">
        <v>-422.39139999999998</v>
      </c>
      <c r="K4858">
        <v>1.1216999999999999</v>
      </c>
      <c r="L4858">
        <v>80.881590000000003</v>
      </c>
      <c r="M4858">
        <v>-1.4361199999999999E-2</v>
      </c>
      <c r="N4858">
        <v>-9.9408689999999997E-3</v>
      </c>
      <c r="O4858">
        <v>-0.99984770000000001</v>
      </c>
      <c r="P4858">
        <v>5.1208429999999999E-2</v>
      </c>
      <c r="Q4858">
        <v>0.13543440000000001</v>
      </c>
      <c r="R4858">
        <v>-0.98946239999999996</v>
      </c>
      <c r="S4858">
        <v>-0.1124573</v>
      </c>
      <c r="T4858">
        <v>-0.24736089999999999</v>
      </c>
      <c r="U4858">
        <v>-3.071777</v>
      </c>
      <c r="V4858">
        <v>-6.5864969999999995E-2</v>
      </c>
      <c r="W4858">
        <v>0.14505179999999901</v>
      </c>
      <c r="X4858">
        <v>0.98722929999999998</v>
      </c>
      <c r="Y4858">
        <v>2.2128760000000001E-2</v>
      </c>
      <c r="Z4858">
        <v>7.030807E-2</v>
      </c>
      <c r="AA4858">
        <v>0.99727980000000005</v>
      </c>
      <c r="AB4858">
        <v>28</v>
      </c>
      <c r="AC4858">
        <v>-3.1500000000050897E-2</v>
      </c>
      <c r="AD4858">
        <v>-7.4241000000000001E-2</v>
      </c>
      <c r="AE4858">
        <v>-0.65623000000000697</v>
      </c>
      <c r="AF4858">
        <v>2.17937410143802E-2</v>
      </c>
      <c r="AG4858">
        <v>-7.4241000000000001E-2</v>
      </c>
      <c r="AH4858">
        <v>0.64833575565198298</v>
      </c>
      <c r="AI4858">
        <v>96.528836948813506</v>
      </c>
      <c r="AJ4858">
        <v>88.074733093096398</v>
      </c>
      <c r="AK4858">
        <v>0.65293640217499704</v>
      </c>
      <c r="AL4858">
        <v>81.659720798062693</v>
      </c>
      <c r="AM4858">
        <v>93.816945535218395</v>
      </c>
      <c r="AN4858">
        <v>0.999999954867414</v>
      </c>
    </row>
    <row r="4859" spans="1:40" x14ac:dyDescent="0.25">
      <c r="A4859" t="str">
        <f>"20190303162358932"</f>
        <v>20190303162358932</v>
      </c>
      <c r="B4859" t="str">
        <f>"1551601438919630"</f>
        <v>1551601438919630</v>
      </c>
      <c r="C4859" t="s">
        <v>40</v>
      </c>
      <c r="D4859">
        <v>5.166423</v>
      </c>
      <c r="E4859">
        <v>0.53358059999999996</v>
      </c>
      <c r="F4859" t="s">
        <v>42</v>
      </c>
      <c r="G4859">
        <v>-422.42360000000002</v>
      </c>
      <c r="H4859">
        <v>1.0469250000000001</v>
      </c>
      <c r="I4859">
        <v>79.977909999999994</v>
      </c>
      <c r="J4859">
        <v>-422.39350000000002</v>
      </c>
      <c r="K4859">
        <v>1.1216820000000001</v>
      </c>
      <c r="L4859">
        <v>80.600250000000003</v>
      </c>
      <c r="M4859">
        <v>-1.261604E-2</v>
      </c>
      <c r="N4859">
        <v>-9.9443180000000006E-3</v>
      </c>
      <c r="O4859">
        <v>-0.99987110000000001</v>
      </c>
      <c r="P4859">
        <v>5.4603110000000003E-2</v>
      </c>
      <c r="Q4859">
        <v>0.13479279999999999</v>
      </c>
      <c r="R4859">
        <v>-0.98936860000000004</v>
      </c>
      <c r="S4859">
        <v>-0.1083069</v>
      </c>
      <c r="T4859">
        <v>-0.254335799999999</v>
      </c>
      <c r="U4859">
        <v>-3.0723880000000001</v>
      </c>
      <c r="V4859">
        <v>-6.7524539999999994E-2</v>
      </c>
      <c r="W4859">
        <v>0.14441109999999999</v>
      </c>
      <c r="X4859">
        <v>0.98721119999999996</v>
      </c>
      <c r="Y4859">
        <v>2.2514960000000001E-2</v>
      </c>
      <c r="Z4859">
        <v>7.2540950000000007E-2</v>
      </c>
      <c r="AA4859">
        <v>0.99711130000000003</v>
      </c>
      <c r="AB4859">
        <v>28</v>
      </c>
      <c r="AC4859">
        <v>-3.0100000000004401E-2</v>
      </c>
      <c r="AD4859">
        <v>-7.4756999999999907E-2</v>
      </c>
      <c r="AE4859">
        <v>-0.622340000000008</v>
      </c>
      <c r="AF4859">
        <v>2.1930051722724098E-2</v>
      </c>
      <c r="AG4859">
        <v>-7.4756999999999907E-2</v>
      </c>
      <c r="AH4859">
        <v>0.61383364673402097</v>
      </c>
      <c r="AI4859">
        <v>96.939305959704498</v>
      </c>
      <c r="AJ4859">
        <v>87.953899666103595</v>
      </c>
      <c r="AK4859">
        <v>0.61875785415649398</v>
      </c>
      <c r="AL4859">
        <v>81.696821556824702</v>
      </c>
      <c r="AM4859">
        <v>93.9128958218691</v>
      </c>
      <c r="AN4859">
        <v>1.00000004135543</v>
      </c>
    </row>
    <row r="4860" spans="1:40" x14ac:dyDescent="0.25">
      <c r="A4860" t="str">
        <f>"20190303162358954"</f>
        <v>20190303162358954</v>
      </c>
      <c r="B4860" t="str">
        <f>"1551601438949886"</f>
        <v>1551601438949886</v>
      </c>
      <c r="C4860" t="s">
        <v>40</v>
      </c>
      <c r="D4860">
        <v>5.1596950000000001</v>
      </c>
      <c r="E4860">
        <v>0.5347035</v>
      </c>
      <c r="F4860" t="s">
        <v>42</v>
      </c>
      <c r="G4860">
        <v>-422.423</v>
      </c>
      <c r="H4860">
        <v>1.048686</v>
      </c>
      <c r="I4860">
        <v>79.728049999999996</v>
      </c>
      <c r="J4860">
        <v>-422.39519999999999</v>
      </c>
      <c r="K4860">
        <v>1.1216630000000001</v>
      </c>
      <c r="L4860">
        <v>80.319950000000006</v>
      </c>
      <c r="M4860">
        <v>-1.093096E-2</v>
      </c>
      <c r="N4860">
        <v>-9.9476440000000003E-3</v>
      </c>
      <c r="O4860">
        <v>-0.99989070000000002</v>
      </c>
      <c r="P4860">
        <v>5.6494500000000003E-2</v>
      </c>
      <c r="Q4860">
        <v>0.13532429999999901</v>
      </c>
      <c r="R4860">
        <v>-0.9891896</v>
      </c>
      <c r="S4860">
        <v>-0.10281369999999999</v>
      </c>
      <c r="T4860">
        <v>-0.25730819999999999</v>
      </c>
      <c r="U4860">
        <v>-3.0729679999999999</v>
      </c>
      <c r="V4860">
        <v>-6.7739949999999993E-2</v>
      </c>
      <c r="W4860">
        <v>0.14494799999999999</v>
      </c>
      <c r="X4860">
        <v>0.98711769999999999</v>
      </c>
      <c r="Y4860">
        <v>2.24105E-2</v>
      </c>
      <c r="Z4860">
        <v>7.3484469999999996E-2</v>
      </c>
      <c r="AA4860">
        <v>0.99704459999999995</v>
      </c>
      <c r="AB4860">
        <v>28</v>
      </c>
      <c r="AC4860">
        <v>-2.78000000000133E-2</v>
      </c>
      <c r="AD4860">
        <v>-7.2976999999999806E-2</v>
      </c>
      <c r="AE4860">
        <v>-0.59190000000000897</v>
      </c>
      <c r="AF4860">
        <v>2.1009321012883001E-2</v>
      </c>
      <c r="AG4860">
        <v>-7.2976999999999806E-2</v>
      </c>
      <c r="AH4860">
        <v>0.58332092049684703</v>
      </c>
      <c r="AI4860">
        <v>97.126428135165995</v>
      </c>
      <c r="AJ4860">
        <v>87.937284117484694</v>
      </c>
      <c r="AK4860">
        <v>0.588243427832145</v>
      </c>
      <c r="AL4860">
        <v>81.665731907720101</v>
      </c>
      <c r="AM4860">
        <v>93.925710034738998</v>
      </c>
      <c r="AN4860">
        <v>0.99999998859164596</v>
      </c>
    </row>
    <row r="4861" spans="1:40" x14ac:dyDescent="0.25">
      <c r="A4861" t="str">
        <f>"20190303162358976"</f>
        <v>20190303162358976</v>
      </c>
      <c r="B4861" t="str">
        <f>"1551601438969406"</f>
        <v>1551601438969406</v>
      </c>
      <c r="C4861" t="s">
        <v>40</v>
      </c>
      <c r="D4861">
        <v>5.2071370000000003</v>
      </c>
      <c r="E4861">
        <v>0.53530250000000001</v>
      </c>
      <c r="F4861" t="s">
        <v>42</v>
      </c>
      <c r="G4861">
        <v>-422.42439999999999</v>
      </c>
      <c r="H4861">
        <v>1.0506420000000001</v>
      </c>
      <c r="I4861">
        <v>79.470830000000007</v>
      </c>
      <c r="J4861">
        <v>-422.3965</v>
      </c>
      <c r="K4861">
        <v>1.1216280000000001</v>
      </c>
      <c r="L4861">
        <v>80.040710000000004</v>
      </c>
      <c r="M4861">
        <v>-9.3174350000000006E-3</v>
      </c>
      <c r="N4861">
        <v>-9.9508180000000002E-3</v>
      </c>
      <c r="O4861">
        <v>-0.99990710000000005</v>
      </c>
      <c r="P4861">
        <v>5.8161740000000003E-2</v>
      </c>
      <c r="Q4861">
        <v>0.1356098</v>
      </c>
      <c r="R4861">
        <v>-0.98905370000000004</v>
      </c>
      <c r="S4861">
        <v>-0.10552980000000001</v>
      </c>
      <c r="T4861">
        <v>-0.25711129999999999</v>
      </c>
      <c r="U4861">
        <v>-3.0739749999999999</v>
      </c>
      <c r="V4861">
        <v>-6.7799120000000004E-2</v>
      </c>
      <c r="W4861">
        <v>0.14524189999999901</v>
      </c>
      <c r="X4861">
        <v>0.98707040000000001</v>
      </c>
      <c r="Y4861">
        <v>2.4891839999999998E-2</v>
      </c>
      <c r="Z4861">
        <v>7.3388850000000005E-2</v>
      </c>
      <c r="AA4861">
        <v>0.99699269999999995</v>
      </c>
      <c r="AB4861">
        <v>28</v>
      </c>
      <c r="AC4861">
        <v>-2.7899999999988202E-2</v>
      </c>
      <c r="AD4861">
        <v>-7.0985999999999994E-2</v>
      </c>
      <c r="AE4861">
        <v>-0.56987999999999694</v>
      </c>
      <c r="AF4861">
        <v>2.22443884346578E-2</v>
      </c>
      <c r="AG4861">
        <v>-7.0985999999999994E-2</v>
      </c>
      <c r="AH4861">
        <v>0.56142501198515204</v>
      </c>
      <c r="AI4861">
        <v>97.200590060585498</v>
      </c>
      <c r="AJ4861">
        <v>87.731053574480399</v>
      </c>
      <c r="AK4861">
        <v>0.56633194249959096</v>
      </c>
      <c r="AL4861">
        <v>81.648712270138802</v>
      </c>
      <c r="AM4861">
        <v>93.9293160500319</v>
      </c>
      <c r="AN4861">
        <v>0.99999995237227102</v>
      </c>
    </row>
    <row r="4862" spans="1:40" x14ac:dyDescent="0.25">
      <c r="A4862" t="str">
        <f>"20190303162358998"</f>
        <v>20190303162358998</v>
      </c>
      <c r="B4862" t="str">
        <f>"1551601438989433"</f>
        <v>1551601438989433</v>
      </c>
      <c r="C4862" t="s">
        <v>40</v>
      </c>
      <c r="D4862">
        <v>5.2717090000000004</v>
      </c>
      <c r="E4862">
        <v>0.53554639999999998</v>
      </c>
      <c r="F4862" t="s">
        <v>41</v>
      </c>
      <c r="G4862">
        <v>-422.85899999999998</v>
      </c>
      <c r="H4862" s="1">
        <v>-3.7774539999999998E-6</v>
      </c>
      <c r="I4862">
        <v>66.621219999999994</v>
      </c>
      <c r="J4862">
        <v>-422.3974</v>
      </c>
      <c r="K4862">
        <v>1.1215809999999999</v>
      </c>
      <c r="L4862">
        <v>79.774230000000003</v>
      </c>
      <c r="M4862">
        <v>-7.8519799999999997E-3</v>
      </c>
      <c r="N4862">
        <v>-9.9536269999999996E-3</v>
      </c>
      <c r="O4862">
        <v>-0.99991989999999997</v>
      </c>
      <c r="P4862">
        <v>5.9220460000000003E-2</v>
      </c>
      <c r="Q4862">
        <v>0.1347817</v>
      </c>
      <c r="R4862">
        <v>-0.98910439999999999</v>
      </c>
      <c r="S4862">
        <v>-0.105957</v>
      </c>
      <c r="T4862">
        <v>-0.25698850000000001</v>
      </c>
      <c r="U4862">
        <v>-3.0746769999999999</v>
      </c>
      <c r="V4862">
        <v>-6.739117E-2</v>
      </c>
      <c r="W4862">
        <v>0.14442669999999999</v>
      </c>
      <c r="X4862">
        <v>0.98721800000000004</v>
      </c>
      <c r="Y4862">
        <v>2.6486920000000001E-2</v>
      </c>
      <c r="Z4862">
        <v>7.3327059999999999E-2</v>
      </c>
      <c r="AA4862">
        <v>0.99695619999999996</v>
      </c>
      <c r="AB4862">
        <v>28</v>
      </c>
      <c r="AC4862">
        <v>-0.46160000000003198</v>
      </c>
      <c r="AD4862">
        <v>-1.121584777454</v>
      </c>
      <c r="AE4862">
        <v>-13.15301</v>
      </c>
      <c r="AF4862">
        <v>0.355720131398092</v>
      </c>
      <c r="AG4862">
        <v>-1.121584777454</v>
      </c>
      <c r="AH4862">
        <v>13.0613724083997</v>
      </c>
      <c r="AI4862">
        <v>94.906159355948205</v>
      </c>
      <c r="AJ4862">
        <v>88.439962909996297</v>
      </c>
      <c r="AK4862">
        <v>13.114264692151099</v>
      </c>
      <c r="AL4862">
        <v>81.695918015181903</v>
      </c>
      <c r="AM4862">
        <v>93.9051644500923</v>
      </c>
      <c r="AN4862">
        <v>1.0000000104954201</v>
      </c>
    </row>
    <row r="4863" spans="1:40" x14ac:dyDescent="0.25">
      <c r="A4863" t="str">
        <f>"20190303162359021"</f>
        <v>20190303162359021</v>
      </c>
      <c r="B4863" t="str">
        <f>"1551601439009928"</f>
        <v>1551601439009928</v>
      </c>
      <c r="C4863" t="s">
        <v>40</v>
      </c>
      <c r="D4863">
        <v>5.3198829999999999</v>
      </c>
      <c r="E4863">
        <v>0.54745299999999997</v>
      </c>
      <c r="F4863" t="s">
        <v>41</v>
      </c>
      <c r="G4863">
        <v>-422.85059999999999</v>
      </c>
      <c r="H4863" s="1">
        <v>-3.7375319999999998E-6</v>
      </c>
      <c r="I4863">
        <v>66.533389999999997</v>
      </c>
      <c r="J4863">
        <v>-422.39800000000002</v>
      </c>
      <c r="K4863">
        <v>1.121518</v>
      </c>
      <c r="L4863">
        <v>79.483279999999993</v>
      </c>
      <c r="M4863">
        <v>-6.3414780000000002E-3</v>
      </c>
      <c r="N4863">
        <v>-9.9564330000000006E-3</v>
      </c>
      <c r="O4863">
        <v>-0.99993069999999895</v>
      </c>
      <c r="P4863">
        <v>6.0204519999999997E-2</v>
      </c>
      <c r="Q4863">
        <v>0.13397229999999999</v>
      </c>
      <c r="R4863">
        <v>-0.98915489999999995</v>
      </c>
      <c r="S4863">
        <v>-0.1052246</v>
      </c>
      <c r="T4863">
        <v>-0.26045810000000003</v>
      </c>
      <c r="U4863">
        <v>-3.0748289999999998</v>
      </c>
      <c r="V4863">
        <v>-6.6858550000000003E-2</v>
      </c>
      <c r="W4863">
        <v>0.14363299999999901</v>
      </c>
      <c r="X4863">
        <v>0.98736999999999997</v>
      </c>
      <c r="Y4863">
        <v>2.7754529999999999E-2</v>
      </c>
      <c r="Z4863">
        <v>7.4436959999999996E-2</v>
      </c>
      <c r="AA4863">
        <v>0.99683940000000004</v>
      </c>
      <c r="AB4863">
        <v>28</v>
      </c>
      <c r="AC4863">
        <v>-0.45259999999996098</v>
      </c>
      <c r="AD4863">
        <v>-1.1215217375319999</v>
      </c>
      <c r="AE4863">
        <v>-12.94989</v>
      </c>
      <c r="AF4863">
        <v>0.36771081027434099</v>
      </c>
      <c r="AG4863">
        <v>-1.1215217375319999</v>
      </c>
      <c r="AH4863">
        <v>12.856191210507101</v>
      </c>
      <c r="AI4863">
        <v>94.9836010862184</v>
      </c>
      <c r="AJ4863">
        <v>88.361681550507399</v>
      </c>
      <c r="AK4863">
        <v>12.9102546329989</v>
      </c>
      <c r="AL4863">
        <v>81.741872832542299</v>
      </c>
      <c r="AM4863">
        <v>93.8738000846799</v>
      </c>
      <c r="AN4863">
        <v>1.00000001064855</v>
      </c>
    </row>
    <row r="4864" spans="1:40" x14ac:dyDescent="0.25">
      <c r="A4864" t="str">
        <f>"20190303162359045"</f>
        <v>20190303162359045</v>
      </c>
      <c r="B4864" t="str">
        <f>"1551601439040184"</f>
        <v>1551601439040184</v>
      </c>
      <c r="C4864" t="s">
        <v>40</v>
      </c>
      <c r="D4864">
        <v>5.2771019999999904</v>
      </c>
      <c r="E4864">
        <v>0.54339499999999996</v>
      </c>
      <c r="F4864" t="s">
        <v>42</v>
      </c>
      <c r="G4864">
        <v>-422.44479999999999</v>
      </c>
      <c r="H4864">
        <v>1.003201</v>
      </c>
      <c r="I4864">
        <v>78.757739999999998</v>
      </c>
      <c r="J4864">
        <v>-422.39830000000001</v>
      </c>
      <c r="K4864">
        <v>1.1214489999999999</v>
      </c>
      <c r="L4864">
        <v>79.199519999999893</v>
      </c>
      <c r="M4864">
        <v>-4.9710600000000002E-3</v>
      </c>
      <c r="N4864">
        <v>-9.9590549999999996E-3</v>
      </c>
      <c r="O4864">
        <v>-0.99993829999999995</v>
      </c>
      <c r="P4864">
        <v>6.0544779999999999E-2</v>
      </c>
      <c r="Q4864">
        <v>0.13329469999999999</v>
      </c>
      <c r="R4864">
        <v>-0.98922589999999999</v>
      </c>
      <c r="S4864">
        <v>-0.19821169999999999</v>
      </c>
      <c r="T4864">
        <v>-0.50804110000000002</v>
      </c>
      <c r="U4864">
        <v>-3.1137700000000001</v>
      </c>
      <c r="V4864">
        <v>-6.5819199999999994E-2</v>
      </c>
      <c r="W4864">
        <v>0.14297279999999901</v>
      </c>
      <c r="X4864">
        <v>0.98753570000000002</v>
      </c>
      <c r="Y4864">
        <v>5.7788470000000002E-2</v>
      </c>
      <c r="Z4864">
        <v>0.1508987</v>
      </c>
      <c r="AA4864">
        <v>0.98685869999999998</v>
      </c>
      <c r="AB4864">
        <v>28</v>
      </c>
      <c r="AC4864">
        <v>-4.6499999999980397E-2</v>
      </c>
      <c r="AD4864">
        <v>-0.11824799999999901</v>
      </c>
      <c r="AE4864">
        <v>-0.44177999999999401</v>
      </c>
      <c r="AF4864">
        <v>4.1371677049510898E-2</v>
      </c>
      <c r="AG4864">
        <v>-0.11824799999999901</v>
      </c>
      <c r="AH4864">
        <v>0.41275836652402198</v>
      </c>
      <c r="AI4864">
        <v>105.910416800113</v>
      </c>
      <c r="AJ4864">
        <v>84.276235097121301</v>
      </c>
      <c r="AK4864">
        <v>0.43135098736582</v>
      </c>
      <c r="AL4864">
        <v>81.780094513685597</v>
      </c>
      <c r="AM4864">
        <v>93.813120986371899</v>
      </c>
      <c r="AN4864">
        <v>1.00000007370148</v>
      </c>
    </row>
    <row r="4865" spans="1:40" x14ac:dyDescent="0.25">
      <c r="A4865" t="str">
        <f>"20190303162359066"</f>
        <v>20190303162359066</v>
      </c>
      <c r="B4865" t="str">
        <f>"1551601439059705"</f>
        <v>1551601439059705</v>
      </c>
      <c r="C4865" t="s">
        <v>40</v>
      </c>
      <c r="D4865">
        <v>5.2933009999999996</v>
      </c>
      <c r="E4865">
        <v>0.54232829999999999</v>
      </c>
      <c r="F4865" t="s">
        <v>42</v>
      </c>
      <c r="G4865">
        <v>-422.44400000000002</v>
      </c>
      <c r="H4865">
        <v>0.83051409999999903</v>
      </c>
      <c r="I4865">
        <v>78.334869999999995</v>
      </c>
      <c r="J4865">
        <v>-422.39830000000001</v>
      </c>
      <c r="K4865">
        <v>1.1213820000000001</v>
      </c>
      <c r="L4865">
        <v>78.922939999999997</v>
      </c>
      <c r="M4865">
        <v>-3.7310609999999999E-3</v>
      </c>
      <c r="N4865">
        <v>-9.9616589999999994E-3</v>
      </c>
      <c r="O4865">
        <v>-0.99994360000000004</v>
      </c>
      <c r="P4865">
        <v>6.0597119999999997E-2</v>
      </c>
      <c r="Q4865">
        <v>0.13304340000000001</v>
      </c>
      <c r="R4865">
        <v>-0.98925640000000004</v>
      </c>
      <c r="S4865">
        <v>-0.16671749999999999</v>
      </c>
      <c r="T4865">
        <v>-1.072651</v>
      </c>
      <c r="U4865">
        <v>-3.187408</v>
      </c>
      <c r="V4865">
        <v>-6.4621049999999999E-2</v>
      </c>
      <c r="W4865">
        <v>0.1427387</v>
      </c>
      <c r="X4865">
        <v>0.98764859999999999</v>
      </c>
      <c r="Y4865">
        <v>4.5867529999999997E-2</v>
      </c>
      <c r="Z4865">
        <v>0.30912859999999998</v>
      </c>
      <c r="AA4865">
        <v>0.94991349999999997</v>
      </c>
      <c r="AB4865">
        <v>28</v>
      </c>
      <c r="AC4865">
        <v>-4.5700000000010697E-2</v>
      </c>
      <c r="AD4865">
        <v>-0.29086790000000001</v>
      </c>
      <c r="AE4865">
        <v>-0.58807000000000098</v>
      </c>
      <c r="AF4865">
        <v>3.49954377853866E-2</v>
      </c>
      <c r="AG4865">
        <v>-0.29086790000000001</v>
      </c>
      <c r="AH4865">
        <v>0.47317271671852201</v>
      </c>
      <c r="AI4865">
        <v>121.510124061727</v>
      </c>
      <c r="AJ4865">
        <v>85.770155691718401</v>
      </c>
      <c r="AK4865">
        <v>0.55652604230438996</v>
      </c>
      <c r="AL4865">
        <v>81.793645732058806</v>
      </c>
      <c r="AM4865">
        <v>93.743480729279497</v>
      </c>
      <c r="AN4865">
        <v>0.99999998683137603</v>
      </c>
    </row>
    <row r="4866" spans="1:40" x14ac:dyDescent="0.25">
      <c r="A4866" t="str">
        <f>"20190303162359088"</f>
        <v>20190303162359088</v>
      </c>
      <c r="B4866" t="str">
        <f>"1551601439080201"</f>
        <v>1551601439080201</v>
      </c>
      <c r="C4866" t="s">
        <v>40</v>
      </c>
      <c r="D4866">
        <v>5.2490949999999996</v>
      </c>
      <c r="E4866">
        <v>0.54165379999999996</v>
      </c>
      <c r="F4866" t="s">
        <v>42</v>
      </c>
      <c r="G4866">
        <v>-422.44069999999999</v>
      </c>
      <c r="H4866">
        <v>0.83180940000000003</v>
      </c>
      <c r="I4866">
        <v>78.08381</v>
      </c>
      <c r="J4866">
        <v>-422.39800000000002</v>
      </c>
      <c r="K4866">
        <v>1.121321</v>
      </c>
      <c r="L4866">
        <v>78.65128</v>
      </c>
      <c r="M4866">
        <v>-2.583414E-3</v>
      </c>
      <c r="N4866">
        <v>-9.9641729999999998E-3</v>
      </c>
      <c r="O4866">
        <v>-0.99994740000000004</v>
      </c>
      <c r="P4866">
        <v>6.0952819999999998E-2</v>
      </c>
      <c r="Q4866">
        <v>0.1332342</v>
      </c>
      <c r="R4866">
        <v>-0.9892088</v>
      </c>
      <c r="S4866">
        <v>-0.1608887</v>
      </c>
      <c r="T4866">
        <v>-1.1010279999999999</v>
      </c>
      <c r="U4866">
        <v>-3.1905209999999999</v>
      </c>
      <c r="V4866">
        <v>-6.3821799999999998E-2</v>
      </c>
      <c r="W4866">
        <v>0.14294299999999999</v>
      </c>
      <c r="X4866">
        <v>0.98767099999999997</v>
      </c>
      <c r="Y4866">
        <v>4.5112899999999997E-2</v>
      </c>
      <c r="Z4866">
        <v>0.31642819999999999</v>
      </c>
      <c r="AA4866">
        <v>0.94754309999999997</v>
      </c>
      <c r="AB4866">
        <v>28</v>
      </c>
      <c r="AC4866">
        <v>-4.2699999999967903E-2</v>
      </c>
      <c r="AD4866">
        <v>-0.28951159999999898</v>
      </c>
      <c r="AE4866">
        <v>-0.56747000000000003</v>
      </c>
      <c r="AF4866">
        <v>3.27559527978218E-2</v>
      </c>
      <c r="AG4866">
        <v>-0.28951159999999898</v>
      </c>
      <c r="AH4866">
        <v>0.45088212021370999</v>
      </c>
      <c r="AI4866">
        <v>122.636013084878</v>
      </c>
      <c r="AJ4866">
        <v>85.844841883453299</v>
      </c>
      <c r="AK4866">
        <v>0.53682828288630902</v>
      </c>
      <c r="AL4866">
        <v>81.781818737779105</v>
      </c>
      <c r="AM4866">
        <v>93.697225990248597</v>
      </c>
      <c r="AN4866">
        <v>0.99999996382261902</v>
      </c>
    </row>
    <row r="4867" spans="1:40" x14ac:dyDescent="0.25">
      <c r="A4867" t="str">
        <f>"20190303162359110"</f>
        <v>20190303162359110</v>
      </c>
      <c r="B4867" t="str">
        <f>"1551601439099721"</f>
        <v>1551601439099721</v>
      </c>
      <c r="C4867" t="s">
        <v>40</v>
      </c>
      <c r="D4867">
        <v>5.2865630000000001</v>
      </c>
      <c r="E4867">
        <v>0.54152109999999998</v>
      </c>
      <c r="F4867" t="s">
        <v>42</v>
      </c>
      <c r="G4867">
        <v>-422.43849999999998</v>
      </c>
      <c r="H4867">
        <v>0.83436759999999999</v>
      </c>
      <c r="I4867">
        <v>77.831879999999998</v>
      </c>
      <c r="J4867">
        <v>-422.39749999999998</v>
      </c>
      <c r="K4867">
        <v>1.1212770000000001</v>
      </c>
      <c r="L4867">
        <v>78.371189999999999</v>
      </c>
      <c r="M4867">
        <v>-1.46505299999999E-3</v>
      </c>
      <c r="N4867">
        <v>-9.9668570000000008E-3</v>
      </c>
      <c r="O4867">
        <v>-0.99994950000000005</v>
      </c>
      <c r="P4867">
        <v>6.1401039999999997E-2</v>
      </c>
      <c r="Q4867">
        <v>0.13378409999999999</v>
      </c>
      <c r="R4867">
        <v>-0.98910690000000001</v>
      </c>
      <c r="S4867">
        <v>-0.1560059</v>
      </c>
      <c r="T4867">
        <v>-1.1183149999999999</v>
      </c>
      <c r="U4867">
        <v>-3.1929630000000002</v>
      </c>
      <c r="V4867">
        <v>-6.3148330000000003E-2</v>
      </c>
      <c r="W4867">
        <v>0.1435042</v>
      </c>
      <c r="X4867">
        <v>0.98763290000000004</v>
      </c>
      <c r="Y4867">
        <v>4.4676159999999999E-2</v>
      </c>
      <c r="Z4867">
        <v>0.32079170000000001</v>
      </c>
      <c r="AA4867">
        <v>0.94609549999999998</v>
      </c>
      <c r="AB4867">
        <v>28</v>
      </c>
      <c r="AC4867">
        <v>-4.0999999999996803E-2</v>
      </c>
      <c r="AD4867">
        <v>-0.28690939999999998</v>
      </c>
      <c r="AE4867">
        <v>-0.53930999999999996</v>
      </c>
      <c r="AF4867">
        <v>3.1379810590097798E-2</v>
      </c>
      <c r="AG4867">
        <v>-0.28690939999999998</v>
      </c>
      <c r="AH4867">
        <v>0.42092506824568399</v>
      </c>
      <c r="AI4867">
        <v>124.205126169263</v>
      </c>
      <c r="AJ4867">
        <v>85.736507156616995</v>
      </c>
      <c r="AK4867">
        <v>0.51037203038436996</v>
      </c>
      <c r="AL4867">
        <v>81.749329326747201</v>
      </c>
      <c r="AM4867">
        <v>93.658458821527404</v>
      </c>
      <c r="AN4867">
        <v>0.99999995608091796</v>
      </c>
    </row>
    <row r="4868" spans="1:40" x14ac:dyDescent="0.25">
      <c r="A4868" t="str">
        <f>"20190303162359132"</f>
        <v>20190303162359132</v>
      </c>
      <c r="B4868" t="str">
        <f>"1551601439120216"</f>
        <v>1551601439120216</v>
      </c>
      <c r="C4868" t="s">
        <v>40</v>
      </c>
      <c r="D4868">
        <v>5.307372</v>
      </c>
      <c r="E4868">
        <v>0.54135889999999998</v>
      </c>
      <c r="F4868" t="s">
        <v>42</v>
      </c>
      <c r="G4868">
        <v>-422.4357</v>
      </c>
      <c r="H4868">
        <v>0.84299919999999995</v>
      </c>
      <c r="I4868">
        <v>77.577169999999995</v>
      </c>
      <c r="J4868">
        <v>-422.39670000000001</v>
      </c>
      <c r="K4868">
        <v>1.121243</v>
      </c>
      <c r="L4868">
        <v>78.091399999999993</v>
      </c>
      <c r="M4868">
        <v>-4.061518E-4</v>
      </c>
      <c r="N4868">
        <v>-9.969505E-3</v>
      </c>
      <c r="O4868">
        <v>-0.99995049999999996</v>
      </c>
      <c r="P4868">
        <v>6.0847739999999997E-2</v>
      </c>
      <c r="Q4868">
        <v>0.1354282</v>
      </c>
      <c r="R4868">
        <v>-0.98891719999999905</v>
      </c>
      <c r="S4868">
        <v>-0.1534729</v>
      </c>
      <c r="T4868">
        <v>-1.1193949999999999</v>
      </c>
      <c r="U4868">
        <v>-3.1939700000000002</v>
      </c>
      <c r="V4868">
        <v>-6.1537679999999997E-2</v>
      </c>
      <c r="W4868">
        <v>0.14515890000000001</v>
      </c>
      <c r="X4868">
        <v>0.98749279999999995</v>
      </c>
      <c r="Y4868">
        <v>4.4967159999999999E-2</v>
      </c>
      <c r="Z4868">
        <v>0.32098470000000001</v>
      </c>
      <c r="AA4868">
        <v>0.94601630000000003</v>
      </c>
      <c r="AB4868">
        <v>28</v>
      </c>
      <c r="AC4868">
        <v>-3.8999999999987198E-2</v>
      </c>
      <c r="AD4868">
        <v>-0.27824379999999899</v>
      </c>
      <c r="AE4868">
        <v>-0.51422999999999697</v>
      </c>
      <c r="AF4868">
        <v>3.0044976249598999E-2</v>
      </c>
      <c r="AG4868">
        <v>-0.27824379999999899</v>
      </c>
      <c r="AH4868">
        <v>0.39829987910085302</v>
      </c>
      <c r="AI4868">
        <v>124.861053978802</v>
      </c>
      <c r="AJ4868">
        <v>85.686174096371005</v>
      </c>
      <c r="AK4868">
        <v>0.48679061877570501</v>
      </c>
      <c r="AL4868">
        <v>81.653519252293705</v>
      </c>
      <c r="AM4868">
        <v>93.565895196701206</v>
      </c>
      <c r="AN4868">
        <v>1.0000000111804099</v>
      </c>
    </row>
    <row r="4869" spans="1:40" x14ac:dyDescent="0.25">
      <c r="A4869" t="str">
        <f>"20190303162359155"</f>
        <v>20190303162359155</v>
      </c>
      <c r="B4869" t="str">
        <f>"1551601439149497"</f>
        <v>1551601439149497</v>
      </c>
      <c r="C4869" t="s">
        <v>40</v>
      </c>
      <c r="D4869">
        <v>5.3106099999999996</v>
      </c>
      <c r="E4869">
        <v>0.54130230000000001</v>
      </c>
      <c r="F4869" t="s">
        <v>42</v>
      </c>
      <c r="G4869">
        <v>-422.43329999999997</v>
      </c>
      <c r="H4869">
        <v>0.85223789999999999</v>
      </c>
      <c r="I4869">
        <v>77.321929999999995</v>
      </c>
      <c r="J4869">
        <v>-422.39569999999998</v>
      </c>
      <c r="K4869">
        <v>1.1212089999999999</v>
      </c>
      <c r="L4869">
        <v>77.801180000000002</v>
      </c>
      <c r="M4869">
        <v>6.4310059999999995E-4</v>
      </c>
      <c r="N4869">
        <v>-9.9722179999999997E-3</v>
      </c>
      <c r="O4869">
        <v>-0.99995009999999995</v>
      </c>
      <c r="P4869">
        <v>6.0212179999999997E-2</v>
      </c>
      <c r="Q4869">
        <v>0.138072</v>
      </c>
      <c r="R4869">
        <v>-0.98859019999999997</v>
      </c>
      <c r="S4869">
        <v>-0.1509094</v>
      </c>
      <c r="T4869">
        <v>-1.1173660000000001</v>
      </c>
      <c r="U4869">
        <v>-3.1959230000000001</v>
      </c>
      <c r="V4869">
        <v>-5.9857769999999998E-2</v>
      </c>
      <c r="W4869">
        <v>0.14781029999999901</v>
      </c>
      <c r="X4869">
        <v>0.98720269999999999</v>
      </c>
      <c r="Y4869">
        <v>4.5241629999999998E-2</v>
      </c>
      <c r="Z4869">
        <v>0.32026969999999999</v>
      </c>
      <c r="AA4869">
        <v>0.94624549999999996</v>
      </c>
      <c r="AB4869">
        <v>28</v>
      </c>
      <c r="AC4869">
        <v>-3.7599999999997601E-2</v>
      </c>
      <c r="AD4869">
        <v>-0.26897109999999902</v>
      </c>
      <c r="AE4869">
        <v>-0.47924999999999301</v>
      </c>
      <c r="AF4869">
        <v>2.8870219511459998E-2</v>
      </c>
      <c r="AG4869">
        <v>-0.26897109999999902</v>
      </c>
      <c r="AH4869">
        <v>0.36496976321296598</v>
      </c>
      <c r="AI4869">
        <v>126.303728668712</v>
      </c>
      <c r="AJ4869">
        <v>85.477147302483303</v>
      </c>
      <c r="AK4869">
        <v>0.45429271430387103</v>
      </c>
      <c r="AL4869">
        <v>81.499948541404095</v>
      </c>
      <c r="AM4869">
        <v>93.469808101973797</v>
      </c>
      <c r="AN4869">
        <v>1.0000000041513699</v>
      </c>
    </row>
    <row r="4870" spans="1:40" x14ac:dyDescent="0.25">
      <c r="A4870" t="str">
        <f>"20190303162359176"</f>
        <v>20190303162359176</v>
      </c>
      <c r="B4870" t="str">
        <f>"1551601439169993"</f>
        <v>1551601439169993</v>
      </c>
      <c r="C4870" t="s">
        <v>40</v>
      </c>
      <c r="D4870">
        <v>5.3264800000000001</v>
      </c>
      <c r="E4870">
        <v>0.54134649999999995</v>
      </c>
      <c r="F4870" t="s">
        <v>42</v>
      </c>
      <c r="G4870">
        <v>-422.43009999999998</v>
      </c>
      <c r="H4870">
        <v>0.86515919999999902</v>
      </c>
      <c r="I4870">
        <v>77.064859999999996</v>
      </c>
      <c r="J4870">
        <v>-422.39449999999999</v>
      </c>
      <c r="K4870">
        <v>1.121192</v>
      </c>
      <c r="L4870">
        <v>77.527469999999994</v>
      </c>
      <c r="M4870">
        <v>1.5984059999999999E-3</v>
      </c>
      <c r="N4870">
        <v>-9.9748730000000004E-3</v>
      </c>
      <c r="O4870">
        <v>-0.99994899999999998</v>
      </c>
      <c r="P4870">
        <v>5.9723890000000002E-2</v>
      </c>
      <c r="Q4870">
        <v>0.13938120000000001</v>
      </c>
      <c r="R4870">
        <v>-0.98843630000000005</v>
      </c>
      <c r="S4870">
        <v>-0.14926149999999999</v>
      </c>
      <c r="T4870">
        <v>-1.1124860000000001</v>
      </c>
      <c r="U4870">
        <v>-3.1990970000000001</v>
      </c>
      <c r="V4870">
        <v>-5.8417810000000001E-2</v>
      </c>
      <c r="W4870">
        <v>0.14912779999999901</v>
      </c>
      <c r="X4870">
        <v>0.98709080000000005</v>
      </c>
      <c r="Y4870">
        <v>4.5689830000000001E-2</v>
      </c>
      <c r="Z4870">
        <v>0.31868659999999999</v>
      </c>
      <c r="AA4870">
        <v>0.94675830000000005</v>
      </c>
      <c r="AB4870">
        <v>28</v>
      </c>
      <c r="AC4870">
        <v>-3.5599999999988002E-2</v>
      </c>
      <c r="AD4870">
        <v>-0.2560328</v>
      </c>
      <c r="AE4870">
        <v>-0.46260999999999802</v>
      </c>
      <c r="AF4870">
        <v>2.78568363726155E-2</v>
      </c>
      <c r="AG4870">
        <v>-0.2560328</v>
      </c>
      <c r="AH4870">
        <v>0.35458039455225199</v>
      </c>
      <c r="AI4870">
        <v>125.74839802899101</v>
      </c>
      <c r="AJ4870">
        <v>85.507908622963399</v>
      </c>
      <c r="AK4870">
        <v>0.438242004159073</v>
      </c>
      <c r="AL4870">
        <v>81.423615264989394</v>
      </c>
      <c r="AM4870">
        <v>93.386916823672493</v>
      </c>
      <c r="AN4870">
        <v>0.99999999435133802</v>
      </c>
    </row>
    <row r="4871" spans="1:40" x14ac:dyDescent="0.25">
      <c r="A4871" t="str">
        <f>"20190303162359199"</f>
        <v>20190303162359199</v>
      </c>
      <c r="B4871" t="str">
        <f>"1551601439189513"</f>
        <v>1551601439189513</v>
      </c>
      <c r="C4871" t="s">
        <v>40</v>
      </c>
      <c r="D4871">
        <v>5.3604120000000002</v>
      </c>
      <c r="E4871">
        <v>0.54129919999999998</v>
      </c>
      <c r="F4871" t="s">
        <v>42</v>
      </c>
      <c r="G4871">
        <v>-422.42860000000002</v>
      </c>
      <c r="H4871">
        <v>0.87274069999999904</v>
      </c>
      <c r="I4871">
        <v>76.809569999999994</v>
      </c>
      <c r="J4871">
        <v>-422.39299999999997</v>
      </c>
      <c r="K4871">
        <v>1.1211709999999999</v>
      </c>
      <c r="L4871">
        <v>77.251249999999999</v>
      </c>
      <c r="M4871">
        <v>2.5320260000000002E-3</v>
      </c>
      <c r="N4871">
        <v>-9.9776489999999999E-3</v>
      </c>
      <c r="O4871">
        <v>-0.99994700000000003</v>
      </c>
      <c r="P4871">
        <v>5.8908919999999997E-2</v>
      </c>
      <c r="Q4871">
        <v>0.14096330000000001</v>
      </c>
      <c r="R4871">
        <v>-0.98826060000000004</v>
      </c>
      <c r="S4871">
        <v>-0.150177</v>
      </c>
      <c r="T4871">
        <v>-1.1076979999999901</v>
      </c>
      <c r="U4871">
        <v>-3.2003780000000002</v>
      </c>
      <c r="V4871">
        <v>-5.6673189999999998E-2</v>
      </c>
      <c r="W4871">
        <v>0.15071799999999999</v>
      </c>
      <c r="X4871">
        <v>0.98695100000000002</v>
      </c>
      <c r="Y4871">
        <v>4.6895180000000002E-2</v>
      </c>
      <c r="Z4871">
        <v>0.31728909999999899</v>
      </c>
      <c r="AA4871">
        <v>0.94716860000000003</v>
      </c>
      <c r="AB4871">
        <v>28</v>
      </c>
      <c r="AC4871">
        <v>-3.5599999999988002E-2</v>
      </c>
      <c r="AD4871">
        <v>-0.24843029999999999</v>
      </c>
      <c r="AE4871">
        <v>-0.44168000000000501</v>
      </c>
      <c r="AF4871">
        <v>2.7936954408466799E-2</v>
      </c>
      <c r="AG4871">
        <v>-0.24843029999999999</v>
      </c>
      <c r="AH4871">
        <v>0.33598071078112601</v>
      </c>
      <c r="AI4871">
        <v>126.385586361196</v>
      </c>
      <c r="AJ4871">
        <v>85.246763439550804</v>
      </c>
      <c r="AK4871">
        <v>0.41878529749347898</v>
      </c>
      <c r="AL4871">
        <v>81.331462194737597</v>
      </c>
      <c r="AM4871">
        <v>93.286457656541998</v>
      </c>
      <c r="AN4871">
        <v>1.0000000211948801</v>
      </c>
    </row>
    <row r="4872" spans="1:40" x14ac:dyDescent="0.25">
      <c r="A4872" t="str">
        <f>"20190303162359223"</f>
        <v>20190303162359223</v>
      </c>
      <c r="B4872" t="str">
        <f>"1551601439219768"</f>
        <v>1551601439219768</v>
      </c>
      <c r="C4872" t="s">
        <v>40</v>
      </c>
      <c r="D4872">
        <v>5.3348300000000002</v>
      </c>
      <c r="E4872">
        <v>0.54118909999999998</v>
      </c>
      <c r="F4872" t="s">
        <v>42</v>
      </c>
      <c r="G4872">
        <v>-422.42570000000001</v>
      </c>
      <c r="H4872">
        <v>0.88050450000000002</v>
      </c>
      <c r="I4872">
        <v>76.553799999999995</v>
      </c>
      <c r="J4872">
        <v>-422.39120000000003</v>
      </c>
      <c r="K4872">
        <v>1.1211469999999999</v>
      </c>
      <c r="L4872">
        <v>76.959689999999995</v>
      </c>
      <c r="M4872">
        <v>3.4766689999999999E-3</v>
      </c>
      <c r="N4872">
        <v>-9.9805329999999998E-3</v>
      </c>
      <c r="O4872">
        <v>-0.99994419999999995</v>
      </c>
      <c r="P4872">
        <v>5.8305349999999999E-2</v>
      </c>
      <c r="Q4872">
        <v>0.1413711</v>
      </c>
      <c r="R4872">
        <v>-0.98823830000000001</v>
      </c>
      <c r="S4872">
        <v>-0.150116</v>
      </c>
      <c r="T4872">
        <v>-1.104989</v>
      </c>
      <c r="U4872">
        <v>-3.2022089999999999</v>
      </c>
      <c r="V4872">
        <v>-5.5125489999999999E-2</v>
      </c>
      <c r="W4872">
        <v>0.15113560000000001</v>
      </c>
      <c r="X4872">
        <v>0.98697480000000004</v>
      </c>
      <c r="Y4872">
        <v>4.7807950000000002E-2</v>
      </c>
      <c r="Z4872">
        <v>0.31639430000000002</v>
      </c>
      <c r="AA4872">
        <v>0.94742230000000005</v>
      </c>
      <c r="AB4872">
        <v>28</v>
      </c>
      <c r="AC4872">
        <v>-3.4499999999979901E-2</v>
      </c>
      <c r="AD4872">
        <v>-0.24064249999999901</v>
      </c>
      <c r="AE4872">
        <v>-0.40589000000001302</v>
      </c>
      <c r="AF4872">
        <v>2.6620842867354898E-2</v>
      </c>
      <c r="AG4872">
        <v>-0.24064249999999901</v>
      </c>
      <c r="AH4872">
        <v>0.30079567090672299</v>
      </c>
      <c r="AI4872">
        <v>128.551517717557</v>
      </c>
      <c r="AJ4872">
        <v>84.942419403721402</v>
      </c>
      <c r="AK4872">
        <v>0.38612888744231999</v>
      </c>
      <c r="AL4872">
        <v>81.307258231326401</v>
      </c>
      <c r="AM4872">
        <v>93.196818931389302</v>
      </c>
      <c r="AN4872">
        <v>1.00000002253506</v>
      </c>
    </row>
    <row r="4873" spans="1:40" x14ac:dyDescent="0.25">
      <c r="A4873" t="str">
        <f>"20190303162359245"</f>
        <v>20190303162359245</v>
      </c>
      <c r="B4873" t="str">
        <f>"1551601439240265"</f>
        <v>1551601439240265</v>
      </c>
      <c r="C4873" t="s">
        <v>40</v>
      </c>
      <c r="D4873">
        <v>5.3418910000000004</v>
      </c>
      <c r="E4873">
        <v>0.54108909999999999</v>
      </c>
      <c r="F4873" t="s">
        <v>42</v>
      </c>
      <c r="G4873">
        <v>-422.42239999999998</v>
      </c>
      <c r="H4873">
        <v>0.89209850000000002</v>
      </c>
      <c r="I4873">
        <v>76.29607</v>
      </c>
      <c r="J4873">
        <v>-422.38929999999999</v>
      </c>
      <c r="K4873">
        <v>1.1210979999999999</v>
      </c>
      <c r="L4873">
        <v>76.674869999999999</v>
      </c>
      <c r="M4873">
        <v>4.3446359999999998E-3</v>
      </c>
      <c r="N4873">
        <v>-9.9836560000000005E-3</v>
      </c>
      <c r="O4873">
        <v>-0.99994070000000002</v>
      </c>
      <c r="P4873">
        <v>5.8463609999999999E-2</v>
      </c>
      <c r="Q4873">
        <v>0.1413449</v>
      </c>
      <c r="R4873">
        <v>-0.98823260000000002</v>
      </c>
      <c r="S4873">
        <v>-0.14813229999999999</v>
      </c>
      <c r="T4873">
        <v>-1.1054999999999999</v>
      </c>
      <c r="U4873">
        <v>-3.2026059999999998</v>
      </c>
      <c r="V4873">
        <v>-5.4411670000000002E-2</v>
      </c>
      <c r="W4873">
        <v>0.15111959999999999</v>
      </c>
      <c r="X4873">
        <v>0.98701689999999997</v>
      </c>
      <c r="Y4873">
        <v>4.8081829999999999E-2</v>
      </c>
      <c r="Z4873">
        <v>0.31649050000000001</v>
      </c>
      <c r="AA4873">
        <v>0.94737629999999995</v>
      </c>
      <c r="AB4873">
        <v>28</v>
      </c>
      <c r="AC4873">
        <v>-3.3099999999990297E-2</v>
      </c>
      <c r="AD4873">
        <v>-0.228999499999999</v>
      </c>
      <c r="AE4873">
        <v>-0.37879999999999803</v>
      </c>
      <c r="AF4873">
        <v>2.5497584001870799E-2</v>
      </c>
      <c r="AG4873">
        <v>-0.228999499999999</v>
      </c>
      <c r="AH4873">
        <v>0.27786970387628102</v>
      </c>
      <c r="AI4873">
        <v>129.374960263258</v>
      </c>
      <c r="AJ4873">
        <v>84.757167774228506</v>
      </c>
      <c r="AK4873">
        <v>0.36097433443733201</v>
      </c>
      <c r="AL4873">
        <v>81.308185962117307</v>
      </c>
      <c r="AM4873">
        <v>93.155373201065899</v>
      </c>
      <c r="AN4873">
        <v>1.0000000621109699</v>
      </c>
    </row>
    <row r="4874" spans="1:40" x14ac:dyDescent="0.25">
      <c r="A4874" t="str">
        <f>"20190303162359269"</f>
        <v>20190303162359269</v>
      </c>
      <c r="B4874" t="str">
        <f>"1551601439259785"</f>
        <v>1551601439259785</v>
      </c>
      <c r="C4874" t="s">
        <v>40</v>
      </c>
      <c r="D4874">
        <v>5.2924639999999998</v>
      </c>
      <c r="E4874">
        <v>0.54099419999999898</v>
      </c>
      <c r="F4874" t="s">
        <v>42</v>
      </c>
      <c r="G4874">
        <v>-422.42950000000002</v>
      </c>
      <c r="H4874">
        <v>0.8249803</v>
      </c>
      <c r="I4874">
        <v>75.81729</v>
      </c>
      <c r="J4874">
        <v>-422.38690000000003</v>
      </c>
      <c r="K4874">
        <v>1.121041</v>
      </c>
      <c r="L4874">
        <v>76.368099999999998</v>
      </c>
      <c r="M4874">
        <v>5.2081890000000002E-3</v>
      </c>
      <c r="N4874">
        <v>-9.993264E-3</v>
      </c>
      <c r="O4874">
        <v>-0.99993670000000001</v>
      </c>
      <c r="P4874">
        <v>6.0072609999999999E-2</v>
      </c>
      <c r="Q4874">
        <v>0.14063120000000001</v>
      </c>
      <c r="R4874">
        <v>-0.98823799999999995</v>
      </c>
      <c r="S4874">
        <v>-0.14929200000000001</v>
      </c>
      <c r="T4874">
        <v>-1.105953</v>
      </c>
      <c r="U4874">
        <v>-3.202728</v>
      </c>
      <c r="V4874">
        <v>-5.514757E-2</v>
      </c>
      <c r="W4874">
        <v>0.1504211</v>
      </c>
      <c r="X4874">
        <v>0.98708269999999998</v>
      </c>
      <c r="Y4874">
        <v>4.9281329999999998E-2</v>
      </c>
      <c r="Z4874">
        <v>0.31657560000000001</v>
      </c>
      <c r="AA4874">
        <v>0.94728619999999997</v>
      </c>
      <c r="AB4874">
        <v>28</v>
      </c>
      <c r="AC4874">
        <v>-4.2599999999992998E-2</v>
      </c>
      <c r="AD4874">
        <v>-0.29606069999999901</v>
      </c>
      <c r="AE4874">
        <v>-0.55080999999999802</v>
      </c>
      <c r="AF4874">
        <v>3.53237061361448E-2</v>
      </c>
      <c r="AG4874">
        <v>-0.29606069999999901</v>
      </c>
      <c r="AH4874">
        <v>0.42773876343276601</v>
      </c>
      <c r="AI4874">
        <v>124.598101356271</v>
      </c>
      <c r="AJ4874">
        <v>85.279087881128206</v>
      </c>
      <c r="AK4874">
        <v>0.52140210206967397</v>
      </c>
      <c r="AL4874">
        <v>81.348669380093398</v>
      </c>
      <c r="AM4874">
        <v>93.197747865107203</v>
      </c>
      <c r="AN4874">
        <v>1.0000000092207</v>
      </c>
    </row>
    <row r="4875" spans="1:40" x14ac:dyDescent="0.25">
      <c r="A4875" t="str">
        <f>"20190303162359289"</f>
        <v>20190303162359289</v>
      </c>
      <c r="B4875" t="str">
        <f>"1551601439280281"</f>
        <v>1551601439280281</v>
      </c>
      <c r="C4875" t="s">
        <v>40</v>
      </c>
      <c r="D4875">
        <v>5.2827250000000001</v>
      </c>
      <c r="E4875">
        <v>0.54088809999999998</v>
      </c>
      <c r="F4875" t="s">
        <v>42</v>
      </c>
      <c r="G4875">
        <v>-422.42430000000002</v>
      </c>
      <c r="H4875">
        <v>0.84047340000000004</v>
      </c>
      <c r="I4875">
        <v>75.557540000000003</v>
      </c>
      <c r="J4875">
        <v>-422.38490000000002</v>
      </c>
      <c r="K4875">
        <v>1.121003</v>
      </c>
      <c r="L4875">
        <v>76.117400000000004</v>
      </c>
      <c r="M4875">
        <v>5.867934E-3</v>
      </c>
      <c r="N4875">
        <v>-1.000533E-2</v>
      </c>
      <c r="O4875">
        <v>-0.99993270000000001</v>
      </c>
      <c r="P4875">
        <v>6.1762480000000002E-2</v>
      </c>
      <c r="Q4875">
        <v>0.140237</v>
      </c>
      <c r="R4875">
        <v>-0.98818980000000001</v>
      </c>
      <c r="S4875">
        <v>-0.14743039999999999</v>
      </c>
      <c r="T4875">
        <v>-1.1085050000000001</v>
      </c>
      <c r="U4875">
        <v>-3.202423</v>
      </c>
      <c r="V4875">
        <v>-5.6170289999999998E-2</v>
      </c>
      <c r="W4875">
        <v>0.15004300000000001</v>
      </c>
      <c r="X4875">
        <v>0.98708260000000003</v>
      </c>
      <c r="Y4875">
        <v>4.9383839999999998E-2</v>
      </c>
      <c r="Z4875">
        <v>0.31726759999999998</v>
      </c>
      <c r="AA4875">
        <v>0.94704940000000004</v>
      </c>
      <c r="AB4875">
        <v>28</v>
      </c>
      <c r="AC4875">
        <v>-3.9400000000000497E-2</v>
      </c>
      <c r="AD4875">
        <v>-0.28052959999999899</v>
      </c>
      <c r="AE4875">
        <v>-0.55986000000000002</v>
      </c>
      <c r="AF4875">
        <v>3.4152279803918197E-2</v>
      </c>
      <c r="AG4875">
        <v>-0.28052959999999899</v>
      </c>
      <c r="AH4875">
        <v>0.44775449817951202</v>
      </c>
      <c r="AI4875">
        <v>121.99346977275</v>
      </c>
      <c r="AJ4875">
        <v>85.638234868353095</v>
      </c>
      <c r="AK4875">
        <v>0.52947835209000904</v>
      </c>
      <c r="AL4875">
        <v>81.370581793025494</v>
      </c>
      <c r="AM4875">
        <v>93.256924403683499</v>
      </c>
      <c r="AN4875">
        <v>1.00000003127522</v>
      </c>
    </row>
    <row r="4876" spans="1:40" x14ac:dyDescent="0.25">
      <c r="A4876" t="str">
        <f>"20190303162359312"</f>
        <v>20190303162359312</v>
      </c>
      <c r="B4876" t="str">
        <f>"1551601439299802"</f>
        <v>1551601439299802</v>
      </c>
      <c r="C4876" t="s">
        <v>40</v>
      </c>
      <c r="D4876">
        <v>5.2335929999999999</v>
      </c>
      <c r="E4876">
        <v>0.54078559999999998</v>
      </c>
      <c r="F4876" t="s">
        <v>42</v>
      </c>
      <c r="G4876">
        <v>-422.42189999999999</v>
      </c>
      <c r="H4876">
        <v>0.83886059999999996</v>
      </c>
      <c r="I4876">
        <v>75.304230000000004</v>
      </c>
      <c r="J4876">
        <v>-422.38240000000002</v>
      </c>
      <c r="K4876">
        <v>1.1209629999999999</v>
      </c>
      <c r="L4876">
        <v>75.822810000000004</v>
      </c>
      <c r="M4876">
        <v>6.5801439999999996E-3</v>
      </c>
      <c r="N4876">
        <v>-1.0027289999999999E-2</v>
      </c>
      <c r="O4876">
        <v>-0.99992809999999999</v>
      </c>
      <c r="P4876">
        <v>6.2426799999999998E-2</v>
      </c>
      <c r="Q4876">
        <v>0.13985829999999999</v>
      </c>
      <c r="R4876">
        <v>-0.98820180000000002</v>
      </c>
      <c r="S4876">
        <v>-0.14440919999999999</v>
      </c>
      <c r="T4876">
        <v>-1.111226</v>
      </c>
      <c r="U4876">
        <v>-3.2025760000000001</v>
      </c>
      <c r="V4876">
        <v>-5.6113530000000002E-2</v>
      </c>
      <c r="W4876">
        <v>0.1496931</v>
      </c>
      <c r="X4876">
        <v>0.98713890000000004</v>
      </c>
      <c r="Y4876">
        <v>4.919105E-2</v>
      </c>
      <c r="Z4876">
        <v>0.31795649999999998</v>
      </c>
      <c r="AA4876">
        <v>0.94682840000000001</v>
      </c>
      <c r="AB4876">
        <v>28</v>
      </c>
      <c r="AC4876">
        <v>-3.9499999999975402E-2</v>
      </c>
      <c r="AD4876">
        <v>-0.28210239999999998</v>
      </c>
      <c r="AE4876">
        <v>-0.51858000000000004</v>
      </c>
      <c r="AF4876">
        <v>3.3156422330789199E-2</v>
      </c>
      <c r="AG4876">
        <v>-0.28210239999999998</v>
      </c>
      <c r="AH4876">
        <v>0.40048024202046201</v>
      </c>
      <c r="AI4876">
        <v>125.069179229836</v>
      </c>
      <c r="AJ4876">
        <v>85.267181487344203</v>
      </c>
      <c r="AK4876">
        <v>0.49098425298201298</v>
      </c>
      <c r="AL4876">
        <v>81.390858148420406</v>
      </c>
      <c r="AM4876">
        <v>93.253455192520605</v>
      </c>
      <c r="AN4876">
        <v>0.99999998016493996</v>
      </c>
    </row>
    <row r="4877" spans="1:40" x14ac:dyDescent="0.25">
      <c r="A4877" t="str">
        <f>"20190303162359334"</f>
        <v>20190303162359334</v>
      </c>
      <c r="B4877" t="str">
        <f>"1551601439330057"</f>
        <v>1551601439330057</v>
      </c>
      <c r="C4877" t="s">
        <v>40</v>
      </c>
      <c r="D4877">
        <v>5.2220019999999998</v>
      </c>
      <c r="E4877">
        <v>0.54063700000000003</v>
      </c>
      <c r="F4877" t="s">
        <v>42</v>
      </c>
      <c r="G4877">
        <v>-422.4171</v>
      </c>
      <c r="H4877">
        <v>0.85043409999999997</v>
      </c>
      <c r="I4877">
        <v>75.045379999999994</v>
      </c>
      <c r="J4877">
        <v>-422.37979999999999</v>
      </c>
      <c r="K4877">
        <v>1.120927</v>
      </c>
      <c r="L4877">
        <v>75.534120000000001</v>
      </c>
      <c r="M4877">
        <v>7.20673199999999E-3</v>
      </c>
      <c r="N4877">
        <v>-1.0061820000000001E-2</v>
      </c>
      <c r="O4877">
        <v>-0.99992340000000002</v>
      </c>
      <c r="P4877">
        <v>6.1795049999999997E-2</v>
      </c>
      <c r="Q4877">
        <v>0.13968889999999901</v>
      </c>
      <c r="R4877">
        <v>-0.98826530000000001</v>
      </c>
      <c r="S4877">
        <v>-0.1418152</v>
      </c>
      <c r="T4877">
        <v>-1.1144240000000001</v>
      </c>
      <c r="U4877">
        <v>-3.202515</v>
      </c>
      <c r="V4877">
        <v>-5.4844589999999999E-2</v>
      </c>
      <c r="W4877">
        <v>0.1495658</v>
      </c>
      <c r="X4877">
        <v>0.98722949999999998</v>
      </c>
      <c r="Y4877">
        <v>4.9039810000000003E-2</v>
      </c>
      <c r="Z4877">
        <v>0.31877739999999999</v>
      </c>
      <c r="AA4877">
        <v>0.94656010000000002</v>
      </c>
      <c r="AB4877">
        <v>28</v>
      </c>
      <c r="AC4877">
        <v>-3.7300000000016098E-2</v>
      </c>
      <c r="AD4877">
        <v>-0.27049289999999898</v>
      </c>
      <c r="AE4877">
        <v>-0.48873999999999201</v>
      </c>
      <c r="AF4877">
        <v>3.1291995964381598E-2</v>
      </c>
      <c r="AG4877">
        <v>-0.27049289999999898</v>
      </c>
      <c r="AH4877">
        <v>0.37443180385499902</v>
      </c>
      <c r="AI4877">
        <v>125.750090054355</v>
      </c>
      <c r="AJ4877">
        <v>85.222781141421805</v>
      </c>
      <c r="AK4877">
        <v>0.46297383694972799</v>
      </c>
      <c r="AL4877">
        <v>81.398234874248601</v>
      </c>
      <c r="AM4877">
        <v>93.179743718031801</v>
      </c>
      <c r="AN4877">
        <v>0.99999997162607801</v>
      </c>
    </row>
    <row r="4878" spans="1:40" x14ac:dyDescent="0.25">
      <c r="A4878" t="str">
        <f>"20190303162359357"</f>
        <v>20190303162359357</v>
      </c>
      <c r="B4878" t="str">
        <f>"1551601439349577"</f>
        <v>1551601439349577</v>
      </c>
      <c r="C4878" t="s">
        <v>40</v>
      </c>
      <c r="D4878">
        <v>5.1928580000000002</v>
      </c>
      <c r="E4878">
        <v>0.54054559999999996</v>
      </c>
      <c r="F4878" t="s">
        <v>42</v>
      </c>
      <c r="G4878">
        <v>-422.41320000000002</v>
      </c>
      <c r="H4878">
        <v>0.86009059999999904</v>
      </c>
      <c r="I4878">
        <v>74.787009999999995</v>
      </c>
      <c r="J4878">
        <v>-422.37709999999998</v>
      </c>
      <c r="K4878">
        <v>1.120895</v>
      </c>
      <c r="L4878">
        <v>75.244109999999907</v>
      </c>
      <c r="M4878">
        <v>7.7647119999999896E-3</v>
      </c>
      <c r="N4878">
        <v>-1.01087E-2</v>
      </c>
      <c r="O4878">
        <v>-0.99991870000000005</v>
      </c>
      <c r="P4878">
        <v>6.087004E-2</v>
      </c>
      <c r="Q4878">
        <v>0.13961299999999999</v>
      </c>
      <c r="R4878">
        <v>-0.98833369999999998</v>
      </c>
      <c r="S4878">
        <v>-0.1416626</v>
      </c>
      <c r="T4878">
        <v>-1.1181140000000001</v>
      </c>
      <c r="U4878">
        <v>-3.202515</v>
      </c>
      <c r="V4878">
        <v>-5.3350069999999999E-2</v>
      </c>
      <c r="W4878">
        <v>0.1495456</v>
      </c>
      <c r="X4878">
        <v>0.98731449999999998</v>
      </c>
      <c r="Y4878">
        <v>4.9536709999999998E-2</v>
      </c>
      <c r="Z4878">
        <v>0.31969950000000003</v>
      </c>
      <c r="AA4878">
        <v>0.94622320000000004</v>
      </c>
      <c r="AB4878">
        <v>28</v>
      </c>
      <c r="AC4878">
        <v>-3.6100000000033099E-2</v>
      </c>
      <c r="AD4878">
        <v>-0.26080439999999999</v>
      </c>
      <c r="AE4878">
        <v>-0.45709999999999701</v>
      </c>
      <c r="AF4878">
        <v>2.99566399309606E-2</v>
      </c>
      <c r="AG4878">
        <v>-0.26080439999999999</v>
      </c>
      <c r="AH4878">
        <v>0.345143548743437</v>
      </c>
      <c r="AI4878">
        <v>126.972803571374</v>
      </c>
      <c r="AJ4878">
        <v>85.039460012374704</v>
      </c>
      <c r="AK4878">
        <v>0.43363625837160602</v>
      </c>
      <c r="AL4878">
        <v>81.399405825817993</v>
      </c>
      <c r="AM4878">
        <v>93.093000246265504</v>
      </c>
      <c r="AN4878">
        <v>1.0000000191792999</v>
      </c>
    </row>
    <row r="4879" spans="1:40" x14ac:dyDescent="0.25">
      <c r="A4879" t="str">
        <f>"20190303162359378"</f>
        <v>20190303162359378</v>
      </c>
      <c r="B4879" t="str">
        <f>"1551601439370074"</f>
        <v>1551601439370074</v>
      </c>
      <c r="C4879" t="s">
        <v>40</v>
      </c>
      <c r="D4879">
        <v>5.1897129999999896</v>
      </c>
      <c r="E4879">
        <v>0.54046090000000002</v>
      </c>
      <c r="F4879" t="s">
        <v>42</v>
      </c>
      <c r="G4879">
        <v>-422.40940000000001</v>
      </c>
      <c r="H4879">
        <v>0.8704305</v>
      </c>
      <c r="I4879">
        <v>74.528109999999998</v>
      </c>
      <c r="J4879">
        <v>-422.37439999999998</v>
      </c>
      <c r="K4879">
        <v>1.120862</v>
      </c>
      <c r="L4879">
        <v>74.968990000000005</v>
      </c>
      <c r="M4879">
        <v>8.2297710000000003E-3</v>
      </c>
      <c r="N4879">
        <v>-1.0155630000000001E-2</v>
      </c>
      <c r="O4879">
        <v>-0.99991479999999999</v>
      </c>
      <c r="P4879">
        <v>6.0026049999999997E-2</v>
      </c>
      <c r="Q4879">
        <v>0.1412456</v>
      </c>
      <c r="R4879">
        <v>-0.98815350000000002</v>
      </c>
      <c r="S4879">
        <v>-0.14382929999999999</v>
      </c>
      <c r="T4879">
        <v>-1.1203160000000001</v>
      </c>
      <c r="U4879">
        <v>-3.2025450000000002</v>
      </c>
      <c r="V4879">
        <v>-5.2031979999999999E-2</v>
      </c>
      <c r="W4879">
        <v>0.1512299</v>
      </c>
      <c r="X4879">
        <v>0.98712829999999996</v>
      </c>
      <c r="Y4879">
        <v>5.0629170000000001E-2</v>
      </c>
      <c r="Z4879">
        <v>0.32021660000000002</v>
      </c>
      <c r="AA4879">
        <v>0.94599049999999996</v>
      </c>
      <c r="AB4879">
        <v>28</v>
      </c>
      <c r="AC4879">
        <v>-3.5000000000024997E-2</v>
      </c>
      <c r="AD4879">
        <v>-0.25043149999999997</v>
      </c>
      <c r="AE4879">
        <v>-0.44088000000000699</v>
      </c>
      <c r="AF4879">
        <v>2.9249104414294E-2</v>
      </c>
      <c r="AG4879">
        <v>-0.25043149999999997</v>
      </c>
      <c r="AH4879">
        <v>0.33361039710678703</v>
      </c>
      <c r="AI4879">
        <v>126.78921148868601</v>
      </c>
      <c r="AJ4879">
        <v>84.989436873603793</v>
      </c>
      <c r="AK4879">
        <v>0.41817142819546699</v>
      </c>
      <c r="AL4879">
        <v>81.301792612461199</v>
      </c>
      <c r="AM4879">
        <v>93.017294159986406</v>
      </c>
      <c r="AN4879">
        <v>1.0000000451288</v>
      </c>
    </row>
    <row r="4880" spans="1:40" x14ac:dyDescent="0.25">
      <c r="A4880" t="str">
        <f>"20190303162359401"</f>
        <v>20190303162359401</v>
      </c>
      <c r="B4880" t="str">
        <f>"1551601439389593"</f>
        <v>1551601439389593</v>
      </c>
      <c r="C4880" t="s">
        <v>40</v>
      </c>
      <c r="D4880">
        <v>5.1688210000000003</v>
      </c>
      <c r="E4880">
        <v>0.54038350000000002</v>
      </c>
      <c r="F4880" t="s">
        <v>42</v>
      </c>
      <c r="G4880">
        <v>-422.40649999999999</v>
      </c>
      <c r="H4880">
        <v>0.87735450000000004</v>
      </c>
      <c r="I4880">
        <v>74.270300000000006</v>
      </c>
      <c r="J4880">
        <v>-422.3716</v>
      </c>
      <c r="K4880">
        <v>1.1208389999999999</v>
      </c>
      <c r="L4880">
        <v>74.688659999999999</v>
      </c>
      <c r="M4880">
        <v>8.6386789999999998E-3</v>
      </c>
      <c r="N4880">
        <v>-1.020532E-2</v>
      </c>
      <c r="O4880">
        <v>-0.99991070000000004</v>
      </c>
      <c r="P4880">
        <v>5.8926109999999997E-2</v>
      </c>
      <c r="Q4880">
        <v>0.1438352</v>
      </c>
      <c r="R4880">
        <v>-0.9878458</v>
      </c>
      <c r="S4880">
        <v>-0.14553829999999901</v>
      </c>
      <c r="T4880">
        <v>-1.1168370000000001</v>
      </c>
      <c r="U4880">
        <v>-3.204437</v>
      </c>
      <c r="V4880">
        <v>-5.0514240000000002E-2</v>
      </c>
      <c r="W4880">
        <v>0.15387319999999999</v>
      </c>
      <c r="X4880">
        <v>0.98679850000000002</v>
      </c>
      <c r="Y4880">
        <v>5.1531769999999998E-2</v>
      </c>
      <c r="Z4880">
        <v>0.31906659999999998</v>
      </c>
      <c r="AA4880">
        <v>0.94633020000000001</v>
      </c>
      <c r="AB4880">
        <v>29</v>
      </c>
      <c r="AC4880">
        <v>-3.48999999999932E-2</v>
      </c>
      <c r="AD4880">
        <v>-0.24348449999999899</v>
      </c>
      <c r="AE4880">
        <v>-0.41835999999999202</v>
      </c>
      <c r="AF4880">
        <v>2.8818865443536599E-2</v>
      </c>
      <c r="AG4880">
        <v>-0.24348449999999899</v>
      </c>
      <c r="AH4880">
        <v>0.31281731025103299</v>
      </c>
      <c r="AI4880">
        <v>127.77847017062901</v>
      </c>
      <c r="AJ4880">
        <v>84.736379620632107</v>
      </c>
      <c r="AK4880">
        <v>0.397454272009238</v>
      </c>
      <c r="AL4880">
        <v>81.148548283317496</v>
      </c>
      <c r="AM4880">
        <v>92.930414540857598</v>
      </c>
      <c r="AN4880">
        <v>0.99999996486163301</v>
      </c>
    </row>
    <row r="4881" spans="1:40" x14ac:dyDescent="0.25">
      <c r="A4881" t="str">
        <f>"20190303162359436"</f>
        <v>20190303162359436</v>
      </c>
      <c r="B4881" t="str">
        <f>"1551601439419849"</f>
        <v>1551601439419849</v>
      </c>
      <c r="C4881" t="s">
        <v>40</v>
      </c>
      <c r="D4881">
        <v>5.2327940000000002</v>
      </c>
      <c r="E4881">
        <v>0.5399079</v>
      </c>
      <c r="F4881" t="s">
        <v>42</v>
      </c>
      <c r="G4881">
        <v>-422.40249999999997</v>
      </c>
      <c r="H4881">
        <v>0.88641619999999999</v>
      </c>
      <c r="I4881">
        <v>74.011219999999994</v>
      </c>
      <c r="J4881">
        <v>-422.36720000000003</v>
      </c>
      <c r="K4881">
        <v>1.1207819999999999</v>
      </c>
      <c r="L4881">
        <v>74.25009</v>
      </c>
      <c r="M4881">
        <v>9.1238650000000001E-3</v>
      </c>
      <c r="N4881">
        <v>-1.0284720000000001E-2</v>
      </c>
      <c r="O4881">
        <v>-0.99990579999999996</v>
      </c>
      <c r="P4881">
        <v>5.9100600000000003E-2</v>
      </c>
      <c r="Q4881">
        <v>0.14787069999999999</v>
      </c>
      <c r="R4881">
        <v>-0.98723950000000005</v>
      </c>
      <c r="S4881">
        <v>-0.14562990000000001</v>
      </c>
      <c r="T4881">
        <v>-1.1098330000000001</v>
      </c>
      <c r="U4881">
        <v>-3.207214</v>
      </c>
      <c r="V4881">
        <v>-5.0184760000000002E-2</v>
      </c>
      <c r="W4881">
        <v>0.15799170000000001</v>
      </c>
      <c r="X4881">
        <v>0.98616429999999999</v>
      </c>
      <c r="Y4881">
        <v>5.2038290000000001E-2</v>
      </c>
      <c r="Z4881">
        <v>0.31688460000000002</v>
      </c>
      <c r="AA4881">
        <v>0.94703550000000003</v>
      </c>
      <c r="AB4881">
        <v>29</v>
      </c>
      <c r="AC4881">
        <v>-3.5299999999949698E-2</v>
      </c>
      <c r="AD4881">
        <v>-0.23436580000000001</v>
      </c>
      <c r="AE4881">
        <v>-0.23887000000000499</v>
      </c>
      <c r="AF4881">
        <v>1.92980033366595E-2</v>
      </c>
      <c r="AG4881">
        <v>-0.23436580000000001</v>
      </c>
      <c r="AH4881">
        <v>0.12282669231613701</v>
      </c>
      <c r="AI4881">
        <v>152.05359100992999</v>
      </c>
      <c r="AJ4881">
        <v>81.070927672132598</v>
      </c>
      <c r="AK4881">
        <v>0.26530385878788998</v>
      </c>
      <c r="AL4881">
        <v>80.909653119748199</v>
      </c>
      <c r="AM4881">
        <v>92.913202899928294</v>
      </c>
      <c r="AN4881">
        <v>0.99999995699981703</v>
      </c>
    </row>
    <row r="4882" spans="1:40" x14ac:dyDescent="0.25">
      <c r="A4882" t="str">
        <f>"20190303162359456"</f>
        <v>20190303162359456</v>
      </c>
      <c r="B4882" t="str">
        <f>"1551601439450105"</f>
        <v>1551601439450105</v>
      </c>
      <c r="C4882" t="s">
        <v>40</v>
      </c>
      <c r="D4882">
        <v>5.4551429999999996</v>
      </c>
      <c r="E4882">
        <v>0.48432340000000002</v>
      </c>
      <c r="F4882" t="s">
        <v>42</v>
      </c>
      <c r="G4882">
        <v>-422.399</v>
      </c>
      <c r="H4882">
        <v>0.86903819999999998</v>
      </c>
      <c r="I4882">
        <v>73.5077</v>
      </c>
      <c r="J4882">
        <v>-422.36439999999999</v>
      </c>
      <c r="K4882">
        <v>1.1207370000000001</v>
      </c>
      <c r="L4882">
        <v>73.97278</v>
      </c>
      <c r="M4882">
        <v>9.3422669999999996E-3</v>
      </c>
      <c r="N4882">
        <v>-1.0331659999999999E-2</v>
      </c>
      <c r="O4882">
        <v>-0.99990299999999999</v>
      </c>
      <c r="P4882">
        <v>6.1142059999999998E-2</v>
      </c>
      <c r="Q4882">
        <v>0.14940709999999999</v>
      </c>
      <c r="R4882">
        <v>-0.98688359999999997</v>
      </c>
      <c r="S4882">
        <v>-0.13723750000000001</v>
      </c>
      <c r="T4882">
        <v>-1.088506</v>
      </c>
      <c r="U4882">
        <v>-3.2100219999999999</v>
      </c>
      <c r="V4882">
        <v>-5.1992480000000001E-2</v>
      </c>
      <c r="W4882">
        <v>0.15957679999999999</v>
      </c>
      <c r="X4882">
        <v>0.98581540000000001</v>
      </c>
      <c r="Y4882">
        <v>4.9836610000000003E-2</v>
      </c>
      <c r="Z4882">
        <v>0.31097839999999999</v>
      </c>
      <c r="AA4882">
        <v>0.94910939999999999</v>
      </c>
      <c r="AB4882">
        <v>29</v>
      </c>
      <c r="AC4882">
        <v>-3.4600000000011698E-2</v>
      </c>
      <c r="AD4882">
        <v>-0.2516988</v>
      </c>
      <c r="AE4882">
        <v>-0.46507999999999999</v>
      </c>
      <c r="AF4882">
        <v>3.0158942351399199E-2</v>
      </c>
      <c r="AG4882">
        <v>-0.2516988</v>
      </c>
      <c r="AH4882">
        <v>0.35990384009006099</v>
      </c>
      <c r="AI4882">
        <v>124.872933008334</v>
      </c>
      <c r="AJ4882">
        <v>85.209963706528598</v>
      </c>
      <c r="AK4882">
        <v>0.44021883403231099</v>
      </c>
      <c r="AL4882">
        <v>80.817666846574298</v>
      </c>
      <c r="AM4882">
        <v>93.0190157502321</v>
      </c>
      <c r="AN4882">
        <v>0.999999987975975</v>
      </c>
    </row>
    <row r="4883" spans="1:40" x14ac:dyDescent="0.25">
      <c r="A4883" t="str">
        <f>"20190303162359478"</f>
        <v>20190303162359478</v>
      </c>
      <c r="B4883" t="str">
        <f>"1551601439469624"</f>
        <v>1551601439469624</v>
      </c>
      <c r="C4883" t="s">
        <v>40</v>
      </c>
      <c r="D4883">
        <v>5.359756</v>
      </c>
      <c r="E4883">
        <v>0.47807709999999998</v>
      </c>
      <c r="F4883" t="s">
        <v>41</v>
      </c>
      <c r="G4883">
        <v>-420.83600000000001</v>
      </c>
      <c r="H4883" s="1">
        <v>-4.2162310000000002E-6</v>
      </c>
      <c r="I4883">
        <v>58.940620000000003</v>
      </c>
      <c r="J4883">
        <v>-422.36160000000001</v>
      </c>
      <c r="K4883">
        <v>1.120682</v>
      </c>
      <c r="L4883">
        <v>73.69556</v>
      </c>
      <c r="M4883">
        <v>9.4909369999999996E-3</v>
      </c>
      <c r="N4883">
        <v>-1.0367309999999999E-2</v>
      </c>
      <c r="O4883">
        <v>-0.99990140000000005</v>
      </c>
      <c r="P4883">
        <v>6.556418E-2</v>
      </c>
      <c r="Q4883">
        <v>0.14980679999999999</v>
      </c>
      <c r="R4883">
        <v>-0.98653950000000001</v>
      </c>
      <c r="S4883">
        <v>0.31063839999999998</v>
      </c>
      <c r="T4883">
        <v>-0.22777800000000001</v>
      </c>
      <c r="U4883">
        <v>-3.0551149999999998</v>
      </c>
      <c r="V4883">
        <v>-5.6249159999999999E-2</v>
      </c>
      <c r="W4883">
        <v>0.16001460000000001</v>
      </c>
      <c r="X4883">
        <v>0.98551069999999996</v>
      </c>
      <c r="Y4883">
        <v>-9.1464100000000007E-2</v>
      </c>
      <c r="Z4883">
        <v>6.3661659999999995E-2</v>
      </c>
      <c r="AA4883">
        <v>0.99377139999999997</v>
      </c>
      <c r="AB4883">
        <v>29</v>
      </c>
      <c r="AC4883">
        <v>1.5255999999999901</v>
      </c>
      <c r="AD4883">
        <v>-1.1206862162310001</v>
      </c>
      <c r="AE4883">
        <v>-14.75494</v>
      </c>
      <c r="AF4883">
        <v>-1.3776222695328899</v>
      </c>
      <c r="AG4883">
        <v>-1.1206862162310001</v>
      </c>
      <c r="AH4883">
        <v>14.684935654208701</v>
      </c>
      <c r="AI4883">
        <v>94.345084784853796</v>
      </c>
      <c r="AJ4883">
        <v>95.359342875938907</v>
      </c>
      <c r="AK4883">
        <v>14.791927388985201</v>
      </c>
      <c r="AL4883">
        <v>80.7922562490063</v>
      </c>
      <c r="AM4883">
        <v>93.266678510986296</v>
      </c>
      <c r="AN4883">
        <v>0.99999999001417705</v>
      </c>
    </row>
    <row r="4884" spans="1:40" x14ac:dyDescent="0.25">
      <c r="A4884" t="str">
        <f>"20190303162359501"</f>
        <v>20190303162359501</v>
      </c>
      <c r="B4884" t="str">
        <f>"1551601439490120"</f>
        <v>1551601439490120</v>
      </c>
      <c r="C4884" t="s">
        <v>40</v>
      </c>
      <c r="D4884">
        <v>5.343998</v>
      </c>
      <c r="E4884">
        <v>0.47765770000000002</v>
      </c>
      <c r="F4884" t="s">
        <v>41</v>
      </c>
      <c r="G4884">
        <v>-419.65410000000003</v>
      </c>
      <c r="H4884" s="1">
        <v>-9.303657E-7</v>
      </c>
      <c r="I4884">
        <v>51.658459999999998</v>
      </c>
      <c r="J4884">
        <v>-422.3587</v>
      </c>
      <c r="K4884">
        <v>1.1206229999999999</v>
      </c>
      <c r="L4884">
        <v>73.409819999999996</v>
      </c>
      <c r="M4884">
        <v>9.5774550000000003E-3</v>
      </c>
      <c r="N4884">
        <v>-1.039079E-2</v>
      </c>
      <c r="O4884">
        <v>-0.99990009999999996</v>
      </c>
      <c r="P4884">
        <v>7.0144680000000001E-2</v>
      </c>
      <c r="Q4884">
        <v>0.1489896</v>
      </c>
      <c r="R4884">
        <v>-0.986348</v>
      </c>
      <c r="S4884">
        <v>0.37344359999999999</v>
      </c>
      <c r="T4884">
        <v>-0.15457609999999999</v>
      </c>
      <c r="U4884">
        <v>-3.0395810000000001</v>
      </c>
      <c r="V4884">
        <v>-6.0723539999999999E-2</v>
      </c>
      <c r="W4884">
        <v>0.15922559999999999</v>
      </c>
      <c r="X4884">
        <v>0.98537300000000005</v>
      </c>
      <c r="Y4884">
        <v>-0.112298</v>
      </c>
      <c r="Z4884">
        <v>4.0061430000000002E-2</v>
      </c>
      <c r="AA4884">
        <v>0.99286669999999999</v>
      </c>
      <c r="AB4884">
        <v>29</v>
      </c>
      <c r="AC4884">
        <v>2.7045999999999699</v>
      </c>
      <c r="AD4884">
        <v>-1.1206239303657</v>
      </c>
      <c r="AE4884">
        <v>-21.751359999999998</v>
      </c>
      <c r="AF4884">
        <v>-2.4896344344921402</v>
      </c>
      <c r="AG4884">
        <v>-1.1206239303657</v>
      </c>
      <c r="AH4884">
        <v>21.719494945108298</v>
      </c>
      <c r="AI4884">
        <v>92.9343930155528</v>
      </c>
      <c r="AJ4884">
        <v>96.539087213696902</v>
      </c>
      <c r="AK4884">
        <v>21.890421153584601</v>
      </c>
      <c r="AL4884">
        <v>80.838050265679598</v>
      </c>
      <c r="AM4884">
        <v>93.526388813196107</v>
      </c>
      <c r="AN4884">
        <v>1.0000000445672399</v>
      </c>
    </row>
    <row r="4885" spans="1:40" x14ac:dyDescent="0.25">
      <c r="A4885" t="str">
        <f>"20190303162359524"</f>
        <v>20190303162359524</v>
      </c>
      <c r="B4885" t="str">
        <f>"1551601439509642"</f>
        <v>1551601439509642</v>
      </c>
      <c r="C4885" t="s">
        <v>40</v>
      </c>
      <c r="D4885">
        <v>5.2750659999999998</v>
      </c>
      <c r="E4885">
        <v>0.4780045</v>
      </c>
      <c r="F4885" t="s">
        <v>41</v>
      </c>
      <c r="G4885">
        <v>-419.34249999999997</v>
      </c>
      <c r="H4885" s="1">
        <v>-2.6619789999999999E-7</v>
      </c>
      <c r="I4885">
        <v>49.91619</v>
      </c>
      <c r="J4885">
        <v>-422.35590000000002</v>
      </c>
      <c r="K4885">
        <v>1.1205769999999999</v>
      </c>
      <c r="L4885">
        <v>73.118899999999996</v>
      </c>
      <c r="M4885">
        <v>9.6111719999999994E-3</v>
      </c>
      <c r="N4885">
        <v>-1.040808E-2</v>
      </c>
      <c r="O4885">
        <v>-0.99989989999999995</v>
      </c>
      <c r="P4885">
        <v>7.4939039999999998E-2</v>
      </c>
      <c r="Q4885">
        <v>0.14851239999999999</v>
      </c>
      <c r="R4885">
        <v>-0.98606740000000004</v>
      </c>
      <c r="S4885">
        <v>0.38973999999999998</v>
      </c>
      <c r="T4885">
        <v>-0.14479879999999901</v>
      </c>
      <c r="U4885">
        <v>-3.0356749999999999</v>
      </c>
      <c r="V4885">
        <v>-6.5470020000000004E-2</v>
      </c>
      <c r="W4885">
        <v>0.1587694</v>
      </c>
      <c r="X4885">
        <v>0.98514259999999998</v>
      </c>
      <c r="Y4885">
        <v>-0.117680199999999</v>
      </c>
      <c r="Z4885">
        <v>3.6889940000000003E-2</v>
      </c>
      <c r="AA4885">
        <v>0.99236610000000003</v>
      </c>
      <c r="AB4885">
        <v>29</v>
      </c>
      <c r="AC4885">
        <v>3.0134000000000398</v>
      </c>
      <c r="AD4885">
        <v>-1.1205772661979001</v>
      </c>
      <c r="AE4885">
        <v>-23.20271</v>
      </c>
      <c r="AF4885">
        <v>-2.7838581260566202</v>
      </c>
      <c r="AG4885">
        <v>-1.1205772661979001</v>
      </c>
      <c r="AH4885">
        <v>23.177439296203602</v>
      </c>
      <c r="AI4885">
        <v>92.748244924247203</v>
      </c>
      <c r="AJ4885">
        <v>96.849025126910504</v>
      </c>
      <c r="AK4885">
        <v>23.3709060972127</v>
      </c>
      <c r="AL4885">
        <v>80.864524924938095</v>
      </c>
      <c r="AM4885">
        <v>93.802137867131407</v>
      </c>
      <c r="AN4885">
        <v>0.99999999411495999</v>
      </c>
    </row>
    <row r="4886" spans="1:40" x14ac:dyDescent="0.25">
      <c r="A4886" t="str">
        <f>"20190303162359545"</f>
        <v>20190303162359545</v>
      </c>
      <c r="B4886" t="str">
        <f>"1551601439539898"</f>
        <v>1551601439539898</v>
      </c>
      <c r="C4886" t="s">
        <v>40</v>
      </c>
      <c r="D4886">
        <v>5.2681060000000004</v>
      </c>
      <c r="E4886">
        <v>0.4789697</v>
      </c>
      <c r="F4886" t="s">
        <v>41</v>
      </c>
      <c r="G4886">
        <v>-419.19709999999998</v>
      </c>
      <c r="H4886" s="1">
        <v>-4.2447869999999999E-6</v>
      </c>
      <c r="I4886">
        <v>49.195489999999999</v>
      </c>
      <c r="J4886">
        <v>-422.35309999999998</v>
      </c>
      <c r="K4886">
        <v>1.1205459999999901</v>
      </c>
      <c r="L4886">
        <v>72.829409999999996</v>
      </c>
      <c r="M4886">
        <v>9.6028629999999997E-3</v>
      </c>
      <c r="N4886">
        <v>-1.0422519999999999E-2</v>
      </c>
      <c r="O4886">
        <v>-0.9998996</v>
      </c>
      <c r="P4886">
        <v>7.8920509999999999E-2</v>
      </c>
      <c r="Q4886">
        <v>0.1488207</v>
      </c>
      <c r="R4886">
        <v>-0.98571010000000003</v>
      </c>
      <c r="S4886">
        <v>0.4005127</v>
      </c>
      <c r="T4886">
        <v>-0.1420835</v>
      </c>
      <c r="U4886">
        <v>-3.0333559999999999</v>
      </c>
      <c r="V4886">
        <v>-6.9450239999999996E-2</v>
      </c>
      <c r="W4886">
        <v>0.15909379999999901</v>
      </c>
      <c r="X4886">
        <v>0.98481770000000002</v>
      </c>
      <c r="Y4886">
        <v>-0.1212527</v>
      </c>
      <c r="Z4886">
        <v>3.6005139999999998E-2</v>
      </c>
      <c r="AA4886">
        <v>0.99196850000000003</v>
      </c>
      <c r="AB4886">
        <v>29</v>
      </c>
      <c r="AC4886">
        <v>3.1560000000000001</v>
      </c>
      <c r="AD4886">
        <v>-1.1205502447869899</v>
      </c>
      <c r="AE4886">
        <v>-23.63392</v>
      </c>
      <c r="AF4886">
        <v>-2.9224343900441201</v>
      </c>
      <c r="AG4886">
        <v>-1.1205502447869899</v>
      </c>
      <c r="AH4886">
        <v>23.610991448919101</v>
      </c>
      <c r="AI4886">
        <v>92.696605547111801</v>
      </c>
      <c r="AJ4886">
        <v>97.055860013134307</v>
      </c>
      <c r="AK4886">
        <v>23.8175391847297</v>
      </c>
      <c r="AL4886">
        <v>80.845699289129598</v>
      </c>
      <c r="AM4886">
        <v>94.033872250399298</v>
      </c>
      <c r="AN4886">
        <v>1.00000003763389</v>
      </c>
    </row>
    <row r="4887" spans="1:40" x14ac:dyDescent="0.25">
      <c r="A4887" t="str">
        <f>"20190303162359568"</f>
        <v>20190303162359568</v>
      </c>
      <c r="B4887" t="str">
        <f>"1551601439560393"</f>
        <v>1551601439560393</v>
      </c>
      <c r="C4887" t="s">
        <v>40</v>
      </c>
      <c r="D4887">
        <v>5.3257479999999999</v>
      </c>
      <c r="E4887">
        <v>0.47951050000000001</v>
      </c>
      <c r="F4887" t="s">
        <v>41</v>
      </c>
      <c r="G4887">
        <v>-419.07350000000002</v>
      </c>
      <c r="H4887" s="1">
        <v>-3.8777589999999999E-6</v>
      </c>
      <c r="I4887">
        <v>48.28884</v>
      </c>
      <c r="J4887">
        <v>-422.3503</v>
      </c>
      <c r="K4887">
        <v>1.120528</v>
      </c>
      <c r="L4887">
        <v>72.543639999999996</v>
      </c>
      <c r="M4887">
        <v>9.5710310000000007E-3</v>
      </c>
      <c r="N4887">
        <v>-1.043414E-2</v>
      </c>
      <c r="O4887">
        <v>-0.99989989999999995</v>
      </c>
      <c r="P4887">
        <v>8.2936360000000001E-2</v>
      </c>
      <c r="Q4887">
        <v>0.1496497</v>
      </c>
      <c r="R4887">
        <v>-0.98525499999999999</v>
      </c>
      <c r="S4887">
        <v>0.40518189999999998</v>
      </c>
      <c r="T4887">
        <v>-0.13844229999999999</v>
      </c>
      <c r="U4887">
        <v>-3.031952</v>
      </c>
      <c r="V4887">
        <v>-7.3494039999999997E-2</v>
      </c>
      <c r="W4887">
        <v>0.15993360000000001</v>
      </c>
      <c r="X4887">
        <v>0.98438809999999999</v>
      </c>
      <c r="Y4887">
        <v>-0.1228506</v>
      </c>
      <c r="Z4887">
        <v>3.4817859999999999E-2</v>
      </c>
      <c r="AA4887">
        <v>0.99181419999999998</v>
      </c>
      <c r="AB4887">
        <v>29</v>
      </c>
      <c r="AC4887">
        <v>3.27679999999997</v>
      </c>
      <c r="AD4887">
        <v>-1.1205318777590001</v>
      </c>
      <c r="AE4887">
        <v>-24.254799999999999</v>
      </c>
      <c r="AF4887">
        <v>-3.0381258393735502</v>
      </c>
      <c r="AG4887">
        <v>-1.1205318777590001</v>
      </c>
      <c r="AH4887">
        <v>24.234257210796599</v>
      </c>
      <c r="AI4887">
        <v>92.626796829352898</v>
      </c>
      <c r="AJ4887">
        <v>97.145602418010398</v>
      </c>
      <c r="AK4887">
        <v>24.449642591743402</v>
      </c>
      <c r="AL4887">
        <v>80.796958136212496</v>
      </c>
      <c r="AM4887">
        <v>94.269759501259102</v>
      </c>
      <c r="AN4887">
        <v>1.0000000308730399</v>
      </c>
    </row>
    <row r="4888" spans="1:40" x14ac:dyDescent="0.25">
      <c r="A4888" t="str">
        <f>"20190303162359590"</f>
        <v>20190303162359590</v>
      </c>
      <c r="B4888" t="str">
        <f>"1551601439579913"</f>
        <v>1551601439579913</v>
      </c>
      <c r="C4888" t="s">
        <v>40</v>
      </c>
      <c r="D4888">
        <v>5.3816230000000003</v>
      </c>
      <c r="E4888">
        <v>0.48009439999999998</v>
      </c>
      <c r="F4888" t="s">
        <v>41</v>
      </c>
      <c r="G4888">
        <v>-418.90660000000003</v>
      </c>
      <c r="H4888" s="1">
        <v>-3.5031910000000002E-6</v>
      </c>
      <c r="I4888">
        <v>47.346690000000002</v>
      </c>
      <c r="J4888">
        <v>-422.34769999999997</v>
      </c>
      <c r="K4888">
        <v>1.120519</v>
      </c>
      <c r="L4888">
        <v>72.264560000000003</v>
      </c>
      <c r="M4888">
        <v>9.5279389999999992E-3</v>
      </c>
      <c r="N4888">
        <v>-1.0443259999999999E-2</v>
      </c>
      <c r="O4888">
        <v>-0.99990029999999996</v>
      </c>
      <c r="P4888">
        <v>8.6208899999999894E-2</v>
      </c>
      <c r="Q4888">
        <v>0.15079979999999901</v>
      </c>
      <c r="R4888">
        <v>-0.98479859999999997</v>
      </c>
      <c r="S4888">
        <v>0.41418460000000001</v>
      </c>
      <c r="T4888">
        <v>-0.1347699</v>
      </c>
      <c r="U4888">
        <v>-3.0305179999999998</v>
      </c>
      <c r="V4888">
        <v>-7.6808860000000007E-2</v>
      </c>
      <c r="W4888">
        <v>0.16109000000000001</v>
      </c>
      <c r="X4888">
        <v>0.98394630000000005</v>
      </c>
      <c r="Y4888">
        <v>-0.125853399999999</v>
      </c>
      <c r="Z4888">
        <v>3.3614400000000003E-2</v>
      </c>
      <c r="AA4888">
        <v>0.9914792</v>
      </c>
      <c r="AB4888">
        <v>29</v>
      </c>
      <c r="AC4888">
        <v>3.4410999999999401</v>
      </c>
      <c r="AD4888">
        <v>-1.120522503191</v>
      </c>
      <c r="AE4888">
        <v>-24.917870000000001</v>
      </c>
      <c r="AF4888">
        <v>-3.1971706896479</v>
      </c>
      <c r="AG4888">
        <v>-1.120522503191</v>
      </c>
      <c r="AH4888">
        <v>24.900117016956699</v>
      </c>
      <c r="AI4888">
        <v>92.555658742580903</v>
      </c>
      <c r="AJ4888">
        <v>97.316734228741595</v>
      </c>
      <c r="AK4888">
        <v>25.129530408605699</v>
      </c>
      <c r="AL4888">
        <v>80.729830210124604</v>
      </c>
      <c r="AM4888">
        <v>94.463573850079598</v>
      </c>
      <c r="AN4888">
        <v>0.99999995517909301</v>
      </c>
    </row>
    <row r="4889" spans="1:40" x14ac:dyDescent="0.25">
      <c r="A4889" t="str">
        <f>"20190303162359612"</f>
        <v>20190303162359612</v>
      </c>
      <c r="B4889" t="str">
        <f>"1551601439600409"</f>
        <v>1551601439600409</v>
      </c>
      <c r="C4889" t="s">
        <v>40</v>
      </c>
      <c r="D4889">
        <v>5.3854939999999996</v>
      </c>
      <c r="E4889">
        <v>0.48059190000000002</v>
      </c>
      <c r="F4889" t="s">
        <v>41</v>
      </c>
      <c r="G4889">
        <v>-418.76600000000002</v>
      </c>
      <c r="H4889" s="1">
        <v>-3.105119E-6</v>
      </c>
      <c r="I4889">
        <v>46.360619999999997</v>
      </c>
      <c r="J4889">
        <v>-422.3449</v>
      </c>
      <c r="K4889">
        <v>1.120522</v>
      </c>
      <c r="L4889">
        <v>71.975740000000002</v>
      </c>
      <c r="M4889">
        <v>9.4802580000000001E-3</v>
      </c>
      <c r="N4889">
        <v>-1.045103E-2</v>
      </c>
      <c r="O4889">
        <v>-0.99990060000000003</v>
      </c>
      <c r="P4889">
        <v>8.9558479999999996E-2</v>
      </c>
      <c r="Q4889">
        <v>0.15311900000000001</v>
      </c>
      <c r="R4889">
        <v>-0.98414159999999995</v>
      </c>
      <c r="S4889">
        <v>0.41891479999999998</v>
      </c>
      <c r="T4889">
        <v>-0.13105619999999901</v>
      </c>
      <c r="U4889">
        <v>-3.0297239999999999</v>
      </c>
      <c r="V4889">
        <v>-8.0208929999999998E-2</v>
      </c>
      <c r="W4889">
        <v>0.163412</v>
      </c>
      <c r="X4889">
        <v>0.9832919</v>
      </c>
      <c r="Y4889">
        <v>-0.1274605</v>
      </c>
      <c r="Z4889">
        <v>3.2397009999999997E-2</v>
      </c>
      <c r="AA4889">
        <v>0.99131440000000004</v>
      </c>
      <c r="AB4889">
        <v>29</v>
      </c>
      <c r="AC4889">
        <v>3.5789000000000302</v>
      </c>
      <c r="AD4889">
        <v>-1.1205251051189999</v>
      </c>
      <c r="AE4889">
        <v>-25.615120000000001</v>
      </c>
      <c r="AF4889">
        <v>-3.3296383944316101</v>
      </c>
      <c r="AG4889">
        <v>-1.1205251051189999</v>
      </c>
      <c r="AH4889">
        <v>25.599849712422898</v>
      </c>
      <c r="AI4889">
        <v>92.485372976565003</v>
      </c>
      <c r="AJ4889">
        <v>97.410561096363296</v>
      </c>
      <c r="AK4889">
        <v>25.839782770904101</v>
      </c>
      <c r="AL4889">
        <v>80.5950028643894</v>
      </c>
      <c r="AM4889">
        <v>94.663397114745393</v>
      </c>
      <c r="AN4889">
        <v>0.99999995740067604</v>
      </c>
    </row>
    <row r="4890" spans="1:40" x14ac:dyDescent="0.25">
      <c r="A4890" t="str">
        <f>"20190303162359636"</f>
        <v>20190303162359636</v>
      </c>
      <c r="B4890" t="str">
        <f>"1551601439619930"</f>
        <v>1551601439619930</v>
      </c>
      <c r="C4890" t="s">
        <v>40</v>
      </c>
      <c r="D4890">
        <v>5.4369339999999999</v>
      </c>
      <c r="E4890">
        <v>0.48109750000000001</v>
      </c>
      <c r="F4890" t="s">
        <v>41</v>
      </c>
      <c r="G4890">
        <v>-418.46429999999998</v>
      </c>
      <c r="H4890" s="1">
        <v>-2.3208770000000001E-6</v>
      </c>
      <c r="I4890">
        <v>44.407809999999998</v>
      </c>
      <c r="J4890">
        <v>-422.34210000000002</v>
      </c>
      <c r="K4890">
        <v>1.12052</v>
      </c>
      <c r="L4890">
        <v>71.677949999999996</v>
      </c>
      <c r="M4890">
        <v>9.4339100000000002E-3</v>
      </c>
      <c r="N4890">
        <v>-1.0457859999999999E-2</v>
      </c>
      <c r="O4890">
        <v>-0.99990080000000003</v>
      </c>
      <c r="P4890">
        <v>9.1830179999999997E-2</v>
      </c>
      <c r="Q4890">
        <v>0.1539855</v>
      </c>
      <c r="R4890">
        <v>-0.98379649999999996</v>
      </c>
      <c r="S4890">
        <v>0.4263306</v>
      </c>
      <c r="T4890">
        <v>-0.1231039</v>
      </c>
      <c r="U4890">
        <v>-3.0286870000000001</v>
      </c>
      <c r="V4890">
        <v>-8.2527829999999996E-2</v>
      </c>
      <c r="W4890">
        <v>0.1642827</v>
      </c>
      <c r="X4890">
        <v>0.98295489999999996</v>
      </c>
      <c r="Y4890">
        <v>-0.12994530000000001</v>
      </c>
      <c r="Z4890">
        <v>2.9794930000000001E-2</v>
      </c>
      <c r="AA4890">
        <v>0.99107339999999999</v>
      </c>
      <c r="AB4890">
        <v>29</v>
      </c>
      <c r="AC4890">
        <v>3.8778000000000299</v>
      </c>
      <c r="AD4890">
        <v>-1.1205223208769901</v>
      </c>
      <c r="AE4890">
        <v>-27.270140000000001</v>
      </c>
      <c r="AF4890">
        <v>-3.61436787596385</v>
      </c>
      <c r="AG4890">
        <v>-1.1205223208769901</v>
      </c>
      <c r="AH4890">
        <v>27.2603978801308</v>
      </c>
      <c r="AI4890">
        <v>92.333386284479204</v>
      </c>
      <c r="AJ4890">
        <v>97.552611026784902</v>
      </c>
      <c r="AK4890">
        <v>27.521782609370099</v>
      </c>
      <c r="AL4890">
        <v>80.544432324205602</v>
      </c>
      <c r="AM4890">
        <v>94.799236017740796</v>
      </c>
      <c r="AN4890">
        <v>0.99999999183890398</v>
      </c>
    </row>
    <row r="4891" spans="1:40" x14ac:dyDescent="0.25">
      <c r="A4891" t="str">
        <f>"20190303162359657"</f>
        <v>20190303162359657</v>
      </c>
      <c r="B4891" t="str">
        <f>"1551601439640426"</f>
        <v>1551601439640426</v>
      </c>
      <c r="C4891" t="s">
        <v>40</v>
      </c>
      <c r="D4891">
        <v>5.3730390000000003</v>
      </c>
      <c r="E4891">
        <v>0.48154069999999999</v>
      </c>
      <c r="F4891" t="s">
        <v>41</v>
      </c>
      <c r="G4891">
        <v>-418.37180000000001</v>
      </c>
      <c r="H4891" s="1">
        <v>-2.0107940000000001E-6</v>
      </c>
      <c r="I4891">
        <v>43.646740000000001</v>
      </c>
      <c r="J4891">
        <v>-422.33940000000001</v>
      </c>
      <c r="K4891">
        <v>1.120512</v>
      </c>
      <c r="L4891">
        <v>71.391689999999997</v>
      </c>
      <c r="M4891">
        <v>9.3949150000000002E-3</v>
      </c>
      <c r="N4891">
        <v>-1.046354E-2</v>
      </c>
      <c r="O4891">
        <v>-0.99990129999999999</v>
      </c>
      <c r="P4891">
        <v>9.3756530000000005E-2</v>
      </c>
      <c r="Q4891">
        <v>0.15397949999999999</v>
      </c>
      <c r="R4891">
        <v>-0.98361600000000005</v>
      </c>
      <c r="S4891">
        <v>0.42892459999999999</v>
      </c>
      <c r="T4891">
        <v>-0.1210543</v>
      </c>
      <c r="U4891">
        <v>-3.0283199999999999</v>
      </c>
      <c r="V4891">
        <v>-8.4493460000000006E-2</v>
      </c>
      <c r="W4891">
        <v>0.1642808</v>
      </c>
      <c r="X4891">
        <v>0.9827882</v>
      </c>
      <c r="Y4891">
        <v>-0.1308358</v>
      </c>
      <c r="Z4891">
        <v>2.9120199999999999E-2</v>
      </c>
      <c r="AA4891">
        <v>0.99097630000000003</v>
      </c>
      <c r="AB4891">
        <v>29</v>
      </c>
      <c r="AC4891">
        <v>3.9676</v>
      </c>
      <c r="AD4891">
        <v>-1.1205140107939999</v>
      </c>
      <c r="AE4891">
        <v>-27.744949999999999</v>
      </c>
      <c r="AF4891">
        <v>-3.7008339362327898</v>
      </c>
      <c r="AG4891">
        <v>-1.1205140107939999</v>
      </c>
      <c r="AH4891">
        <v>27.736669461459599</v>
      </c>
      <c r="AI4891">
        <v>92.293093728329694</v>
      </c>
      <c r="AJ4891">
        <v>97.599943341489194</v>
      </c>
      <c r="AK4891">
        <v>28.004902361662001</v>
      </c>
      <c r="AL4891">
        <v>80.544542630334007</v>
      </c>
      <c r="AM4891">
        <v>94.913819412798802</v>
      </c>
      <c r="AN4891">
        <v>0.99999998604532503</v>
      </c>
    </row>
    <row r="4892" spans="1:40" x14ac:dyDescent="0.25">
      <c r="A4892" t="str">
        <f>"20190303162359679"</f>
        <v>20190303162359679</v>
      </c>
      <c r="B4892" t="str">
        <f>"1551601439669705"</f>
        <v>1551601439669705</v>
      </c>
      <c r="C4892" t="s">
        <v>40</v>
      </c>
      <c r="D4892">
        <v>5.318905</v>
      </c>
      <c r="E4892">
        <v>0.48192990000000002</v>
      </c>
      <c r="F4892" t="s">
        <v>41</v>
      </c>
      <c r="G4892">
        <v>-418.35520000000002</v>
      </c>
      <c r="H4892" s="1">
        <v>-1.9292140000000001E-6</v>
      </c>
      <c r="I4892">
        <v>43.449730000000002</v>
      </c>
      <c r="J4892">
        <v>-422.33679999999998</v>
      </c>
      <c r="K4892">
        <v>1.1205099999999999</v>
      </c>
      <c r="L4892">
        <v>71.113489999999999</v>
      </c>
      <c r="M4892">
        <v>9.3611779999999995E-3</v>
      </c>
      <c r="N4892">
        <v>-1.0468460000000001E-2</v>
      </c>
      <c r="O4892">
        <v>-0.99990129999999999</v>
      </c>
      <c r="P4892">
        <v>9.5431150000000006E-2</v>
      </c>
      <c r="Q4892">
        <v>0.15379789999999999</v>
      </c>
      <c r="R4892">
        <v>-0.983483</v>
      </c>
      <c r="S4892">
        <v>0.43173220000000001</v>
      </c>
      <c r="T4892">
        <v>-0.1214205</v>
      </c>
      <c r="U4892">
        <v>-3.0278320000000001</v>
      </c>
      <c r="V4892">
        <v>-8.6203139999999998E-2</v>
      </c>
      <c r="W4892">
        <v>0.164103</v>
      </c>
      <c r="X4892">
        <v>0.98266940000000003</v>
      </c>
      <c r="Y4892">
        <v>-0.131791299999999</v>
      </c>
      <c r="Z4892">
        <v>2.9236129999999999E-2</v>
      </c>
      <c r="AA4892">
        <v>0.99084629999999996</v>
      </c>
      <c r="AB4892">
        <v>29</v>
      </c>
      <c r="AC4892">
        <v>3.9815999999999501</v>
      </c>
      <c r="AD4892">
        <v>-1.120511929214</v>
      </c>
      <c r="AE4892">
        <v>-27.66376</v>
      </c>
      <c r="AF4892">
        <v>-3.7164723163469602</v>
      </c>
      <c r="AG4892">
        <v>-1.120511929214</v>
      </c>
      <c r="AH4892">
        <v>27.6553708481783</v>
      </c>
      <c r="AI4892">
        <v>92.299533837502395</v>
      </c>
      <c r="AJ4892">
        <v>97.653849541478294</v>
      </c>
      <c r="AK4892">
        <v>27.9264614695803</v>
      </c>
      <c r="AL4892">
        <v>80.554869757244404</v>
      </c>
      <c r="AM4892">
        <v>95.013349239232994</v>
      </c>
      <c r="AN4892">
        <v>0.99999996282560899</v>
      </c>
    </row>
    <row r="4893" spans="1:40" x14ac:dyDescent="0.25">
      <c r="A4893" t="str">
        <f>"20190303162359701"</f>
        <v>20190303162359701</v>
      </c>
      <c r="B4893" t="str">
        <f>"1551601439690202"</f>
        <v>1551601439690202</v>
      </c>
      <c r="C4893" t="s">
        <v>40</v>
      </c>
      <c r="D4893">
        <v>5.3169620000000002</v>
      </c>
      <c r="E4893">
        <v>0.48229840000000002</v>
      </c>
      <c r="F4893" t="s">
        <v>41</v>
      </c>
      <c r="G4893">
        <v>-418.40679999999998</v>
      </c>
      <c r="H4893" s="1">
        <v>-1.9976059999999999E-6</v>
      </c>
      <c r="I4893">
        <v>43.630459999999999</v>
      </c>
      <c r="J4893">
        <v>-422.334</v>
      </c>
      <c r="K4893">
        <v>1.1205099999999999</v>
      </c>
      <c r="L4893">
        <v>70.818600000000004</v>
      </c>
      <c r="M4893">
        <v>9.3292549999999998E-3</v>
      </c>
      <c r="N4893">
        <v>-1.047318E-2</v>
      </c>
      <c r="O4893">
        <v>-0.99990179999999995</v>
      </c>
      <c r="P4893">
        <v>9.671602E-2</v>
      </c>
      <c r="Q4893">
        <v>0.1542927</v>
      </c>
      <c r="R4893">
        <v>-0.98328070000000001</v>
      </c>
      <c r="S4893">
        <v>0.43295289999999997</v>
      </c>
      <c r="T4893">
        <v>-0.1234416</v>
      </c>
      <c r="U4893">
        <v>-3.027679</v>
      </c>
      <c r="V4893">
        <v>-8.7520819999999999E-2</v>
      </c>
      <c r="W4893">
        <v>0.16460069999999999</v>
      </c>
      <c r="X4893">
        <v>0.9824697</v>
      </c>
      <c r="Y4893">
        <v>-0.132218</v>
      </c>
      <c r="Z4893">
        <v>2.9890989999999999E-2</v>
      </c>
      <c r="AA4893">
        <v>0.99076989999999998</v>
      </c>
      <c r="AB4893">
        <v>29</v>
      </c>
      <c r="AC4893">
        <v>3.92720000000002</v>
      </c>
      <c r="AD4893">
        <v>-1.1205119976060001</v>
      </c>
      <c r="AE4893">
        <v>-27.188140000000001</v>
      </c>
      <c r="AF4893">
        <v>-3.6672684457475899</v>
      </c>
      <c r="AG4893">
        <v>-1.1205119976060001</v>
      </c>
      <c r="AH4893">
        <v>27.178376653259299</v>
      </c>
      <c r="AI4893">
        <v>92.339678053634103</v>
      </c>
      <c r="AJ4893">
        <v>97.684695329171305</v>
      </c>
      <c r="AK4893">
        <v>27.447560228486399</v>
      </c>
      <c r="AL4893">
        <v>80.525960867651307</v>
      </c>
      <c r="AM4893">
        <v>95.090611665723699</v>
      </c>
      <c r="AN4893">
        <v>0.999999997896026</v>
      </c>
    </row>
    <row r="4894" spans="1:40" x14ac:dyDescent="0.25">
      <c r="A4894" t="str">
        <f>"20190303162359725"</f>
        <v>20190303162359725</v>
      </c>
      <c r="B4894" t="str">
        <f>"1551601439709722"</f>
        <v>1551601439709722</v>
      </c>
      <c r="C4894" t="s">
        <v>40</v>
      </c>
      <c r="D4894">
        <v>5.3166200000000003</v>
      </c>
      <c r="E4894">
        <v>0.48273890000000003</v>
      </c>
      <c r="F4894" t="s">
        <v>41</v>
      </c>
      <c r="G4894">
        <v>-418.40780000000001</v>
      </c>
      <c r="H4894" s="1">
        <v>-1.8959229999999999E-6</v>
      </c>
      <c r="I4894">
        <v>43.39387</v>
      </c>
      <c r="J4894">
        <v>-422.33139999999997</v>
      </c>
      <c r="K4894">
        <v>1.1205160000000001</v>
      </c>
      <c r="L4894">
        <v>70.526919999999905</v>
      </c>
      <c r="M4894">
        <v>9.2997380000000001E-3</v>
      </c>
      <c r="N4894">
        <v>-1.0477169999999999E-2</v>
      </c>
      <c r="O4894">
        <v>-0.99990199999999996</v>
      </c>
      <c r="P4894">
        <v>9.726129E-2</v>
      </c>
      <c r="Q4894">
        <v>0.1560387</v>
      </c>
      <c r="R4894">
        <v>-0.98295080000000001</v>
      </c>
      <c r="S4894">
        <v>0.43347170000000002</v>
      </c>
      <c r="T4894">
        <v>-0.1237091</v>
      </c>
      <c r="U4894">
        <v>-3.0278019999999999</v>
      </c>
      <c r="V4894">
        <v>-8.8098499999999996E-2</v>
      </c>
      <c r="W4894">
        <v>0.16634669999999999</v>
      </c>
      <c r="X4894">
        <v>0.98212390000000005</v>
      </c>
      <c r="Y4894">
        <v>-0.13240759999999999</v>
      </c>
      <c r="Z4894">
        <v>2.997172E-2</v>
      </c>
      <c r="AA4894">
        <v>0.99074209999999996</v>
      </c>
      <c r="AB4894">
        <v>29</v>
      </c>
      <c r="AC4894">
        <v>3.92359999999996</v>
      </c>
      <c r="AD4894">
        <v>-1.120517895923</v>
      </c>
      <c r="AE4894">
        <v>-27.133049999999901</v>
      </c>
      <c r="AF4894">
        <v>-3.66496383078701</v>
      </c>
      <c r="AG4894">
        <v>-1.120517895923</v>
      </c>
      <c r="AH4894">
        <v>27.1230572947387</v>
      </c>
      <c r="AI4894">
        <v>92.344397919560294</v>
      </c>
      <c r="AJ4894">
        <v>97.695399933575302</v>
      </c>
      <c r="AK4894">
        <v>27.392476289115201</v>
      </c>
      <c r="AL4894">
        <v>80.424523693774304</v>
      </c>
      <c r="AM4894">
        <v>95.125828423493502</v>
      </c>
      <c r="AN4894">
        <v>0.99999996262717405</v>
      </c>
    </row>
    <row r="4895" spans="1:40" x14ac:dyDescent="0.25">
      <c r="A4895" t="str">
        <f>"20190303162359747"</f>
        <v>20190303162359747</v>
      </c>
      <c r="B4895" t="str">
        <f>"1551601439739977"</f>
        <v>1551601439739977</v>
      </c>
      <c r="C4895" t="s">
        <v>40</v>
      </c>
      <c r="D4895">
        <v>5.2450340000000004</v>
      </c>
      <c r="E4895">
        <v>0.48341070000000003</v>
      </c>
      <c r="F4895" t="s">
        <v>41</v>
      </c>
      <c r="G4895">
        <v>-418.2962</v>
      </c>
      <c r="H4895" s="1">
        <v>-1.405343E-6</v>
      </c>
      <c r="I4895">
        <v>42.204149999999998</v>
      </c>
      <c r="J4895">
        <v>-422.32870000000003</v>
      </c>
      <c r="K4895">
        <v>1.1205259999999999</v>
      </c>
      <c r="L4895">
        <v>70.232150000000004</v>
      </c>
      <c r="M4895">
        <v>9.2735130000000006E-3</v>
      </c>
      <c r="N4895">
        <v>-1.048113E-2</v>
      </c>
      <c r="O4895">
        <v>-0.99990199999999996</v>
      </c>
      <c r="P4895">
        <v>9.7308069999999997E-2</v>
      </c>
      <c r="Q4895">
        <v>0.15772349999999999</v>
      </c>
      <c r="R4895">
        <v>-0.98267729999999998</v>
      </c>
      <c r="S4895">
        <v>0.43145749999999999</v>
      </c>
      <c r="T4895">
        <v>-0.1198101</v>
      </c>
      <c r="U4895">
        <v>-3.028381</v>
      </c>
      <c r="V4895">
        <v>-8.8174089999999997E-2</v>
      </c>
      <c r="W4895">
        <v>0.16803219999999999</v>
      </c>
      <c r="X4895">
        <v>0.98183019999999999</v>
      </c>
      <c r="Y4895">
        <v>-0.13176749999999901</v>
      </c>
      <c r="Z4895">
        <v>2.8690940000000002E-2</v>
      </c>
      <c r="AA4895">
        <v>0.99086529999999995</v>
      </c>
      <c r="AB4895">
        <v>29</v>
      </c>
      <c r="AC4895">
        <v>4.0325000000000202</v>
      </c>
      <c r="AD4895">
        <v>-1.1205274053430001</v>
      </c>
      <c r="AE4895">
        <v>-28.027999999999999</v>
      </c>
      <c r="AF4895">
        <v>-3.76649632629386</v>
      </c>
      <c r="AG4895">
        <v>-1.1205274053430001</v>
      </c>
      <c r="AH4895">
        <v>28.020315279804301</v>
      </c>
      <c r="AI4895">
        <v>92.269636427858998</v>
      </c>
      <c r="AJ4895">
        <v>97.655819656052898</v>
      </c>
      <c r="AK4895">
        <v>28.294524993746499</v>
      </c>
      <c r="AL4895">
        <v>80.326573484975398</v>
      </c>
      <c r="AM4895">
        <v>95.131729443344497</v>
      </c>
      <c r="AN4895">
        <v>1.0000000160081</v>
      </c>
    </row>
    <row r="4896" spans="1:40" x14ac:dyDescent="0.25">
      <c r="A4896" t="str">
        <f>"20190303162359769"</f>
        <v>20190303162359769</v>
      </c>
      <c r="B4896" t="str">
        <f>"1551601439759497"</f>
        <v>1551601439759497</v>
      </c>
      <c r="C4896" t="s">
        <v>40</v>
      </c>
      <c r="D4896">
        <v>4.9650699999999999</v>
      </c>
      <c r="E4896">
        <v>0.48390729999999998</v>
      </c>
      <c r="F4896" t="s">
        <v>41</v>
      </c>
      <c r="G4896">
        <v>-418.18450000000001</v>
      </c>
      <c r="H4896" s="1">
        <v>-8.56781E-7</v>
      </c>
      <c r="I4896">
        <v>40.74624</v>
      </c>
      <c r="J4896">
        <v>-422.3261</v>
      </c>
      <c r="K4896">
        <v>1.120533</v>
      </c>
      <c r="L4896">
        <v>69.95532</v>
      </c>
      <c r="M4896">
        <v>9.2512429999999993E-3</v>
      </c>
      <c r="N4896">
        <v>-1.048485E-2</v>
      </c>
      <c r="O4896">
        <v>-0.99990250000000003</v>
      </c>
      <c r="P4896">
        <v>9.7740889999999997E-2</v>
      </c>
      <c r="Q4896">
        <v>0.1583138</v>
      </c>
      <c r="R4896">
        <v>-0.98253950000000001</v>
      </c>
      <c r="S4896">
        <v>0.42575069999999998</v>
      </c>
      <c r="T4896">
        <v>-0.1151162</v>
      </c>
      <c r="U4896">
        <v>-3.0292050000000001</v>
      </c>
      <c r="V4896">
        <v>-8.8631310000000005E-2</v>
      </c>
      <c r="W4896">
        <v>0.16862389999999999</v>
      </c>
      <c r="X4896">
        <v>0.98168750000000005</v>
      </c>
      <c r="Y4896">
        <v>-0.12992909999999999</v>
      </c>
      <c r="Z4896">
        <v>2.7154049999999999E-2</v>
      </c>
      <c r="AA4896">
        <v>0.99115140000000002</v>
      </c>
      <c r="AB4896">
        <v>29</v>
      </c>
      <c r="AC4896">
        <v>4.14159999999998</v>
      </c>
      <c r="AD4896">
        <v>-1.1205338567809999</v>
      </c>
      <c r="AE4896">
        <v>-29.20908</v>
      </c>
      <c r="AF4896">
        <v>-3.8656108349082698</v>
      </c>
      <c r="AG4896">
        <v>-1.1205338567809999</v>
      </c>
      <c r="AH4896">
        <v>29.204014954442901</v>
      </c>
      <c r="AI4896">
        <v>92.178332187748495</v>
      </c>
      <c r="AJ4896">
        <v>97.540165416740194</v>
      </c>
      <c r="AK4896">
        <v>29.480044652450498</v>
      </c>
      <c r="AL4896">
        <v>80.292180061910599</v>
      </c>
      <c r="AM4896">
        <v>95.158942210683406</v>
      </c>
      <c r="AN4896">
        <v>0.99999993820988597</v>
      </c>
    </row>
    <row r="4897" spans="1:40" x14ac:dyDescent="0.25">
      <c r="A4897" t="str">
        <f>"20190303162359790"</f>
        <v>20190303162359790</v>
      </c>
      <c r="B4897" t="str">
        <f>"1551601439779993"</f>
        <v>1551601439779993</v>
      </c>
      <c r="C4897" t="s">
        <v>40</v>
      </c>
      <c r="D4897">
        <v>4.9843529999999996</v>
      </c>
      <c r="E4897">
        <v>0.49740790000000001</v>
      </c>
      <c r="F4897" t="s">
        <v>41</v>
      </c>
      <c r="G4897">
        <v>-418.13589999999999</v>
      </c>
      <c r="H4897" s="1">
        <v>-5.9147769999999997E-7</v>
      </c>
      <c r="I4897">
        <v>39.928660000000001</v>
      </c>
      <c r="J4897">
        <v>-422.32350000000002</v>
      </c>
      <c r="K4897">
        <v>1.1205480000000001</v>
      </c>
      <c r="L4897">
        <v>69.674289999999999</v>
      </c>
      <c r="M4897">
        <v>9.2333129999999999E-3</v>
      </c>
      <c r="N4897">
        <v>-1.048845E-2</v>
      </c>
      <c r="O4897">
        <v>-0.99990250000000003</v>
      </c>
      <c r="P4897">
        <v>9.8866109999999993E-2</v>
      </c>
      <c r="Q4897">
        <v>0.15947939999999999</v>
      </c>
      <c r="R4897">
        <v>-0.98223830000000001</v>
      </c>
      <c r="S4897">
        <v>0.42276000000000002</v>
      </c>
      <c r="T4897">
        <v>-0.113054</v>
      </c>
      <c r="U4897">
        <v>-3.02948</v>
      </c>
      <c r="V4897">
        <v>-8.9778129999999998E-2</v>
      </c>
      <c r="W4897">
        <v>0.16978940000000001</v>
      </c>
      <c r="X4897">
        <v>0.98138239999999999</v>
      </c>
      <c r="Y4897">
        <v>-0.12897800000000001</v>
      </c>
      <c r="Z4897">
        <v>2.647857E-2</v>
      </c>
      <c r="AA4897">
        <v>0.99129389999999995</v>
      </c>
      <c r="AB4897">
        <v>29</v>
      </c>
      <c r="AC4897">
        <v>4.18760000000003</v>
      </c>
      <c r="AD4897">
        <v>-1.12054859147769</v>
      </c>
      <c r="AE4897">
        <v>-29.745629999999998</v>
      </c>
      <c r="AF4897">
        <v>-3.9073185460698401</v>
      </c>
      <c r="AG4897">
        <v>-1.12054859147769</v>
      </c>
      <c r="AH4897">
        <v>29.741643084486899</v>
      </c>
      <c r="AI4897">
        <v>92.139294686994006</v>
      </c>
      <c r="AJ4897">
        <v>97.484390168291498</v>
      </c>
      <c r="AK4897">
        <v>30.018129534188699</v>
      </c>
      <c r="AL4897">
        <v>80.224425284381894</v>
      </c>
      <c r="AM4897">
        <v>95.2269432131028</v>
      </c>
      <c r="AN4897">
        <v>0.99999998400420798</v>
      </c>
    </row>
    <row r="4898" spans="1:40" x14ac:dyDescent="0.25">
      <c r="A4898" t="str">
        <f>"20190303162359816"</f>
        <v>20190303162359816</v>
      </c>
      <c r="B4898" t="str">
        <f>"1551601439810249"</f>
        <v>1551601439810249</v>
      </c>
      <c r="C4898" t="s">
        <v>40</v>
      </c>
      <c r="D4898">
        <v>4.9172379999999896</v>
      </c>
      <c r="E4898">
        <v>0.52765079999999998</v>
      </c>
      <c r="F4898" t="s">
        <v>56</v>
      </c>
      <c r="G4898">
        <v>-418.95190000000002</v>
      </c>
      <c r="H4898" s="1">
        <v>-1.5790799999999999E-6</v>
      </c>
      <c r="I4898">
        <v>37.550609999999999</v>
      </c>
      <c r="J4898">
        <v>-422.32049999999998</v>
      </c>
      <c r="K4898">
        <v>1.120557</v>
      </c>
      <c r="L4898">
        <v>69.34796</v>
      </c>
      <c r="M4898">
        <v>9.2181309999999992E-3</v>
      </c>
      <c r="N4898">
        <v>-1.0492390000000001E-2</v>
      </c>
      <c r="O4898">
        <v>-0.99990270000000003</v>
      </c>
      <c r="P4898">
        <v>0.1004085</v>
      </c>
      <c r="Q4898">
        <v>0.1597517</v>
      </c>
      <c r="R4898">
        <v>-0.98203779999999996</v>
      </c>
      <c r="S4898">
        <v>0.31900020000000001</v>
      </c>
      <c r="T4898">
        <v>-0.1060193</v>
      </c>
      <c r="U4898">
        <v>-3.0393370000000002</v>
      </c>
      <c r="V4898">
        <v>-9.1338970000000005E-2</v>
      </c>
      <c r="W4898">
        <v>0.1700624</v>
      </c>
      <c r="X4898">
        <v>0.98119109999999998</v>
      </c>
      <c r="Y4898">
        <v>-9.5158030000000005E-2</v>
      </c>
      <c r="Z4898">
        <v>2.4201810000000001E-2</v>
      </c>
      <c r="AA4898">
        <v>0.99516789999999999</v>
      </c>
      <c r="AB4898">
        <v>29</v>
      </c>
      <c r="AC4898">
        <v>3.3685999999999501</v>
      </c>
      <c r="AD4898">
        <v>-1.1205585790799999</v>
      </c>
      <c r="AE4898">
        <v>-31.797350000000002</v>
      </c>
      <c r="AF4898">
        <v>-3.07155642058011</v>
      </c>
      <c r="AG4898">
        <v>-1.1205585790799999</v>
      </c>
      <c r="AH4898">
        <v>31.788013303474401</v>
      </c>
      <c r="AI4898">
        <v>92.009544664355104</v>
      </c>
      <c r="AJ4898">
        <v>95.519141961615503</v>
      </c>
      <c r="AK4898">
        <v>31.955717800666299</v>
      </c>
      <c r="AL4898">
        <v>80.208552867068306</v>
      </c>
      <c r="AM4898">
        <v>95.318330659797795</v>
      </c>
      <c r="AN4898">
        <v>1.00000000102681</v>
      </c>
    </row>
    <row r="4899" spans="1:40" x14ac:dyDescent="0.25">
      <c r="A4899" t="str">
        <f>"20190303162359836"</f>
        <v>20190303162359836</v>
      </c>
      <c r="B4899" t="str">
        <f>"1551601439829771"</f>
        <v>1551601439829771</v>
      </c>
      <c r="C4899" t="s">
        <v>40</v>
      </c>
      <c r="D4899">
        <v>4.8383520000000004</v>
      </c>
      <c r="E4899">
        <v>0.53051680000000001</v>
      </c>
      <c r="F4899" t="s">
        <v>56</v>
      </c>
      <c r="G4899">
        <v>-421.43759999999997</v>
      </c>
      <c r="H4899" s="1">
        <v>-2.07813E-6</v>
      </c>
      <c r="I4899">
        <v>36.668590000000002</v>
      </c>
      <c r="J4899">
        <v>-422.31790000000001</v>
      </c>
      <c r="K4899">
        <v>1.1205639999999999</v>
      </c>
      <c r="L4899">
        <v>69.071749999999994</v>
      </c>
      <c r="M4899">
        <v>9.2087309999999995E-3</v>
      </c>
      <c r="N4899">
        <v>-1.0495549999999999E-2</v>
      </c>
      <c r="O4899">
        <v>-0.99990270000000003</v>
      </c>
      <c r="P4899">
        <v>0.10199030000000001</v>
      </c>
      <c r="Q4899">
        <v>0.1602787</v>
      </c>
      <c r="R4899">
        <v>-0.98178889999999996</v>
      </c>
      <c r="S4899">
        <v>8.2763669999999998E-2</v>
      </c>
      <c r="T4899">
        <v>-0.10504620000000001</v>
      </c>
      <c r="U4899">
        <v>-3.063507</v>
      </c>
      <c r="V4899">
        <v>-9.293411E-2</v>
      </c>
      <c r="W4899">
        <v>0.17058909999999999</v>
      </c>
      <c r="X4899">
        <v>0.98094979999999998</v>
      </c>
      <c r="Y4899">
        <v>-1.7787310000000001E-2</v>
      </c>
      <c r="Z4899">
        <v>2.3768259999999999E-2</v>
      </c>
      <c r="AA4899">
        <v>0.99955919999999998</v>
      </c>
      <c r="AB4899">
        <v>29</v>
      </c>
      <c r="AC4899">
        <v>0.88030000000003295</v>
      </c>
      <c r="AD4899">
        <v>-1.12056607813</v>
      </c>
      <c r="AE4899">
        <v>-32.4031599999999</v>
      </c>
      <c r="AF4899">
        <v>-0.58115979955284203</v>
      </c>
      <c r="AG4899">
        <v>-1.12056607813</v>
      </c>
      <c r="AH4899">
        <v>32.371208152062103</v>
      </c>
      <c r="AI4899">
        <v>91.982247576355704</v>
      </c>
      <c r="AJ4899">
        <v>91.028519752788398</v>
      </c>
      <c r="AK4899">
        <v>32.395810412338903</v>
      </c>
      <c r="AL4899">
        <v>80.177927172256304</v>
      </c>
      <c r="AM4899">
        <v>95.4119863011787</v>
      </c>
      <c r="AN4899">
        <v>0.99999994998016895</v>
      </c>
    </row>
    <row r="4900" spans="1:40" x14ac:dyDescent="0.25">
      <c r="A4900" t="str">
        <f>"20190303162359860"</f>
        <v>20190303162359860</v>
      </c>
      <c r="B4900" t="str">
        <f>"1551601439850266"</f>
        <v>1551601439850266</v>
      </c>
      <c r="C4900" t="s">
        <v>40</v>
      </c>
      <c r="D4900">
        <v>4.8702639999999997</v>
      </c>
      <c r="E4900">
        <v>0.53240240000000005</v>
      </c>
      <c r="F4900" t="s">
        <v>41</v>
      </c>
      <c r="G4900">
        <v>-421.70740000000001</v>
      </c>
      <c r="H4900" s="1">
        <v>-5.7399480000000001E-7</v>
      </c>
      <c r="I4900">
        <v>39.86815</v>
      </c>
      <c r="J4900">
        <v>-422.31529999999998</v>
      </c>
      <c r="K4900">
        <v>1.120571</v>
      </c>
      <c r="L4900">
        <v>68.779019999999903</v>
      </c>
      <c r="M4900">
        <v>9.2016719999999993E-3</v>
      </c>
      <c r="N4900">
        <v>-1.049889E-2</v>
      </c>
      <c r="O4900">
        <v>-0.99990270000000003</v>
      </c>
      <c r="P4900">
        <v>0.1036808</v>
      </c>
      <c r="Q4900">
        <v>0.1608049</v>
      </c>
      <c r="R4900">
        <v>-0.98152550000000005</v>
      </c>
      <c r="S4900">
        <v>6.4147949999999995E-2</v>
      </c>
      <c r="T4900">
        <v>-0.117729399999999</v>
      </c>
      <c r="U4900">
        <v>-3.0682070000000001</v>
      </c>
      <c r="V4900">
        <v>-9.4635300000000006E-2</v>
      </c>
      <c r="W4900">
        <v>0.17111579999999901</v>
      </c>
      <c r="X4900">
        <v>0.98069539999999999</v>
      </c>
      <c r="Y4900">
        <v>-1.1690590000000001E-2</v>
      </c>
      <c r="Z4900">
        <v>2.7842349999999998E-2</v>
      </c>
      <c r="AA4900">
        <v>0.99954399999999999</v>
      </c>
      <c r="AB4900">
        <v>29</v>
      </c>
      <c r="AC4900">
        <v>0.60789999999997202</v>
      </c>
      <c r="AD4900">
        <v>-1.1205715739947999</v>
      </c>
      <c r="AE4900">
        <v>-28.9108699999999</v>
      </c>
      <c r="AF4900">
        <v>-0.34131875905917303</v>
      </c>
      <c r="AG4900">
        <v>-1.1205715739947999</v>
      </c>
      <c r="AH4900">
        <v>28.871884804963699</v>
      </c>
      <c r="AI4900">
        <v>92.222485092660804</v>
      </c>
      <c r="AJ4900">
        <v>90.677309900047206</v>
      </c>
      <c r="AK4900">
        <v>28.895638275331901</v>
      </c>
      <c r="AL4900">
        <v>80.147299270508896</v>
      </c>
      <c r="AM4900">
        <v>95.511870828517402</v>
      </c>
      <c r="AN4900">
        <v>0.99999996229844401</v>
      </c>
    </row>
    <row r="4901" spans="1:40" x14ac:dyDescent="0.25">
      <c r="A4901" t="str">
        <f>"20190303162359880"</f>
        <v>20190303162359880</v>
      </c>
      <c r="B4901" t="str">
        <f>"1551601439869786"</f>
        <v>1551601439869786</v>
      </c>
      <c r="C4901" t="s">
        <v>40</v>
      </c>
      <c r="D4901">
        <v>4.8410120000000001</v>
      </c>
      <c r="E4901">
        <v>0.53334649999999995</v>
      </c>
      <c r="F4901" t="s">
        <v>41</v>
      </c>
      <c r="G4901">
        <v>-421.83150000000001</v>
      </c>
      <c r="H4901" s="1">
        <v>-1.0966E-6</v>
      </c>
      <c r="I4901">
        <v>41.009329999999999</v>
      </c>
      <c r="J4901">
        <v>-422.31270000000001</v>
      </c>
      <c r="K4901">
        <v>1.120576</v>
      </c>
      <c r="L4901">
        <v>68.501459999999994</v>
      </c>
      <c r="M4901">
        <v>9.1972149999999999E-3</v>
      </c>
      <c r="N4901">
        <v>-1.0501969999999999E-2</v>
      </c>
      <c r="O4901">
        <v>-0.99990250000000003</v>
      </c>
      <c r="P4901">
        <v>0.1051793</v>
      </c>
      <c r="Q4901">
        <v>0.1614051</v>
      </c>
      <c r="R4901">
        <v>-0.98126749999999996</v>
      </c>
      <c r="S4901">
        <v>5.3497309999999999E-2</v>
      </c>
      <c r="T4901">
        <v>-0.1239263</v>
      </c>
      <c r="U4901">
        <v>-3.0711059999999999</v>
      </c>
      <c r="V4901">
        <v>-9.614106E-2</v>
      </c>
      <c r="W4901">
        <v>0.17171620000000001</v>
      </c>
      <c r="X4901">
        <v>0.98044399999999998</v>
      </c>
      <c r="Y4901">
        <v>-8.2099149999999999E-3</v>
      </c>
      <c r="Z4901">
        <v>2.9818420000000002E-2</v>
      </c>
      <c r="AA4901">
        <v>0.99952160000000001</v>
      </c>
      <c r="AB4901">
        <v>29</v>
      </c>
      <c r="AC4901">
        <v>0.48120000000000102</v>
      </c>
      <c r="AD4901">
        <v>-1.1205770965999999</v>
      </c>
      <c r="AE4901">
        <v>-27.49213</v>
      </c>
      <c r="AF4901">
        <v>-0.22793608560342299</v>
      </c>
      <c r="AG4901">
        <v>-1.1205770965999999</v>
      </c>
      <c r="AH4901">
        <v>27.449802681127299</v>
      </c>
      <c r="AI4901">
        <v>92.337594168403101</v>
      </c>
      <c r="AJ4901">
        <v>90.475758449029996</v>
      </c>
      <c r="AK4901">
        <v>27.473611250095399</v>
      </c>
      <c r="AL4901">
        <v>80.112382409922205</v>
      </c>
      <c r="AM4901">
        <v>95.600444840171903</v>
      </c>
      <c r="AN4901">
        <v>0.99999999694818098</v>
      </c>
    </row>
    <row r="4902" spans="1:40" x14ac:dyDescent="0.25">
      <c r="A4902" t="str">
        <f>"20190303162359903"</f>
        <v>20190303162359903</v>
      </c>
      <c r="B4902" t="str">
        <f>"1551601439900042"</f>
        <v>1551601439900042</v>
      </c>
      <c r="C4902" t="s">
        <v>40</v>
      </c>
      <c r="D4902">
        <v>4.8085180000000003</v>
      </c>
      <c r="E4902">
        <v>0.53409700000000004</v>
      </c>
      <c r="F4902" t="s">
        <v>41</v>
      </c>
      <c r="G4902">
        <v>-421.87990000000002</v>
      </c>
      <c r="H4902" s="1">
        <v>-1.657837E-6</v>
      </c>
      <c r="I4902">
        <v>42.287610000000001</v>
      </c>
      <c r="J4902">
        <v>-422.30990000000003</v>
      </c>
      <c r="K4902">
        <v>1.1205689999999999</v>
      </c>
      <c r="L4902">
        <v>68.200289999999995</v>
      </c>
      <c r="M4902">
        <v>9.193583E-3</v>
      </c>
      <c r="N4902">
        <v>-1.050508E-2</v>
      </c>
      <c r="O4902">
        <v>-0.99990250000000003</v>
      </c>
      <c r="P4902">
        <v>0.1060137</v>
      </c>
      <c r="Q4902">
        <v>0.1607999</v>
      </c>
      <c r="R4902">
        <v>-0.98127690000000001</v>
      </c>
      <c r="S4902">
        <v>5.0750730000000001E-2</v>
      </c>
      <c r="T4902">
        <v>-0.13138139999999901</v>
      </c>
      <c r="U4902">
        <v>-3.0734249999999999</v>
      </c>
      <c r="V4902">
        <v>-9.6979309999999999E-2</v>
      </c>
      <c r="W4902">
        <v>0.17111399999999999</v>
      </c>
      <c r="X4902">
        <v>0.98046670000000002</v>
      </c>
      <c r="Y4902">
        <v>-7.3063650000000004E-3</v>
      </c>
      <c r="Z4902">
        <v>3.2205310000000001E-2</v>
      </c>
      <c r="AA4902">
        <v>0.99945459999999997</v>
      </c>
      <c r="AB4902">
        <v>29</v>
      </c>
      <c r="AC4902">
        <v>0.43000000000000599</v>
      </c>
      <c r="AD4902">
        <v>-1.1205706578370001</v>
      </c>
      <c r="AE4902">
        <v>-25.912679999999899</v>
      </c>
      <c r="AF4902">
        <v>-0.191380498403806</v>
      </c>
      <c r="AG4902">
        <v>-1.1205706578370001</v>
      </c>
      <c r="AH4902">
        <v>25.8671785510207</v>
      </c>
      <c r="AI4902">
        <v>92.4804443972548</v>
      </c>
      <c r="AJ4902">
        <v>90.423899914248096</v>
      </c>
      <c r="AK4902">
        <v>25.892146131303299</v>
      </c>
      <c r="AL4902">
        <v>80.147404010344403</v>
      </c>
      <c r="AM4902">
        <v>95.648830479433499</v>
      </c>
      <c r="AN4902">
        <v>0.999999968686482</v>
      </c>
    </row>
    <row r="4903" spans="1:40" x14ac:dyDescent="0.25">
      <c r="A4903" t="str">
        <f>"20190303162359925"</f>
        <v>20190303162359925</v>
      </c>
      <c r="B4903" t="str">
        <f>"1551601439919561"</f>
        <v>1551601439919561</v>
      </c>
      <c r="C4903" t="s">
        <v>40</v>
      </c>
      <c r="D4903">
        <v>4.8003900000000002</v>
      </c>
      <c r="E4903">
        <v>0.53461210000000003</v>
      </c>
      <c r="F4903" t="s">
        <v>41</v>
      </c>
      <c r="G4903">
        <v>-421.93169999999998</v>
      </c>
      <c r="H4903" s="1">
        <v>-2.1366500000000001E-6</v>
      </c>
      <c r="I4903">
        <v>43.371600000000001</v>
      </c>
      <c r="J4903">
        <v>-422.3073</v>
      </c>
      <c r="K4903">
        <v>1.1205670000000001</v>
      </c>
      <c r="L4903">
        <v>67.912750000000003</v>
      </c>
      <c r="M4903">
        <v>9.1907159999999998E-3</v>
      </c>
      <c r="N4903">
        <v>-1.0507890000000001E-2</v>
      </c>
      <c r="O4903">
        <v>-0.99990270000000003</v>
      </c>
      <c r="P4903">
        <v>0.1053021</v>
      </c>
      <c r="Q4903">
        <v>0.1599585</v>
      </c>
      <c r="R4903">
        <v>-0.98149129999999996</v>
      </c>
      <c r="S4903">
        <v>4.6844480000000001E-2</v>
      </c>
      <c r="T4903">
        <v>-0.1387777</v>
      </c>
      <c r="U4903">
        <v>-3.0749209999999998</v>
      </c>
      <c r="V4903">
        <v>-9.6268790000000007E-2</v>
      </c>
      <c r="W4903">
        <v>0.1702777</v>
      </c>
      <c r="X4903">
        <v>0.98068230000000001</v>
      </c>
      <c r="Y4903">
        <v>-6.030929E-3</v>
      </c>
      <c r="Z4903">
        <v>3.458141E-2</v>
      </c>
      <c r="AA4903">
        <v>0.99938369999999999</v>
      </c>
      <c r="AB4903">
        <v>29</v>
      </c>
      <c r="AC4903">
        <v>0.37560000000001897</v>
      </c>
      <c r="AD4903">
        <v>-1.1205691366499999</v>
      </c>
      <c r="AE4903">
        <v>-24.541149999999998</v>
      </c>
      <c r="AF4903">
        <v>-0.149708917980132</v>
      </c>
      <c r="AG4903">
        <v>-1.1205691366499999</v>
      </c>
      <c r="AH4903">
        <v>24.4925128529033</v>
      </c>
      <c r="AI4903">
        <v>92.6194921165322</v>
      </c>
      <c r="AJ4903">
        <v>90.350212425464804</v>
      </c>
      <c r="AK4903">
        <v>24.518590371384999</v>
      </c>
      <c r="AL4903">
        <v>80.1960342370365</v>
      </c>
      <c r="AM4903">
        <v>95.606484030762104</v>
      </c>
      <c r="AN4903">
        <v>0.99999997428932097</v>
      </c>
    </row>
    <row r="4904" spans="1:40" x14ac:dyDescent="0.25">
      <c r="A4904" t="str">
        <f>"20190303162359946"</f>
        <v>20190303162359946</v>
      </c>
      <c r="B4904" t="str">
        <f>"1551601439940057"</f>
        <v>1551601439940057</v>
      </c>
      <c r="C4904" t="s">
        <v>40</v>
      </c>
      <c r="D4904">
        <v>4.9957609999999999</v>
      </c>
      <c r="E4904">
        <v>0.53486540000000005</v>
      </c>
      <c r="F4904" t="s">
        <v>41</v>
      </c>
      <c r="G4904">
        <v>-421.98840000000001</v>
      </c>
      <c r="H4904" s="1">
        <v>-2.5029409999999999E-6</v>
      </c>
      <c r="I4904">
        <v>44.190289999999997</v>
      </c>
      <c r="J4904">
        <v>-422.30470000000003</v>
      </c>
      <c r="K4904">
        <v>1.1205670000000001</v>
      </c>
      <c r="L4904">
        <v>67.629239999999996</v>
      </c>
      <c r="M4904">
        <v>9.1874599999999997E-3</v>
      </c>
      <c r="N4904">
        <v>-1.051066E-2</v>
      </c>
      <c r="O4904">
        <v>-0.99990270000000003</v>
      </c>
      <c r="P4904">
        <v>0.104308399999999</v>
      </c>
      <c r="Q4904">
        <v>0.16007099999999999</v>
      </c>
      <c r="R4904">
        <v>-0.98157890000000003</v>
      </c>
      <c r="S4904">
        <v>4.1351319999999997E-2</v>
      </c>
      <c r="T4904">
        <v>-0.14529220000000001</v>
      </c>
      <c r="U4904">
        <v>-3.0758359999999998</v>
      </c>
      <c r="V4904">
        <v>-9.5277290000000001E-2</v>
      </c>
      <c r="W4904">
        <v>0.17039370000000001</v>
      </c>
      <c r="X4904">
        <v>0.98075900000000005</v>
      </c>
      <c r="Y4904">
        <v>-4.2446749999999998E-3</v>
      </c>
      <c r="Z4904">
        <v>3.6677790000000002E-2</v>
      </c>
      <c r="AA4904">
        <v>0.99931809999999999</v>
      </c>
      <c r="AB4904">
        <v>29</v>
      </c>
      <c r="AC4904">
        <v>0.31630000000001202</v>
      </c>
      <c r="AD4904">
        <v>-1.1205695029410001</v>
      </c>
      <c r="AE4904">
        <v>-23.438949999999899</v>
      </c>
      <c r="AF4904">
        <v>-0.100700249757017</v>
      </c>
      <c r="AG4904">
        <v>-1.1205695029410001</v>
      </c>
      <c r="AH4904">
        <v>23.387422099256799</v>
      </c>
      <c r="AI4904">
        <v>92.743108922669194</v>
      </c>
      <c r="AJ4904">
        <v>90.2466994278914</v>
      </c>
      <c r="AK4904">
        <v>23.414468368938699</v>
      </c>
      <c r="AL4904">
        <v>80.189289567877196</v>
      </c>
      <c r="AM4904">
        <v>95.548672241330195</v>
      </c>
      <c r="AN4904">
        <v>0.99999999553521701</v>
      </c>
    </row>
    <row r="4905" spans="1:40" x14ac:dyDescent="0.25">
      <c r="A4905" t="str">
        <f>"20190303162359971"</f>
        <v>20190303162359971</v>
      </c>
      <c r="B4905" t="str">
        <f>"1551601439959577"</f>
        <v>1551601439959577</v>
      </c>
      <c r="C4905" t="s">
        <v>40</v>
      </c>
      <c r="D4905">
        <v>4.8433890000000002</v>
      </c>
      <c r="E4905">
        <v>0.55467339999999998</v>
      </c>
      <c r="F4905" t="s">
        <v>41</v>
      </c>
      <c r="G4905">
        <v>-422.02550000000002</v>
      </c>
      <c r="H4905" s="1">
        <v>-2.4574340000000001E-6</v>
      </c>
      <c r="I4905">
        <v>44.06118</v>
      </c>
      <c r="J4905">
        <v>-422.30189999999999</v>
      </c>
      <c r="K4905">
        <v>1.120566</v>
      </c>
      <c r="L4905">
        <v>67.331729999999993</v>
      </c>
      <c r="M4905">
        <v>9.1835560000000007E-3</v>
      </c>
      <c r="N4905">
        <v>-1.051362E-2</v>
      </c>
      <c r="O4905">
        <v>-0.99990270000000003</v>
      </c>
      <c r="P4905">
        <v>0.10288509999999999</v>
      </c>
      <c r="Q4905">
        <v>0.1600799</v>
      </c>
      <c r="R4905">
        <v>-0.98172780000000004</v>
      </c>
      <c r="S4905">
        <v>3.6437990000000003E-2</v>
      </c>
      <c r="T4905">
        <v>-0.14626430000000001</v>
      </c>
      <c r="U4905">
        <v>-3.076263</v>
      </c>
      <c r="V4905">
        <v>-9.3856220000000004E-2</v>
      </c>
      <c r="W4905">
        <v>0.1704069</v>
      </c>
      <c r="X4905">
        <v>0.98089369999999998</v>
      </c>
      <c r="Y4905">
        <v>-2.6512240000000002E-3</v>
      </c>
      <c r="Z4905">
        <v>3.6983889999999998E-2</v>
      </c>
      <c r="AA4905">
        <v>0.99931230000000004</v>
      </c>
      <c r="AB4905">
        <v>29</v>
      </c>
      <c r="AC4905">
        <v>0.27639999999996601</v>
      </c>
      <c r="AD4905">
        <v>-1.120568457434</v>
      </c>
      <c r="AE4905">
        <v>-23.27055</v>
      </c>
      <c r="AF4905">
        <v>-6.2525199034024898E-2</v>
      </c>
      <c r="AG4905">
        <v>-1.120568457434</v>
      </c>
      <c r="AH4905">
        <v>23.218276084713601</v>
      </c>
      <c r="AI4905">
        <v>92.763074713534706</v>
      </c>
      <c r="AJ4905">
        <v>90.154293167376196</v>
      </c>
      <c r="AK4905">
        <v>23.245385077780298</v>
      </c>
      <c r="AL4905">
        <v>80.188521846327205</v>
      </c>
      <c r="AM4905">
        <v>95.465672188080802</v>
      </c>
      <c r="AN4905">
        <v>0.99999997614999303</v>
      </c>
    </row>
    <row r="4906" spans="1:40" x14ac:dyDescent="0.25">
      <c r="A4906" t="str">
        <f>"20190303162359993"</f>
        <v>20190303162359993</v>
      </c>
      <c r="B4906" t="str">
        <f>"1551601439980074"</f>
        <v>1551601439980074</v>
      </c>
      <c r="C4906" t="s">
        <v>40</v>
      </c>
      <c r="D4906">
        <v>4.7704029999999999</v>
      </c>
      <c r="E4906">
        <v>0.56166990000000006</v>
      </c>
      <c r="F4906" t="s">
        <v>41</v>
      </c>
      <c r="G4906">
        <v>-423.03949999999998</v>
      </c>
      <c r="H4906" s="1">
        <v>-4.7062940000000004E-6</v>
      </c>
      <c r="I4906">
        <v>49.232100000000003</v>
      </c>
      <c r="J4906">
        <v>-422.29930000000002</v>
      </c>
      <c r="K4906">
        <v>1.120563</v>
      </c>
      <c r="L4906">
        <v>67.037109999999998</v>
      </c>
      <c r="M4906">
        <v>9.1793020000000003E-3</v>
      </c>
      <c r="N4906">
        <v>-1.051654E-2</v>
      </c>
      <c r="O4906">
        <v>-0.99990270000000003</v>
      </c>
      <c r="P4906">
        <v>0.10060719999999999</v>
      </c>
      <c r="Q4906">
        <v>0.15995879999999901</v>
      </c>
      <c r="R4906">
        <v>-0.98198379999999996</v>
      </c>
      <c r="S4906">
        <v>-0.12634280000000001</v>
      </c>
      <c r="T4906">
        <v>-0.1919479</v>
      </c>
      <c r="U4906">
        <v>-3.1003720000000001</v>
      </c>
      <c r="V4906">
        <v>-9.1580460000000002E-2</v>
      </c>
      <c r="W4906">
        <v>0.17029079999999999</v>
      </c>
      <c r="X4906">
        <v>0.98112900000000003</v>
      </c>
      <c r="Y4906">
        <v>4.9815100000000001E-2</v>
      </c>
      <c r="Z4906">
        <v>5.1223320000000003E-2</v>
      </c>
      <c r="AA4906">
        <v>0.997444</v>
      </c>
      <c r="AB4906">
        <v>29</v>
      </c>
      <c r="AC4906">
        <v>-0.740199999999958</v>
      </c>
      <c r="AD4906">
        <v>-1.120567706294</v>
      </c>
      <c r="AE4906">
        <v>-17.8050099999999</v>
      </c>
      <c r="AF4906">
        <v>0.90005652638417</v>
      </c>
      <c r="AG4906">
        <v>-1.120567706294</v>
      </c>
      <c r="AH4906">
        <v>17.7273700316175</v>
      </c>
      <c r="AI4906">
        <v>93.612280211625105</v>
      </c>
      <c r="AJ4906">
        <v>87.093466401031307</v>
      </c>
      <c r="AK4906">
        <v>17.785539687424901</v>
      </c>
      <c r="AL4906">
        <v>80.195273048994494</v>
      </c>
      <c r="AM4906">
        <v>95.332646344440306</v>
      </c>
      <c r="AN4906">
        <v>1.0000000259297199</v>
      </c>
    </row>
    <row r="4907" spans="1:40" x14ac:dyDescent="0.25">
      <c r="A4907" t="str">
        <f>"20190303162400015"</f>
        <v>20190303162400015</v>
      </c>
      <c r="B4907" t="str">
        <f>"1551601440009629"</f>
        <v>1551601440009629</v>
      </c>
      <c r="C4907" t="s">
        <v>40</v>
      </c>
      <c r="D4907">
        <v>4.7384839999999997</v>
      </c>
      <c r="E4907">
        <v>0.56538769999999905</v>
      </c>
      <c r="F4907" t="s">
        <v>41</v>
      </c>
      <c r="G4907">
        <v>-423.39690000000002</v>
      </c>
      <c r="H4907" s="1">
        <v>-4.6878119999999997E-6</v>
      </c>
      <c r="I4907">
        <v>48.991529999999997</v>
      </c>
      <c r="J4907">
        <v>-422.29649999999998</v>
      </c>
      <c r="K4907">
        <v>1.120563</v>
      </c>
      <c r="L4907">
        <v>66.737089999999995</v>
      </c>
      <c r="M4907">
        <v>9.1752789999999997E-3</v>
      </c>
      <c r="N4907">
        <v>-1.05194E-2</v>
      </c>
      <c r="O4907">
        <v>-0.99990270000000003</v>
      </c>
      <c r="P4907">
        <v>9.7813120000000003E-2</v>
      </c>
      <c r="Q4907">
        <v>0.15967229999999999</v>
      </c>
      <c r="R4907">
        <v>-0.98231239999999997</v>
      </c>
      <c r="S4907">
        <v>-0.18890380000000001</v>
      </c>
      <c r="T4907">
        <v>-0.19285959999999999</v>
      </c>
      <c r="U4907">
        <v>-3.105804</v>
      </c>
      <c r="V4907">
        <v>-8.8787729999999995E-2</v>
      </c>
      <c r="W4907">
        <v>0.17000979999999999</v>
      </c>
      <c r="X4907">
        <v>0.98143429999999998</v>
      </c>
      <c r="Y4907">
        <v>6.9760290000000003E-2</v>
      </c>
      <c r="Z4907">
        <v>5.1335260000000001E-2</v>
      </c>
      <c r="AA4907">
        <v>0.99624199999999996</v>
      </c>
      <c r="AB4907">
        <v>29</v>
      </c>
      <c r="AC4907">
        <v>-1.10040000000003</v>
      </c>
      <c r="AD4907">
        <v>-1.1205676878119999</v>
      </c>
      <c r="AE4907">
        <v>-17.745560000000001</v>
      </c>
      <c r="AF4907">
        <v>1.2581853763654001</v>
      </c>
      <c r="AG4907">
        <v>-1.1205676878119999</v>
      </c>
      <c r="AH4907">
        <v>17.6645489608762</v>
      </c>
      <c r="AI4907">
        <v>93.620601402263802</v>
      </c>
      <c r="AJ4907">
        <v>85.925898001680494</v>
      </c>
      <c r="AK4907">
        <v>17.744717308975599</v>
      </c>
      <c r="AL4907">
        <v>80.211610548861998</v>
      </c>
      <c r="AM4907">
        <v>95.169323722169906</v>
      </c>
      <c r="AN4907">
        <v>0.99999993915553897</v>
      </c>
    </row>
    <row r="4908" spans="1:40" x14ac:dyDescent="0.25">
      <c r="A4908" t="str">
        <f>"20190303162400037"</f>
        <v>20190303162400037</v>
      </c>
      <c r="B4908" t="str">
        <f>"1551601440030124"</f>
        <v>1551601440030124</v>
      </c>
      <c r="C4908" t="s">
        <v>40</v>
      </c>
      <c r="D4908">
        <v>4.8533929999999996</v>
      </c>
      <c r="E4908">
        <v>0.56607879999999999</v>
      </c>
      <c r="F4908" t="s">
        <v>41</v>
      </c>
      <c r="G4908">
        <v>-423.63380000000001</v>
      </c>
      <c r="H4908" s="1">
        <v>-4.5136250000000003E-6</v>
      </c>
      <c r="I4908">
        <v>48.356169999999999</v>
      </c>
      <c r="J4908">
        <v>-422.29379999999998</v>
      </c>
      <c r="K4908">
        <v>1.1205620000000001</v>
      </c>
      <c r="L4908">
        <v>66.449340000000007</v>
      </c>
      <c r="M4908">
        <v>9.1724619999999993E-3</v>
      </c>
      <c r="N4908">
        <v>-1.052205E-2</v>
      </c>
      <c r="O4908">
        <v>-0.99990270000000003</v>
      </c>
      <c r="P4908">
        <v>9.4537990000000002E-2</v>
      </c>
      <c r="Q4908">
        <v>0.15874949999999999</v>
      </c>
      <c r="R4908">
        <v>-0.98278270000000001</v>
      </c>
      <c r="S4908">
        <v>-0.2260742</v>
      </c>
      <c r="T4908">
        <v>-0.18943409999999999</v>
      </c>
      <c r="U4908">
        <v>-3.1073300000000001</v>
      </c>
      <c r="V4908">
        <v>-8.551098E-2</v>
      </c>
      <c r="W4908">
        <v>0.16909440000000001</v>
      </c>
      <c r="X4908">
        <v>0.98188339999999996</v>
      </c>
      <c r="Y4908">
        <v>8.1587110000000004E-2</v>
      </c>
      <c r="Z4908">
        <v>5.0156020000000003E-2</v>
      </c>
      <c r="AA4908">
        <v>0.99540340000000005</v>
      </c>
      <c r="AB4908">
        <v>29</v>
      </c>
      <c r="AC4908">
        <v>-1.3400000000000301</v>
      </c>
      <c r="AD4908">
        <v>-1.120566513625</v>
      </c>
      <c r="AE4908">
        <v>-18.093170000000001</v>
      </c>
      <c r="AF4908">
        <v>1.5001888021256899</v>
      </c>
      <c r="AG4908">
        <v>-1.120566513625</v>
      </c>
      <c r="AH4908">
        <v>18.0114073068209</v>
      </c>
      <c r="AI4908">
        <v>93.547773178705199</v>
      </c>
      <c r="AJ4908">
        <v>85.238764975293293</v>
      </c>
      <c r="AK4908">
        <v>18.108479475805801</v>
      </c>
      <c r="AL4908">
        <v>80.264830526723301</v>
      </c>
      <c r="AM4908">
        <v>94.9772588674427</v>
      </c>
      <c r="AN4908">
        <v>1.00000002750373</v>
      </c>
    </row>
    <row r="4909" spans="1:40" x14ac:dyDescent="0.25">
      <c r="A4909" t="str">
        <f>"20190303162400060"</f>
        <v>20190303162400060</v>
      </c>
      <c r="B4909" t="str">
        <f>"1551601440049646"</f>
        <v>1551601440049646</v>
      </c>
      <c r="C4909" t="s">
        <v>40</v>
      </c>
      <c r="D4909">
        <v>4.8794500000000003</v>
      </c>
      <c r="E4909">
        <v>0.56621580000000005</v>
      </c>
      <c r="F4909" t="s">
        <v>41</v>
      </c>
      <c r="G4909">
        <v>-423.70139999999998</v>
      </c>
      <c r="H4909" s="1">
        <v>-4.5248000000000003E-6</v>
      </c>
      <c r="I4909">
        <v>48.353769999999997</v>
      </c>
      <c r="J4909">
        <v>-422.2912</v>
      </c>
      <c r="K4909">
        <v>1.12056</v>
      </c>
      <c r="L4909">
        <v>66.155730000000005</v>
      </c>
      <c r="M4909">
        <v>9.1705529999999997E-3</v>
      </c>
      <c r="N4909">
        <v>-1.0524739999999999E-2</v>
      </c>
      <c r="O4909">
        <v>-0.99990270000000003</v>
      </c>
      <c r="P4909">
        <v>9.1812329999999998E-2</v>
      </c>
      <c r="Q4909">
        <v>0.15691340000000001</v>
      </c>
      <c r="R4909">
        <v>-0.98333590000000004</v>
      </c>
      <c r="S4909">
        <v>-0.24166869999999999</v>
      </c>
      <c r="T4909">
        <v>-0.1923927</v>
      </c>
      <c r="U4909">
        <v>-3.1068730000000002</v>
      </c>
      <c r="V4909">
        <v>-8.2782880000000003E-2</v>
      </c>
      <c r="W4909">
        <v>0.16726640000000001</v>
      </c>
      <c r="X4909">
        <v>0.98243009999999997</v>
      </c>
      <c r="Y4909">
        <v>8.6556949999999994E-2</v>
      </c>
      <c r="Z4909">
        <v>5.108211E-2</v>
      </c>
      <c r="AA4909">
        <v>0.9949365</v>
      </c>
      <c r="AB4909">
        <v>29</v>
      </c>
      <c r="AC4909">
        <v>-1.4101999999999699</v>
      </c>
      <c r="AD4909">
        <v>-1.1205645248</v>
      </c>
      <c r="AE4909">
        <v>-17.801960000000001</v>
      </c>
      <c r="AF4909">
        <v>1.5672325423735201</v>
      </c>
      <c r="AG4909">
        <v>-1.1205645248</v>
      </c>
      <c r="AH4909">
        <v>17.718511546093399</v>
      </c>
      <c r="AI4909">
        <v>93.604677841020006</v>
      </c>
      <c r="AJ4909">
        <v>84.945245568257107</v>
      </c>
      <c r="AK4909">
        <v>17.822949646597799</v>
      </c>
      <c r="AL4909">
        <v>80.371080141365397</v>
      </c>
      <c r="AM4909">
        <v>94.816557801161906</v>
      </c>
      <c r="AN4909">
        <v>0.99999997758803105</v>
      </c>
    </row>
    <row r="4910" spans="1:40" x14ac:dyDescent="0.25">
      <c r="A4910" t="str">
        <f>"20190303162400082"</f>
        <v>20190303162400082</v>
      </c>
      <c r="B4910" t="str">
        <f>"1551601440070142"</f>
        <v>1551601440070142</v>
      </c>
      <c r="C4910" t="s">
        <v>40</v>
      </c>
      <c r="D4910">
        <v>4.8789309999999997</v>
      </c>
      <c r="E4910">
        <v>0.56617790000000001</v>
      </c>
      <c r="F4910" t="s">
        <v>41</v>
      </c>
      <c r="G4910">
        <v>-423.70710000000003</v>
      </c>
      <c r="H4910" s="1">
        <v>-4.6379000000000001E-6</v>
      </c>
      <c r="I4910">
        <v>48.683160000000001</v>
      </c>
      <c r="J4910">
        <v>-422.2885</v>
      </c>
      <c r="K4910">
        <v>1.120555</v>
      </c>
      <c r="L4910">
        <v>65.862949999999998</v>
      </c>
      <c r="M4910">
        <v>9.1694640000000004E-3</v>
      </c>
      <c r="N4910">
        <v>-1.0527419999999999E-2</v>
      </c>
      <c r="O4910">
        <v>-0.99990270000000003</v>
      </c>
      <c r="P4910">
        <v>8.9134039999999998E-2</v>
      </c>
      <c r="Q4910">
        <v>0.15654460000000001</v>
      </c>
      <c r="R4910">
        <v>-0.98364110000000005</v>
      </c>
      <c r="S4910">
        <v>-0.25170900000000002</v>
      </c>
      <c r="T4910">
        <v>-0.1992053</v>
      </c>
      <c r="U4910">
        <v>-3.1061399999999999</v>
      </c>
      <c r="V4910">
        <v>-8.0103289999999994E-2</v>
      </c>
      <c r="W4910">
        <v>0.166903</v>
      </c>
      <c r="X4910">
        <v>0.98271410000000003</v>
      </c>
      <c r="Y4910">
        <v>8.9758009999999999E-2</v>
      </c>
      <c r="Z4910">
        <v>5.3250640000000002E-2</v>
      </c>
      <c r="AA4910">
        <v>0.99453899999999995</v>
      </c>
      <c r="AB4910">
        <v>29</v>
      </c>
      <c r="AC4910">
        <v>-1.4186000000000201</v>
      </c>
      <c r="AD4910">
        <v>-1.1205596379</v>
      </c>
      <c r="AE4910">
        <v>-17.179789999999901</v>
      </c>
      <c r="AF4910">
        <v>1.5694467525214499</v>
      </c>
      <c r="AG4910">
        <v>-1.1205596379</v>
      </c>
      <c r="AH4910">
        <v>17.093828352992801</v>
      </c>
      <c r="AI4910">
        <v>93.734906120179701</v>
      </c>
      <c r="AJ4910">
        <v>84.754172764643798</v>
      </c>
      <c r="AK4910">
        <v>17.202261036639101</v>
      </c>
      <c r="AL4910">
        <v>80.392199244490001</v>
      </c>
      <c r="AM4910">
        <v>94.660008431078197</v>
      </c>
      <c r="AN4910">
        <v>1.00000007540831</v>
      </c>
    </row>
    <row r="4911" spans="1:40" x14ac:dyDescent="0.25">
      <c r="A4911" t="str">
        <f>"20190303162400105"</f>
        <v>20190303162400105</v>
      </c>
      <c r="B4911" t="str">
        <f>"1551601440099421"</f>
        <v>1551601440099421</v>
      </c>
      <c r="C4911" t="s">
        <v>40</v>
      </c>
      <c r="D4911">
        <v>4.9293760000000004</v>
      </c>
      <c r="E4911">
        <v>0.56611679999999998</v>
      </c>
      <c r="F4911" t="s">
        <v>41</v>
      </c>
      <c r="G4911">
        <v>-423.7353</v>
      </c>
      <c r="H4911" s="1">
        <v>-4.5847420000000002E-6</v>
      </c>
      <c r="I4911">
        <v>48.512230000000002</v>
      </c>
      <c r="J4911">
        <v>-422.28579999999999</v>
      </c>
      <c r="K4911">
        <v>1.1205480000000001</v>
      </c>
      <c r="L4911">
        <v>65.570369999999997</v>
      </c>
      <c r="M4911">
        <v>9.1716000000000002E-3</v>
      </c>
      <c r="N4911">
        <v>-1.0530060000000001E-2</v>
      </c>
      <c r="O4911">
        <v>-0.99990270000000003</v>
      </c>
      <c r="P4911">
        <v>8.5712730000000001E-2</v>
      </c>
      <c r="Q4911">
        <v>0.156461299999999</v>
      </c>
      <c r="R4911">
        <v>-0.98395829999999995</v>
      </c>
      <c r="S4911">
        <v>-0.2589417</v>
      </c>
      <c r="T4911">
        <v>-0.20054830000000001</v>
      </c>
      <c r="U4911">
        <v>-3.105286</v>
      </c>
      <c r="V4911">
        <v>-7.6677969999999998E-2</v>
      </c>
      <c r="W4911">
        <v>0.16682439999999901</v>
      </c>
      <c r="X4911">
        <v>0.9830006</v>
      </c>
      <c r="Y4911">
        <v>9.2079739999999993E-2</v>
      </c>
      <c r="Z4911">
        <v>5.3680909999999998E-2</v>
      </c>
      <c r="AA4911">
        <v>0.99430359999999995</v>
      </c>
      <c r="AB4911">
        <v>29</v>
      </c>
      <c r="AC4911">
        <v>-1.4495</v>
      </c>
      <c r="AD4911">
        <v>-1.1205525847419999</v>
      </c>
      <c r="AE4911">
        <v>-17.058139999999899</v>
      </c>
      <c r="AF4911">
        <v>1.5990473605812101</v>
      </c>
      <c r="AG4911">
        <v>-1.1205525847419999</v>
      </c>
      <c r="AH4911">
        <v>16.971417401832699</v>
      </c>
      <c r="AI4911">
        <v>93.760912168473496</v>
      </c>
      <c r="AJ4911">
        <v>84.617480345396601</v>
      </c>
      <c r="AK4911">
        <v>17.0833720085873</v>
      </c>
      <c r="AL4911">
        <v>80.396766342365297</v>
      </c>
      <c r="AM4911">
        <v>94.460267755085994</v>
      </c>
      <c r="AN4911">
        <v>1.00000003555951</v>
      </c>
    </row>
    <row r="4912" spans="1:40" x14ac:dyDescent="0.25">
      <c r="A4912" t="str">
        <f>"20190303162400126"</f>
        <v>20190303162400126</v>
      </c>
      <c r="B4912" t="str">
        <f>"1551601440119918"</f>
        <v>1551601440119918</v>
      </c>
      <c r="C4912" t="s">
        <v>40</v>
      </c>
      <c r="D4912">
        <v>4.9351949999999896</v>
      </c>
      <c r="E4912">
        <v>0.56603319999999901</v>
      </c>
      <c r="F4912" t="s">
        <v>41</v>
      </c>
      <c r="G4912">
        <v>-423.77519999999998</v>
      </c>
      <c r="H4912" s="1">
        <v>-4.5359169999999999E-6</v>
      </c>
      <c r="I4912">
        <v>48.34798</v>
      </c>
      <c r="J4912">
        <v>-422.28309999999999</v>
      </c>
      <c r="K4912">
        <v>1.1205480000000001</v>
      </c>
      <c r="L4912">
        <v>65.27628</v>
      </c>
      <c r="M4912">
        <v>9.1845550000000005E-3</v>
      </c>
      <c r="N4912">
        <v>-1.053275E-2</v>
      </c>
      <c r="O4912">
        <v>-0.99990270000000003</v>
      </c>
      <c r="P4912">
        <v>8.338392E-2</v>
      </c>
      <c r="Q4912">
        <v>0.15615229999999999</v>
      </c>
      <c r="R4912">
        <v>-0.98420759999999996</v>
      </c>
      <c r="S4912">
        <v>-0.26846310000000001</v>
      </c>
      <c r="T4912">
        <v>-0.20198569999999999</v>
      </c>
      <c r="U4912">
        <v>-3.1044309999999999</v>
      </c>
      <c r="V4912">
        <v>-7.4336579999999999E-2</v>
      </c>
      <c r="W4912">
        <v>0.16651930000000001</v>
      </c>
      <c r="X4912">
        <v>0.98323210000000005</v>
      </c>
      <c r="Y4912">
        <v>9.5139009999999996E-2</v>
      </c>
      <c r="Z4912">
        <v>5.4136539999999997E-2</v>
      </c>
      <c r="AA4912">
        <v>0.99399079999999995</v>
      </c>
      <c r="AB4912">
        <v>29</v>
      </c>
      <c r="AC4912">
        <v>-1.49209999999999</v>
      </c>
      <c r="AD4912">
        <v>-1.1205525359170001</v>
      </c>
      <c r="AE4912">
        <v>-16.9283</v>
      </c>
      <c r="AF4912">
        <v>1.64039231517078</v>
      </c>
      <c r="AG4912">
        <v>-1.1205525359170001</v>
      </c>
      <c r="AH4912">
        <v>16.840659844753699</v>
      </c>
      <c r="AI4912">
        <v>93.788885300208904</v>
      </c>
      <c r="AJ4912">
        <v>84.436560976417695</v>
      </c>
      <c r="AK4912">
        <v>16.957427544887899</v>
      </c>
      <c r="AL4912">
        <v>80.414494764531995</v>
      </c>
      <c r="AM4912">
        <v>94.3235822523894</v>
      </c>
      <c r="AN4912">
        <v>0.99999998343449803</v>
      </c>
    </row>
    <row r="4913" spans="1:40" x14ac:dyDescent="0.25">
      <c r="A4913" t="str">
        <f>"20190303162400148"</f>
        <v>20190303162400148</v>
      </c>
      <c r="B4913" t="str">
        <f>"1551601440139438"</f>
        <v>1551601440139438</v>
      </c>
      <c r="C4913" t="s">
        <v>40</v>
      </c>
      <c r="D4913">
        <v>4.9695499999999999</v>
      </c>
      <c r="E4913">
        <v>0.56593879999999996</v>
      </c>
      <c r="F4913" t="s">
        <v>41</v>
      </c>
      <c r="G4913">
        <v>-423.79320000000001</v>
      </c>
      <c r="H4913" s="1">
        <v>-4.4855999999999999E-6</v>
      </c>
      <c r="I4913">
        <v>48.190710000000003</v>
      </c>
      <c r="J4913">
        <v>-422.28050000000002</v>
      </c>
      <c r="K4913">
        <v>1.120552</v>
      </c>
      <c r="L4913">
        <v>64.991849999999999</v>
      </c>
      <c r="M4913">
        <v>9.2074949999999996E-3</v>
      </c>
      <c r="N4913">
        <v>-1.053539E-2</v>
      </c>
      <c r="O4913">
        <v>-0.99990199999999996</v>
      </c>
      <c r="P4913">
        <v>8.1624310000000005E-2</v>
      </c>
      <c r="Q4913">
        <v>0.1558049</v>
      </c>
      <c r="R4913">
        <v>-0.9844096</v>
      </c>
      <c r="S4913">
        <v>-0.27432250000000002</v>
      </c>
      <c r="T4913">
        <v>-0.20355329999999999</v>
      </c>
      <c r="U4913">
        <v>-3.1036679999999999</v>
      </c>
      <c r="V4913">
        <v>-7.2555830000000002E-2</v>
      </c>
      <c r="W4913">
        <v>0.16617560000000001</v>
      </c>
      <c r="X4913">
        <v>0.9834233</v>
      </c>
      <c r="Y4913">
        <v>9.7041520000000006E-2</v>
      </c>
      <c r="Z4913">
        <v>5.4638319999999997E-2</v>
      </c>
      <c r="AA4913">
        <v>0.99377950000000004</v>
      </c>
      <c r="AB4913">
        <v>29</v>
      </c>
      <c r="AC4913">
        <v>-1.5126999999999899</v>
      </c>
      <c r="AD4913">
        <v>-1.1205564856000001</v>
      </c>
      <c r="AE4913">
        <v>-16.80114</v>
      </c>
      <c r="AF4913">
        <v>1.6600160823794301</v>
      </c>
      <c r="AG4913">
        <v>-1.1205564856000001</v>
      </c>
      <c r="AH4913">
        <v>16.7127539277922</v>
      </c>
      <c r="AI4913">
        <v>93.817098526347394</v>
      </c>
      <c r="AJ4913">
        <v>84.327627148887601</v>
      </c>
      <c r="AK4913">
        <v>16.832333292865599</v>
      </c>
      <c r="AL4913">
        <v>80.434466049743705</v>
      </c>
      <c r="AM4913">
        <v>94.219571058889997</v>
      </c>
      <c r="AN4913">
        <v>1.00000003274261</v>
      </c>
    </row>
    <row r="4914" spans="1:40" x14ac:dyDescent="0.25">
      <c r="A4914" t="str">
        <f>"20190303162400171"</f>
        <v>20190303162400171</v>
      </c>
      <c r="B4914" t="str">
        <f>"1551601440159933"</f>
        <v>1551601440159933</v>
      </c>
      <c r="C4914" t="s">
        <v>40</v>
      </c>
      <c r="D4914">
        <v>5.000521</v>
      </c>
      <c r="E4914">
        <v>0.56578059999999997</v>
      </c>
      <c r="F4914" t="s">
        <v>41</v>
      </c>
      <c r="G4914">
        <v>-423.80790000000002</v>
      </c>
      <c r="H4914" s="1">
        <v>-4.4226400000000001E-6</v>
      </c>
      <c r="I4914">
        <v>47.998040000000003</v>
      </c>
      <c r="J4914">
        <v>-422.27760000000001</v>
      </c>
      <c r="K4914">
        <v>1.1205620000000001</v>
      </c>
      <c r="L4914">
        <v>64.682220000000001</v>
      </c>
      <c r="M4914">
        <v>9.2467260000000003E-3</v>
      </c>
      <c r="N4914">
        <v>-1.0538250000000001E-2</v>
      </c>
      <c r="O4914">
        <v>-0.99990199999999996</v>
      </c>
      <c r="P4914">
        <v>8.1002099999999994E-2</v>
      </c>
      <c r="Q4914">
        <v>0.1552827</v>
      </c>
      <c r="R4914">
        <v>-0.98454399999999997</v>
      </c>
      <c r="S4914">
        <v>-0.27890009999999998</v>
      </c>
      <c r="T4914">
        <v>-0.20461070000000001</v>
      </c>
      <c r="U4914">
        <v>-3.103027</v>
      </c>
      <c r="V4914">
        <v>-7.1898669999999998E-2</v>
      </c>
      <c r="W4914">
        <v>0.165655</v>
      </c>
      <c r="X4914">
        <v>0.98355939999999997</v>
      </c>
      <c r="Y4914">
        <v>9.8550470000000001E-2</v>
      </c>
      <c r="Z4914">
        <v>5.4976869999999997E-2</v>
      </c>
      <c r="AA4914">
        <v>0.9936123</v>
      </c>
      <c r="AB4914">
        <v>29</v>
      </c>
      <c r="AC4914">
        <v>-1.53030000000001</v>
      </c>
      <c r="AD4914">
        <v>-1.1205664226400001</v>
      </c>
      <c r="AE4914">
        <v>-16.684179999999898</v>
      </c>
      <c r="AF4914">
        <v>1.67701535714187</v>
      </c>
      <c r="AG4914">
        <v>-1.1205664226400001</v>
      </c>
      <c r="AH4914">
        <v>16.5950809763278</v>
      </c>
      <c r="AI4914">
        <v>93.843460920996094</v>
      </c>
      <c r="AJ4914">
        <v>84.229566456215295</v>
      </c>
      <c r="AK4914">
        <v>16.717199592829999</v>
      </c>
      <c r="AL4914">
        <v>80.464713584105994</v>
      </c>
      <c r="AM4914">
        <v>94.180912747168605</v>
      </c>
      <c r="AN4914">
        <v>1.00000004555056</v>
      </c>
    </row>
    <row r="4915" spans="1:40" x14ac:dyDescent="0.25">
      <c r="A4915" t="str">
        <f>"20190303162400194"</f>
        <v>20190303162400194</v>
      </c>
      <c r="B4915" t="str">
        <f>"1551601440190189"</f>
        <v>1551601440190189</v>
      </c>
      <c r="C4915" t="s">
        <v>40</v>
      </c>
      <c r="D4915">
        <v>5.0008169999999996</v>
      </c>
      <c r="E4915">
        <v>0.56548149999999997</v>
      </c>
      <c r="F4915" t="s">
        <v>41</v>
      </c>
      <c r="G4915">
        <v>-423.79759999999999</v>
      </c>
      <c r="H4915" s="1">
        <v>-4.3593900000000003E-6</v>
      </c>
      <c r="I4915">
        <v>47.81756</v>
      </c>
      <c r="J4915">
        <v>-422.27480000000003</v>
      </c>
      <c r="K4915">
        <v>1.120573</v>
      </c>
      <c r="L4915">
        <v>64.391819999999996</v>
      </c>
      <c r="M4915">
        <v>9.2960679999999993E-3</v>
      </c>
      <c r="N4915">
        <v>-1.0540910000000001E-2</v>
      </c>
      <c r="O4915">
        <v>-0.9999015</v>
      </c>
      <c r="P4915">
        <v>8.1227919999999995E-2</v>
      </c>
      <c r="Q4915">
        <v>0.15555529999999901</v>
      </c>
      <c r="R4915">
        <v>-0.98448219999999997</v>
      </c>
      <c r="S4915">
        <v>-0.27963259999999901</v>
      </c>
      <c r="T4915">
        <v>-0.20615320000000001</v>
      </c>
      <c r="U4915">
        <v>-3.1026310000000001</v>
      </c>
      <c r="V4915">
        <v>-7.2080110000000003E-2</v>
      </c>
      <c r="W4915">
        <v>0.1659282</v>
      </c>
      <c r="X4915">
        <v>0.98350000000000004</v>
      </c>
      <c r="Y4915">
        <v>9.8840739999999996E-2</v>
      </c>
      <c r="Z4915">
        <v>5.5472809999999997E-2</v>
      </c>
      <c r="AA4915">
        <v>0.99355590000000005</v>
      </c>
      <c r="AB4915">
        <v>30</v>
      </c>
      <c r="AC4915">
        <v>-1.52279999999996</v>
      </c>
      <c r="AD4915">
        <v>-1.1205773593899999</v>
      </c>
      <c r="AE4915">
        <v>-16.574259999999899</v>
      </c>
      <c r="AF4915">
        <v>1.66925180827181</v>
      </c>
      <c r="AG4915">
        <v>-1.1205773593899999</v>
      </c>
      <c r="AH4915">
        <v>16.4846655497063</v>
      </c>
      <c r="AI4915">
        <v>93.869084865814003</v>
      </c>
      <c r="AJ4915">
        <v>84.217887769158594</v>
      </c>
      <c r="AK4915">
        <v>16.6068146705944</v>
      </c>
      <c r="AL4915">
        <v>80.448840077270106</v>
      </c>
      <c r="AM4915">
        <v>94.191678186901001</v>
      </c>
      <c r="AN4915">
        <v>0.99999997990642597</v>
      </c>
    </row>
    <row r="4916" spans="1:40" x14ac:dyDescent="0.25">
      <c r="A4916" t="str">
        <f>"20190303162400216"</f>
        <v>20190303162400216</v>
      </c>
      <c r="B4916" t="str">
        <f>"1551601440209709"</f>
        <v>1551601440209709</v>
      </c>
      <c r="C4916" t="s">
        <v>40</v>
      </c>
      <c r="D4916">
        <v>5.0358539999999996</v>
      </c>
      <c r="E4916">
        <v>0.56534430000000002</v>
      </c>
      <c r="F4916" t="s">
        <v>41</v>
      </c>
      <c r="G4916">
        <v>-423.76760000000002</v>
      </c>
      <c r="H4916" s="1">
        <v>-4.2977579999999999E-6</v>
      </c>
      <c r="I4916">
        <v>47.652079999999998</v>
      </c>
      <c r="J4916">
        <v>-422.27199999999999</v>
      </c>
      <c r="K4916">
        <v>1.120582</v>
      </c>
      <c r="L4916">
        <v>64.093379999999996</v>
      </c>
      <c r="M4916">
        <v>9.3571929999999998E-3</v>
      </c>
      <c r="N4916">
        <v>-1.054362E-2</v>
      </c>
      <c r="O4916">
        <v>-0.99990080000000003</v>
      </c>
      <c r="P4916">
        <v>8.2030329999999999E-2</v>
      </c>
      <c r="Q4916">
        <v>0.1562645</v>
      </c>
      <c r="R4916">
        <v>-0.98430320000000004</v>
      </c>
      <c r="S4916">
        <v>-0.27670289999999997</v>
      </c>
      <c r="T4916">
        <v>-0.20771419999999999</v>
      </c>
      <c r="U4916">
        <v>-3.1029360000000001</v>
      </c>
      <c r="V4916">
        <v>-7.2827699999999995E-2</v>
      </c>
      <c r="W4916">
        <v>0.16663639999999999</v>
      </c>
      <c r="X4916">
        <v>0.98332520000000001</v>
      </c>
      <c r="Y4916">
        <v>9.7959820000000003E-2</v>
      </c>
      <c r="Z4916">
        <v>5.5967129999999997E-2</v>
      </c>
      <c r="AA4916">
        <v>0.99361540000000004</v>
      </c>
      <c r="AB4916">
        <v>30</v>
      </c>
      <c r="AC4916">
        <v>-1.49560000000002</v>
      </c>
      <c r="AD4916">
        <v>-1.1205862977579999</v>
      </c>
      <c r="AE4916">
        <v>-16.441299999999998</v>
      </c>
      <c r="AF4916">
        <v>1.64182321133352</v>
      </c>
      <c r="AG4916">
        <v>-1.1205862977579999</v>
      </c>
      <c r="AH4916">
        <v>16.351250849666499</v>
      </c>
      <c r="AI4916">
        <v>93.900918265849697</v>
      </c>
      <c r="AJ4916">
        <v>84.266169545836803</v>
      </c>
      <c r="AK4916">
        <v>16.471633235860899</v>
      </c>
      <c r="AL4916">
        <v>80.407690581201607</v>
      </c>
      <c r="AM4916">
        <v>94.235745550496901</v>
      </c>
      <c r="AN4916">
        <v>1.0000000063236401</v>
      </c>
    </row>
    <row r="4917" spans="1:40" x14ac:dyDescent="0.25">
      <c r="A4917" t="str">
        <f>"20190303162400238"</f>
        <v>20190303162400238</v>
      </c>
      <c r="B4917" t="str">
        <f>"1551601440230204"</f>
        <v>1551601440230204</v>
      </c>
      <c r="C4917" t="s">
        <v>40</v>
      </c>
      <c r="D4917">
        <v>5.0412980000000003</v>
      </c>
      <c r="E4917">
        <v>0.56520319999999902</v>
      </c>
      <c r="F4917" t="s">
        <v>41</v>
      </c>
      <c r="G4917">
        <v>-423.75760000000002</v>
      </c>
      <c r="H4917" s="1">
        <v>-4.1418970000000002E-6</v>
      </c>
      <c r="I4917">
        <v>47.199289999999998</v>
      </c>
      <c r="J4917">
        <v>-422.26929999999999</v>
      </c>
      <c r="K4917">
        <v>1.12059</v>
      </c>
      <c r="L4917">
        <v>63.809910000000002</v>
      </c>
      <c r="M4917">
        <v>9.4220269999999995E-3</v>
      </c>
      <c r="N4917">
        <v>-1.0546170000000001E-2</v>
      </c>
      <c r="O4917">
        <v>-0.99990009999999996</v>
      </c>
      <c r="P4917">
        <v>8.2843550000000002E-2</v>
      </c>
      <c r="Q4917">
        <v>0.1562124</v>
      </c>
      <c r="R4917">
        <v>-0.98424330000000004</v>
      </c>
      <c r="S4917">
        <v>-0.27288820000000003</v>
      </c>
      <c r="T4917">
        <v>-0.2058401</v>
      </c>
      <c r="U4917">
        <v>-3.1032709999999999</v>
      </c>
      <c r="V4917">
        <v>-7.3579950000000005E-2</v>
      </c>
      <c r="W4917">
        <v>0.16658510000000001</v>
      </c>
      <c r="X4917">
        <v>0.98327790000000004</v>
      </c>
      <c r="Y4917">
        <v>9.6806569999999995E-2</v>
      </c>
      <c r="Z4917">
        <v>5.5367050000000001E-2</v>
      </c>
      <c r="AA4917">
        <v>0.99376200000000003</v>
      </c>
      <c r="AB4917">
        <v>30</v>
      </c>
      <c r="AC4917">
        <v>-1.4883000000000299</v>
      </c>
      <c r="AD4917">
        <v>-1.120594141897</v>
      </c>
      <c r="AE4917">
        <v>-16.610619999999901</v>
      </c>
      <c r="AF4917">
        <v>1.63735575763524</v>
      </c>
      <c r="AG4917">
        <v>-1.120594141897</v>
      </c>
      <c r="AH4917">
        <v>16.521266422075701</v>
      </c>
      <c r="AI4917">
        <v>93.861419735097897</v>
      </c>
      <c r="AJ4917">
        <v>84.340129608873895</v>
      </c>
      <c r="AK4917">
        <v>16.639979245693802</v>
      </c>
      <c r="AL4917">
        <v>80.410671619541105</v>
      </c>
      <c r="AM4917">
        <v>94.279540692638506</v>
      </c>
      <c r="AN4917">
        <v>1.00000001660621</v>
      </c>
    </row>
    <row r="4918" spans="1:40" x14ac:dyDescent="0.25">
      <c r="A4918" t="str">
        <f>"20190303162400261"</f>
        <v>20190303162400261</v>
      </c>
      <c r="B4918" t="str">
        <f>"1551601440249726"</f>
        <v>1551601440249726</v>
      </c>
      <c r="C4918" t="s">
        <v>40</v>
      </c>
      <c r="D4918">
        <v>5.0453619999999999</v>
      </c>
      <c r="E4918">
        <v>0.56510469999999902</v>
      </c>
      <c r="F4918" t="s">
        <v>41</v>
      </c>
      <c r="G4918">
        <v>-423.72840000000002</v>
      </c>
      <c r="H4918" s="1">
        <v>-4.0637270000000003E-6</v>
      </c>
      <c r="I4918">
        <v>46.984810000000003</v>
      </c>
      <c r="J4918">
        <v>-422.26639999999998</v>
      </c>
      <c r="K4918">
        <v>1.120595</v>
      </c>
      <c r="L4918">
        <v>63.505040000000001</v>
      </c>
      <c r="M4918">
        <v>9.4967690000000004E-3</v>
      </c>
      <c r="N4918">
        <v>-1.054892E-2</v>
      </c>
      <c r="O4918">
        <v>-0.99989939999999999</v>
      </c>
      <c r="P4918">
        <v>8.4155659999999993E-2</v>
      </c>
      <c r="Q4918">
        <v>0.1560879</v>
      </c>
      <c r="R4918">
        <v>-0.98415169999999996</v>
      </c>
      <c r="S4918">
        <v>-0.2691345</v>
      </c>
      <c r="T4918">
        <v>-0.20669999999999999</v>
      </c>
      <c r="U4918">
        <v>-3.103485</v>
      </c>
      <c r="V4918">
        <v>-7.4820680000000001E-2</v>
      </c>
      <c r="W4918">
        <v>0.16646240000000001</v>
      </c>
      <c r="X4918">
        <v>0.983205</v>
      </c>
      <c r="Y4918">
        <v>9.5681059999999998E-2</v>
      </c>
      <c r="Z4918">
        <v>5.5641040000000003E-2</v>
      </c>
      <c r="AA4918">
        <v>0.99385570000000001</v>
      </c>
      <c r="AB4918">
        <v>30</v>
      </c>
      <c r="AC4918">
        <v>-1.4620000000000399</v>
      </c>
      <c r="AD4918">
        <v>-1.120599063727</v>
      </c>
      <c r="AE4918">
        <v>-16.520230000000002</v>
      </c>
      <c r="AF4918">
        <v>1.6114745295233199</v>
      </c>
      <c r="AG4918">
        <v>-1.120599063727</v>
      </c>
      <c r="AH4918">
        <v>16.430587433948102</v>
      </c>
      <c r="AI4918">
        <v>93.883071217999998</v>
      </c>
      <c r="AJ4918">
        <v>84.398475623574896</v>
      </c>
      <c r="AK4918">
        <v>16.547410548044802</v>
      </c>
      <c r="AL4918">
        <v>80.417800894683694</v>
      </c>
      <c r="AM4918">
        <v>94.351750270989299</v>
      </c>
      <c r="AN4918">
        <v>0.99999996839720995</v>
      </c>
    </row>
    <row r="4919" spans="1:40" x14ac:dyDescent="0.25">
      <c r="A4919" t="str">
        <f>"20190303162400284"</f>
        <v>20190303162400284</v>
      </c>
      <c r="B4919" t="str">
        <f>"1551601440279981"</f>
        <v>1551601440279981</v>
      </c>
      <c r="C4919" t="s">
        <v>40</v>
      </c>
      <c r="D4919">
        <v>5.1033540000000004</v>
      </c>
      <c r="E4919">
        <v>0.56497810000000004</v>
      </c>
      <c r="F4919" t="s">
        <v>41</v>
      </c>
      <c r="G4919">
        <v>-423.6841</v>
      </c>
      <c r="H4919" s="1">
        <v>-3.994477E-6</v>
      </c>
      <c r="I4919">
        <v>46.804409999999997</v>
      </c>
      <c r="J4919">
        <v>-422.26339999999999</v>
      </c>
      <c r="K4919">
        <v>1.120606</v>
      </c>
      <c r="L4919">
        <v>63.200409999999998</v>
      </c>
      <c r="M4919">
        <v>9.5736220000000004E-3</v>
      </c>
      <c r="N4919">
        <v>-1.0551629999999999E-2</v>
      </c>
      <c r="O4919">
        <v>-0.99989870000000003</v>
      </c>
      <c r="P4919">
        <v>8.5260530000000001E-2</v>
      </c>
      <c r="Q4919">
        <v>0.156868799999999</v>
      </c>
      <c r="R4919">
        <v>-0.98393240000000004</v>
      </c>
      <c r="S4919">
        <v>-0.26348880000000002</v>
      </c>
      <c r="T4919">
        <v>-0.20826819999999999</v>
      </c>
      <c r="U4919">
        <v>-3.103882</v>
      </c>
      <c r="V4919">
        <v>-7.5852680000000006E-2</v>
      </c>
      <c r="W4919">
        <v>0.16724330000000001</v>
      </c>
      <c r="X4919">
        <v>0.98299340000000002</v>
      </c>
      <c r="Y4919">
        <v>9.3950030000000004E-2</v>
      </c>
      <c r="Z4919">
        <v>5.6140679999999998E-2</v>
      </c>
      <c r="AA4919">
        <v>0.99399269999999995</v>
      </c>
      <c r="AB4919">
        <v>30</v>
      </c>
      <c r="AC4919">
        <v>-1.4207000000000101</v>
      </c>
      <c r="AD4919">
        <v>-1.120609994477</v>
      </c>
      <c r="AE4919">
        <v>-16.396000000000001</v>
      </c>
      <c r="AF4919">
        <v>1.5703319489023699</v>
      </c>
      <c r="AG4919">
        <v>-1.120609994477</v>
      </c>
      <c r="AH4919">
        <v>16.306044524819001</v>
      </c>
      <c r="AI4919">
        <v>93.913342053433595</v>
      </c>
      <c r="AJ4919">
        <v>84.499169867069696</v>
      </c>
      <c r="AK4919">
        <v>16.4197684890758</v>
      </c>
      <c r="AL4919">
        <v>80.372422679816296</v>
      </c>
      <c r="AM4919">
        <v>94.412484403877201</v>
      </c>
      <c r="AN4919">
        <v>0.99999998745081597</v>
      </c>
    </row>
    <row r="4920" spans="1:40" x14ac:dyDescent="0.25">
      <c r="A4920" t="str">
        <f>"20190303162400305"</f>
        <v>20190303162400305</v>
      </c>
      <c r="B4920" t="str">
        <f>"1551601440299501"</f>
        <v>1551601440299501</v>
      </c>
      <c r="C4920" t="s">
        <v>40</v>
      </c>
      <c r="D4920">
        <v>5.1391260000000001</v>
      </c>
      <c r="E4920">
        <v>0.56495569999999995</v>
      </c>
      <c r="F4920" t="s">
        <v>42</v>
      </c>
      <c r="G4920">
        <v>-422.34679999999997</v>
      </c>
      <c r="H4920">
        <v>1.054003</v>
      </c>
      <c r="I4920">
        <v>62.200069999999997</v>
      </c>
      <c r="J4920">
        <v>-422.26060000000001</v>
      </c>
      <c r="K4920">
        <v>1.1206130000000001</v>
      </c>
      <c r="L4920">
        <v>62.917909999999999</v>
      </c>
      <c r="M4920">
        <v>9.6442980000000008E-3</v>
      </c>
      <c r="N4920">
        <v>-1.055411E-2</v>
      </c>
      <c r="O4920">
        <v>-0.99989799999999995</v>
      </c>
      <c r="P4920">
        <v>8.576686E-2</v>
      </c>
      <c r="Q4920">
        <v>0.15817999999999999</v>
      </c>
      <c r="R4920">
        <v>-0.98367870000000002</v>
      </c>
      <c r="S4920">
        <v>-0.2578125</v>
      </c>
      <c r="T4920">
        <v>-0.20671870000000001</v>
      </c>
      <c r="U4920">
        <v>-3.104279</v>
      </c>
      <c r="V4920">
        <v>-7.6292399999999996E-2</v>
      </c>
      <c r="W4920">
        <v>0.16855390000000001</v>
      </c>
      <c r="X4920">
        <v>0.98273549999999998</v>
      </c>
      <c r="Y4920">
        <v>9.2207979999999995E-2</v>
      </c>
      <c r="Z4920">
        <v>5.5646040000000001E-2</v>
      </c>
      <c r="AA4920">
        <v>0.9941837</v>
      </c>
      <c r="AB4920">
        <v>30</v>
      </c>
      <c r="AC4920">
        <v>-8.6199999999962501E-2</v>
      </c>
      <c r="AD4920">
        <v>-6.6609999999999794E-2</v>
      </c>
      <c r="AE4920">
        <v>-0.71784000000000203</v>
      </c>
      <c r="AF4920">
        <v>9.23356914857658E-2</v>
      </c>
      <c r="AG4920">
        <v>-6.6609999999999794E-2</v>
      </c>
      <c r="AH4920">
        <v>0.71094075519938205</v>
      </c>
      <c r="AI4920">
        <v>95.308248292473195</v>
      </c>
      <c r="AJ4920">
        <v>82.599951743516698</v>
      </c>
      <c r="AK4920">
        <v>0.71999967321216396</v>
      </c>
      <c r="AL4920">
        <v>80.296249664434697</v>
      </c>
      <c r="AM4920">
        <v>94.439121801231195</v>
      </c>
      <c r="AN4920">
        <v>1.0000000052316</v>
      </c>
    </row>
    <row r="4921" spans="1:40" x14ac:dyDescent="0.25">
      <c r="A4921" t="str">
        <f>"20190303162400327"</f>
        <v>20190303162400327</v>
      </c>
      <c r="B4921" t="str">
        <f>"1551601440319997"</f>
        <v>1551601440319997</v>
      </c>
      <c r="C4921" t="s">
        <v>40</v>
      </c>
      <c r="D4921">
        <v>5.1349280000000004</v>
      </c>
      <c r="E4921">
        <v>0.56490109999999905</v>
      </c>
      <c r="F4921" t="s">
        <v>41</v>
      </c>
      <c r="G4921">
        <v>-423.68299999999999</v>
      </c>
      <c r="H4921" s="1">
        <v>-3.6030749999999998E-6</v>
      </c>
      <c r="I4921">
        <v>45.703670000000002</v>
      </c>
      <c r="J4921">
        <v>-422.25760000000002</v>
      </c>
      <c r="K4921">
        <v>1.1206160000000001</v>
      </c>
      <c r="L4921">
        <v>62.61298</v>
      </c>
      <c r="M4921">
        <v>9.7183990000000008E-3</v>
      </c>
      <c r="N4921">
        <v>-1.055682E-2</v>
      </c>
      <c r="O4921">
        <v>-0.99989720000000004</v>
      </c>
      <c r="P4921">
        <v>8.6374359999999997E-2</v>
      </c>
      <c r="Q4921">
        <v>0.1583764</v>
      </c>
      <c r="R4921">
        <v>-0.98359390000000002</v>
      </c>
      <c r="S4921">
        <v>-0.2565308</v>
      </c>
      <c r="T4921">
        <v>-0.20210700000000001</v>
      </c>
      <c r="U4921">
        <v>-3.1046450000000001</v>
      </c>
      <c r="V4921">
        <v>-7.6827699999999999E-2</v>
      </c>
      <c r="W4921">
        <v>0.16875219999999999</v>
      </c>
      <c r="X4921">
        <v>0.98265979999999997</v>
      </c>
      <c r="Y4921">
        <v>9.1871980000000006E-2</v>
      </c>
      <c r="Z4921">
        <v>5.4166590000000001E-2</v>
      </c>
      <c r="AA4921">
        <v>0.99429650000000003</v>
      </c>
      <c r="AB4921">
        <v>30</v>
      </c>
      <c r="AC4921">
        <v>-1.42540000000002</v>
      </c>
      <c r="AD4921">
        <v>-1.120619603075</v>
      </c>
      <c r="AE4921">
        <v>-16.909310000000001</v>
      </c>
      <c r="AF4921">
        <v>1.5827707152519901</v>
      </c>
      <c r="AG4921">
        <v>-1.120619603075</v>
      </c>
      <c r="AH4921">
        <v>16.821299732822201</v>
      </c>
      <c r="AI4921">
        <v>93.794648955137802</v>
      </c>
      <c r="AJ4921">
        <v>84.624680304746093</v>
      </c>
      <c r="AK4921">
        <v>16.932722053269998</v>
      </c>
      <c r="AL4921">
        <v>80.284723150412205</v>
      </c>
      <c r="AM4921">
        <v>94.470485736136695</v>
      </c>
      <c r="AN4921">
        <v>1.00000004151408</v>
      </c>
    </row>
    <row r="4922" spans="1:40" x14ac:dyDescent="0.25">
      <c r="A4922" t="str">
        <f>"20190303162400350"</f>
        <v>20190303162400350</v>
      </c>
      <c r="B4922" t="str">
        <f>"1551601440339518"</f>
        <v>1551601440339518</v>
      </c>
      <c r="C4922" t="s">
        <v>40</v>
      </c>
      <c r="D4922">
        <v>5.1625500000000004</v>
      </c>
      <c r="E4922">
        <v>0.56495969999999995</v>
      </c>
      <c r="F4922" t="s">
        <v>41</v>
      </c>
      <c r="G4922">
        <v>-423.67450000000002</v>
      </c>
      <c r="H4922" s="1">
        <v>-3.4408780000000002E-6</v>
      </c>
      <c r="I4922">
        <v>45.330869999999997</v>
      </c>
      <c r="J4922">
        <v>-422.25470000000001</v>
      </c>
      <c r="K4922">
        <v>1.1206100000000001</v>
      </c>
      <c r="L4922">
        <v>62.321440000000003</v>
      </c>
      <c r="M4922">
        <v>9.7846259999999994E-3</v>
      </c>
      <c r="N4922">
        <v>-1.055944E-2</v>
      </c>
      <c r="O4922">
        <v>-0.99989629999999996</v>
      </c>
      <c r="P4922">
        <v>8.6877270000000006E-2</v>
      </c>
      <c r="Q4922">
        <v>0.15841729999999901</v>
      </c>
      <c r="R4922">
        <v>-0.98354269999999999</v>
      </c>
      <c r="S4922">
        <v>-0.25454710000000003</v>
      </c>
      <c r="T4922">
        <v>-0.20132359999999999</v>
      </c>
      <c r="U4922">
        <v>-3.104797</v>
      </c>
      <c r="V4922">
        <v>-7.7265230000000004E-2</v>
      </c>
      <c r="W4922">
        <v>0.168795</v>
      </c>
      <c r="X4922">
        <v>0.98261810000000005</v>
      </c>
      <c r="Y4922">
        <v>9.1304410000000003E-2</v>
      </c>
      <c r="Z4922">
        <v>5.3914209999999997E-2</v>
      </c>
      <c r="AA4922">
        <v>0.99436250000000004</v>
      </c>
      <c r="AB4922">
        <v>30</v>
      </c>
      <c r="AC4922">
        <v>-1.4198</v>
      </c>
      <c r="AD4922">
        <v>-1.120613440878</v>
      </c>
      <c r="AE4922">
        <v>-16.990569999999899</v>
      </c>
      <c r="AF4922">
        <v>1.5791658424946999</v>
      </c>
      <c r="AG4922">
        <v>-1.120613440878</v>
      </c>
      <c r="AH4922">
        <v>16.9028449813215</v>
      </c>
      <c r="AI4922">
        <v>93.776608143589797</v>
      </c>
      <c r="AJ4922">
        <v>84.662575430944798</v>
      </c>
      <c r="AK4922">
        <v>17.0133978882692</v>
      </c>
      <c r="AL4922">
        <v>80.282234785159403</v>
      </c>
      <c r="AM4922">
        <v>94.4960308636728</v>
      </c>
      <c r="AN4922">
        <v>0.99999999911978099</v>
      </c>
    </row>
    <row r="4923" spans="1:40" x14ac:dyDescent="0.25">
      <c r="A4923" t="str">
        <f>"20190303162400371"</f>
        <v>20190303162400371</v>
      </c>
      <c r="B4923" t="str">
        <f>"1551601440360013"</f>
        <v>1551601440360013</v>
      </c>
      <c r="C4923" t="s">
        <v>40</v>
      </c>
      <c r="D4923">
        <v>5.127624</v>
      </c>
      <c r="E4923">
        <v>0.56502430000000003</v>
      </c>
      <c r="F4923" t="s">
        <v>41</v>
      </c>
      <c r="G4923">
        <v>-423.66739999999999</v>
      </c>
      <c r="H4923" s="1">
        <v>-3.2971440000000001E-6</v>
      </c>
      <c r="I4923">
        <v>45.0002</v>
      </c>
      <c r="J4923">
        <v>-422.25170000000003</v>
      </c>
      <c r="K4923">
        <v>1.1205989999999999</v>
      </c>
      <c r="L4923">
        <v>62.028840000000002</v>
      </c>
      <c r="M4923">
        <v>9.8448430000000007E-3</v>
      </c>
      <c r="N4923">
        <v>-1.056204E-2</v>
      </c>
      <c r="O4923">
        <v>-0.9998958</v>
      </c>
      <c r="P4923">
        <v>8.7081409999999998E-2</v>
      </c>
      <c r="Q4923">
        <v>0.1582694</v>
      </c>
      <c r="R4923">
        <v>-0.98354870000000005</v>
      </c>
      <c r="S4923">
        <v>-0.25323489999999999</v>
      </c>
      <c r="T4923">
        <v>-0.20087550000000001</v>
      </c>
      <c r="U4923">
        <v>-3.1049190000000002</v>
      </c>
      <c r="V4923">
        <v>-7.7408669999999999E-2</v>
      </c>
      <c r="W4923">
        <v>0.16865069999999999</v>
      </c>
      <c r="X4923">
        <v>0.98263160000000005</v>
      </c>
      <c r="Y4923">
        <v>9.0944549999999999E-2</v>
      </c>
      <c r="Z4923">
        <v>5.3768240000000002E-2</v>
      </c>
      <c r="AA4923">
        <v>0.99440340000000005</v>
      </c>
      <c r="AB4923">
        <v>30</v>
      </c>
      <c r="AC4923">
        <v>-1.41569999999995</v>
      </c>
      <c r="AD4923">
        <v>-1.1206022971439999</v>
      </c>
      <c r="AE4923">
        <v>-17.028639999999999</v>
      </c>
      <c r="AF4923">
        <v>1.5765047466164499</v>
      </c>
      <c r="AG4923">
        <v>-1.1206022971439999</v>
      </c>
      <c r="AH4923">
        <v>16.941016214131</v>
      </c>
      <c r="AI4923">
        <v>93.768213598147298</v>
      </c>
      <c r="AJ4923">
        <v>84.683455036036506</v>
      </c>
      <c r="AK4923">
        <v>17.051074660909801</v>
      </c>
      <c r="AL4923">
        <v>80.290622938014593</v>
      </c>
      <c r="AM4923">
        <v>94.504281630787602</v>
      </c>
      <c r="AN4923">
        <v>1.0000000110600999</v>
      </c>
    </row>
    <row r="4924" spans="1:40" x14ac:dyDescent="0.25">
      <c r="A4924" t="str">
        <f>"20190303162400395"</f>
        <v>20190303162400395</v>
      </c>
      <c r="B4924" t="str">
        <f>"1551601440390269"</f>
        <v>1551601440390269</v>
      </c>
      <c r="C4924" t="s">
        <v>40</v>
      </c>
      <c r="D4924">
        <v>5.144107</v>
      </c>
      <c r="E4924">
        <v>0.57866629999999997</v>
      </c>
      <c r="F4924" t="s">
        <v>41</v>
      </c>
      <c r="G4924">
        <v>-423.66250000000002</v>
      </c>
      <c r="H4924" s="1">
        <v>-3.1813310000000002E-6</v>
      </c>
      <c r="I4924">
        <v>44.733289999999997</v>
      </c>
      <c r="J4924">
        <v>-422.24869999999999</v>
      </c>
      <c r="K4924">
        <v>1.1205969999999901</v>
      </c>
      <c r="L4924">
        <v>61.724640000000001</v>
      </c>
      <c r="M4924">
        <v>9.9004850000000005E-3</v>
      </c>
      <c r="N4924">
        <v>-1.0564749999999999E-2</v>
      </c>
      <c r="O4924">
        <v>-0.99989530000000004</v>
      </c>
      <c r="P4924">
        <v>8.8094489999999998E-2</v>
      </c>
      <c r="Q4924">
        <v>0.1587963</v>
      </c>
      <c r="R4924">
        <v>-0.98337370000000002</v>
      </c>
      <c r="S4924">
        <v>-0.25326539999999997</v>
      </c>
      <c r="T4924">
        <v>-0.20117589999999999</v>
      </c>
      <c r="U4924">
        <v>-3.1049799999999999</v>
      </c>
      <c r="V4924">
        <v>-7.8367110000000004E-2</v>
      </c>
      <c r="W4924">
        <v>0.169179</v>
      </c>
      <c r="X4924">
        <v>0.98246480000000003</v>
      </c>
      <c r="Y4924">
        <v>9.1007610000000003E-2</v>
      </c>
      <c r="Z4924">
        <v>5.3859839999999999E-2</v>
      </c>
      <c r="AA4924">
        <v>0.99439259999999996</v>
      </c>
      <c r="AB4924">
        <v>30</v>
      </c>
      <c r="AC4924">
        <v>-1.4138000000000299</v>
      </c>
      <c r="AD4924">
        <v>-1.12060018133099</v>
      </c>
      <c r="AE4924">
        <v>-16.991349999999901</v>
      </c>
      <c r="AF4924">
        <v>1.57515853148565</v>
      </c>
      <c r="AG4924">
        <v>-1.12060018133099</v>
      </c>
      <c r="AH4924">
        <v>16.903501745623998</v>
      </c>
      <c r="AI4924">
        <v>93.776501116439405</v>
      </c>
      <c r="AJ4924">
        <v>84.676247486674598</v>
      </c>
      <c r="AK4924">
        <v>17.013678039448902</v>
      </c>
      <c r="AL4924">
        <v>80.259912280981496</v>
      </c>
      <c r="AM4924">
        <v>94.560588789603202</v>
      </c>
      <c r="AN4924">
        <v>1.0000000106048901</v>
      </c>
    </row>
    <row r="4925" spans="1:40" x14ac:dyDescent="0.25">
      <c r="A4925" t="str">
        <f>"20190303162400416"</f>
        <v>20190303162400416</v>
      </c>
      <c r="B4925" t="str">
        <f>"1551601440409791"</f>
        <v>1551601440409791</v>
      </c>
      <c r="C4925" t="s">
        <v>40</v>
      </c>
      <c r="D4925">
        <v>5.2207730000000003</v>
      </c>
      <c r="E4925">
        <v>0.58097690000000002</v>
      </c>
      <c r="F4925" t="s">
        <v>56</v>
      </c>
      <c r="G4925">
        <v>-424.80759999999998</v>
      </c>
      <c r="H4925" s="1">
        <v>-1.2911419999999999E-6</v>
      </c>
      <c r="I4925">
        <v>39.610320000000002</v>
      </c>
      <c r="J4925">
        <v>-422.2457</v>
      </c>
      <c r="K4925">
        <v>1.1206020000000001</v>
      </c>
      <c r="L4925">
        <v>61.427250000000001</v>
      </c>
      <c r="M4925">
        <v>9.9475770000000008E-3</v>
      </c>
      <c r="N4925">
        <v>-1.0567429999999999E-2</v>
      </c>
      <c r="O4925">
        <v>-0.99989490000000003</v>
      </c>
      <c r="P4925">
        <v>8.8902129999999996E-2</v>
      </c>
      <c r="Q4925">
        <v>0.16004930000000001</v>
      </c>
      <c r="R4925">
        <v>-0.98309789999999997</v>
      </c>
      <c r="S4925">
        <v>-0.35968020000000001</v>
      </c>
      <c r="T4925">
        <v>-0.15751029999999999</v>
      </c>
      <c r="U4925">
        <v>-3.108368</v>
      </c>
      <c r="V4925">
        <v>-7.9128820000000002E-2</v>
      </c>
      <c r="W4925">
        <v>0.17043269999999999</v>
      </c>
      <c r="X4925">
        <v>0.98218700000000003</v>
      </c>
      <c r="Y4925">
        <v>0.1246925</v>
      </c>
      <c r="Z4925">
        <v>3.9676799999999998E-2</v>
      </c>
      <c r="AA4925">
        <v>0.9914018</v>
      </c>
      <c r="AB4925">
        <v>30</v>
      </c>
      <c r="AC4925">
        <v>-2.5618999999999801</v>
      </c>
      <c r="AD4925">
        <v>-1.1206032911419901</v>
      </c>
      <c r="AE4925">
        <v>-21.816929999999999</v>
      </c>
      <c r="AF4925">
        <v>2.7715981685685098</v>
      </c>
      <c r="AG4925">
        <v>-1.1206032911419901</v>
      </c>
      <c r="AH4925">
        <v>21.733804918507001</v>
      </c>
      <c r="AI4925">
        <v>92.927908709084804</v>
      </c>
      <c r="AJ4925">
        <v>82.732595833874299</v>
      </c>
      <c r="AK4925">
        <v>21.938454466526299</v>
      </c>
      <c r="AL4925">
        <v>80.187021799017003</v>
      </c>
      <c r="AM4925">
        <v>94.606023719757204</v>
      </c>
      <c r="AN4925">
        <v>0.99999998917644095</v>
      </c>
    </row>
    <row r="4926" spans="1:40" x14ac:dyDescent="0.25">
      <c r="A4926" t="str">
        <f>"20190303162400439"</f>
        <v>20190303162400439</v>
      </c>
      <c r="B4926" t="str">
        <f>"1551601440430284"</f>
        <v>1551601440430284</v>
      </c>
      <c r="C4926" t="s">
        <v>40</v>
      </c>
      <c r="D4926">
        <v>5.2180489999999997</v>
      </c>
      <c r="E4926">
        <v>0.58226669999999903</v>
      </c>
      <c r="F4926" t="s">
        <v>41</v>
      </c>
      <c r="G4926">
        <v>-424.8655</v>
      </c>
      <c r="H4926" s="1">
        <v>-1.366955E-6</v>
      </c>
      <c r="I4926">
        <v>39.757759999999998</v>
      </c>
      <c r="J4926">
        <v>-422.24270000000001</v>
      </c>
      <c r="K4926">
        <v>1.1205909999999999</v>
      </c>
      <c r="L4926">
        <v>61.134189999999997</v>
      </c>
      <c r="M4926">
        <v>9.9862030000000008E-3</v>
      </c>
      <c r="N4926">
        <v>-1.0570029999999999E-2</v>
      </c>
      <c r="O4926">
        <v>-0.99989439999999996</v>
      </c>
      <c r="P4926">
        <v>8.904318E-2</v>
      </c>
      <c r="Q4926">
        <v>0.16105630000000001</v>
      </c>
      <c r="R4926">
        <v>-0.98292040000000003</v>
      </c>
      <c r="S4926">
        <v>-0.37622070000000002</v>
      </c>
      <c r="T4926">
        <v>-0.1609226</v>
      </c>
      <c r="U4926">
        <v>-3.1118160000000001</v>
      </c>
      <c r="V4926">
        <v>-7.9230899999999896E-2</v>
      </c>
      <c r="W4926">
        <v>0.17144229999999899</v>
      </c>
      <c r="X4926">
        <v>0.98200299999999996</v>
      </c>
      <c r="Y4926">
        <v>0.12979350000000001</v>
      </c>
      <c r="Z4926">
        <v>4.067084E-2</v>
      </c>
      <c r="AA4926">
        <v>0.99070659999999999</v>
      </c>
      <c r="AB4926">
        <v>30</v>
      </c>
      <c r="AC4926">
        <v>-2.6227999999999798</v>
      </c>
      <c r="AD4926">
        <v>-1.120592366955</v>
      </c>
      <c r="AE4926">
        <v>-21.376429999999999</v>
      </c>
      <c r="AF4926">
        <v>2.8284929045318798</v>
      </c>
      <c r="AG4926">
        <v>-1.120592366955</v>
      </c>
      <c r="AH4926">
        <v>21.291528243700199</v>
      </c>
      <c r="AI4926">
        <v>92.986558834292197</v>
      </c>
      <c r="AJ4926">
        <v>82.432796652674199</v>
      </c>
      <c r="AK4926">
        <v>21.5077956638087</v>
      </c>
      <c r="AL4926">
        <v>80.128311434882406</v>
      </c>
      <c r="AM4926">
        <v>94.612800516391601</v>
      </c>
      <c r="AN4926">
        <v>0.99999994487654797</v>
      </c>
    </row>
    <row r="4927" spans="1:40" x14ac:dyDescent="0.25">
      <c r="A4927" t="str">
        <f>"20190303162400474"</f>
        <v>20190303162400474</v>
      </c>
      <c r="B4927" t="str">
        <f>"1551601440459565"</f>
        <v>1551601440459565</v>
      </c>
      <c r="C4927" t="s">
        <v>40</v>
      </c>
      <c r="D4927">
        <v>5.2381159999999998</v>
      </c>
      <c r="E4927">
        <v>0.58298019999999995</v>
      </c>
      <c r="F4927" t="s">
        <v>41</v>
      </c>
      <c r="G4927">
        <v>-424.89120000000003</v>
      </c>
      <c r="H4927" s="1">
        <v>-1.394548E-6</v>
      </c>
      <c r="I4927">
        <v>39.806179999999998</v>
      </c>
      <c r="J4927">
        <v>-422.23809999999997</v>
      </c>
      <c r="K4927">
        <v>1.120584</v>
      </c>
      <c r="L4927">
        <v>60.676729999999999</v>
      </c>
      <c r="M4927">
        <v>1.0031999999999999E-2</v>
      </c>
      <c r="N4927">
        <v>-1.0573910000000001E-2</v>
      </c>
      <c r="O4927">
        <v>-0.9998939</v>
      </c>
      <c r="P4927">
        <v>8.881754E-2</v>
      </c>
      <c r="Q4927">
        <v>0.160778</v>
      </c>
      <c r="R4927">
        <v>-0.98298649999999999</v>
      </c>
      <c r="S4927">
        <v>-0.38668819999999998</v>
      </c>
      <c r="T4927">
        <v>-0.1636097</v>
      </c>
      <c r="U4927">
        <v>-3.113953</v>
      </c>
      <c r="V4927">
        <v>-7.8956540000000006E-2</v>
      </c>
      <c r="W4927">
        <v>0.17116990000000001</v>
      </c>
      <c r="X4927">
        <v>0.98207270000000002</v>
      </c>
      <c r="Y4927">
        <v>0.1330326</v>
      </c>
      <c r="Z4927">
        <v>4.1463189999999997E-2</v>
      </c>
      <c r="AA4927">
        <v>0.99024400000000001</v>
      </c>
      <c r="AB4927">
        <v>30</v>
      </c>
      <c r="AC4927">
        <v>-2.65310000000005</v>
      </c>
      <c r="AD4927">
        <v>-1.120585394548</v>
      </c>
      <c r="AE4927">
        <v>-20.870550000000001</v>
      </c>
      <c r="AF4927">
        <v>2.8542539804509302</v>
      </c>
      <c r="AG4927">
        <v>-1.120585394548</v>
      </c>
      <c r="AH4927">
        <v>20.783918181376901</v>
      </c>
      <c r="AI4927">
        <v>93.057528346644901</v>
      </c>
      <c r="AJ4927">
        <v>82.180487324244993</v>
      </c>
      <c r="AK4927">
        <v>21.008896505565499</v>
      </c>
      <c r="AL4927">
        <v>80.144153815350705</v>
      </c>
      <c r="AM4927">
        <v>94.596571076858396</v>
      </c>
      <c r="AN4927">
        <v>1.0000000289800299</v>
      </c>
    </row>
    <row r="4928" spans="1:40" x14ac:dyDescent="0.25">
      <c r="A4928" t="str">
        <f>"20190303162400494"</f>
        <v>20190303162400494</v>
      </c>
      <c r="B4928" t="str">
        <f>"1551601440489821"</f>
        <v>1551601440489821</v>
      </c>
      <c r="C4928" t="s">
        <v>40</v>
      </c>
      <c r="D4928">
        <v>5.2652099999999997</v>
      </c>
      <c r="E4928">
        <v>0.58333239999999997</v>
      </c>
      <c r="F4928" t="s">
        <v>41</v>
      </c>
      <c r="G4928">
        <v>-424.81970000000001</v>
      </c>
      <c r="H4928" s="1">
        <v>-1.563195E-6</v>
      </c>
      <c r="I4928">
        <v>40.243659999999998</v>
      </c>
      <c r="J4928">
        <v>-422.23509999999999</v>
      </c>
      <c r="K4928">
        <v>1.120582</v>
      </c>
      <c r="L4928">
        <v>60.384700000000002</v>
      </c>
      <c r="M4928">
        <v>1.005608E-2</v>
      </c>
      <c r="N4928">
        <v>-1.057643E-2</v>
      </c>
      <c r="O4928">
        <v>-0.9998937</v>
      </c>
      <c r="P4928">
        <v>8.8838920000000002E-2</v>
      </c>
      <c r="Q4928">
        <v>0.1613414</v>
      </c>
      <c r="R4928">
        <v>-0.98289219999999999</v>
      </c>
      <c r="S4928">
        <v>-0.39361570000000001</v>
      </c>
      <c r="T4928">
        <v>-0.1708566</v>
      </c>
      <c r="U4928">
        <v>-3.1154480000000002</v>
      </c>
      <c r="V4928">
        <v>-7.8953330000000002E-2</v>
      </c>
      <c r="W4928">
        <v>0.17173550000000001</v>
      </c>
      <c r="X4928">
        <v>0.98197420000000002</v>
      </c>
      <c r="Y4928">
        <v>0.13515150000000001</v>
      </c>
      <c r="Z4928">
        <v>4.3718569999999998E-2</v>
      </c>
      <c r="AA4928">
        <v>0.98985990000000001</v>
      </c>
      <c r="AB4928">
        <v>30</v>
      </c>
      <c r="AC4928">
        <v>-2.58460000000002</v>
      </c>
      <c r="AD4928">
        <v>-1.1205835631950001</v>
      </c>
      <c r="AE4928">
        <v>-20.14104</v>
      </c>
      <c r="AF4928">
        <v>2.7785589279676701</v>
      </c>
      <c r="AG4928">
        <v>-1.1205835631950001</v>
      </c>
      <c r="AH4928">
        <v>20.052961634804301</v>
      </c>
      <c r="AI4928">
        <v>93.168223962694796</v>
      </c>
      <c r="AJ4928">
        <v>82.111267798765098</v>
      </c>
      <c r="AK4928">
        <v>20.275536184407699</v>
      </c>
      <c r="AL4928">
        <v>80.111260155600505</v>
      </c>
      <c r="AM4928">
        <v>94.596844081688801</v>
      </c>
      <c r="AN4928">
        <v>1.0000000198719801</v>
      </c>
    </row>
    <row r="4929" spans="1:40" x14ac:dyDescent="0.25">
      <c r="A4929" t="str">
        <f>"20190303162400517"</f>
        <v>20190303162400517</v>
      </c>
      <c r="B4929" t="str">
        <f>"1551601440510318"</f>
        <v>1551601440510318</v>
      </c>
      <c r="C4929" t="s">
        <v>40</v>
      </c>
      <c r="D4929">
        <v>5.2399060000000004</v>
      </c>
      <c r="E4929">
        <v>0.58352209999999904</v>
      </c>
      <c r="F4929" t="s">
        <v>41</v>
      </c>
      <c r="G4929">
        <v>-424.80070000000001</v>
      </c>
      <c r="H4929" s="1">
        <v>-1.557902E-6</v>
      </c>
      <c r="I4929">
        <v>40.243110000000001</v>
      </c>
      <c r="J4929">
        <v>-422.2321</v>
      </c>
      <c r="K4929">
        <v>1.1205889999999901</v>
      </c>
      <c r="L4929">
        <v>60.085479999999997</v>
      </c>
      <c r="M4929">
        <v>1.0077839999999999E-2</v>
      </c>
      <c r="N4929">
        <v>-1.057923E-2</v>
      </c>
      <c r="O4929">
        <v>-0.99989340000000004</v>
      </c>
      <c r="P4929">
        <v>8.8158459999999994E-2</v>
      </c>
      <c r="Q4929">
        <v>0.16282650000000001</v>
      </c>
      <c r="R4929">
        <v>-0.98270849999999998</v>
      </c>
      <c r="S4929">
        <v>-0.39697270000000001</v>
      </c>
      <c r="T4929">
        <v>-0.17339170000000001</v>
      </c>
      <c r="U4929">
        <v>-3.1165769999999999</v>
      </c>
      <c r="V4929">
        <v>-7.8251810000000005E-2</v>
      </c>
      <c r="W4929">
        <v>0.1732216</v>
      </c>
      <c r="X4929">
        <v>0.98176929999999996</v>
      </c>
      <c r="Y4929">
        <v>0.1361725</v>
      </c>
      <c r="Z4929">
        <v>4.4491849999999999E-2</v>
      </c>
      <c r="AA4929">
        <v>0.98968560000000005</v>
      </c>
      <c r="AB4929">
        <v>30</v>
      </c>
      <c r="AC4929">
        <v>-2.5686</v>
      </c>
      <c r="AD4929">
        <v>-1.1205905579019999</v>
      </c>
      <c r="AE4929">
        <v>-19.842369999999999</v>
      </c>
      <c r="AF4929">
        <v>2.7597919680635998</v>
      </c>
      <c r="AG4929">
        <v>-1.1205905579019999</v>
      </c>
      <c r="AH4929">
        <v>19.7535116567385</v>
      </c>
      <c r="AI4929">
        <v>93.215668144731794</v>
      </c>
      <c r="AJ4929">
        <v>82.046604530254896</v>
      </c>
      <c r="AK4929">
        <v>19.976821510899899</v>
      </c>
      <c r="AL4929">
        <v>80.024817331912004</v>
      </c>
      <c r="AM4929">
        <v>94.557119599795499</v>
      </c>
      <c r="AN4929">
        <v>1.00000001344866</v>
      </c>
    </row>
    <row r="4930" spans="1:40" x14ac:dyDescent="0.25">
      <c r="A4930" t="str">
        <f>"20190303162400539"</f>
        <v>20190303162400539</v>
      </c>
      <c r="B4930" t="str">
        <f>"1551601440529837"</f>
        <v>1551601440529837</v>
      </c>
      <c r="C4930" t="s">
        <v>40</v>
      </c>
      <c r="D4930">
        <v>5.279077</v>
      </c>
      <c r="E4930">
        <v>0.58366569999999995</v>
      </c>
      <c r="F4930" t="s">
        <v>41</v>
      </c>
      <c r="G4930">
        <v>-424.84840000000003</v>
      </c>
      <c r="H4930" s="1">
        <v>-1.362365E-6</v>
      </c>
      <c r="I4930">
        <v>39.757680000000001</v>
      </c>
      <c r="J4930">
        <v>-422.22910000000002</v>
      </c>
      <c r="K4930">
        <v>1.1205909999999999</v>
      </c>
      <c r="L4930">
        <v>59.790370000000003</v>
      </c>
      <c r="M4930">
        <v>1.009704E-2</v>
      </c>
      <c r="N4930">
        <v>-1.0582090000000001E-2</v>
      </c>
      <c r="O4930">
        <v>-0.99989320000000004</v>
      </c>
      <c r="P4930">
        <v>8.7758310000000006E-2</v>
      </c>
      <c r="Q4930">
        <v>0.1638732</v>
      </c>
      <c r="R4930">
        <v>-0.98257030000000001</v>
      </c>
      <c r="S4930">
        <v>-0.40121459999999998</v>
      </c>
      <c r="T4930">
        <v>-0.17184140000000001</v>
      </c>
      <c r="U4930">
        <v>-3.1172490000000002</v>
      </c>
      <c r="V4930">
        <v>-7.7833650000000004E-2</v>
      </c>
      <c r="W4930">
        <v>0.1742697</v>
      </c>
      <c r="X4930">
        <v>0.98161699999999996</v>
      </c>
      <c r="Y4930">
        <v>0.13749249999999999</v>
      </c>
      <c r="Z4930">
        <v>4.3976460000000002E-2</v>
      </c>
      <c r="AA4930">
        <v>0.98952609999999996</v>
      </c>
      <c r="AB4930">
        <v>30</v>
      </c>
      <c r="AC4930">
        <v>-2.6193</v>
      </c>
      <c r="AD4930">
        <v>-1.12059236236499</v>
      </c>
      <c r="AE4930">
        <v>-20.032689999999899</v>
      </c>
      <c r="AF4930">
        <v>2.8127951030276002</v>
      </c>
      <c r="AG4930">
        <v>-1.12059236236499</v>
      </c>
      <c r="AH4930">
        <v>19.9438630327917</v>
      </c>
      <c r="AI4930">
        <v>93.184465928053598</v>
      </c>
      <c r="AJ4930">
        <v>81.972201844382994</v>
      </c>
      <c r="AK4930">
        <v>20.172387469136201</v>
      </c>
      <c r="AL4930">
        <v>79.963837724140006</v>
      </c>
      <c r="AM4930">
        <v>94.533569491197397</v>
      </c>
      <c r="AN4930">
        <v>0.99999997004970498</v>
      </c>
    </row>
    <row r="4931" spans="1:40" x14ac:dyDescent="0.25">
      <c r="A4931" t="str">
        <f>"20190303162400563"</f>
        <v>20190303162400563</v>
      </c>
      <c r="B4931" t="str">
        <f>"1551601440550334"</f>
        <v>1551601440550334</v>
      </c>
      <c r="C4931" t="s">
        <v>40</v>
      </c>
      <c r="D4931">
        <v>5.3035750000000004</v>
      </c>
      <c r="E4931">
        <v>0.58380350000000003</v>
      </c>
      <c r="F4931" t="s">
        <v>56</v>
      </c>
      <c r="G4931">
        <v>-424.87009999999998</v>
      </c>
      <c r="H4931" s="1">
        <v>-1.3809730000000001E-6</v>
      </c>
      <c r="I4931">
        <v>39.418640000000003</v>
      </c>
      <c r="J4931">
        <v>-422.226</v>
      </c>
      <c r="K4931">
        <v>1.12059</v>
      </c>
      <c r="L4931">
        <v>59.482640000000004</v>
      </c>
      <c r="M4931">
        <v>1.011511E-2</v>
      </c>
      <c r="N4931">
        <v>-1.058503E-2</v>
      </c>
      <c r="O4931">
        <v>-0.99989300000000003</v>
      </c>
      <c r="P4931">
        <v>8.8174340000000004E-2</v>
      </c>
      <c r="Q4931">
        <v>0.1649446</v>
      </c>
      <c r="R4931">
        <v>-0.9823537</v>
      </c>
      <c r="S4931">
        <v>-0.40420529999999999</v>
      </c>
      <c r="T4931">
        <v>-0.1715081</v>
      </c>
      <c r="U4931">
        <v>-3.1179199999999998</v>
      </c>
      <c r="V4931">
        <v>-7.8233689999999995E-2</v>
      </c>
      <c r="W4931">
        <v>0.175342</v>
      </c>
      <c r="X4931">
        <v>0.98139419999999999</v>
      </c>
      <c r="Y4931">
        <v>0.1384175</v>
      </c>
      <c r="Z4931">
        <v>4.3849470000000002E-2</v>
      </c>
      <c r="AA4931">
        <v>0.98940280000000003</v>
      </c>
      <c r="AB4931">
        <v>30</v>
      </c>
      <c r="AC4931">
        <v>-2.6440999999999799</v>
      </c>
      <c r="AD4931">
        <v>-1.1205913809729999</v>
      </c>
      <c r="AE4931">
        <v>-20.064</v>
      </c>
      <c r="AF4931">
        <v>2.83822342609231</v>
      </c>
      <c r="AG4931">
        <v>-1.1205913809729999</v>
      </c>
      <c r="AH4931">
        <v>19.974981899561399</v>
      </c>
      <c r="AI4931">
        <v>93.179048497934502</v>
      </c>
      <c r="AJ4931">
        <v>81.913038389747797</v>
      </c>
      <c r="AK4931">
        <v>20.206710250491899</v>
      </c>
      <c r="AL4931">
        <v>79.901438502558506</v>
      </c>
      <c r="AM4931">
        <v>94.557802841363298</v>
      </c>
      <c r="AN4931">
        <v>0.99999995150432597</v>
      </c>
    </row>
    <row r="4932" spans="1:40" x14ac:dyDescent="0.25">
      <c r="A4932" t="str">
        <f>"20190303162400584"</f>
        <v>20190303162400584</v>
      </c>
      <c r="B4932" t="str">
        <f>"1551601440579613"</f>
        <v>1551601440579613</v>
      </c>
      <c r="C4932" t="s">
        <v>40</v>
      </c>
      <c r="D4932">
        <v>5.3186470000000003</v>
      </c>
      <c r="E4932">
        <v>0.58396099999999995</v>
      </c>
      <c r="F4932" t="s">
        <v>56</v>
      </c>
      <c r="G4932">
        <v>-424.86470000000003</v>
      </c>
      <c r="H4932" s="1">
        <v>-1.497704E-6</v>
      </c>
      <c r="I4932">
        <v>39.109259999999999</v>
      </c>
      <c r="J4932">
        <v>-422.22300000000001</v>
      </c>
      <c r="K4932">
        <v>1.1205909999999999</v>
      </c>
      <c r="L4932">
        <v>59.186860000000003</v>
      </c>
      <c r="M4932">
        <v>1.0131090000000001E-2</v>
      </c>
      <c r="N4932">
        <v>-1.0587799999999901E-2</v>
      </c>
      <c r="O4932">
        <v>-0.99989269999999997</v>
      </c>
      <c r="P4932">
        <v>8.9267890000000003E-2</v>
      </c>
      <c r="Q4932">
        <v>0.16571229999999901</v>
      </c>
      <c r="R4932">
        <v>-0.98212569999999999</v>
      </c>
      <c r="S4932">
        <v>-0.40396120000000002</v>
      </c>
      <c r="T4932">
        <v>-0.17155119999999999</v>
      </c>
      <c r="U4932">
        <v>-3.1189580000000001</v>
      </c>
      <c r="V4932">
        <v>-7.9312469999999996E-2</v>
      </c>
      <c r="W4932">
        <v>0.17611089999999999</v>
      </c>
      <c r="X4932">
        <v>0.98116990000000004</v>
      </c>
      <c r="Y4932">
        <v>0.1383152</v>
      </c>
      <c r="Z4932">
        <v>4.384308E-2</v>
      </c>
      <c r="AA4932">
        <v>0.9894174</v>
      </c>
      <c r="AB4932">
        <v>30</v>
      </c>
      <c r="AC4932">
        <v>-2.6417000000000099</v>
      </c>
      <c r="AD4932">
        <v>-1.1205924977039901</v>
      </c>
      <c r="AE4932">
        <v>-20.0776</v>
      </c>
      <c r="AF4932">
        <v>2.83629877232748</v>
      </c>
      <c r="AG4932">
        <v>-1.1205924977039901</v>
      </c>
      <c r="AH4932">
        <v>19.988597833799702</v>
      </c>
      <c r="AI4932">
        <v>93.176975774875999</v>
      </c>
      <c r="AJ4932">
        <v>81.923882222503394</v>
      </c>
      <c r="AK4932">
        <v>20.219900139051099</v>
      </c>
      <c r="AL4932">
        <v>79.856687335602899</v>
      </c>
      <c r="AM4932">
        <v>94.621432687521903</v>
      </c>
      <c r="AN4932">
        <v>0.99999994483115895</v>
      </c>
    </row>
    <row r="4933" spans="1:40" x14ac:dyDescent="0.25">
      <c r="A4933" t="str">
        <f>"20190303162400606"</f>
        <v>20190303162400606</v>
      </c>
      <c r="B4933" t="str">
        <f>"1551601440600109"</f>
        <v>1551601440600109</v>
      </c>
      <c r="C4933" t="s">
        <v>40</v>
      </c>
      <c r="D4933">
        <v>5.3418400000000004</v>
      </c>
      <c r="E4933">
        <v>0.58401110000000001</v>
      </c>
      <c r="F4933" t="s">
        <v>56</v>
      </c>
      <c r="G4933">
        <v>-424.8091</v>
      </c>
      <c r="H4933" s="1">
        <v>-1.4736E-6</v>
      </c>
      <c r="I4933">
        <v>39.133620000000001</v>
      </c>
      <c r="J4933">
        <v>-422.2199</v>
      </c>
      <c r="K4933">
        <v>1.1205830000000001</v>
      </c>
      <c r="L4933">
        <v>58.888979999999997</v>
      </c>
      <c r="M4933">
        <v>1.0145899999999999E-2</v>
      </c>
      <c r="N4933">
        <v>-1.0590550000000001E-2</v>
      </c>
      <c r="O4933">
        <v>-0.99989249999999996</v>
      </c>
      <c r="P4933">
        <v>9.1178129999999996E-2</v>
      </c>
      <c r="Q4933">
        <v>0.16592479999999901</v>
      </c>
      <c r="R4933">
        <v>-0.98191439999999997</v>
      </c>
      <c r="S4933">
        <v>-0.4024353</v>
      </c>
      <c r="T4933">
        <v>-0.17438219999999999</v>
      </c>
      <c r="U4933">
        <v>-3.1206049999999999</v>
      </c>
      <c r="V4933">
        <v>-8.1209149999999994E-2</v>
      </c>
      <c r="W4933">
        <v>0.1763245</v>
      </c>
      <c r="X4933">
        <v>0.98097639999999997</v>
      </c>
      <c r="Y4933">
        <v>0.13778209999999999</v>
      </c>
      <c r="Z4933">
        <v>4.471108E-2</v>
      </c>
      <c r="AA4933">
        <v>0.98945289999999997</v>
      </c>
      <c r="AB4933">
        <v>30</v>
      </c>
      <c r="AC4933">
        <v>-2.5891999999999999</v>
      </c>
      <c r="AD4933">
        <v>-1.1205844735999999</v>
      </c>
      <c r="AE4933">
        <v>-19.75536</v>
      </c>
      <c r="AF4933">
        <v>2.78071796999048</v>
      </c>
      <c r="AG4933">
        <v>-1.1205844735999999</v>
      </c>
      <c r="AH4933">
        <v>19.665865346478402</v>
      </c>
      <c r="AI4933">
        <v>93.229202629264194</v>
      </c>
      <c r="AJ4933">
        <v>81.951833744078201</v>
      </c>
      <c r="AK4933">
        <v>19.8930732119731</v>
      </c>
      <c r="AL4933">
        <v>79.844254719523306</v>
      </c>
      <c r="AM4933">
        <v>94.7323828393166</v>
      </c>
      <c r="AN4933">
        <v>0.999999976350465</v>
      </c>
    </row>
    <row r="4934" spans="1:40" x14ac:dyDescent="0.25">
      <c r="A4934" t="str">
        <f>"20190303162400628"</f>
        <v>20190303162400628</v>
      </c>
      <c r="B4934" t="str">
        <f>"1551601440619629"</f>
        <v>1551601440619629</v>
      </c>
      <c r="C4934" t="s">
        <v>40</v>
      </c>
      <c r="D4934">
        <v>5.3511379999999997</v>
      </c>
      <c r="E4934">
        <v>0.58402279999999995</v>
      </c>
      <c r="F4934" t="s">
        <v>56</v>
      </c>
      <c r="G4934">
        <v>-424.721</v>
      </c>
      <c r="H4934" s="1">
        <v>-1.433441E-6</v>
      </c>
      <c r="I4934">
        <v>39.17745</v>
      </c>
      <c r="J4934">
        <v>-422.21679999999998</v>
      </c>
      <c r="K4934">
        <v>1.1205769999999999</v>
      </c>
      <c r="L4934">
        <v>58.592289999999998</v>
      </c>
      <c r="M4934">
        <v>1.015987E-2</v>
      </c>
      <c r="N4934">
        <v>-1.059327E-2</v>
      </c>
      <c r="O4934">
        <v>-0.99989220000000001</v>
      </c>
      <c r="P4934">
        <v>9.358321E-2</v>
      </c>
      <c r="Q4934">
        <v>0.16543329999999901</v>
      </c>
      <c r="R4934">
        <v>-0.98177110000000001</v>
      </c>
      <c r="S4934">
        <v>-0.39614870000000002</v>
      </c>
      <c r="T4934">
        <v>-0.17748549999999999</v>
      </c>
      <c r="U4934">
        <v>-3.1220400000000001</v>
      </c>
      <c r="V4934">
        <v>-8.3601960000000003E-2</v>
      </c>
      <c r="W4934">
        <v>0.1758344</v>
      </c>
      <c r="X4934">
        <v>0.98086340000000005</v>
      </c>
      <c r="Y4934">
        <v>0.13577210000000001</v>
      </c>
      <c r="Z4934">
        <v>4.5679289999999997E-2</v>
      </c>
      <c r="AA4934">
        <v>0.98968650000000002</v>
      </c>
      <c r="AB4934">
        <v>30</v>
      </c>
      <c r="AC4934">
        <v>-2.50420000000002</v>
      </c>
      <c r="AD4934">
        <v>-1.1205784334409901</v>
      </c>
      <c r="AE4934">
        <v>-19.414840000000002</v>
      </c>
      <c r="AF4934">
        <v>2.6925112267612499</v>
      </c>
      <c r="AG4934">
        <v>-1.1205784334409901</v>
      </c>
      <c r="AH4934">
        <v>19.325069506275199</v>
      </c>
      <c r="AI4934">
        <v>93.286942692743494</v>
      </c>
      <c r="AJ4934">
        <v>82.068190769066604</v>
      </c>
      <c r="AK4934">
        <v>19.5438896884447</v>
      </c>
      <c r="AL4934">
        <v>79.872781492028807</v>
      </c>
      <c r="AM4934">
        <v>94.871718543324903</v>
      </c>
      <c r="AN4934">
        <v>1.0000000166993801</v>
      </c>
    </row>
    <row r="4935" spans="1:40" x14ac:dyDescent="0.25">
      <c r="A4935" t="str">
        <f>"20190303162400651"</f>
        <v>20190303162400651</v>
      </c>
      <c r="B4935" t="str">
        <f>"1551601440640125"</f>
        <v>1551601440640125</v>
      </c>
      <c r="C4935" t="s">
        <v>40</v>
      </c>
      <c r="D4935">
        <v>5.3693419999999996</v>
      </c>
      <c r="E4935">
        <v>0.58491879999999996</v>
      </c>
      <c r="F4935" t="s">
        <v>56</v>
      </c>
      <c r="G4935">
        <v>-424.63060000000002</v>
      </c>
      <c r="H4935" s="1">
        <v>-1.396887E-6</v>
      </c>
      <c r="I4935">
        <v>39.210120000000003</v>
      </c>
      <c r="J4935">
        <v>-422.21370000000002</v>
      </c>
      <c r="K4935">
        <v>1.1205750000000001</v>
      </c>
      <c r="L4935">
        <v>58.28763</v>
      </c>
      <c r="M4935">
        <v>1.0173339999999999E-2</v>
      </c>
      <c r="N4935">
        <v>-1.059598E-2</v>
      </c>
      <c r="O4935">
        <v>-0.99989220000000001</v>
      </c>
      <c r="P4935">
        <v>9.6308229999999995E-2</v>
      </c>
      <c r="Q4935">
        <v>0.1644861</v>
      </c>
      <c r="R4935">
        <v>-0.9816667</v>
      </c>
      <c r="S4935">
        <v>-0.38894649999999997</v>
      </c>
      <c r="T4935">
        <v>-0.18056749999999999</v>
      </c>
      <c r="U4935">
        <v>-3.1231990000000001</v>
      </c>
      <c r="V4935">
        <v>-8.6314139999999998E-2</v>
      </c>
      <c r="W4935">
        <v>0.17488989999999999</v>
      </c>
      <c r="X4935">
        <v>0.98079740000000004</v>
      </c>
      <c r="Y4935">
        <v>0.1334871</v>
      </c>
      <c r="Z4935">
        <v>4.6647139999999997E-2</v>
      </c>
      <c r="AA4935">
        <v>0.9899521</v>
      </c>
      <c r="AB4935">
        <v>30</v>
      </c>
      <c r="AC4935">
        <v>-2.4168999999999898</v>
      </c>
      <c r="AD4935">
        <v>-1.1205763968869999</v>
      </c>
      <c r="AE4935">
        <v>-19.07751</v>
      </c>
      <c r="AF4935">
        <v>2.6020321633317001</v>
      </c>
      <c r="AG4935">
        <v>-1.1205763968869999</v>
      </c>
      <c r="AH4935">
        <v>18.987458312024899</v>
      </c>
      <c r="AI4935">
        <v>93.346284915028505</v>
      </c>
      <c r="AJ4935">
        <v>82.1968191283663</v>
      </c>
      <c r="AK4935">
        <v>19.197651835345798</v>
      </c>
      <c r="AL4935">
        <v>79.927749717805995</v>
      </c>
      <c r="AM4935">
        <v>95.029303647639296</v>
      </c>
      <c r="AN4935">
        <v>1.0000000738663499</v>
      </c>
    </row>
    <row r="4936" spans="1:40" x14ac:dyDescent="0.25">
      <c r="A4936" t="str">
        <f>"20190303162400676"</f>
        <v>20190303162400676</v>
      </c>
      <c r="B4936" t="str">
        <f>"1551601440669406"</f>
        <v>1551601440669406</v>
      </c>
      <c r="C4936" t="s">
        <v>40</v>
      </c>
      <c r="D4936">
        <v>5.321021</v>
      </c>
      <c r="E4936">
        <v>0.5838314</v>
      </c>
      <c r="F4936" t="s">
        <v>41</v>
      </c>
      <c r="G4936">
        <v>-424.11579999999998</v>
      </c>
      <c r="H4936" s="1">
        <v>-2.5158379999999999E-6</v>
      </c>
      <c r="I4936">
        <v>42.900829999999999</v>
      </c>
      <c r="J4936">
        <v>-422.21039999999999</v>
      </c>
      <c r="K4936">
        <v>1.1205750000000001</v>
      </c>
      <c r="L4936">
        <v>57.96228</v>
      </c>
      <c r="M4936">
        <v>1.018695E-2</v>
      </c>
      <c r="N4936">
        <v>-1.059884E-2</v>
      </c>
      <c r="O4936">
        <v>-0.999892</v>
      </c>
      <c r="P4936">
        <v>9.9154259999999994E-2</v>
      </c>
      <c r="Q4936">
        <v>0.1639997</v>
      </c>
      <c r="R4936">
        <v>-0.98146469999999997</v>
      </c>
      <c r="S4936">
        <v>-0.38720700000000002</v>
      </c>
      <c r="T4936">
        <v>-0.2281117</v>
      </c>
      <c r="U4936">
        <v>-3.1322329999999998</v>
      </c>
      <c r="V4936">
        <v>-8.9148249999999998E-2</v>
      </c>
      <c r="W4936">
        <v>0.174404</v>
      </c>
      <c r="X4936">
        <v>0.98063029999999995</v>
      </c>
      <c r="Y4936">
        <v>0.13250039999999999</v>
      </c>
      <c r="Z4936">
        <v>6.1454559999999998E-2</v>
      </c>
      <c r="AA4936">
        <v>0.98927600000000004</v>
      </c>
      <c r="AB4936">
        <v>30</v>
      </c>
      <c r="AC4936">
        <v>-1.90539999999998</v>
      </c>
      <c r="AD4936">
        <v>-1.120577515838</v>
      </c>
      <c r="AE4936">
        <v>-15.061450000000001</v>
      </c>
      <c r="AF4936">
        <v>2.0475842779852398</v>
      </c>
      <c r="AG4936">
        <v>-1.120577515838</v>
      </c>
      <c r="AH4936">
        <v>14.9597530647528</v>
      </c>
      <c r="AI4936">
        <v>94.244379819833298</v>
      </c>
      <c r="AJ4936">
        <v>82.206191860180496</v>
      </c>
      <c r="AK4936">
        <v>15.140756490441101</v>
      </c>
      <c r="AL4936">
        <v>79.956023285286705</v>
      </c>
      <c r="AM4936">
        <v>95.194431278358806</v>
      </c>
      <c r="AN4936">
        <v>0.999999975486075</v>
      </c>
    </row>
    <row r="4937" spans="1:40" x14ac:dyDescent="0.25">
      <c r="A4937" t="str">
        <f>"20190303162400697"</f>
        <v>20190303162400697</v>
      </c>
      <c r="B4937" t="str">
        <f>"1551601440689431"</f>
        <v>1551601440689431</v>
      </c>
      <c r="C4937" t="s">
        <v>40</v>
      </c>
      <c r="D4937">
        <v>5.3470769999999996</v>
      </c>
      <c r="E4937">
        <v>0.58445879999999995</v>
      </c>
      <c r="F4937" t="s">
        <v>41</v>
      </c>
      <c r="G4937">
        <v>-424.24520000000001</v>
      </c>
      <c r="H4937" s="1">
        <v>-1.6148439999999999E-6</v>
      </c>
      <c r="I4937">
        <v>40.720350000000003</v>
      </c>
      <c r="J4937">
        <v>-422.20740000000001</v>
      </c>
      <c r="K4937">
        <v>1.120573</v>
      </c>
      <c r="L4937">
        <v>57.673029999999997</v>
      </c>
      <c r="M4937">
        <v>1.019842E-2</v>
      </c>
      <c r="N4937">
        <v>-1.060144E-2</v>
      </c>
      <c r="O4937">
        <v>-0.999892</v>
      </c>
      <c r="P4937">
        <v>0.1028723</v>
      </c>
      <c r="Q4937">
        <v>0.16354089999999999</v>
      </c>
      <c r="R4937">
        <v>-0.98115850000000004</v>
      </c>
      <c r="S4937">
        <v>-0.36914059999999999</v>
      </c>
      <c r="T4937">
        <v>-0.20328840000000001</v>
      </c>
      <c r="U4937">
        <v>-3.1279300000000001</v>
      </c>
      <c r="V4937">
        <v>-9.2857700000000001E-2</v>
      </c>
      <c r="W4937">
        <v>0.17394519999999999</v>
      </c>
      <c r="X4937">
        <v>0.98036749999999995</v>
      </c>
      <c r="Y4937">
        <v>0.12710350000000001</v>
      </c>
      <c r="Z4937">
        <v>5.3774889999999999E-2</v>
      </c>
      <c r="AA4937">
        <v>0.9904307</v>
      </c>
      <c r="AB4937">
        <v>30</v>
      </c>
      <c r="AC4937">
        <v>-2.0377999999999998</v>
      </c>
      <c r="AD4937">
        <v>-1.1205746148439999</v>
      </c>
      <c r="AE4937">
        <v>-16.952679999999901</v>
      </c>
      <c r="AF4937">
        <v>2.2011140537254299</v>
      </c>
      <c r="AG4937">
        <v>-1.1205746148439999</v>
      </c>
      <c r="AH4937">
        <v>16.8584056796449</v>
      </c>
      <c r="AI4937">
        <v>93.770931664906499</v>
      </c>
      <c r="AJ4937">
        <v>82.561268365364299</v>
      </c>
      <c r="AK4937">
        <v>17.038381161496101</v>
      </c>
      <c r="AL4937">
        <v>79.982718477804696</v>
      </c>
      <c r="AM4937">
        <v>95.410755803482601</v>
      </c>
      <c r="AN4937">
        <v>0.99999996005428904</v>
      </c>
    </row>
    <row r="4938" spans="1:40" x14ac:dyDescent="0.25">
      <c r="A4938" t="str">
        <f>"20190303162400717"</f>
        <v>20190303162400717</v>
      </c>
      <c r="B4938" t="str">
        <f>"1551601440709928"</f>
        <v>1551601440709928</v>
      </c>
      <c r="C4938" t="s">
        <v>40</v>
      </c>
      <c r="D4938">
        <v>5.3793530000000001</v>
      </c>
      <c r="E4938">
        <v>0.58518910000000002</v>
      </c>
      <c r="F4938" t="s">
        <v>41</v>
      </c>
      <c r="G4938">
        <v>-424.11869999999999</v>
      </c>
      <c r="H4938" s="1">
        <v>-1.7715380000000001E-6</v>
      </c>
      <c r="I4938">
        <v>41.164070000000002</v>
      </c>
      <c r="J4938">
        <v>-422.20440000000002</v>
      </c>
      <c r="K4938">
        <v>1.1205670000000001</v>
      </c>
      <c r="L4938">
        <v>57.38785</v>
      </c>
      <c r="M4938">
        <v>1.021027E-2</v>
      </c>
      <c r="N4938">
        <v>-1.060404E-2</v>
      </c>
      <c r="O4938">
        <v>-0.9998918</v>
      </c>
      <c r="P4938">
        <v>0.10879270000000001</v>
      </c>
      <c r="Q4938">
        <v>0.1627065</v>
      </c>
      <c r="R4938">
        <v>-0.98065840000000004</v>
      </c>
      <c r="S4938">
        <v>-0.36248780000000003</v>
      </c>
      <c r="T4938">
        <v>-0.21252489999999999</v>
      </c>
      <c r="U4938">
        <v>-3.1310419999999999</v>
      </c>
      <c r="V4938">
        <v>-9.8771719999999993E-2</v>
      </c>
      <c r="W4938">
        <v>0.17310889999999901</v>
      </c>
      <c r="X4938">
        <v>0.97993750000000002</v>
      </c>
      <c r="Y4938">
        <v>0.1249049</v>
      </c>
      <c r="Z4938">
        <v>5.6637119999999999E-2</v>
      </c>
      <c r="AA4938">
        <v>0.99055090000000001</v>
      </c>
      <c r="AB4938">
        <v>30</v>
      </c>
      <c r="AC4938">
        <v>-1.9142999999999599</v>
      </c>
      <c r="AD4938">
        <v>-1.1205687715379999</v>
      </c>
      <c r="AE4938">
        <v>-16.223779999999898</v>
      </c>
      <c r="AF4938">
        <v>2.0701185666273498</v>
      </c>
      <c r="AG4938">
        <v>-1.1205687715379999</v>
      </c>
      <c r="AH4938">
        <v>16.127506193040698</v>
      </c>
      <c r="AI4938">
        <v>93.942386381419794</v>
      </c>
      <c r="AJ4938">
        <v>82.685539037515596</v>
      </c>
      <c r="AK4938">
        <v>16.2983901431462</v>
      </c>
      <c r="AL4938">
        <v>80.031373718773395</v>
      </c>
      <c r="AM4938">
        <v>95.755626202445995</v>
      </c>
      <c r="AN4938">
        <v>1.0000000239186</v>
      </c>
    </row>
    <row r="4939" spans="1:40" x14ac:dyDescent="0.25">
      <c r="A4939" t="str">
        <f>"20190303162400740"</f>
        <v>20190303162400740</v>
      </c>
      <c r="B4939" t="str">
        <f>"1551601440729448"</f>
        <v>1551601440729448</v>
      </c>
      <c r="C4939" t="s">
        <v>40</v>
      </c>
      <c r="D4939">
        <v>5.8295469999999998</v>
      </c>
      <c r="E4939">
        <v>0.58482469999999998</v>
      </c>
      <c r="F4939" t="s">
        <v>41</v>
      </c>
      <c r="G4939">
        <v>-424.02870000000001</v>
      </c>
      <c r="H4939" s="1">
        <v>-1.6779789999999999E-6</v>
      </c>
      <c r="I4939">
        <v>41.001820000000002</v>
      </c>
      <c r="J4939">
        <v>-422.2013</v>
      </c>
      <c r="K4939">
        <v>1.1205579999999999</v>
      </c>
      <c r="L4939">
        <v>57.087890000000002</v>
      </c>
      <c r="M4939">
        <v>1.022292E-2</v>
      </c>
      <c r="N4939">
        <v>-1.060677E-2</v>
      </c>
      <c r="O4939">
        <v>-0.99989150000000004</v>
      </c>
      <c r="P4939">
        <v>0.1207246</v>
      </c>
      <c r="Q4939">
        <v>0.1630878</v>
      </c>
      <c r="R4939">
        <v>-0.97919769999999995</v>
      </c>
      <c r="S4939">
        <v>-0.3488464</v>
      </c>
      <c r="T4939">
        <v>-0.2142811</v>
      </c>
      <c r="U4939">
        <v>-3.1334230000000001</v>
      </c>
      <c r="V4939">
        <v>-0.110705399999999</v>
      </c>
      <c r="W4939">
        <v>0.17347889999999999</v>
      </c>
      <c r="X4939">
        <v>0.97859560000000001</v>
      </c>
      <c r="Y4939">
        <v>0.120570899999999</v>
      </c>
      <c r="Z4939">
        <v>5.7171720000000002E-2</v>
      </c>
      <c r="AA4939">
        <v>0.99105699999999997</v>
      </c>
      <c r="AB4939">
        <v>30</v>
      </c>
      <c r="AC4939">
        <v>-1.8274000000000099</v>
      </c>
      <c r="AD4939">
        <v>-1.1205596779789999</v>
      </c>
      <c r="AE4939">
        <v>-16.086069999999999</v>
      </c>
      <c r="AF4939">
        <v>1.98226387267382</v>
      </c>
      <c r="AG4939">
        <v>-1.1205596779789999</v>
      </c>
      <c r="AH4939">
        <v>15.989943484923501</v>
      </c>
      <c r="AI4939">
        <v>93.978323942430507</v>
      </c>
      <c r="AJ4939">
        <v>82.933130980684993</v>
      </c>
      <c r="AK4939">
        <v>16.151263625607399</v>
      </c>
      <c r="AL4939">
        <v>80.009848179428403</v>
      </c>
      <c r="AM4939">
        <v>96.454249059781901</v>
      </c>
      <c r="AN4939">
        <v>0.99999998133686396</v>
      </c>
    </row>
    <row r="4940" spans="1:40" x14ac:dyDescent="0.25">
      <c r="A4940" t="str">
        <f>"20190303162400763"</f>
        <v>20190303162400763</v>
      </c>
      <c r="B4940" t="str">
        <f>"1551601440749945"</f>
        <v>1551601440749945</v>
      </c>
      <c r="C4940" t="s">
        <v>40</v>
      </c>
      <c r="D4940">
        <v>5.0499000000000001</v>
      </c>
      <c r="E4940">
        <v>0.52447840000000001</v>
      </c>
      <c r="F4940" t="s">
        <v>41</v>
      </c>
      <c r="G4940">
        <v>-423.83</v>
      </c>
      <c r="H4940" s="1">
        <v>-1.4283989999999999E-6</v>
      </c>
      <c r="I4940">
        <v>40.543239999999997</v>
      </c>
      <c r="J4940">
        <v>-422.19810000000001</v>
      </c>
      <c r="K4940">
        <v>1.120555</v>
      </c>
      <c r="L4940">
        <v>56.7774</v>
      </c>
      <c r="M4940">
        <v>1.0236250000000001E-2</v>
      </c>
      <c r="N4940">
        <v>-1.0609530000000001E-2</v>
      </c>
      <c r="O4940">
        <v>-0.99989150000000004</v>
      </c>
      <c r="P4940">
        <v>0.13513829999999999</v>
      </c>
      <c r="Q4940">
        <v>0.16310259999999999</v>
      </c>
      <c r="R4940">
        <v>-0.97731049999999997</v>
      </c>
      <c r="S4940">
        <v>-0.3088379</v>
      </c>
      <c r="T4940">
        <v>-0.21248110000000001</v>
      </c>
      <c r="U4940">
        <v>-3.1372070000000001</v>
      </c>
      <c r="V4940">
        <v>-0.12512429999999999</v>
      </c>
      <c r="W4940">
        <v>0.17347799999999999</v>
      </c>
      <c r="X4940">
        <v>0.97685679999999997</v>
      </c>
      <c r="Y4940">
        <v>0.10795059999999999</v>
      </c>
      <c r="Z4940">
        <v>5.6615649999999997E-2</v>
      </c>
      <c r="AA4940">
        <v>0.99254290000000001</v>
      </c>
      <c r="AB4940">
        <v>30</v>
      </c>
      <c r="AC4940">
        <v>-1.6318999999999699</v>
      </c>
      <c r="AD4940">
        <v>-1.1205564283989999</v>
      </c>
      <c r="AE4940">
        <v>-16.2341599999999</v>
      </c>
      <c r="AF4940">
        <v>1.7895598586188</v>
      </c>
      <c r="AG4940">
        <v>-1.1205564283989999</v>
      </c>
      <c r="AH4940">
        <v>16.140473573564101</v>
      </c>
      <c r="AI4940">
        <v>93.947290649322795</v>
      </c>
      <c r="AJ4940">
        <v>83.673224915286099</v>
      </c>
      <c r="AK4940">
        <v>16.277993069654801</v>
      </c>
      <c r="AL4940">
        <v>80.009900297143801</v>
      </c>
      <c r="AM4940">
        <v>97.299195449313203</v>
      </c>
      <c r="AN4940">
        <v>0.99999995732036395</v>
      </c>
    </row>
    <row r="4941" spans="1:40" x14ac:dyDescent="0.25">
      <c r="A4941" t="str">
        <f>"20190303162400785"</f>
        <v>20190303162400785</v>
      </c>
      <c r="B4941" t="str">
        <f>"1551601440780200"</f>
        <v>1551601440780200</v>
      </c>
      <c r="C4941" t="s">
        <v>40</v>
      </c>
      <c r="D4941">
        <v>5.5696890000000003</v>
      </c>
      <c r="E4941">
        <v>0.4490652</v>
      </c>
      <c r="F4941" t="s">
        <v>56</v>
      </c>
      <c r="G4941">
        <v>-420.1798</v>
      </c>
      <c r="H4941" s="1">
        <v>-6.35714799999999E-6</v>
      </c>
      <c r="I4941">
        <v>28.09403</v>
      </c>
      <c r="J4941">
        <v>-422.19490000000002</v>
      </c>
      <c r="K4941">
        <v>1.1205510000000001</v>
      </c>
      <c r="L4941">
        <v>56.469760000000001</v>
      </c>
      <c r="M4941">
        <v>1.0249579999999999E-2</v>
      </c>
      <c r="N4941">
        <v>-1.0612190000000001E-2</v>
      </c>
      <c r="O4941">
        <v>-0.99989130000000004</v>
      </c>
      <c r="P4941">
        <v>0.1488371</v>
      </c>
      <c r="Q4941">
        <v>0.16149430000000001</v>
      </c>
      <c r="R4941">
        <v>-0.97558579999999995</v>
      </c>
      <c r="S4941">
        <v>0.21530150000000001</v>
      </c>
      <c r="T4941">
        <v>-0.1195365</v>
      </c>
      <c r="U4941">
        <v>-3.0598139999999998</v>
      </c>
      <c r="V4941">
        <v>-0.1388267</v>
      </c>
      <c r="W4941">
        <v>0.1718557</v>
      </c>
      <c r="X4941">
        <v>0.97529109999999997</v>
      </c>
      <c r="Y4941">
        <v>-5.9918180000000001E-2</v>
      </c>
      <c r="Z4941">
        <v>2.8348109999999999E-2</v>
      </c>
      <c r="AA4941">
        <v>0.99780069999999998</v>
      </c>
      <c r="AB4941">
        <v>30</v>
      </c>
      <c r="AC4941">
        <v>2.0151000000000101</v>
      </c>
      <c r="AD4941">
        <v>-1.1205573571480001</v>
      </c>
      <c r="AE4941">
        <v>-28.375729999999901</v>
      </c>
      <c r="AF4941">
        <v>-1.72146739854353</v>
      </c>
      <c r="AG4941">
        <v>-1.1205573571480001</v>
      </c>
      <c r="AH4941">
        <v>28.350904153344199</v>
      </c>
      <c r="AI4941">
        <v>92.259256340490197</v>
      </c>
      <c r="AJ4941">
        <v>93.4747345728656</v>
      </c>
      <c r="AK4941">
        <v>28.425215304497101</v>
      </c>
      <c r="AL4941">
        <v>80.104268888244306</v>
      </c>
      <c r="AM4941">
        <v>98.101279534459195</v>
      </c>
      <c r="AN4941">
        <v>0.99999998199729401</v>
      </c>
    </row>
    <row r="4942" spans="1:40" x14ac:dyDescent="0.25">
      <c r="A4942" t="str">
        <f>"20190303162400808"</f>
        <v>20190303162400808</v>
      </c>
      <c r="B4942" t="str">
        <f>"1551601440800225"</f>
        <v>1551601440800225</v>
      </c>
      <c r="C4942" t="s">
        <v>40</v>
      </c>
      <c r="D4942">
        <v>5.7198919999999998</v>
      </c>
      <c r="E4942">
        <v>0.42996610000000002</v>
      </c>
      <c r="F4942" t="s">
        <v>56</v>
      </c>
      <c r="G4942">
        <v>-412.2808</v>
      </c>
      <c r="H4942" s="1">
        <v>-9.2032970000000006E-6</v>
      </c>
      <c r="I4942">
        <v>22.117540000000002</v>
      </c>
      <c r="J4942">
        <v>-422.1918</v>
      </c>
      <c r="K4942">
        <v>1.120536</v>
      </c>
      <c r="L4942">
        <v>56.172359999999998</v>
      </c>
      <c r="M4942">
        <v>1.026232E-2</v>
      </c>
      <c r="N4942">
        <v>-1.0614719999999999E-2</v>
      </c>
      <c r="O4942">
        <v>-0.99989130000000004</v>
      </c>
      <c r="P4942">
        <v>0.15974179999999999</v>
      </c>
      <c r="Q4942">
        <v>0.1599554</v>
      </c>
      <c r="R4942">
        <v>-0.97411349999999997</v>
      </c>
      <c r="S4942">
        <v>0.85446169999999999</v>
      </c>
      <c r="T4942">
        <v>-9.6577049999999998E-2</v>
      </c>
      <c r="U4942">
        <v>-2.960693</v>
      </c>
      <c r="V4942">
        <v>-0.14973399999999901</v>
      </c>
      <c r="W4942">
        <v>0.17030529999999999</v>
      </c>
      <c r="X4942">
        <v>0.97394860000000005</v>
      </c>
      <c r="Y4942">
        <v>-0.26729199999999997</v>
      </c>
      <c r="Z4942">
        <v>2.0771660000000001E-2</v>
      </c>
      <c r="AA4942">
        <v>0.96339169999999996</v>
      </c>
      <c r="AB4942">
        <v>30</v>
      </c>
      <c r="AC4942">
        <v>9.9109999999999996</v>
      </c>
      <c r="AD4942">
        <v>-1.120545203297</v>
      </c>
      <c r="AE4942">
        <v>-34.054819999999999</v>
      </c>
      <c r="AF4942">
        <v>-9.5514432946059795</v>
      </c>
      <c r="AG4942">
        <v>-1.120545203297</v>
      </c>
      <c r="AH4942">
        <v>34.1206847672455</v>
      </c>
      <c r="AI4942">
        <v>91.811370847201502</v>
      </c>
      <c r="AJ4942">
        <v>105.63858956393599</v>
      </c>
      <c r="AK4942">
        <v>35.450060924467302</v>
      </c>
      <c r="AL4942">
        <v>80.194429892893396</v>
      </c>
      <c r="AM4942">
        <v>98.740171332881701</v>
      </c>
      <c r="AN4942">
        <v>1.00000002070302</v>
      </c>
    </row>
    <row r="4943" spans="1:40" x14ac:dyDescent="0.25">
      <c r="A4943" t="str">
        <f>"20190303162400830"</f>
        <v>20190303162400830</v>
      </c>
      <c r="B4943" t="str">
        <f>"1551601440819746"</f>
        <v>1551601440819746</v>
      </c>
      <c r="C4943" t="s">
        <v>40</v>
      </c>
      <c r="D4943">
        <v>5.6133620000000004</v>
      </c>
      <c r="E4943">
        <v>0.42303469999999999</v>
      </c>
      <c r="F4943" t="s">
        <v>56</v>
      </c>
      <c r="G4943">
        <v>-415.64850000000001</v>
      </c>
      <c r="H4943" s="1">
        <v>-2.4024180000000001E-6</v>
      </c>
      <c r="I4943">
        <v>37.638109999999998</v>
      </c>
      <c r="J4943">
        <v>-422.18860000000001</v>
      </c>
      <c r="K4943">
        <v>1.1205339999999999</v>
      </c>
      <c r="L4943">
        <v>55.872990000000001</v>
      </c>
      <c r="M4943">
        <v>1.027482E-2</v>
      </c>
      <c r="N4943">
        <v>-1.061729E-2</v>
      </c>
      <c r="O4943">
        <v>-0.99989099999999997</v>
      </c>
      <c r="P4943">
        <v>0.1685478</v>
      </c>
      <c r="Q4943">
        <v>0.15876270000000001</v>
      </c>
      <c r="R4943">
        <v>-0.97282420000000003</v>
      </c>
      <c r="S4943">
        <v>1.037506</v>
      </c>
      <c r="T4943">
        <v>-0.1776721</v>
      </c>
      <c r="U4943">
        <v>-2.9387819999999998</v>
      </c>
      <c r="V4943">
        <v>-0.1585405</v>
      </c>
      <c r="W4943">
        <v>0.16910240000000001</v>
      </c>
      <c r="X4943">
        <v>0.97276379999999996</v>
      </c>
      <c r="Y4943">
        <v>-0.32272459999999997</v>
      </c>
      <c r="Z4943">
        <v>4.6426950000000002E-2</v>
      </c>
      <c r="AA4943">
        <v>0.94535360000000002</v>
      </c>
      <c r="AB4943">
        <v>30</v>
      </c>
      <c r="AC4943">
        <v>6.54009999999999</v>
      </c>
      <c r="AD4943">
        <v>-1.120536402418</v>
      </c>
      <c r="AE4943">
        <v>-18.23488</v>
      </c>
      <c r="AF4943">
        <v>-6.3312015314081096</v>
      </c>
      <c r="AG4943">
        <v>-1.120536402418</v>
      </c>
      <c r="AH4943">
        <v>18.240092842406501</v>
      </c>
      <c r="AI4943">
        <v>93.321486166265203</v>
      </c>
      <c r="AJ4943">
        <v>109.14207092965999</v>
      </c>
      <c r="AK4943">
        <v>19.3401318909685</v>
      </c>
      <c r="AL4943">
        <v>80.264365794530605</v>
      </c>
      <c r="AM4943">
        <v>99.256647419753705</v>
      </c>
      <c r="AN4943">
        <v>1.00000006120822</v>
      </c>
    </row>
    <row r="4944" spans="1:40" x14ac:dyDescent="0.25">
      <c r="A4944" t="str">
        <f>"20190303162400853"</f>
        <v>20190303162400853</v>
      </c>
      <c r="B4944" t="str">
        <f>"1551601440850002"</f>
        <v>1551601440850002</v>
      </c>
      <c r="C4944" t="s">
        <v>40</v>
      </c>
      <c r="D4944">
        <v>5.5761909999999997</v>
      </c>
      <c r="E4944">
        <v>0.42207610000000001</v>
      </c>
      <c r="F4944" t="s">
        <v>41</v>
      </c>
      <c r="G4944">
        <v>-416.5883</v>
      </c>
      <c r="H4944" s="1">
        <v>-1.4326029999999999E-6</v>
      </c>
      <c r="I4944">
        <v>41.190359999999998</v>
      </c>
      <c r="J4944">
        <v>-422.18529999999998</v>
      </c>
      <c r="K4944">
        <v>1.120541</v>
      </c>
      <c r="L4944">
        <v>55.551299999999998</v>
      </c>
      <c r="M4944">
        <v>1.0288530000000001E-2</v>
      </c>
      <c r="N4944">
        <v>-1.062009E-2</v>
      </c>
      <c r="O4944">
        <v>-0.99989079999999997</v>
      </c>
      <c r="P4944">
        <v>0.1748536</v>
      </c>
      <c r="Q4944">
        <v>0.15902439999999901</v>
      </c>
      <c r="R4944">
        <v>-0.97166750000000002</v>
      </c>
      <c r="S4944">
        <v>1.1163639999999999</v>
      </c>
      <c r="T4944">
        <v>-0.2233686</v>
      </c>
      <c r="U4944">
        <v>-2.9268489999999998</v>
      </c>
      <c r="V4944">
        <v>-0.16484509999999999</v>
      </c>
      <c r="W4944">
        <v>0.16935520000000001</v>
      </c>
      <c r="X4944">
        <v>0.97167119999999996</v>
      </c>
      <c r="Y4944">
        <v>-0.34594429999999998</v>
      </c>
      <c r="Z4944">
        <v>6.0676630000000002E-2</v>
      </c>
      <c r="AA4944">
        <v>0.93629099999999998</v>
      </c>
      <c r="AB4944">
        <v>30</v>
      </c>
      <c r="AC4944">
        <v>5.59699999999998</v>
      </c>
      <c r="AD4944">
        <v>-1.120542432603</v>
      </c>
      <c r="AE4944">
        <v>-14.360939999999999</v>
      </c>
      <c r="AF4944">
        <v>-5.42029403231989</v>
      </c>
      <c r="AG4944">
        <v>-1.120542432603</v>
      </c>
      <c r="AH4944">
        <v>14.3419649456398</v>
      </c>
      <c r="AI4944">
        <v>94.180030418942493</v>
      </c>
      <c r="AJ4944">
        <v>110.70320589100901</v>
      </c>
      <c r="AK4944">
        <v>15.3729359994123</v>
      </c>
      <c r="AL4944">
        <v>80.249668908787001</v>
      </c>
      <c r="AM4944">
        <v>99.628615889845506</v>
      </c>
      <c r="AN4944">
        <v>1.0000000058352401</v>
      </c>
    </row>
    <row r="4945" spans="1:40" x14ac:dyDescent="0.25">
      <c r="A4945" t="str">
        <f>"20190303162400875"</f>
        <v>20190303162400875</v>
      </c>
      <c r="B4945" t="str">
        <f>"1551601440869522"</f>
        <v>1551601440869522</v>
      </c>
      <c r="C4945" t="s">
        <v>40</v>
      </c>
      <c r="D4945">
        <v>5.5522580000000001</v>
      </c>
      <c r="E4945">
        <v>0.42270540000000001</v>
      </c>
      <c r="F4945" t="s">
        <v>41</v>
      </c>
      <c r="G4945">
        <v>-417.05540000000002</v>
      </c>
      <c r="H4945" s="1">
        <v>-1.7314719999999999E-6</v>
      </c>
      <c r="I4945">
        <v>42.43374</v>
      </c>
      <c r="J4945">
        <v>-422.18220000000002</v>
      </c>
      <c r="K4945">
        <v>1.1205430000000001</v>
      </c>
      <c r="L4945">
        <v>55.259059999999998</v>
      </c>
      <c r="M4945">
        <v>1.0301070000000001E-2</v>
      </c>
      <c r="N4945">
        <v>-1.0622670000000001E-2</v>
      </c>
      <c r="O4945">
        <v>-0.99989059999999996</v>
      </c>
      <c r="P4945">
        <v>0.17849609999999999</v>
      </c>
      <c r="Q4945">
        <v>0.15876799999999999</v>
      </c>
      <c r="R4945">
        <v>-0.97104669999999904</v>
      </c>
      <c r="S4945">
        <v>1.1429750000000001</v>
      </c>
      <c r="T4945">
        <v>-0.24966340000000001</v>
      </c>
      <c r="U4945">
        <v>-2.9226679999999998</v>
      </c>
      <c r="V4945">
        <v>-0.1684813</v>
      </c>
      <c r="W4945">
        <v>0.1690953</v>
      </c>
      <c r="X4945">
        <v>0.97109259999999997</v>
      </c>
      <c r="Y4945">
        <v>-0.35357100000000002</v>
      </c>
      <c r="Z4945">
        <v>6.8878869999999995E-2</v>
      </c>
      <c r="AA4945">
        <v>0.93286829999999998</v>
      </c>
      <c r="AB4945">
        <v>30</v>
      </c>
      <c r="AC4945">
        <v>5.1268000000000002</v>
      </c>
      <c r="AD4945">
        <v>-1.1205447314720001</v>
      </c>
      <c r="AE4945">
        <v>-12.8253199999999</v>
      </c>
      <c r="AF4945">
        <v>-4.9617489773546897</v>
      </c>
      <c r="AG4945">
        <v>-1.1205447314720001</v>
      </c>
      <c r="AH4945">
        <v>12.7932519009175</v>
      </c>
      <c r="AI4945">
        <v>94.668527475055001</v>
      </c>
      <c r="AJ4945">
        <v>111.198340005708</v>
      </c>
      <c r="AK4945">
        <v>13.7674205140193</v>
      </c>
      <c r="AL4945">
        <v>80.264777969710295</v>
      </c>
      <c r="AM4945">
        <v>99.842647392709907</v>
      </c>
      <c r="AN4945">
        <v>1.0000000033532599</v>
      </c>
    </row>
    <row r="4946" spans="1:40" x14ac:dyDescent="0.25">
      <c r="A4946" t="str">
        <f>"20190303162400898"</f>
        <v>20190303162400898</v>
      </c>
      <c r="B4946" t="str">
        <f>"1551601440889549"</f>
        <v>1551601440889549</v>
      </c>
      <c r="C4946" t="s">
        <v>40</v>
      </c>
      <c r="D4946">
        <v>5.5587710000000001</v>
      </c>
      <c r="E4946">
        <v>0.42367840000000001</v>
      </c>
      <c r="F4946" t="s">
        <v>41</v>
      </c>
      <c r="G4946">
        <v>-417.22980000000001</v>
      </c>
      <c r="H4946" s="1">
        <v>-1.791978E-6</v>
      </c>
      <c r="I4946">
        <v>42.664470000000001</v>
      </c>
      <c r="J4946">
        <v>-422.17899999999997</v>
      </c>
      <c r="K4946">
        <v>1.1205369999999999</v>
      </c>
      <c r="L4946">
        <v>54.951450000000001</v>
      </c>
      <c r="M4946">
        <v>1.031438E-2</v>
      </c>
      <c r="N4946">
        <v>-1.06253999999999E-2</v>
      </c>
      <c r="O4946">
        <v>-0.99989059999999996</v>
      </c>
      <c r="P4946">
        <v>0.18166940000000001</v>
      </c>
      <c r="Q4946">
        <v>0.15718460000000001</v>
      </c>
      <c r="R4946">
        <v>-0.97071609999999997</v>
      </c>
      <c r="S4946">
        <v>1.1485289999999999</v>
      </c>
      <c r="T4946">
        <v>-0.25986789999999999</v>
      </c>
      <c r="U4946">
        <v>-2.9208370000000001</v>
      </c>
      <c r="V4946">
        <v>-0.17164479999999999</v>
      </c>
      <c r="W4946">
        <v>0.167511299999999</v>
      </c>
      <c r="X4946">
        <v>0.97081309999999998</v>
      </c>
      <c r="Y4946">
        <v>-0.35520370000000001</v>
      </c>
      <c r="Z4946">
        <v>7.20972E-2</v>
      </c>
      <c r="AA4946">
        <v>0.93200450000000001</v>
      </c>
      <c r="AB4946">
        <v>30</v>
      </c>
      <c r="AC4946">
        <v>4.94920000000001</v>
      </c>
      <c r="AD4946">
        <v>-1.1205387919779899</v>
      </c>
      <c r="AE4946">
        <v>-12.28698</v>
      </c>
      <c r="AF4946">
        <v>-4.7879349825953703</v>
      </c>
      <c r="AG4946">
        <v>-1.1205387919779899</v>
      </c>
      <c r="AH4946">
        <v>12.249719283023699</v>
      </c>
      <c r="AI4946">
        <v>94.869721678896198</v>
      </c>
      <c r="AJ4946">
        <v>111.348579712882</v>
      </c>
      <c r="AK4946">
        <v>13.1998314797868</v>
      </c>
      <c r="AL4946">
        <v>80.356848049421302</v>
      </c>
      <c r="AM4946">
        <v>100.0265713161</v>
      </c>
      <c r="AN4946">
        <v>1.0000000240631599</v>
      </c>
    </row>
    <row r="4947" spans="1:40" x14ac:dyDescent="0.25">
      <c r="A4947" t="str">
        <f>"20190303162400919"</f>
        <v>20190303162400919</v>
      </c>
      <c r="B4947" t="str">
        <f>"1551601440910045"</f>
        <v>1551601440910045</v>
      </c>
      <c r="C4947" t="s">
        <v>40</v>
      </c>
      <c r="D4947">
        <v>5.553267</v>
      </c>
      <c r="E4947">
        <v>0.42448399999999997</v>
      </c>
      <c r="F4947" t="s">
        <v>41</v>
      </c>
      <c r="G4947">
        <v>-417.44229999999999</v>
      </c>
      <c r="H4947" s="1">
        <v>-1.8619849999999999E-6</v>
      </c>
      <c r="I4947">
        <v>42.915550000000003</v>
      </c>
      <c r="J4947">
        <v>-422.17590000000001</v>
      </c>
      <c r="K4947">
        <v>1.1205229999999999</v>
      </c>
      <c r="L4947">
        <v>54.650419999999997</v>
      </c>
      <c r="M4947">
        <v>1.0327009999999999E-2</v>
      </c>
      <c r="N4947">
        <v>-1.062807E-2</v>
      </c>
      <c r="O4947">
        <v>-0.99989030000000001</v>
      </c>
      <c r="P4947">
        <v>0.1848147</v>
      </c>
      <c r="Q4947">
        <v>0.15600739999999999</v>
      </c>
      <c r="R4947">
        <v>-0.97031199999999995</v>
      </c>
      <c r="S4947">
        <v>1.1489560000000001</v>
      </c>
      <c r="T4947">
        <v>-0.27180399999999999</v>
      </c>
      <c r="U4947">
        <v>-2.919495</v>
      </c>
      <c r="V4947">
        <v>-0.1747822</v>
      </c>
      <c r="W4947">
        <v>0.16633310000000001</v>
      </c>
      <c r="X4947">
        <v>0.97045579999999998</v>
      </c>
      <c r="Y4947">
        <v>-0.35534579999999999</v>
      </c>
      <c r="Z4947">
        <v>7.5897539999999999E-2</v>
      </c>
      <c r="AA4947">
        <v>0.93164860000000005</v>
      </c>
      <c r="AB4947">
        <v>30</v>
      </c>
      <c r="AC4947">
        <v>4.7336000000000196</v>
      </c>
      <c r="AD4947">
        <v>-1.1205248619849999</v>
      </c>
      <c r="AE4947">
        <v>-11.7348699999999</v>
      </c>
      <c r="AF4947">
        <v>-4.5762686208467196</v>
      </c>
      <c r="AG4947">
        <v>-1.1205248619849999</v>
      </c>
      <c r="AH4947">
        <v>11.691449370173199</v>
      </c>
      <c r="AI4947">
        <v>95.100027359225805</v>
      </c>
      <c r="AJ4947">
        <v>111.37637493866301</v>
      </c>
      <c r="AK4947">
        <v>12.6050703620328</v>
      </c>
      <c r="AL4947">
        <v>80.425314177267794</v>
      </c>
      <c r="AM4947">
        <v>100.209701260427</v>
      </c>
      <c r="AN4947">
        <v>0.99999998867304496</v>
      </c>
    </row>
    <row r="4948" spans="1:40" x14ac:dyDescent="0.25">
      <c r="A4948" t="str">
        <f>"20190303162400943"</f>
        <v>20190303162400943</v>
      </c>
      <c r="B4948" t="str">
        <f>"1551601440929565"</f>
        <v>1551601440929565</v>
      </c>
      <c r="C4948" t="s">
        <v>40</v>
      </c>
      <c r="D4948">
        <v>5.5542009999999999</v>
      </c>
      <c r="E4948">
        <v>0.42522749999999998</v>
      </c>
      <c r="F4948" t="s">
        <v>41</v>
      </c>
      <c r="G4948">
        <v>-417.53550000000001</v>
      </c>
      <c r="H4948" s="1">
        <v>-1.8318449999999999E-6</v>
      </c>
      <c r="I4948">
        <v>42.883800000000001</v>
      </c>
      <c r="J4948">
        <v>-422.17259999999999</v>
      </c>
      <c r="K4948">
        <v>1.1205259999999999</v>
      </c>
      <c r="L4948">
        <v>54.343049999999998</v>
      </c>
      <c r="M4948">
        <v>1.034057E-2</v>
      </c>
      <c r="N4948">
        <v>-1.063068E-2</v>
      </c>
      <c r="O4948">
        <v>-0.99989030000000001</v>
      </c>
      <c r="P4948">
        <v>0.18566530000000001</v>
      </c>
      <c r="Q4948">
        <v>0.15630810000000001</v>
      </c>
      <c r="R4948">
        <v>-0.9701014</v>
      </c>
      <c r="S4948">
        <v>1.1505129999999999</v>
      </c>
      <c r="T4948">
        <v>-0.27781470000000003</v>
      </c>
      <c r="U4948">
        <v>-2.9173279999999999</v>
      </c>
      <c r="V4948">
        <v>-0.17562179999999999</v>
      </c>
      <c r="W4948">
        <v>0.166634</v>
      </c>
      <c r="X4948">
        <v>0.97025260000000002</v>
      </c>
      <c r="Y4948">
        <v>-0.35594029999999999</v>
      </c>
      <c r="Z4948">
        <v>7.7835189999999999E-2</v>
      </c>
      <c r="AA4948">
        <v>0.93126169999999997</v>
      </c>
      <c r="AB4948">
        <v>30</v>
      </c>
      <c r="AC4948">
        <v>4.63709999999997</v>
      </c>
      <c r="AD4948">
        <v>-1.1205278318449901</v>
      </c>
      <c r="AE4948">
        <v>-11.4592499999999</v>
      </c>
      <c r="AF4948">
        <v>-4.4815288743926098</v>
      </c>
      <c r="AG4948">
        <v>-1.1205278318449901</v>
      </c>
      <c r="AH4948">
        <v>11.412819704307401</v>
      </c>
      <c r="AI4948">
        <v>95.221656378053396</v>
      </c>
      <c r="AJ4948">
        <v>111.438694614512</v>
      </c>
      <c r="AK4948">
        <v>12.3122758772284</v>
      </c>
      <c r="AL4948">
        <v>80.407830049387201</v>
      </c>
      <c r="AM4948">
        <v>100.25980930025</v>
      </c>
      <c r="AN4948">
        <v>1.0000000071990001</v>
      </c>
    </row>
    <row r="4949" spans="1:40" x14ac:dyDescent="0.25">
      <c r="A4949" t="str">
        <f>"20190303162400965"</f>
        <v>20190303162400965</v>
      </c>
      <c r="B4949" t="str">
        <f>"1551601440959821"</f>
        <v>1551601440959821</v>
      </c>
      <c r="C4949" t="s">
        <v>40</v>
      </c>
      <c r="D4949">
        <v>5.5812609999999996</v>
      </c>
      <c r="E4949">
        <v>0.42652030000000002</v>
      </c>
      <c r="F4949" t="s">
        <v>41</v>
      </c>
      <c r="G4949">
        <v>-417.51369999999997</v>
      </c>
      <c r="H4949" s="1">
        <v>-1.664198E-6</v>
      </c>
      <c r="I4949">
        <v>42.483989999999999</v>
      </c>
      <c r="J4949">
        <v>-422.16950000000003</v>
      </c>
      <c r="K4949">
        <v>1.1205259999999999</v>
      </c>
      <c r="L4949">
        <v>54.036380000000001</v>
      </c>
      <c r="M4949">
        <v>1.03543E-2</v>
      </c>
      <c r="N4949">
        <v>-1.0633220000000001E-2</v>
      </c>
      <c r="O4949">
        <v>-0.9998899</v>
      </c>
      <c r="P4949">
        <v>0.1843301</v>
      </c>
      <c r="Q4949">
        <v>0.15675910000000001</v>
      </c>
      <c r="R4949">
        <v>-0.9702828</v>
      </c>
      <c r="S4949">
        <v>1.1461790000000001</v>
      </c>
      <c r="T4949">
        <v>-0.2756673</v>
      </c>
      <c r="U4949">
        <v>-2.9175110000000002</v>
      </c>
      <c r="V4949">
        <v>-0.17427089999999901</v>
      </c>
      <c r="W4949">
        <v>0.1670896</v>
      </c>
      <c r="X4949">
        <v>0.9704178</v>
      </c>
      <c r="Y4949">
        <v>-0.35472949999999998</v>
      </c>
      <c r="Z4949">
        <v>7.7192839999999999E-2</v>
      </c>
      <c r="AA4949">
        <v>0.93177690000000002</v>
      </c>
      <c r="AB4949">
        <v>30</v>
      </c>
      <c r="AC4949">
        <v>4.6558000000000499</v>
      </c>
      <c r="AD4949">
        <v>-1.120527664198</v>
      </c>
      <c r="AE4949">
        <v>-11.5523899999999</v>
      </c>
      <c r="AF4949">
        <v>-4.4995098282008303</v>
      </c>
      <c r="AG4949">
        <v>-1.120527664198</v>
      </c>
      <c r="AH4949">
        <v>11.5068499480948</v>
      </c>
      <c r="AI4949">
        <v>95.182100173762194</v>
      </c>
      <c r="AJ4949">
        <v>111.356930102085</v>
      </c>
      <c r="AK4949">
        <v>12.405997205717799</v>
      </c>
      <c r="AL4949">
        <v>80.381354788384897</v>
      </c>
      <c r="AM4949">
        <v>100.180850121893</v>
      </c>
      <c r="AN4949">
        <v>0.99999999378590398</v>
      </c>
    </row>
    <row r="4950" spans="1:40" x14ac:dyDescent="0.25">
      <c r="A4950" t="str">
        <f>"20190303162400987"</f>
        <v>20190303162400987</v>
      </c>
      <c r="B4950" t="str">
        <f>"1551601440980317"</f>
        <v>1551601440980317</v>
      </c>
      <c r="C4950" t="s">
        <v>40</v>
      </c>
      <c r="D4950">
        <v>5.5678850000000004</v>
      </c>
      <c r="E4950">
        <v>0.42736730000000001</v>
      </c>
      <c r="F4950" t="s">
        <v>41</v>
      </c>
      <c r="G4950">
        <v>-417.43099999999998</v>
      </c>
      <c r="H4950" s="1">
        <v>-1.4227799999999901E-6</v>
      </c>
      <c r="I4950">
        <v>41.820329999999998</v>
      </c>
      <c r="J4950">
        <v>-422.16629999999998</v>
      </c>
      <c r="K4950">
        <v>1.1205240000000001</v>
      </c>
      <c r="L4950">
        <v>53.72784</v>
      </c>
      <c r="M4950">
        <v>1.036781E-2</v>
      </c>
      <c r="N4950">
        <v>-1.063586E-2</v>
      </c>
      <c r="O4950">
        <v>-0.9998899</v>
      </c>
      <c r="P4950">
        <v>0.18506349999999999</v>
      </c>
      <c r="Q4950">
        <v>0.15694759999999999</v>
      </c>
      <c r="R4950">
        <v>-0.970113</v>
      </c>
      <c r="S4950">
        <v>1.1326290000000001</v>
      </c>
      <c r="T4950">
        <v>-0.26783800000000002</v>
      </c>
      <c r="U4950">
        <v>-2.9199830000000002</v>
      </c>
      <c r="V4950">
        <v>-0.17499310000000001</v>
      </c>
      <c r="W4950">
        <v>0.1672786</v>
      </c>
      <c r="X4950">
        <v>0.97025530000000004</v>
      </c>
      <c r="Y4950">
        <v>-0.35076550000000001</v>
      </c>
      <c r="Z4950">
        <v>7.4782639999999997E-2</v>
      </c>
      <c r="AA4950">
        <v>0.93347259999999999</v>
      </c>
      <c r="AB4950">
        <v>30</v>
      </c>
      <c r="AC4950">
        <v>4.7352999999999899</v>
      </c>
      <c r="AD4950">
        <v>-1.1205254227799999</v>
      </c>
      <c r="AE4950">
        <v>-11.90751</v>
      </c>
      <c r="AF4950">
        <v>-4.5765907195983004</v>
      </c>
      <c r="AG4950">
        <v>-1.1205254227799999</v>
      </c>
      <c r="AH4950">
        <v>11.8652447648251</v>
      </c>
      <c r="AI4950">
        <v>95.035353839086596</v>
      </c>
      <c r="AJ4950">
        <v>111.092323996218</v>
      </c>
      <c r="AK4950">
        <v>12.7665497753708</v>
      </c>
      <c r="AL4950">
        <v>80.370371663977195</v>
      </c>
      <c r="AM4950">
        <v>100.223828894485</v>
      </c>
      <c r="AN4950">
        <v>1.00000003112182</v>
      </c>
    </row>
    <row r="4951" spans="1:40" x14ac:dyDescent="0.25">
      <c r="A4951" t="str">
        <f>"20190303162401009"</f>
        <v>20190303162401009</v>
      </c>
      <c r="B4951" t="str">
        <f>"1551601440999368"</f>
        <v>1551601440999368</v>
      </c>
      <c r="C4951" t="s">
        <v>40</v>
      </c>
      <c r="D4951">
        <v>5.5137830000000001</v>
      </c>
      <c r="E4951">
        <v>0.42796830000000002</v>
      </c>
      <c r="F4951" t="s">
        <v>41</v>
      </c>
      <c r="G4951">
        <v>-417.41329999999999</v>
      </c>
      <c r="H4951" s="1">
        <v>-1.2913010000000001E-6</v>
      </c>
      <c r="I4951">
        <v>41.420160000000003</v>
      </c>
      <c r="J4951">
        <v>-422.16320000000002</v>
      </c>
      <c r="K4951">
        <v>1.120528</v>
      </c>
      <c r="L4951">
        <v>53.431150000000002</v>
      </c>
      <c r="M4951">
        <v>1.0380550000000001E-2</v>
      </c>
      <c r="N4951">
        <v>-1.0638460000000001E-2</v>
      </c>
      <c r="O4951">
        <v>-0.99988960000000005</v>
      </c>
      <c r="P4951">
        <v>0.18486169999999999</v>
      </c>
      <c r="Q4951">
        <v>0.1572431</v>
      </c>
      <c r="R4951">
        <v>-0.97010350000000001</v>
      </c>
      <c r="S4951">
        <v>1.1277469999999901</v>
      </c>
      <c r="T4951">
        <v>-0.26587100000000002</v>
      </c>
      <c r="U4951">
        <v>-2.9202880000000002</v>
      </c>
      <c r="V4951">
        <v>-0.17477870000000001</v>
      </c>
      <c r="W4951">
        <v>0.16757659999999999</v>
      </c>
      <c r="X4951">
        <v>0.97024250000000001</v>
      </c>
      <c r="Y4951">
        <v>-0.34938019999999997</v>
      </c>
      <c r="Z4951">
        <v>7.4196300000000007E-2</v>
      </c>
      <c r="AA4951">
        <v>0.93403879999999995</v>
      </c>
      <c r="AB4951">
        <v>31</v>
      </c>
      <c r="AC4951">
        <v>4.7499000000000198</v>
      </c>
      <c r="AD4951">
        <v>-1.1205292913010001</v>
      </c>
      <c r="AE4951">
        <v>-12.01099</v>
      </c>
      <c r="AF4951">
        <v>-4.5904073269545203</v>
      </c>
      <c r="AG4951">
        <v>-1.1205292913010001</v>
      </c>
      <c r="AH4951">
        <v>11.969565057093201</v>
      </c>
      <c r="AI4951">
        <v>94.995382661068405</v>
      </c>
      <c r="AJ4951">
        <v>110.98214901797</v>
      </c>
      <c r="AK4951">
        <v>12.8684852634647</v>
      </c>
      <c r="AL4951">
        <v>80.353052851784099</v>
      </c>
      <c r="AM4951">
        <v>100.21169836422099</v>
      </c>
      <c r="AN4951">
        <v>1.00000000982375</v>
      </c>
    </row>
    <row r="4952" spans="1:40" x14ac:dyDescent="0.25">
      <c r="A4952" t="str">
        <f>"20190303162401031"</f>
        <v>20190303162401031</v>
      </c>
      <c r="B4952" t="str">
        <f>"1551601441019864"</f>
        <v>1551601441019864</v>
      </c>
      <c r="C4952" t="s">
        <v>40</v>
      </c>
      <c r="D4952">
        <v>5.4666810000000003</v>
      </c>
      <c r="E4952">
        <v>0.42841750000000001</v>
      </c>
      <c r="F4952" t="s">
        <v>41</v>
      </c>
      <c r="G4952">
        <v>-417.4264</v>
      </c>
      <c r="H4952" s="1">
        <v>-1.1768169999999999E-6</v>
      </c>
      <c r="I4952">
        <v>41.093960000000003</v>
      </c>
      <c r="J4952">
        <v>-422.1601</v>
      </c>
      <c r="K4952">
        <v>1.12053799999999</v>
      </c>
      <c r="L4952">
        <v>53.129910000000002</v>
      </c>
      <c r="M4952">
        <v>1.0393110000000001E-2</v>
      </c>
      <c r="N4952">
        <v>-1.0641080000000001E-2</v>
      </c>
      <c r="O4952">
        <v>-0.99988960000000005</v>
      </c>
      <c r="P4952">
        <v>0.18406819999999999</v>
      </c>
      <c r="Q4952">
        <v>0.15881120000000001</v>
      </c>
      <c r="R4952">
        <v>-0.96999930000000001</v>
      </c>
      <c r="S4952">
        <v>1.1217649999999999</v>
      </c>
      <c r="T4952">
        <v>-0.26536359999999998</v>
      </c>
      <c r="U4952">
        <v>-2.9216920000000002</v>
      </c>
      <c r="V4952">
        <v>-0.1739744</v>
      </c>
      <c r="W4952">
        <v>0.16914609999999999</v>
      </c>
      <c r="X4952">
        <v>0.9701147</v>
      </c>
      <c r="Y4952">
        <v>-0.34755649999999999</v>
      </c>
      <c r="Z4952">
        <v>7.4054640000000005E-2</v>
      </c>
      <c r="AA4952">
        <v>0.93473010000000001</v>
      </c>
      <c r="AB4952">
        <v>31</v>
      </c>
      <c r="AC4952">
        <v>4.73369999999999</v>
      </c>
      <c r="AD4952">
        <v>-1.1205391768170001</v>
      </c>
      <c r="AE4952">
        <v>-12.03595</v>
      </c>
      <c r="AF4952">
        <v>-4.5740120047745698</v>
      </c>
      <c r="AG4952">
        <v>-1.1205391768170001</v>
      </c>
      <c r="AH4952">
        <v>11.994465434061601</v>
      </c>
      <c r="AI4952">
        <v>94.988689096531402</v>
      </c>
      <c r="AJ4952">
        <v>110.87402735159699</v>
      </c>
      <c r="AK4952">
        <v>12.8858214684009</v>
      </c>
      <c r="AL4952">
        <v>80.261824900433098</v>
      </c>
      <c r="AM4952">
        <v>100.166999435175</v>
      </c>
      <c r="AN4952">
        <v>1.00000001307833</v>
      </c>
    </row>
    <row r="4953" spans="1:40" x14ac:dyDescent="0.25">
      <c r="A4953" t="str">
        <f>"20190303162401054"</f>
        <v>20190303162401054</v>
      </c>
      <c r="B4953" t="str">
        <f>"1551601441039383"</f>
        <v>1551601441039383</v>
      </c>
      <c r="C4953" t="s">
        <v>40</v>
      </c>
      <c r="D4953">
        <v>5.4087839999999998</v>
      </c>
      <c r="E4953">
        <v>0.42888389999999998</v>
      </c>
      <c r="F4953" t="s">
        <v>41</v>
      </c>
      <c r="G4953">
        <v>-417.3528</v>
      </c>
      <c r="H4953" s="1">
        <v>-1.006828E-6</v>
      </c>
      <c r="I4953">
        <v>40.536909999999999</v>
      </c>
      <c r="J4953">
        <v>-422.15679999999998</v>
      </c>
      <c r="K4953">
        <v>1.120544</v>
      </c>
      <c r="L4953">
        <v>52.822690000000001</v>
      </c>
      <c r="M4953">
        <v>1.040637E-2</v>
      </c>
      <c r="N4953">
        <v>-1.064374E-2</v>
      </c>
      <c r="O4953">
        <v>-0.99988940000000004</v>
      </c>
      <c r="P4953">
        <v>0.183138</v>
      </c>
      <c r="Q4953">
        <v>0.16090589999999999</v>
      </c>
      <c r="R4953">
        <v>-0.96983030000000003</v>
      </c>
      <c r="S4953">
        <v>1.116058</v>
      </c>
      <c r="T4953">
        <v>-0.2601465</v>
      </c>
      <c r="U4953">
        <v>-2.9236149999999999</v>
      </c>
      <c r="V4953">
        <v>-0.17303279999999999</v>
      </c>
      <c r="W4953">
        <v>0.17124130000000001</v>
      </c>
      <c r="X4953">
        <v>0.96991550000000004</v>
      </c>
      <c r="Y4953">
        <v>-0.34579330000000003</v>
      </c>
      <c r="Z4953">
        <v>7.2403739999999994E-2</v>
      </c>
      <c r="AA4953">
        <v>0.93551309999999999</v>
      </c>
      <c r="AB4953">
        <v>31</v>
      </c>
      <c r="AC4953">
        <v>4.8039999999999701</v>
      </c>
      <c r="AD4953">
        <v>-1.1205450068279901</v>
      </c>
      <c r="AE4953">
        <v>-12.285780000000001</v>
      </c>
      <c r="AF4953">
        <v>-4.6423854319792</v>
      </c>
      <c r="AG4953">
        <v>-1.1205450068279901</v>
      </c>
      <c r="AH4953">
        <v>12.246744134319901</v>
      </c>
      <c r="AI4953">
        <v>94.890124246420697</v>
      </c>
      <c r="AJ4953">
        <v>110.760264689237</v>
      </c>
      <c r="AK4953">
        <v>13.144965024787201</v>
      </c>
      <c r="AL4953">
        <v>80.140001350965505</v>
      </c>
      <c r="AM4953">
        <v>100.115145598653</v>
      </c>
      <c r="AN4953">
        <v>1.0000000049208899</v>
      </c>
    </row>
    <row r="4954" spans="1:40" x14ac:dyDescent="0.25">
      <c r="A4954" t="str">
        <f>"20190303162401077"</f>
        <v>20190303162401077</v>
      </c>
      <c r="B4954" t="str">
        <f>"1551601441069639"</f>
        <v>1551601441069639</v>
      </c>
      <c r="C4954" t="s">
        <v>40</v>
      </c>
      <c r="D4954">
        <v>5.4228529999999999</v>
      </c>
      <c r="E4954">
        <v>0.42978719999999998</v>
      </c>
      <c r="F4954" t="s">
        <v>41</v>
      </c>
      <c r="G4954">
        <v>-417.21359999999999</v>
      </c>
      <c r="H4954" s="1">
        <v>-7.9159590000000002E-7</v>
      </c>
      <c r="I4954">
        <v>39.795589999999997</v>
      </c>
      <c r="J4954">
        <v>-422.15359999999998</v>
      </c>
      <c r="K4954">
        <v>1.120544</v>
      </c>
      <c r="L4954">
        <v>52.513460000000002</v>
      </c>
      <c r="M4954">
        <v>1.041986E-2</v>
      </c>
      <c r="N4954">
        <v>-1.064639E-2</v>
      </c>
      <c r="O4954">
        <v>-0.99988909999999998</v>
      </c>
      <c r="P4954">
        <v>0.18266569999999999</v>
      </c>
      <c r="Q4954">
        <v>0.161765299999999</v>
      </c>
      <c r="R4954">
        <v>-0.96977610000000003</v>
      </c>
      <c r="S4954">
        <v>1.110077</v>
      </c>
      <c r="T4954">
        <v>-0.25163629999999998</v>
      </c>
      <c r="U4954">
        <v>-2.925446</v>
      </c>
      <c r="V4954">
        <v>-0.17254820000000001</v>
      </c>
      <c r="W4954">
        <v>0.172102799999999</v>
      </c>
      <c r="X4954">
        <v>0.96984930000000003</v>
      </c>
      <c r="Y4954">
        <v>-0.34398759999999901</v>
      </c>
      <c r="Z4954">
        <v>6.9711419999999996E-2</v>
      </c>
      <c r="AA4954">
        <v>0.93638279999999996</v>
      </c>
      <c r="AB4954">
        <v>31</v>
      </c>
      <c r="AC4954">
        <v>4.9399999999999897</v>
      </c>
      <c r="AD4954">
        <v>-1.1205447915958999</v>
      </c>
      <c r="AE4954">
        <v>-12.7178699999999</v>
      </c>
      <c r="AF4954">
        <v>-4.7749971282220702</v>
      </c>
      <c r="AG4954">
        <v>-1.1205447915958999</v>
      </c>
      <c r="AH4954">
        <v>12.683105316300599</v>
      </c>
      <c r="AI4954">
        <v>94.726674618490904</v>
      </c>
      <c r="AJ4954">
        <v>110.63059614239199</v>
      </c>
      <c r="AK4954">
        <v>13.598432949015701</v>
      </c>
      <c r="AL4954">
        <v>80.089896746239702</v>
      </c>
      <c r="AM4954">
        <v>100.088073839179</v>
      </c>
      <c r="AN4954">
        <v>0.99999995990078405</v>
      </c>
    </row>
    <row r="4955" spans="1:40" x14ac:dyDescent="0.25">
      <c r="A4955" t="str">
        <f>"20190303162401099"</f>
        <v>20190303162401099</v>
      </c>
      <c r="B4955" t="str">
        <f>"1551601441089667"</f>
        <v>1551601441089667</v>
      </c>
      <c r="C4955" t="s">
        <v>40</v>
      </c>
      <c r="D4955">
        <v>5.292592</v>
      </c>
      <c r="E4955">
        <v>0.4302359</v>
      </c>
      <c r="F4955" t="s">
        <v>56</v>
      </c>
      <c r="G4955">
        <v>-417.05610000000001</v>
      </c>
      <c r="H4955" s="1">
        <v>-1.1771389999999999E-6</v>
      </c>
      <c r="I4955">
        <v>38.976570000000002</v>
      </c>
      <c r="J4955">
        <v>-422.15030000000002</v>
      </c>
      <c r="K4955">
        <v>1.120544</v>
      </c>
      <c r="L4955">
        <v>52.204990000000002</v>
      </c>
      <c r="M4955">
        <v>1.043324E-2</v>
      </c>
      <c r="N4955">
        <v>-1.064903E-2</v>
      </c>
      <c r="O4955">
        <v>-0.99988889999999997</v>
      </c>
      <c r="P4955">
        <v>0.1821623</v>
      </c>
      <c r="Q4955">
        <v>0.16122929999999999</v>
      </c>
      <c r="R4955">
        <v>-0.96996020000000005</v>
      </c>
      <c r="S4955">
        <v>1.1019589999999999</v>
      </c>
      <c r="T4955">
        <v>-0.24223330000000001</v>
      </c>
      <c r="U4955">
        <v>-2.9263309999999998</v>
      </c>
      <c r="V4955">
        <v>-0.17202970000000001</v>
      </c>
      <c r="W4955">
        <v>0.1715711</v>
      </c>
      <c r="X4955">
        <v>0.97003569999999995</v>
      </c>
      <c r="Y4955">
        <v>-0.34168419999999999</v>
      </c>
      <c r="Z4955">
        <v>6.6772990000000004E-2</v>
      </c>
      <c r="AA4955">
        <v>0.93743969999999999</v>
      </c>
      <c r="AB4955">
        <v>31</v>
      </c>
      <c r="AC4955">
        <v>5.0941999999999998</v>
      </c>
      <c r="AD4955">
        <v>-1.120545177139</v>
      </c>
      <c r="AE4955">
        <v>-13.22842</v>
      </c>
      <c r="AF4955">
        <v>-4.9251240900883699</v>
      </c>
      <c r="AG4955">
        <v>-1.120545177139</v>
      </c>
      <c r="AH4955">
        <v>13.1983795360721</v>
      </c>
      <c r="AI4955">
        <v>94.547875539946105</v>
      </c>
      <c r="AJ4955">
        <v>110.463626577832</v>
      </c>
      <c r="AK4955">
        <v>14.1318679294347</v>
      </c>
      <c r="AL4955">
        <v>80.1208218935015</v>
      </c>
      <c r="AM4955">
        <v>100.056486164887</v>
      </c>
      <c r="AN4955">
        <v>1.00000005965589</v>
      </c>
    </row>
    <row r="4956" spans="1:40" x14ac:dyDescent="0.25">
      <c r="A4956" t="str">
        <f>"20190303162401120"</f>
        <v>20190303162401120</v>
      </c>
      <c r="B4956" t="str">
        <f>"1551601441110163"</f>
        <v>1551601441110163</v>
      </c>
      <c r="C4956" t="s">
        <v>40</v>
      </c>
      <c r="D4956">
        <v>5.2965049999999998</v>
      </c>
      <c r="E4956">
        <v>0.43070900000000001</v>
      </c>
      <c r="F4956" t="s">
        <v>56</v>
      </c>
      <c r="G4956">
        <v>-417.09399999999999</v>
      </c>
      <c r="H4956" s="1">
        <v>-1.336347E-6</v>
      </c>
      <c r="I4956">
        <v>38.7102</v>
      </c>
      <c r="J4956">
        <v>-422.1472</v>
      </c>
      <c r="K4956">
        <v>1.1205540000000001</v>
      </c>
      <c r="L4956">
        <v>51.908360000000002</v>
      </c>
      <c r="M4956">
        <v>1.0445640000000001E-2</v>
      </c>
      <c r="N4956">
        <v>-1.0651559999999999E-2</v>
      </c>
      <c r="O4956">
        <v>-0.99988889999999997</v>
      </c>
      <c r="P4956">
        <v>0.181616</v>
      </c>
      <c r="Q4956">
        <v>0.16124920000000001</v>
      </c>
      <c r="R4956">
        <v>-0.97005929999999996</v>
      </c>
      <c r="S4956">
        <v>1.096832</v>
      </c>
      <c r="T4956">
        <v>-0.2430727</v>
      </c>
      <c r="U4956">
        <v>-2.9273380000000002</v>
      </c>
      <c r="V4956">
        <v>-0.1714707</v>
      </c>
      <c r="W4956">
        <v>0.1715941</v>
      </c>
      <c r="X4956">
        <v>0.97013059999999995</v>
      </c>
      <c r="Y4956">
        <v>-0.34012029999999999</v>
      </c>
      <c r="Z4956">
        <v>6.705788E-2</v>
      </c>
      <c r="AA4956">
        <v>0.93798800000000004</v>
      </c>
      <c r="AB4956">
        <v>31</v>
      </c>
      <c r="AC4956">
        <v>5.0532000000000004</v>
      </c>
      <c r="AD4956">
        <v>-1.120555336347</v>
      </c>
      <c r="AE4956">
        <v>-13.1981599999999</v>
      </c>
      <c r="AF4956">
        <v>-4.8843462216243498</v>
      </c>
      <c r="AG4956">
        <v>-1.120555336347</v>
      </c>
      <c r="AH4956">
        <v>13.167445316990801</v>
      </c>
      <c r="AI4956">
        <v>94.561850906229907</v>
      </c>
      <c r="AJ4956">
        <v>110.351885683624</v>
      </c>
      <c r="AK4956">
        <v>14.0887933638923</v>
      </c>
      <c r="AL4956">
        <v>80.119484242406301</v>
      </c>
      <c r="AM4956">
        <v>100.02351134595899</v>
      </c>
      <c r="AN4956">
        <v>1.0000000585848201</v>
      </c>
    </row>
    <row r="4957" spans="1:40" x14ac:dyDescent="0.25">
      <c r="A4957" t="str">
        <f>"20190303162401144"</f>
        <v>20190303162401144</v>
      </c>
      <c r="B4957" t="str">
        <f>"1551601441129683"</f>
        <v>1551601441129683</v>
      </c>
      <c r="C4957" t="s">
        <v>40</v>
      </c>
      <c r="D4957">
        <v>5.3180620000000003</v>
      </c>
      <c r="E4957">
        <v>0.43091930000000001</v>
      </c>
      <c r="F4957" t="s">
        <v>56</v>
      </c>
      <c r="G4957">
        <v>-417.05470000000003</v>
      </c>
      <c r="H4957" s="1">
        <v>-1.6409649999999999E-6</v>
      </c>
      <c r="I4957">
        <v>38.247410000000002</v>
      </c>
      <c r="J4957">
        <v>-422.14400000000001</v>
      </c>
      <c r="K4957">
        <v>1.1205510000000001</v>
      </c>
      <c r="L4957">
        <v>51.600560000000002</v>
      </c>
      <c r="M4957">
        <v>1.045871E-2</v>
      </c>
      <c r="N4957">
        <v>-1.0654220000000001E-2</v>
      </c>
      <c r="O4957">
        <v>-0.99988889999999997</v>
      </c>
      <c r="P4957">
        <v>0.17999870000000001</v>
      </c>
      <c r="Q4957">
        <v>0.1617846</v>
      </c>
      <c r="R4957">
        <v>-0.97027169999999896</v>
      </c>
      <c r="S4957">
        <v>1.091553</v>
      </c>
      <c r="T4957">
        <v>-0.24018600000000001</v>
      </c>
      <c r="U4957">
        <v>-2.9281619999999999</v>
      </c>
      <c r="V4957">
        <v>-0.1698384</v>
      </c>
      <c r="W4957">
        <v>0.17213429999999999</v>
      </c>
      <c r="X4957">
        <v>0.97032200000000002</v>
      </c>
      <c r="Y4957">
        <v>-0.33855990000000002</v>
      </c>
      <c r="Z4957">
        <v>6.6163319999999998E-2</v>
      </c>
      <c r="AA4957">
        <v>0.9386158</v>
      </c>
      <c r="AB4957">
        <v>31</v>
      </c>
      <c r="AC4957">
        <v>5.0892999999999802</v>
      </c>
      <c r="AD4957">
        <v>-1.120552640965</v>
      </c>
      <c r="AE4957">
        <v>-13.353149999999999</v>
      </c>
      <c r="AF4957">
        <v>-4.9191102306086902</v>
      </c>
      <c r="AG4957">
        <v>-1.120552640965</v>
      </c>
      <c r="AH4957">
        <v>13.323724749156201</v>
      </c>
      <c r="AI4957">
        <v>94.511100375449502</v>
      </c>
      <c r="AJ4957">
        <v>110.264112159473</v>
      </c>
      <c r="AK4957">
        <v>14.246926857162199</v>
      </c>
      <c r="AL4957">
        <v>80.088065403550303</v>
      </c>
      <c r="AM4957">
        <v>99.928081756103595</v>
      </c>
      <c r="AN4957">
        <v>1.0000000415175201</v>
      </c>
    </row>
    <row r="4958" spans="1:40" x14ac:dyDescent="0.25">
      <c r="A4958" t="str">
        <f>"20190303162401165"</f>
        <v>20190303162401165</v>
      </c>
      <c r="B4958" t="str">
        <f>"1551601441159939"</f>
        <v>1551601441159939</v>
      </c>
      <c r="C4958" t="s">
        <v>40</v>
      </c>
      <c r="D4958">
        <v>5.1584940000000001</v>
      </c>
      <c r="E4958">
        <v>0.47977199999999998</v>
      </c>
      <c r="F4958" t="s">
        <v>56</v>
      </c>
      <c r="G4958">
        <v>-417.01080000000002</v>
      </c>
      <c r="H4958" s="1">
        <v>-1.97685E-6</v>
      </c>
      <c r="I4958">
        <v>37.737369999999999</v>
      </c>
      <c r="J4958">
        <v>-422.14069999999998</v>
      </c>
      <c r="K4958">
        <v>1.1205510000000001</v>
      </c>
      <c r="L4958">
        <v>51.287779999999998</v>
      </c>
      <c r="M4958">
        <v>1.047208E-2</v>
      </c>
      <c r="N4958">
        <v>-1.0656860000000001E-2</v>
      </c>
      <c r="O4958">
        <v>-0.99988869999999996</v>
      </c>
      <c r="P4958">
        <v>0.17871419999999999</v>
      </c>
      <c r="Q4958">
        <v>0.16281989999999999</v>
      </c>
      <c r="R4958">
        <v>-0.97033570000000002</v>
      </c>
      <c r="S4958">
        <v>1.0849610000000001</v>
      </c>
      <c r="T4958">
        <v>-0.2368393</v>
      </c>
      <c r="U4958">
        <v>-2.9301149999999998</v>
      </c>
      <c r="V4958">
        <v>-0.1685402</v>
      </c>
      <c r="W4958">
        <v>0.1731732</v>
      </c>
      <c r="X4958">
        <v>0.97036339999999999</v>
      </c>
      <c r="Y4958">
        <v>-0.33651300000000001</v>
      </c>
      <c r="Z4958">
        <v>6.5106689999999995E-2</v>
      </c>
      <c r="AA4958">
        <v>0.93942539999999997</v>
      </c>
      <c r="AB4958">
        <v>31</v>
      </c>
      <c r="AC4958">
        <v>5.1298999999999602</v>
      </c>
      <c r="AD4958">
        <v>-1.12055297685</v>
      </c>
      <c r="AE4958">
        <v>-13.550409999999999</v>
      </c>
      <c r="AF4958">
        <v>-4.9580543653569897</v>
      </c>
      <c r="AG4958">
        <v>-1.12055297685</v>
      </c>
      <c r="AH4958">
        <v>13.522509257948901</v>
      </c>
      <c r="AI4958">
        <v>94.448711226168598</v>
      </c>
      <c r="AJ4958">
        <v>110.135560065097</v>
      </c>
      <c r="AK4958">
        <v>14.446321285887199</v>
      </c>
      <c r="AL4958">
        <v>80.027632282015901</v>
      </c>
      <c r="AM4958">
        <v>99.853275020393497</v>
      </c>
      <c r="AN4958">
        <v>0.99999994213691801</v>
      </c>
    </row>
    <row r="4959" spans="1:40" x14ac:dyDescent="0.25">
      <c r="A4959" t="str">
        <f>"20190303162401187"</f>
        <v>20190303162401187</v>
      </c>
      <c r="B4959" t="str">
        <f>"1551601441179459"</f>
        <v>1551601441179459</v>
      </c>
      <c r="C4959" t="s">
        <v>40</v>
      </c>
      <c r="D4959">
        <v>4.9570780000000001</v>
      </c>
      <c r="E4959">
        <v>0.48741719999999999</v>
      </c>
      <c r="F4959" t="s">
        <v>56</v>
      </c>
      <c r="G4959">
        <v>-418.67779999999999</v>
      </c>
      <c r="H4959" s="1">
        <v>-2.388167E-6</v>
      </c>
      <c r="I4959">
        <v>36.392479999999999</v>
      </c>
      <c r="J4959">
        <v>-422.13760000000002</v>
      </c>
      <c r="K4959">
        <v>1.120552</v>
      </c>
      <c r="L4959">
        <v>50.987639999999999</v>
      </c>
      <c r="M4959">
        <v>1.0485410000000001E-2</v>
      </c>
      <c r="N4959">
        <v>-1.0659439999999999E-2</v>
      </c>
      <c r="O4959">
        <v>-0.99988840000000001</v>
      </c>
      <c r="P4959">
        <v>0.17836930000000001</v>
      </c>
      <c r="Q4959">
        <v>0.16375680000000001</v>
      </c>
      <c r="R4959">
        <v>-0.97024149999999998</v>
      </c>
      <c r="S4959">
        <v>0.69772339999999999</v>
      </c>
      <c r="T4959">
        <v>-0.22576860000000001</v>
      </c>
      <c r="U4959">
        <v>-3.001099</v>
      </c>
      <c r="V4959">
        <v>-0.16818350000000001</v>
      </c>
      <c r="W4959">
        <v>0.1741114</v>
      </c>
      <c r="X4959">
        <v>0.97025749999999999</v>
      </c>
      <c r="Y4959">
        <v>-0.21568560000000001</v>
      </c>
      <c r="Z4959">
        <v>6.2536309999999998E-2</v>
      </c>
      <c r="AA4959">
        <v>0.9744583</v>
      </c>
      <c r="AB4959">
        <v>31</v>
      </c>
      <c r="AC4959">
        <v>3.45980000000002</v>
      </c>
      <c r="AD4959">
        <v>-1.1205543881669999</v>
      </c>
      <c r="AE4959">
        <v>-14.59516</v>
      </c>
      <c r="AF4959">
        <v>-3.28821366499304</v>
      </c>
      <c r="AG4959">
        <v>-1.1205543881669999</v>
      </c>
      <c r="AH4959">
        <v>14.549437982233499</v>
      </c>
      <c r="AI4959">
        <v>94.296126526920403</v>
      </c>
      <c r="AJ4959">
        <v>102.735059163652</v>
      </c>
      <c r="AK4959">
        <v>14.9584135804017</v>
      </c>
      <c r="AL4959">
        <v>79.973049197338497</v>
      </c>
      <c r="AM4959">
        <v>99.833881188235793</v>
      </c>
      <c r="AN4959">
        <v>1.0000000427942199</v>
      </c>
    </row>
    <row r="4960" spans="1:40" x14ac:dyDescent="0.25">
      <c r="A4960" t="str">
        <f>"20190303162401209"</f>
        <v>20190303162401209</v>
      </c>
      <c r="B4960" t="str">
        <f>"1551601441199426"</f>
        <v>1551601441199426</v>
      </c>
      <c r="C4960" t="s">
        <v>40</v>
      </c>
      <c r="D4960">
        <v>5.2631949999999996</v>
      </c>
      <c r="E4960">
        <v>0.49006369999999999</v>
      </c>
      <c r="F4960" t="s">
        <v>56</v>
      </c>
      <c r="G4960">
        <v>-419.2953</v>
      </c>
      <c r="H4960" s="1">
        <v>-1.510233E-6</v>
      </c>
      <c r="I4960">
        <v>37.515169999999998</v>
      </c>
      <c r="J4960">
        <v>-422.1345</v>
      </c>
      <c r="K4960">
        <v>1.120555</v>
      </c>
      <c r="L4960">
        <v>50.691070000000003</v>
      </c>
      <c r="M4960">
        <v>1.0498189999999999E-2</v>
      </c>
      <c r="N4960">
        <v>-1.066194E-2</v>
      </c>
      <c r="O4960">
        <v>-0.9998882</v>
      </c>
      <c r="P4960">
        <v>0.1795494</v>
      </c>
      <c r="Q4960">
        <v>0.1640151</v>
      </c>
      <c r="R4960">
        <v>-0.96998019999999996</v>
      </c>
      <c r="S4960">
        <v>0.63656619999999997</v>
      </c>
      <c r="T4960">
        <v>-0.25096489999999999</v>
      </c>
      <c r="U4960">
        <v>-3.0173649999999999</v>
      </c>
      <c r="V4960">
        <v>-0.16935339999999999</v>
      </c>
      <c r="W4960">
        <v>0.1743692</v>
      </c>
      <c r="X4960">
        <v>0.97000770000000003</v>
      </c>
      <c r="Y4960">
        <v>-0.19553039999999999</v>
      </c>
      <c r="Z4960">
        <v>7.0574399999999995E-2</v>
      </c>
      <c r="AA4960">
        <v>0.978155</v>
      </c>
      <c r="AB4960">
        <v>31</v>
      </c>
      <c r="AC4960">
        <v>2.8391999999999999</v>
      </c>
      <c r="AD4960">
        <v>-1.120556510233</v>
      </c>
      <c r="AE4960">
        <v>-13.1759</v>
      </c>
      <c r="AF4960">
        <v>-2.6821737517997999</v>
      </c>
      <c r="AG4960">
        <v>-1.120556510233</v>
      </c>
      <c r="AH4960">
        <v>13.114337433769901</v>
      </c>
      <c r="AI4960">
        <v>94.785202713623093</v>
      </c>
      <c r="AJ4960">
        <v>101.558854458883</v>
      </c>
      <c r="AK4960">
        <v>13.4326300200016</v>
      </c>
      <c r="AL4960">
        <v>79.958049114301801</v>
      </c>
      <c r="AM4960">
        <v>99.903436688129702</v>
      </c>
      <c r="AN4960">
        <v>1.00000006502974</v>
      </c>
    </row>
    <row r="4961" spans="1:40" x14ac:dyDescent="0.25">
      <c r="A4961" t="str">
        <f>"20190303162401237"</f>
        <v>20190303162401237</v>
      </c>
      <c r="B4961" t="str">
        <f>"1551601441229682"</f>
        <v>1551601441229682</v>
      </c>
      <c r="C4961" t="s">
        <v>40</v>
      </c>
      <c r="D4961">
        <v>5.0278049999999999</v>
      </c>
      <c r="E4961">
        <v>0.49186479999999999</v>
      </c>
      <c r="F4961" t="s">
        <v>56</v>
      </c>
      <c r="G4961">
        <v>-419.46660000000003</v>
      </c>
      <c r="H4961" s="1">
        <v>-1.361002E-6</v>
      </c>
      <c r="I4961">
        <v>37.678249999999998</v>
      </c>
      <c r="J4961">
        <v>-422.13049999999998</v>
      </c>
      <c r="K4961">
        <v>1.120552</v>
      </c>
      <c r="L4961">
        <v>50.317720000000001</v>
      </c>
      <c r="M4961">
        <v>1.0513939999999999E-2</v>
      </c>
      <c r="N4961">
        <v>-1.0665010000000001E-2</v>
      </c>
      <c r="O4961">
        <v>-0.9998882</v>
      </c>
      <c r="P4961">
        <v>0.1807049</v>
      </c>
      <c r="Q4961">
        <v>0.16420019999999999</v>
      </c>
      <c r="R4961">
        <v>-0.96973450000000005</v>
      </c>
      <c r="S4961">
        <v>0.61959839999999999</v>
      </c>
      <c r="T4961">
        <v>-0.26024320000000001</v>
      </c>
      <c r="U4961">
        <v>-3.0221559999999998</v>
      </c>
      <c r="V4961">
        <v>-0.17049700000000001</v>
      </c>
      <c r="W4961">
        <v>0.17455519999999999</v>
      </c>
      <c r="X4961">
        <v>0.96977380000000002</v>
      </c>
      <c r="Y4961">
        <v>-0.18989120000000001</v>
      </c>
      <c r="Z4961">
        <v>7.3518479999999997E-2</v>
      </c>
      <c r="AA4961">
        <v>0.97904869999999999</v>
      </c>
      <c r="AB4961">
        <v>31</v>
      </c>
      <c r="AC4961">
        <v>2.6638999999999502</v>
      </c>
      <c r="AD4961">
        <v>-1.120553361002</v>
      </c>
      <c r="AE4961">
        <v>-12.639469999999999</v>
      </c>
      <c r="AF4961">
        <v>-2.5119510505191598</v>
      </c>
      <c r="AG4961">
        <v>-1.120553361002</v>
      </c>
      <c r="AH4961">
        <v>12.572169792831501</v>
      </c>
      <c r="AI4961">
        <v>94.995080823867596</v>
      </c>
      <c r="AJ4961">
        <v>101.29905179044199</v>
      </c>
      <c r="AK4961">
        <v>12.869537334917799</v>
      </c>
      <c r="AL4961">
        <v>79.947225294217304</v>
      </c>
      <c r="AM4961">
        <v>99.971331046497198</v>
      </c>
      <c r="AN4961">
        <v>0.99999998401123902</v>
      </c>
    </row>
    <row r="4962" spans="1:40" x14ac:dyDescent="0.25">
      <c r="A4962" t="str">
        <f>"20190303162401255"</f>
        <v>20190303162401255</v>
      </c>
      <c r="B4962" t="str">
        <f>"1551601441250178"</f>
        <v>1551601441250178</v>
      </c>
      <c r="C4962" t="s">
        <v>40</v>
      </c>
      <c r="D4962">
        <v>4.91411</v>
      </c>
      <c r="E4962">
        <v>0.49279810000000002</v>
      </c>
      <c r="F4962" t="s">
        <v>56</v>
      </c>
      <c r="G4962">
        <v>-419.53379999999999</v>
      </c>
      <c r="H4962" s="1">
        <v>-1.500097E-6</v>
      </c>
      <c r="I4962">
        <v>37.431269999999998</v>
      </c>
      <c r="J4962">
        <v>-422.12790000000001</v>
      </c>
      <c r="K4962">
        <v>1.1205560000000001</v>
      </c>
      <c r="L4962">
        <v>50.066560000000003</v>
      </c>
      <c r="M4962">
        <v>1.052457E-2</v>
      </c>
      <c r="N4962">
        <v>-1.0667279999999999E-2</v>
      </c>
      <c r="O4962">
        <v>-0.99988770000000005</v>
      </c>
      <c r="P4962">
        <v>0.18141769999999999</v>
      </c>
      <c r="Q4962">
        <v>0.16357639999999901</v>
      </c>
      <c r="R4962">
        <v>-0.96970650000000003</v>
      </c>
      <c r="S4962">
        <v>0.60946659999999997</v>
      </c>
      <c r="T4962">
        <v>-0.26300689999999999</v>
      </c>
      <c r="U4962">
        <v>-3.024597</v>
      </c>
      <c r="V4962">
        <v>-0.17119909999999999</v>
      </c>
      <c r="W4962">
        <v>0.173933</v>
      </c>
      <c r="X4962">
        <v>0.96976189999999995</v>
      </c>
      <c r="Y4962">
        <v>-0.1865626</v>
      </c>
      <c r="Z4962">
        <v>7.4392200000000006E-2</v>
      </c>
      <c r="AA4962">
        <v>0.97962249999999995</v>
      </c>
      <c r="AB4962">
        <v>31</v>
      </c>
      <c r="AC4962">
        <v>2.5941000000000201</v>
      </c>
      <c r="AD4962">
        <v>-1.1205575000969901</v>
      </c>
      <c r="AE4962">
        <v>-12.6352899999999</v>
      </c>
      <c r="AF4962">
        <v>-2.44253423571377</v>
      </c>
      <c r="AG4962">
        <v>-1.1205575000969901</v>
      </c>
      <c r="AH4962">
        <v>12.5670514356911</v>
      </c>
      <c r="AI4962">
        <v>95.002259191008505</v>
      </c>
      <c r="AJ4962">
        <v>100.99888804116</v>
      </c>
      <c r="AK4962">
        <v>12.851163542300901</v>
      </c>
      <c r="AL4962">
        <v>79.983428523819498</v>
      </c>
      <c r="AM4962">
        <v>100.011683903201</v>
      </c>
      <c r="AN4962">
        <v>0.99999998151070901</v>
      </c>
    </row>
    <row r="4963" spans="1:40" x14ac:dyDescent="0.25">
      <c r="A4963" t="str">
        <f>"20190303162401279"</f>
        <v>20190303162401279</v>
      </c>
      <c r="B4963" t="str">
        <f>"1551601441269698"</f>
        <v>1551601441269698</v>
      </c>
      <c r="C4963" t="s">
        <v>40</v>
      </c>
      <c r="D4963">
        <v>4.9772569999999998</v>
      </c>
      <c r="E4963">
        <v>0.49312889999999998</v>
      </c>
      <c r="F4963" t="s">
        <v>56</v>
      </c>
      <c r="G4963">
        <v>-419.57459999999998</v>
      </c>
      <c r="H4963" s="1">
        <v>-1.5741610000000001E-6</v>
      </c>
      <c r="I4963">
        <v>37.297699999999999</v>
      </c>
      <c r="J4963">
        <v>-422.12430000000001</v>
      </c>
      <c r="K4963">
        <v>1.1205579999999999</v>
      </c>
      <c r="L4963">
        <v>49.731780000000001</v>
      </c>
      <c r="M4963">
        <v>1.053918E-2</v>
      </c>
      <c r="N4963">
        <v>-1.067039E-2</v>
      </c>
      <c r="O4963">
        <v>-0.99988750000000004</v>
      </c>
      <c r="P4963">
        <v>0.1815862</v>
      </c>
      <c r="Q4963">
        <v>0.1628945</v>
      </c>
      <c r="R4963">
        <v>-0.96978949999999997</v>
      </c>
      <c r="S4963">
        <v>0.60494999999999999</v>
      </c>
      <c r="T4963">
        <v>-0.26549400000000001</v>
      </c>
      <c r="U4963">
        <v>-3.0253299999999999</v>
      </c>
      <c r="V4963">
        <v>-0.17135259999999999</v>
      </c>
      <c r="W4963">
        <v>0.173255399999999</v>
      </c>
      <c r="X4963">
        <v>0.9698561</v>
      </c>
      <c r="Y4963">
        <v>-0.18508440000000001</v>
      </c>
      <c r="Z4963">
        <v>7.5191910000000001E-2</v>
      </c>
      <c r="AA4963">
        <v>0.97984179999999999</v>
      </c>
      <c r="AB4963">
        <v>31</v>
      </c>
      <c r="AC4963">
        <v>2.5497000000000298</v>
      </c>
      <c r="AD4963">
        <v>-1.1205595741609999</v>
      </c>
      <c r="AE4963">
        <v>-12.43408</v>
      </c>
      <c r="AF4963">
        <v>-2.39980209568406</v>
      </c>
      <c r="AG4963">
        <v>-1.1205595741609999</v>
      </c>
      <c r="AH4963">
        <v>12.363899670942301</v>
      </c>
      <c r="AI4963">
        <v>95.084282225945003</v>
      </c>
      <c r="AJ4963">
        <v>100.984385705457</v>
      </c>
      <c r="AK4963">
        <v>12.644394763325799</v>
      </c>
      <c r="AL4963">
        <v>80.022850877351203</v>
      </c>
      <c r="AM4963">
        <v>100.01952515456099</v>
      </c>
      <c r="AN4963">
        <v>1.0000000009315599</v>
      </c>
    </row>
    <row r="4964" spans="1:40" x14ac:dyDescent="0.25">
      <c r="A4964" t="str">
        <f>"20190303162401299"</f>
        <v>20190303162401299</v>
      </c>
      <c r="B4964" t="str">
        <f>"1551601441289725"</f>
        <v>1551601441289725</v>
      </c>
      <c r="C4964" t="s">
        <v>40</v>
      </c>
      <c r="D4964">
        <v>5.0005069999999998</v>
      </c>
      <c r="E4964">
        <v>0.49350739999999998</v>
      </c>
      <c r="F4964" t="s">
        <v>56</v>
      </c>
      <c r="G4964">
        <v>-419.61950000000002</v>
      </c>
      <c r="H4964" s="1">
        <v>-1.6526550000000001E-6</v>
      </c>
      <c r="I4964">
        <v>37.155410000000003</v>
      </c>
      <c r="J4964">
        <v>-422.12119999999999</v>
      </c>
      <c r="K4964">
        <v>1.1205560000000001</v>
      </c>
      <c r="L4964">
        <v>49.445070000000001</v>
      </c>
      <c r="M4964">
        <v>1.055212E-2</v>
      </c>
      <c r="N4964">
        <v>-1.067303E-2</v>
      </c>
      <c r="O4964">
        <v>-0.99988750000000004</v>
      </c>
      <c r="P4964">
        <v>0.18277579999999999</v>
      </c>
      <c r="Q4964">
        <v>0.16268569999999999</v>
      </c>
      <c r="R4964">
        <v>-0.96960139999999995</v>
      </c>
      <c r="S4964">
        <v>0.60266109999999995</v>
      </c>
      <c r="T4964">
        <v>-0.26960970000000001</v>
      </c>
      <c r="U4964">
        <v>-3.025909</v>
      </c>
      <c r="V4964">
        <v>-0.17253160000000001</v>
      </c>
      <c r="W4964">
        <v>0.173046799999999</v>
      </c>
      <c r="X4964">
        <v>0.96968430000000005</v>
      </c>
      <c r="Y4964">
        <v>-0.1843023</v>
      </c>
      <c r="Z4964">
        <v>7.6507069999999996E-2</v>
      </c>
      <c r="AA4964">
        <v>0.97988739999999996</v>
      </c>
      <c r="AB4964">
        <v>31</v>
      </c>
      <c r="AC4964">
        <v>2.5016999999999698</v>
      </c>
      <c r="AD4964">
        <v>-1.1205576526549901</v>
      </c>
      <c r="AE4964">
        <v>-12.28966</v>
      </c>
      <c r="AF4964">
        <v>-2.3530871272639602</v>
      </c>
      <c r="AG4964">
        <v>-1.1205576526549901</v>
      </c>
      <c r="AH4964">
        <v>12.217842763219901</v>
      </c>
      <c r="AI4964">
        <v>95.1461625204348</v>
      </c>
      <c r="AJ4964">
        <v>100.901363124398</v>
      </c>
      <c r="AK4964">
        <v>12.492731897714901</v>
      </c>
      <c r="AL4964">
        <v>80.034986014398001</v>
      </c>
      <c r="AM4964">
        <v>100.08880440049499</v>
      </c>
      <c r="AN4964">
        <v>0.99999999482764501</v>
      </c>
    </row>
    <row r="4965" spans="1:40" x14ac:dyDescent="0.25">
      <c r="A4965" t="str">
        <f>"20190303162401322"</f>
        <v>20190303162401322</v>
      </c>
      <c r="B4965" t="str">
        <f>"1551601441310220"</f>
        <v>1551601441310220</v>
      </c>
      <c r="C4965" t="s">
        <v>40</v>
      </c>
      <c r="D4965">
        <v>5.1667709999999998</v>
      </c>
      <c r="E4965">
        <v>0.49357289999999998</v>
      </c>
      <c r="F4965" t="s">
        <v>56</v>
      </c>
      <c r="G4965">
        <v>-419.62119999999999</v>
      </c>
      <c r="H4965" s="1">
        <v>-1.8017170000000001E-6</v>
      </c>
      <c r="I4965">
        <v>36.920189999999998</v>
      </c>
      <c r="J4965">
        <v>-422.11790000000002</v>
      </c>
      <c r="K4965">
        <v>1.1205639999999999</v>
      </c>
      <c r="L4965">
        <v>49.13306</v>
      </c>
      <c r="M4965">
        <v>1.057021E-2</v>
      </c>
      <c r="N4965">
        <v>-1.0675820000000001E-2</v>
      </c>
      <c r="O4965">
        <v>-0.99988750000000004</v>
      </c>
      <c r="P4965">
        <v>0.18475569999999999</v>
      </c>
      <c r="Q4965">
        <v>0.16271329999999901</v>
      </c>
      <c r="R4965">
        <v>-0.96922149999999996</v>
      </c>
      <c r="S4965">
        <v>0.60394289999999995</v>
      </c>
      <c r="T4965">
        <v>-0.27069310000000002</v>
      </c>
      <c r="U4965">
        <v>-3.0256349999999999</v>
      </c>
      <c r="V4965">
        <v>-0.17449890000000001</v>
      </c>
      <c r="W4965">
        <v>0.1730727</v>
      </c>
      <c r="X4965">
        <v>0.96932759999999996</v>
      </c>
      <c r="Y4965">
        <v>-0.184695</v>
      </c>
      <c r="Z4965">
        <v>7.685293E-2</v>
      </c>
      <c r="AA4965">
        <v>0.97978639999999995</v>
      </c>
      <c r="AB4965">
        <v>31</v>
      </c>
      <c r="AC4965">
        <v>2.4967000000000299</v>
      </c>
      <c r="AD4965">
        <v>-1.1205658017169999</v>
      </c>
      <c r="AE4965">
        <v>-12.212869999999899</v>
      </c>
      <c r="AF4965">
        <v>-2.3484828089706098</v>
      </c>
      <c r="AG4965">
        <v>-1.1205658017169999</v>
      </c>
      <c r="AH4965">
        <v>12.140474189632799</v>
      </c>
      <c r="AI4965">
        <v>95.1780047546753</v>
      </c>
      <c r="AJ4965">
        <v>100.948210753845</v>
      </c>
      <c r="AK4965">
        <v>12.4162052483497</v>
      </c>
      <c r="AL4965">
        <v>80.033479481036395</v>
      </c>
      <c r="AM4965">
        <v>100.205114899701</v>
      </c>
      <c r="AN4965">
        <v>1.00000001085412</v>
      </c>
    </row>
    <row r="4966" spans="1:40" x14ac:dyDescent="0.25">
      <c r="A4966" t="str">
        <f>"20190303162401345"</f>
        <v>20190303162401345</v>
      </c>
      <c r="B4966" t="str">
        <f>"1551601441339501"</f>
        <v>1551601441339501</v>
      </c>
      <c r="C4966" t="s">
        <v>40</v>
      </c>
      <c r="D4966">
        <v>6.0911039999999996</v>
      </c>
      <c r="E4966">
        <v>0.45004860000000002</v>
      </c>
      <c r="F4966" t="s">
        <v>56</v>
      </c>
      <c r="G4966">
        <v>-419.58609999999999</v>
      </c>
      <c r="H4966" s="1">
        <v>-2.0235479999999998E-6</v>
      </c>
      <c r="I4966">
        <v>36.585889999999999</v>
      </c>
      <c r="J4966">
        <v>-422.1146</v>
      </c>
      <c r="K4966">
        <v>1.120574</v>
      </c>
      <c r="L4966">
        <v>48.823090000000001</v>
      </c>
      <c r="M4966">
        <v>1.0613279999999999E-2</v>
      </c>
      <c r="N4966">
        <v>-1.067859E-2</v>
      </c>
      <c r="O4966">
        <v>-0.99988699999999997</v>
      </c>
      <c r="P4966">
        <v>0.18853809999999999</v>
      </c>
      <c r="Q4966">
        <v>0.1611755</v>
      </c>
      <c r="R4966">
        <v>-0.96875</v>
      </c>
      <c r="S4966">
        <v>0.61026000000000002</v>
      </c>
      <c r="T4966">
        <v>-0.27009429999999901</v>
      </c>
      <c r="U4966">
        <v>-3.024292</v>
      </c>
      <c r="V4966">
        <v>-0.1782493</v>
      </c>
      <c r="W4966">
        <v>0.17152779999999901</v>
      </c>
      <c r="X4966">
        <v>0.96891970000000005</v>
      </c>
      <c r="Y4966">
        <v>-0.18670510000000001</v>
      </c>
      <c r="Z4966">
        <v>7.6661469999999995E-2</v>
      </c>
      <c r="AA4966">
        <v>0.97942039999999997</v>
      </c>
      <c r="AB4966">
        <v>31</v>
      </c>
      <c r="AC4966">
        <v>2.5285000000000002</v>
      </c>
      <c r="AD4966">
        <v>-1.120576023548</v>
      </c>
      <c r="AE4966">
        <v>-12.2372</v>
      </c>
      <c r="AF4966">
        <v>-2.3793388355012999</v>
      </c>
      <c r="AG4966">
        <v>-1.120576023548</v>
      </c>
      <c r="AH4966">
        <v>12.165513329974001</v>
      </c>
      <c r="AI4966">
        <v>95.165392782788899</v>
      </c>
      <c r="AJ4966">
        <v>101.066254826677</v>
      </c>
      <c r="AK4966">
        <v>12.446552072781101</v>
      </c>
      <c r="AL4966">
        <v>80.123339458148195</v>
      </c>
      <c r="AM4966">
        <v>100.423982505902</v>
      </c>
      <c r="AN4966">
        <v>0.99999999208571</v>
      </c>
    </row>
    <row r="4967" spans="1:40" x14ac:dyDescent="0.25">
      <c r="A4967" t="str">
        <f>"20190303162401366"</f>
        <v>20190303162401366</v>
      </c>
      <c r="B4967" t="str">
        <f>"1551601441359997"</f>
        <v>1551601441359997</v>
      </c>
      <c r="C4967" t="s">
        <v>40</v>
      </c>
      <c r="D4967">
        <v>5.1855180000000001</v>
      </c>
      <c r="E4967">
        <v>0.34936630000000002</v>
      </c>
      <c r="F4967" t="s">
        <v>41</v>
      </c>
      <c r="G4967">
        <v>-419.32139999999998</v>
      </c>
      <c r="H4967" s="1">
        <v>-3.6959929999999998E-7</v>
      </c>
      <c r="I4967">
        <v>40.203589999999998</v>
      </c>
      <c r="J4967">
        <v>-422.11110000000002</v>
      </c>
      <c r="K4967">
        <v>1.120595</v>
      </c>
      <c r="L4967">
        <v>48.511960000000002</v>
      </c>
      <c r="M4967">
        <v>1.070692E-2</v>
      </c>
      <c r="N4967">
        <v>-1.068142E-2</v>
      </c>
      <c r="O4967">
        <v>-0.99988580000000005</v>
      </c>
      <c r="P4967">
        <v>0.1936312</v>
      </c>
      <c r="Q4967">
        <v>0.1602102</v>
      </c>
      <c r="R4967">
        <v>-0.96790520000000002</v>
      </c>
      <c r="S4967">
        <v>0.96359249999999996</v>
      </c>
      <c r="T4967">
        <v>-0.38657809999999998</v>
      </c>
      <c r="U4967">
        <v>-2.9735719999999999</v>
      </c>
      <c r="V4967">
        <v>-0.18327260000000001</v>
      </c>
      <c r="W4967">
        <v>0.1705431</v>
      </c>
      <c r="X4967">
        <v>0.96815609999999996</v>
      </c>
      <c r="Y4967">
        <v>-0.29590919999999998</v>
      </c>
      <c r="Z4967">
        <v>0.1123432</v>
      </c>
      <c r="AA4967">
        <v>0.94858679999999995</v>
      </c>
      <c r="AB4967">
        <v>31</v>
      </c>
      <c r="AC4967">
        <v>2.7897000000000398</v>
      </c>
      <c r="AD4967">
        <v>-1.1205953695993001</v>
      </c>
      <c r="AE4967">
        <v>-8.3083699999999894</v>
      </c>
      <c r="AF4967">
        <v>-2.6571383513972999</v>
      </c>
      <c r="AG4967">
        <v>-1.1205953695993001</v>
      </c>
      <c r="AH4967">
        <v>8.2036490440043703</v>
      </c>
      <c r="AI4967">
        <v>97.404131060500006</v>
      </c>
      <c r="AJ4967">
        <v>107.94698989437001</v>
      </c>
      <c r="AK4967">
        <v>8.6957446971508698</v>
      </c>
      <c r="AL4967">
        <v>80.180602613171899</v>
      </c>
      <c r="AM4967">
        <v>100.719289648417</v>
      </c>
      <c r="AN4967">
        <v>1.0000000144177801</v>
      </c>
    </row>
    <row r="4968" spans="1:40" x14ac:dyDescent="0.25">
      <c r="A4968" t="str">
        <f>"20190303162401389"</f>
        <v>20190303162401389</v>
      </c>
      <c r="B4968" t="str">
        <f>"1551601441379516"</f>
        <v>1551601441379516</v>
      </c>
      <c r="C4968" t="s">
        <v>40</v>
      </c>
      <c r="D4968">
        <v>5.134754</v>
      </c>
      <c r="E4968">
        <v>0.34958309999999998</v>
      </c>
      <c r="F4968" t="s">
        <v>42</v>
      </c>
      <c r="G4968">
        <v>-421.53879999999998</v>
      </c>
      <c r="H4968">
        <v>0.99894159999999999</v>
      </c>
      <c r="I4968">
        <v>47.600679999999997</v>
      </c>
      <c r="J4968">
        <v>-422.1078</v>
      </c>
      <c r="K4968">
        <v>1.1206370000000001</v>
      </c>
      <c r="L4968">
        <v>48.213749999999997</v>
      </c>
      <c r="M4968">
        <v>1.0847330000000001E-2</v>
      </c>
      <c r="N4968">
        <v>-1.068412E-2</v>
      </c>
      <c r="O4968">
        <v>-0.99988410000000005</v>
      </c>
      <c r="P4968">
        <v>0.1990268</v>
      </c>
      <c r="Q4968">
        <v>0.16103899999999999</v>
      </c>
      <c r="R4968">
        <v>-0.96667210000000003</v>
      </c>
      <c r="S4968">
        <v>1.764893</v>
      </c>
      <c r="T4968">
        <v>-0.37493720000000003</v>
      </c>
      <c r="U4968">
        <v>-2.8084720000000001</v>
      </c>
      <c r="V4968">
        <v>-0.18856239999999999</v>
      </c>
      <c r="W4968">
        <v>0.17134279999999999</v>
      </c>
      <c r="X4968">
        <v>0.96699840000000004</v>
      </c>
      <c r="Y4968">
        <v>-0.51977119999999999</v>
      </c>
      <c r="Z4968">
        <v>0.102073</v>
      </c>
      <c r="AA4968">
        <v>0.84818570000000004</v>
      </c>
      <c r="AB4968">
        <v>31</v>
      </c>
      <c r="AC4968">
        <v>0.56900000000001605</v>
      </c>
      <c r="AD4968">
        <v>-0.1216954</v>
      </c>
      <c r="AE4968">
        <v>-0.61307</v>
      </c>
      <c r="AF4968">
        <v>-0.55065937176931401</v>
      </c>
      <c r="AG4968">
        <v>-0.1216954</v>
      </c>
      <c r="AH4968">
        <v>0.60637049656157704</v>
      </c>
      <c r="AI4968">
        <v>98.450822243679795</v>
      </c>
      <c r="AJ4968">
        <v>132.243330520249</v>
      </c>
      <c r="AK4968">
        <v>0.82808254008816595</v>
      </c>
      <c r="AL4968">
        <v>80.134098735600702</v>
      </c>
      <c r="AM4968">
        <v>101.03407840261799</v>
      </c>
      <c r="AN4968">
        <v>1.0000000197040799</v>
      </c>
    </row>
    <row r="4969" spans="1:40" x14ac:dyDescent="0.25">
      <c r="A4969" t="str">
        <f>"20190303162401410"</f>
        <v>20190303162401410</v>
      </c>
      <c r="B4969" t="str">
        <f>"1551601441400013"</f>
        <v>1551601441400013</v>
      </c>
      <c r="C4969" t="s">
        <v>40</v>
      </c>
      <c r="D4969">
        <v>5.0768519999999997</v>
      </c>
      <c r="E4969">
        <v>0.34848289999999998</v>
      </c>
      <c r="F4969" t="s">
        <v>42</v>
      </c>
      <c r="G4969">
        <v>-421.54169999999999</v>
      </c>
      <c r="H4969">
        <v>1.0027010000000001</v>
      </c>
      <c r="I4969">
        <v>47.32226</v>
      </c>
      <c r="J4969">
        <v>-422.10430000000002</v>
      </c>
      <c r="K4969">
        <v>1.120711</v>
      </c>
      <c r="L4969">
        <v>47.908110000000001</v>
      </c>
      <c r="M4969">
        <v>1.1085970000000001E-2</v>
      </c>
      <c r="N4969">
        <v>-1.0686910000000001E-2</v>
      </c>
      <c r="O4969">
        <v>-0.99988160000000004</v>
      </c>
      <c r="P4969">
        <v>0.20318140000000001</v>
      </c>
      <c r="Q4969">
        <v>0.1628367</v>
      </c>
      <c r="R4969">
        <v>-0.96550599999999998</v>
      </c>
      <c r="S4969">
        <v>1.7781070000000001</v>
      </c>
      <c r="T4969">
        <v>-0.37030540000000001</v>
      </c>
      <c r="U4969">
        <v>-2.7990110000000001</v>
      </c>
      <c r="V4969">
        <v>-0.19252659999999999</v>
      </c>
      <c r="W4969">
        <v>0.17310039999999999</v>
      </c>
      <c r="X4969">
        <v>0.96590359999999997</v>
      </c>
      <c r="Y4969">
        <v>-0.5237851</v>
      </c>
      <c r="Z4969">
        <v>0.1007367</v>
      </c>
      <c r="AA4969">
        <v>0.84587309999999905</v>
      </c>
      <c r="AB4969">
        <v>31</v>
      </c>
      <c r="AC4969">
        <v>0.56260000000003096</v>
      </c>
      <c r="AD4969">
        <v>-0.118009999999999</v>
      </c>
      <c r="AE4969">
        <v>-0.58584999999999998</v>
      </c>
      <c r="AF4969">
        <v>-0.54457496314914799</v>
      </c>
      <c r="AG4969">
        <v>-0.118009999999999</v>
      </c>
      <c r="AH4969">
        <v>0.57981212405486005</v>
      </c>
      <c r="AI4969">
        <v>98.438615826359595</v>
      </c>
      <c r="AJ4969">
        <v>133.204995362967</v>
      </c>
      <c r="AK4969">
        <v>0.80415816217327896</v>
      </c>
      <c r="AL4969">
        <v>80.031867980529597</v>
      </c>
      <c r="AM4969">
        <v>101.272618677567</v>
      </c>
      <c r="AN4969">
        <v>1.0000000023403399</v>
      </c>
    </row>
    <row r="4970" spans="1:40" x14ac:dyDescent="0.25">
      <c r="A4970" t="str">
        <f>"20190303162401433"</f>
        <v>20190303162401433</v>
      </c>
      <c r="B4970" t="str">
        <f>"1551601441419533"</f>
        <v>1551601441419533</v>
      </c>
      <c r="C4970" t="s">
        <v>40</v>
      </c>
      <c r="D4970">
        <v>5.0688719999999998</v>
      </c>
      <c r="E4970">
        <v>0.3484507</v>
      </c>
      <c r="F4970" t="s">
        <v>42</v>
      </c>
      <c r="G4970">
        <v>-421.54700000000003</v>
      </c>
      <c r="H4970">
        <v>1.0059640000000001</v>
      </c>
      <c r="I4970">
        <v>47.043140000000001</v>
      </c>
      <c r="J4970">
        <v>-422.10050000000001</v>
      </c>
      <c r="K4970">
        <v>1.1208260000000001</v>
      </c>
      <c r="L4970">
        <v>47.595669999999998</v>
      </c>
      <c r="M4970">
        <v>1.149264E-2</v>
      </c>
      <c r="N4970">
        <v>-1.069021E-2</v>
      </c>
      <c r="O4970">
        <v>-0.99987669999999995</v>
      </c>
      <c r="P4970">
        <v>0.2080439</v>
      </c>
      <c r="Q4970">
        <v>0.16321379999999999</v>
      </c>
      <c r="R4970">
        <v>-0.96440599999999999</v>
      </c>
      <c r="S4970">
        <v>1.7988280000000001</v>
      </c>
      <c r="T4970">
        <v>-0.37027749999999998</v>
      </c>
      <c r="U4970">
        <v>-2.791077</v>
      </c>
      <c r="V4970">
        <v>-0.19705220000000001</v>
      </c>
      <c r="W4970">
        <v>0.17341790000000001</v>
      </c>
      <c r="X4970">
        <v>0.9649335</v>
      </c>
      <c r="Y4970">
        <v>-0.52897369999999899</v>
      </c>
      <c r="Z4970">
        <v>0.1005948</v>
      </c>
      <c r="AA4970">
        <v>0.84265499999999904</v>
      </c>
      <c r="AB4970">
        <v>31</v>
      </c>
      <c r="AC4970">
        <v>0.55350000000004196</v>
      </c>
      <c r="AD4970">
        <v>-0.11486200000000001</v>
      </c>
      <c r="AE4970">
        <v>-0.55252999999999697</v>
      </c>
      <c r="AF4970">
        <v>-0.53556103889205298</v>
      </c>
      <c r="AG4970">
        <v>-0.11486200000000001</v>
      </c>
      <c r="AH4970">
        <v>0.54705510917287004</v>
      </c>
      <c r="AI4970">
        <v>98.532723210005898</v>
      </c>
      <c r="AJ4970">
        <v>134.39171702256601</v>
      </c>
      <c r="AK4970">
        <v>0.77413706660724801</v>
      </c>
      <c r="AL4970">
        <v>80.013397184942903</v>
      </c>
      <c r="AM4970">
        <v>101.541859715355</v>
      </c>
      <c r="AN4970">
        <v>0.99999999849374899</v>
      </c>
    </row>
    <row r="4971" spans="1:40" x14ac:dyDescent="0.25">
      <c r="A4971" t="str">
        <f>"20190303162401456"</f>
        <v>20190303162401456</v>
      </c>
      <c r="B4971" t="str">
        <f>"1551601441449788"</f>
        <v>1551601441449788</v>
      </c>
      <c r="C4971" t="s">
        <v>40</v>
      </c>
      <c r="D4971">
        <v>5.0335159999999997</v>
      </c>
      <c r="E4971">
        <v>0.34880739999999999</v>
      </c>
      <c r="F4971" t="s">
        <v>42</v>
      </c>
      <c r="G4971">
        <v>-421.55739999999997</v>
      </c>
      <c r="H4971">
        <v>1.0103879999999901</v>
      </c>
      <c r="I4971">
        <v>46.762740000000001</v>
      </c>
      <c r="J4971">
        <v>-422.09620000000001</v>
      </c>
      <c r="K4971">
        <v>1.1209899999999999</v>
      </c>
      <c r="L4971">
        <v>47.27975</v>
      </c>
      <c r="M4971">
        <v>1.2145670000000001E-2</v>
      </c>
      <c r="N4971">
        <v>-1.06946E-2</v>
      </c>
      <c r="O4971">
        <v>-0.99986909999999896</v>
      </c>
      <c r="P4971">
        <v>0.21311350000000001</v>
      </c>
      <c r="Q4971">
        <v>0.16459749999999901</v>
      </c>
      <c r="R4971">
        <v>-0.96306290000000006</v>
      </c>
      <c r="S4971">
        <v>1.8140559999999999</v>
      </c>
      <c r="T4971">
        <v>-0.3688515</v>
      </c>
      <c r="U4971">
        <v>-2.7818299999999998</v>
      </c>
      <c r="V4971">
        <v>-0.2015777</v>
      </c>
      <c r="W4971">
        <v>0.17471010000000001</v>
      </c>
      <c r="X4971">
        <v>0.96376490000000004</v>
      </c>
      <c r="Y4971">
        <v>-0.53295530000000002</v>
      </c>
      <c r="Z4971">
        <v>0.100175399999999</v>
      </c>
      <c r="AA4971">
        <v>0.84019259999999996</v>
      </c>
      <c r="AB4971">
        <v>31</v>
      </c>
      <c r="AC4971">
        <v>0.53880000000003703</v>
      </c>
      <c r="AD4971">
        <v>-0.11060200000000001</v>
      </c>
      <c r="AE4971">
        <v>-0.51700999999999897</v>
      </c>
      <c r="AF4971">
        <v>-0.52104961060364197</v>
      </c>
      <c r="AG4971">
        <v>-0.11060200000000001</v>
      </c>
      <c r="AH4971">
        <v>0.51227790534763895</v>
      </c>
      <c r="AI4971">
        <v>98.607215990717904</v>
      </c>
      <c r="AJ4971">
        <v>135.48636043375799</v>
      </c>
      <c r="AK4971">
        <v>0.73902242957948905</v>
      </c>
      <c r="AL4971">
        <v>79.938211684753</v>
      </c>
      <c r="AM4971">
        <v>101.813483955713</v>
      </c>
      <c r="AN4971">
        <v>0.99999998532565404</v>
      </c>
    </row>
    <row r="4972" spans="1:40" x14ac:dyDescent="0.25">
      <c r="A4972" t="str">
        <f>"20190303162401479"</f>
        <v>20190303162401479</v>
      </c>
      <c r="B4972" t="str">
        <f>"1551601441470284"</f>
        <v>1551601441470284</v>
      </c>
      <c r="C4972" t="s">
        <v>40</v>
      </c>
      <c r="D4972">
        <v>5.0602080000000003</v>
      </c>
      <c r="E4972">
        <v>0.3490837</v>
      </c>
      <c r="F4972" t="s">
        <v>42</v>
      </c>
      <c r="G4972">
        <v>-421.57119999999998</v>
      </c>
      <c r="H4972">
        <v>1.0136130000000001</v>
      </c>
      <c r="I4972">
        <v>46.481470000000002</v>
      </c>
      <c r="J4972">
        <v>-422.0915</v>
      </c>
      <c r="K4972">
        <v>1.121227</v>
      </c>
      <c r="L4972">
        <v>46.964019999999998</v>
      </c>
      <c r="M4972">
        <v>1.312402E-2</v>
      </c>
      <c r="N4972">
        <v>-1.070456E-2</v>
      </c>
      <c r="O4972">
        <v>-0.99985670000000004</v>
      </c>
      <c r="P4972">
        <v>0.21837680000000001</v>
      </c>
      <c r="Q4972">
        <v>0.1667418</v>
      </c>
      <c r="R4972">
        <v>-0.96151379999999997</v>
      </c>
      <c r="S4972">
        <v>1.826141</v>
      </c>
      <c r="T4972">
        <v>-0.37325039999999998</v>
      </c>
      <c r="U4972">
        <v>-2.77475</v>
      </c>
      <c r="V4972">
        <v>-0.20601939999999999</v>
      </c>
      <c r="W4972">
        <v>0.1767281</v>
      </c>
      <c r="X4972">
        <v>0.9624568</v>
      </c>
      <c r="Y4972">
        <v>-0.53558700000000004</v>
      </c>
      <c r="Z4972">
        <v>0.1014847</v>
      </c>
      <c r="AA4972">
        <v>0.83835999999999999</v>
      </c>
      <c r="AB4972">
        <v>31</v>
      </c>
      <c r="AC4972">
        <v>0.52030000000001997</v>
      </c>
      <c r="AD4972">
        <v>-0.107614</v>
      </c>
      <c r="AE4972">
        <v>-0.48254999999999598</v>
      </c>
      <c r="AF4972">
        <v>-0.50236860453075705</v>
      </c>
      <c r="AG4972">
        <v>-0.107614</v>
      </c>
      <c r="AH4972">
        <v>0.47833670563632802</v>
      </c>
      <c r="AI4972">
        <v>98.818388251878901</v>
      </c>
      <c r="AJ4972">
        <v>136.40373551501099</v>
      </c>
      <c r="AK4972">
        <v>0.70196936669145005</v>
      </c>
      <c r="AL4972">
        <v>79.820760959808894</v>
      </c>
      <c r="AM4972">
        <v>102.082158265885</v>
      </c>
      <c r="AN4972">
        <v>0.99999995318610402</v>
      </c>
    </row>
    <row r="4973" spans="1:40" x14ac:dyDescent="0.25">
      <c r="A4973" t="str">
        <f>"20190303162401511"</f>
        <v>20190303162401511</v>
      </c>
      <c r="B4973" t="str">
        <f>"1551601441499564"</f>
        <v>1551601441499564</v>
      </c>
      <c r="C4973" t="s">
        <v>40</v>
      </c>
      <c r="D4973">
        <v>5.0494389999999996</v>
      </c>
      <c r="E4973">
        <v>0.34990139999999997</v>
      </c>
      <c r="F4973" t="s">
        <v>42</v>
      </c>
      <c r="G4973">
        <v>-421.58390000000003</v>
      </c>
      <c r="H4973">
        <v>1.0189790000000001</v>
      </c>
      <c r="I4973">
        <v>46.200339999999997</v>
      </c>
      <c r="J4973">
        <v>-422.08330000000001</v>
      </c>
      <c r="K4973">
        <v>1.121702</v>
      </c>
      <c r="L4973">
        <v>46.513399999999997</v>
      </c>
      <c r="M4973">
        <v>1.531124E-2</v>
      </c>
      <c r="N4973">
        <v>-1.0732190000000001E-2</v>
      </c>
      <c r="O4973">
        <v>-0.99982510000000002</v>
      </c>
      <c r="P4973">
        <v>0.2203599</v>
      </c>
      <c r="Q4973">
        <v>0.1700306</v>
      </c>
      <c r="R4973">
        <v>-0.96048460000000002</v>
      </c>
      <c r="S4973">
        <v>1.8392029999999999</v>
      </c>
      <c r="T4973">
        <v>-0.3704249</v>
      </c>
      <c r="U4973">
        <v>-2.7666019999999998</v>
      </c>
      <c r="V4973">
        <v>-0.20611650000000001</v>
      </c>
      <c r="W4973">
        <v>0.1798051</v>
      </c>
      <c r="X4973">
        <v>0.961866</v>
      </c>
      <c r="Y4973">
        <v>-0.53767180000000003</v>
      </c>
      <c r="Z4973">
        <v>0.1006816</v>
      </c>
      <c r="AA4973">
        <v>0.83712140000000002</v>
      </c>
      <c r="AB4973">
        <v>31</v>
      </c>
      <c r="AC4973">
        <v>0.49939999999998003</v>
      </c>
      <c r="AD4973">
        <v>-0.102722999999999</v>
      </c>
      <c r="AE4973">
        <v>-0.31305999999999301</v>
      </c>
      <c r="AF4973">
        <v>-0.47996941746984501</v>
      </c>
      <c r="AG4973">
        <v>-0.102722999999999</v>
      </c>
      <c r="AH4973">
        <v>0.31121736596103</v>
      </c>
      <c r="AI4973">
        <v>100.180324112184</v>
      </c>
      <c r="AJ4973">
        <v>147.04018808502801</v>
      </c>
      <c r="AK4973">
        <v>0.58118749583164997</v>
      </c>
      <c r="AL4973">
        <v>79.641592817175606</v>
      </c>
      <c r="AM4973">
        <v>102.094891321343</v>
      </c>
      <c r="AN4973">
        <v>1.0000000437571199</v>
      </c>
    </row>
    <row r="4974" spans="1:40" x14ac:dyDescent="0.25">
      <c r="A4974" t="str">
        <f>"20190303162401534"</f>
        <v>20190303162401534</v>
      </c>
      <c r="B4974" t="str">
        <f>"1551601441529821"</f>
        <v>1551601441529821</v>
      </c>
      <c r="C4974" t="s">
        <v>40</v>
      </c>
      <c r="D4974">
        <v>5.027215</v>
      </c>
      <c r="E4974">
        <v>0.350437</v>
      </c>
      <c r="F4974" t="s">
        <v>42</v>
      </c>
      <c r="G4974">
        <v>-421.51389999999998</v>
      </c>
      <c r="H4974">
        <v>1.0122899999999999</v>
      </c>
      <c r="I4974">
        <v>45.659970000000001</v>
      </c>
      <c r="J4974">
        <v>-422.07639999999998</v>
      </c>
      <c r="K4974">
        <v>1.122072</v>
      </c>
      <c r="L4974">
        <v>46.196620000000003</v>
      </c>
      <c r="M4974">
        <v>1.7413379999999999E-2</v>
      </c>
      <c r="N4974">
        <v>-1.075679E-2</v>
      </c>
      <c r="O4974">
        <v>-0.99979059999999997</v>
      </c>
      <c r="P4974">
        <v>0.22158240000000001</v>
      </c>
      <c r="Q4974">
        <v>0.16988499999999901</v>
      </c>
      <c r="R4974">
        <v>-0.96022960000000002</v>
      </c>
      <c r="S4974">
        <v>1.8437809999999999</v>
      </c>
      <c r="T4974">
        <v>-0.35424840000000002</v>
      </c>
      <c r="U4974">
        <v>-2.7631230000000002</v>
      </c>
      <c r="V4974">
        <v>-0.20547470000000001</v>
      </c>
      <c r="W4974">
        <v>0.17950539999999901</v>
      </c>
      <c r="X4974">
        <v>0.9620592</v>
      </c>
      <c r="Y4974">
        <v>-0.53762209999999999</v>
      </c>
      <c r="Z4974">
        <v>9.5926540000000005E-2</v>
      </c>
      <c r="AA4974">
        <v>0.83771149999999905</v>
      </c>
      <c r="AB4974">
        <v>31</v>
      </c>
      <c r="AC4974">
        <v>0.5625</v>
      </c>
      <c r="AD4974">
        <v>-0.109782</v>
      </c>
      <c r="AE4974">
        <v>-0.53665000000000096</v>
      </c>
      <c r="AF4974">
        <v>-0.54225635465885902</v>
      </c>
      <c r="AG4974">
        <v>-0.109782</v>
      </c>
      <c r="AH4974">
        <v>0.53568238582232997</v>
      </c>
      <c r="AI4974">
        <v>98.195780094647304</v>
      </c>
      <c r="AJ4974">
        <v>135.34942245339701</v>
      </c>
      <c r="AK4974">
        <v>0.77009717579810499</v>
      </c>
      <c r="AL4974">
        <v>79.6590476262961</v>
      </c>
      <c r="AM4974">
        <v>102.055983770513</v>
      </c>
      <c r="AN4974">
        <v>0.99999997263694396</v>
      </c>
    </row>
    <row r="4975" spans="1:40" x14ac:dyDescent="0.25">
      <c r="A4975" t="str">
        <f>"20190303162401556"</f>
        <v>20190303162401556</v>
      </c>
      <c r="B4975" t="str">
        <f>"1551601441550316"</f>
        <v>1551601441550316</v>
      </c>
      <c r="C4975" t="s">
        <v>40</v>
      </c>
      <c r="D4975">
        <v>5.0430400000000004</v>
      </c>
      <c r="E4975">
        <v>0.35072940000000002</v>
      </c>
      <c r="F4975" t="s">
        <v>42</v>
      </c>
      <c r="G4975">
        <v>-421.5301</v>
      </c>
      <c r="H4975">
        <v>1.0164530000000001</v>
      </c>
      <c r="I4975">
        <v>45.377870000000001</v>
      </c>
      <c r="J4975">
        <v>-422.06849999999997</v>
      </c>
      <c r="K4975">
        <v>1.122428</v>
      </c>
      <c r="L4975">
        <v>45.883389999999999</v>
      </c>
      <c r="M4975">
        <v>1.9929039999999999E-2</v>
      </c>
      <c r="N4975">
        <v>-1.0781219999999999E-2</v>
      </c>
      <c r="O4975">
        <v>-0.9997433</v>
      </c>
      <c r="P4975">
        <v>0.22411449999999999</v>
      </c>
      <c r="Q4975">
        <v>0.16907220000000001</v>
      </c>
      <c r="R4975">
        <v>-0.95978529999999995</v>
      </c>
      <c r="S4975">
        <v>1.843262</v>
      </c>
      <c r="T4975">
        <v>-0.35630260000000002</v>
      </c>
      <c r="U4975">
        <v>-2.7619319999999998</v>
      </c>
      <c r="V4975">
        <v>-0.205737</v>
      </c>
      <c r="W4975">
        <v>0.17854320000000001</v>
      </c>
      <c r="X4975">
        <v>0.96218219999999999</v>
      </c>
      <c r="Y4975">
        <v>-0.53552279999999997</v>
      </c>
      <c r="Z4975">
        <v>9.6633640000000007E-2</v>
      </c>
      <c r="AA4975">
        <v>0.83897389999999905</v>
      </c>
      <c r="AB4975">
        <v>31</v>
      </c>
      <c r="AC4975">
        <v>0.53839999999996702</v>
      </c>
      <c r="AD4975">
        <v>-0.105974999999999</v>
      </c>
      <c r="AE4975">
        <v>-0.50552000000000397</v>
      </c>
      <c r="AF4975">
        <v>-0.51756098661432204</v>
      </c>
      <c r="AG4975">
        <v>-0.105974999999999</v>
      </c>
      <c r="AH4975">
        <v>0.50573652372234101</v>
      </c>
      <c r="AI4975">
        <v>98.331703301736894</v>
      </c>
      <c r="AJ4975">
        <v>135.662037834069</v>
      </c>
      <c r="AK4975">
        <v>0.731347733241136</v>
      </c>
      <c r="AL4975">
        <v>79.715083044999005</v>
      </c>
      <c r="AM4975">
        <v>102.069424985648</v>
      </c>
      <c r="AN4975">
        <v>0.99999998671603896</v>
      </c>
    </row>
    <row r="4976" spans="1:40" x14ac:dyDescent="0.25">
      <c r="A4976" t="str">
        <f>"20190303162401577"</f>
        <v>20190303162401577</v>
      </c>
      <c r="B4976" t="str">
        <f>"1551601441569837"</f>
        <v>1551601441569837</v>
      </c>
      <c r="C4976" t="s">
        <v>40</v>
      </c>
      <c r="D4976">
        <v>5.0439429999999996</v>
      </c>
      <c r="E4976">
        <v>0.35097009999999901</v>
      </c>
      <c r="F4976" t="s">
        <v>42</v>
      </c>
      <c r="G4976">
        <v>-421.54230000000001</v>
      </c>
      <c r="H4976">
        <v>1.018618</v>
      </c>
      <c r="I4976">
        <v>45.09657</v>
      </c>
      <c r="J4976">
        <v>-422.05970000000002</v>
      </c>
      <c r="K4976">
        <v>1.1227529999999999</v>
      </c>
      <c r="L4976">
        <v>45.583739999999999</v>
      </c>
      <c r="M4976">
        <v>2.276189E-2</v>
      </c>
      <c r="N4976">
        <v>-1.080385E-2</v>
      </c>
      <c r="O4976">
        <v>-0.99968250000000003</v>
      </c>
      <c r="P4976">
        <v>0.22987650000000001</v>
      </c>
      <c r="Q4976">
        <v>0.16852890000000001</v>
      </c>
      <c r="R4976">
        <v>-0.95851710000000001</v>
      </c>
      <c r="S4976">
        <v>1.8454900000000001</v>
      </c>
      <c r="T4976">
        <v>-0.36400519999999997</v>
      </c>
      <c r="U4976">
        <v>-2.7588810000000001</v>
      </c>
      <c r="V4976">
        <v>-0.20893010000000001</v>
      </c>
      <c r="W4976">
        <v>0.17783940000000001</v>
      </c>
      <c r="X4976">
        <v>0.96162429999999999</v>
      </c>
      <c r="Y4976">
        <v>-0.53389439999999999</v>
      </c>
      <c r="Z4976">
        <v>9.9038710000000002E-2</v>
      </c>
      <c r="AA4976">
        <v>0.83973099999999901</v>
      </c>
      <c r="AB4976">
        <v>31</v>
      </c>
      <c r="AC4976">
        <v>0.51740000000000896</v>
      </c>
      <c r="AD4976">
        <v>-0.10413500000000001</v>
      </c>
      <c r="AE4976">
        <v>-0.48716999999999799</v>
      </c>
      <c r="AF4976">
        <v>-0.495536283853938</v>
      </c>
      <c r="AG4976">
        <v>-0.10413500000000001</v>
      </c>
      <c r="AH4976">
        <v>0.488335968450333</v>
      </c>
      <c r="AI4976">
        <v>98.512787264795094</v>
      </c>
      <c r="AJ4976">
        <v>135.419302727526</v>
      </c>
      <c r="AK4976">
        <v>0.70347162339578095</v>
      </c>
      <c r="AL4976">
        <v>79.756063467557595</v>
      </c>
      <c r="AM4976">
        <v>102.25802251568</v>
      </c>
      <c r="AN4976">
        <v>0.99999996661442903</v>
      </c>
    </row>
    <row r="4977" spans="1:40" x14ac:dyDescent="0.25">
      <c r="A4977" t="str">
        <f>"20190303162401600"</f>
        <v>20190303162401600</v>
      </c>
      <c r="B4977" t="str">
        <f>"1551601441589357"</f>
        <v>1551601441589357</v>
      </c>
      <c r="C4977" t="s">
        <v>40</v>
      </c>
      <c r="D4977">
        <v>5.0032620000000003</v>
      </c>
      <c r="E4977">
        <v>0.35105340000000002</v>
      </c>
      <c r="F4977" t="s">
        <v>42</v>
      </c>
      <c r="G4977">
        <v>-421.54309999999998</v>
      </c>
      <c r="H4977">
        <v>1.018934</v>
      </c>
      <c r="I4977">
        <v>44.817749999999997</v>
      </c>
      <c r="J4977">
        <v>-422.0496</v>
      </c>
      <c r="K4977">
        <v>1.1230659999999999</v>
      </c>
      <c r="L4977">
        <v>45.27948</v>
      </c>
      <c r="M4977">
        <v>2.6030000000000001E-2</v>
      </c>
      <c r="N4977">
        <v>-1.0827079999999999E-2</v>
      </c>
      <c r="O4977">
        <v>-0.99960269999999996</v>
      </c>
      <c r="P4977">
        <v>0.23825379999999999</v>
      </c>
      <c r="Q4977">
        <v>0.16812669999999999</v>
      </c>
      <c r="R4977">
        <v>-0.95654019999999995</v>
      </c>
      <c r="S4977">
        <v>1.855621</v>
      </c>
      <c r="T4977">
        <v>-0.3727782</v>
      </c>
      <c r="U4977">
        <v>-2.7503660000000001</v>
      </c>
      <c r="V4977">
        <v>-0.21433650000000001</v>
      </c>
      <c r="W4977">
        <v>0.1772589</v>
      </c>
      <c r="X4977">
        <v>0.96054110000000004</v>
      </c>
      <c r="Y4977">
        <v>-0.534304</v>
      </c>
      <c r="Z4977">
        <v>0.10178710000000001</v>
      </c>
      <c r="AA4977">
        <v>0.83914169999999999</v>
      </c>
      <c r="AB4977">
        <v>31</v>
      </c>
      <c r="AC4977">
        <v>0.50650000000001605</v>
      </c>
      <c r="AD4977">
        <v>-0.104131999999999</v>
      </c>
      <c r="AE4977">
        <v>-0.46173000000000203</v>
      </c>
      <c r="AF4977">
        <v>-0.48315559047192902</v>
      </c>
      <c r="AG4977">
        <v>-0.104131999999999</v>
      </c>
      <c r="AH4977">
        <v>0.46404638167405599</v>
      </c>
      <c r="AI4977">
        <v>98.835459435363205</v>
      </c>
      <c r="AJ4977">
        <v>136.155749821162</v>
      </c>
      <c r="AK4977">
        <v>0.677954159492412</v>
      </c>
      <c r="AL4977">
        <v>79.789861282942397</v>
      </c>
      <c r="AM4977">
        <v>102.57898538961901</v>
      </c>
      <c r="AN4977">
        <v>1.0000000288253299</v>
      </c>
    </row>
    <row r="4978" spans="1:40" x14ac:dyDescent="0.25">
      <c r="A4978" t="str">
        <f>"20190303162401623"</f>
        <v>20190303162401623</v>
      </c>
      <c r="B4978" t="str">
        <f>"1551601441609853"</f>
        <v>1551601441609853</v>
      </c>
      <c r="C4978" t="s">
        <v>40</v>
      </c>
      <c r="D4978">
        <v>5.0503229999999997</v>
      </c>
      <c r="E4978">
        <v>0.3511611</v>
      </c>
      <c r="F4978" t="s">
        <v>42</v>
      </c>
      <c r="G4978">
        <v>-421.54329999999999</v>
      </c>
      <c r="H4978">
        <v>1.0191479999999999</v>
      </c>
      <c r="I4978">
        <v>44.538899999999998</v>
      </c>
      <c r="J4978">
        <v>-422.0376</v>
      </c>
      <c r="K4978">
        <v>1.1233649999999999</v>
      </c>
      <c r="L4978">
        <v>44.96161</v>
      </c>
      <c r="M4978">
        <v>2.9804509999999999E-2</v>
      </c>
      <c r="N4978">
        <v>-1.085096E-2</v>
      </c>
      <c r="O4978">
        <v>-0.99949690000000002</v>
      </c>
      <c r="P4978">
        <v>0.25029950000000001</v>
      </c>
      <c r="Q4978">
        <v>0.1683161</v>
      </c>
      <c r="R4978">
        <v>-0.95342550000000004</v>
      </c>
      <c r="S4978">
        <v>1.8718870000000001</v>
      </c>
      <c r="T4978">
        <v>-0.38413079999999999</v>
      </c>
      <c r="U4978">
        <v>-2.7375790000000002</v>
      </c>
      <c r="V4978">
        <v>-0.2229642</v>
      </c>
      <c r="W4978">
        <v>0.17723639999999999</v>
      </c>
      <c r="X4978">
        <v>0.95857930000000002</v>
      </c>
      <c r="Y4978">
        <v>-0.53612179999999998</v>
      </c>
      <c r="Z4978">
        <v>0.10532950000000001</v>
      </c>
      <c r="AA4978">
        <v>0.8375435</v>
      </c>
      <c r="AB4978">
        <v>31</v>
      </c>
      <c r="AC4978">
        <v>0.49430000000000901</v>
      </c>
      <c r="AD4978">
        <v>-0.104217</v>
      </c>
      <c r="AE4978">
        <v>-0.42271000000000197</v>
      </c>
      <c r="AF4978">
        <v>-0.46942813910581899</v>
      </c>
      <c r="AG4978">
        <v>-0.104217</v>
      </c>
      <c r="AH4978">
        <v>0.42630967941540199</v>
      </c>
      <c r="AI4978">
        <v>99.3331335642536</v>
      </c>
      <c r="AJ4978">
        <v>137.75594055911299</v>
      </c>
      <c r="AK4978">
        <v>0.64262267594336797</v>
      </c>
      <c r="AL4978">
        <v>79.791171140820595</v>
      </c>
      <c r="AM4978">
        <v>103.094092135148</v>
      </c>
      <c r="AN4978">
        <v>1.0000000251775401</v>
      </c>
    </row>
    <row r="4979" spans="1:40" x14ac:dyDescent="0.25">
      <c r="A4979" t="str">
        <f>"20190303162401645"</f>
        <v>20190303162401645</v>
      </c>
      <c r="B4979" t="str">
        <f>"1551601441640108"</f>
        <v>1551601441640108</v>
      </c>
      <c r="C4979" t="s">
        <v>40</v>
      </c>
      <c r="D4979">
        <v>5.0430140000000003</v>
      </c>
      <c r="E4979">
        <v>0.3515432</v>
      </c>
      <c r="F4979" t="s">
        <v>56</v>
      </c>
      <c r="G4979">
        <v>-416.63990000000001</v>
      </c>
      <c r="H4979" s="1">
        <v>-2.396474E-6</v>
      </c>
      <c r="I4979">
        <v>37.232439999999997</v>
      </c>
      <c r="J4979">
        <v>-422.02370000000002</v>
      </c>
      <c r="K4979">
        <v>1.1236200000000001</v>
      </c>
      <c r="L4979">
        <v>44.639769999999999</v>
      </c>
      <c r="M4979">
        <v>3.3968900000000003E-2</v>
      </c>
      <c r="N4979">
        <v>-1.0873610000000001E-2</v>
      </c>
      <c r="O4979">
        <v>-0.99936389999999997</v>
      </c>
      <c r="P4979">
        <v>0.26493860000000002</v>
      </c>
      <c r="Q4979">
        <v>0.16801199999999999</v>
      </c>
      <c r="R4979">
        <v>-0.94951560000000002</v>
      </c>
      <c r="S4979">
        <v>1.898102</v>
      </c>
      <c r="T4979">
        <v>-0.395036</v>
      </c>
      <c r="U4979">
        <v>-2.7179869999999999</v>
      </c>
      <c r="V4979">
        <v>-0.2338374</v>
      </c>
      <c r="W4979">
        <v>0.17670179999999999</v>
      </c>
      <c r="X4979">
        <v>0.95608400000000004</v>
      </c>
      <c r="Y4979">
        <v>-0.54064389999999996</v>
      </c>
      <c r="Z4979">
        <v>0.1087587</v>
      </c>
      <c r="AA4979">
        <v>0.83419159999999903</v>
      </c>
      <c r="AB4979">
        <v>31</v>
      </c>
      <c r="AC4979">
        <v>5.3837999999999999</v>
      </c>
      <c r="AD4979">
        <v>-1.123622396474</v>
      </c>
      <c r="AE4979">
        <v>-7.4073299999999902</v>
      </c>
      <c r="AF4979">
        <v>-5.0529798009264502</v>
      </c>
      <c r="AG4979">
        <v>-1.123622396474</v>
      </c>
      <c r="AH4979">
        <v>7.4734251837408303</v>
      </c>
      <c r="AI4979">
        <v>97.099714290217094</v>
      </c>
      <c r="AJ4979">
        <v>124.06366238959799</v>
      </c>
      <c r="AK4979">
        <v>9.0910514317872195</v>
      </c>
      <c r="AL4979">
        <v>79.822292778987403</v>
      </c>
      <c r="AM4979">
        <v>103.74350504688699</v>
      </c>
      <c r="AN4979">
        <v>1.00000003540899</v>
      </c>
    </row>
    <row r="4980" spans="1:40" x14ac:dyDescent="0.25">
      <c r="A4980" t="str">
        <f>"20190303162401668"</f>
        <v>20190303162401668</v>
      </c>
      <c r="B4980" t="str">
        <f>"1551601441659629"</f>
        <v>1551601441659629</v>
      </c>
      <c r="C4980" t="s">
        <v>40</v>
      </c>
      <c r="D4980">
        <v>5.0730629999999897</v>
      </c>
      <c r="E4980">
        <v>0.326675299999999</v>
      </c>
      <c r="F4980" t="s">
        <v>56</v>
      </c>
      <c r="G4980">
        <v>-416.63290000000001</v>
      </c>
      <c r="H4980" s="1">
        <v>-2.4658269999999999E-6</v>
      </c>
      <c r="I4980">
        <v>37.126269999999998</v>
      </c>
      <c r="J4980">
        <v>-422.00900000000001</v>
      </c>
      <c r="K4980">
        <v>1.12382</v>
      </c>
      <c r="L4980">
        <v>44.332610000000003</v>
      </c>
      <c r="M4980">
        <v>3.8154720000000003E-2</v>
      </c>
      <c r="N4980">
        <v>-1.089123E-2</v>
      </c>
      <c r="O4980">
        <v>-0.99921249999999995</v>
      </c>
      <c r="P4980">
        <v>0.28319569999999999</v>
      </c>
      <c r="Q4980">
        <v>0.16663639999999999</v>
      </c>
      <c r="R4980">
        <v>-0.9444747</v>
      </c>
      <c r="S4980">
        <v>1.931335</v>
      </c>
      <c r="T4980">
        <v>-0.40255590000000002</v>
      </c>
      <c r="U4980">
        <v>-2.6918329999999999</v>
      </c>
      <c r="V4980">
        <v>-0.24833920000000001</v>
      </c>
      <c r="W4980">
        <v>0.1750707</v>
      </c>
      <c r="X4980">
        <v>0.95272129999999999</v>
      </c>
      <c r="Y4980">
        <v>-0.54757250000000002</v>
      </c>
      <c r="Z4980">
        <v>0.111232</v>
      </c>
      <c r="AA4980">
        <v>0.82933219999999996</v>
      </c>
      <c r="AB4980">
        <v>31</v>
      </c>
      <c r="AC4980">
        <v>5.3761000000000001</v>
      </c>
      <c r="AD4980">
        <v>-1.123822465827</v>
      </c>
      <c r="AE4980">
        <v>-7.2063399999999902</v>
      </c>
      <c r="AF4980">
        <v>-5.0187971632305404</v>
      </c>
      <c r="AG4980">
        <v>-1.123822465827</v>
      </c>
      <c r="AH4980">
        <v>7.2922903528837804</v>
      </c>
      <c r="AI4980">
        <v>97.235024967689597</v>
      </c>
      <c r="AJ4980">
        <v>124.53704387975201</v>
      </c>
      <c r="AK4980">
        <v>8.9234970998544192</v>
      </c>
      <c r="AL4980">
        <v>79.917227481332702</v>
      </c>
      <c r="AM4980">
        <v>104.609792661092</v>
      </c>
      <c r="AN4980">
        <v>0.99999999186440902</v>
      </c>
    </row>
    <row r="4981" spans="1:40" x14ac:dyDescent="0.25">
      <c r="A4981" t="str">
        <f>"20190303162401690"</f>
        <v>20190303162401690</v>
      </c>
      <c r="B4981" t="str">
        <f>"1551601441680124"</f>
        <v>1551601441680124</v>
      </c>
      <c r="C4981" t="s">
        <v>40</v>
      </c>
      <c r="D4981">
        <v>4.8699409999999999</v>
      </c>
      <c r="E4981">
        <v>0.3245923</v>
      </c>
      <c r="F4981" t="s">
        <v>56</v>
      </c>
      <c r="G4981">
        <v>-416.82990000000001</v>
      </c>
      <c r="H4981" s="1">
        <v>-1.7916299999999999E-6</v>
      </c>
      <c r="I4981">
        <v>38.104500000000002</v>
      </c>
      <c r="J4981">
        <v>-421.99270000000001</v>
      </c>
      <c r="K4981">
        <v>1.123993</v>
      </c>
      <c r="L4981">
        <v>44.02261</v>
      </c>
      <c r="M4981">
        <v>4.2568750000000002E-2</v>
      </c>
      <c r="N4981">
        <v>-1.090152E-2</v>
      </c>
      <c r="O4981">
        <v>-0.99903419999999998</v>
      </c>
      <c r="P4981">
        <v>0.30234040000000001</v>
      </c>
      <c r="Q4981">
        <v>0.16536120000000001</v>
      </c>
      <c r="R4981">
        <v>-0.9387472</v>
      </c>
      <c r="S4981">
        <v>2.169495</v>
      </c>
      <c r="T4981">
        <v>-0.47076180000000001</v>
      </c>
      <c r="U4981">
        <v>-2.6089169999999999</v>
      </c>
      <c r="V4981">
        <v>-0.263557599999999</v>
      </c>
      <c r="W4981">
        <v>0.17352629999999999</v>
      </c>
      <c r="X4981">
        <v>0.94890779999999997</v>
      </c>
      <c r="Y4981">
        <v>-0.60036129999999999</v>
      </c>
      <c r="Z4981">
        <v>0.12863550000000001</v>
      </c>
      <c r="AA4981">
        <v>0.78931560000000001</v>
      </c>
      <c r="AB4981">
        <v>31</v>
      </c>
      <c r="AC4981">
        <v>5.1627999999999998</v>
      </c>
      <c r="AD4981">
        <v>-1.1239947916299999</v>
      </c>
      <c r="AE4981">
        <v>-5.9181099999999898</v>
      </c>
      <c r="AF4981">
        <v>-4.8077017058384399</v>
      </c>
      <c r="AG4981">
        <v>-1.1239947916299999</v>
      </c>
      <c r="AH4981">
        <v>6.00944015435413</v>
      </c>
      <c r="AI4981">
        <v>98.309328944915805</v>
      </c>
      <c r="AJ4981">
        <v>128.66067785475499</v>
      </c>
      <c r="AK4981">
        <v>7.7775787333010697</v>
      </c>
      <c r="AL4981">
        <v>80.007090714752806</v>
      </c>
      <c r="AM4981">
        <v>105.52254703656</v>
      </c>
      <c r="AN4981">
        <v>0.99999999910514403</v>
      </c>
    </row>
    <row r="4982" spans="1:40" x14ac:dyDescent="0.25">
      <c r="A4982" t="str">
        <f>"20190303162401712"</f>
        <v>20190303162401712</v>
      </c>
      <c r="B4982" t="str">
        <f>"1551601441699645"</f>
        <v>1551601441699645</v>
      </c>
      <c r="C4982" t="s">
        <v>40</v>
      </c>
      <c r="D4982">
        <v>4.899356</v>
      </c>
      <c r="E4982">
        <v>0.32420179999999998</v>
      </c>
      <c r="F4982" t="s">
        <v>56</v>
      </c>
      <c r="G4982">
        <v>-416.66829999999999</v>
      </c>
      <c r="H4982" s="1">
        <v>-1.9523170000000002E-6</v>
      </c>
      <c r="I4982">
        <v>37.919310000000003</v>
      </c>
      <c r="J4982">
        <v>-421.9753</v>
      </c>
      <c r="K4982">
        <v>1.1241410000000001</v>
      </c>
      <c r="L4982">
        <v>43.720399999999998</v>
      </c>
      <c r="M4982">
        <v>4.7052530000000002E-2</v>
      </c>
      <c r="N4982">
        <v>-1.090853E-2</v>
      </c>
      <c r="O4982">
        <v>-0.99883290000000002</v>
      </c>
      <c r="P4982">
        <v>0.3219745</v>
      </c>
      <c r="Q4982">
        <v>0.16305459999999999</v>
      </c>
      <c r="R4982">
        <v>-0.93260149999999997</v>
      </c>
      <c r="S4982">
        <v>2.2329409999999998</v>
      </c>
      <c r="T4982">
        <v>-0.47138609999999997</v>
      </c>
      <c r="U4982">
        <v>-2.559631</v>
      </c>
      <c r="V4982">
        <v>-0.27923829999999999</v>
      </c>
      <c r="W4982">
        <v>0.1709387</v>
      </c>
      <c r="X4982">
        <v>0.9448841</v>
      </c>
      <c r="Y4982">
        <v>-0.61530640000000003</v>
      </c>
      <c r="Z4982">
        <v>0.12893689999999999</v>
      </c>
      <c r="AA4982">
        <v>0.77767180000000002</v>
      </c>
      <c r="AB4982">
        <v>31</v>
      </c>
      <c r="AC4982">
        <v>5.3070000000000102</v>
      </c>
      <c r="AD4982">
        <v>-1.1241429523169999</v>
      </c>
      <c r="AE4982">
        <v>-5.8010900000000003</v>
      </c>
      <c r="AF4982">
        <v>-4.9274199426028398</v>
      </c>
      <c r="AG4982">
        <v>-1.1241429523169999</v>
      </c>
      <c r="AH4982">
        <v>5.9232990954003304</v>
      </c>
      <c r="AI4982">
        <v>98.3009083954951</v>
      </c>
      <c r="AJ4982">
        <v>129.75608375170199</v>
      </c>
      <c r="AK4982">
        <v>7.7864392915872997</v>
      </c>
      <c r="AL4982">
        <v>80.157598616012095</v>
      </c>
      <c r="AM4982">
        <v>106.463806942311</v>
      </c>
      <c r="AN4982">
        <v>1.0000000148886901</v>
      </c>
    </row>
    <row r="4983" spans="1:40" x14ac:dyDescent="0.25">
      <c r="A4983" t="str">
        <f>"20190303162401734"</f>
        <v>20190303162401734</v>
      </c>
      <c r="B4983" t="str">
        <f>"1551601441729901"</f>
        <v>1551601441729901</v>
      </c>
      <c r="C4983" t="s">
        <v>40</v>
      </c>
      <c r="D4983">
        <v>4.9576339999999997</v>
      </c>
      <c r="E4983">
        <v>0.32710919999999999</v>
      </c>
      <c r="F4983" t="s">
        <v>56</v>
      </c>
      <c r="G4983">
        <v>-416.62920000000003</v>
      </c>
      <c r="H4983" s="1">
        <v>-2.0101290000000002E-6</v>
      </c>
      <c r="I4983">
        <v>37.844729999999998</v>
      </c>
      <c r="J4983">
        <v>-421.95569999999998</v>
      </c>
      <c r="K4983">
        <v>1.1243069999999999</v>
      </c>
      <c r="L4983">
        <v>43.405209999999997</v>
      </c>
      <c r="M4983">
        <v>5.1930530000000003E-2</v>
      </c>
      <c r="N4983">
        <v>-1.0917069999999999E-2</v>
      </c>
      <c r="O4983">
        <v>-0.99859109999999995</v>
      </c>
      <c r="P4983">
        <v>0.34078389999999997</v>
      </c>
      <c r="Q4983">
        <v>0.16093399999999999</v>
      </c>
      <c r="R4983">
        <v>-0.92626540000000002</v>
      </c>
      <c r="S4983">
        <v>2.285431</v>
      </c>
      <c r="T4983">
        <v>-0.4805644</v>
      </c>
      <c r="U4983">
        <v>-2.5118100000000001</v>
      </c>
      <c r="V4983">
        <v>-0.29377910000000002</v>
      </c>
      <c r="W4983">
        <v>0.1685266</v>
      </c>
      <c r="X4983">
        <v>0.94089990000000001</v>
      </c>
      <c r="Y4983">
        <v>-0.62738039999999995</v>
      </c>
      <c r="Z4983">
        <v>0.1319236</v>
      </c>
      <c r="AA4983">
        <v>0.7674569</v>
      </c>
      <c r="AB4983">
        <v>31</v>
      </c>
      <c r="AC4983">
        <v>5.3264999999999496</v>
      </c>
      <c r="AD4983">
        <v>-1.1243090101290001</v>
      </c>
      <c r="AE4983">
        <v>-5.5604799999999903</v>
      </c>
      <c r="AF4983">
        <v>-4.9255243516061196</v>
      </c>
      <c r="AG4983">
        <v>-1.1243090101290001</v>
      </c>
      <c r="AH4983">
        <v>5.7079085151121003</v>
      </c>
      <c r="AI4983">
        <v>98.481812279267601</v>
      </c>
      <c r="AJ4983">
        <v>130.79188779722699</v>
      </c>
      <c r="AK4983">
        <v>7.62266885712683</v>
      </c>
      <c r="AL4983">
        <v>80.297836470568996</v>
      </c>
      <c r="AM4983">
        <v>107.340036781189</v>
      </c>
      <c r="AN4983">
        <v>0.99999999816218998</v>
      </c>
    </row>
    <row r="4984" spans="1:40" x14ac:dyDescent="0.25">
      <c r="A4984" t="str">
        <f>"20190303162401757"</f>
        <v>20190303162401757</v>
      </c>
      <c r="B4984" t="str">
        <f>"1551601441750397"</f>
        <v>1551601441750397</v>
      </c>
      <c r="C4984" t="s">
        <v>40</v>
      </c>
      <c r="D4984">
        <v>4.9127789999999996</v>
      </c>
      <c r="E4984">
        <v>0.32902409999999999</v>
      </c>
      <c r="F4984" t="s">
        <v>56</v>
      </c>
      <c r="G4984">
        <v>-416.4966</v>
      </c>
      <c r="H4984" s="1">
        <v>-2.219544E-6</v>
      </c>
      <c r="I4984">
        <v>37.570770000000003</v>
      </c>
      <c r="J4984">
        <v>-421.93459999999999</v>
      </c>
      <c r="K4984">
        <v>1.124479</v>
      </c>
      <c r="L4984">
        <v>43.0961</v>
      </c>
      <c r="M4984">
        <v>5.6946719999999999E-2</v>
      </c>
      <c r="N4984">
        <v>-1.0928449999999999E-2</v>
      </c>
      <c r="O4984">
        <v>-0.99831749999999997</v>
      </c>
      <c r="P4984">
        <v>0.35882229999999998</v>
      </c>
      <c r="Q4984">
        <v>0.1571369</v>
      </c>
      <c r="R4984">
        <v>-0.92008440000000002</v>
      </c>
      <c r="S4984">
        <v>2.3119510000000001</v>
      </c>
      <c r="T4984">
        <v>-0.47615689999999999</v>
      </c>
      <c r="U4984">
        <v>-2.4709469999999998</v>
      </c>
      <c r="V4984">
        <v>-0.30744660000000001</v>
      </c>
      <c r="W4984">
        <v>0.16442190000000001</v>
      </c>
      <c r="X4984">
        <v>0.93725239999999999</v>
      </c>
      <c r="Y4984">
        <v>-0.63420209999999999</v>
      </c>
      <c r="Z4984">
        <v>0.1313984</v>
      </c>
      <c r="AA4984">
        <v>0.76192009999999999</v>
      </c>
      <c r="AB4984">
        <v>31</v>
      </c>
      <c r="AC4984">
        <v>5.4379999999999802</v>
      </c>
      <c r="AD4984">
        <v>-1.1244812195439999</v>
      </c>
      <c r="AE4984">
        <v>-5.5253299999999896</v>
      </c>
      <c r="AF4984">
        <v>-5.0091199858043396</v>
      </c>
      <c r="AG4984">
        <v>-1.1244812195439999</v>
      </c>
      <c r="AH4984">
        <v>5.7060094127577097</v>
      </c>
      <c r="AI4984">
        <v>98.424234114076199</v>
      </c>
      <c r="AJ4984">
        <v>131.278844123282</v>
      </c>
      <c r="AK4984">
        <v>7.6755641137164101</v>
      </c>
      <c r="AL4984">
        <v>80.536347044312095</v>
      </c>
      <c r="AM4984">
        <v>108.161025544243</v>
      </c>
      <c r="AN4984">
        <v>1.00000001717846</v>
      </c>
    </row>
    <row r="4985" spans="1:40" x14ac:dyDescent="0.25">
      <c r="A4985" t="str">
        <f>"20190303162401779"</f>
        <v>20190303162401779</v>
      </c>
      <c r="B4985" t="str">
        <f>"1551601441769916"</f>
        <v>1551601441769916</v>
      </c>
      <c r="C4985" t="s">
        <v>40</v>
      </c>
      <c r="D4985">
        <v>4.9721479999999998</v>
      </c>
      <c r="E4985">
        <v>0.33109490000000003</v>
      </c>
      <c r="F4985" t="s">
        <v>56</v>
      </c>
      <c r="G4985">
        <v>-416.39920000000001</v>
      </c>
      <c r="H4985" s="1">
        <v>-2.377367E-6</v>
      </c>
      <c r="I4985">
        <v>37.36327</v>
      </c>
      <c r="J4985">
        <v>-421.91199999999998</v>
      </c>
      <c r="K4985">
        <v>1.1246799999999999</v>
      </c>
      <c r="L4985">
        <v>42.78998</v>
      </c>
      <c r="M4985">
        <v>6.2195720000000003E-2</v>
      </c>
      <c r="N4985">
        <v>-1.0943899999999999E-2</v>
      </c>
      <c r="O4985">
        <v>-0.998004</v>
      </c>
      <c r="P4985">
        <v>0.37578440000000002</v>
      </c>
      <c r="Q4985">
        <v>0.15060299999999999</v>
      </c>
      <c r="R4985">
        <v>-0.91438759999999997</v>
      </c>
      <c r="S4985">
        <v>2.344147</v>
      </c>
      <c r="T4985">
        <v>-0.47619489999999998</v>
      </c>
      <c r="U4985">
        <v>-2.4277340000000001</v>
      </c>
      <c r="V4985">
        <v>-0.31981659999999901</v>
      </c>
      <c r="W4985">
        <v>0.1575627</v>
      </c>
      <c r="X4985">
        <v>0.93428650000000002</v>
      </c>
      <c r="Y4985">
        <v>-0.64203690000000002</v>
      </c>
      <c r="Z4985">
        <v>0.1320722</v>
      </c>
      <c r="AA4985">
        <v>0.75521229999999995</v>
      </c>
      <c r="AB4985">
        <v>31</v>
      </c>
      <c r="AC4985">
        <v>5.5127999999999702</v>
      </c>
      <c r="AD4985">
        <v>-1.1246823773669901</v>
      </c>
      <c r="AE4985">
        <v>-5.4267099999999999</v>
      </c>
      <c r="AF4985">
        <v>-5.0576774613328901</v>
      </c>
      <c r="AG4985">
        <v>-1.1246823773669901</v>
      </c>
      <c r="AH4985">
        <v>5.6398789163533696</v>
      </c>
      <c r="AI4985">
        <v>98.444617475685604</v>
      </c>
      <c r="AJ4985">
        <v>131.88482034085101</v>
      </c>
      <c r="AK4985">
        <v>7.6585407189595696</v>
      </c>
      <c r="AL4985">
        <v>80.934544840654297</v>
      </c>
      <c r="AM4985">
        <v>108.896642459018</v>
      </c>
      <c r="AN4985">
        <v>0.99999996307454897</v>
      </c>
    </row>
    <row r="4986" spans="1:40" x14ac:dyDescent="0.25">
      <c r="A4986" t="str">
        <f>"20190303162401802"</f>
        <v>20190303162401802</v>
      </c>
      <c r="B4986" t="str">
        <f>"1551601441790413"</f>
        <v>1551601441790413</v>
      </c>
      <c r="C4986" t="s">
        <v>40</v>
      </c>
      <c r="D4986">
        <v>5.0631159999999999</v>
      </c>
      <c r="E4986">
        <v>0.33222109999999999</v>
      </c>
      <c r="F4986" t="s">
        <v>56</v>
      </c>
      <c r="G4986">
        <v>-416.476</v>
      </c>
      <c r="H4986" s="1">
        <v>-2.3875E-6</v>
      </c>
      <c r="I4986">
        <v>37.315199999999997</v>
      </c>
      <c r="J4986">
        <v>-421.88670000000002</v>
      </c>
      <c r="K4986">
        <v>1.124943</v>
      </c>
      <c r="L4986">
        <v>42.474640000000001</v>
      </c>
      <c r="M4986">
        <v>6.7961939999999998E-2</v>
      </c>
      <c r="N4986">
        <v>-1.0965569999999999E-2</v>
      </c>
      <c r="O4986">
        <v>-0.99762779999999995</v>
      </c>
      <c r="P4986">
        <v>0.39130870000000001</v>
      </c>
      <c r="Q4986">
        <v>0.1429964</v>
      </c>
      <c r="R4986">
        <v>-0.90908199999999995</v>
      </c>
      <c r="S4986">
        <v>2.3705750000000001</v>
      </c>
      <c r="T4986">
        <v>-0.49045369999999999</v>
      </c>
      <c r="U4986">
        <v>-2.387451</v>
      </c>
      <c r="V4986">
        <v>-0.33028159999999901</v>
      </c>
      <c r="W4986">
        <v>0.14960399999999999</v>
      </c>
      <c r="X4986">
        <v>0.93195099999999997</v>
      </c>
      <c r="Y4986">
        <v>-0.64768110000000001</v>
      </c>
      <c r="Z4986">
        <v>0.13700760000000001</v>
      </c>
      <c r="AA4986">
        <v>0.74949200000000005</v>
      </c>
      <c r="AB4986">
        <v>31</v>
      </c>
      <c r="AC4986">
        <v>5.4107000000000101</v>
      </c>
      <c r="AD4986">
        <v>-1.1249453874999999</v>
      </c>
      <c r="AE4986">
        <v>-5.15944</v>
      </c>
      <c r="AF4986">
        <v>-4.9357735191430798</v>
      </c>
      <c r="AG4986">
        <v>-1.1249453874999999</v>
      </c>
      <c r="AH4986">
        <v>5.39314960641462</v>
      </c>
      <c r="AI4986">
        <v>98.7477362945218</v>
      </c>
      <c r="AJ4986">
        <v>132.46453613233601</v>
      </c>
      <c r="AK4986">
        <v>7.3968523734289704</v>
      </c>
      <c r="AL4986">
        <v>81.396021336051504</v>
      </c>
      <c r="AM4986">
        <v>109.514226426831</v>
      </c>
      <c r="AN4986">
        <v>0.99999997925777895</v>
      </c>
    </row>
    <row r="4987" spans="1:40" x14ac:dyDescent="0.25">
      <c r="A4987" t="str">
        <f>"20190303162401825"</f>
        <v>20190303162401825</v>
      </c>
      <c r="B4987" t="str">
        <f>"1551601441819692"</f>
        <v>1551601441819692</v>
      </c>
      <c r="C4987" t="s">
        <v>40</v>
      </c>
      <c r="D4987">
        <v>5.0665300000000002</v>
      </c>
      <c r="E4987">
        <v>0.35728330000000003</v>
      </c>
      <c r="F4987" t="s">
        <v>56</v>
      </c>
      <c r="G4987">
        <v>-416.58960000000002</v>
      </c>
      <c r="H4987" s="1">
        <v>-2.3699419999999998E-6</v>
      </c>
      <c r="I4987">
        <v>37.295270000000002</v>
      </c>
      <c r="J4987">
        <v>-421.85930000000002</v>
      </c>
      <c r="K4987">
        <v>1.1252610000000001</v>
      </c>
      <c r="L4987">
        <v>42.162599999999998</v>
      </c>
      <c r="M4987">
        <v>7.4134679999999994E-2</v>
      </c>
      <c r="N4987">
        <v>-1.1000589999999999E-2</v>
      </c>
      <c r="O4987">
        <v>-0.99718770000000001</v>
      </c>
      <c r="P4987">
        <v>0.40404440000000003</v>
      </c>
      <c r="Q4987">
        <v>0.13726869999999999</v>
      </c>
      <c r="R4987">
        <v>-0.90438149999999995</v>
      </c>
      <c r="S4987">
        <v>2.40036</v>
      </c>
      <c r="T4987">
        <v>-0.50975820000000005</v>
      </c>
      <c r="U4987">
        <v>-2.3469850000000001</v>
      </c>
      <c r="V4987">
        <v>-0.33760519999999999</v>
      </c>
      <c r="W4987">
        <v>0.14352400000000001</v>
      </c>
      <c r="X4987">
        <v>0.93028149999999998</v>
      </c>
      <c r="Y4987">
        <v>-0.65340609999999999</v>
      </c>
      <c r="Z4987">
        <v>0.14335590000000001</v>
      </c>
      <c r="AA4987">
        <v>0.74330989999999997</v>
      </c>
      <c r="AB4987">
        <v>31</v>
      </c>
      <c r="AC4987">
        <v>5.2697000000000003</v>
      </c>
      <c r="AD4987">
        <v>-1.125263369942</v>
      </c>
      <c r="AE4987">
        <v>-4.8673299999999902</v>
      </c>
      <c r="AF4987">
        <v>-4.77680168914147</v>
      </c>
      <c r="AG4987">
        <v>-1.125263369942</v>
      </c>
      <c r="AH4987">
        <v>5.1186778441420602</v>
      </c>
      <c r="AI4987">
        <v>99.130565413799403</v>
      </c>
      <c r="AJ4987">
        <v>133.02129115823101</v>
      </c>
      <c r="AK4987">
        <v>7.0911857189914898</v>
      </c>
      <c r="AL4987">
        <v>81.748183696521096</v>
      </c>
      <c r="AM4987">
        <v>109.94616345463901</v>
      </c>
      <c r="AN4987">
        <v>1.00000003944264</v>
      </c>
    </row>
    <row r="4988" spans="1:40" x14ac:dyDescent="0.25">
      <c r="A4988" t="str">
        <f>"20190303162401847"</f>
        <v>20190303162401847</v>
      </c>
      <c r="B4988" t="str">
        <f>"1551601441840189"</f>
        <v>1551601441840189</v>
      </c>
      <c r="C4988" t="s">
        <v>40</v>
      </c>
      <c r="D4988">
        <v>5.0977540000000001</v>
      </c>
      <c r="E4988">
        <v>0.35961259999999901</v>
      </c>
      <c r="F4988" t="s">
        <v>56</v>
      </c>
      <c r="G4988">
        <v>-415.93619999999999</v>
      </c>
      <c r="H4988" s="1">
        <v>-3.3606399999999999E-6</v>
      </c>
      <c r="I4988">
        <v>35.910119999999999</v>
      </c>
      <c r="J4988">
        <v>-421.82990000000001</v>
      </c>
      <c r="K4988">
        <v>1.1256139999999999</v>
      </c>
      <c r="L4988">
        <v>41.8551</v>
      </c>
      <c r="M4988">
        <v>8.0701220000000004E-2</v>
      </c>
      <c r="N4988">
        <v>-1.1051439999999999E-2</v>
      </c>
      <c r="O4988">
        <v>-0.99667709999999998</v>
      </c>
      <c r="P4988">
        <v>0.41114689999999998</v>
      </c>
      <c r="Q4988">
        <v>0.13289719999999999</v>
      </c>
      <c r="R4988">
        <v>-0.90182949999999995</v>
      </c>
      <c r="S4988">
        <v>2.2511899999999998</v>
      </c>
      <c r="T4988">
        <v>-0.42767260000000001</v>
      </c>
      <c r="U4988">
        <v>-2.3763429999999999</v>
      </c>
      <c r="V4988">
        <v>-0.33882279999999998</v>
      </c>
      <c r="W4988">
        <v>0.13887559999999999</v>
      </c>
      <c r="X4988">
        <v>0.93054429999999999</v>
      </c>
      <c r="Y4988">
        <v>-0.62137779999999998</v>
      </c>
      <c r="Z4988">
        <v>0.1221884</v>
      </c>
      <c r="AA4988">
        <v>0.77392479999999997</v>
      </c>
      <c r="AB4988">
        <v>31</v>
      </c>
      <c r="AC4988">
        <v>5.8937000000000204</v>
      </c>
      <c r="AD4988">
        <v>-1.12561736064</v>
      </c>
      <c r="AE4988">
        <v>-5.9449800000000002</v>
      </c>
      <c r="AF4988">
        <v>-5.2988746575044301</v>
      </c>
      <c r="AG4988">
        <v>-1.12561736064</v>
      </c>
      <c r="AH4988">
        <v>6.2875661396952101</v>
      </c>
      <c r="AI4988">
        <v>97.794923871166006</v>
      </c>
      <c r="AJ4988">
        <v>130.12266503772</v>
      </c>
      <c r="AK4988">
        <v>8.2993117208331508</v>
      </c>
      <c r="AL4988">
        <v>82.017212768310998</v>
      </c>
      <c r="AM4988">
        <v>110.00719676307401</v>
      </c>
      <c r="AN4988">
        <v>1.00000000816884</v>
      </c>
    </row>
    <row r="4989" spans="1:40" x14ac:dyDescent="0.25">
      <c r="A4989" t="str">
        <f>"20190303162401869"</f>
        <v>20190303162401869</v>
      </c>
      <c r="B4989" t="str">
        <f>"1551601441859709"</f>
        <v>1551601441859709</v>
      </c>
      <c r="C4989" t="s">
        <v>40</v>
      </c>
      <c r="D4989">
        <v>5.5923220000000002</v>
      </c>
      <c r="E4989">
        <v>0.39029469999999999</v>
      </c>
      <c r="F4989" t="s">
        <v>56</v>
      </c>
      <c r="G4989">
        <v>-415.85660000000001</v>
      </c>
      <c r="H4989" s="1">
        <v>-3.5542269999999999E-6</v>
      </c>
      <c r="I4989">
        <v>35.588419999999999</v>
      </c>
      <c r="J4989">
        <v>-421.79809999999998</v>
      </c>
      <c r="K4989">
        <v>1.1259760000000001</v>
      </c>
      <c r="L4989">
        <v>41.548340000000003</v>
      </c>
      <c r="M4989">
        <v>8.7679759999999995E-2</v>
      </c>
      <c r="N4989">
        <v>-1.1111970000000001E-2</v>
      </c>
      <c r="O4989">
        <v>-0.99608680000000005</v>
      </c>
      <c r="P4989">
        <v>0.41330519999999998</v>
      </c>
      <c r="Q4989">
        <v>0.12879369999999901</v>
      </c>
      <c r="R4989">
        <v>-0.90143839999999997</v>
      </c>
      <c r="S4989">
        <v>2.251862</v>
      </c>
      <c r="T4989">
        <v>-0.42434309999999997</v>
      </c>
      <c r="U4989">
        <v>-2.362457</v>
      </c>
      <c r="V4989">
        <v>-0.33454109999999998</v>
      </c>
      <c r="W4989">
        <v>0.1346079</v>
      </c>
      <c r="X4989">
        <v>0.93271800000000005</v>
      </c>
      <c r="Y4989">
        <v>-0.61833649999999996</v>
      </c>
      <c r="Z4989">
        <v>0.12174</v>
      </c>
      <c r="AA4989">
        <v>0.77642730000000004</v>
      </c>
      <c r="AB4989">
        <v>31</v>
      </c>
      <c r="AC4989">
        <v>5.9414999999999596</v>
      </c>
      <c r="AD4989">
        <v>-1.1259795542269999</v>
      </c>
      <c r="AE4989">
        <v>-5.9599200000000003</v>
      </c>
      <c r="AF4989">
        <v>-5.3011195253849097</v>
      </c>
      <c r="AG4989">
        <v>-1.1259795542269999</v>
      </c>
      <c r="AH4989">
        <v>6.3443706990798896</v>
      </c>
      <c r="AI4989">
        <v>97.755518510706494</v>
      </c>
      <c r="AJ4989">
        <v>129.88087215143199</v>
      </c>
      <c r="AK4989">
        <v>8.3439042268171999</v>
      </c>
      <c r="AL4989">
        <v>82.264052353912405</v>
      </c>
      <c r="AM4989">
        <v>109.731557899596</v>
      </c>
      <c r="AN4989">
        <v>0.99999995092780802</v>
      </c>
    </row>
    <row r="4990" spans="1:40" x14ac:dyDescent="0.25">
      <c r="A4990" t="str">
        <f>"20190303162401891"</f>
        <v>20190303162401891</v>
      </c>
      <c r="B4990" t="str">
        <f>"1551601441880205"</f>
        <v>1551601441880205</v>
      </c>
      <c r="C4990" t="s">
        <v>40</v>
      </c>
      <c r="D4990">
        <v>5.267347</v>
      </c>
      <c r="E4990">
        <v>0.46013520000000002</v>
      </c>
      <c r="F4990" t="s">
        <v>42</v>
      </c>
      <c r="G4990">
        <v>-421.11329999999998</v>
      </c>
      <c r="H4990">
        <v>0.99165709999999996</v>
      </c>
      <c r="I4990">
        <v>40.721330000000002</v>
      </c>
      <c r="J4990">
        <v>-421.76209999999998</v>
      </c>
      <c r="K4990">
        <v>1.1263669999999999</v>
      </c>
      <c r="L4990">
        <v>41.227170000000001</v>
      </c>
      <c r="M4990">
        <v>9.5479149999999999E-2</v>
      </c>
      <c r="N4990">
        <v>-1.1195770000000001E-2</v>
      </c>
      <c r="O4990">
        <v>-0.99536860000000005</v>
      </c>
      <c r="P4990">
        <v>0.41382639999999998</v>
      </c>
      <c r="Q4990">
        <v>0.12525610000000001</v>
      </c>
      <c r="R4990">
        <v>-0.90169750000000004</v>
      </c>
      <c r="S4990">
        <v>2.0310969999999999</v>
      </c>
      <c r="T4990">
        <v>-0.39852490000000002</v>
      </c>
      <c r="U4990">
        <v>-2.453735</v>
      </c>
      <c r="V4990">
        <v>-0.32778410000000002</v>
      </c>
      <c r="W4990">
        <v>0.1309678</v>
      </c>
      <c r="X4990">
        <v>0.93563090000000004</v>
      </c>
      <c r="Y4990">
        <v>-0.55650040000000001</v>
      </c>
      <c r="Z4990">
        <v>0.11647009999999999</v>
      </c>
      <c r="AA4990">
        <v>0.82264329999999997</v>
      </c>
      <c r="AB4990">
        <v>31</v>
      </c>
      <c r="AC4990">
        <v>0.64879999999999405</v>
      </c>
      <c r="AD4990">
        <v>-0.13470989999999999</v>
      </c>
      <c r="AE4990">
        <v>-0.50583999999999896</v>
      </c>
      <c r="AF4990">
        <v>-0.58193258781253199</v>
      </c>
      <c r="AG4990">
        <v>-0.13470989999999999</v>
      </c>
      <c r="AH4990">
        <v>0.55071377156489998</v>
      </c>
      <c r="AI4990">
        <v>99.544096617899498</v>
      </c>
      <c r="AJ4990">
        <v>136.57882788541201</v>
      </c>
      <c r="AK4990">
        <v>0.81245181525271903</v>
      </c>
      <c r="AL4990">
        <v>82.474479269289702</v>
      </c>
      <c r="AM4990">
        <v>109.307135586143</v>
      </c>
      <c r="AN4990">
        <v>1.00000008094222</v>
      </c>
    </row>
    <row r="4991" spans="1:40" x14ac:dyDescent="0.25">
      <c r="A4991" t="str">
        <f>"20190303162401914"</f>
        <v>20190303162401914</v>
      </c>
      <c r="B4991" t="str">
        <f>"1551601441899725"</f>
        <v>1551601441899725</v>
      </c>
      <c r="C4991" t="s">
        <v>40</v>
      </c>
      <c r="D4991">
        <v>5.2899390000000004</v>
      </c>
      <c r="E4991">
        <v>0.52884790000000004</v>
      </c>
      <c r="F4991" t="s">
        <v>56</v>
      </c>
      <c r="G4991">
        <v>-416.40309999999999</v>
      </c>
      <c r="H4991" s="1">
        <v>-5.3870369999999998E-6</v>
      </c>
      <c r="I4991">
        <v>31.824919999999999</v>
      </c>
      <c r="J4991">
        <v>-421.72500000000002</v>
      </c>
      <c r="K4991">
        <v>1.1267659999999999</v>
      </c>
      <c r="L4991">
        <v>40.92154</v>
      </c>
      <c r="M4991">
        <v>0.1034041</v>
      </c>
      <c r="N4991">
        <v>-1.1319360000000001E-2</v>
      </c>
      <c r="O4991">
        <v>-0.99457510000000005</v>
      </c>
      <c r="P4991">
        <v>0.4082171</v>
      </c>
      <c r="Q4991">
        <v>0.1250069</v>
      </c>
      <c r="R4991">
        <v>-0.90428560000000002</v>
      </c>
      <c r="S4991">
        <v>1.523193</v>
      </c>
      <c r="T4991">
        <v>-0.32015510000000003</v>
      </c>
      <c r="U4991">
        <v>-2.6724549999999998</v>
      </c>
      <c r="V4991">
        <v>-0.31458340000000001</v>
      </c>
      <c r="W4991">
        <v>0.1307914</v>
      </c>
      <c r="X4991">
        <v>0.94017600000000001</v>
      </c>
      <c r="Y4991">
        <v>-0.4002407</v>
      </c>
      <c r="Z4991">
        <v>9.4252260000000004E-2</v>
      </c>
      <c r="AA4991">
        <v>0.91155030000000004</v>
      </c>
      <c r="AB4991">
        <v>31</v>
      </c>
      <c r="AC4991">
        <v>5.3219000000000198</v>
      </c>
      <c r="AD4991">
        <v>-1.126771387037</v>
      </c>
      <c r="AE4991">
        <v>-9.0966199999999908</v>
      </c>
      <c r="AF4991">
        <v>-4.3034883006414502</v>
      </c>
      <c r="AG4991">
        <v>-1.126771387037</v>
      </c>
      <c r="AH4991">
        <v>9.4897186077972702</v>
      </c>
      <c r="AI4991">
        <v>96.171769503818993</v>
      </c>
      <c r="AJ4991">
        <v>114.393795761859</v>
      </c>
      <c r="AK4991">
        <v>10.4806671814144</v>
      </c>
      <c r="AL4991">
        <v>82.484673387588302</v>
      </c>
      <c r="AM4991">
        <v>108.500269145004</v>
      </c>
      <c r="AN4991">
        <v>1.00000000842276</v>
      </c>
    </row>
    <row r="4992" spans="1:40" x14ac:dyDescent="0.25">
      <c r="A4992" t="str">
        <f>"20190303162401936"</f>
        <v>20190303162401936</v>
      </c>
      <c r="B4992" t="str">
        <f>"1551601441929981"</f>
        <v>1551601441929981</v>
      </c>
      <c r="C4992" t="s">
        <v>40</v>
      </c>
      <c r="D4992">
        <v>5.1614899999999997</v>
      </c>
      <c r="E4992">
        <v>0.54638189999999998</v>
      </c>
      <c r="F4992" t="s">
        <v>56</v>
      </c>
      <c r="G4992">
        <v>-419.9076</v>
      </c>
      <c r="H4992" s="1">
        <v>-2.5837860000000002E-6</v>
      </c>
      <c r="I4992">
        <v>35.569899999999997</v>
      </c>
      <c r="J4992">
        <v>-421.6848</v>
      </c>
      <c r="K4992">
        <v>1.1271960000000001</v>
      </c>
      <c r="L4992">
        <v>40.614989999999999</v>
      </c>
      <c r="M4992">
        <v>0.111874</v>
      </c>
      <c r="N4992">
        <v>-1.149646E-2</v>
      </c>
      <c r="O4992">
        <v>-0.99365590000000004</v>
      </c>
      <c r="P4992">
        <v>0.40239920000000001</v>
      </c>
      <c r="Q4992">
        <v>0.126303</v>
      </c>
      <c r="R4992">
        <v>-0.9067096</v>
      </c>
      <c r="S4992">
        <v>1.0021359999999999</v>
      </c>
      <c r="T4992">
        <v>-0.62132670000000001</v>
      </c>
      <c r="U4992">
        <v>-2.9510190000000001</v>
      </c>
      <c r="V4992">
        <v>-0.3006508</v>
      </c>
      <c r="W4992">
        <v>0.1322303</v>
      </c>
      <c r="X4992">
        <v>0.94452329999999995</v>
      </c>
      <c r="Y4992">
        <v>-0.20775099999999999</v>
      </c>
      <c r="Z4992">
        <v>0.18555060000000001</v>
      </c>
      <c r="AA4992">
        <v>0.960422</v>
      </c>
      <c r="AB4992">
        <v>31</v>
      </c>
      <c r="AC4992">
        <v>1.7771999999999899</v>
      </c>
      <c r="AD4992">
        <v>-1.1271985837859999</v>
      </c>
      <c r="AE4992">
        <v>-5.0450900000000001</v>
      </c>
      <c r="AF4992">
        <v>-1.1504988073179201</v>
      </c>
      <c r="AG4992">
        <v>-1.1271985837859999</v>
      </c>
      <c r="AH4992">
        <v>4.9906261419114504</v>
      </c>
      <c r="AI4992">
        <v>102.412364837236</v>
      </c>
      <c r="AJ4992">
        <v>102.981708670538</v>
      </c>
      <c r="AK4992">
        <v>5.2440989160445</v>
      </c>
      <c r="AL4992">
        <v>82.401508183415203</v>
      </c>
      <c r="AM4992">
        <v>107.65677040035099</v>
      </c>
      <c r="AN4992">
        <v>1.00000001001081</v>
      </c>
    </row>
    <row r="4993" spans="1:40" x14ac:dyDescent="0.25">
      <c r="A4993" t="str">
        <f>"20190303162401958"</f>
        <v>20190303162401958</v>
      </c>
      <c r="B4993" t="str">
        <f>"1551601441950477"</f>
        <v>1551601441950477</v>
      </c>
      <c r="C4993" t="s">
        <v>40</v>
      </c>
      <c r="D4993">
        <v>5.1657299999999999</v>
      </c>
      <c r="E4993">
        <v>0.54745250000000001</v>
      </c>
      <c r="F4993" t="s">
        <v>56</v>
      </c>
      <c r="G4993">
        <v>-420.37670000000003</v>
      </c>
      <c r="H4993" s="1">
        <v>-2.3863170000000002E-6</v>
      </c>
      <c r="I4993">
        <v>35.951340000000002</v>
      </c>
      <c r="J4993">
        <v>-421.64260000000002</v>
      </c>
      <c r="K4993">
        <v>1.127658</v>
      </c>
      <c r="L4993">
        <v>40.315640000000002</v>
      </c>
      <c r="M4993">
        <v>0.12066449999999999</v>
      </c>
      <c r="N4993">
        <v>-1.171443E-2</v>
      </c>
      <c r="O4993">
        <v>-0.99262430000000001</v>
      </c>
      <c r="P4993">
        <v>0.40044190000000002</v>
      </c>
      <c r="Q4993">
        <v>0.12898850000000001</v>
      </c>
      <c r="R4993">
        <v>-0.90719839999999996</v>
      </c>
      <c r="S4993">
        <v>0.85079959999999899</v>
      </c>
      <c r="T4993">
        <v>-0.7331278</v>
      </c>
      <c r="U4993">
        <v>-3.0332340000000002</v>
      </c>
      <c r="V4993">
        <v>-0.29044829999999999</v>
      </c>
      <c r="W4993">
        <v>0.1350345</v>
      </c>
      <c r="X4993">
        <v>0.94731489999999996</v>
      </c>
      <c r="Y4993">
        <v>-0.14530109999999999</v>
      </c>
      <c r="Z4993">
        <v>0.21582989999999999</v>
      </c>
      <c r="AA4993">
        <v>0.96555939999999996</v>
      </c>
      <c r="AB4993">
        <v>31</v>
      </c>
      <c r="AC4993">
        <v>1.26589999999998</v>
      </c>
      <c r="AD4993">
        <v>-1.1276603863170001</v>
      </c>
      <c r="AE4993">
        <v>-4.3643000000000001</v>
      </c>
      <c r="AF4993">
        <v>-0.68765102536107303</v>
      </c>
      <c r="AG4993">
        <v>-1.1276603863170001</v>
      </c>
      <c r="AH4993">
        <v>4.2249890462862902</v>
      </c>
      <c r="AI4993">
        <v>104.75847097442001</v>
      </c>
      <c r="AJ4993">
        <v>99.244291073943899</v>
      </c>
      <c r="AK4993">
        <v>4.4266256133524404</v>
      </c>
      <c r="AL4993">
        <v>82.239385338380004</v>
      </c>
      <c r="AM4993">
        <v>107.04562531651101</v>
      </c>
      <c r="AN4993">
        <v>1.0000000254625701</v>
      </c>
    </row>
    <row r="4994" spans="1:40" x14ac:dyDescent="0.25">
      <c r="A4994" t="str">
        <f>"20190303162401980"</f>
        <v>20190303162401980</v>
      </c>
      <c r="B4994" t="str">
        <f>"1551601441969996"</f>
        <v>1551601441969996</v>
      </c>
      <c r="C4994" t="s">
        <v>40</v>
      </c>
      <c r="D4994">
        <v>5.2314889999999998</v>
      </c>
      <c r="E4994">
        <v>0.54528929999999998</v>
      </c>
      <c r="F4994" t="s">
        <v>56</v>
      </c>
      <c r="G4994">
        <v>-420.45609999999999</v>
      </c>
      <c r="H4994" s="1">
        <v>-2.377181E-6</v>
      </c>
      <c r="I4994">
        <v>35.983110000000003</v>
      </c>
      <c r="J4994">
        <v>-421.5958</v>
      </c>
      <c r="K4994">
        <v>1.128136</v>
      </c>
      <c r="L4994">
        <v>40.007779999999997</v>
      </c>
      <c r="M4994">
        <v>0.13023280000000001</v>
      </c>
      <c r="N4994">
        <v>-1.196704E-2</v>
      </c>
      <c r="O4994">
        <v>-0.99141140000000005</v>
      </c>
      <c r="P4994">
        <v>0.40427859999999999</v>
      </c>
      <c r="Q4994">
        <v>0.13177630000000001</v>
      </c>
      <c r="R4994">
        <v>-0.90509340000000005</v>
      </c>
      <c r="S4994">
        <v>0.83551030000000004</v>
      </c>
      <c r="T4994">
        <v>-0.79410480000000006</v>
      </c>
      <c r="U4994">
        <v>-3.0509949999999999</v>
      </c>
      <c r="V4994">
        <v>-0.28556100000000001</v>
      </c>
      <c r="W4994">
        <v>0.1378607</v>
      </c>
      <c r="X4994">
        <v>0.94839300000000004</v>
      </c>
      <c r="Y4994">
        <v>-0.1287893</v>
      </c>
      <c r="Z4994">
        <v>0.23212160000000001</v>
      </c>
      <c r="AA4994">
        <v>0.9641229</v>
      </c>
      <c r="AB4994">
        <v>31</v>
      </c>
      <c r="AC4994">
        <v>1.1396999999999999</v>
      </c>
      <c r="AD4994">
        <v>-1.1281383771810001</v>
      </c>
      <c r="AE4994">
        <v>-4.0246699999999898</v>
      </c>
      <c r="AF4994">
        <v>-0.56473300135377302</v>
      </c>
      <c r="AG4994">
        <v>-1.1281383771810001</v>
      </c>
      <c r="AH4994">
        <v>3.8581871394970699</v>
      </c>
      <c r="AI4994">
        <v>106.13612213267101</v>
      </c>
      <c r="AJ4994">
        <v>98.3273986351644</v>
      </c>
      <c r="AK4994">
        <v>4.0592151414118502</v>
      </c>
      <c r="AL4994">
        <v>82.075926732416306</v>
      </c>
      <c r="AM4994">
        <v>106.75704081465901</v>
      </c>
      <c r="AN4994">
        <v>0.99999996988724404</v>
      </c>
    </row>
    <row r="4995" spans="1:40" x14ac:dyDescent="0.25">
      <c r="A4995" t="str">
        <f>"20190303162402004"</f>
        <v>20190303162402004</v>
      </c>
      <c r="B4995" t="str">
        <f>"1551601441990493"</f>
        <v>1551601441990493</v>
      </c>
      <c r="C4995" t="s">
        <v>40</v>
      </c>
      <c r="D4995">
        <v>5.1772549999999997</v>
      </c>
      <c r="E4995">
        <v>0.5448693</v>
      </c>
      <c r="F4995" t="s">
        <v>56</v>
      </c>
      <c r="G4995">
        <v>-420.4391</v>
      </c>
      <c r="H4995" s="1">
        <v>-2.3966469999999999E-6</v>
      </c>
      <c r="I4995">
        <v>35.948749999999997</v>
      </c>
      <c r="J4995">
        <v>-421.5446</v>
      </c>
      <c r="K4995">
        <v>1.1286099999999999</v>
      </c>
      <c r="L4995">
        <v>39.694760000000002</v>
      </c>
      <c r="M4995">
        <v>0.1405177</v>
      </c>
      <c r="N4995">
        <v>-1.223233E-2</v>
      </c>
      <c r="O4995">
        <v>-0.99000259999999995</v>
      </c>
      <c r="P4995">
        <v>0.41350369999999997</v>
      </c>
      <c r="Q4995">
        <v>0.13319110000000001</v>
      </c>
      <c r="R4995">
        <v>-0.90070790000000001</v>
      </c>
      <c r="S4995">
        <v>0.86914059999999904</v>
      </c>
      <c r="T4995">
        <v>-0.8476321</v>
      </c>
      <c r="U4995">
        <v>-3.0497740000000002</v>
      </c>
      <c r="V4995">
        <v>-0.28561379999999997</v>
      </c>
      <c r="W4995">
        <v>0.13921889999999901</v>
      </c>
      <c r="X4995">
        <v>0.94817870000000004</v>
      </c>
      <c r="Y4995">
        <v>-0.127458399999999</v>
      </c>
      <c r="Z4995">
        <v>0.24649689999999999</v>
      </c>
      <c r="AA4995">
        <v>0.96072550000000001</v>
      </c>
      <c r="AB4995">
        <v>31</v>
      </c>
      <c r="AC4995">
        <v>1.1054999999999999</v>
      </c>
      <c r="AD4995">
        <v>-1.1286123966470001</v>
      </c>
      <c r="AE4995">
        <v>-3.7460099999999898</v>
      </c>
      <c r="AF4995">
        <v>-0.52432836332231203</v>
      </c>
      <c r="AG4995">
        <v>-1.1286123966470001</v>
      </c>
      <c r="AH4995">
        <v>3.5663976273187599</v>
      </c>
      <c r="AI4995">
        <v>107.384903435307</v>
      </c>
      <c r="AJ4995">
        <v>98.363655059171606</v>
      </c>
      <c r="AK4995">
        <v>3.7772845022045098</v>
      </c>
      <c r="AL4995">
        <v>81.997350079026603</v>
      </c>
      <c r="AM4995">
        <v>106.763540927866</v>
      </c>
      <c r="AN4995">
        <v>0.99999999600067002</v>
      </c>
    </row>
    <row r="4996" spans="1:40" x14ac:dyDescent="0.25">
      <c r="A4996" t="str">
        <f>"20190303162402025"</f>
        <v>20190303162402025</v>
      </c>
      <c r="B4996" t="str">
        <f>"1551601442019773"</f>
        <v>1551601442019773</v>
      </c>
      <c r="C4996" t="s">
        <v>40</v>
      </c>
      <c r="D4996">
        <v>5.2230259999999999</v>
      </c>
      <c r="E4996">
        <v>0.54506359999999998</v>
      </c>
      <c r="F4996" t="s">
        <v>56</v>
      </c>
      <c r="G4996">
        <v>-420.37920000000003</v>
      </c>
      <c r="H4996" s="1">
        <v>-2.496694E-6</v>
      </c>
      <c r="I4996">
        <v>35.778239999999997</v>
      </c>
      <c r="J4996">
        <v>-421.49209999999999</v>
      </c>
      <c r="K4996">
        <v>1.129035</v>
      </c>
      <c r="L4996">
        <v>39.396940000000001</v>
      </c>
      <c r="M4996">
        <v>0.15081849999999999</v>
      </c>
      <c r="N4996">
        <v>-1.2479519999999999E-2</v>
      </c>
      <c r="O4996">
        <v>-0.988483</v>
      </c>
      <c r="P4996">
        <v>0.42108649999999997</v>
      </c>
      <c r="Q4996">
        <v>0.13359849999999901</v>
      </c>
      <c r="R4996">
        <v>-0.89712769999999997</v>
      </c>
      <c r="S4996">
        <v>0.90594479999999999</v>
      </c>
      <c r="T4996">
        <v>-0.87733939999999999</v>
      </c>
      <c r="U4996">
        <v>-3.044556</v>
      </c>
      <c r="V4996">
        <v>-0.2838948</v>
      </c>
      <c r="W4996">
        <v>0.139624</v>
      </c>
      <c r="X4996">
        <v>0.94863529999999996</v>
      </c>
      <c r="Y4996">
        <v>-0.12768750000000001</v>
      </c>
      <c r="Z4996">
        <v>0.2541175</v>
      </c>
      <c r="AA4996">
        <v>0.95870759999999999</v>
      </c>
      <c r="AB4996">
        <v>31</v>
      </c>
      <c r="AC4996">
        <v>1.11289999999996</v>
      </c>
      <c r="AD4996">
        <v>-1.129037496694</v>
      </c>
      <c r="AE4996">
        <v>-3.6186999999999898</v>
      </c>
      <c r="AF4996">
        <v>-0.50908438022691704</v>
      </c>
      <c r="AG4996">
        <v>-1.129037496694</v>
      </c>
      <c r="AH4996">
        <v>3.4392929125312701</v>
      </c>
      <c r="AI4996">
        <v>107.99057454325499</v>
      </c>
      <c r="AJ4996">
        <v>98.419788194520507</v>
      </c>
      <c r="AK4996">
        <v>3.6554928960839099</v>
      </c>
      <c r="AL4996">
        <v>81.973910867834206</v>
      </c>
      <c r="AM4996">
        <v>106.660681958713</v>
      </c>
      <c r="AN4996">
        <v>1.00000002562456</v>
      </c>
    </row>
    <row r="4997" spans="1:40" x14ac:dyDescent="0.25">
      <c r="A4997" t="str">
        <f>"20190303162402047"</f>
        <v>20190303162402047</v>
      </c>
      <c r="B4997" t="str">
        <f>"1551601442040269"</f>
        <v>1551601442040269</v>
      </c>
      <c r="C4997" t="s">
        <v>40</v>
      </c>
      <c r="D4997">
        <v>5.2458</v>
      </c>
      <c r="E4997">
        <v>0.5452053</v>
      </c>
      <c r="F4997" t="s">
        <v>56</v>
      </c>
      <c r="G4997">
        <v>-420.33</v>
      </c>
      <c r="H4997" s="1">
        <v>-2.6016109999999999E-6</v>
      </c>
      <c r="I4997">
        <v>35.60239</v>
      </c>
      <c r="J4997">
        <v>-421.43630000000002</v>
      </c>
      <c r="K4997">
        <v>1.1294</v>
      </c>
      <c r="L4997">
        <v>39.101619999999997</v>
      </c>
      <c r="M4997">
        <v>0.1614341</v>
      </c>
      <c r="N4997">
        <v>-1.271133E-2</v>
      </c>
      <c r="O4997">
        <v>-0.98680159999999995</v>
      </c>
      <c r="P4997">
        <v>0.42944009999999999</v>
      </c>
      <c r="Q4997">
        <v>0.13400479999999901</v>
      </c>
      <c r="R4997">
        <v>-0.89309780000000005</v>
      </c>
      <c r="S4997">
        <v>0.93148799999999998</v>
      </c>
      <c r="T4997">
        <v>-0.90498259999999997</v>
      </c>
      <c r="U4997">
        <v>-3.041534</v>
      </c>
      <c r="V4997">
        <v>-0.2826938</v>
      </c>
      <c r="W4997">
        <v>0.140034299999999</v>
      </c>
      <c r="X4997">
        <v>0.94893340000000004</v>
      </c>
      <c r="Y4997">
        <v>-0.1241107</v>
      </c>
      <c r="Z4997">
        <v>0.26102439999999999</v>
      </c>
      <c r="AA4997">
        <v>0.95732059999999997</v>
      </c>
      <c r="AB4997">
        <v>31</v>
      </c>
      <c r="AC4997">
        <v>1.10630000000003</v>
      </c>
      <c r="AD4997">
        <v>-1.1294026016109999</v>
      </c>
      <c r="AE4997">
        <v>-3.4992299999999998</v>
      </c>
      <c r="AF4997">
        <v>-0.48126719906236998</v>
      </c>
      <c r="AG4997">
        <v>-1.1294026016109999</v>
      </c>
      <c r="AH4997">
        <v>3.3177250063583799</v>
      </c>
      <c r="AI4997">
        <v>108.61809365858799</v>
      </c>
      <c r="AJ4997">
        <v>98.253720492380296</v>
      </c>
      <c r="AK4997">
        <v>3.5375793378007501</v>
      </c>
      <c r="AL4997">
        <v>81.950168904198705</v>
      </c>
      <c r="AM4997">
        <v>106.58915686811</v>
      </c>
      <c r="AN4997">
        <v>0.99999999368524495</v>
      </c>
    </row>
    <row r="4998" spans="1:40" x14ac:dyDescent="0.25">
      <c r="A4998" t="str">
        <f>"20190303162402070"</f>
        <v>20190303162402070</v>
      </c>
      <c r="B4998" t="str">
        <f>"1551601442059789"</f>
        <v>1551601442059789</v>
      </c>
      <c r="C4998" t="s">
        <v>40</v>
      </c>
      <c r="D4998">
        <v>5.2622980000000004</v>
      </c>
      <c r="E4998">
        <v>0.5454637</v>
      </c>
      <c r="F4998" t="s">
        <v>56</v>
      </c>
      <c r="G4998">
        <v>-420.2527</v>
      </c>
      <c r="H4998" s="1">
        <v>-2.7370619999999998E-6</v>
      </c>
      <c r="I4998">
        <v>35.372349999999997</v>
      </c>
      <c r="J4998">
        <v>-421.3759</v>
      </c>
      <c r="K4998">
        <v>1.129734</v>
      </c>
      <c r="L4998">
        <v>38.801209999999998</v>
      </c>
      <c r="M4998">
        <v>0.17261750000000001</v>
      </c>
      <c r="N4998">
        <v>-1.292836E-2</v>
      </c>
      <c r="O4998">
        <v>-0.98490409999999995</v>
      </c>
      <c r="P4998">
        <v>0.43585790000000002</v>
      </c>
      <c r="Q4998">
        <v>0.1328126</v>
      </c>
      <c r="R4998">
        <v>-0.89016219999999902</v>
      </c>
      <c r="S4998">
        <v>0.96298220000000001</v>
      </c>
      <c r="T4998">
        <v>-0.91881310000000005</v>
      </c>
      <c r="U4998">
        <v>-3.0339049999999999</v>
      </c>
      <c r="V4998">
        <v>-0.27880890000000003</v>
      </c>
      <c r="W4998">
        <v>0.13893179999999999</v>
      </c>
      <c r="X4998">
        <v>0.95024390000000003</v>
      </c>
      <c r="Y4998">
        <v>-0.12230870000000001</v>
      </c>
      <c r="Z4998">
        <v>0.26419979999999998</v>
      </c>
      <c r="AA4998">
        <v>0.95668129999999996</v>
      </c>
      <c r="AB4998">
        <v>31</v>
      </c>
      <c r="AC4998">
        <v>1.12319999999999</v>
      </c>
      <c r="AD4998">
        <v>-1.129736737062</v>
      </c>
      <c r="AE4998">
        <v>-3.4288599999999998</v>
      </c>
      <c r="AF4998">
        <v>-0.46847803352940998</v>
      </c>
      <c r="AG4998">
        <v>-1.129736737062</v>
      </c>
      <c r="AH4998">
        <v>3.2524240626364498</v>
      </c>
      <c r="AI4998">
        <v>108.97317538244</v>
      </c>
      <c r="AJ4998">
        <v>98.196489120017105</v>
      </c>
      <c r="AK4998">
        <v>3.4747717977132999</v>
      </c>
      <c r="AL4998">
        <v>82.013960826507301</v>
      </c>
      <c r="AM4998">
        <v>106.35209605430499</v>
      </c>
      <c r="AN4998">
        <v>0.99999995862882896</v>
      </c>
    </row>
    <row r="4999" spans="1:40" x14ac:dyDescent="0.25">
      <c r="A4999" t="str">
        <f>"20190303162402092"</f>
        <v>20190303162402092</v>
      </c>
      <c r="B4999" t="str">
        <f>"1551601442080285"</f>
        <v>1551601442080285</v>
      </c>
      <c r="C4999" t="s">
        <v>40</v>
      </c>
      <c r="D4999">
        <v>5.3199329999999998</v>
      </c>
      <c r="E4999">
        <v>0.54553999999999903</v>
      </c>
      <c r="F4999" t="s">
        <v>56</v>
      </c>
      <c r="G4999">
        <v>-420.18200000000002</v>
      </c>
      <c r="H4999" s="1">
        <v>-2.8748960000000001E-6</v>
      </c>
      <c r="I4999">
        <v>35.140030000000003</v>
      </c>
      <c r="J4999">
        <v>-421.30900000000003</v>
      </c>
      <c r="K4999">
        <v>1.130042</v>
      </c>
      <c r="L4999">
        <v>38.48874</v>
      </c>
      <c r="M4999">
        <v>0.1846275</v>
      </c>
      <c r="N4999">
        <v>-1.3134949999999999E-2</v>
      </c>
      <c r="O4999">
        <v>-0.98272090000000001</v>
      </c>
      <c r="P4999">
        <v>0.44218780000000002</v>
      </c>
      <c r="Q4999">
        <v>0.1321426</v>
      </c>
      <c r="R4999">
        <v>-0.88713509999999995</v>
      </c>
      <c r="S4999">
        <v>0.98690800000000001</v>
      </c>
      <c r="T4999">
        <v>-0.93381270000000005</v>
      </c>
      <c r="U4999">
        <v>-3.0262449999999999</v>
      </c>
      <c r="V4999">
        <v>-0.27403749999999999</v>
      </c>
      <c r="W4999">
        <v>0.13838780000000001</v>
      </c>
      <c r="X4999">
        <v>0.95171019999999995</v>
      </c>
      <c r="Y4999">
        <v>-0.1174298</v>
      </c>
      <c r="Z4999">
        <v>0.267702</v>
      </c>
      <c r="AA4999">
        <v>0.95631889999999997</v>
      </c>
      <c r="AB4999">
        <v>31</v>
      </c>
      <c r="AC4999">
        <v>1.12700000000006</v>
      </c>
      <c r="AD4999">
        <v>-1.1300448748959999</v>
      </c>
      <c r="AE4999">
        <v>-3.3487100000000001</v>
      </c>
      <c r="AF4999">
        <v>-0.44389783959011397</v>
      </c>
      <c r="AG4999">
        <v>-1.1300448748959999</v>
      </c>
      <c r="AH4999">
        <v>3.17450068509108</v>
      </c>
      <c r="AI4999">
        <v>109.419879905782</v>
      </c>
      <c r="AJ4999">
        <v>97.960188283584998</v>
      </c>
      <c r="AK4999">
        <v>3.3987499629886302</v>
      </c>
      <c r="AL4999">
        <v>82.045434247379504</v>
      </c>
      <c r="AM4999">
        <v>106.063340840628</v>
      </c>
      <c r="AN4999">
        <v>1.00000001968956</v>
      </c>
    </row>
    <row r="5000" spans="1:40" x14ac:dyDescent="0.25">
      <c r="A5000" t="str">
        <f>"20190303162402116"</f>
        <v>20190303162402116</v>
      </c>
      <c r="B5000" t="str">
        <f>"1551601442110541"</f>
        <v>1551601442110541</v>
      </c>
      <c r="C5000" t="s">
        <v>40</v>
      </c>
      <c r="D5000">
        <v>5.3401120000000004</v>
      </c>
      <c r="E5000">
        <v>0.54535540000000005</v>
      </c>
      <c r="F5000" t="s">
        <v>42</v>
      </c>
      <c r="G5000">
        <v>-421.0532</v>
      </c>
      <c r="H5000">
        <v>0.89095840000000004</v>
      </c>
      <c r="I5000">
        <v>37.725859999999997</v>
      </c>
      <c r="J5000">
        <v>-421.23860000000002</v>
      </c>
      <c r="K5000">
        <v>1.1303000000000001</v>
      </c>
      <c r="L5000">
        <v>38.179780000000001</v>
      </c>
      <c r="M5000">
        <v>0.1968386</v>
      </c>
      <c r="N5000">
        <v>-1.3321879999999999E-2</v>
      </c>
      <c r="O5000">
        <v>-0.98034549999999998</v>
      </c>
      <c r="P5000">
        <v>0.44894499999999998</v>
      </c>
      <c r="Q5000">
        <v>0.13060939999999999</v>
      </c>
      <c r="R5000">
        <v>-0.88396260000000004</v>
      </c>
      <c r="S5000">
        <v>1.0129090000000001</v>
      </c>
      <c r="T5000">
        <v>-0.94693349999999998</v>
      </c>
      <c r="U5000">
        <v>-3.0178530000000001</v>
      </c>
      <c r="V5000">
        <v>-0.26946100000000001</v>
      </c>
      <c r="W5000">
        <v>0.1369889</v>
      </c>
      <c r="X5000">
        <v>0.95321820000000002</v>
      </c>
      <c r="Y5000">
        <v>-0.1130077</v>
      </c>
      <c r="Z5000">
        <v>0.27061160000000001</v>
      </c>
      <c r="AA5000">
        <v>0.95603280000000002</v>
      </c>
      <c r="AB5000">
        <v>31</v>
      </c>
      <c r="AC5000">
        <v>0.185400000000015</v>
      </c>
      <c r="AD5000">
        <v>-0.23934159999999999</v>
      </c>
      <c r="AE5000">
        <v>-0.45392000000000299</v>
      </c>
      <c r="AF5000">
        <v>-7.4632478674283506E-2</v>
      </c>
      <c r="AG5000">
        <v>-0.23934159999999999</v>
      </c>
      <c r="AH5000">
        <v>0.38887674917673198</v>
      </c>
      <c r="AI5000">
        <v>121.150368372484</v>
      </c>
      <c r="AJ5000">
        <v>100.863998422385</v>
      </c>
      <c r="AK5000">
        <v>0.46268729657717</v>
      </c>
      <c r="AL5000">
        <v>82.126356393625599</v>
      </c>
      <c r="AM5000">
        <v>105.784830357012</v>
      </c>
      <c r="AN5000">
        <v>1.0000000630277199</v>
      </c>
    </row>
    <row r="5001" spans="1:40" x14ac:dyDescent="0.25">
      <c r="A5001" t="str">
        <f>"20190303162402136"</f>
        <v>20190303162402136</v>
      </c>
      <c r="B5001" t="str">
        <f>"1551601442130061"</f>
        <v>1551601442130061</v>
      </c>
      <c r="C5001" t="s">
        <v>40</v>
      </c>
      <c r="D5001">
        <v>5.2777089999999998</v>
      </c>
      <c r="E5001">
        <v>0.5450834</v>
      </c>
      <c r="F5001" t="s">
        <v>42</v>
      </c>
      <c r="G5001">
        <v>-420.98829999999998</v>
      </c>
      <c r="H5001">
        <v>0.89817250000000004</v>
      </c>
      <c r="I5001">
        <v>37.459139999999998</v>
      </c>
      <c r="J5001">
        <v>-421.16969999999998</v>
      </c>
      <c r="K5001">
        <v>1.1304989999999999</v>
      </c>
      <c r="L5001">
        <v>37.894379999999998</v>
      </c>
      <c r="M5001">
        <v>0.20838889999999999</v>
      </c>
      <c r="N5001">
        <v>-1.3479649999999999E-2</v>
      </c>
      <c r="O5001">
        <v>-0.97795330000000003</v>
      </c>
      <c r="P5001">
        <v>0.45457019999999998</v>
      </c>
      <c r="Q5001">
        <v>0.12672139999999901</v>
      </c>
      <c r="R5001">
        <v>-0.88165059999999995</v>
      </c>
      <c r="S5001">
        <v>1.044708</v>
      </c>
      <c r="T5001">
        <v>-0.96939310000000001</v>
      </c>
      <c r="U5001">
        <v>-3.0064389999999999</v>
      </c>
      <c r="V5001">
        <v>-0.2641444</v>
      </c>
      <c r="W5001">
        <v>0.13326440000000001</v>
      </c>
      <c r="X5001">
        <v>0.95523210000000003</v>
      </c>
      <c r="Y5001">
        <v>-0.1108828</v>
      </c>
      <c r="Z5001">
        <v>0.27619090000000002</v>
      </c>
      <c r="AA5001">
        <v>0.95468509999999995</v>
      </c>
      <c r="AB5001">
        <v>31</v>
      </c>
      <c r="AC5001">
        <v>0.18139999999999601</v>
      </c>
      <c r="AD5001">
        <v>-0.23232649999999899</v>
      </c>
      <c r="AE5001">
        <v>-0.43523999999999302</v>
      </c>
      <c r="AF5001">
        <v>-6.9771546543802701E-2</v>
      </c>
      <c r="AG5001">
        <v>-0.23232649999999899</v>
      </c>
      <c r="AH5001">
        <v>0.372950152543781</v>
      </c>
      <c r="AI5001">
        <v>121.479943191868</v>
      </c>
      <c r="AJ5001">
        <v>100.596411307775</v>
      </c>
      <c r="AK5001">
        <v>0.444899412892166</v>
      </c>
      <c r="AL5001">
        <v>82.341729604855402</v>
      </c>
      <c r="AM5001">
        <v>105.457387927998</v>
      </c>
      <c r="AN5001">
        <v>1.00000001461456</v>
      </c>
    </row>
    <row r="5002" spans="1:40" x14ac:dyDescent="0.25">
      <c r="A5002" t="str">
        <f>"20190303162402159"</f>
        <v>20190303162402159</v>
      </c>
      <c r="B5002" t="str">
        <f>"1551601442149580"</f>
        <v>1551601442149580</v>
      </c>
      <c r="C5002" t="s">
        <v>40</v>
      </c>
      <c r="D5002">
        <v>5.2389390000000002</v>
      </c>
      <c r="E5002">
        <v>0.52572819999999998</v>
      </c>
      <c r="F5002" t="s">
        <v>42</v>
      </c>
      <c r="G5002">
        <v>-420.92079999999999</v>
      </c>
      <c r="H5002">
        <v>0.89996679999999996</v>
      </c>
      <c r="I5002">
        <v>37.195360000000001</v>
      </c>
      <c r="J5002">
        <v>-421.09660000000002</v>
      </c>
      <c r="K5002">
        <v>1.130679</v>
      </c>
      <c r="L5002">
        <v>37.607030000000002</v>
      </c>
      <c r="M5002">
        <v>0.22025320000000001</v>
      </c>
      <c r="N5002">
        <v>-1.362467E-2</v>
      </c>
      <c r="O5002">
        <v>-0.97534750000000003</v>
      </c>
      <c r="P5002">
        <v>0.45941110000000002</v>
      </c>
      <c r="Q5002">
        <v>0.1232494</v>
      </c>
      <c r="R5002">
        <v>-0.87963119999999995</v>
      </c>
      <c r="S5002">
        <v>1.0671079999999999</v>
      </c>
      <c r="T5002">
        <v>-0.98938550000000003</v>
      </c>
      <c r="U5002">
        <v>-2.9947509999999999</v>
      </c>
      <c r="V5002">
        <v>-0.25765199999999999</v>
      </c>
      <c r="W5002">
        <v>0.12999249999999901</v>
      </c>
      <c r="X5002">
        <v>0.95745360000000002</v>
      </c>
      <c r="Y5002">
        <v>-0.10580199999999999</v>
      </c>
      <c r="Z5002">
        <v>0.28115250000000003</v>
      </c>
      <c r="AA5002">
        <v>0.95381300000000002</v>
      </c>
      <c r="AB5002">
        <v>31</v>
      </c>
      <c r="AC5002">
        <v>0.17580000000003701</v>
      </c>
      <c r="AD5002">
        <v>-0.23071220000000001</v>
      </c>
      <c r="AE5002">
        <v>-0.41166999999999998</v>
      </c>
      <c r="AF5002">
        <v>-6.3842830946279197E-2</v>
      </c>
      <c r="AG5002">
        <v>-0.23071220000000001</v>
      </c>
      <c r="AH5002">
        <v>0.34787391939827</v>
      </c>
      <c r="AI5002">
        <v>123.116900182444</v>
      </c>
      <c r="AJ5002">
        <v>100.399365707973</v>
      </c>
      <c r="AK5002">
        <v>0.42227987175520199</v>
      </c>
      <c r="AL5002">
        <v>82.530841076937406</v>
      </c>
      <c r="AM5002">
        <v>105.061570779937</v>
      </c>
      <c r="AN5002">
        <v>0.99999999965660502</v>
      </c>
    </row>
    <row r="5003" spans="1:40" x14ac:dyDescent="0.25">
      <c r="A5003" t="str">
        <f>"20190303162402173"</f>
        <v>20190303162402173</v>
      </c>
      <c r="B5003" t="str">
        <f>"1551601442160318"</f>
        <v>1551601442160318</v>
      </c>
      <c r="C5003" t="s">
        <v>40</v>
      </c>
      <c r="D5003">
        <v>5.1788460000000001</v>
      </c>
      <c r="E5003">
        <v>0.52639230000000004</v>
      </c>
      <c r="F5003" t="s">
        <v>56</v>
      </c>
      <c r="G5003">
        <v>-419.95519999999999</v>
      </c>
      <c r="H5003" s="1">
        <v>-3.0154719999999998E-6</v>
      </c>
      <c r="I5003">
        <v>34.870820000000002</v>
      </c>
      <c r="J5003">
        <v>-421.04450000000003</v>
      </c>
      <c r="K5003">
        <v>1.130795</v>
      </c>
      <c r="L5003">
        <v>37.412019999999998</v>
      </c>
      <c r="M5003">
        <v>0.2284399</v>
      </c>
      <c r="N5003">
        <v>-1.3715120000000001E-2</v>
      </c>
      <c r="O5003">
        <v>-0.97346160000000004</v>
      </c>
      <c r="P5003">
        <v>0.4641459</v>
      </c>
      <c r="Q5003">
        <v>0.122186</v>
      </c>
      <c r="R5003">
        <v>-0.87729080000000004</v>
      </c>
      <c r="S5003">
        <v>1.22644</v>
      </c>
      <c r="T5003">
        <v>-1.214998</v>
      </c>
      <c r="U5003">
        <v>-2.9402469999999998</v>
      </c>
      <c r="V5003">
        <v>-0.25474449999999998</v>
      </c>
      <c r="W5003">
        <v>0.1290222</v>
      </c>
      <c r="X5003">
        <v>0.95836239999999995</v>
      </c>
      <c r="Y5003">
        <v>-0.1398624</v>
      </c>
      <c r="Z5003">
        <v>0.34114100000000003</v>
      </c>
      <c r="AA5003">
        <v>0.92954899999999996</v>
      </c>
      <c r="AB5003">
        <v>31</v>
      </c>
      <c r="AC5003">
        <v>1.0893000000000299</v>
      </c>
      <c r="AD5003">
        <v>-1.1307980154719901</v>
      </c>
      <c r="AE5003">
        <v>-2.5411999999999901</v>
      </c>
      <c r="AF5003">
        <v>-0.411149759522077</v>
      </c>
      <c r="AG5003">
        <v>-1.1307980154719901</v>
      </c>
      <c r="AH5003">
        <v>2.3326578347612399</v>
      </c>
      <c r="AI5003">
        <v>115.520227971578</v>
      </c>
      <c r="AJ5003">
        <v>99.996170517528896</v>
      </c>
      <c r="AK5003">
        <v>2.62469823991702</v>
      </c>
      <c r="AL5003">
        <v>82.586907259256705</v>
      </c>
      <c r="AM5003">
        <v>104.885704990311</v>
      </c>
      <c r="AN5003">
        <v>0.99999998905342402</v>
      </c>
    </row>
    <row r="5004" spans="1:40" x14ac:dyDescent="0.25">
      <c r="A5004" t="str">
        <f>"20190303162402187"</f>
        <v>20190303162402187</v>
      </c>
      <c r="B5004" t="str">
        <f>"1551601442179837"</f>
        <v>1551601442179837</v>
      </c>
      <c r="C5004" t="s">
        <v>40</v>
      </c>
      <c r="D5004">
        <v>5.1071059999999999</v>
      </c>
      <c r="E5004">
        <v>0.52840790000000004</v>
      </c>
      <c r="F5004" t="s">
        <v>56</v>
      </c>
      <c r="G5004">
        <v>-419.89019999999999</v>
      </c>
      <c r="H5004" s="1">
        <v>-3.1531660000000001E-6</v>
      </c>
      <c r="I5004">
        <v>34.68141</v>
      </c>
      <c r="J5004">
        <v>-420.99250000000001</v>
      </c>
      <c r="K5004">
        <v>1.130906</v>
      </c>
      <c r="L5004">
        <v>37.222900000000003</v>
      </c>
      <c r="M5004">
        <v>0.2364561</v>
      </c>
      <c r="N5004">
        <v>-1.3797780000000001E-2</v>
      </c>
      <c r="O5004">
        <v>-0.97154439999999997</v>
      </c>
      <c r="P5004">
        <v>0.46899839999999998</v>
      </c>
      <c r="Q5004">
        <v>0.12135940000000001</v>
      </c>
      <c r="R5004">
        <v>-0.87482139999999997</v>
      </c>
      <c r="S5004">
        <v>1.2398070000000001</v>
      </c>
      <c r="T5004">
        <v>-1.2145429999999999</v>
      </c>
      <c r="U5004">
        <v>-2.9328310000000002</v>
      </c>
      <c r="V5004">
        <v>-0.25213989999999997</v>
      </c>
      <c r="W5004">
        <v>0.12827939999999999</v>
      </c>
      <c r="X5004">
        <v>0.95915059999999996</v>
      </c>
      <c r="Y5004">
        <v>-0.13620699999999999</v>
      </c>
      <c r="Z5004">
        <v>0.34054269999999998</v>
      </c>
      <c r="AA5004">
        <v>0.93031090000000005</v>
      </c>
      <c r="AB5004">
        <v>31</v>
      </c>
      <c r="AC5004">
        <v>1.10230000000001</v>
      </c>
      <c r="AD5004">
        <v>-1.130909153166</v>
      </c>
      <c r="AE5004">
        <v>-2.54149</v>
      </c>
      <c r="AF5004">
        <v>-0.402884261071769</v>
      </c>
      <c r="AG5004">
        <v>-1.130909153166</v>
      </c>
      <c r="AH5004">
        <v>2.34008647671536</v>
      </c>
      <c r="AI5004">
        <v>115.467039410271</v>
      </c>
      <c r="AJ5004">
        <v>99.768640999262701</v>
      </c>
      <c r="AK5004">
        <v>2.6300714741314701</v>
      </c>
      <c r="AL5004">
        <v>82.629823306582495</v>
      </c>
      <c r="AM5004">
        <v>104.728580909914</v>
      </c>
      <c r="AN5004">
        <v>1.0000000035583601</v>
      </c>
    </row>
    <row r="5005" spans="1:40" x14ac:dyDescent="0.25">
      <c r="A5005" t="str">
        <f>"20190303162402202"</f>
        <v>20190303162402202</v>
      </c>
      <c r="B5005" t="str">
        <f>"1551601442190574"</f>
        <v>1551601442190574</v>
      </c>
      <c r="C5005" t="s">
        <v>40</v>
      </c>
      <c r="D5005">
        <v>5.1090720000000003</v>
      </c>
      <c r="E5005">
        <v>0.5294489</v>
      </c>
      <c r="F5005" t="s">
        <v>56</v>
      </c>
      <c r="G5005">
        <v>-419.82130000000001</v>
      </c>
      <c r="H5005" s="1">
        <v>-3.2825220000000001E-6</v>
      </c>
      <c r="I5005">
        <v>34.467759999999998</v>
      </c>
      <c r="J5005">
        <v>-420.93880000000001</v>
      </c>
      <c r="K5005">
        <v>1.1310100000000001</v>
      </c>
      <c r="L5005">
        <v>37.033360000000002</v>
      </c>
      <c r="M5005">
        <v>0.2445648</v>
      </c>
      <c r="N5005">
        <v>-1.3875770000000001E-2</v>
      </c>
      <c r="O5005">
        <v>-0.96953370000000005</v>
      </c>
      <c r="P5005">
        <v>0.47489500000000001</v>
      </c>
      <c r="Q5005">
        <v>0.12199840000000001</v>
      </c>
      <c r="R5005">
        <v>-0.87154529999999997</v>
      </c>
      <c r="S5005">
        <v>1.244934</v>
      </c>
      <c r="T5005">
        <v>-1.2021040000000001</v>
      </c>
      <c r="U5005">
        <v>-2.9285890000000001</v>
      </c>
      <c r="V5005">
        <v>-0.2506755</v>
      </c>
      <c r="W5005">
        <v>0.12896740000000001</v>
      </c>
      <c r="X5005">
        <v>0.95944209999999996</v>
      </c>
      <c r="Y5005">
        <v>-0.1303299</v>
      </c>
      <c r="Z5005">
        <v>0.33675509999999997</v>
      </c>
      <c r="AA5005">
        <v>0.93252889999999999</v>
      </c>
      <c r="AB5005">
        <v>31</v>
      </c>
      <c r="AC5005">
        <v>1.1174999999999999</v>
      </c>
      <c r="AD5005">
        <v>-1.1310132825220001</v>
      </c>
      <c r="AE5005">
        <v>-2.5655999999999901</v>
      </c>
      <c r="AF5005">
        <v>-0.39200875345758202</v>
      </c>
      <c r="AG5005">
        <v>-1.1310132825220001</v>
      </c>
      <c r="AH5005">
        <v>2.37332600633074</v>
      </c>
      <c r="AI5005">
        <v>115.18203769118399</v>
      </c>
      <c r="AJ5005">
        <v>99.379019651048296</v>
      </c>
      <c r="AK5005">
        <v>2.65810801894024</v>
      </c>
      <c r="AL5005">
        <v>82.590073378609006</v>
      </c>
      <c r="AM5005">
        <v>104.642468540099</v>
      </c>
      <c r="AN5005">
        <v>0.99999996990770901</v>
      </c>
    </row>
    <row r="5006" spans="1:40" x14ac:dyDescent="0.25">
      <c r="A5006" t="str">
        <f>"20190303162402215"</f>
        <v>20190303162402215</v>
      </c>
      <c r="B5006" t="str">
        <f>"1551601442210094"</f>
        <v>1551601442210094</v>
      </c>
      <c r="C5006" t="s">
        <v>40</v>
      </c>
      <c r="D5006">
        <v>5.0676959999999998</v>
      </c>
      <c r="E5006">
        <v>0.53081259999999997</v>
      </c>
      <c r="F5006" t="s">
        <v>42</v>
      </c>
      <c r="G5006">
        <v>-420.67149999999998</v>
      </c>
      <c r="H5006">
        <v>0.87809009999999998</v>
      </c>
      <c r="I5006">
        <v>36.413849999999996</v>
      </c>
      <c r="J5006">
        <v>-420.8877</v>
      </c>
      <c r="K5006">
        <v>1.1311059999999999</v>
      </c>
      <c r="L5006">
        <v>36.860930000000003</v>
      </c>
      <c r="M5006">
        <v>0.25204480000000001</v>
      </c>
      <c r="N5006">
        <v>-1.394164E-2</v>
      </c>
      <c r="O5006">
        <v>-0.96761509999999995</v>
      </c>
      <c r="P5006">
        <v>0.48226259999999999</v>
      </c>
      <c r="Q5006">
        <v>0.1235923</v>
      </c>
      <c r="R5006">
        <v>-0.86726449999999999</v>
      </c>
      <c r="S5006">
        <v>1.2606809999999999</v>
      </c>
      <c r="T5006">
        <v>-1.1928399999999999</v>
      </c>
      <c r="U5006">
        <v>-2.9222109999999999</v>
      </c>
      <c r="V5006">
        <v>-0.2515249</v>
      </c>
      <c r="W5006">
        <v>0.13053989999999999</v>
      </c>
      <c r="X5006">
        <v>0.9590071</v>
      </c>
      <c r="Y5006">
        <v>-0.12807169999999901</v>
      </c>
      <c r="Z5006">
        <v>0.33374730000000002</v>
      </c>
      <c r="AA5006">
        <v>0.93392209999999998</v>
      </c>
      <c r="AB5006">
        <v>31</v>
      </c>
      <c r="AC5006">
        <v>0.21620000000001399</v>
      </c>
      <c r="AD5006">
        <v>-0.25301590000000002</v>
      </c>
      <c r="AE5006">
        <v>-0.44707999999999898</v>
      </c>
      <c r="AF5006">
        <v>-7.6631891087081599E-2</v>
      </c>
      <c r="AG5006">
        <v>-0.25301590000000002</v>
      </c>
      <c r="AH5006">
        <v>0.38675027681058899</v>
      </c>
      <c r="AI5006">
        <v>122.68966219264</v>
      </c>
      <c r="AJ5006">
        <v>101.207594430554</v>
      </c>
      <c r="AK5006">
        <v>0.46847120402161302</v>
      </c>
      <c r="AL5006">
        <v>82.499208045446494</v>
      </c>
      <c r="AM5006">
        <v>104.696316114985</v>
      </c>
      <c r="AN5006">
        <v>1.0000000293312099</v>
      </c>
    </row>
    <row r="5007" spans="1:40" x14ac:dyDescent="0.25">
      <c r="A5007" t="str">
        <f>"20190303162402230"</f>
        <v>20190303162402230</v>
      </c>
      <c r="B5007" t="str">
        <f>"1551601442219854"</f>
        <v>1551601442219854</v>
      </c>
      <c r="C5007" t="s">
        <v>40</v>
      </c>
      <c r="D5007">
        <v>5.0666690000000001</v>
      </c>
      <c r="E5007">
        <v>0.53138350000000001</v>
      </c>
      <c r="F5007" t="s">
        <v>56</v>
      </c>
      <c r="G5007">
        <v>-419.65989999999999</v>
      </c>
      <c r="H5007" s="1">
        <v>-3.5242009999999999E-6</v>
      </c>
      <c r="I5007">
        <v>34.063670000000002</v>
      </c>
      <c r="J5007">
        <v>-420.83120000000002</v>
      </c>
      <c r="K5007">
        <v>1.1312040000000001</v>
      </c>
      <c r="L5007">
        <v>36.674410000000002</v>
      </c>
      <c r="M5007">
        <v>0.26019300000000001</v>
      </c>
      <c r="N5007">
        <v>-1.400795E-2</v>
      </c>
      <c r="O5007">
        <v>-0.96545519999999996</v>
      </c>
      <c r="P5007">
        <v>0.4924132</v>
      </c>
      <c r="Q5007">
        <v>0.1248983</v>
      </c>
      <c r="R5007">
        <v>-0.86135360000000005</v>
      </c>
      <c r="S5007">
        <v>1.2797240000000001</v>
      </c>
      <c r="T5007">
        <v>-1.178957</v>
      </c>
      <c r="U5007">
        <v>-2.9155880000000001</v>
      </c>
      <c r="V5007">
        <v>-0.25482139999999998</v>
      </c>
      <c r="W5007">
        <v>0.13174959999999999</v>
      </c>
      <c r="X5007">
        <v>0.95797080000000001</v>
      </c>
      <c r="Y5007">
        <v>-0.12622659999999999</v>
      </c>
      <c r="Z5007">
        <v>0.3293894</v>
      </c>
      <c r="AA5007">
        <v>0.93571870000000001</v>
      </c>
      <c r="AB5007">
        <v>31</v>
      </c>
      <c r="AC5007">
        <v>1.17130000000003</v>
      </c>
      <c r="AD5007">
        <v>-1.131207524201</v>
      </c>
      <c r="AE5007">
        <v>-2.6107399999999901</v>
      </c>
      <c r="AF5007">
        <v>-0.39054940609785199</v>
      </c>
      <c r="AG5007">
        <v>-1.131207524201</v>
      </c>
      <c r="AH5007">
        <v>2.4436866722940298</v>
      </c>
      <c r="AI5007">
        <v>114.565576334464</v>
      </c>
      <c r="AJ5007">
        <v>99.080207158247902</v>
      </c>
      <c r="AK5007">
        <v>2.7209858238807101</v>
      </c>
      <c r="AL5007">
        <v>82.429293114300094</v>
      </c>
      <c r="AM5007">
        <v>104.895815185929</v>
      </c>
      <c r="AN5007">
        <v>0.99999997832537901</v>
      </c>
    </row>
    <row r="5008" spans="1:40" x14ac:dyDescent="0.25">
      <c r="A5008" t="str">
        <f>"20190303162402249"</f>
        <v>20190303162402249</v>
      </c>
      <c r="B5008" t="str">
        <f>"1551601442240349"</f>
        <v>1551601442240349</v>
      </c>
      <c r="C5008" t="s">
        <v>40</v>
      </c>
      <c r="D5008">
        <v>5.0118989999999997</v>
      </c>
      <c r="E5008">
        <v>0.53244919999999996</v>
      </c>
      <c r="F5008" t="s">
        <v>56</v>
      </c>
      <c r="G5008">
        <v>-419.56349999999998</v>
      </c>
      <c r="H5008" s="1">
        <v>-3.6439E-6</v>
      </c>
      <c r="I5008">
        <v>33.870709999999903</v>
      </c>
      <c r="J5008">
        <v>-420.75560000000002</v>
      </c>
      <c r="K5008">
        <v>1.131338</v>
      </c>
      <c r="L5008">
        <v>36.433720000000001</v>
      </c>
      <c r="M5008">
        <v>0.27081759999999999</v>
      </c>
      <c r="N5008">
        <v>-1.4085159999999999E-2</v>
      </c>
      <c r="O5008">
        <v>-0.96252780000000004</v>
      </c>
      <c r="P5008">
        <v>0.50923640000000003</v>
      </c>
      <c r="Q5008">
        <v>0.1274458</v>
      </c>
      <c r="R5008">
        <v>-0.85113830000000001</v>
      </c>
      <c r="S5008">
        <v>1.3123469999999999</v>
      </c>
      <c r="T5008">
        <v>-1.1710579999999999</v>
      </c>
      <c r="U5008">
        <v>-2.902466</v>
      </c>
      <c r="V5008">
        <v>-0.26329409999999998</v>
      </c>
      <c r="W5008">
        <v>0.1340356</v>
      </c>
      <c r="X5008">
        <v>0.95535890000000001</v>
      </c>
      <c r="Y5008">
        <v>-0.12601519999999999</v>
      </c>
      <c r="Z5008">
        <v>0.3264823</v>
      </c>
      <c r="AA5008">
        <v>0.93676539999999997</v>
      </c>
      <c r="AB5008">
        <v>31</v>
      </c>
      <c r="AC5008">
        <v>1.1921000000000299</v>
      </c>
      <c r="AD5008">
        <v>-1.1313416438999999</v>
      </c>
      <c r="AE5008">
        <v>-2.5630099999999998</v>
      </c>
      <c r="AF5008">
        <v>-0.39076897787353798</v>
      </c>
      <c r="AG5008">
        <v>-1.1313416438999999</v>
      </c>
      <c r="AH5008">
        <v>2.40485395527178</v>
      </c>
      <c r="AI5008">
        <v>114.90782598393299</v>
      </c>
      <c r="AJ5008">
        <v>99.229426878747105</v>
      </c>
      <c r="AK5008">
        <v>2.6862533118596699</v>
      </c>
      <c r="AL5008">
        <v>82.297142800092104</v>
      </c>
      <c r="AM5008">
        <v>105.40805001565801</v>
      </c>
      <c r="AN5008">
        <v>0.99999997648568895</v>
      </c>
    </row>
    <row r="5009" spans="1:40" x14ac:dyDescent="0.25">
      <c r="A5009" t="str">
        <f>"20190303162402271"</f>
        <v>20190303162402271</v>
      </c>
      <c r="B5009" t="str">
        <f>"1551601442259869"</f>
        <v>1551601442259869</v>
      </c>
      <c r="C5009" t="s">
        <v>40</v>
      </c>
      <c r="D5009">
        <v>5.0296880000000002</v>
      </c>
      <c r="E5009">
        <v>0.5330319</v>
      </c>
      <c r="F5009" t="s">
        <v>56</v>
      </c>
      <c r="G5009">
        <v>-419.41669999999999</v>
      </c>
      <c r="H5009" s="1">
        <v>-3.805577E-6</v>
      </c>
      <c r="I5009">
        <v>33.617310000000003</v>
      </c>
      <c r="J5009">
        <v>-420.66</v>
      </c>
      <c r="K5009">
        <v>1.131489</v>
      </c>
      <c r="L5009">
        <v>36.142490000000002</v>
      </c>
      <c r="M5009">
        <v>0.28383890000000001</v>
      </c>
      <c r="N5009">
        <v>-1.4168119999999999E-2</v>
      </c>
      <c r="O5009">
        <v>-0.95876729999999999</v>
      </c>
      <c r="P5009">
        <v>0.52805349999999995</v>
      </c>
      <c r="Q5009">
        <v>0.12995399999999999</v>
      </c>
      <c r="R5009">
        <v>-0.83920890000000004</v>
      </c>
      <c r="S5009">
        <v>1.3687129999999901</v>
      </c>
      <c r="T5009">
        <v>-1.1564719999999999</v>
      </c>
      <c r="U5009">
        <v>-2.8789669999999998</v>
      </c>
      <c r="V5009">
        <v>-0.27183649999999998</v>
      </c>
      <c r="W5009">
        <v>0.1362671</v>
      </c>
      <c r="X5009">
        <v>0.95264700000000002</v>
      </c>
      <c r="Y5009">
        <v>-0.13116920000000001</v>
      </c>
      <c r="Z5009">
        <v>0.3218239</v>
      </c>
      <c r="AA5009">
        <v>0.93766950000000004</v>
      </c>
      <c r="AB5009">
        <v>31</v>
      </c>
      <c r="AC5009">
        <v>1.24330000000003</v>
      </c>
      <c r="AD5009">
        <v>-1.1314928055769999</v>
      </c>
      <c r="AE5009">
        <v>-2.5251800000000002</v>
      </c>
      <c r="AF5009">
        <v>-0.40920915730165602</v>
      </c>
      <c r="AG5009">
        <v>-1.1314928055769999</v>
      </c>
      <c r="AH5009">
        <v>2.38828087000946</v>
      </c>
      <c r="AI5009">
        <v>115.030874588779</v>
      </c>
      <c r="AJ5009">
        <v>99.7226745286426</v>
      </c>
      <c r="AK5009">
        <v>2.6742501037758601</v>
      </c>
      <c r="AL5009">
        <v>82.168103920820997</v>
      </c>
      <c r="AM5009">
        <v>105.926023765614</v>
      </c>
      <c r="AN5009">
        <v>1.0000000559418201</v>
      </c>
    </row>
    <row r="5010" spans="1:40" x14ac:dyDescent="0.25">
      <c r="A5010" t="str">
        <f>"20190303162402295"</f>
        <v>20190303162402295</v>
      </c>
      <c r="B5010" t="str">
        <f>"1551601442280365"</f>
        <v>1551601442280365</v>
      </c>
      <c r="C5010" t="s">
        <v>40</v>
      </c>
      <c r="D5010">
        <v>5.7061909999999996</v>
      </c>
      <c r="E5010">
        <v>0.53335900000000003</v>
      </c>
      <c r="F5010" t="s">
        <v>56</v>
      </c>
      <c r="G5010">
        <v>-419.24439999999998</v>
      </c>
      <c r="H5010" s="1">
        <v>-3.99114E-6</v>
      </c>
      <c r="I5010">
        <v>33.328099999999999</v>
      </c>
      <c r="J5010">
        <v>-420.55689999999998</v>
      </c>
      <c r="K5010">
        <v>1.1316379999999999</v>
      </c>
      <c r="L5010">
        <v>35.842799999999997</v>
      </c>
      <c r="M5010">
        <v>0.29740490000000003</v>
      </c>
      <c r="N5010">
        <v>-1.4244299999999901E-2</v>
      </c>
      <c r="O5010">
        <v>-0.95464539999999998</v>
      </c>
      <c r="P5010">
        <v>0.54949419999999904</v>
      </c>
      <c r="Q5010">
        <v>0.13334749999999901</v>
      </c>
      <c r="R5010">
        <v>-0.82478770000000001</v>
      </c>
      <c r="S5010">
        <v>1.433624</v>
      </c>
      <c r="T5010">
        <v>-1.145886</v>
      </c>
      <c r="U5010">
        <v>-2.8501889999999999</v>
      </c>
      <c r="V5010">
        <v>-0.28316740000000001</v>
      </c>
      <c r="W5010">
        <v>0.13928599999999999</v>
      </c>
      <c r="X5010">
        <v>0.94890240000000003</v>
      </c>
      <c r="Y5010">
        <v>-0.13848239999999901</v>
      </c>
      <c r="Z5010">
        <v>0.31822729999999999</v>
      </c>
      <c r="AA5010">
        <v>0.93784540000000005</v>
      </c>
      <c r="AB5010">
        <v>31</v>
      </c>
      <c r="AC5010">
        <v>1.3125</v>
      </c>
      <c r="AD5010">
        <v>-1.13164199114</v>
      </c>
      <c r="AE5010">
        <v>-2.5146999999999902</v>
      </c>
      <c r="AF5010">
        <v>-0.43578252927790201</v>
      </c>
      <c r="AG5010">
        <v>-1.13164199114</v>
      </c>
      <c r="AH5010">
        <v>2.4080259866485498</v>
      </c>
      <c r="AI5010">
        <v>114.81744772095399</v>
      </c>
      <c r="AJ5010">
        <v>100.257844938804</v>
      </c>
      <c r="AK5010">
        <v>2.6961285505906201</v>
      </c>
      <c r="AL5010">
        <v>81.993468265784102</v>
      </c>
      <c r="AM5010">
        <v>106.615930782071</v>
      </c>
      <c r="AN5010">
        <v>1.0000000654722501</v>
      </c>
    </row>
    <row r="5011" spans="1:40" x14ac:dyDescent="0.25">
      <c r="A5011" t="str">
        <f>"20190303162402318"</f>
        <v>20190303162402318</v>
      </c>
      <c r="B5011" t="str">
        <f>"1551601442309645"</f>
        <v>1551601442309645</v>
      </c>
      <c r="C5011" t="s">
        <v>40</v>
      </c>
      <c r="D5011">
        <v>5.1161979999999998</v>
      </c>
      <c r="E5011">
        <v>0.49669790000000003</v>
      </c>
      <c r="F5011" t="s">
        <v>56</v>
      </c>
      <c r="G5011">
        <v>-419.05369999999999</v>
      </c>
      <c r="H5011" s="1">
        <v>-4.184265E-6</v>
      </c>
      <c r="I5011">
        <v>33.032049999999998</v>
      </c>
      <c r="J5011">
        <v>-420.45339999999999</v>
      </c>
      <c r="K5011">
        <v>1.131777</v>
      </c>
      <c r="L5011">
        <v>35.555509999999998</v>
      </c>
      <c r="M5011">
        <v>0.31056640000000002</v>
      </c>
      <c r="N5011">
        <v>-1.4309860000000001E-2</v>
      </c>
      <c r="O5011">
        <v>-0.95044410000000001</v>
      </c>
      <c r="P5011">
        <v>0.57194560000000005</v>
      </c>
      <c r="Q5011">
        <v>0.1364552</v>
      </c>
      <c r="R5011">
        <v>-0.80886239999999998</v>
      </c>
      <c r="S5011">
        <v>1.5065</v>
      </c>
      <c r="T5011">
        <v>-1.1341399999999999</v>
      </c>
      <c r="U5011">
        <v>-2.8169559999999998</v>
      </c>
      <c r="V5011">
        <v>-0.29641089999999998</v>
      </c>
      <c r="W5011">
        <v>0.14194949999999901</v>
      </c>
      <c r="X5011">
        <v>0.94445270000000003</v>
      </c>
      <c r="Y5011">
        <v>-0.1488621</v>
      </c>
      <c r="Z5011">
        <v>0.3143919</v>
      </c>
      <c r="AA5011">
        <v>0.93754879999999996</v>
      </c>
      <c r="AB5011">
        <v>31</v>
      </c>
      <c r="AC5011">
        <v>1.39969999999999</v>
      </c>
      <c r="AD5011">
        <v>-1.1317811842649901</v>
      </c>
      <c r="AE5011">
        <v>-2.52346</v>
      </c>
      <c r="AF5011">
        <v>-0.47380593511875202</v>
      </c>
      <c r="AG5011">
        <v>-1.1317811842649901</v>
      </c>
      <c r="AH5011">
        <v>2.45564923343502</v>
      </c>
      <c r="AI5011">
        <v>114.34875690822101</v>
      </c>
      <c r="AJ5011">
        <v>100.920751288045</v>
      </c>
      <c r="AK5011">
        <v>2.74511090320228</v>
      </c>
      <c r="AL5011">
        <v>81.8393287879762</v>
      </c>
      <c r="AM5011">
        <v>107.424157064905</v>
      </c>
      <c r="AN5011">
        <v>0.99999999236317505</v>
      </c>
    </row>
    <row r="5012" spans="1:40" x14ac:dyDescent="0.25">
      <c r="A5012" t="str">
        <f>"20190303162402339"</f>
        <v>20190303162402339</v>
      </c>
      <c r="B5012" t="str">
        <f>"1551601442330141"</f>
        <v>1551601442330141</v>
      </c>
      <c r="C5012" t="s">
        <v>40</v>
      </c>
      <c r="D5012">
        <v>5.0111860000000004</v>
      </c>
      <c r="E5012">
        <v>0.47050629999999999</v>
      </c>
      <c r="F5012" t="s">
        <v>56</v>
      </c>
      <c r="G5012">
        <v>-409.82249999999999</v>
      </c>
      <c r="H5012" s="1">
        <v>-1.175384E-6</v>
      </c>
      <c r="I5012">
        <v>20.615259999999999</v>
      </c>
      <c r="J5012">
        <v>-420.34629999999999</v>
      </c>
      <c r="K5012">
        <v>1.131896</v>
      </c>
      <c r="L5012">
        <v>35.270509999999902</v>
      </c>
      <c r="M5012">
        <v>0.32377479999999997</v>
      </c>
      <c r="N5012">
        <v>-1.436928E-2</v>
      </c>
      <c r="O5012">
        <v>-0.946025</v>
      </c>
      <c r="P5012">
        <v>0.59183369999999902</v>
      </c>
      <c r="Q5012">
        <v>0.1389637</v>
      </c>
      <c r="R5012">
        <v>-0.79399109999999995</v>
      </c>
      <c r="S5012">
        <v>1.7707820000000001</v>
      </c>
      <c r="T5012">
        <v>-0.18851950000000001</v>
      </c>
      <c r="U5012">
        <v>-2.4885860000000002</v>
      </c>
      <c r="V5012">
        <v>-0.30693599999999999</v>
      </c>
      <c r="W5012">
        <v>0.14408979999999999</v>
      </c>
      <c r="X5012">
        <v>0.94075949999999997</v>
      </c>
      <c r="Y5012">
        <v>-0.28385120000000003</v>
      </c>
      <c r="Z5012">
        <v>4.8282909999999998E-2</v>
      </c>
      <c r="AA5012">
        <v>0.95765199999999995</v>
      </c>
      <c r="AB5012">
        <v>31</v>
      </c>
      <c r="AC5012">
        <v>10.5237999999999</v>
      </c>
      <c r="AD5012">
        <v>-1.1318971753839999</v>
      </c>
      <c r="AE5012">
        <v>-14.655249999999899</v>
      </c>
      <c r="AF5012">
        <v>-5.1908855386609902</v>
      </c>
      <c r="AG5012">
        <v>-1.1318971753839999</v>
      </c>
      <c r="AH5012">
        <v>17.205641291143799</v>
      </c>
      <c r="AI5012">
        <v>93.603868535761094</v>
      </c>
      <c r="AJ5012">
        <v>106.788390495588</v>
      </c>
      <c r="AK5012">
        <v>18.0072367711049</v>
      </c>
      <c r="AL5012">
        <v>81.715424981547599</v>
      </c>
      <c r="AM5012">
        <v>108.069642687749</v>
      </c>
      <c r="AN5012">
        <v>1.0000000077001401</v>
      </c>
    </row>
    <row r="5013" spans="1:40" x14ac:dyDescent="0.25">
      <c r="A5013" t="str">
        <f>"20190303162402361"</f>
        <v>20190303162402361</v>
      </c>
      <c r="B5013" t="str">
        <f>"1551601442349662"</f>
        <v>1551601442349662</v>
      </c>
      <c r="C5013" t="s">
        <v>40</v>
      </c>
      <c r="D5013">
        <v>5.0994570000000001</v>
      </c>
      <c r="E5013">
        <v>0.39409319999999998</v>
      </c>
      <c r="F5013" t="s">
        <v>56</v>
      </c>
      <c r="G5013">
        <v>-400.87540000000001</v>
      </c>
      <c r="H5013" s="1">
        <v>-6.6431379999999998E-6</v>
      </c>
      <c r="I5013">
        <v>12.739699999999999</v>
      </c>
      <c r="J5013">
        <v>-420.23989999999998</v>
      </c>
      <c r="K5013">
        <v>1.1319969999999999</v>
      </c>
      <c r="L5013">
        <v>34.999299999999998</v>
      </c>
      <c r="M5013">
        <v>0.33648869999999997</v>
      </c>
      <c r="N5013">
        <v>-1.4422330000000001E-2</v>
      </c>
      <c r="O5013">
        <v>-0.94157709999999994</v>
      </c>
      <c r="P5013">
        <v>0.60719860000000003</v>
      </c>
      <c r="Q5013">
        <v>0.13917360000000001</v>
      </c>
      <c r="R5013">
        <v>-0.78226669999999998</v>
      </c>
      <c r="S5013">
        <v>1.9966429999999999</v>
      </c>
      <c r="T5013">
        <v>-0.1160711</v>
      </c>
      <c r="U5013">
        <v>-2.310425</v>
      </c>
      <c r="V5013">
        <v>-0.31266440000000001</v>
      </c>
      <c r="W5013">
        <v>0.14408270000000001</v>
      </c>
      <c r="X5013">
        <v>0.93887229999999999</v>
      </c>
      <c r="Y5013">
        <v>-0.36076219999999998</v>
      </c>
      <c r="Z5013">
        <v>2.5486999999999999E-2</v>
      </c>
      <c r="AA5013">
        <v>0.93230950000000001</v>
      </c>
      <c r="AB5013">
        <v>31</v>
      </c>
      <c r="AC5013">
        <v>19.3644999999999</v>
      </c>
      <c r="AD5013">
        <v>-1.1320036431379901</v>
      </c>
      <c r="AE5013">
        <v>-22.259599999999999</v>
      </c>
      <c r="AF5013">
        <v>-10.7283895465574</v>
      </c>
      <c r="AG5013">
        <v>-1.1320036431379901</v>
      </c>
      <c r="AH5013">
        <v>27.437530752384799</v>
      </c>
      <c r="AI5013">
        <v>92.200482401574007</v>
      </c>
      <c r="AJ5013">
        <v>111.356068980432</v>
      </c>
      <c r="AK5013">
        <v>29.482161866098402</v>
      </c>
      <c r="AL5013">
        <v>81.715836203779105</v>
      </c>
      <c r="AM5013">
        <v>108.418852884712</v>
      </c>
      <c r="AN5013">
        <v>1.0000000235869599</v>
      </c>
    </row>
    <row r="5014" spans="1:40" x14ac:dyDescent="0.25">
      <c r="A5014" t="str">
        <f>"20190303162402384"</f>
        <v>20190303162402384</v>
      </c>
      <c r="B5014" t="str">
        <f>"1551601442370158"</f>
        <v>1551601442370158</v>
      </c>
      <c r="C5014" t="s">
        <v>40</v>
      </c>
      <c r="D5014">
        <v>5.1250030000000004</v>
      </c>
      <c r="E5014">
        <v>0.39051989999999998</v>
      </c>
      <c r="F5014" t="s">
        <v>41</v>
      </c>
      <c r="G5014">
        <v>-399.15370000000001</v>
      </c>
      <c r="H5014" s="1">
        <v>-4.6599930000000002E-7</v>
      </c>
      <c r="I5014">
        <v>19.13447</v>
      </c>
      <c r="J5014">
        <v>-420.11930000000001</v>
      </c>
      <c r="K5014">
        <v>1.132101</v>
      </c>
      <c r="L5014">
        <v>34.704500000000003</v>
      </c>
      <c r="M5014">
        <v>0.3504794</v>
      </c>
      <c r="N5014">
        <v>-1.447762E-2</v>
      </c>
      <c r="O5014">
        <v>-0.93645860000000003</v>
      </c>
      <c r="P5014">
        <v>0.62177069999999901</v>
      </c>
      <c r="Q5014">
        <v>0.13831089999999999</v>
      </c>
      <c r="R5014">
        <v>-0.77088979999999996</v>
      </c>
      <c r="S5014">
        <v>2.5246279999999999</v>
      </c>
      <c r="T5014">
        <v>-0.1355325</v>
      </c>
      <c r="U5014">
        <v>-1.899475</v>
      </c>
      <c r="V5014">
        <v>-0.31626399999999999</v>
      </c>
      <c r="W5014">
        <v>0.14306479999999999</v>
      </c>
      <c r="X5014">
        <v>0.93782169999999998</v>
      </c>
      <c r="Y5014">
        <v>-0.53704490000000005</v>
      </c>
      <c r="Z5014">
        <v>3.2448629999999999E-2</v>
      </c>
      <c r="AA5014">
        <v>0.84292929999999999</v>
      </c>
      <c r="AB5014">
        <v>31</v>
      </c>
      <c r="AC5014">
        <v>20.965599999999899</v>
      </c>
      <c r="AD5014">
        <v>-1.1321014659993001</v>
      </c>
      <c r="AE5014">
        <v>-15.570029999999999</v>
      </c>
      <c r="AF5014">
        <v>-14.151332037624501</v>
      </c>
      <c r="AG5014">
        <v>-1.1321014659993001</v>
      </c>
      <c r="AH5014">
        <v>21.8898588268782</v>
      </c>
      <c r="AI5014">
        <v>92.486932559864201</v>
      </c>
      <c r="AJ5014">
        <v>122.881815960593</v>
      </c>
      <c r="AK5014">
        <v>26.0903769928507</v>
      </c>
      <c r="AL5014">
        <v>81.774767923046596</v>
      </c>
      <c r="AM5014">
        <v>108.635780682716</v>
      </c>
      <c r="AN5014">
        <v>0.999999997842965</v>
      </c>
    </row>
    <row r="5015" spans="1:40" x14ac:dyDescent="0.25">
      <c r="A5015" t="str">
        <f>"20190303162402406"</f>
        <v>20190303162402406</v>
      </c>
      <c r="B5015" t="str">
        <f>"1551601442400413"</f>
        <v>1551601442400413</v>
      </c>
      <c r="C5015" t="s">
        <v>40</v>
      </c>
      <c r="D5015">
        <v>5.0645629999999997</v>
      </c>
      <c r="E5015">
        <v>0.39648139999999998</v>
      </c>
      <c r="F5015" t="s">
        <v>56</v>
      </c>
      <c r="G5015">
        <v>-404.65960000000001</v>
      </c>
      <c r="H5015" s="1">
        <v>-4.6980559999999996E-6</v>
      </c>
      <c r="I5015">
        <v>23.696739999999998</v>
      </c>
      <c r="J5015">
        <v>-420.00619999999998</v>
      </c>
      <c r="K5015">
        <v>1.1322019999999999</v>
      </c>
      <c r="L5015">
        <v>34.439729999999997</v>
      </c>
      <c r="M5015">
        <v>0.36319839999999998</v>
      </c>
      <c r="N5015">
        <v>-1.4525730000000001E-2</v>
      </c>
      <c r="O5015">
        <v>-0.93159860000000005</v>
      </c>
      <c r="P5015">
        <v>0.6340095</v>
      </c>
      <c r="Q5015">
        <v>0.13713069999999999</v>
      </c>
      <c r="R5015">
        <v>-0.76106949999999995</v>
      </c>
      <c r="S5015">
        <v>2.5850219999999999</v>
      </c>
      <c r="T5015">
        <v>-0.1892993</v>
      </c>
      <c r="U5015">
        <v>-1.8406070000000001</v>
      </c>
      <c r="V5015">
        <v>-0.31841069999999999</v>
      </c>
      <c r="W5015">
        <v>0.14177719999999999</v>
      </c>
      <c r="X5015">
        <v>0.93729070000000003</v>
      </c>
      <c r="Y5015">
        <v>-0.54699609999999999</v>
      </c>
      <c r="Z5015">
        <v>4.9989939999999997E-2</v>
      </c>
      <c r="AA5015">
        <v>0.83564130000000003</v>
      </c>
      <c r="AB5015">
        <v>31</v>
      </c>
      <c r="AC5015">
        <v>15.346599999999899</v>
      </c>
      <c r="AD5015">
        <v>-1.1322066980559999</v>
      </c>
      <c r="AE5015">
        <v>-10.742990000000001</v>
      </c>
      <c r="AF5015">
        <v>-10.358293773900201</v>
      </c>
      <c r="AG5015">
        <v>-1.1322066980559999</v>
      </c>
      <c r="AH5015">
        <v>15.5269414670776</v>
      </c>
      <c r="AI5015">
        <v>93.471281376061995</v>
      </c>
      <c r="AJ5015">
        <v>123.707945166576</v>
      </c>
      <c r="AK5015">
        <v>18.699252745379901</v>
      </c>
      <c r="AL5015">
        <v>81.849301796180896</v>
      </c>
      <c r="AM5015">
        <v>108.76333935756701</v>
      </c>
      <c r="AN5015">
        <v>1.0000000023104001</v>
      </c>
    </row>
    <row r="5016" spans="1:40" x14ac:dyDescent="0.25">
      <c r="A5016" t="str">
        <f>"20190303162402427"</f>
        <v>20190303162402427</v>
      </c>
      <c r="B5016" t="str">
        <f>"1551601442419934"</f>
        <v>1551601442419934</v>
      </c>
      <c r="C5016" t="s">
        <v>40</v>
      </c>
      <c r="D5016">
        <v>5.0535819999999996</v>
      </c>
      <c r="E5016">
        <v>0.3992116</v>
      </c>
      <c r="F5016" t="s">
        <v>42</v>
      </c>
      <c r="G5016">
        <v>-419.11079999999998</v>
      </c>
      <c r="H5016">
        <v>1.0581020000000001</v>
      </c>
      <c r="I5016">
        <v>33.802700000000002</v>
      </c>
      <c r="J5016">
        <v>-419.8854</v>
      </c>
      <c r="K5016">
        <v>1.1323019999999999</v>
      </c>
      <c r="L5016">
        <v>34.167540000000002</v>
      </c>
      <c r="M5016">
        <v>0.37641259999999999</v>
      </c>
      <c r="N5016">
        <v>-1.457292E-2</v>
      </c>
      <c r="O5016">
        <v>-0.92633759999999998</v>
      </c>
      <c r="P5016">
        <v>0.64507859999999995</v>
      </c>
      <c r="Q5016">
        <v>0.13575989999999999</v>
      </c>
      <c r="R5016">
        <v>-0.75195939999999994</v>
      </c>
      <c r="S5016">
        <v>2.5777589999999999</v>
      </c>
      <c r="T5016">
        <v>-0.21322250000000001</v>
      </c>
      <c r="U5016">
        <v>-1.8328249999999999</v>
      </c>
      <c r="V5016">
        <v>-0.31869999999999998</v>
      </c>
      <c r="W5016">
        <v>0.14036199999999999</v>
      </c>
      <c r="X5016">
        <v>0.93740540000000006</v>
      </c>
      <c r="Y5016">
        <v>-0.53522819999999904</v>
      </c>
      <c r="Z5016">
        <v>5.7795260000000001E-2</v>
      </c>
      <c r="AA5016">
        <v>0.84272800000000003</v>
      </c>
      <c r="AB5016">
        <v>31</v>
      </c>
      <c r="AC5016">
        <v>0.77460000000002005</v>
      </c>
      <c r="AD5016">
        <v>-7.4200000000000002E-2</v>
      </c>
      <c r="AE5016">
        <v>-0.36484</v>
      </c>
      <c r="AF5016">
        <v>-0.57594697454182497</v>
      </c>
      <c r="AG5016">
        <v>-7.4200000000000002E-2</v>
      </c>
      <c r="AH5016">
        <v>0.62490799222723703</v>
      </c>
      <c r="AI5016">
        <v>94.989883043285701</v>
      </c>
      <c r="AJ5016">
        <v>132.66524112507199</v>
      </c>
      <c r="AK5016">
        <v>0.85307124921272504</v>
      </c>
      <c r="AL5016">
        <v>81.931206102425705</v>
      </c>
      <c r="AM5016">
        <v>108.777056015246</v>
      </c>
      <c r="AN5016">
        <v>1.0000000324965701</v>
      </c>
    </row>
    <row r="5017" spans="1:40" x14ac:dyDescent="0.25">
      <c r="A5017" t="str">
        <f>"20190303162402442"</f>
        <v>20190303162402442</v>
      </c>
      <c r="B5017" t="str">
        <f>"1551601442429693"</f>
        <v>1551601442429693</v>
      </c>
      <c r="C5017" t="s">
        <v>40</v>
      </c>
      <c r="D5017">
        <v>5.0637400000000001</v>
      </c>
      <c r="E5017">
        <v>0.4003544</v>
      </c>
      <c r="F5017" t="s">
        <v>42</v>
      </c>
      <c r="G5017">
        <v>-419.01119999999997</v>
      </c>
      <c r="H5017">
        <v>1.054592</v>
      </c>
      <c r="I5017">
        <v>33.555399999999999</v>
      </c>
      <c r="J5017">
        <v>-419.8048</v>
      </c>
      <c r="K5017">
        <v>1.1323700000000001</v>
      </c>
      <c r="L5017">
        <v>33.99091</v>
      </c>
      <c r="M5017">
        <v>0.3850478</v>
      </c>
      <c r="N5017">
        <v>-1.460175E-2</v>
      </c>
      <c r="O5017">
        <v>-0.92278130000000003</v>
      </c>
      <c r="P5017">
        <v>0.65174500000000002</v>
      </c>
      <c r="Q5017">
        <v>0.1354368</v>
      </c>
      <c r="R5017">
        <v>-0.74624780000000002</v>
      </c>
      <c r="S5017">
        <v>2.5871580000000001</v>
      </c>
      <c r="T5017">
        <v>-0.22998830000000001</v>
      </c>
      <c r="U5017">
        <v>-1.8116460000000001</v>
      </c>
      <c r="V5017">
        <v>-0.31827840000000002</v>
      </c>
      <c r="W5017">
        <v>0.14002819999999999</v>
      </c>
      <c r="X5017">
        <v>0.9375985</v>
      </c>
      <c r="Y5017">
        <v>-0.533099199999999</v>
      </c>
      <c r="Z5017">
        <v>6.3305710000000001E-2</v>
      </c>
      <c r="AA5017">
        <v>0.84368099999999902</v>
      </c>
      <c r="AB5017">
        <v>31</v>
      </c>
      <c r="AC5017">
        <v>0.79360000000002595</v>
      </c>
      <c r="AD5017">
        <v>-7.7778000000000097E-2</v>
      </c>
      <c r="AE5017">
        <v>-0.43551000000000001</v>
      </c>
      <c r="AF5017">
        <v>-0.56054914076144002</v>
      </c>
      <c r="AG5017">
        <v>-7.7778000000000097E-2</v>
      </c>
      <c r="AH5017">
        <v>0.70234493812894805</v>
      </c>
      <c r="AI5017">
        <v>94.946820226827199</v>
      </c>
      <c r="AJ5017">
        <v>128.59374846513799</v>
      </c>
      <c r="AK5017">
        <v>0.90197182251317898</v>
      </c>
      <c r="AL5017">
        <v>81.950521872315306</v>
      </c>
      <c r="AM5017">
        <v>108.750361431496</v>
      </c>
      <c r="AN5017">
        <v>0.99999999195202405</v>
      </c>
    </row>
    <row r="5018" spans="1:40" x14ac:dyDescent="0.25">
      <c r="A5018" t="str">
        <f>"20190303162402460"</f>
        <v>20190303162402460</v>
      </c>
      <c r="B5018" t="str">
        <f>"1551601442450190"</f>
        <v>1551601442450190</v>
      </c>
      <c r="C5018" t="s">
        <v>40</v>
      </c>
      <c r="D5018">
        <v>5.081302</v>
      </c>
      <c r="E5018">
        <v>0.40294439999999998</v>
      </c>
      <c r="F5018" t="s">
        <v>42</v>
      </c>
      <c r="G5018">
        <v>-419.09280000000001</v>
      </c>
      <c r="H5018">
        <v>1.067952</v>
      </c>
      <c r="I5018">
        <v>33.498759999999997</v>
      </c>
      <c r="J5018">
        <v>-419.69779999999997</v>
      </c>
      <c r="K5018">
        <v>1.1324689999999999</v>
      </c>
      <c r="L5018">
        <v>33.764220000000002</v>
      </c>
      <c r="M5018">
        <v>0.39626050000000002</v>
      </c>
      <c r="N5018">
        <v>-1.463826E-2</v>
      </c>
      <c r="O5018">
        <v>-0.91802159999999999</v>
      </c>
      <c r="P5018">
        <v>0.65945010000000004</v>
      </c>
      <c r="Q5018">
        <v>0.1366628</v>
      </c>
      <c r="R5018">
        <v>-0.73922169999999998</v>
      </c>
      <c r="S5018">
        <v>2.5967410000000002</v>
      </c>
      <c r="T5018">
        <v>-0.2349349</v>
      </c>
      <c r="U5018">
        <v>-1.7948299999999999</v>
      </c>
      <c r="V5018">
        <v>-0.31673559999999901</v>
      </c>
      <c r="W5018">
        <v>0.141267899999999</v>
      </c>
      <c r="X5018">
        <v>0.93793490000000002</v>
      </c>
      <c r="Y5018">
        <v>-0.52785300000000002</v>
      </c>
      <c r="Z5018">
        <v>6.4814780000000002E-2</v>
      </c>
      <c r="AA5018">
        <v>0.84685900000000003</v>
      </c>
      <c r="AB5018">
        <v>31</v>
      </c>
      <c r="AC5018">
        <v>0.60499999999996101</v>
      </c>
      <c r="AD5018">
        <v>-6.4516999999999894E-2</v>
      </c>
      <c r="AE5018">
        <v>-0.26546000000000403</v>
      </c>
      <c r="AF5018">
        <v>-0.44600676888428198</v>
      </c>
      <c r="AG5018">
        <v>-6.4516999999999894E-2</v>
      </c>
      <c r="AH5018">
        <v>0.47892031812749403</v>
      </c>
      <c r="AI5018">
        <v>95.630259926363095</v>
      </c>
      <c r="AJ5018">
        <v>132.961988468301</v>
      </c>
      <c r="AK5018">
        <v>0.65760866196769197</v>
      </c>
      <c r="AL5018">
        <v>81.878778947932105</v>
      </c>
      <c r="AM5018">
        <v>108.659550459584</v>
      </c>
      <c r="AN5018">
        <v>0.99999996825788895</v>
      </c>
    </row>
    <row r="5019" spans="1:40" x14ac:dyDescent="0.25">
      <c r="A5019" t="str">
        <f>"20190303162402474"</f>
        <v>20190303162402474</v>
      </c>
      <c r="B5019" t="str">
        <f>"1551601442469710"</f>
        <v>1551601442469710</v>
      </c>
      <c r="C5019" t="s">
        <v>40</v>
      </c>
      <c r="D5019">
        <v>5.1405399999999997</v>
      </c>
      <c r="E5019">
        <v>0.4054661</v>
      </c>
      <c r="F5019" t="s">
        <v>42</v>
      </c>
      <c r="G5019">
        <v>-418.9699</v>
      </c>
      <c r="H5019">
        <v>1.0660879999999999</v>
      </c>
      <c r="I5019">
        <v>33.265450000000001</v>
      </c>
      <c r="J5019">
        <v>-419.61989999999997</v>
      </c>
      <c r="K5019">
        <v>1.132555</v>
      </c>
      <c r="L5019">
        <v>33.60425</v>
      </c>
      <c r="M5019">
        <v>0.40427390000000002</v>
      </c>
      <c r="N5019">
        <v>-1.466538E-2</v>
      </c>
      <c r="O5019">
        <v>-0.91452049999999996</v>
      </c>
      <c r="P5019">
        <v>0.66559209999999902</v>
      </c>
      <c r="Q5019">
        <v>0.1389415</v>
      </c>
      <c r="R5019">
        <v>-0.73326840000000004</v>
      </c>
      <c r="S5019">
        <v>2.6014710000000001</v>
      </c>
      <c r="T5019">
        <v>-0.23713419999999999</v>
      </c>
      <c r="U5019">
        <v>-1.781433</v>
      </c>
      <c r="V5019">
        <v>-0.31662010000000002</v>
      </c>
      <c r="W5019">
        <v>0.14351549999999999</v>
      </c>
      <c r="X5019">
        <v>0.93763269999999999</v>
      </c>
      <c r="Y5019">
        <v>-0.5240669</v>
      </c>
      <c r="Z5019">
        <v>6.5504389999999996E-2</v>
      </c>
      <c r="AA5019">
        <v>0.84915429999999903</v>
      </c>
      <c r="AB5019">
        <v>31</v>
      </c>
      <c r="AC5019">
        <v>0.64999999999997704</v>
      </c>
      <c r="AD5019">
        <v>-6.6466999999999998E-2</v>
      </c>
      <c r="AE5019">
        <v>-0.33879999999999899</v>
      </c>
      <c r="AF5019">
        <v>-0.45378818283310002</v>
      </c>
      <c r="AG5019">
        <v>-6.6466999999999998E-2</v>
      </c>
      <c r="AH5019">
        <v>0.56800862382876205</v>
      </c>
      <c r="AI5019">
        <v>95.223684661591193</v>
      </c>
      <c r="AJ5019">
        <v>128.62173270946101</v>
      </c>
      <c r="AK5019">
        <v>0.73005162400463997</v>
      </c>
      <c r="AL5019">
        <v>81.748675754057402</v>
      </c>
      <c r="AM5019">
        <v>108.658812773775</v>
      </c>
      <c r="AN5019">
        <v>1.00000003328677</v>
      </c>
    </row>
    <row r="5020" spans="1:40" x14ac:dyDescent="0.25">
      <c r="A5020" t="str">
        <f>"20190303162402487"</f>
        <v>20190303162402487</v>
      </c>
      <c r="B5020" t="str">
        <f>"1551601442480445"</f>
        <v>1551601442480445</v>
      </c>
      <c r="C5020" t="s">
        <v>40</v>
      </c>
      <c r="D5020">
        <v>5.1457949999999997</v>
      </c>
      <c r="E5020">
        <v>0.40676119999999999</v>
      </c>
      <c r="F5020" t="s">
        <v>42</v>
      </c>
      <c r="G5020">
        <v>-418.81479999999999</v>
      </c>
      <c r="H5020">
        <v>1.0604370000000001</v>
      </c>
      <c r="I5020">
        <v>33.055679999999903</v>
      </c>
      <c r="J5020">
        <v>-419.53989999999999</v>
      </c>
      <c r="K5020">
        <v>1.13264599999999</v>
      </c>
      <c r="L5020">
        <v>33.442689999999999</v>
      </c>
      <c r="M5020">
        <v>0.41241650000000002</v>
      </c>
      <c r="N5020">
        <v>-1.4693660000000001E-2</v>
      </c>
      <c r="O5020">
        <v>-0.91087700000000005</v>
      </c>
      <c r="P5020">
        <v>0.67159630000000003</v>
      </c>
      <c r="Q5020">
        <v>0.14066709999999999</v>
      </c>
      <c r="R5020">
        <v>-0.72744180000000003</v>
      </c>
      <c r="S5020">
        <v>2.6024780000000001</v>
      </c>
      <c r="T5020">
        <v>-0.2331184</v>
      </c>
      <c r="U5020">
        <v>-1.773163</v>
      </c>
      <c r="V5020">
        <v>-0.31617679999999998</v>
      </c>
      <c r="W5020">
        <v>0.14521789999999901</v>
      </c>
      <c r="X5020">
        <v>0.93752009999999997</v>
      </c>
      <c r="Y5020">
        <v>-0.51853870000000002</v>
      </c>
      <c r="Z5020">
        <v>6.4132510000000004E-2</v>
      </c>
      <c r="AA5020">
        <v>0.85264569999999995</v>
      </c>
      <c r="AB5020">
        <v>31</v>
      </c>
      <c r="AC5020">
        <v>0.72509999999999697</v>
      </c>
      <c r="AD5020">
        <v>-7.2208999999999704E-2</v>
      </c>
      <c r="AE5020">
        <v>-0.38701000000000302</v>
      </c>
      <c r="AF5020">
        <v>-0.49708493560136502</v>
      </c>
      <c r="AG5020">
        <v>-7.2208999999999704E-2</v>
      </c>
      <c r="AH5020">
        <v>0.64664096788755498</v>
      </c>
      <c r="AI5020">
        <v>95.059348719367307</v>
      </c>
      <c r="AJ5020">
        <v>127.55015108279299</v>
      </c>
      <c r="AK5020">
        <v>0.81881140333618196</v>
      </c>
      <c r="AL5020">
        <v>81.650102274306406</v>
      </c>
      <c r="AM5020">
        <v>108.636576859062</v>
      </c>
      <c r="AN5020">
        <v>0.999999972621329</v>
      </c>
    </row>
    <row r="5021" spans="1:40" x14ac:dyDescent="0.25">
      <c r="A5021" t="str">
        <f>"20190303162402506"</f>
        <v>20190303162402506</v>
      </c>
      <c r="B5021" t="str">
        <f>"1551601442499966"</f>
        <v>1551601442499966</v>
      </c>
      <c r="C5021" t="s">
        <v>40</v>
      </c>
      <c r="D5021">
        <v>5.0851680000000004</v>
      </c>
      <c r="E5021">
        <v>0.40938930000000001</v>
      </c>
      <c r="F5021" t="s">
        <v>42</v>
      </c>
      <c r="G5021">
        <v>-418.65789999999998</v>
      </c>
      <c r="H5021">
        <v>1.0548930000000001</v>
      </c>
      <c r="I5021">
        <v>32.848269999999999</v>
      </c>
      <c r="J5021">
        <v>-419.42200000000003</v>
      </c>
      <c r="K5021">
        <v>1.13279</v>
      </c>
      <c r="L5021">
        <v>33.21161</v>
      </c>
      <c r="M5021">
        <v>0.42420839999999999</v>
      </c>
      <c r="N5021">
        <v>-1.473787E-2</v>
      </c>
      <c r="O5021">
        <v>-0.90544469999999999</v>
      </c>
      <c r="P5021">
        <v>0.68124969999999996</v>
      </c>
      <c r="Q5021">
        <v>0.14475279999999999</v>
      </c>
      <c r="R5021">
        <v>-0.71759719999999905</v>
      </c>
      <c r="S5021">
        <v>2.6105040000000002</v>
      </c>
      <c r="T5021">
        <v>-0.230045</v>
      </c>
      <c r="U5021">
        <v>-1.7584229999999901</v>
      </c>
      <c r="V5021">
        <v>-0.31703419999999999</v>
      </c>
      <c r="W5021">
        <v>0.1492127</v>
      </c>
      <c r="X5021">
        <v>0.93660279999999996</v>
      </c>
      <c r="Y5021">
        <v>-0.51202170000000002</v>
      </c>
      <c r="Z5021">
        <v>6.2961409999999995E-2</v>
      </c>
      <c r="AA5021">
        <v>0.85666200000000003</v>
      </c>
      <c r="AB5021">
        <v>31</v>
      </c>
      <c r="AC5021">
        <v>0.76409999999998401</v>
      </c>
      <c r="AD5021">
        <v>-7.78969999999998E-2</v>
      </c>
      <c r="AE5021">
        <v>-0.36334</v>
      </c>
      <c r="AF5021">
        <v>-0.53325671458208002</v>
      </c>
      <c r="AG5021">
        <v>-7.78969999999998E-2</v>
      </c>
      <c r="AH5021">
        <v>0.647702658406069</v>
      </c>
      <c r="AI5021">
        <v>95.304571009329294</v>
      </c>
      <c r="AJ5021">
        <v>129.46479085476</v>
      </c>
      <c r="AK5021">
        <v>0.84258495118424903</v>
      </c>
      <c r="AL5021">
        <v>81.418695509832105</v>
      </c>
      <c r="AM5021">
        <v>108.70063900795</v>
      </c>
      <c r="AN5021">
        <v>0.99999995938938402</v>
      </c>
    </row>
    <row r="5022" spans="1:40" x14ac:dyDescent="0.25">
      <c r="A5022" t="str">
        <f>"20190303162402529"</f>
        <v>20190303162402529</v>
      </c>
      <c r="B5022" t="str">
        <f>"1551601442519485"</f>
        <v>1551601442519485</v>
      </c>
      <c r="C5022" t="s">
        <v>40</v>
      </c>
      <c r="D5022">
        <v>5.2436590000000001</v>
      </c>
      <c r="E5022">
        <v>0.41165210000000002</v>
      </c>
      <c r="F5022" t="s">
        <v>42</v>
      </c>
      <c r="G5022">
        <v>-418.529</v>
      </c>
      <c r="H5022">
        <v>1.0601100000000001</v>
      </c>
      <c r="I5022">
        <v>32.620109999999997</v>
      </c>
      <c r="J5022">
        <v>-419.28120000000001</v>
      </c>
      <c r="K5022">
        <v>1.13296</v>
      </c>
      <c r="L5022">
        <v>32.945619999999998</v>
      </c>
      <c r="M5022">
        <v>0.4379845</v>
      </c>
      <c r="N5022">
        <v>-1.479191E-2</v>
      </c>
      <c r="O5022">
        <v>-0.89886100000000002</v>
      </c>
      <c r="P5022">
        <v>0.69357060000000004</v>
      </c>
      <c r="Q5022">
        <v>0.1480109</v>
      </c>
      <c r="R5022">
        <v>-0.70501999999999998</v>
      </c>
      <c r="S5022">
        <v>2.620422</v>
      </c>
      <c r="T5022">
        <v>-0.2132956</v>
      </c>
      <c r="U5022">
        <v>-1.73599199999999</v>
      </c>
      <c r="V5022">
        <v>-0.31940020000000002</v>
      </c>
      <c r="W5022">
        <v>0.15231819999999999</v>
      </c>
      <c r="X5022">
        <v>0.93529819999999997</v>
      </c>
      <c r="Y5022">
        <v>-0.50579240000000003</v>
      </c>
      <c r="Z5022">
        <v>5.7424709999999997E-2</v>
      </c>
      <c r="AA5022">
        <v>0.8607418</v>
      </c>
      <c r="AB5022">
        <v>31</v>
      </c>
      <c r="AC5022">
        <v>0.75220000000001597</v>
      </c>
      <c r="AD5022">
        <v>-7.2849999999999804E-2</v>
      </c>
      <c r="AE5022">
        <v>-0.32551000000000102</v>
      </c>
      <c r="AF5022">
        <v>-0.52943054129430001</v>
      </c>
      <c r="AG5022">
        <v>-7.2849999999999804E-2</v>
      </c>
      <c r="AH5022">
        <v>0.61723182736797</v>
      </c>
      <c r="AI5022">
        <v>95.119226795901895</v>
      </c>
      <c r="AJ5022">
        <v>130.62133901720301</v>
      </c>
      <c r="AK5022">
        <v>0.81644286344555606</v>
      </c>
      <c r="AL5022">
        <v>81.238706578337997</v>
      </c>
      <c r="AM5022">
        <v>108.854809174205</v>
      </c>
      <c r="AN5022">
        <v>1.0000000223672501</v>
      </c>
    </row>
    <row r="5023" spans="1:40" x14ac:dyDescent="0.25">
      <c r="A5023" t="str">
        <f>"20190303162402550"</f>
        <v>20190303162402550</v>
      </c>
      <c r="B5023" t="str">
        <f>"1551601442539982"</f>
        <v>1551601442539982</v>
      </c>
      <c r="C5023" t="s">
        <v>40</v>
      </c>
      <c r="D5023">
        <v>5.2638020000000001</v>
      </c>
      <c r="E5023">
        <v>0.4137303</v>
      </c>
      <c r="F5023" t="s">
        <v>42</v>
      </c>
      <c r="G5023">
        <v>-418.40989999999999</v>
      </c>
      <c r="H5023">
        <v>1.065426</v>
      </c>
      <c r="I5023">
        <v>32.383850000000002</v>
      </c>
      <c r="J5023">
        <v>-419.14359999999999</v>
      </c>
      <c r="K5023">
        <v>1.133114</v>
      </c>
      <c r="L5023">
        <v>32.695129999999999</v>
      </c>
      <c r="M5023">
        <v>0.45113520000000001</v>
      </c>
      <c r="N5023">
        <v>-1.484196E-2</v>
      </c>
      <c r="O5023">
        <v>-0.89233209999999996</v>
      </c>
      <c r="P5023">
        <v>0.7063062</v>
      </c>
      <c r="Q5023">
        <v>0.15162519999999999</v>
      </c>
      <c r="R5023">
        <v>-0.69147760000000003</v>
      </c>
      <c r="S5023">
        <v>2.6394350000000002</v>
      </c>
      <c r="T5023">
        <v>-0.204565</v>
      </c>
      <c r="U5023">
        <v>-1.7015690000000001</v>
      </c>
      <c r="V5023">
        <v>-0.32323429999999997</v>
      </c>
      <c r="W5023">
        <v>0.1557316</v>
      </c>
      <c r="X5023">
        <v>0.93341700000000005</v>
      </c>
      <c r="Y5023">
        <v>-0.50402740000000001</v>
      </c>
      <c r="Z5023">
        <v>5.4551990000000002E-2</v>
      </c>
      <c r="AA5023">
        <v>0.86196319999999904</v>
      </c>
      <c r="AB5023">
        <v>31</v>
      </c>
      <c r="AC5023">
        <v>0.73369999999999802</v>
      </c>
      <c r="AD5023">
        <v>-6.7687999999999901E-2</v>
      </c>
      <c r="AE5023">
        <v>-0.311279999999996</v>
      </c>
      <c r="AF5023">
        <v>-0.51064817720500899</v>
      </c>
      <c r="AG5023">
        <v>-6.7687999999999901E-2</v>
      </c>
      <c r="AH5023">
        <v>0.60447020783712302</v>
      </c>
      <c r="AI5023">
        <v>94.889231985948697</v>
      </c>
      <c r="AJ5023">
        <v>130.190667160559</v>
      </c>
      <c r="AK5023">
        <v>0.794183516820548</v>
      </c>
      <c r="AL5023">
        <v>81.040771071731001</v>
      </c>
      <c r="AM5023">
        <v>109.10053076326</v>
      </c>
      <c r="AN5023">
        <v>1.00000001991202</v>
      </c>
    </row>
    <row r="5024" spans="1:40" x14ac:dyDescent="0.25">
      <c r="A5024" t="str">
        <f>"20190303162402573"</f>
        <v>20190303162402573</v>
      </c>
      <c r="B5024" t="str">
        <f>"1551601442559501"</f>
        <v>1551601442559501</v>
      </c>
      <c r="C5024" t="s">
        <v>40</v>
      </c>
      <c r="D5024">
        <v>5.2915729999999996</v>
      </c>
      <c r="E5024">
        <v>0.4155993</v>
      </c>
      <c r="F5024" t="s">
        <v>42</v>
      </c>
      <c r="G5024">
        <v>-418.28030000000001</v>
      </c>
      <c r="H5024">
        <v>1.0698000000000001</v>
      </c>
      <c r="I5024">
        <v>32.155389999999997</v>
      </c>
      <c r="J5024">
        <v>-418.995</v>
      </c>
      <c r="K5024">
        <v>1.1332500000000001</v>
      </c>
      <c r="L5024">
        <v>32.434330000000003</v>
      </c>
      <c r="M5024">
        <v>0.46500180000000002</v>
      </c>
      <c r="N5024">
        <v>-1.4891339999999999E-2</v>
      </c>
      <c r="O5024">
        <v>-0.88518479999999999</v>
      </c>
      <c r="P5024">
        <v>0.72156919999999902</v>
      </c>
      <c r="Q5024">
        <v>0.15422930000000001</v>
      </c>
      <c r="R5024">
        <v>-0.67494580000000004</v>
      </c>
      <c r="S5024">
        <v>2.6609500000000001</v>
      </c>
      <c r="T5024">
        <v>-0.1951184</v>
      </c>
      <c r="U5024">
        <v>-1.66333</v>
      </c>
      <c r="V5024">
        <v>-0.32992339999999998</v>
      </c>
      <c r="W5024">
        <v>0.15803589999999901</v>
      </c>
      <c r="X5024">
        <v>0.93068530000000005</v>
      </c>
      <c r="Y5024">
        <v>-0.50274719999999995</v>
      </c>
      <c r="Z5024">
        <v>5.1445780000000003E-2</v>
      </c>
      <c r="AA5024">
        <v>0.86290129999999998</v>
      </c>
      <c r="AB5024">
        <v>31</v>
      </c>
      <c r="AC5024">
        <v>0.71469999999999301</v>
      </c>
      <c r="AD5024">
        <v>-6.3450000000000006E-2</v>
      </c>
      <c r="AE5024">
        <v>-0.27893999999999097</v>
      </c>
      <c r="AF5024">
        <v>-0.499572654295528</v>
      </c>
      <c r="AG5024">
        <v>-6.3450000000000006E-2</v>
      </c>
      <c r="AH5024">
        <v>0.57537886060001897</v>
      </c>
      <c r="AI5024">
        <v>94.759950179120906</v>
      </c>
      <c r="AJ5024">
        <v>130.96614643498401</v>
      </c>
      <c r="AK5024">
        <v>0.76463035032965798</v>
      </c>
      <c r="AL5024">
        <v>80.907088467832807</v>
      </c>
      <c r="AM5024">
        <v>109.519168475973</v>
      </c>
      <c r="AN5024">
        <v>0.99999996159622895</v>
      </c>
    </row>
    <row r="5025" spans="1:40" x14ac:dyDescent="0.25">
      <c r="A5025" t="str">
        <f>"20190303162402595"</f>
        <v>20190303162402595</v>
      </c>
      <c r="B5025" t="str">
        <f>"1551601442589758"</f>
        <v>1551601442589758</v>
      </c>
      <c r="C5025" t="s">
        <v>40</v>
      </c>
      <c r="D5025">
        <v>5.4038069999999996</v>
      </c>
      <c r="E5025">
        <v>0.4399768</v>
      </c>
      <c r="F5025" t="s">
        <v>42</v>
      </c>
      <c r="G5025">
        <v>-418.15</v>
      </c>
      <c r="H5025">
        <v>1.073526</v>
      </c>
      <c r="I5025">
        <v>31.926880000000001</v>
      </c>
      <c r="J5025">
        <v>-418.83960000000002</v>
      </c>
      <c r="K5025">
        <v>1.1333580000000001</v>
      </c>
      <c r="L5025">
        <v>32.171329999999998</v>
      </c>
      <c r="M5025">
        <v>0.47914440000000003</v>
      </c>
      <c r="N5025">
        <v>-1.493981E-2</v>
      </c>
      <c r="O5025">
        <v>-0.87760910000000003</v>
      </c>
      <c r="P5025">
        <v>0.73798869999999905</v>
      </c>
      <c r="Q5025">
        <v>0.15390470000000001</v>
      </c>
      <c r="R5025">
        <v>-0.65702830000000001</v>
      </c>
      <c r="S5025">
        <v>2.688507</v>
      </c>
      <c r="T5025">
        <v>-0.18997739999999999</v>
      </c>
      <c r="U5025">
        <v>-1.6140139999999901</v>
      </c>
      <c r="V5025">
        <v>-0.33793759999999901</v>
      </c>
      <c r="W5025">
        <v>0.15737579999999901</v>
      </c>
      <c r="X5025">
        <v>0.92791760000000001</v>
      </c>
      <c r="Y5025">
        <v>-0.50449089999999996</v>
      </c>
      <c r="Z5025">
        <v>4.9786299999999999E-2</v>
      </c>
      <c r="AA5025">
        <v>0.86198039999999998</v>
      </c>
      <c r="AB5025">
        <v>31</v>
      </c>
      <c r="AC5025">
        <v>0.68960000000004096</v>
      </c>
      <c r="AD5025">
        <v>-5.98320000000001E-2</v>
      </c>
      <c r="AE5025">
        <v>-0.244449999999996</v>
      </c>
      <c r="AF5025">
        <v>-0.48488411105786799</v>
      </c>
      <c r="AG5025">
        <v>-5.98320000000001E-2</v>
      </c>
      <c r="AH5025">
        <v>0.54138970378150797</v>
      </c>
      <c r="AI5025">
        <v>94.706221618946302</v>
      </c>
      <c r="AJ5025">
        <v>131.84853461538199</v>
      </c>
      <c r="AK5025">
        <v>0.72924295042256504</v>
      </c>
      <c r="AL5025">
        <v>80.945389214505596</v>
      </c>
      <c r="AM5025">
        <v>110.011079173599</v>
      </c>
      <c r="AN5025">
        <v>1.0000000181545701</v>
      </c>
    </row>
    <row r="5026" spans="1:40" x14ac:dyDescent="0.25">
      <c r="A5026" t="str">
        <f>"20190303162402617"</f>
        <v>20190303162402617</v>
      </c>
      <c r="B5026" t="str">
        <f>"1551601442610253"</f>
        <v>1551601442610253</v>
      </c>
      <c r="C5026" t="s">
        <v>40</v>
      </c>
      <c r="D5026">
        <v>5.3466529999999999</v>
      </c>
      <c r="E5026">
        <v>0.40582800000000002</v>
      </c>
      <c r="F5026" t="s">
        <v>42</v>
      </c>
      <c r="G5026">
        <v>-418.06040000000002</v>
      </c>
      <c r="H5026">
        <v>1.070354</v>
      </c>
      <c r="I5026">
        <v>31.662420000000001</v>
      </c>
      <c r="J5026">
        <v>-418.68729999999999</v>
      </c>
      <c r="K5026">
        <v>1.133437</v>
      </c>
      <c r="L5026">
        <v>31.922969999999999</v>
      </c>
      <c r="M5026">
        <v>0.49262850000000002</v>
      </c>
      <c r="N5026">
        <v>-1.4985719999999999E-2</v>
      </c>
      <c r="O5026">
        <v>-0.87011070000000001</v>
      </c>
      <c r="P5026">
        <v>0.75333079999999997</v>
      </c>
      <c r="Q5026">
        <v>0.1528101</v>
      </c>
      <c r="R5026">
        <v>-0.6396423</v>
      </c>
      <c r="S5026">
        <v>2.5982970000000001</v>
      </c>
      <c r="T5026">
        <v>-0.2100728</v>
      </c>
      <c r="U5026">
        <v>-1.696747</v>
      </c>
      <c r="V5026">
        <v>-0.34545569999999998</v>
      </c>
      <c r="W5026">
        <v>0.15597849999999999</v>
      </c>
      <c r="X5026">
        <v>0.92538160000000003</v>
      </c>
      <c r="Y5026">
        <v>-0.45757340000000002</v>
      </c>
      <c r="Z5026">
        <v>5.5630400000000003E-2</v>
      </c>
      <c r="AA5026">
        <v>0.88742999999999905</v>
      </c>
      <c r="AB5026">
        <v>31</v>
      </c>
      <c r="AC5026">
        <v>0.62689999999997703</v>
      </c>
      <c r="AD5026">
        <v>-6.3083E-2</v>
      </c>
      <c r="AE5026">
        <v>-0.26054999999999801</v>
      </c>
      <c r="AF5026">
        <v>-0.413593782359503</v>
      </c>
      <c r="AG5026">
        <v>-6.3083E-2</v>
      </c>
      <c r="AH5026">
        <v>0.53101136678744598</v>
      </c>
      <c r="AI5026">
        <v>95.3543073599824</v>
      </c>
      <c r="AJ5026">
        <v>127.91428804349999</v>
      </c>
      <c r="AK5026">
        <v>0.67602688803989996</v>
      </c>
      <c r="AL5026">
        <v>81.026449731505195</v>
      </c>
      <c r="AM5026">
        <v>110.471187386681</v>
      </c>
      <c r="AN5026">
        <v>1.0000000193716401</v>
      </c>
    </row>
    <row r="5027" spans="1:40" x14ac:dyDescent="0.25">
      <c r="A5027" t="str">
        <f>"20190303162402639"</f>
        <v>20190303162402639</v>
      </c>
      <c r="B5027" t="str">
        <f>"1551601442629774"</f>
        <v>1551601442629774</v>
      </c>
      <c r="C5027" t="s">
        <v>40</v>
      </c>
      <c r="D5027">
        <v>5.4397820000000001</v>
      </c>
      <c r="E5027">
        <v>0.39513150000000002</v>
      </c>
      <c r="F5027" t="s">
        <v>42</v>
      </c>
      <c r="G5027">
        <v>-417.85469999999998</v>
      </c>
      <c r="H5027">
        <v>1.0552280000000001</v>
      </c>
      <c r="I5027">
        <v>31.498740000000002</v>
      </c>
      <c r="J5027">
        <v>-418.5299</v>
      </c>
      <c r="K5027">
        <v>1.1334979999999999</v>
      </c>
      <c r="L5027">
        <v>31.674990000000001</v>
      </c>
      <c r="M5027">
        <v>0.50619789999999998</v>
      </c>
      <c r="N5027">
        <v>-1.502964E-2</v>
      </c>
      <c r="O5027">
        <v>-0.86228660000000001</v>
      </c>
      <c r="P5027">
        <v>0.7683894</v>
      </c>
      <c r="Q5027">
        <v>0.1512433</v>
      </c>
      <c r="R5027">
        <v>-0.62185489999999999</v>
      </c>
      <c r="S5027">
        <v>2.8174130000000002</v>
      </c>
      <c r="T5027">
        <v>-0.2646018</v>
      </c>
      <c r="U5027">
        <v>-1.435181</v>
      </c>
      <c r="V5027">
        <v>-0.35284539999999998</v>
      </c>
      <c r="W5027">
        <v>0.15412479999999901</v>
      </c>
      <c r="X5027">
        <v>0.92290070000000002</v>
      </c>
      <c r="Y5027">
        <v>-0.53568289999999996</v>
      </c>
      <c r="Z5027">
        <v>7.3527510000000004E-2</v>
      </c>
      <c r="AA5027">
        <v>0.84121190000000001</v>
      </c>
      <c r="AB5027">
        <v>31</v>
      </c>
      <c r="AC5027">
        <v>0.67520000000001701</v>
      </c>
      <c r="AD5027">
        <v>-7.8269999999999798E-2</v>
      </c>
      <c r="AE5027">
        <v>-0.17624999999999899</v>
      </c>
      <c r="AF5027">
        <v>-0.48692832310784401</v>
      </c>
      <c r="AG5027">
        <v>-7.8269999999999798E-2</v>
      </c>
      <c r="AH5027">
        <v>0.48768321525790798</v>
      </c>
      <c r="AI5027">
        <v>96.479542070252194</v>
      </c>
      <c r="AJ5027">
        <v>134.95562116408999</v>
      </c>
      <c r="AK5027">
        <v>0.69358510882869195</v>
      </c>
      <c r="AL5027">
        <v>81.133959083197695</v>
      </c>
      <c r="AM5027">
        <v>110.922963634794</v>
      </c>
      <c r="AN5027">
        <v>1.00000001616834</v>
      </c>
    </row>
    <row r="5028" spans="1:40" x14ac:dyDescent="0.25">
      <c r="A5028" t="str">
        <f>"20190303162402661"</f>
        <v>20190303162402661</v>
      </c>
      <c r="B5028" t="str">
        <f>"1551601442650269"</f>
        <v>1551601442650269</v>
      </c>
      <c r="C5028" t="s">
        <v>40</v>
      </c>
      <c r="D5028">
        <v>5.3799159999999997</v>
      </c>
      <c r="E5028">
        <v>0.39365099999999997</v>
      </c>
      <c r="F5028" t="s">
        <v>42</v>
      </c>
      <c r="G5028">
        <v>-417.69209999999998</v>
      </c>
      <c r="H5028">
        <v>1.044259</v>
      </c>
      <c r="I5028">
        <v>31.29823</v>
      </c>
      <c r="J5028">
        <v>-418.36520000000002</v>
      </c>
      <c r="K5028">
        <v>1.133543</v>
      </c>
      <c r="L5028">
        <v>31.42426</v>
      </c>
      <c r="M5028">
        <v>0.52000170000000001</v>
      </c>
      <c r="N5028">
        <v>-1.506978E-2</v>
      </c>
      <c r="O5028">
        <v>-0.85403229999999997</v>
      </c>
      <c r="P5028">
        <v>0.78244469999999899</v>
      </c>
      <c r="Q5028">
        <v>0.1497521</v>
      </c>
      <c r="R5028">
        <v>-0.60444569999999997</v>
      </c>
      <c r="S5028">
        <v>2.9072269999999998</v>
      </c>
      <c r="T5028">
        <v>-0.30964019999999998</v>
      </c>
      <c r="U5028">
        <v>-1.3072509999999999</v>
      </c>
      <c r="V5028">
        <v>-0.35894579999999998</v>
      </c>
      <c r="W5028">
        <v>0.1524016</v>
      </c>
      <c r="X5028">
        <v>0.92083199999999998</v>
      </c>
      <c r="Y5028">
        <v>-0.56147139999999995</v>
      </c>
      <c r="Z5028">
        <v>8.7727289999999999E-2</v>
      </c>
      <c r="AA5028">
        <v>0.82283280000000003</v>
      </c>
      <c r="AB5028">
        <v>30</v>
      </c>
      <c r="AC5028">
        <v>0.67310000000003301</v>
      </c>
      <c r="AD5028">
        <v>-8.9283999999999905E-2</v>
      </c>
      <c r="AE5028">
        <v>-0.12602999999999601</v>
      </c>
      <c r="AF5028">
        <v>-0.50085709036391102</v>
      </c>
      <c r="AG5028">
        <v>-8.9283999999999905E-2</v>
      </c>
      <c r="AH5028">
        <v>0.45004842817775997</v>
      </c>
      <c r="AI5028">
        <v>97.553161823953204</v>
      </c>
      <c r="AJ5028">
        <v>138.05851233537399</v>
      </c>
      <c r="AK5028">
        <v>0.67924446654284598</v>
      </c>
      <c r="AL5028">
        <v>81.233871055804201</v>
      </c>
      <c r="AM5028">
        <v>111.296132968832</v>
      </c>
      <c r="AN5028">
        <v>0.99999995362209804</v>
      </c>
    </row>
    <row r="5029" spans="1:40" x14ac:dyDescent="0.25">
      <c r="A5029" t="str">
        <f>"20190303162402697"</f>
        <v>20190303162402697</v>
      </c>
      <c r="B5029" t="str">
        <f>"1551601442690285"</f>
        <v>1551601442690285</v>
      </c>
      <c r="C5029" t="s">
        <v>40</v>
      </c>
      <c r="D5029">
        <v>5.425929</v>
      </c>
      <c r="E5029">
        <v>0.3968603</v>
      </c>
      <c r="F5029" t="s">
        <v>42</v>
      </c>
      <c r="G5029">
        <v>-417.5471</v>
      </c>
      <c r="H5029">
        <v>1.0439689999999999</v>
      </c>
      <c r="I5029">
        <v>31.081309999999998</v>
      </c>
      <c r="J5029">
        <v>-418.1071</v>
      </c>
      <c r="K5029">
        <v>1.133567</v>
      </c>
      <c r="L5029">
        <v>31.04965</v>
      </c>
      <c r="M5029">
        <v>0.54075620000000002</v>
      </c>
      <c r="N5029">
        <v>-1.5118929999999999E-2</v>
      </c>
      <c r="O5029">
        <v>-0.8410436</v>
      </c>
      <c r="P5029">
        <v>0.8005641</v>
      </c>
      <c r="Q5029">
        <v>0.1464367</v>
      </c>
      <c r="R5029">
        <v>-0.58107940000000002</v>
      </c>
      <c r="S5029">
        <v>2.942841</v>
      </c>
      <c r="T5029">
        <v>-0.32222489999999998</v>
      </c>
      <c r="U5029">
        <v>-1.233643</v>
      </c>
      <c r="V5029">
        <v>-0.36402289999999998</v>
      </c>
      <c r="W5029">
        <v>0.14890999999999999</v>
      </c>
      <c r="X5029">
        <v>0.91940920000000004</v>
      </c>
      <c r="Y5029">
        <v>-0.56197369999999902</v>
      </c>
      <c r="Z5029">
        <v>9.1206620000000002E-2</v>
      </c>
      <c r="AA5029">
        <v>0.82211129999999999</v>
      </c>
      <c r="AB5029">
        <v>30</v>
      </c>
      <c r="AC5029">
        <v>0.56000000000000205</v>
      </c>
      <c r="AD5029">
        <v>-8.9597999999999803E-2</v>
      </c>
      <c r="AE5029">
        <v>3.1659999999998599E-2</v>
      </c>
      <c r="AF5029">
        <v>-0.47601391886879302</v>
      </c>
      <c r="AG5029">
        <v>-8.9597999999999803E-2</v>
      </c>
      <c r="AH5029">
        <v>0.269354382282118</v>
      </c>
      <c r="AI5029">
        <v>99.303416554761995</v>
      </c>
      <c r="AJ5029">
        <v>150.496474677604</v>
      </c>
      <c r="AK5029">
        <v>0.55422814419281097</v>
      </c>
      <c r="AL5029">
        <v>81.436235834820295</v>
      </c>
      <c r="AM5029">
        <v>111.600164106232</v>
      </c>
      <c r="AN5029">
        <v>1.0000000684345201</v>
      </c>
    </row>
    <row r="5030" spans="1:40" x14ac:dyDescent="0.25">
      <c r="A5030" t="str">
        <f>"20190303162402719"</f>
        <v>20190303162402719</v>
      </c>
      <c r="B5030" t="str">
        <f>"1551601442709806"</f>
        <v>1551601442709806</v>
      </c>
      <c r="C5030" t="s">
        <v>40</v>
      </c>
      <c r="D5030">
        <v>5.45655</v>
      </c>
      <c r="E5030">
        <v>0.39923380000000003</v>
      </c>
      <c r="F5030" t="s">
        <v>42</v>
      </c>
      <c r="G5030">
        <v>-417.20769999999999</v>
      </c>
      <c r="H5030">
        <v>1.03009</v>
      </c>
      <c r="I5030">
        <v>30.694600000000001</v>
      </c>
      <c r="J5030">
        <v>-417.92660000000001</v>
      </c>
      <c r="K5030">
        <v>1.133554</v>
      </c>
      <c r="L5030">
        <v>30.797999999999998</v>
      </c>
      <c r="M5030">
        <v>0.55472219999999905</v>
      </c>
      <c r="N5030">
        <v>-1.5144309999999999E-2</v>
      </c>
      <c r="O5030">
        <v>-0.83189789999999997</v>
      </c>
      <c r="P5030">
        <v>0.8119729</v>
      </c>
      <c r="Q5030">
        <v>0.1440565</v>
      </c>
      <c r="R5030">
        <v>-0.56563929999999996</v>
      </c>
      <c r="S5030">
        <v>2.9613649999999998</v>
      </c>
      <c r="T5030">
        <v>-0.34067750000000002</v>
      </c>
      <c r="U5030">
        <v>-1.1687320000000001</v>
      </c>
      <c r="V5030">
        <v>-0.3665697</v>
      </c>
      <c r="W5030">
        <v>0.1464529</v>
      </c>
      <c r="X5030">
        <v>0.91879169999999999</v>
      </c>
      <c r="Y5030">
        <v>-0.564882199999999</v>
      </c>
      <c r="Z5030">
        <v>9.7022349999999993E-2</v>
      </c>
      <c r="AA5030">
        <v>0.81944779999999995</v>
      </c>
      <c r="AB5030">
        <v>30</v>
      </c>
      <c r="AC5030">
        <v>0.71890000000001897</v>
      </c>
      <c r="AD5030">
        <v>-0.103464</v>
      </c>
      <c r="AE5030">
        <v>-0.10340000000000001</v>
      </c>
      <c r="AF5030">
        <v>-0.52999974053448895</v>
      </c>
      <c r="AG5030">
        <v>-0.103464</v>
      </c>
      <c r="AH5030">
        <v>0.47521989757687699</v>
      </c>
      <c r="AI5030">
        <v>98.269732848138005</v>
      </c>
      <c r="AJ5030">
        <v>138.119270859404</v>
      </c>
      <c r="AK5030">
        <v>0.71933196461411597</v>
      </c>
      <c r="AL5030">
        <v>81.578577464802507</v>
      </c>
      <c r="AM5030">
        <v>111.750483124556</v>
      </c>
      <c r="AN5030">
        <v>0.999999992432695</v>
      </c>
    </row>
    <row r="5031" spans="1:40" x14ac:dyDescent="0.25">
      <c r="A5031" t="str">
        <f>"20190303162402741"</f>
        <v>20190303162402741</v>
      </c>
      <c r="B5031" t="str">
        <f>"1551601442730301"</f>
        <v>1551601442730301</v>
      </c>
      <c r="C5031" t="s">
        <v>40</v>
      </c>
      <c r="D5031">
        <v>5.4638109999999998</v>
      </c>
      <c r="E5031">
        <v>0.40191700000000002</v>
      </c>
      <c r="F5031" t="s">
        <v>42</v>
      </c>
      <c r="G5031">
        <v>-417.06740000000002</v>
      </c>
      <c r="H5031">
        <v>1.0320419999999999</v>
      </c>
      <c r="I5031">
        <v>30.471530000000001</v>
      </c>
      <c r="J5031">
        <v>-417.75850000000003</v>
      </c>
      <c r="K5031">
        <v>1.1335379999999999</v>
      </c>
      <c r="L5031">
        <v>30.57169</v>
      </c>
      <c r="M5031">
        <v>0.56728519999999905</v>
      </c>
      <c r="N5031">
        <v>-1.516147E-2</v>
      </c>
      <c r="O5031">
        <v>-0.82338199999999995</v>
      </c>
      <c r="P5031">
        <v>0.82226589999999999</v>
      </c>
      <c r="Q5031">
        <v>0.14301620000000001</v>
      </c>
      <c r="R5031">
        <v>-0.55084049999999996</v>
      </c>
      <c r="S5031">
        <v>2.9707949999999999</v>
      </c>
      <c r="T5031">
        <v>-0.3509835</v>
      </c>
      <c r="U5031">
        <v>-1.128601</v>
      </c>
      <c r="V5031">
        <v>-0.36938149999999997</v>
      </c>
      <c r="W5031">
        <v>0.14533209999999999</v>
      </c>
      <c r="X5031">
        <v>0.91784299999999996</v>
      </c>
      <c r="Y5031">
        <v>-0.56256039999999996</v>
      </c>
      <c r="Z5031">
        <v>9.9994620000000006E-2</v>
      </c>
      <c r="AA5031">
        <v>0.82068680000000005</v>
      </c>
      <c r="AB5031">
        <v>30</v>
      </c>
      <c r="AC5031">
        <v>0.69110000000000504</v>
      </c>
      <c r="AD5031">
        <v>-0.101496</v>
      </c>
      <c r="AE5031">
        <v>-0.10016000000000599</v>
      </c>
      <c r="AF5031">
        <v>-0.50168101198703297</v>
      </c>
      <c r="AG5031">
        <v>-0.101496</v>
      </c>
      <c r="AH5031">
        <v>0.46475740835232399</v>
      </c>
      <c r="AI5031">
        <v>98.441837709948402</v>
      </c>
      <c r="AJ5031">
        <v>137.18796992504201</v>
      </c>
      <c r="AK5031">
        <v>0.69136439337205002</v>
      </c>
      <c r="AL5031">
        <v>81.643488681599905</v>
      </c>
      <c r="AM5031">
        <v>111.92208258957</v>
      </c>
      <c r="AN5031">
        <v>0.999999942240828</v>
      </c>
    </row>
    <row r="5032" spans="1:40" x14ac:dyDescent="0.25">
      <c r="A5032" t="str">
        <f>"20190303162402765"</f>
        <v>20190303162402765</v>
      </c>
      <c r="B5032" t="str">
        <f>"1551601442759582"</f>
        <v>1551601442759582</v>
      </c>
      <c r="C5032" t="s">
        <v>40</v>
      </c>
      <c r="D5032">
        <v>5.4463910000000002</v>
      </c>
      <c r="E5032">
        <v>0.42715180000000003</v>
      </c>
      <c r="F5032" t="s">
        <v>42</v>
      </c>
      <c r="G5032">
        <v>-416.91390000000001</v>
      </c>
      <c r="H5032">
        <v>1.0325549999999999</v>
      </c>
      <c r="I5032">
        <v>30.2608</v>
      </c>
      <c r="J5032">
        <v>-417.57119999999998</v>
      </c>
      <c r="K5032">
        <v>1.133497</v>
      </c>
      <c r="L5032">
        <v>30.327449999999999</v>
      </c>
      <c r="M5032">
        <v>0.58080739999999997</v>
      </c>
      <c r="N5032">
        <v>-1.5172359999999999E-2</v>
      </c>
      <c r="O5032">
        <v>-0.81389990000000001</v>
      </c>
      <c r="P5032">
        <v>0.83228459999999904</v>
      </c>
      <c r="Q5032">
        <v>0.1422986</v>
      </c>
      <c r="R5032">
        <v>-0.53577379999999997</v>
      </c>
      <c r="S5032">
        <v>2.976807</v>
      </c>
      <c r="T5032">
        <v>-0.35580909999999999</v>
      </c>
      <c r="U5032">
        <v>-1.0950009999999999</v>
      </c>
      <c r="V5032">
        <v>-0.37100670000000002</v>
      </c>
      <c r="W5032">
        <v>0.14459420000000001</v>
      </c>
      <c r="X5032">
        <v>0.91730400000000001</v>
      </c>
      <c r="Y5032">
        <v>-0.55746289999999998</v>
      </c>
      <c r="Z5032">
        <v>0.10106900000000001</v>
      </c>
      <c r="AA5032">
        <v>0.82402679999999995</v>
      </c>
      <c r="AB5032">
        <v>30</v>
      </c>
      <c r="AC5032">
        <v>0.65729999999996302</v>
      </c>
      <c r="AD5032">
        <v>-0.100942</v>
      </c>
      <c r="AE5032">
        <v>-6.6649999999999196E-2</v>
      </c>
      <c r="AF5032">
        <v>-0.48500077686329002</v>
      </c>
      <c r="AG5032">
        <v>-0.100942</v>
      </c>
      <c r="AH5032">
        <v>0.42611404401731501</v>
      </c>
      <c r="AI5032">
        <v>98.886467961753297</v>
      </c>
      <c r="AJ5032">
        <v>138.69796976523401</v>
      </c>
      <c r="AK5032">
        <v>0.65344335594662295</v>
      </c>
      <c r="AL5032">
        <v>81.686219423686097</v>
      </c>
      <c r="AM5032">
        <v>112.021036375154</v>
      </c>
      <c r="AN5032">
        <v>1.0000000412672601</v>
      </c>
    </row>
    <row r="5033" spans="1:40" x14ac:dyDescent="0.25">
      <c r="A5033" t="str">
        <f>"20190303162402785"</f>
        <v>20190303162402785</v>
      </c>
      <c r="B5033" t="str">
        <f>"1551601442780077"</f>
        <v>1551601442780077</v>
      </c>
      <c r="C5033" t="s">
        <v>40</v>
      </c>
      <c r="D5033">
        <v>5.4887499999999996</v>
      </c>
      <c r="E5033">
        <v>0.4307396</v>
      </c>
      <c r="F5033" t="s">
        <v>42</v>
      </c>
      <c r="G5033">
        <v>-416.55059999999997</v>
      </c>
      <c r="H5033">
        <v>1.0156810000000001</v>
      </c>
      <c r="I5033">
        <v>29.8993</v>
      </c>
      <c r="J5033">
        <v>-417.38869999999997</v>
      </c>
      <c r="K5033">
        <v>1.1334310000000001</v>
      </c>
      <c r="L5033">
        <v>30.097529999999999</v>
      </c>
      <c r="M5033">
        <v>0.59348350000000005</v>
      </c>
      <c r="N5033">
        <v>-1.517372E-2</v>
      </c>
      <c r="O5033">
        <v>-0.80470319999999995</v>
      </c>
      <c r="P5033">
        <v>0.84073639999999905</v>
      </c>
      <c r="Q5033">
        <v>0.14157719999999999</v>
      </c>
      <c r="R5033">
        <v>-0.52260699999999904</v>
      </c>
      <c r="S5033">
        <v>2.883362</v>
      </c>
      <c r="T5033">
        <v>-0.33274500000000001</v>
      </c>
      <c r="U5033">
        <v>-1.2087399999999999</v>
      </c>
      <c r="V5033">
        <v>-0.37113420000000003</v>
      </c>
      <c r="W5033">
        <v>0.1439204</v>
      </c>
      <c r="X5033">
        <v>0.91735829999999996</v>
      </c>
      <c r="Y5033">
        <v>-0.50771129999999998</v>
      </c>
      <c r="Z5033">
        <v>9.2764260000000001E-2</v>
      </c>
      <c r="AA5033">
        <v>0.85651860000000002</v>
      </c>
      <c r="AB5033">
        <v>30</v>
      </c>
      <c r="AC5033">
        <v>0.83809999999999696</v>
      </c>
      <c r="AD5033">
        <v>-0.11774999999999899</v>
      </c>
      <c r="AE5033">
        <v>-0.19822999999999799</v>
      </c>
      <c r="AF5033">
        <v>-0.54662134232872195</v>
      </c>
      <c r="AG5033">
        <v>-0.11774999999999899</v>
      </c>
      <c r="AH5033">
        <v>0.64493437372862505</v>
      </c>
      <c r="AI5033">
        <v>97.929138531426005</v>
      </c>
      <c r="AJ5033">
        <v>130.28331622078801</v>
      </c>
      <c r="AK5033">
        <v>0.85358086951734602</v>
      </c>
      <c r="AL5033">
        <v>81.725232746975493</v>
      </c>
      <c r="AM5033">
        <v>112.026701098224</v>
      </c>
      <c r="AN5033">
        <v>0.99999996326234397</v>
      </c>
    </row>
    <row r="5034" spans="1:40" x14ac:dyDescent="0.25">
      <c r="A5034" t="str">
        <f>"20190303162402807"</f>
        <v>20190303162402807</v>
      </c>
      <c r="B5034" t="str">
        <f>"1551601442799909"</f>
        <v>1551601442799909</v>
      </c>
      <c r="C5034" t="s">
        <v>40</v>
      </c>
      <c r="D5034">
        <v>5.4908109999999999</v>
      </c>
      <c r="E5034">
        <v>0.43312420000000001</v>
      </c>
      <c r="F5034" t="s">
        <v>42</v>
      </c>
      <c r="G5034">
        <v>-416.39449999999999</v>
      </c>
      <c r="H5034">
        <v>1.029671</v>
      </c>
      <c r="I5034">
        <v>29.68929</v>
      </c>
      <c r="J5034">
        <v>-417.2097</v>
      </c>
      <c r="K5034">
        <v>1.133365</v>
      </c>
      <c r="L5034">
        <v>29.878779999999999</v>
      </c>
      <c r="M5034">
        <v>0.60548740000000001</v>
      </c>
      <c r="N5034">
        <v>-1.516901E-2</v>
      </c>
      <c r="O5034">
        <v>-0.79571040000000004</v>
      </c>
      <c r="P5034">
        <v>0.84784660000000001</v>
      </c>
      <c r="Q5034">
        <v>0.14015910000000001</v>
      </c>
      <c r="R5034">
        <v>-0.51138220000000001</v>
      </c>
      <c r="S5034">
        <v>2.882965</v>
      </c>
      <c r="T5034">
        <v>-0.30090609999999901</v>
      </c>
      <c r="U5034">
        <v>-1.184021</v>
      </c>
      <c r="V5034">
        <v>-0.36968780000000001</v>
      </c>
      <c r="W5034">
        <v>0.14261219999999999</v>
      </c>
      <c r="X5034">
        <v>0.91814640000000003</v>
      </c>
      <c r="Y5034">
        <v>-0.5020017</v>
      </c>
      <c r="Z5034">
        <v>8.2709000000000005E-2</v>
      </c>
      <c r="AA5034">
        <v>0.86090270000000002</v>
      </c>
      <c r="AB5034">
        <v>30</v>
      </c>
      <c r="AC5034">
        <v>0.81520000000000403</v>
      </c>
      <c r="AD5034">
        <v>-0.103693999999999</v>
      </c>
      <c r="AE5034">
        <v>-0.189489999999995</v>
      </c>
      <c r="AF5034">
        <v>-0.52591756232645204</v>
      </c>
      <c r="AG5034">
        <v>-0.103693999999999</v>
      </c>
      <c r="AH5034">
        <v>0.634703515153199</v>
      </c>
      <c r="AI5034">
        <v>97.170112677349096</v>
      </c>
      <c r="AJ5034">
        <v>129.64526492816501</v>
      </c>
      <c r="AK5034">
        <v>0.83077691358584604</v>
      </c>
      <c r="AL5034">
        <v>81.800969172026697</v>
      </c>
      <c r="AM5034">
        <v>111.93197435384199</v>
      </c>
      <c r="AN5034">
        <v>1.0000000604453101</v>
      </c>
    </row>
    <row r="5035" spans="1:40" x14ac:dyDescent="0.25">
      <c r="A5035" t="str">
        <f>"20190303162402831"</f>
        <v>20190303162402831</v>
      </c>
      <c r="B5035" t="str">
        <f>"1551601442820405"</f>
        <v>1551601442820405</v>
      </c>
      <c r="C5035" t="s">
        <v>40</v>
      </c>
      <c r="D5035">
        <v>5.5504110000000004</v>
      </c>
      <c r="E5035">
        <v>0.43503629999999999</v>
      </c>
      <c r="F5035" t="s">
        <v>42</v>
      </c>
      <c r="G5035">
        <v>-416.23180000000002</v>
      </c>
      <c r="H5035">
        <v>1.0345580000000001</v>
      </c>
      <c r="I5035">
        <v>29.48584</v>
      </c>
      <c r="J5035">
        <v>-417.0145</v>
      </c>
      <c r="K5035">
        <v>1.1332770000000001</v>
      </c>
      <c r="L5035">
        <v>29.64761</v>
      </c>
      <c r="M5035">
        <v>0.6180911</v>
      </c>
      <c r="N5035">
        <v>-1.5159239999999999E-2</v>
      </c>
      <c r="O5035">
        <v>-0.7859604</v>
      </c>
      <c r="P5035">
        <v>0.85447929999999905</v>
      </c>
      <c r="Q5035">
        <v>0.13945009999999999</v>
      </c>
      <c r="R5035">
        <v>-0.50041869999999999</v>
      </c>
      <c r="S5035">
        <v>2.8869929999999999</v>
      </c>
      <c r="T5035">
        <v>-0.29166880000000001</v>
      </c>
      <c r="U5035">
        <v>-1.159851</v>
      </c>
      <c r="V5035">
        <v>-0.36691459999999998</v>
      </c>
      <c r="W5035">
        <v>0.1420746</v>
      </c>
      <c r="X5035">
        <v>0.91934130000000003</v>
      </c>
      <c r="Y5035">
        <v>-0.49512119999999998</v>
      </c>
      <c r="Z5035">
        <v>7.9372460000000006E-2</v>
      </c>
      <c r="AA5035">
        <v>0.86519069999999998</v>
      </c>
      <c r="AB5035">
        <v>30</v>
      </c>
      <c r="AC5035">
        <v>0.78269999999997697</v>
      </c>
      <c r="AD5035">
        <v>-9.8719000000000001E-2</v>
      </c>
      <c r="AE5035">
        <v>-0.161769999999993</v>
      </c>
      <c r="AF5035">
        <v>-0.50749929990891995</v>
      </c>
      <c r="AG5035">
        <v>-9.8719000000000001E-2</v>
      </c>
      <c r="AH5035">
        <v>0.601813535445748</v>
      </c>
      <c r="AI5035">
        <v>97.147583795201101</v>
      </c>
      <c r="AJ5035">
        <v>130.140375887207</v>
      </c>
      <c r="AK5035">
        <v>0.79339807903394499</v>
      </c>
      <c r="AL5035">
        <v>81.832087519366993</v>
      </c>
      <c r="AM5035">
        <v>111.757237061273</v>
      </c>
      <c r="AN5035">
        <v>0.99999997077200398</v>
      </c>
    </row>
    <row r="5036" spans="1:40" x14ac:dyDescent="0.25">
      <c r="A5036" t="str">
        <f>"20190303162402854"</f>
        <v>20190303162402854</v>
      </c>
      <c r="B5036" t="str">
        <f>"1551601442839925"</f>
        <v>1551601442839925</v>
      </c>
      <c r="C5036" t="s">
        <v>40</v>
      </c>
      <c r="D5036">
        <v>5.434914</v>
      </c>
      <c r="E5036">
        <v>0.43711440000000001</v>
      </c>
      <c r="F5036" t="s">
        <v>42</v>
      </c>
      <c r="G5036">
        <v>-416.07159999999999</v>
      </c>
      <c r="H5036">
        <v>1.0432459999999999</v>
      </c>
      <c r="I5036">
        <v>29.277899999999999</v>
      </c>
      <c r="J5036">
        <v>-416.81079999999997</v>
      </c>
      <c r="K5036">
        <v>1.1331709999999999</v>
      </c>
      <c r="L5036">
        <v>29.41376</v>
      </c>
      <c r="M5036">
        <v>0.63072490000000003</v>
      </c>
      <c r="N5036">
        <v>-1.5143480000000001E-2</v>
      </c>
      <c r="O5036">
        <v>-0.77585890000000002</v>
      </c>
      <c r="P5036">
        <v>0.86188639999999905</v>
      </c>
      <c r="Q5036">
        <v>0.13961509999999999</v>
      </c>
      <c r="R5036">
        <v>-0.48750349999999998</v>
      </c>
      <c r="S5036">
        <v>2.89209</v>
      </c>
      <c r="T5036">
        <v>-0.27610089999999998</v>
      </c>
      <c r="U5036">
        <v>-1.1336059999999999</v>
      </c>
      <c r="V5036">
        <v>-0.36582199999999998</v>
      </c>
      <c r="W5036">
        <v>0.14235919999999999</v>
      </c>
      <c r="X5036">
        <v>0.91973260000000001</v>
      </c>
      <c r="Y5036">
        <v>-0.4888304</v>
      </c>
      <c r="Z5036">
        <v>7.4153250000000004E-2</v>
      </c>
      <c r="AA5036">
        <v>0.86922160000000004</v>
      </c>
      <c r="AB5036">
        <v>30</v>
      </c>
      <c r="AC5036">
        <v>0.73919999999998198</v>
      </c>
      <c r="AD5036">
        <v>-8.9925000000000005E-2</v>
      </c>
      <c r="AE5036">
        <v>-0.13585999999999701</v>
      </c>
      <c r="AF5036">
        <v>-0.48099477816875302</v>
      </c>
      <c r="AG5036">
        <v>-8.9925000000000005E-2</v>
      </c>
      <c r="AH5036">
        <v>0.56363673449227603</v>
      </c>
      <c r="AI5036">
        <v>96.919608017035699</v>
      </c>
      <c r="AJ5036">
        <v>130.476688190521</v>
      </c>
      <c r="AK5036">
        <v>0.74641064483280595</v>
      </c>
      <c r="AL5036">
        <v>81.815613656899302</v>
      </c>
      <c r="AM5036">
        <v>111.690100980178</v>
      </c>
      <c r="AN5036">
        <v>0.999999966505699</v>
      </c>
    </row>
    <row r="5037" spans="1:40" x14ac:dyDescent="0.25">
      <c r="A5037" t="str">
        <f>"20190303162402876"</f>
        <v>20190303162402876</v>
      </c>
      <c r="B5037" t="str">
        <f>"1551601442870182"</f>
        <v>1551601442870182</v>
      </c>
      <c r="C5037" t="s">
        <v>40</v>
      </c>
      <c r="D5037">
        <v>5.5576049999999997</v>
      </c>
      <c r="E5037">
        <v>0.43862849999999998</v>
      </c>
      <c r="F5037" t="s">
        <v>42</v>
      </c>
      <c r="G5037">
        <v>-415.90960000000001</v>
      </c>
      <c r="H5037">
        <v>1.051267</v>
      </c>
      <c r="I5037">
        <v>29.070540000000001</v>
      </c>
      <c r="J5037">
        <v>-416.61329999999998</v>
      </c>
      <c r="K5037">
        <v>1.1330579999999999</v>
      </c>
      <c r="L5037">
        <v>29.19388</v>
      </c>
      <c r="M5037">
        <v>0.64247779999999999</v>
      </c>
      <c r="N5037">
        <v>-1.5121920000000001E-2</v>
      </c>
      <c r="O5037">
        <v>-0.76615529999999998</v>
      </c>
      <c r="P5037">
        <v>0.86827469999999995</v>
      </c>
      <c r="Q5037">
        <v>0.14051029999999901</v>
      </c>
      <c r="R5037">
        <v>-0.4757691</v>
      </c>
      <c r="S5037">
        <v>2.8993229999999999</v>
      </c>
      <c r="T5037">
        <v>-0.26341239999999999</v>
      </c>
      <c r="U5037">
        <v>-1.103394</v>
      </c>
      <c r="V5037">
        <v>-0.36414839999999998</v>
      </c>
      <c r="W5037">
        <v>0.1433999</v>
      </c>
      <c r="X5037">
        <v>0.92023500000000003</v>
      </c>
      <c r="Y5037">
        <v>-0.48450759999999998</v>
      </c>
      <c r="Z5037">
        <v>6.9919709999999996E-2</v>
      </c>
      <c r="AA5037">
        <v>0.8719884</v>
      </c>
      <c r="AB5037">
        <v>30</v>
      </c>
      <c r="AC5037">
        <v>0.70369999999996902</v>
      </c>
      <c r="AD5037">
        <v>-8.1790999999999905E-2</v>
      </c>
      <c r="AE5037">
        <v>-0.12333999999999801</v>
      </c>
      <c r="AF5037">
        <v>-0.45400229411760101</v>
      </c>
      <c r="AG5037">
        <v>-8.1790999999999905E-2</v>
      </c>
      <c r="AH5037">
        <v>0.53959924733415399</v>
      </c>
      <c r="AI5037">
        <v>96.615902302441498</v>
      </c>
      <c r="AJ5037">
        <v>130.07623010509499</v>
      </c>
      <c r="AK5037">
        <v>0.70991210615725597</v>
      </c>
      <c r="AL5037">
        <v>81.755368276704502</v>
      </c>
      <c r="AM5037">
        <v>111.58931980506</v>
      </c>
      <c r="AN5037">
        <v>1.0000000218837799</v>
      </c>
    </row>
    <row r="5038" spans="1:40" x14ac:dyDescent="0.25">
      <c r="A5038" t="str">
        <f>"20190303162402920"</f>
        <v>20190303162402920</v>
      </c>
      <c r="B5038" t="str">
        <f>"1551601442910197"</f>
        <v>1551601442910197</v>
      </c>
      <c r="C5038" t="s">
        <v>40</v>
      </c>
      <c r="D5038">
        <v>5.620571</v>
      </c>
      <c r="E5038">
        <v>0.44101699999999999</v>
      </c>
      <c r="F5038" t="s">
        <v>42</v>
      </c>
      <c r="G5038">
        <v>-415.7396</v>
      </c>
      <c r="H5038">
        <v>1.057453</v>
      </c>
      <c r="I5038">
        <v>28.871639999999999</v>
      </c>
      <c r="J5038">
        <v>-416.214</v>
      </c>
      <c r="K5038">
        <v>1.132795</v>
      </c>
      <c r="L5038">
        <v>28.768160000000002</v>
      </c>
      <c r="M5038">
        <v>0.66482699999999995</v>
      </c>
      <c r="N5038">
        <v>-1.506364E-2</v>
      </c>
      <c r="O5038">
        <v>-0.74684549999999905</v>
      </c>
      <c r="P5038">
        <v>0.8788106</v>
      </c>
      <c r="Q5038">
        <v>0.1443834</v>
      </c>
      <c r="R5038">
        <v>-0.45480229999999999</v>
      </c>
      <c r="S5038">
        <v>2.9081730000000001</v>
      </c>
      <c r="T5038">
        <v>-0.25165130000000002</v>
      </c>
      <c r="U5038">
        <v>-1.07254</v>
      </c>
      <c r="V5038">
        <v>-0.35857349999999999</v>
      </c>
      <c r="W5038">
        <v>0.14765980000000001</v>
      </c>
      <c r="X5038">
        <v>0.92174920000000005</v>
      </c>
      <c r="Y5038">
        <v>-0.46795700000000001</v>
      </c>
      <c r="Z5038">
        <v>6.5146830000000003E-2</v>
      </c>
      <c r="AA5038">
        <v>0.88134679999999999</v>
      </c>
      <c r="AB5038">
        <v>30</v>
      </c>
      <c r="AC5038">
        <v>0.47440000000000199</v>
      </c>
      <c r="AD5038">
        <v>-7.5342000000000006E-2</v>
      </c>
      <c r="AE5038">
        <v>0.103480000000004</v>
      </c>
      <c r="AF5038">
        <v>-0.41319930896066498</v>
      </c>
      <c r="AG5038">
        <v>-7.5342000000000006E-2</v>
      </c>
      <c r="AH5038">
        <v>0.232538597302163</v>
      </c>
      <c r="AI5038">
        <v>99.028967443551394</v>
      </c>
      <c r="AJ5038">
        <v>150.630241144613</v>
      </c>
      <c r="AK5038">
        <v>0.48008778897700399</v>
      </c>
      <c r="AL5038">
        <v>81.508667016278295</v>
      </c>
      <c r="AM5038">
        <v>111.25674035812401</v>
      </c>
      <c r="AN5038">
        <v>0.99999997956946396</v>
      </c>
    </row>
    <row r="5039" spans="1:40" x14ac:dyDescent="0.25">
      <c r="A5039" t="str">
        <f>"20190303162402942"</f>
        <v>20190303162402942</v>
      </c>
      <c r="B5039" t="str">
        <f>"1551601442929717"</f>
        <v>1551601442929717</v>
      </c>
      <c r="C5039" t="s">
        <v>40</v>
      </c>
      <c r="D5039">
        <v>5.666868</v>
      </c>
      <c r="E5039">
        <v>0.44245250000000003</v>
      </c>
      <c r="F5039" t="s">
        <v>42</v>
      </c>
      <c r="G5039">
        <v>-415.39</v>
      </c>
      <c r="H5039">
        <v>1.0655699999999999</v>
      </c>
      <c r="I5039">
        <v>28.480689999999999</v>
      </c>
      <c r="J5039">
        <v>-416.01589999999999</v>
      </c>
      <c r="K5039">
        <v>1.132654</v>
      </c>
      <c r="L5039">
        <v>28.56561</v>
      </c>
      <c r="M5039">
        <v>0.67525669999999904</v>
      </c>
      <c r="N5039">
        <v>-1.503006E-2</v>
      </c>
      <c r="O5039">
        <v>-0.73742959999999902</v>
      </c>
      <c r="P5039">
        <v>0.884746699999999</v>
      </c>
      <c r="Q5039">
        <v>0.144622</v>
      </c>
      <c r="R5039">
        <v>-0.44306610000000002</v>
      </c>
      <c r="S5039">
        <v>2.924957</v>
      </c>
      <c r="T5039">
        <v>-0.23861309999999999</v>
      </c>
      <c r="U5039">
        <v>-1.0202329999999999</v>
      </c>
      <c r="V5039">
        <v>-0.35780959999999901</v>
      </c>
      <c r="W5039">
        <v>0.14802489999999999</v>
      </c>
      <c r="X5039">
        <v>0.92198749999999996</v>
      </c>
      <c r="Y5039">
        <v>-0.4714604</v>
      </c>
      <c r="Z5039">
        <v>6.118146E-2</v>
      </c>
      <c r="AA5039">
        <v>0.8797625</v>
      </c>
      <c r="AB5039">
        <v>30</v>
      </c>
      <c r="AC5039">
        <v>0.62590000000000101</v>
      </c>
      <c r="AD5039">
        <v>-6.7083999999999894E-2</v>
      </c>
      <c r="AE5039">
        <v>-8.4919999999993195E-2</v>
      </c>
      <c r="AF5039">
        <v>-0.39975090699381699</v>
      </c>
      <c r="AG5039">
        <v>-6.7083999999999894E-2</v>
      </c>
      <c r="AH5039">
        <v>0.479907211840083</v>
      </c>
      <c r="AI5039">
        <v>96.130351699024601</v>
      </c>
      <c r="AJ5039">
        <v>129.793466208561</v>
      </c>
      <c r="AK5039">
        <v>0.62818148864361001</v>
      </c>
      <c r="AL5039">
        <v>81.487516203932699</v>
      </c>
      <c r="AM5039">
        <v>111.21049028771</v>
      </c>
      <c r="AN5039">
        <v>1.0000000155141999</v>
      </c>
    </row>
    <row r="5040" spans="1:40" x14ac:dyDescent="0.25">
      <c r="A5040" t="str">
        <f>"20190303162402966"</f>
        <v>20190303162402966</v>
      </c>
      <c r="B5040" t="str">
        <f>"1551601442959974"</f>
        <v>1551601442959974</v>
      </c>
      <c r="C5040" t="s">
        <v>40</v>
      </c>
      <c r="D5040">
        <v>5.6105070000000001</v>
      </c>
      <c r="E5040">
        <v>0.44448520000000002</v>
      </c>
      <c r="F5040" t="s">
        <v>42</v>
      </c>
      <c r="G5040">
        <v>-415.17529999999999</v>
      </c>
      <c r="H5040">
        <v>1.0665450000000001</v>
      </c>
      <c r="I5040">
        <v>28.281549999999999</v>
      </c>
      <c r="J5040">
        <v>-415.79360000000003</v>
      </c>
      <c r="K5040">
        <v>1.132476</v>
      </c>
      <c r="L5040">
        <v>28.345179999999999</v>
      </c>
      <c r="M5040">
        <v>0.68645239999999996</v>
      </c>
      <c r="N5040">
        <v>-1.499059E-2</v>
      </c>
      <c r="O5040">
        <v>-0.72702009999999995</v>
      </c>
      <c r="P5040">
        <v>0.89103359999999998</v>
      </c>
      <c r="Q5040">
        <v>0.14325689999999999</v>
      </c>
      <c r="R5040">
        <v>-0.43073929999999999</v>
      </c>
      <c r="S5040">
        <v>2.9326780000000001</v>
      </c>
      <c r="T5040">
        <v>-0.23056399999999999</v>
      </c>
      <c r="U5040">
        <v>-0.99008180000000001</v>
      </c>
      <c r="V5040">
        <v>-0.35656929999999998</v>
      </c>
      <c r="W5040">
        <v>0.146817</v>
      </c>
      <c r="X5040">
        <v>0.92266090000000001</v>
      </c>
      <c r="Y5040">
        <v>-0.4669914</v>
      </c>
      <c r="Z5040">
        <v>5.8382299999999998E-2</v>
      </c>
      <c r="AA5040">
        <v>0.88233240000000002</v>
      </c>
      <c r="AB5040">
        <v>30</v>
      </c>
      <c r="AC5040">
        <v>0.61830000000003305</v>
      </c>
      <c r="AD5040">
        <v>-6.5930999999999906E-2</v>
      </c>
      <c r="AE5040">
        <v>-6.3629999999999798E-2</v>
      </c>
      <c r="AF5040">
        <v>-0.40136726812308998</v>
      </c>
      <c r="AG5040">
        <v>-6.5930999999999906E-2</v>
      </c>
      <c r="AH5040">
        <v>0.46550912399349698</v>
      </c>
      <c r="AI5040">
        <v>96.122476203825798</v>
      </c>
      <c r="AJ5040">
        <v>130.76828615003399</v>
      </c>
      <c r="AK5040">
        <v>0.61817580444626397</v>
      </c>
      <c r="AL5040">
        <v>81.5574883166381</v>
      </c>
      <c r="AM5040">
        <v>111.129402519221</v>
      </c>
      <c r="AN5040">
        <v>1.0000000167901399</v>
      </c>
    </row>
    <row r="5041" spans="1:40" x14ac:dyDescent="0.25">
      <c r="A5041" t="str">
        <f>"20190303162402988"</f>
        <v>20190303162402988</v>
      </c>
      <c r="B5041" t="str">
        <f>"1551601442979494"</f>
        <v>1551601442979494</v>
      </c>
      <c r="C5041" t="s">
        <v>40</v>
      </c>
      <c r="D5041">
        <v>5.6638919999999997</v>
      </c>
      <c r="E5041">
        <v>0.44569219999999998</v>
      </c>
      <c r="F5041" t="s">
        <v>42</v>
      </c>
      <c r="G5041">
        <v>-414.78030000000001</v>
      </c>
      <c r="H5041">
        <v>1.0537909999999999</v>
      </c>
      <c r="I5041">
        <v>28.013459999999998</v>
      </c>
      <c r="J5041">
        <v>-415.57839999999999</v>
      </c>
      <c r="K5041">
        <v>1.132309</v>
      </c>
      <c r="L5041">
        <v>28.13785</v>
      </c>
      <c r="M5041">
        <v>0.69683609999999996</v>
      </c>
      <c r="N5041">
        <v>-1.4951549999999999E-2</v>
      </c>
      <c r="O5041">
        <v>-0.71707449999999995</v>
      </c>
      <c r="P5041">
        <v>0.89578099999999905</v>
      </c>
      <c r="Q5041">
        <v>0.14208770000000001</v>
      </c>
      <c r="R5041">
        <v>-0.42117369999999998</v>
      </c>
      <c r="S5041">
        <v>2.9386899999999998</v>
      </c>
      <c r="T5041">
        <v>-0.22816220000000001</v>
      </c>
      <c r="U5041">
        <v>-0.96160889999999999</v>
      </c>
      <c r="V5041">
        <v>-0.35321340000000001</v>
      </c>
      <c r="W5041">
        <v>0.14586849999999901</v>
      </c>
      <c r="X5041">
        <v>0.92410099999999995</v>
      </c>
      <c r="Y5041">
        <v>-0.46259329999999999</v>
      </c>
      <c r="Z5041">
        <v>5.7263019999999998E-2</v>
      </c>
      <c r="AA5041">
        <v>0.88471939999999905</v>
      </c>
      <c r="AB5041">
        <v>30</v>
      </c>
      <c r="AC5041">
        <v>0.79809999999997605</v>
      </c>
      <c r="AD5041">
        <v>-7.8518000000000004E-2</v>
      </c>
      <c r="AE5041">
        <v>-0.124390000000001</v>
      </c>
      <c r="AF5041">
        <v>-0.48112571255826497</v>
      </c>
      <c r="AG5041">
        <v>-7.8518000000000004E-2</v>
      </c>
      <c r="AH5041">
        <v>0.63937232437663905</v>
      </c>
      <c r="AI5041">
        <v>95.604271141845203</v>
      </c>
      <c r="AJ5041">
        <v>126.961348710686</v>
      </c>
      <c r="AK5041">
        <v>0.80401741074897404</v>
      </c>
      <c r="AL5041">
        <v>81.612424602278296</v>
      </c>
      <c r="AM5041">
        <v>110.918046202149</v>
      </c>
      <c r="AN5041">
        <v>0.99999999171640497</v>
      </c>
    </row>
    <row r="5042" spans="1:40" x14ac:dyDescent="0.25">
      <c r="A5042" t="str">
        <f>"20190303162403008"</f>
        <v>20190303162403008</v>
      </c>
      <c r="B5042" t="str">
        <f>"1551601442999990"</f>
        <v>1551601442999990</v>
      </c>
      <c r="C5042" t="s">
        <v>40</v>
      </c>
      <c r="D5042">
        <v>5.6086159999999996</v>
      </c>
      <c r="E5042">
        <v>0.44687109999999902</v>
      </c>
      <c r="F5042" t="s">
        <v>42</v>
      </c>
      <c r="G5042">
        <v>-414.59800000000001</v>
      </c>
      <c r="H5042">
        <v>1.0558590000000001</v>
      </c>
      <c r="I5042">
        <v>27.825749999999999</v>
      </c>
      <c r="J5042">
        <v>-415.37880000000001</v>
      </c>
      <c r="K5042">
        <v>1.132166</v>
      </c>
      <c r="L5042">
        <v>27.950500000000002</v>
      </c>
      <c r="M5042">
        <v>0.70611480000000004</v>
      </c>
      <c r="N5042">
        <v>-1.491631E-2</v>
      </c>
      <c r="O5042">
        <v>-0.70794029999999997</v>
      </c>
      <c r="P5042">
        <v>0.89931919999999899</v>
      </c>
      <c r="Q5042">
        <v>0.1404155</v>
      </c>
      <c r="R5042">
        <v>-0.4141358</v>
      </c>
      <c r="S5042">
        <v>2.9446110000000001</v>
      </c>
      <c r="T5042">
        <v>-0.2296369</v>
      </c>
      <c r="U5042">
        <v>-0.93765259999999995</v>
      </c>
      <c r="V5042">
        <v>-0.34850179999999997</v>
      </c>
      <c r="W5042">
        <v>0.14444409999999999</v>
      </c>
      <c r="X5042">
        <v>0.92611149999999998</v>
      </c>
      <c r="Y5042">
        <v>-0.4580825</v>
      </c>
      <c r="Z5042">
        <v>5.7233140000000002E-2</v>
      </c>
      <c r="AA5042">
        <v>0.88706529999999995</v>
      </c>
      <c r="AB5042">
        <v>30</v>
      </c>
      <c r="AC5042">
        <v>0.78079999999999905</v>
      </c>
      <c r="AD5042">
        <v>-7.6306999999999903E-2</v>
      </c>
      <c r="AE5042">
        <v>-0.124750000000002</v>
      </c>
      <c r="AF5042">
        <v>-0.46043549170992498</v>
      </c>
      <c r="AG5042">
        <v>-7.6306999999999903E-2</v>
      </c>
      <c r="AH5042">
        <v>0.63381821820706197</v>
      </c>
      <c r="AI5042">
        <v>95.563290892722904</v>
      </c>
      <c r="AJ5042">
        <v>125.99642627199</v>
      </c>
      <c r="AK5042">
        <v>0.78711443514036505</v>
      </c>
      <c r="AL5042">
        <v>81.694910889124301</v>
      </c>
      <c r="AM5042">
        <v>110.62164624914401</v>
      </c>
      <c r="AN5042">
        <v>1.0000000565301399</v>
      </c>
    </row>
    <row r="5043" spans="1:40" x14ac:dyDescent="0.25">
      <c r="A5043" t="str">
        <f>"20190303162403032"</f>
        <v>20190303162403032</v>
      </c>
      <c r="B5043" t="str">
        <f>"1551601443019509"</f>
        <v>1551601443019509</v>
      </c>
      <c r="C5043" t="s">
        <v>40</v>
      </c>
      <c r="D5043">
        <v>5.604552</v>
      </c>
      <c r="E5043">
        <v>0.44800309999999999</v>
      </c>
      <c r="F5043" t="s">
        <v>42</v>
      </c>
      <c r="G5043">
        <v>-414.40890000000002</v>
      </c>
      <c r="H5043">
        <v>1.0561229999999999</v>
      </c>
      <c r="I5043">
        <v>27.647130000000001</v>
      </c>
      <c r="J5043">
        <v>-415.16059999999999</v>
      </c>
      <c r="K5043">
        <v>1.1320170000000001</v>
      </c>
      <c r="L5043">
        <v>27.750979999999998</v>
      </c>
      <c r="M5043">
        <v>0.71588809999999903</v>
      </c>
      <c r="N5043">
        <v>-1.487982E-2</v>
      </c>
      <c r="O5043">
        <v>-0.69805640000000002</v>
      </c>
      <c r="P5043">
        <v>0.90383619999999998</v>
      </c>
      <c r="Q5043">
        <v>0.13873289999999999</v>
      </c>
      <c r="R5043">
        <v>-0.4047635</v>
      </c>
      <c r="S5043">
        <v>2.947845</v>
      </c>
      <c r="T5043">
        <v>-0.23102490000000001</v>
      </c>
      <c r="U5043">
        <v>-0.920929</v>
      </c>
      <c r="V5043">
        <v>-0.34533190000000002</v>
      </c>
      <c r="W5043">
        <v>0.14295479999999899</v>
      </c>
      <c r="X5043">
        <v>0.92752889999999999</v>
      </c>
      <c r="Y5043">
        <v>-0.45057360000000002</v>
      </c>
      <c r="Z5043">
        <v>5.7022829999999997E-2</v>
      </c>
      <c r="AA5043">
        <v>0.89091629999999999</v>
      </c>
      <c r="AB5043">
        <v>30</v>
      </c>
      <c r="AC5043">
        <v>0.75169999999997095</v>
      </c>
      <c r="AD5043">
        <v>-7.58940000000001E-2</v>
      </c>
      <c r="AE5043">
        <v>-0.103850000000001</v>
      </c>
      <c r="AF5043">
        <v>-0.44597299413598002</v>
      </c>
      <c r="AG5043">
        <v>-7.58940000000001E-2</v>
      </c>
      <c r="AH5043">
        <v>0.60464582069533102</v>
      </c>
      <c r="AI5043">
        <v>95.768088038955895</v>
      </c>
      <c r="AJ5043">
        <v>126.41164081916401</v>
      </c>
      <c r="AK5043">
        <v>0.75514791876753695</v>
      </c>
      <c r="AL5043">
        <v>81.781136164611397</v>
      </c>
      <c r="AM5043">
        <v>110.42099814385</v>
      </c>
      <c r="AN5043">
        <v>1.00000002816792</v>
      </c>
    </row>
    <row r="5044" spans="1:40" x14ac:dyDescent="0.25">
      <c r="A5044" t="str">
        <f>"20190303162403055"</f>
        <v>20190303162403055</v>
      </c>
      <c r="B5044" t="str">
        <f>"1551601443049766"</f>
        <v>1551601443049766</v>
      </c>
      <c r="C5044" t="s">
        <v>40</v>
      </c>
      <c r="D5044">
        <v>5.6068419999999897</v>
      </c>
      <c r="E5044">
        <v>0.44908090000000001</v>
      </c>
      <c r="F5044" t="s">
        <v>42</v>
      </c>
      <c r="G5044">
        <v>-414.22070000000002</v>
      </c>
      <c r="H5044">
        <v>1.057898</v>
      </c>
      <c r="I5044">
        <v>27.465620000000001</v>
      </c>
      <c r="J5044">
        <v>-414.92829999999998</v>
      </c>
      <c r="K5044">
        <v>1.1318709999999901</v>
      </c>
      <c r="L5044">
        <v>27.544460000000001</v>
      </c>
      <c r="M5044">
        <v>0.72589119999999996</v>
      </c>
      <c r="N5044">
        <v>-1.484243E-2</v>
      </c>
      <c r="O5044">
        <v>-0.68764939999999997</v>
      </c>
      <c r="P5044">
        <v>0.90796869999999996</v>
      </c>
      <c r="Q5044">
        <v>0.135939</v>
      </c>
      <c r="R5044">
        <v>-0.39637539999999999</v>
      </c>
      <c r="S5044">
        <v>2.9533390000000002</v>
      </c>
      <c r="T5044">
        <v>-0.23292270000000001</v>
      </c>
      <c r="U5044">
        <v>-0.89682009999999901</v>
      </c>
      <c r="V5044">
        <v>-0.34068130000000002</v>
      </c>
      <c r="W5044">
        <v>0.14040349999999999</v>
      </c>
      <c r="X5044">
        <v>0.92963600000000002</v>
      </c>
      <c r="Y5044">
        <v>-0.4447835</v>
      </c>
      <c r="Z5044">
        <v>5.6974839999999999E-2</v>
      </c>
      <c r="AA5044">
        <v>0.89382410000000001</v>
      </c>
      <c r="AB5044">
        <v>30</v>
      </c>
      <c r="AC5044">
        <v>0.70759999999995604</v>
      </c>
      <c r="AD5044">
        <v>-7.3972999999999803E-2</v>
      </c>
      <c r="AE5044">
        <v>-7.8839999999995997E-2</v>
      </c>
      <c r="AF5044">
        <v>-0.42481299709485998</v>
      </c>
      <c r="AG5044">
        <v>-7.3972999999999803E-2</v>
      </c>
      <c r="AH5044">
        <v>0.56185238617786504</v>
      </c>
      <c r="AI5044">
        <v>95.995188881509506</v>
      </c>
      <c r="AJ5044">
        <v>127.092693143289</v>
      </c>
      <c r="AK5044">
        <v>0.70824867884344</v>
      </c>
      <c r="AL5044">
        <v>81.928804214627803</v>
      </c>
      <c r="AM5044">
        <v>110.126239359981</v>
      </c>
      <c r="AN5044">
        <v>0.99999999173897003</v>
      </c>
    </row>
    <row r="5045" spans="1:40" x14ac:dyDescent="0.25">
      <c r="A5045" t="str">
        <f>"20190303162403077"</f>
        <v>20190303162403077</v>
      </c>
      <c r="B5045" t="str">
        <f>"1551601443070261"</f>
        <v>1551601443070261</v>
      </c>
      <c r="C5045" t="s">
        <v>40</v>
      </c>
      <c r="D5045">
        <v>5.5693619999999999</v>
      </c>
      <c r="E5045">
        <v>0.46590429999999999</v>
      </c>
      <c r="F5045" t="s">
        <v>42</v>
      </c>
      <c r="G5045">
        <v>-414.01560000000001</v>
      </c>
      <c r="H5045">
        <v>1.058003</v>
      </c>
      <c r="I5045">
        <v>27.27403</v>
      </c>
      <c r="J5045">
        <v>-414.70710000000003</v>
      </c>
      <c r="K5045">
        <v>1.1317459999999999</v>
      </c>
      <c r="L5045">
        <v>27.352969999999999</v>
      </c>
      <c r="M5045">
        <v>0.73506890000000003</v>
      </c>
      <c r="N5045">
        <v>-1.480718E-2</v>
      </c>
      <c r="O5045">
        <v>-0.67783090000000001</v>
      </c>
      <c r="P5045">
        <v>0.91115310000000005</v>
      </c>
      <c r="Q5045">
        <v>0.13420979999999999</v>
      </c>
      <c r="R5045">
        <v>-0.38959949999999999</v>
      </c>
      <c r="S5045">
        <v>2.9574280000000002</v>
      </c>
      <c r="T5045">
        <v>-0.23933989999999999</v>
      </c>
      <c r="U5045">
        <v>-0.87612919999999905</v>
      </c>
      <c r="V5045">
        <v>-0.33517639999999999</v>
      </c>
      <c r="W5045">
        <v>0.13893320000000001</v>
      </c>
      <c r="X5045">
        <v>0.93185530000000005</v>
      </c>
      <c r="Y5045">
        <v>-0.43871009999999999</v>
      </c>
      <c r="Z5045">
        <v>5.8154020000000001E-2</v>
      </c>
      <c r="AA5045">
        <v>0.89674500000000001</v>
      </c>
      <c r="AB5045">
        <v>30</v>
      </c>
      <c r="AC5045">
        <v>0.69150000000001899</v>
      </c>
      <c r="AD5045">
        <v>-7.3742999999999795E-2</v>
      </c>
      <c r="AE5045">
        <v>-7.8940000000002897E-2</v>
      </c>
      <c r="AF5045">
        <v>-0.40617884459437598</v>
      </c>
      <c r="AG5045">
        <v>-7.3742999999999795E-2</v>
      </c>
      <c r="AH5045">
        <v>0.55563198438512396</v>
      </c>
      <c r="AI5045">
        <v>96.115533571697995</v>
      </c>
      <c r="AJ5045">
        <v>126.16760104649801</v>
      </c>
      <c r="AK5045">
        <v>0.69220386152980495</v>
      </c>
      <c r="AL5045">
        <v>82.013879971794196</v>
      </c>
      <c r="AM5045">
        <v>109.78300758562099</v>
      </c>
      <c r="AN5045">
        <v>0.99999997665864404</v>
      </c>
    </row>
    <row r="5046" spans="1:40" x14ac:dyDescent="0.25">
      <c r="A5046" t="str">
        <f>"20190303162403091"</f>
        <v>20190303162403091</v>
      </c>
      <c r="B5046" t="str">
        <f>"1551601443080021"</f>
        <v>1551601443080021</v>
      </c>
      <c r="C5046" t="s">
        <v>40</v>
      </c>
      <c r="D5046">
        <v>5.716126</v>
      </c>
      <c r="E5046">
        <v>0.48690840000000002</v>
      </c>
      <c r="F5046" t="s">
        <v>41</v>
      </c>
      <c r="G5046">
        <v>-399.90190000000001</v>
      </c>
      <c r="H5046" s="1">
        <v>-7.6688669999999995E-7</v>
      </c>
      <c r="I5046">
        <v>22.397670000000002</v>
      </c>
      <c r="J5046">
        <v>-414.56670000000003</v>
      </c>
      <c r="K5046">
        <v>1.1316649999999999</v>
      </c>
      <c r="L5046">
        <v>27.234249999999999</v>
      </c>
      <c r="M5046">
        <v>0.74071379999999998</v>
      </c>
      <c r="N5046">
        <v>-1.478492E-2</v>
      </c>
      <c r="O5046">
        <v>-0.67165819999999998</v>
      </c>
      <c r="P5046">
        <v>0.91312040000000005</v>
      </c>
      <c r="Q5046">
        <v>0.13396820000000001</v>
      </c>
      <c r="R5046">
        <v>-0.38505040000000001</v>
      </c>
      <c r="S5046">
        <v>2.9089659999999999</v>
      </c>
      <c r="T5046">
        <v>-0.22236939999999999</v>
      </c>
      <c r="U5046">
        <v>-0.97363279999999996</v>
      </c>
      <c r="V5046">
        <v>-0.3320089</v>
      </c>
      <c r="W5046">
        <v>0.13884070000000001</v>
      </c>
      <c r="X5046">
        <v>0.93300240000000001</v>
      </c>
      <c r="Y5046">
        <v>-0.3998719</v>
      </c>
      <c r="Z5046">
        <v>5.2165419999999997E-2</v>
      </c>
      <c r="AA5046">
        <v>0.91508540000000005</v>
      </c>
      <c r="AB5046">
        <v>30</v>
      </c>
      <c r="AC5046">
        <v>14.6648</v>
      </c>
      <c r="AD5046">
        <v>-1.1316657668866901</v>
      </c>
      <c r="AE5046">
        <v>-4.8365799999999899</v>
      </c>
      <c r="AF5046">
        <v>-6.2344119462857597</v>
      </c>
      <c r="AG5046">
        <v>-1.1316657668866901</v>
      </c>
      <c r="AH5046">
        <v>14.0370982025835</v>
      </c>
      <c r="AI5046">
        <v>94.213911608591701</v>
      </c>
      <c r="AJ5046">
        <v>113.947836488482</v>
      </c>
      <c r="AK5046">
        <v>15.4009313248553</v>
      </c>
      <c r="AL5046">
        <v>82.019232401012601</v>
      </c>
      <c r="AM5046">
        <v>109.588101249357</v>
      </c>
      <c r="AN5046">
        <v>1.0000000640307201</v>
      </c>
    </row>
    <row r="5047" spans="1:40" x14ac:dyDescent="0.25">
      <c r="A5047" t="str">
        <f>"20190303162403110"</f>
        <v>20190303162403110</v>
      </c>
      <c r="B5047" t="str">
        <f>"1551601443099542"</f>
        <v>1551601443099542</v>
      </c>
      <c r="C5047" t="s">
        <v>40</v>
      </c>
      <c r="D5047">
        <v>5.713775</v>
      </c>
      <c r="E5047">
        <v>0.49093300000000001</v>
      </c>
      <c r="F5047" t="s">
        <v>56</v>
      </c>
      <c r="G5047">
        <v>-401.32</v>
      </c>
      <c r="H5047" s="1">
        <v>-5.9616779999999998E-6</v>
      </c>
      <c r="I5047">
        <v>22.056180000000001</v>
      </c>
      <c r="J5047">
        <v>-414.37490000000003</v>
      </c>
      <c r="K5047">
        <v>1.131556</v>
      </c>
      <c r="L5047">
        <v>27.075040000000001</v>
      </c>
      <c r="M5047">
        <v>0.74822829999999996</v>
      </c>
      <c r="N5047">
        <v>-1.4754949999999999E-2</v>
      </c>
      <c r="O5047">
        <v>-0.66327760000000002</v>
      </c>
      <c r="P5047">
        <v>0.91429079999999996</v>
      </c>
      <c r="Q5047">
        <v>0.1340568</v>
      </c>
      <c r="R5047">
        <v>-0.38223180000000001</v>
      </c>
      <c r="S5047">
        <v>2.8511660000000001</v>
      </c>
      <c r="T5047">
        <v>-0.24357490000000001</v>
      </c>
      <c r="U5047">
        <v>-1.1145020000000001</v>
      </c>
      <c r="V5047">
        <v>-0.32431399999999999</v>
      </c>
      <c r="W5047">
        <v>0.13923829999999901</v>
      </c>
      <c r="X5047">
        <v>0.93564590000000003</v>
      </c>
      <c r="Y5047">
        <v>-0.34315109999999999</v>
      </c>
      <c r="Z5047">
        <v>5.5368729999999998E-2</v>
      </c>
      <c r="AA5047">
        <v>0.93764689999999995</v>
      </c>
      <c r="AB5047">
        <v>30</v>
      </c>
      <c r="AC5047">
        <v>13.0549</v>
      </c>
      <c r="AD5047">
        <v>-1.1315619616779999</v>
      </c>
      <c r="AE5047">
        <v>-5.0188600000000001</v>
      </c>
      <c r="AF5047">
        <v>-4.8724098744684401</v>
      </c>
      <c r="AG5047">
        <v>-1.1315619616779999</v>
      </c>
      <c r="AH5047">
        <v>13.013187636111001</v>
      </c>
      <c r="AI5047">
        <v>94.655552291669295</v>
      </c>
      <c r="AJ5047">
        <v>110.52695210956</v>
      </c>
      <c r="AK5047">
        <v>13.9414440755098</v>
      </c>
      <c r="AL5047">
        <v>81.996228143947604</v>
      </c>
      <c r="AM5047">
        <v>109.117362209362</v>
      </c>
      <c r="AN5047">
        <v>1.00000006248484</v>
      </c>
    </row>
    <row r="5048" spans="1:40" x14ac:dyDescent="0.25">
      <c r="A5048" t="str">
        <f>"20190303162403123"</f>
        <v>20190303162403123</v>
      </c>
      <c r="B5048" t="str">
        <f>"1551601443110278"</f>
        <v>1551601443110278</v>
      </c>
      <c r="C5048" t="s">
        <v>40</v>
      </c>
      <c r="D5048">
        <v>5.4639930000000003</v>
      </c>
      <c r="E5048">
        <v>0.49202050000000003</v>
      </c>
      <c r="F5048" t="s">
        <v>56</v>
      </c>
      <c r="G5048">
        <v>-401.13659999999999</v>
      </c>
      <c r="H5048" s="1">
        <v>-6.000247E-6</v>
      </c>
      <c r="I5048">
        <v>21.792950000000001</v>
      </c>
      <c r="J5048">
        <v>-414.2328</v>
      </c>
      <c r="K5048">
        <v>1.1314759999999999</v>
      </c>
      <c r="L5048">
        <v>26.958950000000002</v>
      </c>
      <c r="M5048">
        <v>0.75366709999999904</v>
      </c>
      <c r="N5048">
        <v>-1.473328E-2</v>
      </c>
      <c r="O5048">
        <v>-0.65709139999999999</v>
      </c>
      <c r="P5048">
        <v>0.91591610000000001</v>
      </c>
      <c r="Q5048">
        <v>0.13420000000000001</v>
      </c>
      <c r="R5048">
        <v>-0.3782701</v>
      </c>
      <c r="S5048">
        <v>2.842651</v>
      </c>
      <c r="T5048">
        <v>-0.24297830000000001</v>
      </c>
      <c r="U5048">
        <v>-1.1342159999999999</v>
      </c>
      <c r="V5048">
        <v>-0.32060880000000003</v>
      </c>
      <c r="W5048">
        <v>0.13954369999999999</v>
      </c>
      <c r="X5048">
        <v>0.9368765</v>
      </c>
      <c r="Y5048">
        <v>-0.32886199999999999</v>
      </c>
      <c r="Z5048">
        <v>5.4377590000000003E-2</v>
      </c>
      <c r="AA5048">
        <v>0.94281110000000001</v>
      </c>
      <c r="AB5048">
        <v>30</v>
      </c>
      <c r="AC5048">
        <v>13.0962</v>
      </c>
      <c r="AD5048">
        <v>-1.1314820002470001</v>
      </c>
      <c r="AE5048">
        <v>-5.1660000000000004</v>
      </c>
      <c r="AF5048">
        <v>-4.6822223860983296</v>
      </c>
      <c r="AG5048">
        <v>-1.1314820002470001</v>
      </c>
      <c r="AH5048">
        <v>13.181005203025199</v>
      </c>
      <c r="AI5048">
        <v>94.624580833402902</v>
      </c>
      <c r="AJ5048">
        <v>109.556309516909</v>
      </c>
      <c r="AK5048">
        <v>14.033615220318</v>
      </c>
      <c r="AL5048">
        <v>81.978557091625305</v>
      </c>
      <c r="AM5048">
        <v>108.891475468284</v>
      </c>
      <c r="AN5048">
        <v>1.0000000115496801</v>
      </c>
    </row>
    <row r="5049" spans="1:40" x14ac:dyDescent="0.25">
      <c r="A5049" t="str">
        <f>"20190303162403146"</f>
        <v>20190303162403146</v>
      </c>
      <c r="B5049" t="str">
        <f>"1551601443129799"</f>
        <v>1551601443129799</v>
      </c>
      <c r="C5049" t="s">
        <v>40</v>
      </c>
      <c r="D5049">
        <v>5.7129009999999996</v>
      </c>
      <c r="E5049">
        <v>0.49254379999999998</v>
      </c>
      <c r="F5049" t="s">
        <v>56</v>
      </c>
      <c r="G5049">
        <v>-401.13760000000002</v>
      </c>
      <c r="H5049" s="1">
        <v>-5.9938879999999898E-6</v>
      </c>
      <c r="I5049">
        <v>21.759820000000001</v>
      </c>
      <c r="J5049">
        <v>-414.00909999999999</v>
      </c>
      <c r="K5049">
        <v>1.1313629999999999</v>
      </c>
      <c r="L5049">
        <v>26.780760000000001</v>
      </c>
      <c r="M5049">
        <v>0.76196180000000002</v>
      </c>
      <c r="N5049">
        <v>-1.469969E-2</v>
      </c>
      <c r="O5049">
        <v>-0.64745520000000001</v>
      </c>
      <c r="P5049">
        <v>0.91775419999999996</v>
      </c>
      <c r="Q5049">
        <v>0.13447970000000001</v>
      </c>
      <c r="R5049">
        <v>-0.37368820000000003</v>
      </c>
      <c r="S5049">
        <v>2.8449399999999998</v>
      </c>
      <c r="T5049">
        <v>-0.24581529999999999</v>
      </c>
      <c r="U5049">
        <v>-1.1295170000000001</v>
      </c>
      <c r="V5049">
        <v>-0.31329210000000002</v>
      </c>
      <c r="W5049">
        <v>0.1401193</v>
      </c>
      <c r="X5049">
        <v>0.93926279999999995</v>
      </c>
      <c r="Y5049">
        <v>-0.31843349999999998</v>
      </c>
      <c r="Z5049">
        <v>5.4204019999999999E-2</v>
      </c>
      <c r="AA5049">
        <v>0.94639430000000002</v>
      </c>
      <c r="AB5049">
        <v>30</v>
      </c>
      <c r="AC5049">
        <v>12.8714999999999</v>
      </c>
      <c r="AD5049">
        <v>-1.1313689938879901</v>
      </c>
      <c r="AE5049">
        <v>-5.0209399999999897</v>
      </c>
      <c r="AF5049">
        <v>-4.4784116981509099</v>
      </c>
      <c r="AG5049">
        <v>-1.1313689938879901</v>
      </c>
      <c r="AH5049">
        <v>12.972845054545701</v>
      </c>
      <c r="AI5049">
        <v>94.712617258736003</v>
      </c>
      <c r="AJ5049">
        <v>109.045406405864</v>
      </c>
      <c r="AK5049">
        <v>13.7706527059438</v>
      </c>
      <c r="AL5049">
        <v>81.945250180128795</v>
      </c>
      <c r="AM5049">
        <v>108.446175286208</v>
      </c>
      <c r="AN5049">
        <v>0.99999998280936897</v>
      </c>
    </row>
    <row r="5050" spans="1:40" x14ac:dyDescent="0.25">
      <c r="A5050" t="str">
        <f>"20190303162403165"</f>
        <v>20190303162403165</v>
      </c>
      <c r="B5050" t="str">
        <f>"1551601443160053"</f>
        <v>1551601443160053</v>
      </c>
      <c r="C5050" t="s">
        <v>40</v>
      </c>
      <c r="D5050">
        <v>5.7723230000000001</v>
      </c>
      <c r="E5050">
        <v>0.49335689999999999</v>
      </c>
      <c r="F5050" t="s">
        <v>56</v>
      </c>
      <c r="G5050">
        <v>-400.77620000000002</v>
      </c>
      <c r="H5050" s="1">
        <v>-6.109841E-6</v>
      </c>
      <c r="I5050">
        <v>21.589510000000001</v>
      </c>
      <c r="J5050">
        <v>-413.79700000000003</v>
      </c>
      <c r="K5050">
        <v>1.131259</v>
      </c>
      <c r="L5050">
        <v>26.615880000000001</v>
      </c>
      <c r="M5050">
        <v>0.7695805</v>
      </c>
      <c r="N5050">
        <v>-1.4668469999999999E-2</v>
      </c>
      <c r="O5050">
        <v>-0.63838119999999998</v>
      </c>
      <c r="P5050">
        <v>0.91986069999999998</v>
      </c>
      <c r="Q5050">
        <v>0.13503019999999999</v>
      </c>
      <c r="R5050">
        <v>-0.36827070000000001</v>
      </c>
      <c r="S5050">
        <v>2.8494259999999998</v>
      </c>
      <c r="T5050">
        <v>-0.2436169</v>
      </c>
      <c r="U5050">
        <v>-1.117828</v>
      </c>
      <c r="V5050">
        <v>-0.30760690000000002</v>
      </c>
      <c r="W5050">
        <v>0.14090250000000001</v>
      </c>
      <c r="X5050">
        <v>0.9410231</v>
      </c>
      <c r="Y5050">
        <v>-0.31114309999999901</v>
      </c>
      <c r="Z5050">
        <v>5.2915730000000001E-2</v>
      </c>
      <c r="AA5050">
        <v>0.94888879999999998</v>
      </c>
      <c r="AB5050">
        <v>30</v>
      </c>
      <c r="AC5050">
        <v>13.0207999999999</v>
      </c>
      <c r="AD5050">
        <v>-1.131265109841</v>
      </c>
      <c r="AE5050">
        <v>-5.0263699999999902</v>
      </c>
      <c r="AF5050">
        <v>-4.4155087150546999</v>
      </c>
      <c r="AG5050">
        <v>-1.131265109841</v>
      </c>
      <c r="AH5050">
        <v>13.144367312845301</v>
      </c>
      <c r="AI5050">
        <v>94.664114671504294</v>
      </c>
      <c r="AJ5050">
        <v>108.56843673175401</v>
      </c>
      <c r="AK5050">
        <v>13.9122561080676</v>
      </c>
      <c r="AL5050">
        <v>81.899926589456598</v>
      </c>
      <c r="AM5050">
        <v>108.10182304476901</v>
      </c>
      <c r="AN5050">
        <v>0.99999999708373499</v>
      </c>
    </row>
    <row r="5051" spans="1:40" x14ac:dyDescent="0.25">
      <c r="A5051" t="str">
        <f>"20190303162403188"</f>
        <v>20190303162403188</v>
      </c>
      <c r="B5051" t="str">
        <f>"1551601443179574"</f>
        <v>1551601443179574</v>
      </c>
      <c r="C5051" t="s">
        <v>40</v>
      </c>
      <c r="D5051">
        <v>5.3655599999999897</v>
      </c>
      <c r="E5051">
        <v>0.49375079999999999</v>
      </c>
      <c r="F5051" t="s">
        <v>56</v>
      </c>
      <c r="G5051">
        <v>-400.58929999999998</v>
      </c>
      <c r="H5051" s="1">
        <v>-6.1623539999999996E-6</v>
      </c>
      <c r="I5051">
        <v>21.500070000000001</v>
      </c>
      <c r="J5051">
        <v>-413.56439999999998</v>
      </c>
      <c r="K5051">
        <v>1.131159</v>
      </c>
      <c r="L5051">
        <v>26.439640000000001</v>
      </c>
      <c r="M5051">
        <v>0.7776653</v>
      </c>
      <c r="N5051">
        <v>-1.4631140000000001E-2</v>
      </c>
      <c r="O5051">
        <v>-0.62850830000000002</v>
      </c>
      <c r="P5051">
        <v>0.92279239999999996</v>
      </c>
      <c r="Q5051">
        <v>0.1372833</v>
      </c>
      <c r="R5051">
        <v>-0.36001060000000001</v>
      </c>
      <c r="S5051">
        <v>2.854584</v>
      </c>
      <c r="T5051">
        <v>-0.2445011</v>
      </c>
      <c r="U5051">
        <v>-1.1056820000000001</v>
      </c>
      <c r="V5051">
        <v>-0.30383169999999998</v>
      </c>
      <c r="W5051">
        <v>0.14331820000000001</v>
      </c>
      <c r="X5051">
        <v>0.94188439999999995</v>
      </c>
      <c r="Y5051">
        <v>-0.30311840000000001</v>
      </c>
      <c r="Z5051">
        <v>5.2308340000000002E-2</v>
      </c>
      <c r="AA5051">
        <v>0.95151620000000003</v>
      </c>
      <c r="AB5051">
        <v>30</v>
      </c>
      <c r="AC5051">
        <v>12.9750999999999</v>
      </c>
      <c r="AD5051">
        <v>-1.131165162354</v>
      </c>
      <c r="AE5051">
        <v>-4.9395699999999998</v>
      </c>
      <c r="AF5051">
        <v>-4.2856384598384301</v>
      </c>
      <c r="AG5051">
        <v>-1.131165162354</v>
      </c>
      <c r="AH5051">
        <v>13.1092358041199</v>
      </c>
      <c r="AI5051">
        <v>94.688684658629697</v>
      </c>
      <c r="AJ5051">
        <v>108.10347381603199</v>
      </c>
      <c r="AK5051">
        <v>13.8382908988425</v>
      </c>
      <c r="AL5051">
        <v>81.760098146797105</v>
      </c>
      <c r="AM5051">
        <v>107.878587644625</v>
      </c>
      <c r="AN5051">
        <v>1.00000001566974</v>
      </c>
    </row>
    <row r="5052" spans="1:40" x14ac:dyDescent="0.25">
      <c r="A5052" t="str">
        <f>"20190303162403205"</f>
        <v>20190303162403205</v>
      </c>
      <c r="B5052" t="str">
        <f>"1551601443190310"</f>
        <v>1551601443190310</v>
      </c>
      <c r="C5052" t="s">
        <v>40</v>
      </c>
      <c r="D5052">
        <v>5.7237269999999896</v>
      </c>
      <c r="E5052">
        <v>0.4939769</v>
      </c>
      <c r="F5052" t="s">
        <v>41</v>
      </c>
      <c r="G5052">
        <v>-399.83089999999999</v>
      </c>
      <c r="H5052" s="1">
        <v>-4.9659790000000005E-7</v>
      </c>
      <c r="I5052">
        <v>21.255739999999999</v>
      </c>
      <c r="J5052">
        <v>-413.38600000000002</v>
      </c>
      <c r="K5052">
        <v>1.1310830000000001</v>
      </c>
      <c r="L5052">
        <v>26.307279999999999</v>
      </c>
      <c r="M5052">
        <v>0.78369390000000005</v>
      </c>
      <c r="N5052">
        <v>-1.46014E-2</v>
      </c>
      <c r="O5052">
        <v>-0.62097539999999996</v>
      </c>
      <c r="P5052">
        <v>0.92542139999999995</v>
      </c>
      <c r="Q5052">
        <v>0.13841139999999999</v>
      </c>
      <c r="R5052">
        <v>-0.35275679999999998</v>
      </c>
      <c r="S5052">
        <v>2.8643190000000001</v>
      </c>
      <c r="T5052">
        <v>-0.23591980000000001</v>
      </c>
      <c r="U5052">
        <v>-1.0811770000000001</v>
      </c>
      <c r="V5052">
        <v>-0.30202509999999999</v>
      </c>
      <c r="W5052">
        <v>0.14453379999999999</v>
      </c>
      <c r="X5052">
        <v>0.94227959999999999</v>
      </c>
      <c r="Y5052">
        <v>-0.30229319999999998</v>
      </c>
      <c r="Z5052">
        <v>4.981269E-2</v>
      </c>
      <c r="AA5052">
        <v>0.95191250000000005</v>
      </c>
      <c r="AB5052">
        <v>30</v>
      </c>
      <c r="AC5052">
        <v>13.5550999999999</v>
      </c>
      <c r="AD5052">
        <v>-1.1310834965979</v>
      </c>
      <c r="AE5052">
        <v>-5.0515399999999904</v>
      </c>
      <c r="AF5052">
        <v>-4.4319029958135898</v>
      </c>
      <c r="AG5052">
        <v>-1.1310834965979</v>
      </c>
      <c r="AH5052">
        <v>13.677777721709401</v>
      </c>
      <c r="AI5052">
        <v>94.498098892647405</v>
      </c>
      <c r="AJ5052">
        <v>107.95347302911399</v>
      </c>
      <c r="AK5052">
        <v>14.4222993120053</v>
      </c>
      <c r="AL5052">
        <v>81.689716586296697</v>
      </c>
      <c r="AM5052">
        <v>107.772004992251</v>
      </c>
      <c r="AN5052">
        <v>1.0000000124743</v>
      </c>
    </row>
    <row r="5053" spans="1:40" x14ac:dyDescent="0.25">
      <c r="A5053" t="str">
        <f>"20190303162403221"</f>
        <v>20190303162403221</v>
      </c>
      <c r="B5053" t="str">
        <f>"1551601443209830"</f>
        <v>1551601443209830</v>
      </c>
      <c r="C5053" t="s">
        <v>40</v>
      </c>
      <c r="D5053">
        <v>5.7823120000000001</v>
      </c>
      <c r="E5053">
        <v>0.4942626</v>
      </c>
      <c r="F5053" t="s">
        <v>41</v>
      </c>
      <c r="G5053">
        <v>-399.50459999999998</v>
      </c>
      <c r="H5053" s="1">
        <v>-6.3098829999999999E-7</v>
      </c>
      <c r="I5053">
        <v>21.18112</v>
      </c>
      <c r="J5053">
        <v>-413.21039999999999</v>
      </c>
      <c r="K5053">
        <v>1.1310169999999999</v>
      </c>
      <c r="L5053">
        <v>26.179469999999998</v>
      </c>
      <c r="M5053">
        <v>0.78947829999999997</v>
      </c>
      <c r="N5053">
        <v>-1.457196E-2</v>
      </c>
      <c r="O5053">
        <v>-0.61360559999999997</v>
      </c>
      <c r="P5053">
        <v>0.92686369999999896</v>
      </c>
      <c r="Q5053">
        <v>0.14009070000000001</v>
      </c>
      <c r="R5053">
        <v>-0.34827920000000001</v>
      </c>
      <c r="S5053">
        <v>2.8724059999999998</v>
      </c>
      <c r="T5053">
        <v>-0.23404910000000001</v>
      </c>
      <c r="U5053">
        <v>-1.06073</v>
      </c>
      <c r="V5053">
        <v>-0.29759829999999998</v>
      </c>
      <c r="W5053">
        <v>0.14637410000000001</v>
      </c>
      <c r="X5053">
        <v>0.94340329999999994</v>
      </c>
      <c r="Y5053">
        <v>-0.30024879999999998</v>
      </c>
      <c r="Z5053">
        <v>4.8916330000000001E-2</v>
      </c>
      <c r="AA5053">
        <v>0.95260579999999995</v>
      </c>
      <c r="AB5053">
        <v>30</v>
      </c>
      <c r="AC5053">
        <v>13.7058</v>
      </c>
      <c r="AD5053">
        <v>-1.1310176309883</v>
      </c>
      <c r="AE5053">
        <v>-4.9983500000000003</v>
      </c>
      <c r="AF5053">
        <v>-4.4376684122533696</v>
      </c>
      <c r="AG5053">
        <v>-1.1310176309883</v>
      </c>
      <c r="AH5053">
        <v>13.805942039355701</v>
      </c>
      <c r="AI5053">
        <v>94.459613964816597</v>
      </c>
      <c r="AJ5053">
        <v>107.819055115708</v>
      </c>
      <c r="AK5053">
        <v>14.545656994882201</v>
      </c>
      <c r="AL5053">
        <v>81.583141247441503</v>
      </c>
      <c r="AM5053">
        <v>107.507975510501</v>
      </c>
      <c r="AN5053">
        <v>0.99999995588229396</v>
      </c>
    </row>
    <row r="5054" spans="1:40" x14ac:dyDescent="0.25">
      <c r="A5054" t="str">
        <f>"20190303162403245"</f>
        <v>20190303162403245</v>
      </c>
      <c r="B5054" t="str">
        <f>"1551601443240085"</f>
        <v>1551601443240085</v>
      </c>
      <c r="C5054" t="s">
        <v>40</v>
      </c>
      <c r="D5054">
        <v>5.4071160000000003</v>
      </c>
      <c r="E5054">
        <v>0.49479960000000001</v>
      </c>
      <c r="F5054" t="s">
        <v>41</v>
      </c>
      <c r="G5054">
        <v>-399.08640000000003</v>
      </c>
      <c r="H5054" s="1">
        <v>-7.8849039999999996E-7</v>
      </c>
      <c r="I5054">
        <v>21.030069999999998</v>
      </c>
      <c r="J5054">
        <v>-412.96379999999999</v>
      </c>
      <c r="K5054">
        <v>1.130908</v>
      </c>
      <c r="L5054">
        <v>26.004490000000001</v>
      </c>
      <c r="M5054">
        <v>0.79733900000000002</v>
      </c>
      <c r="N5054">
        <v>-1.453028E-2</v>
      </c>
      <c r="O5054">
        <v>-0.60335669999999897</v>
      </c>
      <c r="P5054">
        <v>0.92923679999999997</v>
      </c>
      <c r="Q5054">
        <v>0.1399242</v>
      </c>
      <c r="R5054">
        <v>-0.34196510000000002</v>
      </c>
      <c r="S5054">
        <v>2.8773499999999999</v>
      </c>
      <c r="T5054">
        <v>-0.23041220000000001</v>
      </c>
      <c r="U5054">
        <v>-1.049042</v>
      </c>
      <c r="V5054">
        <v>-0.29178110000000002</v>
      </c>
      <c r="W5054">
        <v>0.146427</v>
      </c>
      <c r="X5054">
        <v>0.94521049999999995</v>
      </c>
      <c r="Y5054">
        <v>-0.29196349999999999</v>
      </c>
      <c r="Z5054">
        <v>4.7227610000000003E-2</v>
      </c>
      <c r="AA5054">
        <v>0.95526270000000002</v>
      </c>
      <c r="AB5054">
        <v>30</v>
      </c>
      <c r="AC5054">
        <v>13.8773999999999</v>
      </c>
      <c r="AD5054">
        <v>-1.1309087884903899</v>
      </c>
      <c r="AE5054">
        <v>-4.9744199999999896</v>
      </c>
      <c r="AF5054">
        <v>-4.3814043913134997</v>
      </c>
      <c r="AG5054">
        <v>-1.1309087884903899</v>
      </c>
      <c r="AH5054">
        <v>13.985523768454801</v>
      </c>
      <c r="AI5054">
        <v>94.412470492820404</v>
      </c>
      <c r="AJ5054">
        <v>107.394803023321</v>
      </c>
      <c r="AK5054">
        <v>14.699337883255801</v>
      </c>
      <c r="AL5054">
        <v>81.580077517408697</v>
      </c>
      <c r="AM5054">
        <v>107.155159286573</v>
      </c>
      <c r="AN5054">
        <v>0.99999998297822901</v>
      </c>
    </row>
    <row r="5055" spans="1:40" x14ac:dyDescent="0.25">
      <c r="A5055" t="str">
        <f>"20190303162403258"</f>
        <v>20190303162403258</v>
      </c>
      <c r="B5055" t="str">
        <f>"1551601443249847"</f>
        <v>1551601443249847</v>
      </c>
      <c r="C5055" t="s">
        <v>40</v>
      </c>
      <c r="D5055">
        <v>5.830362</v>
      </c>
      <c r="E5055">
        <v>0.49509639999999999</v>
      </c>
      <c r="F5055" t="s">
        <v>41</v>
      </c>
      <c r="G5055">
        <v>-399.00740000000002</v>
      </c>
      <c r="H5055" s="1">
        <v>-8.1883930000000005E-7</v>
      </c>
      <c r="I5055">
        <v>21.003679999999999</v>
      </c>
      <c r="J5055">
        <v>-412.81819999999999</v>
      </c>
      <c r="K5055">
        <v>1.1308320000000001</v>
      </c>
      <c r="L5055">
        <v>25.903320000000001</v>
      </c>
      <c r="M5055">
        <v>0.801842099999999</v>
      </c>
      <c r="N5055">
        <v>-1.450508E-2</v>
      </c>
      <c r="O5055">
        <v>-0.59736009999999995</v>
      </c>
      <c r="P5055">
        <v>0.93075289999999999</v>
      </c>
      <c r="Q5055">
        <v>0.13980310000000001</v>
      </c>
      <c r="R5055">
        <v>-0.33786739999999998</v>
      </c>
      <c r="S5055">
        <v>2.8834230000000001</v>
      </c>
      <c r="T5055">
        <v>-0.23364699999999999</v>
      </c>
      <c r="U5055">
        <v>-1.0331729999999999</v>
      </c>
      <c r="V5055">
        <v>-0.28882849999999999</v>
      </c>
      <c r="W5055">
        <v>0.14642459999999999</v>
      </c>
      <c r="X5055">
        <v>0.94611730000000005</v>
      </c>
      <c r="Y5055">
        <v>-0.29004859999999999</v>
      </c>
      <c r="Z5055">
        <v>4.7610680000000002E-2</v>
      </c>
      <c r="AA5055">
        <v>0.95582690000000003</v>
      </c>
      <c r="AB5055">
        <v>30</v>
      </c>
      <c r="AC5055">
        <v>13.810799999999899</v>
      </c>
      <c r="AD5055">
        <v>-1.1308328188393</v>
      </c>
      <c r="AE5055">
        <v>-4.8996399999999998</v>
      </c>
      <c r="AF5055">
        <v>-4.2961542235599701</v>
      </c>
      <c r="AG5055">
        <v>-1.1308328188393</v>
      </c>
      <c r="AH5055">
        <v>13.9195124538101</v>
      </c>
      <c r="AI5055">
        <v>94.438827451086496</v>
      </c>
      <c r="AJ5055">
        <v>107.15245332604501</v>
      </c>
      <c r="AK5055">
        <v>14.6112474117904</v>
      </c>
      <c r="AL5055">
        <v>81.5802167176534</v>
      </c>
      <c r="AM5055">
        <v>106.97626090680301</v>
      </c>
      <c r="AN5055">
        <v>1.00000000562835</v>
      </c>
    </row>
    <row r="5056" spans="1:40" x14ac:dyDescent="0.25">
      <c r="A5056" t="str">
        <f>"20190303162403275"</f>
        <v>20190303162403275</v>
      </c>
      <c r="B5056" t="str">
        <f>"1551601443259606"</f>
        <v>1551601443259606</v>
      </c>
      <c r="C5056" t="s">
        <v>40</v>
      </c>
      <c r="D5056">
        <v>5.7643969999999998</v>
      </c>
      <c r="E5056">
        <v>0.49540899999999999</v>
      </c>
      <c r="F5056" t="s">
        <v>41</v>
      </c>
      <c r="G5056">
        <v>-398.9178</v>
      </c>
      <c r="H5056" s="1">
        <v>-8.5573789999999996E-7</v>
      </c>
      <c r="I5056">
        <v>20.983170000000001</v>
      </c>
      <c r="J5056">
        <v>-412.64640000000003</v>
      </c>
      <c r="K5056">
        <v>1.1307389999999999</v>
      </c>
      <c r="L5056">
        <v>25.785979999999999</v>
      </c>
      <c r="M5056">
        <v>0.80703069999999999</v>
      </c>
      <c r="N5056">
        <v>-1.4474580000000001E-2</v>
      </c>
      <c r="O5056">
        <v>-0.59033239999999998</v>
      </c>
      <c r="P5056">
        <v>0.9327474</v>
      </c>
      <c r="Q5056">
        <v>0.13998659999999999</v>
      </c>
      <c r="R5056">
        <v>-0.33224520000000002</v>
      </c>
      <c r="S5056">
        <v>2.887543</v>
      </c>
      <c r="T5056">
        <v>-0.23490820000000001</v>
      </c>
      <c r="U5056">
        <v>-1.0220640000000001</v>
      </c>
      <c r="V5056">
        <v>-0.28621980000000002</v>
      </c>
      <c r="W5056">
        <v>0.1467203</v>
      </c>
      <c r="X5056">
        <v>0.94686389999999998</v>
      </c>
      <c r="Y5056">
        <v>-0.2853849</v>
      </c>
      <c r="Z5056">
        <v>4.7367199999999998E-2</v>
      </c>
      <c r="AA5056">
        <v>0.95724180000000003</v>
      </c>
      <c r="AB5056">
        <v>30</v>
      </c>
      <c r="AC5056">
        <v>13.7286</v>
      </c>
      <c r="AD5056">
        <v>-1.13073985573789</v>
      </c>
      <c r="AE5056">
        <v>-4.8028099999999903</v>
      </c>
      <c r="AF5056">
        <v>-4.2034584120868299</v>
      </c>
      <c r="AG5056">
        <v>-1.13073985573789</v>
      </c>
      <c r="AH5056">
        <v>13.832506350431199</v>
      </c>
      <c r="AI5056">
        <v>94.4722015848658</v>
      </c>
      <c r="AJ5056">
        <v>106.90311571839101</v>
      </c>
      <c r="AK5056">
        <v>14.5012367465061</v>
      </c>
      <c r="AL5056">
        <v>81.5630887598724</v>
      </c>
      <c r="AM5056">
        <v>106.81911566084</v>
      </c>
      <c r="AN5056">
        <v>0.99999993273366705</v>
      </c>
    </row>
    <row r="5057" spans="1:40" x14ac:dyDescent="0.25">
      <c r="A5057" t="str">
        <f>"20190303162403289"</f>
        <v>20190303162403289</v>
      </c>
      <c r="B5057" t="str">
        <f>"1551601443280101"</f>
        <v>1551601443280101</v>
      </c>
      <c r="C5057" t="s">
        <v>40</v>
      </c>
      <c r="D5057">
        <v>5.4071379999999998</v>
      </c>
      <c r="E5057">
        <v>0.49571860000000001</v>
      </c>
      <c r="F5057" t="s">
        <v>41</v>
      </c>
      <c r="G5057">
        <v>-398.73910000000001</v>
      </c>
      <c r="H5057" s="1">
        <v>-9.3064449999999999E-7</v>
      </c>
      <c r="I5057">
        <v>20.947209999999998</v>
      </c>
      <c r="J5057">
        <v>-412.4828</v>
      </c>
      <c r="K5057">
        <v>1.130644</v>
      </c>
      <c r="L5057">
        <v>25.676089999999999</v>
      </c>
      <c r="M5057">
        <v>0.81185010000000002</v>
      </c>
      <c r="N5057">
        <v>-1.444575E-2</v>
      </c>
      <c r="O5057">
        <v>-0.58368710000000001</v>
      </c>
      <c r="P5057">
        <v>0.93386749999999996</v>
      </c>
      <c r="Q5057">
        <v>0.14040039999999901</v>
      </c>
      <c r="R5057">
        <v>-0.32890560000000002</v>
      </c>
      <c r="S5057">
        <v>2.893005</v>
      </c>
      <c r="T5057">
        <v>-0.2352167</v>
      </c>
      <c r="U5057">
        <v>-1.006561</v>
      </c>
      <c r="V5057">
        <v>-0.28176259999999997</v>
      </c>
      <c r="W5057">
        <v>0.14729809999999999</v>
      </c>
      <c r="X5057">
        <v>0.94811029999999996</v>
      </c>
      <c r="Y5057">
        <v>-0.28266629999999998</v>
      </c>
      <c r="Z5057">
        <v>4.6995219999999997E-2</v>
      </c>
      <c r="AA5057">
        <v>0.95806639999999998</v>
      </c>
      <c r="AB5057">
        <v>30</v>
      </c>
      <c r="AC5057">
        <v>13.743699999999899</v>
      </c>
      <c r="AD5057">
        <v>-1.1306449306444999</v>
      </c>
      <c r="AE5057">
        <v>-4.7288799999999904</v>
      </c>
      <c r="AF5057">
        <v>-4.1581529726266</v>
      </c>
      <c r="AG5057">
        <v>-1.1306449306444999</v>
      </c>
      <c r="AH5057">
        <v>13.835738694619501</v>
      </c>
      <c r="AI5057">
        <v>94.474914168359604</v>
      </c>
      <c r="AJ5057">
        <v>106.72747340337899</v>
      </c>
      <c r="AK5057">
        <v>14.491247680194601</v>
      </c>
      <c r="AL5057">
        <v>81.529620336602903</v>
      </c>
      <c r="AM5057">
        <v>106.551072943462</v>
      </c>
      <c r="AN5057">
        <v>1.00000001699422</v>
      </c>
    </row>
    <row r="5058" spans="1:40" x14ac:dyDescent="0.25">
      <c r="A5058" t="str">
        <f>"20190303162403304"</f>
        <v>20190303162403304</v>
      </c>
      <c r="B5058" t="str">
        <f>"1551601443289862"</f>
        <v>1551601443289862</v>
      </c>
      <c r="C5058" t="s">
        <v>40</v>
      </c>
      <c r="D5058">
        <v>5.7672860000000004</v>
      </c>
      <c r="E5058">
        <v>0.49595230000000001</v>
      </c>
      <c r="F5058" t="s">
        <v>41</v>
      </c>
      <c r="G5058">
        <v>-398.55610000000001</v>
      </c>
      <c r="H5058" s="1">
        <v>-9.973223999999999E-7</v>
      </c>
      <c r="I5058">
        <v>20.872679999999999</v>
      </c>
      <c r="J5058">
        <v>-412.32429999999999</v>
      </c>
      <c r="K5058">
        <v>1.130558</v>
      </c>
      <c r="L5058">
        <v>25.57114</v>
      </c>
      <c r="M5058">
        <v>0.81641569999999997</v>
      </c>
      <c r="N5058">
        <v>-1.4418459999999999E-2</v>
      </c>
      <c r="O5058">
        <v>-0.57728489999999999</v>
      </c>
      <c r="P5058">
        <v>0.93590399999999996</v>
      </c>
      <c r="Q5058">
        <v>0.14064370000000001</v>
      </c>
      <c r="R5058">
        <v>-0.32296000000000002</v>
      </c>
      <c r="S5058">
        <v>2.8959959999999998</v>
      </c>
      <c r="T5058">
        <v>-0.23511099999999999</v>
      </c>
      <c r="U5058">
        <v>-0.99884030000000001</v>
      </c>
      <c r="V5058">
        <v>-0.28028380000000003</v>
      </c>
      <c r="W5058">
        <v>0.14761930000000001</v>
      </c>
      <c r="X5058">
        <v>0.94849850000000002</v>
      </c>
      <c r="Y5058">
        <v>-0.2777348</v>
      </c>
      <c r="Z5058">
        <v>4.6445729999999998E-2</v>
      </c>
      <c r="AA5058">
        <v>0.95953429999999995</v>
      </c>
      <c r="AB5058">
        <v>30</v>
      </c>
      <c r="AC5058">
        <v>13.768199999999901</v>
      </c>
      <c r="AD5058">
        <v>-1.1305589973224</v>
      </c>
      <c r="AE5058">
        <v>-4.6984599999999999</v>
      </c>
      <c r="AF5058">
        <v>-4.0880152628926396</v>
      </c>
      <c r="AG5058">
        <v>-1.1305589973224</v>
      </c>
      <c r="AH5058">
        <v>13.8706032430708</v>
      </c>
      <c r="AI5058">
        <v>94.470443264453607</v>
      </c>
      <c r="AJ5058">
        <v>106.42156976900399</v>
      </c>
      <c r="AK5058">
        <v>14.504608466372201</v>
      </c>
      <c r="AL5058">
        <v>81.511012828929196</v>
      </c>
      <c r="AM5058">
        <v>106.462548559558</v>
      </c>
      <c r="AN5058">
        <v>0.999999935388588</v>
      </c>
    </row>
    <row r="5059" spans="1:40" x14ac:dyDescent="0.25">
      <c r="A5059" t="str">
        <f>"20190303162403337"</f>
        <v>20190303162403337</v>
      </c>
      <c r="B5059" t="str">
        <f>"1551601443329879"</f>
        <v>1551601443329879</v>
      </c>
      <c r="C5059" t="s">
        <v>40</v>
      </c>
      <c r="D5059">
        <v>5.8307510000000002</v>
      </c>
      <c r="E5059">
        <v>0.49674950000000001</v>
      </c>
      <c r="F5059" t="s">
        <v>41</v>
      </c>
      <c r="G5059">
        <v>-398.41390000000001</v>
      </c>
      <c r="H5059" s="1">
        <v>-1.061589E-6</v>
      </c>
      <c r="I5059">
        <v>20.861730000000001</v>
      </c>
      <c r="J5059">
        <v>-411.96530000000001</v>
      </c>
      <c r="K5059">
        <v>1.1303719999999999</v>
      </c>
      <c r="L5059">
        <v>25.340450000000001</v>
      </c>
      <c r="M5059">
        <v>0.82632320000000004</v>
      </c>
      <c r="N5059">
        <v>-1.435725E-2</v>
      </c>
      <c r="O5059">
        <v>-0.56301349999999994</v>
      </c>
      <c r="P5059">
        <v>0.93928239999999996</v>
      </c>
      <c r="Q5059">
        <v>0.1420168</v>
      </c>
      <c r="R5059">
        <v>-0.31237819999999999</v>
      </c>
      <c r="S5059">
        <v>2.9019170000000001</v>
      </c>
      <c r="T5059">
        <v>-0.23585139999999999</v>
      </c>
      <c r="U5059">
        <v>-0.9824524</v>
      </c>
      <c r="V5059">
        <v>-0.27433000000000002</v>
      </c>
      <c r="W5059">
        <v>0.14923910000000001</v>
      </c>
      <c r="X5059">
        <v>0.94998459999999996</v>
      </c>
      <c r="Y5059">
        <v>-0.26652690000000001</v>
      </c>
      <c r="Z5059">
        <v>4.542446E-2</v>
      </c>
      <c r="AA5059">
        <v>0.96275650000000002</v>
      </c>
      <c r="AB5059">
        <v>30</v>
      </c>
      <c r="AC5059">
        <v>13.551399999999999</v>
      </c>
      <c r="AD5059">
        <v>-1.130373061589</v>
      </c>
      <c r="AE5059">
        <v>-4.47872</v>
      </c>
      <c r="AF5059">
        <v>-3.9046624281951199</v>
      </c>
      <c r="AG5059">
        <v>-1.130373061589</v>
      </c>
      <c r="AH5059">
        <v>13.635297750147799</v>
      </c>
      <c r="AI5059">
        <v>94.5566775627683</v>
      </c>
      <c r="AJ5059">
        <v>105.979822001343</v>
      </c>
      <c r="AK5059">
        <v>14.2283335873077</v>
      </c>
      <c r="AL5059">
        <v>81.417166115921006</v>
      </c>
      <c r="AM5059">
        <v>106.107294968644</v>
      </c>
      <c r="AN5059">
        <v>0.99999999905298498</v>
      </c>
    </row>
    <row r="5060" spans="1:40" x14ac:dyDescent="0.25">
      <c r="A5060" t="str">
        <f>"20190303162403376"</f>
        <v>20190303162403376</v>
      </c>
      <c r="B5060" t="str">
        <f>"1551601443369894"</f>
        <v>1551601443369894</v>
      </c>
      <c r="C5060" t="s">
        <v>40</v>
      </c>
      <c r="D5060">
        <v>5.8200710000000004</v>
      </c>
      <c r="E5060">
        <v>0.49726160000000003</v>
      </c>
      <c r="F5060" t="s">
        <v>41</v>
      </c>
      <c r="G5060">
        <v>-398.01010000000002</v>
      </c>
      <c r="H5060" s="1">
        <v>-1.2281919999999999E-6</v>
      </c>
      <c r="I5060">
        <v>20.770510000000002</v>
      </c>
      <c r="J5060">
        <v>-411.52710000000002</v>
      </c>
      <c r="K5060">
        <v>1.1301159999999999</v>
      </c>
      <c r="L5060">
        <v>25.06982</v>
      </c>
      <c r="M5060">
        <v>0.83767749999999996</v>
      </c>
      <c r="N5060">
        <v>-1.428399E-2</v>
      </c>
      <c r="O5060">
        <v>-0.54597850000000003</v>
      </c>
      <c r="P5060">
        <v>0.94296539999999995</v>
      </c>
      <c r="Q5060">
        <v>0.14175750000000001</v>
      </c>
      <c r="R5060">
        <v>-0.30119970000000001</v>
      </c>
      <c r="S5060">
        <v>2.9124150000000002</v>
      </c>
      <c r="T5060">
        <v>-0.23590620000000001</v>
      </c>
      <c r="U5060">
        <v>-0.95373540000000001</v>
      </c>
      <c r="V5060">
        <v>-0.2660554</v>
      </c>
      <c r="W5060">
        <v>0.14930789999999999</v>
      </c>
      <c r="X5060">
        <v>0.95232430000000001</v>
      </c>
      <c r="Y5060">
        <v>-0.256442</v>
      </c>
      <c r="Z5060">
        <v>4.4123780000000001E-2</v>
      </c>
      <c r="AA5060">
        <v>0.96555199999999997</v>
      </c>
      <c r="AB5060">
        <v>30</v>
      </c>
      <c r="AC5060">
        <v>13.5169999999999</v>
      </c>
      <c r="AD5060">
        <v>-1.130117228192</v>
      </c>
      <c r="AE5060">
        <v>-4.2993099999999904</v>
      </c>
      <c r="AF5060">
        <v>-3.7551041776843301</v>
      </c>
      <c r="AG5060">
        <v>-1.130117228192</v>
      </c>
      <c r="AH5060">
        <v>13.585372136313801</v>
      </c>
      <c r="AI5060">
        <v>94.584156073654398</v>
      </c>
      <c r="AJ5060">
        <v>105.451219415491</v>
      </c>
      <c r="AK5060">
        <v>14.1400250500786</v>
      </c>
      <c r="AL5060">
        <v>81.413179063702998</v>
      </c>
      <c r="AM5060">
        <v>105.609023361897</v>
      </c>
      <c r="AN5060">
        <v>0.99999994862102803</v>
      </c>
    </row>
    <row r="5061" spans="1:40" x14ac:dyDescent="0.25">
      <c r="A5061" t="str">
        <f>"20190303162403392"</f>
        <v>20190303162403392</v>
      </c>
      <c r="B5061" t="str">
        <f>"1551601443379654"</f>
        <v>1551601443379654</v>
      </c>
      <c r="C5061" t="s">
        <v>40</v>
      </c>
      <c r="D5061">
        <v>5.8168150000000001</v>
      </c>
      <c r="E5061">
        <v>0.50691009999999903</v>
      </c>
      <c r="F5061" t="s">
        <v>41</v>
      </c>
      <c r="G5061">
        <v>-397.71629999999999</v>
      </c>
      <c r="H5061" s="1">
        <v>-1.353383E-6</v>
      </c>
      <c r="I5061">
        <v>20.71903</v>
      </c>
      <c r="J5061">
        <v>-411.35199999999998</v>
      </c>
      <c r="K5061">
        <v>1.1300030000000001</v>
      </c>
      <c r="L5061">
        <v>24.964939999999999</v>
      </c>
      <c r="M5061">
        <v>0.84198549999999905</v>
      </c>
      <c r="N5061">
        <v>-1.425392E-2</v>
      </c>
      <c r="O5061">
        <v>-0.53931219999999902</v>
      </c>
      <c r="P5061">
        <v>0.94416310000000003</v>
      </c>
      <c r="Q5061">
        <v>0.1413856</v>
      </c>
      <c r="R5061">
        <v>-0.29760130000000001</v>
      </c>
      <c r="S5061">
        <v>2.9232179999999999</v>
      </c>
      <c r="T5061">
        <v>-0.2392032</v>
      </c>
      <c r="U5061">
        <v>-0.92089840000000001</v>
      </c>
      <c r="V5061">
        <v>-0.26209719999999997</v>
      </c>
      <c r="W5061">
        <v>0.14908679999999999</v>
      </c>
      <c r="X5061">
        <v>0.95345590000000002</v>
      </c>
      <c r="Y5061">
        <v>-0.25960800000000001</v>
      </c>
      <c r="Z5061">
        <v>4.4591699999999998E-2</v>
      </c>
      <c r="AA5061">
        <v>0.96468399999999999</v>
      </c>
      <c r="AB5061">
        <v>30</v>
      </c>
      <c r="AC5061">
        <v>13.6356999999999</v>
      </c>
      <c r="AD5061">
        <v>-1.130004353383</v>
      </c>
      <c r="AE5061">
        <v>-4.2459099999999896</v>
      </c>
      <c r="AF5061">
        <v>-3.7557745362756099</v>
      </c>
      <c r="AG5061">
        <v>-1.130004353383</v>
      </c>
      <c r="AH5061">
        <v>13.6866426910324</v>
      </c>
      <c r="AI5061">
        <v>94.552243185151895</v>
      </c>
      <c r="AJ5061">
        <v>105.344907938904</v>
      </c>
      <c r="AK5061">
        <v>14.2375187570725</v>
      </c>
      <c r="AL5061">
        <v>81.425990866432997</v>
      </c>
      <c r="AM5061">
        <v>105.370487074563</v>
      </c>
      <c r="AN5061">
        <v>0.99999998471344398</v>
      </c>
    </row>
    <row r="5062" spans="1:40" x14ac:dyDescent="0.25">
      <c r="A5062" t="str">
        <f>"20190303162403415"</f>
        <v>20190303162403415</v>
      </c>
      <c r="B5062" t="str">
        <f>"1551601443409910"</f>
        <v>1551601443409910</v>
      </c>
      <c r="C5062" t="s">
        <v>40</v>
      </c>
      <c r="D5062">
        <v>5.5313420000000004</v>
      </c>
      <c r="E5062">
        <v>0.50744940000000005</v>
      </c>
      <c r="F5062" t="s">
        <v>41</v>
      </c>
      <c r="G5062">
        <v>-399.81830000000002</v>
      </c>
      <c r="H5062" s="1">
        <v>-4.4860819999999997E-7</v>
      </c>
      <c r="I5062">
        <v>21.052900000000001</v>
      </c>
      <c r="J5062">
        <v>-411.08659999999998</v>
      </c>
      <c r="K5062">
        <v>1.129815</v>
      </c>
      <c r="L5062">
        <v>24.809329999999999</v>
      </c>
      <c r="M5062">
        <v>0.84826650000000003</v>
      </c>
      <c r="N5062">
        <v>-1.420712E-2</v>
      </c>
      <c r="O5062">
        <v>-0.52937909999999999</v>
      </c>
      <c r="P5062">
        <v>0.94699999999999995</v>
      </c>
      <c r="Q5062">
        <v>0.14149249999999999</v>
      </c>
      <c r="R5062">
        <v>-0.28839419999999999</v>
      </c>
      <c r="S5062">
        <v>2.909119</v>
      </c>
      <c r="T5062">
        <v>-0.28501890000000002</v>
      </c>
      <c r="U5062">
        <v>-0.98672490000000002</v>
      </c>
      <c r="V5062">
        <v>-0.26009470000000001</v>
      </c>
      <c r="W5062">
        <v>0.14931920000000001</v>
      </c>
      <c r="X5062">
        <v>0.95396780000000003</v>
      </c>
      <c r="Y5062">
        <v>-0.22641359999999999</v>
      </c>
      <c r="Z5062">
        <v>5.1876560000000002E-2</v>
      </c>
      <c r="AA5062">
        <v>0.97264879999999998</v>
      </c>
      <c r="AB5062">
        <v>30</v>
      </c>
      <c r="AC5062">
        <v>11.268299999999901</v>
      </c>
      <c r="AD5062">
        <v>-1.1298154486081999</v>
      </c>
      <c r="AE5062">
        <v>-3.7564299999999902</v>
      </c>
      <c r="AF5062">
        <v>-2.75411100423453</v>
      </c>
      <c r="AG5062">
        <v>-1.1298154486081999</v>
      </c>
      <c r="AH5062">
        <v>11.4447145846009</v>
      </c>
      <c r="AI5062">
        <v>95.482423027400998</v>
      </c>
      <c r="AJ5062">
        <v>103.53066016110201</v>
      </c>
      <c r="AK5062">
        <v>11.8255275693956</v>
      </c>
      <c r="AL5062">
        <v>81.412524898318296</v>
      </c>
      <c r="AM5062">
        <v>105.25073941619399</v>
      </c>
      <c r="AN5062">
        <v>1.00000001994678</v>
      </c>
    </row>
    <row r="5063" spans="1:40" x14ac:dyDescent="0.25">
      <c r="A5063" t="str">
        <f>"20190303162403459"</f>
        <v>20190303162403459</v>
      </c>
      <c r="B5063" t="str">
        <f>"1551601443449926"</f>
        <v>1551601443449926</v>
      </c>
      <c r="C5063" t="s">
        <v>40</v>
      </c>
      <c r="D5063">
        <v>5.4104640000000002</v>
      </c>
      <c r="E5063">
        <v>0.50767700000000004</v>
      </c>
      <c r="F5063" t="s">
        <v>41</v>
      </c>
      <c r="G5063">
        <v>-398.97430000000003</v>
      </c>
      <c r="H5063" s="1">
        <v>-7.8349540000000004E-7</v>
      </c>
      <c r="I5063">
        <v>20.812180000000001</v>
      </c>
      <c r="J5063">
        <v>-410.5797</v>
      </c>
      <c r="K5063">
        <v>1.1293850000000001</v>
      </c>
      <c r="L5063">
        <v>24.52252</v>
      </c>
      <c r="M5063">
        <v>0.85944540000000003</v>
      </c>
      <c r="N5063">
        <v>-1.411371E-2</v>
      </c>
      <c r="O5063">
        <v>-0.51103290000000001</v>
      </c>
      <c r="P5063">
        <v>0.95261609999999997</v>
      </c>
      <c r="Q5063">
        <v>0.14188879999999901</v>
      </c>
      <c r="R5063">
        <v>-0.26905479999999998</v>
      </c>
      <c r="S5063">
        <v>2.9155579999999999</v>
      </c>
      <c r="T5063">
        <v>-0.27195930000000001</v>
      </c>
      <c r="U5063">
        <v>-0.96215819999999996</v>
      </c>
      <c r="V5063">
        <v>-0.25884489999999999</v>
      </c>
      <c r="W5063">
        <v>0.14991380000000001</v>
      </c>
      <c r="X5063">
        <v>0.95421440000000002</v>
      </c>
      <c r="Y5063">
        <v>-0.21382309999999999</v>
      </c>
      <c r="Z5063">
        <v>4.749461E-2</v>
      </c>
      <c r="AA5063">
        <v>0.9757171</v>
      </c>
      <c r="AB5063">
        <v>30</v>
      </c>
      <c r="AC5063">
        <v>11.6053999999999</v>
      </c>
      <c r="AD5063">
        <v>-1.1293857834954</v>
      </c>
      <c r="AE5063">
        <v>-3.71034</v>
      </c>
      <c r="AF5063">
        <v>-2.7188190685309799</v>
      </c>
      <c r="AG5063">
        <v>-1.1293857834954</v>
      </c>
      <c r="AH5063">
        <v>11.7703626005234</v>
      </c>
      <c r="AI5063">
        <v>95.3410549710906</v>
      </c>
      <c r="AJ5063">
        <v>103.006547284441</v>
      </c>
      <c r="AK5063">
        <v>12.132968520653501</v>
      </c>
      <c r="AL5063">
        <v>81.378068609136406</v>
      </c>
      <c r="AM5063">
        <v>105.177104163473</v>
      </c>
      <c r="AN5063">
        <v>0.999999975426904</v>
      </c>
    </row>
    <row r="5064" spans="1:40" x14ac:dyDescent="0.25">
      <c r="A5064" t="str">
        <f>"20190303162403472"</f>
        <v>20190303162403472</v>
      </c>
      <c r="B5064" t="str">
        <f>"1551601443459688"</f>
        <v>1551601443459688</v>
      </c>
      <c r="C5064" t="s">
        <v>40</v>
      </c>
      <c r="D5064">
        <v>5.7072919999999998</v>
      </c>
      <c r="E5064">
        <v>0.50766679999999997</v>
      </c>
      <c r="F5064" t="s">
        <v>41</v>
      </c>
      <c r="G5064">
        <v>-398.3485</v>
      </c>
      <c r="H5064" s="1">
        <v>-1.059271E-6</v>
      </c>
      <c r="I5064">
        <v>20.736709999999999</v>
      </c>
      <c r="J5064">
        <v>-410.43860000000001</v>
      </c>
      <c r="K5064">
        <v>1.129251</v>
      </c>
      <c r="L5064">
        <v>24.445250000000001</v>
      </c>
      <c r="M5064">
        <v>0.86234900000000003</v>
      </c>
      <c r="N5064">
        <v>-1.408619E-2</v>
      </c>
      <c r="O5064">
        <v>-0.50611850000000003</v>
      </c>
      <c r="P5064">
        <v>0.9539242</v>
      </c>
      <c r="Q5064">
        <v>0.14143739999999999</v>
      </c>
      <c r="R5064">
        <v>-0.26462049999999998</v>
      </c>
      <c r="S5064">
        <v>2.9331360000000002</v>
      </c>
      <c r="T5064">
        <v>-0.27083590000000002</v>
      </c>
      <c r="U5064">
        <v>-0.90786739999999999</v>
      </c>
      <c r="V5064">
        <v>-0.25781120000000002</v>
      </c>
      <c r="W5064">
        <v>0.1495418</v>
      </c>
      <c r="X5064">
        <v>0.95455259999999997</v>
      </c>
      <c r="Y5064">
        <v>-0.22634799999999999</v>
      </c>
      <c r="Z5064">
        <v>4.7525009999999999E-2</v>
      </c>
      <c r="AA5064">
        <v>0.97288640000000004</v>
      </c>
      <c r="AB5064">
        <v>30</v>
      </c>
      <c r="AC5064">
        <v>12.0901</v>
      </c>
      <c r="AD5064">
        <v>-1.129252059271</v>
      </c>
      <c r="AE5064">
        <v>-3.70853999999999</v>
      </c>
      <c r="AF5064">
        <v>-2.8981476940840198</v>
      </c>
      <c r="AG5064">
        <v>-1.129252059271</v>
      </c>
      <c r="AH5064">
        <v>12.2067313555666</v>
      </c>
      <c r="AI5064">
        <v>95.143248894043893</v>
      </c>
      <c r="AJ5064">
        <v>103.35599290965899</v>
      </c>
      <c r="AK5064">
        <v>12.596775804032699</v>
      </c>
      <c r="AL5064">
        <v>81.399625993841099</v>
      </c>
      <c r="AM5064">
        <v>105.114162424977</v>
      </c>
      <c r="AN5064">
        <v>1.00000001547971</v>
      </c>
    </row>
    <row r="5065" spans="1:40" x14ac:dyDescent="0.25">
      <c r="A5065" t="str">
        <f>"20190303162403507"</f>
        <v>20190303162403507</v>
      </c>
      <c r="B5065" t="str">
        <f>"1551601443499702"</f>
        <v>1551601443499702</v>
      </c>
      <c r="C5065" t="s">
        <v>40</v>
      </c>
      <c r="D5065">
        <v>5.7139930000000003</v>
      </c>
      <c r="E5065">
        <v>0.49722230000000001</v>
      </c>
      <c r="F5065" t="s">
        <v>41</v>
      </c>
      <c r="G5065">
        <v>-398.21050000000002</v>
      </c>
      <c r="H5065" s="1">
        <v>-1.1192710000000001E-6</v>
      </c>
      <c r="I5065">
        <v>20.717140000000001</v>
      </c>
      <c r="J5065">
        <v>-410.04930000000002</v>
      </c>
      <c r="K5065">
        <v>1.1288750000000001</v>
      </c>
      <c r="L5065">
        <v>24.236239999999999</v>
      </c>
      <c r="M5065">
        <v>0.8699614</v>
      </c>
      <c r="N5065">
        <v>-1.400965E-2</v>
      </c>
      <c r="O5065">
        <v>-0.4929211</v>
      </c>
      <c r="P5065">
        <v>0.9576846</v>
      </c>
      <c r="Q5065">
        <v>0.13856889999999999</v>
      </c>
      <c r="R5065">
        <v>-0.2522682</v>
      </c>
      <c r="S5065">
        <v>2.9367369999999999</v>
      </c>
      <c r="T5065">
        <v>-0.27120509999999998</v>
      </c>
      <c r="U5065">
        <v>-0.89535520000000002</v>
      </c>
      <c r="V5065">
        <v>-0.25561030000000001</v>
      </c>
      <c r="W5065">
        <v>0.14689160000000001</v>
      </c>
      <c r="X5065">
        <v>0.95555540000000005</v>
      </c>
      <c r="Y5065">
        <v>-0.21568570000000001</v>
      </c>
      <c r="Z5065">
        <v>4.6251630000000002E-2</v>
      </c>
      <c r="AA5065">
        <v>0.97536679999999998</v>
      </c>
      <c r="AB5065">
        <v>30</v>
      </c>
      <c r="AC5065">
        <v>11.8387999999999</v>
      </c>
      <c r="AD5065">
        <v>-1.128876119271</v>
      </c>
      <c r="AE5065">
        <v>-3.5190999999999901</v>
      </c>
      <c r="AF5065">
        <v>-2.7513992312260398</v>
      </c>
      <c r="AG5065">
        <v>-1.128876119271</v>
      </c>
      <c r="AH5065">
        <v>11.935406012589899</v>
      </c>
      <c r="AI5065">
        <v>95.265785913290003</v>
      </c>
      <c r="AJ5065">
        <v>102.98128354419499</v>
      </c>
      <c r="AK5065">
        <v>12.3003445361347</v>
      </c>
      <c r="AL5065">
        <v>81.553166592154597</v>
      </c>
      <c r="AM5065">
        <v>104.975941456097</v>
      </c>
      <c r="AN5065">
        <v>0.99999994504290302</v>
      </c>
    </row>
    <row r="5066" spans="1:40" x14ac:dyDescent="0.25">
      <c r="A5066" t="str">
        <f>"20190303162403527"</f>
        <v>20190303162403527</v>
      </c>
      <c r="B5066" t="str">
        <f>"1551601443520199"</f>
        <v>1551601443520199</v>
      </c>
      <c r="C5066" t="s">
        <v>40</v>
      </c>
      <c r="D5066">
        <v>5.5889790000000001</v>
      </c>
      <c r="E5066">
        <v>0.49779859999999998</v>
      </c>
      <c r="F5066" t="s">
        <v>41</v>
      </c>
      <c r="G5066">
        <v>-395.38330000000002</v>
      </c>
      <c r="H5066" s="1">
        <v>-2.372303E-6</v>
      </c>
      <c r="I5066">
        <v>20.403639999999999</v>
      </c>
      <c r="J5066">
        <v>-409.82279999999997</v>
      </c>
      <c r="K5066">
        <v>1.1286590000000001</v>
      </c>
      <c r="L5066">
        <v>24.11777</v>
      </c>
      <c r="M5066">
        <v>0.8741082</v>
      </c>
      <c r="N5066">
        <v>-1.39642E-2</v>
      </c>
      <c r="O5066">
        <v>-0.48553049999999998</v>
      </c>
      <c r="P5066">
        <v>0.9591364</v>
      </c>
      <c r="Q5066">
        <v>0.13773569999999999</v>
      </c>
      <c r="R5066">
        <v>-0.2471565</v>
      </c>
      <c r="S5066">
        <v>2.9616699999999998</v>
      </c>
      <c r="T5066">
        <v>-0.22796620000000001</v>
      </c>
      <c r="U5066">
        <v>-0.77395630000000004</v>
      </c>
      <c r="V5066">
        <v>-0.25256279999999998</v>
      </c>
      <c r="W5066">
        <v>0.14622550000000001</v>
      </c>
      <c r="X5066">
        <v>0.95646750000000003</v>
      </c>
      <c r="Y5066">
        <v>-0.2472135</v>
      </c>
      <c r="Z5066">
        <v>3.9025589999999999E-2</v>
      </c>
      <c r="AA5066">
        <v>0.9681748</v>
      </c>
      <c r="AB5066">
        <v>30</v>
      </c>
      <c r="AC5066">
        <v>14.439499999999899</v>
      </c>
      <c r="AD5066">
        <v>-1.1286613723029999</v>
      </c>
      <c r="AE5066">
        <v>-3.7141299999999999</v>
      </c>
      <c r="AF5066">
        <v>-3.74318254927937</v>
      </c>
      <c r="AG5066">
        <v>-1.1286613723029999</v>
      </c>
      <c r="AH5066">
        <v>14.344214422206401</v>
      </c>
      <c r="AI5066">
        <v>94.353786601082703</v>
      </c>
      <c r="AJ5066">
        <v>104.62541245155801</v>
      </c>
      <c r="AK5066">
        <v>14.867473876916501</v>
      </c>
      <c r="AL5066">
        <v>81.591748140581899</v>
      </c>
      <c r="AM5066">
        <v>104.791778878523</v>
      </c>
      <c r="AN5066">
        <v>0.99999997167516896</v>
      </c>
    </row>
    <row r="5067" spans="1:40" x14ac:dyDescent="0.25">
      <c r="A5067" t="str">
        <f>"20190303162403559"</f>
        <v>20190303162403559</v>
      </c>
      <c r="B5067" t="str">
        <f>"1551601443549478"</f>
        <v>1551601443549478</v>
      </c>
      <c r="C5067" t="s">
        <v>40</v>
      </c>
      <c r="D5067">
        <v>5.3609400000000003</v>
      </c>
      <c r="E5067">
        <v>0.49904080000000001</v>
      </c>
      <c r="F5067" t="s">
        <v>41</v>
      </c>
      <c r="G5067">
        <v>-394.78339999999997</v>
      </c>
      <c r="H5067" s="1">
        <v>-2.6146899999999999E-6</v>
      </c>
      <c r="I5067">
        <v>20.248809999999999</v>
      </c>
      <c r="J5067">
        <v>-409.43819999999999</v>
      </c>
      <c r="K5067">
        <v>1.128331</v>
      </c>
      <c r="L5067">
        <v>23.921690000000002</v>
      </c>
      <c r="M5067">
        <v>0.88074010000000003</v>
      </c>
      <c r="N5067">
        <v>-1.3892420000000001E-2</v>
      </c>
      <c r="O5067">
        <v>-0.47339639999999999</v>
      </c>
      <c r="P5067">
        <v>0.96058929999999998</v>
      </c>
      <c r="Q5067">
        <v>0.13802729999999999</v>
      </c>
      <c r="R5067">
        <v>-0.24128160000000001</v>
      </c>
      <c r="S5067">
        <v>2.9633180000000001</v>
      </c>
      <c r="T5067">
        <v>-0.22238859999999999</v>
      </c>
      <c r="U5067">
        <v>-0.76232909999999998</v>
      </c>
      <c r="V5067">
        <v>-0.24503069999999999</v>
      </c>
      <c r="W5067">
        <v>0.146821799999999</v>
      </c>
      <c r="X5067">
        <v>0.95833360000000001</v>
      </c>
      <c r="Y5067">
        <v>-0.2376191</v>
      </c>
      <c r="Z5067">
        <v>3.6968620000000001E-2</v>
      </c>
      <c r="AA5067">
        <v>0.97065469999999998</v>
      </c>
      <c r="AB5067">
        <v>30</v>
      </c>
      <c r="AC5067">
        <v>14.6548</v>
      </c>
      <c r="AD5067">
        <v>-1.12833361469</v>
      </c>
      <c r="AE5067">
        <v>-3.6728799999999899</v>
      </c>
      <c r="AF5067">
        <v>-3.6824937270373499</v>
      </c>
      <c r="AG5067">
        <v>-1.12833361469</v>
      </c>
      <c r="AH5067">
        <v>14.5659645518868</v>
      </c>
      <c r="AI5067">
        <v>94.294898033430798</v>
      </c>
      <c r="AJ5067">
        <v>104.187940524482</v>
      </c>
      <c r="AK5067">
        <v>15.066559664453299</v>
      </c>
      <c r="AL5067">
        <v>81.557210029693096</v>
      </c>
      <c r="AM5067">
        <v>104.342350765898</v>
      </c>
      <c r="AN5067">
        <v>0.99999998689334402</v>
      </c>
    </row>
    <row r="5068" spans="1:40" x14ac:dyDescent="0.25">
      <c r="A5068" t="str">
        <f>"20190303162403585"</f>
        <v>20190303162403585</v>
      </c>
      <c r="B5068" t="str">
        <f>"1551601443579734"</f>
        <v>1551601443579734</v>
      </c>
      <c r="C5068" t="s">
        <v>40</v>
      </c>
      <c r="D5068">
        <v>5.5915780000000002</v>
      </c>
      <c r="E5068">
        <v>0.50011640000000002</v>
      </c>
      <c r="F5068" t="s">
        <v>41</v>
      </c>
      <c r="G5068">
        <v>-394.2319</v>
      </c>
      <c r="H5068" s="1">
        <v>-2.8248520000000002E-6</v>
      </c>
      <c r="I5068">
        <v>20.058979999999998</v>
      </c>
      <c r="J5068">
        <v>-409.14030000000002</v>
      </c>
      <c r="K5068">
        <v>1.1280969999999999</v>
      </c>
      <c r="L5068">
        <v>23.773859999999999</v>
      </c>
      <c r="M5068">
        <v>0.8855383</v>
      </c>
      <c r="N5068">
        <v>-1.3841050000000001E-2</v>
      </c>
      <c r="O5068">
        <v>-0.4643601</v>
      </c>
      <c r="P5068">
        <v>0.96165780000000001</v>
      </c>
      <c r="Q5068">
        <v>0.1389222</v>
      </c>
      <c r="R5068">
        <v>-0.2364627</v>
      </c>
      <c r="S5068">
        <v>2.9654850000000001</v>
      </c>
      <c r="T5068">
        <v>-0.22004460000000001</v>
      </c>
      <c r="U5068">
        <v>-0.75329590000000002</v>
      </c>
      <c r="V5068">
        <v>-0.2398836</v>
      </c>
      <c r="W5068">
        <v>0.14792159999999999</v>
      </c>
      <c r="X5068">
        <v>0.95946600000000004</v>
      </c>
      <c r="Y5068">
        <v>-0.23068649999999999</v>
      </c>
      <c r="Z5068">
        <v>3.5798490000000002E-2</v>
      </c>
      <c r="AA5068">
        <v>0.97236940000000005</v>
      </c>
      <c r="AB5068">
        <v>30</v>
      </c>
      <c r="AC5068">
        <v>14.9084</v>
      </c>
      <c r="AD5068">
        <v>-1.128099824852</v>
      </c>
      <c r="AE5068">
        <v>-3.71488</v>
      </c>
      <c r="AF5068">
        <v>-3.6140622366374102</v>
      </c>
      <c r="AG5068">
        <v>-1.128099824852</v>
      </c>
      <c r="AH5068">
        <v>14.848383573451899</v>
      </c>
      <c r="AI5068">
        <v>94.221883929701704</v>
      </c>
      <c r="AJ5068">
        <v>103.679661559011</v>
      </c>
      <c r="AK5068">
        <v>15.3234640277411</v>
      </c>
      <c r="AL5068">
        <v>81.493500377047496</v>
      </c>
      <c r="AM5068">
        <v>104.037204545389</v>
      </c>
      <c r="AN5068">
        <v>0.99999997322575895</v>
      </c>
    </row>
    <row r="5069" spans="1:40" x14ac:dyDescent="0.25">
      <c r="A5069" t="str">
        <f>"20190303162403601"</f>
        <v>20190303162403601</v>
      </c>
      <c r="B5069" t="str">
        <f>"1551601443589494"</f>
        <v>1551601443589494</v>
      </c>
      <c r="C5069" t="s">
        <v>40</v>
      </c>
      <c r="D5069">
        <v>5.5887570000000002</v>
      </c>
      <c r="E5069">
        <v>0.50028439999999996</v>
      </c>
      <c r="F5069" t="s">
        <v>41</v>
      </c>
      <c r="G5069">
        <v>-393.60090000000002</v>
      </c>
      <c r="H5069" s="1">
        <v>-3.0726609999999998E-6</v>
      </c>
      <c r="I5069">
        <v>19.86919</v>
      </c>
      <c r="J5069">
        <v>-408.9348</v>
      </c>
      <c r="K5069">
        <v>1.127926</v>
      </c>
      <c r="L5069">
        <v>23.673829999999999</v>
      </c>
      <c r="M5069">
        <v>0.88867879999999999</v>
      </c>
      <c r="N5069">
        <v>-1.380497E-2</v>
      </c>
      <c r="O5069">
        <v>-0.45832230000000002</v>
      </c>
      <c r="P5069">
        <v>0.96199319999999999</v>
      </c>
      <c r="Q5069">
        <v>0.13978450000000001</v>
      </c>
      <c r="R5069">
        <v>-0.23458319999999999</v>
      </c>
      <c r="S5069">
        <v>2.9674070000000001</v>
      </c>
      <c r="T5069">
        <v>-0.21542169999999999</v>
      </c>
      <c r="U5069">
        <v>-0.74563599999999997</v>
      </c>
      <c r="V5069">
        <v>-0.23511109999999999</v>
      </c>
      <c r="W5069">
        <v>0.1489482</v>
      </c>
      <c r="X5069">
        <v>0.96048800000000001</v>
      </c>
      <c r="Y5069">
        <v>-0.22665350000000001</v>
      </c>
      <c r="Z5069">
        <v>3.4489640000000002E-2</v>
      </c>
      <c r="AA5069">
        <v>0.97336460000000002</v>
      </c>
      <c r="AB5069">
        <v>30</v>
      </c>
      <c r="AC5069">
        <v>15.3338999999999</v>
      </c>
      <c r="AD5069">
        <v>-1.1279290726610001</v>
      </c>
      <c r="AE5069">
        <v>-3.8046399999999898</v>
      </c>
      <c r="AF5069">
        <v>-3.62861812887266</v>
      </c>
      <c r="AG5069">
        <v>-1.1279290726610001</v>
      </c>
      <c r="AH5069">
        <v>15.2941746864295</v>
      </c>
      <c r="AI5069">
        <v>94.104337530368298</v>
      </c>
      <c r="AJ5069">
        <v>103.34692520790099</v>
      </c>
      <c r="AK5069">
        <v>15.7591520348386</v>
      </c>
      <c r="AL5069">
        <v>81.434021834783593</v>
      </c>
      <c r="AM5069">
        <v>103.754569035557</v>
      </c>
      <c r="AN5069">
        <v>0.99999999688522401</v>
      </c>
    </row>
    <row r="5070" spans="1:40" x14ac:dyDescent="0.25">
      <c r="A5070" t="str">
        <f>"20190303162403626"</f>
        <v>20190303162403626</v>
      </c>
      <c r="B5070" t="str">
        <f>"1551601443620257"</f>
        <v>1551601443620257</v>
      </c>
      <c r="C5070" t="s">
        <v>40</v>
      </c>
      <c r="D5070">
        <v>5.4453459999999998</v>
      </c>
      <c r="E5070">
        <v>0.50123149999999905</v>
      </c>
      <c r="F5070" t="s">
        <v>41</v>
      </c>
      <c r="G5070">
        <v>-393.07249999999999</v>
      </c>
      <c r="H5070" s="1">
        <v>-3.2816200000000002E-6</v>
      </c>
      <c r="I5070">
        <v>19.71585</v>
      </c>
      <c r="J5070">
        <v>-408.66239999999999</v>
      </c>
      <c r="K5070">
        <v>1.1277029999999999</v>
      </c>
      <c r="L5070">
        <v>23.54382</v>
      </c>
      <c r="M5070">
        <v>0.89265130000000004</v>
      </c>
      <c r="N5070">
        <v>-1.375739E-2</v>
      </c>
      <c r="O5070">
        <v>-0.45053799999999999</v>
      </c>
      <c r="P5070">
        <v>0.96305980000000002</v>
      </c>
      <c r="Q5070">
        <v>0.1398683</v>
      </c>
      <c r="R5070">
        <v>-0.2301144</v>
      </c>
      <c r="S5070">
        <v>2.9685670000000002</v>
      </c>
      <c r="T5070">
        <v>-0.21108789999999999</v>
      </c>
      <c r="U5070">
        <v>-0.74072269999999996</v>
      </c>
      <c r="V5070">
        <v>-0.2310806</v>
      </c>
      <c r="W5070">
        <v>0.14919379999999999</v>
      </c>
      <c r="X5070">
        <v>0.96142760000000005</v>
      </c>
      <c r="Y5070">
        <v>-0.21982599999999999</v>
      </c>
      <c r="Z5070">
        <v>3.3063269999999999E-2</v>
      </c>
      <c r="AA5070">
        <v>0.97497860000000003</v>
      </c>
      <c r="AB5070">
        <v>30</v>
      </c>
      <c r="AC5070">
        <v>15.5899</v>
      </c>
      <c r="AD5070">
        <v>-1.1277062816200001</v>
      </c>
      <c r="AE5070">
        <v>-3.8279700000000001</v>
      </c>
      <c r="AF5070">
        <v>-3.58942761277723</v>
      </c>
      <c r="AG5070">
        <v>-1.1277062816200001</v>
      </c>
      <c r="AH5070">
        <v>15.565654732367801</v>
      </c>
      <c r="AI5070">
        <v>94.038135104493705</v>
      </c>
      <c r="AJ5070">
        <v>102.985367270917</v>
      </c>
      <c r="AK5070">
        <v>16.0139101812224</v>
      </c>
      <c r="AL5070">
        <v>81.419791285006696</v>
      </c>
      <c r="AM5070">
        <v>103.514776300059</v>
      </c>
      <c r="AN5070">
        <v>1.00000003184827</v>
      </c>
    </row>
    <row r="5071" spans="1:40" x14ac:dyDescent="0.25">
      <c r="A5071" t="str">
        <f>"20190303162403648"</f>
        <v>20190303162403648</v>
      </c>
      <c r="B5071" t="str">
        <f>"1551601443639778"</f>
        <v>1551601443639778</v>
      </c>
      <c r="C5071" t="s">
        <v>40</v>
      </c>
      <c r="D5071">
        <v>5.4212059999999997</v>
      </c>
      <c r="E5071">
        <v>0.50146409999999997</v>
      </c>
      <c r="F5071" t="s">
        <v>41</v>
      </c>
      <c r="G5071">
        <v>-392.7364</v>
      </c>
      <c r="H5071" s="1">
        <v>-3.4165779999999999E-6</v>
      </c>
      <c r="I5071">
        <v>19.601959999999998</v>
      </c>
      <c r="J5071">
        <v>-408.38729999999998</v>
      </c>
      <c r="K5071">
        <v>1.1274519999999999</v>
      </c>
      <c r="L5071">
        <v>23.41516</v>
      </c>
      <c r="M5071">
        <v>0.8964415</v>
      </c>
      <c r="N5071">
        <v>-1.371095E-2</v>
      </c>
      <c r="O5071">
        <v>-0.44295030000000002</v>
      </c>
      <c r="P5071">
        <v>0.96452769999999999</v>
      </c>
      <c r="Q5071">
        <v>0.13855590000000001</v>
      </c>
      <c r="R5071">
        <v>-0.22469800000000001</v>
      </c>
      <c r="S5071">
        <v>2.9700009999999999</v>
      </c>
      <c r="T5071">
        <v>-0.21030309999999999</v>
      </c>
      <c r="U5071">
        <v>-0.73510739999999997</v>
      </c>
      <c r="V5071">
        <v>-0.22829740000000001</v>
      </c>
      <c r="W5071">
        <v>0.14802770000000001</v>
      </c>
      <c r="X5071">
        <v>0.96227229999999997</v>
      </c>
      <c r="Y5071">
        <v>-0.2134297</v>
      </c>
      <c r="Z5071">
        <v>3.2311630000000001E-2</v>
      </c>
      <c r="AA5071">
        <v>0.97642390000000001</v>
      </c>
      <c r="AB5071">
        <v>30</v>
      </c>
      <c r="AC5071">
        <v>15.650899999999901</v>
      </c>
      <c r="AD5071">
        <v>-1.127455416578</v>
      </c>
      <c r="AE5071">
        <v>-3.8131999999999899</v>
      </c>
      <c r="AF5071">
        <v>-3.4974571182382399</v>
      </c>
      <c r="AG5071">
        <v>-1.127455416578</v>
      </c>
      <c r="AH5071">
        <v>15.6440150499342</v>
      </c>
      <c r="AI5071">
        <v>94.0231701216658</v>
      </c>
      <c r="AJ5071">
        <v>102.602111926413</v>
      </c>
      <c r="AK5071">
        <v>16.069803013504998</v>
      </c>
      <c r="AL5071">
        <v>81.487353350366007</v>
      </c>
      <c r="AM5071">
        <v>103.34656255064399</v>
      </c>
      <c r="AN5071">
        <v>0.99999994108066803</v>
      </c>
    </row>
    <row r="5072" spans="1:40" x14ac:dyDescent="0.25">
      <c r="A5072" t="str">
        <f>"20190303162403679"</f>
        <v>20190303162403679</v>
      </c>
      <c r="B5072" t="str">
        <f>"1551601443670033"</f>
        <v>1551601443670033</v>
      </c>
      <c r="C5072" t="s">
        <v>40</v>
      </c>
      <c r="D5072">
        <v>5.5273070000000004</v>
      </c>
      <c r="E5072">
        <v>0.50205420000000001</v>
      </c>
      <c r="F5072" t="s">
        <v>41</v>
      </c>
      <c r="G5072">
        <v>-392.73419999999999</v>
      </c>
      <c r="H5072" s="1">
        <v>-3.4166029999999999E-6</v>
      </c>
      <c r="I5072">
        <v>19.622019999999999</v>
      </c>
      <c r="J5072">
        <v>-408.01170000000002</v>
      </c>
      <c r="K5072">
        <v>1.1271119999999999</v>
      </c>
      <c r="L5072">
        <v>23.243410000000001</v>
      </c>
      <c r="M5072">
        <v>0.90130560000000004</v>
      </c>
      <c r="N5072">
        <v>-1.365017E-2</v>
      </c>
      <c r="O5072">
        <v>-0.43296879999999999</v>
      </c>
      <c r="P5072">
        <v>0.96614330000000004</v>
      </c>
      <c r="Q5072">
        <v>0.1365006</v>
      </c>
      <c r="R5072">
        <v>-0.21894079999999999</v>
      </c>
      <c r="S5072">
        <v>2.973236</v>
      </c>
      <c r="T5072">
        <v>-0.21415480000000001</v>
      </c>
      <c r="U5072">
        <v>-0.7204895</v>
      </c>
      <c r="V5072">
        <v>-0.2233156</v>
      </c>
      <c r="W5072">
        <v>0.1461887</v>
      </c>
      <c r="X5072">
        <v>0.96372150000000001</v>
      </c>
      <c r="Y5072">
        <v>-0.2073361</v>
      </c>
      <c r="Z5072">
        <v>3.2258820000000001E-2</v>
      </c>
      <c r="AA5072">
        <v>0.97773770000000004</v>
      </c>
      <c r="AB5072">
        <v>29</v>
      </c>
      <c r="AC5072">
        <v>15.2775</v>
      </c>
      <c r="AD5072">
        <v>-1.127115416603</v>
      </c>
      <c r="AE5072">
        <v>-3.6213899999999901</v>
      </c>
      <c r="AF5072">
        <v>-3.3338333480356201</v>
      </c>
      <c r="AG5072">
        <v>-1.127115416603</v>
      </c>
      <c r="AH5072">
        <v>15.260431019840301</v>
      </c>
      <c r="AI5072">
        <v>94.127131832877893</v>
      </c>
      <c r="AJ5072">
        <v>102.32337118648201</v>
      </c>
      <c r="AK5072">
        <v>15.660957469648</v>
      </c>
      <c r="AL5072">
        <v>81.593880288806901</v>
      </c>
      <c r="AM5072">
        <v>103.04644260698301</v>
      </c>
      <c r="AN5072">
        <v>1.00000006138664</v>
      </c>
    </row>
    <row r="5073" spans="1:40" x14ac:dyDescent="0.25">
      <c r="A5073" t="str">
        <f>"20190303162403703"</f>
        <v>20190303162403703</v>
      </c>
      <c r="B5073" t="str">
        <f>"1551601443689553"</f>
        <v>1551601443689553</v>
      </c>
      <c r="C5073" t="s">
        <v>40</v>
      </c>
      <c r="D5073">
        <v>5.4415139999999997</v>
      </c>
      <c r="E5073">
        <v>0.50219259999999999</v>
      </c>
      <c r="F5073" t="s">
        <v>41</v>
      </c>
      <c r="G5073">
        <v>-392.66640000000001</v>
      </c>
      <c r="H5073" s="1">
        <v>-3.449264E-6</v>
      </c>
      <c r="I5073">
        <v>19.60407</v>
      </c>
      <c r="J5073">
        <v>-407.74520000000001</v>
      </c>
      <c r="K5073">
        <v>1.126871</v>
      </c>
      <c r="L5073">
        <v>23.12415</v>
      </c>
      <c r="M5073">
        <v>0.90453240000000001</v>
      </c>
      <c r="N5073">
        <v>-1.3608830000000001E-2</v>
      </c>
      <c r="O5073">
        <v>-0.42618800000000001</v>
      </c>
      <c r="P5073">
        <v>0.96673739999999997</v>
      </c>
      <c r="Q5073">
        <v>0.13522010000000001</v>
      </c>
      <c r="R5073">
        <v>-0.2171053</v>
      </c>
      <c r="S5073">
        <v>2.9760439999999999</v>
      </c>
      <c r="T5073">
        <v>-0.21859200000000001</v>
      </c>
      <c r="U5073">
        <v>-0.70581050000000001</v>
      </c>
      <c r="V5073">
        <v>-0.2178679</v>
      </c>
      <c r="W5073">
        <v>0.1450967</v>
      </c>
      <c r="X5073">
        <v>0.9651324</v>
      </c>
      <c r="Y5073">
        <v>-0.20472190000000001</v>
      </c>
      <c r="Z5073">
        <v>3.2576809999999998E-2</v>
      </c>
      <c r="AA5073">
        <v>0.97827790000000003</v>
      </c>
      <c r="AB5073">
        <v>29</v>
      </c>
      <c r="AC5073">
        <v>15.078799999999999</v>
      </c>
      <c r="AD5073">
        <v>-1.1268744492639999</v>
      </c>
      <c r="AE5073">
        <v>-3.5200800000000001</v>
      </c>
      <c r="AF5073">
        <v>-3.2255933497231002</v>
      </c>
      <c r="AG5073">
        <v>-1.1268744492639999</v>
      </c>
      <c r="AH5073">
        <v>15.061110949595999</v>
      </c>
      <c r="AI5073">
        <v>94.184366827157405</v>
      </c>
      <c r="AJ5073">
        <v>102.08825516666499</v>
      </c>
      <c r="AK5073">
        <v>15.443813049834</v>
      </c>
      <c r="AL5073">
        <v>81.657121189440105</v>
      </c>
      <c r="AM5073">
        <v>102.720671495294</v>
      </c>
      <c r="AN5073">
        <v>1.0000000118655299</v>
      </c>
    </row>
    <row r="5074" spans="1:40" x14ac:dyDescent="0.25">
      <c r="A5074" t="str">
        <f>"20190303162403726"</f>
        <v>20190303162403726</v>
      </c>
      <c r="B5074" t="str">
        <f>"1551601443719809"</f>
        <v>1551601443719809</v>
      </c>
      <c r="C5074" t="s">
        <v>40</v>
      </c>
      <c r="D5074">
        <v>5.5416629999999998</v>
      </c>
      <c r="E5074">
        <v>0.50815339999999998</v>
      </c>
      <c r="F5074" t="s">
        <v>41</v>
      </c>
      <c r="G5074">
        <v>-392.57440000000003</v>
      </c>
      <c r="H5074" s="1">
        <v>-3.503263E-6</v>
      </c>
      <c r="I5074">
        <v>19.54487</v>
      </c>
      <c r="J5074">
        <v>-407.46870000000001</v>
      </c>
      <c r="K5074">
        <v>1.1265959999999999</v>
      </c>
      <c r="L5074">
        <v>23.002749999999999</v>
      </c>
      <c r="M5074">
        <v>0.90764350000000005</v>
      </c>
      <c r="N5074">
        <v>-1.356423E-2</v>
      </c>
      <c r="O5074">
        <v>-0.41952289999999998</v>
      </c>
      <c r="P5074">
        <v>0.96676609999999996</v>
      </c>
      <c r="Q5074">
        <v>0.1345749</v>
      </c>
      <c r="R5074">
        <v>-0.21737770000000001</v>
      </c>
      <c r="S5074">
        <v>2.9764400000000002</v>
      </c>
      <c r="T5074">
        <v>-0.22108839999999999</v>
      </c>
      <c r="U5074">
        <v>-0.70223999999999998</v>
      </c>
      <c r="V5074">
        <v>-0.21040449999999999</v>
      </c>
      <c r="W5074">
        <v>0.1446866</v>
      </c>
      <c r="X5074">
        <v>0.96684829999999999</v>
      </c>
      <c r="Y5074">
        <v>-0.1986542</v>
      </c>
      <c r="Z5074">
        <v>3.2412759999999999E-2</v>
      </c>
      <c r="AA5074">
        <v>0.97953349999999995</v>
      </c>
      <c r="AB5074">
        <v>29</v>
      </c>
      <c r="AC5074">
        <v>14.8942999999999</v>
      </c>
      <c r="AD5074">
        <v>-1.1265995032629901</v>
      </c>
      <c r="AE5074">
        <v>-3.4578799999999901</v>
      </c>
      <c r="AF5074">
        <v>-3.0934698111905998</v>
      </c>
      <c r="AG5074">
        <v>-1.1265995032629901</v>
      </c>
      <c r="AH5074">
        <v>14.8899167412472</v>
      </c>
      <c r="AI5074">
        <v>94.236735548355597</v>
      </c>
      <c r="AJ5074">
        <v>101.736583496584</v>
      </c>
      <c r="AK5074">
        <v>15.2495377790533</v>
      </c>
      <c r="AL5074">
        <v>81.680868270448698</v>
      </c>
      <c r="AM5074">
        <v>102.27722701436799</v>
      </c>
      <c r="AN5074">
        <v>0.99999995052634805</v>
      </c>
    </row>
    <row r="5075" spans="1:40" x14ac:dyDescent="0.25">
      <c r="A5075" t="str">
        <f>"20190303162403749"</f>
        <v>20190303162403749</v>
      </c>
      <c r="B5075" t="str">
        <f>"1551601443740305"</f>
        <v>1551601443740305</v>
      </c>
      <c r="C5075" t="s">
        <v>40</v>
      </c>
      <c r="D5075">
        <v>5.3813940000000002</v>
      </c>
      <c r="E5075">
        <v>0.53315190000000001</v>
      </c>
      <c r="F5075" t="s">
        <v>41</v>
      </c>
      <c r="G5075">
        <v>-392.81360000000001</v>
      </c>
      <c r="H5075" s="1">
        <v>-3.4359570000000001E-6</v>
      </c>
      <c r="I5075">
        <v>19.286909999999999</v>
      </c>
      <c r="J5075">
        <v>-407.19389999999999</v>
      </c>
      <c r="K5075">
        <v>1.1263000000000001</v>
      </c>
      <c r="L5075">
        <v>22.883970000000001</v>
      </c>
      <c r="M5075">
        <v>0.91051760000000004</v>
      </c>
      <c r="N5075">
        <v>-1.351775E-2</v>
      </c>
      <c r="O5075">
        <v>-0.4132497</v>
      </c>
      <c r="P5075">
        <v>0.96613550000000004</v>
      </c>
      <c r="Q5075">
        <v>0.13275029999999999</v>
      </c>
      <c r="R5075">
        <v>-0.22126960000000001</v>
      </c>
      <c r="S5075">
        <v>2.9657900000000001</v>
      </c>
      <c r="T5075">
        <v>-0.2279928</v>
      </c>
      <c r="U5075">
        <v>-0.75198359999999997</v>
      </c>
      <c r="V5075">
        <v>-0.19977710000000001</v>
      </c>
      <c r="W5075">
        <v>0.1431521</v>
      </c>
      <c r="X5075">
        <v>0.96932790000000002</v>
      </c>
      <c r="Y5075">
        <v>-0.17554800000000001</v>
      </c>
      <c r="Z5075">
        <v>3.2250670000000002E-2</v>
      </c>
      <c r="AA5075">
        <v>0.98394239999999999</v>
      </c>
      <c r="AB5075">
        <v>29</v>
      </c>
      <c r="AC5075">
        <v>14.380299999999901</v>
      </c>
      <c r="AD5075">
        <v>-1.1263034359569899</v>
      </c>
      <c r="AE5075">
        <v>-3.5970599999999999</v>
      </c>
      <c r="AF5075">
        <v>-2.6523986408113802</v>
      </c>
      <c r="AG5075">
        <v>-1.1263034359569899</v>
      </c>
      <c r="AH5075">
        <v>14.497632027771401</v>
      </c>
      <c r="AI5075">
        <v>94.370068838240201</v>
      </c>
      <c r="AJ5075">
        <v>100.367824640094</v>
      </c>
      <c r="AK5075">
        <v>14.781241909673501</v>
      </c>
      <c r="AL5075">
        <v>81.769713962477496</v>
      </c>
      <c r="AM5075">
        <v>101.64551839588199</v>
      </c>
      <c r="AN5075">
        <v>0.99999999556861496</v>
      </c>
    </row>
    <row r="5076" spans="1:40" x14ac:dyDescent="0.25">
      <c r="A5076" t="str">
        <f>"20190303162403770"</f>
        <v>20190303162403770</v>
      </c>
      <c r="B5076" t="str">
        <f>"1551601443759825"</f>
        <v>1551601443759825</v>
      </c>
      <c r="C5076" t="s">
        <v>40</v>
      </c>
      <c r="D5076">
        <v>5.3889769999999997</v>
      </c>
      <c r="E5076">
        <v>0.56328259999999997</v>
      </c>
      <c r="F5076" t="s">
        <v>41</v>
      </c>
      <c r="G5076">
        <v>-398.69709999999998</v>
      </c>
      <c r="H5076" s="1">
        <v>-7.213911E-7</v>
      </c>
      <c r="I5076">
        <v>20.08616</v>
      </c>
      <c r="J5076">
        <v>-406.93020000000001</v>
      </c>
      <c r="K5076">
        <v>1.1260190000000001</v>
      </c>
      <c r="L5076">
        <v>22.771730000000002</v>
      </c>
      <c r="M5076">
        <v>0.91309830000000003</v>
      </c>
      <c r="N5076">
        <v>-1.3474710000000001E-2</v>
      </c>
      <c r="O5076">
        <v>-0.4075165</v>
      </c>
      <c r="P5076">
        <v>0.96492020000000001</v>
      </c>
      <c r="Q5076">
        <v>0.13161439999999999</v>
      </c>
      <c r="R5076">
        <v>-0.2271714</v>
      </c>
      <c r="S5076">
        <v>2.9372250000000002</v>
      </c>
      <c r="T5076">
        <v>-0.38934600000000003</v>
      </c>
      <c r="U5076">
        <v>-0.96716310000000005</v>
      </c>
      <c r="V5076">
        <v>-0.18766759999999999</v>
      </c>
      <c r="W5076">
        <v>0.1423045</v>
      </c>
      <c r="X5076">
        <v>0.97186950000000005</v>
      </c>
      <c r="Y5076">
        <v>-9.8316269999999997E-2</v>
      </c>
      <c r="Z5076">
        <v>5.1858250000000002E-2</v>
      </c>
      <c r="AA5076">
        <v>0.99380310000000005</v>
      </c>
      <c r="AB5076">
        <v>29</v>
      </c>
      <c r="AC5076">
        <v>8.2331000000000305</v>
      </c>
      <c r="AD5076">
        <v>-1.1260197213911001</v>
      </c>
      <c r="AE5076">
        <v>-2.68556999999999</v>
      </c>
      <c r="AF5076">
        <v>-0.88800378318043904</v>
      </c>
      <c r="AG5076">
        <v>-1.1260197213911001</v>
      </c>
      <c r="AH5076">
        <v>8.4696351050127507</v>
      </c>
      <c r="AI5076">
        <v>97.532133299160293</v>
      </c>
      <c r="AJ5076">
        <v>95.985341529975798</v>
      </c>
      <c r="AK5076">
        <v>8.5901798551583806</v>
      </c>
      <c r="AL5076">
        <v>81.818780346509101</v>
      </c>
      <c r="AM5076">
        <v>100.92927477324299</v>
      </c>
      <c r="AN5076">
        <v>1.00000001192013</v>
      </c>
    </row>
    <row r="5077" spans="1:40" x14ac:dyDescent="0.25">
      <c r="A5077" t="str">
        <f>"20190303162403792"</f>
        <v>20190303162403792</v>
      </c>
      <c r="B5077" t="str">
        <f>"1551601443780321"</f>
        <v>1551601443780321</v>
      </c>
      <c r="C5077" t="s">
        <v>40</v>
      </c>
      <c r="D5077">
        <v>5.4995589999999996</v>
      </c>
      <c r="E5077">
        <v>0.55323180000000005</v>
      </c>
      <c r="F5077" t="s">
        <v>42</v>
      </c>
      <c r="G5077">
        <v>-406.16770000000002</v>
      </c>
      <c r="H5077">
        <v>0.92365649999999999</v>
      </c>
      <c r="I5077">
        <v>22.447019999999998</v>
      </c>
      <c r="J5077">
        <v>-406.6739</v>
      </c>
      <c r="K5077">
        <v>1.125753</v>
      </c>
      <c r="L5077">
        <v>22.66412</v>
      </c>
      <c r="M5077">
        <v>0.91543490000000005</v>
      </c>
      <c r="N5077">
        <v>-1.3435870000000001E-2</v>
      </c>
      <c r="O5077">
        <v>-0.40224169999999998</v>
      </c>
      <c r="P5077">
        <v>0.96410980000000002</v>
      </c>
      <c r="Q5077">
        <v>0.13112409999999999</v>
      </c>
      <c r="R5077">
        <v>-0.23086499999999999</v>
      </c>
      <c r="S5077">
        <v>2.9221189999999999</v>
      </c>
      <c r="T5077">
        <v>-0.77573249999999905</v>
      </c>
      <c r="U5077">
        <v>-1.2435609999999999</v>
      </c>
      <c r="V5077">
        <v>-0.17823699999999901</v>
      </c>
      <c r="W5077">
        <v>0.14204059999999999</v>
      </c>
      <c r="X5077">
        <v>0.97368169999999998</v>
      </c>
      <c r="Y5077">
        <v>-1.9286539999999999E-3</v>
      </c>
      <c r="Z5077">
        <v>9.1514360000000003E-2</v>
      </c>
      <c r="AA5077">
        <v>0.99580190000000002</v>
      </c>
      <c r="AB5077">
        <v>29</v>
      </c>
      <c r="AC5077">
        <v>0.506199999999978</v>
      </c>
      <c r="AD5077">
        <v>-0.20209649999999901</v>
      </c>
      <c r="AE5077">
        <v>-0.21709999999999799</v>
      </c>
      <c r="AF5077">
        <v>-4.2959108241334403E-3</v>
      </c>
      <c r="AG5077">
        <v>-0.20209649999999901</v>
      </c>
      <c r="AH5077">
        <v>0.485417502039033</v>
      </c>
      <c r="AI5077">
        <v>112.602895496351</v>
      </c>
      <c r="AJ5077">
        <v>90.5070503900685</v>
      </c>
      <c r="AK5077">
        <v>0.52582468698975504</v>
      </c>
      <c r="AL5077">
        <v>81.834055829055401</v>
      </c>
      <c r="AM5077">
        <v>100.373411020601</v>
      </c>
      <c r="AN5077">
        <v>1.0000000065661201</v>
      </c>
    </row>
    <row r="5078" spans="1:40" x14ac:dyDescent="0.25">
      <c r="A5078" t="str">
        <f>"20190303162403816"</f>
        <v>20190303162403816</v>
      </c>
      <c r="B5078" t="str">
        <f>"1551601443810578"</f>
        <v>1551601443810578</v>
      </c>
      <c r="C5078" t="s">
        <v>40</v>
      </c>
      <c r="D5078">
        <v>5.3680240000000001</v>
      </c>
      <c r="E5078">
        <v>0.549494699999999</v>
      </c>
      <c r="F5078" t="s">
        <v>42</v>
      </c>
      <c r="G5078">
        <v>-405.93259999999998</v>
      </c>
      <c r="H5078">
        <v>0.89348890000000003</v>
      </c>
      <c r="I5078">
        <v>22.36504</v>
      </c>
      <c r="J5078">
        <v>-406.38040000000001</v>
      </c>
      <c r="K5078">
        <v>1.125443</v>
      </c>
      <c r="L5078">
        <v>22.542480000000001</v>
      </c>
      <c r="M5078">
        <v>0.91789350000000003</v>
      </c>
      <c r="N5078">
        <v>-1.339249E-2</v>
      </c>
      <c r="O5078">
        <v>-0.39660079999999998</v>
      </c>
      <c r="P5078">
        <v>0.96435850000000001</v>
      </c>
      <c r="Q5078">
        <v>0.131554</v>
      </c>
      <c r="R5078">
        <v>-0.22957920000000001</v>
      </c>
      <c r="S5078">
        <v>2.9521480000000002</v>
      </c>
      <c r="T5078">
        <v>-0.9247841</v>
      </c>
      <c r="U5078">
        <v>-1.191284</v>
      </c>
      <c r="V5078">
        <v>-0.1734029</v>
      </c>
      <c r="W5078">
        <v>0.1426335</v>
      </c>
      <c r="X5078">
        <v>0.97446759999999999</v>
      </c>
      <c r="Y5078">
        <v>-1.0176899999999999E-2</v>
      </c>
      <c r="Z5078">
        <v>0.10872610000000001</v>
      </c>
      <c r="AA5078">
        <v>0.9940196</v>
      </c>
      <c r="AB5078">
        <v>29</v>
      </c>
      <c r="AC5078">
        <v>0.44780000000002901</v>
      </c>
      <c r="AD5078">
        <v>-0.231954099999999</v>
      </c>
      <c r="AE5078">
        <v>-0.17743999999999699</v>
      </c>
      <c r="AF5078">
        <v>-1.1955641802274E-2</v>
      </c>
      <c r="AG5078">
        <v>-0.231954099999999</v>
      </c>
      <c r="AH5078">
        <v>0.39081852700135</v>
      </c>
      <c r="AI5078">
        <v>120.67772925492</v>
      </c>
      <c r="AJ5078">
        <v>91.752205195832701</v>
      </c>
      <c r="AK5078">
        <v>0.45462595936134098</v>
      </c>
      <c r="AL5078">
        <v>81.799735604054106</v>
      </c>
      <c r="AM5078">
        <v>100.089957290252</v>
      </c>
      <c r="AN5078">
        <v>0.99999999225020997</v>
      </c>
    </row>
    <row r="5079" spans="1:40" x14ac:dyDescent="0.25">
      <c r="A5079" t="str">
        <f>"20190303162403837"</f>
        <v>20190303162403837</v>
      </c>
      <c r="B5079" t="str">
        <f>"1551601443830097"</f>
        <v>1551601443830097</v>
      </c>
      <c r="C5079" t="s">
        <v>40</v>
      </c>
      <c r="D5079">
        <v>5.3680570000000003</v>
      </c>
      <c r="E5079">
        <v>0.54918429999999996</v>
      </c>
      <c r="F5079" t="s">
        <v>42</v>
      </c>
      <c r="G5079">
        <v>-405.68799999999999</v>
      </c>
      <c r="H5079">
        <v>0.89637239999999996</v>
      </c>
      <c r="I5079">
        <v>22.270199999999999</v>
      </c>
      <c r="J5079">
        <v>-406.11930000000001</v>
      </c>
      <c r="K5079">
        <v>1.1251450000000001</v>
      </c>
      <c r="L5079">
        <v>22.435669999999998</v>
      </c>
      <c r="M5079">
        <v>0.91988539999999996</v>
      </c>
      <c r="N5079">
        <v>-1.335334E-2</v>
      </c>
      <c r="O5079">
        <v>-0.39195999999999998</v>
      </c>
      <c r="P5079">
        <v>0.96530130000000003</v>
      </c>
      <c r="Q5079">
        <v>0.1315365</v>
      </c>
      <c r="R5079">
        <v>-0.22559119999999999</v>
      </c>
      <c r="S5079">
        <v>2.967285</v>
      </c>
      <c r="T5079">
        <v>-0.98201539999999998</v>
      </c>
      <c r="U5079">
        <v>-1.165802</v>
      </c>
      <c r="V5079">
        <v>-0.17240259999999999</v>
      </c>
      <c r="W5079">
        <v>0.1427165</v>
      </c>
      <c r="X5079">
        <v>0.97463290000000002</v>
      </c>
      <c r="Y5079">
        <v>-1.254277E-2</v>
      </c>
      <c r="Z5079">
        <v>0.1143092</v>
      </c>
      <c r="AA5079">
        <v>0.99336610000000003</v>
      </c>
      <c r="AB5079">
        <v>29</v>
      </c>
      <c r="AC5079">
        <v>0.43129999999996399</v>
      </c>
      <c r="AD5079">
        <v>-0.22877259999999999</v>
      </c>
      <c r="AE5079">
        <v>-0.165470000000002</v>
      </c>
      <c r="AF5079">
        <v>-1.3523691341463801E-2</v>
      </c>
      <c r="AG5079">
        <v>-0.22877259999999999</v>
      </c>
      <c r="AH5079">
        <v>0.37072425263854297</v>
      </c>
      <c r="AI5079">
        <v>121.661562413716</v>
      </c>
      <c r="AJ5079">
        <v>92.089172751782897</v>
      </c>
      <c r="AK5079">
        <v>0.43583972310089603</v>
      </c>
      <c r="AL5079">
        <v>81.794930739630999</v>
      </c>
      <c r="AM5079">
        <v>100.031270716866</v>
      </c>
      <c r="AN5079">
        <v>0.99999997281070896</v>
      </c>
    </row>
    <row r="5080" spans="1:40" x14ac:dyDescent="0.25">
      <c r="A5080" t="str">
        <f>"20190303162403859"</f>
        <v>20190303162403859</v>
      </c>
      <c r="B5080" t="str">
        <f>"1551601443849618"</f>
        <v>1551601443849618</v>
      </c>
      <c r="C5080" t="s">
        <v>40</v>
      </c>
      <c r="D5080">
        <v>5.3889449999999997</v>
      </c>
      <c r="E5080">
        <v>0.54924329999999999</v>
      </c>
      <c r="F5080" t="s">
        <v>42</v>
      </c>
      <c r="G5080">
        <v>-405.44420000000002</v>
      </c>
      <c r="H5080">
        <v>0.90040609999999999</v>
      </c>
      <c r="I5080">
        <v>22.172940000000001</v>
      </c>
      <c r="J5080">
        <v>-405.863</v>
      </c>
      <c r="K5080">
        <v>1.124822</v>
      </c>
      <c r="L5080">
        <v>22.331910000000001</v>
      </c>
      <c r="M5080">
        <v>0.92166289999999995</v>
      </c>
      <c r="N5080">
        <v>-1.3315209999999999E-2</v>
      </c>
      <c r="O5080">
        <v>-0.38776280000000002</v>
      </c>
      <c r="P5080">
        <v>0.96686989999999995</v>
      </c>
      <c r="Q5080">
        <v>0.12996549999999901</v>
      </c>
      <c r="R5080">
        <v>-0.21970700000000001</v>
      </c>
      <c r="S5080">
        <v>2.9726870000000001</v>
      </c>
      <c r="T5080">
        <v>-0.98993609999999999</v>
      </c>
      <c r="U5080">
        <v>-1.155548</v>
      </c>
      <c r="V5080">
        <v>-0.17385510000000001</v>
      </c>
      <c r="W5080">
        <v>0.14122499999999999</v>
      </c>
      <c r="X5080">
        <v>0.97459209999999996</v>
      </c>
      <c r="Y5080">
        <v>-1.152882E-2</v>
      </c>
      <c r="Z5080">
        <v>0.113842</v>
      </c>
      <c r="AA5080">
        <v>0.99343199999999998</v>
      </c>
      <c r="AB5080">
        <v>29</v>
      </c>
      <c r="AC5080">
        <v>0.41880000000003198</v>
      </c>
      <c r="AD5080">
        <v>-0.2244159</v>
      </c>
      <c r="AE5080">
        <v>-0.15897</v>
      </c>
      <c r="AF5080">
        <v>-1.26938424047184E-2</v>
      </c>
      <c r="AG5080">
        <v>-0.2244159</v>
      </c>
      <c r="AH5080">
        <v>0.35785982890131401</v>
      </c>
      <c r="AI5080">
        <v>122.075842905879</v>
      </c>
      <c r="AJ5080">
        <v>92.031518288362903</v>
      </c>
      <c r="AK5080">
        <v>0.422595890833173</v>
      </c>
      <c r="AL5080">
        <v>81.881261507488603</v>
      </c>
      <c r="AM5080">
        <v>100.1144616079</v>
      </c>
      <c r="AN5080">
        <v>0.99999992890170697</v>
      </c>
    </row>
    <row r="5081" spans="1:40" x14ac:dyDescent="0.25">
      <c r="A5081" t="str">
        <f>"20190303162403880"</f>
        <v>20190303162403880</v>
      </c>
      <c r="B5081" t="str">
        <f>"1551601443870113"</f>
        <v>1551601443870113</v>
      </c>
      <c r="C5081" t="s">
        <v>40</v>
      </c>
      <c r="D5081">
        <v>5.4191159999999998</v>
      </c>
      <c r="E5081">
        <v>0.54935069999999997</v>
      </c>
      <c r="F5081" t="s">
        <v>42</v>
      </c>
      <c r="G5081">
        <v>-405.20030000000003</v>
      </c>
      <c r="H5081">
        <v>0.9032599</v>
      </c>
      <c r="I5081">
        <v>22.076899999999998</v>
      </c>
      <c r="J5081">
        <v>-405.60079999999999</v>
      </c>
      <c r="K5081">
        <v>1.124474</v>
      </c>
      <c r="L5081">
        <v>22.226680000000002</v>
      </c>
      <c r="M5081">
        <v>0.92330380000000001</v>
      </c>
      <c r="N5081">
        <v>-1.327767E-2</v>
      </c>
      <c r="O5081">
        <v>-0.38384119999999999</v>
      </c>
      <c r="P5081">
        <v>0.96896689999999996</v>
      </c>
      <c r="Q5081">
        <v>0.12742500000000001</v>
      </c>
      <c r="R5081">
        <v>-0.21181639999999999</v>
      </c>
      <c r="S5081">
        <v>2.9765929999999998</v>
      </c>
      <c r="T5081">
        <v>-0.99535229999999997</v>
      </c>
      <c r="U5081">
        <v>-1.1443179999999999</v>
      </c>
      <c r="V5081">
        <v>-0.1776529</v>
      </c>
      <c r="W5081">
        <v>0.13875190000000001</v>
      </c>
      <c r="X5081">
        <v>0.97426250000000003</v>
      </c>
      <c r="Y5081">
        <v>-1.0974279999999999E-2</v>
      </c>
      <c r="Z5081">
        <v>0.11327669999999999</v>
      </c>
      <c r="AA5081">
        <v>0.99350289999999997</v>
      </c>
      <c r="AB5081">
        <v>29</v>
      </c>
      <c r="AC5081">
        <v>0.400499999999965</v>
      </c>
      <c r="AD5081">
        <v>-0.2212141</v>
      </c>
      <c r="AE5081">
        <v>-0.149779999999999</v>
      </c>
      <c r="AF5081">
        <v>-1.21778968807555E-2</v>
      </c>
      <c r="AG5081">
        <v>-0.2212141</v>
      </c>
      <c r="AH5081">
        <v>0.33709018548159497</v>
      </c>
      <c r="AI5081">
        <v>123.25759242401401</v>
      </c>
      <c r="AJ5081">
        <v>92.068997600835203</v>
      </c>
      <c r="AK5081">
        <v>0.40337795224734901</v>
      </c>
      <c r="AL5081">
        <v>82.0243697258948</v>
      </c>
      <c r="AM5081">
        <v>100.334119482535</v>
      </c>
      <c r="AN5081">
        <v>1.0000000307691299</v>
      </c>
    </row>
    <row r="5082" spans="1:40" x14ac:dyDescent="0.25">
      <c r="A5082" t="str">
        <f>"20190303162403904"</f>
        <v>20190303162403904</v>
      </c>
      <c r="B5082" t="str">
        <f>"1551601443890609"</f>
        <v>1551601443890609</v>
      </c>
      <c r="C5082" t="s">
        <v>40</v>
      </c>
      <c r="D5082">
        <v>5.4077809999999999</v>
      </c>
      <c r="E5082">
        <v>0.54947969999999902</v>
      </c>
      <c r="F5082" t="s">
        <v>42</v>
      </c>
      <c r="G5082">
        <v>-404.95479999999998</v>
      </c>
      <c r="H5082">
        <v>0.90725919999999904</v>
      </c>
      <c r="I5082">
        <v>21.983080000000001</v>
      </c>
      <c r="J5082">
        <v>-405.3177</v>
      </c>
      <c r="K5082">
        <v>1.1240920000000001</v>
      </c>
      <c r="L5082">
        <v>22.113980000000002</v>
      </c>
      <c r="M5082">
        <v>0.92488099999999995</v>
      </c>
      <c r="N5082">
        <v>-1.323938E-2</v>
      </c>
      <c r="O5082">
        <v>-0.38002619999999998</v>
      </c>
      <c r="P5082">
        <v>0.9706631</v>
      </c>
      <c r="Q5082">
        <v>0.12480479999999999</v>
      </c>
      <c r="R5082">
        <v>-0.2055167</v>
      </c>
      <c r="S5082">
        <v>2.981995</v>
      </c>
      <c r="T5082">
        <v>-1.0027649999999999</v>
      </c>
      <c r="U5082">
        <v>-1.1249389999999999</v>
      </c>
      <c r="V5082">
        <v>-0.17994679999999999</v>
      </c>
      <c r="W5082">
        <v>0.13623260000000001</v>
      </c>
      <c r="X5082">
        <v>0.97419699999999998</v>
      </c>
      <c r="Y5082">
        <v>-1.2894579999999999E-2</v>
      </c>
      <c r="Z5082">
        <v>0.113369</v>
      </c>
      <c r="AA5082">
        <v>0.9934693</v>
      </c>
      <c r="AB5082">
        <v>29</v>
      </c>
      <c r="AC5082">
        <v>0.36290000000002398</v>
      </c>
      <c r="AD5082">
        <v>-0.21683279999999999</v>
      </c>
      <c r="AE5082">
        <v>-0.13089999999999999</v>
      </c>
      <c r="AF5082">
        <v>-1.2801886540369499E-2</v>
      </c>
      <c r="AG5082">
        <v>-0.21683279999999999</v>
      </c>
      <c r="AH5082">
        <v>0.29289244880705201</v>
      </c>
      <c r="AI5082">
        <v>126.48697316793999</v>
      </c>
      <c r="AJ5082">
        <v>92.502719033479096</v>
      </c>
      <c r="AK5082">
        <v>0.36464549637013799</v>
      </c>
      <c r="AL5082">
        <v>82.170098661367604</v>
      </c>
      <c r="AM5082">
        <v>100.465314737597</v>
      </c>
      <c r="AN5082">
        <v>0.99999998347099905</v>
      </c>
    </row>
    <row r="5083" spans="1:40" x14ac:dyDescent="0.25">
      <c r="A5083" t="str">
        <f>"20190303162403926"</f>
        <v>20190303162403926</v>
      </c>
      <c r="B5083" t="str">
        <f>"1551601443919889"</f>
        <v>1551601443919889</v>
      </c>
      <c r="C5083" t="s">
        <v>40</v>
      </c>
      <c r="D5083">
        <v>5.4674199999999997</v>
      </c>
      <c r="E5083">
        <v>0.54955159999999903</v>
      </c>
      <c r="F5083" t="s">
        <v>42</v>
      </c>
      <c r="G5083">
        <v>-404.4914</v>
      </c>
      <c r="H5083">
        <v>0.84451580000000004</v>
      </c>
      <c r="I5083">
        <v>21.807169999999999</v>
      </c>
      <c r="J5083">
        <v>-405.04219999999998</v>
      </c>
      <c r="K5083">
        <v>1.1237569999999999</v>
      </c>
      <c r="L5083">
        <v>22.005220000000001</v>
      </c>
      <c r="M5083">
        <v>0.92623730000000004</v>
      </c>
      <c r="N5083">
        <v>-1.3205059999999999E-2</v>
      </c>
      <c r="O5083">
        <v>-0.37670969999999998</v>
      </c>
      <c r="P5083">
        <v>0.97201910000000002</v>
      </c>
      <c r="Q5083">
        <v>0.12364989999999999</v>
      </c>
      <c r="R5083">
        <v>-0.19972419999999999</v>
      </c>
      <c r="S5083">
        <v>2.985992</v>
      </c>
      <c r="T5083">
        <v>-1.010494</v>
      </c>
      <c r="U5083">
        <v>-1.108063</v>
      </c>
      <c r="V5083">
        <v>-0.1822057</v>
      </c>
      <c r="W5083">
        <v>0.1351677</v>
      </c>
      <c r="X5083">
        <v>0.97392540000000005</v>
      </c>
      <c r="Y5083">
        <v>-1.4464070000000001E-2</v>
      </c>
      <c r="Z5083">
        <v>0.11358699999999999</v>
      </c>
      <c r="AA5083">
        <v>0.99342269999999999</v>
      </c>
      <c r="AB5083">
        <v>29</v>
      </c>
      <c r="AC5083">
        <v>0.55079999999998097</v>
      </c>
      <c r="AD5083">
        <v>-0.27924119999999902</v>
      </c>
      <c r="AE5083">
        <v>-0.19804999999999801</v>
      </c>
      <c r="AF5083">
        <v>-1.9593161938235602E-2</v>
      </c>
      <c r="AG5083">
        <v>-0.27924119999999902</v>
      </c>
      <c r="AH5083">
        <v>0.47640223457125802</v>
      </c>
      <c r="AI5083">
        <v>120.355405868662</v>
      </c>
      <c r="AJ5083">
        <v>92.355096385981</v>
      </c>
      <c r="AK5083">
        <v>0.552556448588436</v>
      </c>
      <c r="AL5083">
        <v>82.231682368945897</v>
      </c>
      <c r="AM5083">
        <v>100.59661892212</v>
      </c>
      <c r="AN5083">
        <v>0.99999995450046897</v>
      </c>
    </row>
    <row r="5084" spans="1:40" x14ac:dyDescent="0.25">
      <c r="A5084" t="str">
        <f>"20190303162403949"</f>
        <v>20190303162403949</v>
      </c>
      <c r="B5084" t="str">
        <f>"1551601443940385"</f>
        <v>1551601443940385</v>
      </c>
      <c r="C5084" t="s">
        <v>40</v>
      </c>
      <c r="D5084">
        <v>5.4641229999999998</v>
      </c>
      <c r="E5084">
        <v>0.54952279999999998</v>
      </c>
      <c r="F5084" t="s">
        <v>42</v>
      </c>
      <c r="G5084">
        <v>-404.24400000000003</v>
      </c>
      <c r="H5084">
        <v>0.85310699999999995</v>
      </c>
      <c r="I5084">
        <v>21.713270000000001</v>
      </c>
      <c r="J5084">
        <v>-404.77</v>
      </c>
      <c r="K5084">
        <v>1.123497</v>
      </c>
      <c r="L5084">
        <v>21.898409999999998</v>
      </c>
      <c r="M5084">
        <v>0.92745149999999998</v>
      </c>
      <c r="N5084">
        <v>-1.3174379999999999E-2</v>
      </c>
      <c r="O5084">
        <v>-0.37371140000000003</v>
      </c>
      <c r="P5084">
        <v>0.97311999999999999</v>
      </c>
      <c r="Q5084">
        <v>0.1230363</v>
      </c>
      <c r="R5084">
        <v>-0.1946782</v>
      </c>
      <c r="S5084">
        <v>2.9909970000000001</v>
      </c>
      <c r="T5084">
        <v>-1.014364</v>
      </c>
      <c r="U5084">
        <v>-1.092163</v>
      </c>
      <c r="V5084">
        <v>-0.18404789999999999</v>
      </c>
      <c r="W5084">
        <v>0.13462669999999999</v>
      </c>
      <c r="X5084">
        <v>0.97365400000000002</v>
      </c>
      <c r="Y5084">
        <v>-1.632581E-2</v>
      </c>
      <c r="Z5084">
        <v>0.11345479999999999</v>
      </c>
      <c r="AA5084">
        <v>0.99340899999999999</v>
      </c>
      <c r="AB5084">
        <v>29</v>
      </c>
      <c r="AC5084">
        <v>0.52599999999995295</v>
      </c>
      <c r="AD5084">
        <v>-0.27039000000000002</v>
      </c>
      <c r="AE5084">
        <v>-0.18514</v>
      </c>
      <c r="AF5084">
        <v>-2.01324678646825E-2</v>
      </c>
      <c r="AG5084">
        <v>-0.27039000000000002</v>
      </c>
      <c r="AH5084">
        <v>0.45103102220845498</v>
      </c>
      <c r="AI5084">
        <v>120.91725697248</v>
      </c>
      <c r="AJ5084">
        <v>92.555789309258998</v>
      </c>
      <c r="AK5084">
        <v>0.52625569009439399</v>
      </c>
      <c r="AL5084">
        <v>82.262966029057495</v>
      </c>
      <c r="AM5084">
        <v>100.704208238394</v>
      </c>
      <c r="AN5084">
        <v>1.00000004478164</v>
      </c>
    </row>
    <row r="5085" spans="1:40" x14ac:dyDescent="0.25">
      <c r="A5085" t="str">
        <f>"20190303162403972"</f>
        <v>20190303162403972</v>
      </c>
      <c r="B5085" t="str">
        <f>"1551601443959906"</f>
        <v>1551601443959906</v>
      </c>
      <c r="C5085" t="s">
        <v>40</v>
      </c>
      <c r="D5085">
        <v>5.4630970000000003</v>
      </c>
      <c r="E5085">
        <v>0.54911409999999905</v>
      </c>
      <c r="F5085" t="s">
        <v>42</v>
      </c>
      <c r="G5085">
        <v>-403.99630000000002</v>
      </c>
      <c r="H5085">
        <v>0.86048639999999998</v>
      </c>
      <c r="I5085">
        <v>21.62133</v>
      </c>
      <c r="J5085">
        <v>-404.48950000000002</v>
      </c>
      <c r="K5085">
        <v>1.123292</v>
      </c>
      <c r="L5085">
        <v>21.789180000000002</v>
      </c>
      <c r="M5085">
        <v>0.92859210000000003</v>
      </c>
      <c r="N5085">
        <v>-1.3145779999999999E-2</v>
      </c>
      <c r="O5085">
        <v>-0.37086940000000002</v>
      </c>
      <c r="P5085">
        <v>0.97384289999999996</v>
      </c>
      <c r="Q5085">
        <v>0.12319189999999999</v>
      </c>
      <c r="R5085">
        <v>-0.19092899999999999</v>
      </c>
      <c r="S5085">
        <v>2.9969790000000001</v>
      </c>
      <c r="T5085">
        <v>-1.018837</v>
      </c>
      <c r="U5085">
        <v>-1.0732120000000001</v>
      </c>
      <c r="V5085">
        <v>-0.18473919999999999</v>
      </c>
      <c r="W5085">
        <v>0.13484460000000001</v>
      </c>
      <c r="X5085">
        <v>0.97349289999999999</v>
      </c>
      <c r="Y5085">
        <v>-1.9284969999999999E-2</v>
      </c>
      <c r="Z5085">
        <v>0.11359660000000001</v>
      </c>
      <c r="AA5085">
        <v>0.99333979999999999</v>
      </c>
      <c r="AB5085">
        <v>29</v>
      </c>
      <c r="AC5085">
        <v>0.49320000000000103</v>
      </c>
      <c r="AD5085">
        <v>-0.26280559999999997</v>
      </c>
      <c r="AE5085">
        <v>-0.167849999999997</v>
      </c>
      <c r="AF5085">
        <v>-2.15637298809425E-2</v>
      </c>
      <c r="AG5085">
        <v>-0.26280559999999997</v>
      </c>
      <c r="AH5085">
        <v>0.41474019939559797</v>
      </c>
      <c r="AI5085">
        <v>122.325973671417</v>
      </c>
      <c r="AJ5085">
        <v>92.976319138878395</v>
      </c>
      <c r="AK5085">
        <v>0.491468423026789</v>
      </c>
      <c r="AL5085">
        <v>82.250366292792506</v>
      </c>
      <c r="AM5085">
        <v>100.74521656329399</v>
      </c>
      <c r="AN5085">
        <v>1.0000000322581</v>
      </c>
    </row>
    <row r="5086" spans="1:40" x14ac:dyDescent="0.25">
      <c r="A5086" t="str">
        <f>"20190303162403993"</f>
        <v>20190303162403993</v>
      </c>
      <c r="B5086" t="str">
        <f>"1551601443980401"</f>
        <v>1551601443980401</v>
      </c>
      <c r="C5086" t="s">
        <v>40</v>
      </c>
      <c r="D5086">
        <v>5.4745249999999999</v>
      </c>
      <c r="E5086">
        <v>0.54874690000000004</v>
      </c>
      <c r="F5086" t="s">
        <v>42</v>
      </c>
      <c r="G5086">
        <v>-403.74810000000002</v>
      </c>
      <c r="H5086">
        <v>0.86999230000000005</v>
      </c>
      <c r="I5086">
        <v>21.528510000000001</v>
      </c>
      <c r="J5086">
        <v>-404.23809999999997</v>
      </c>
      <c r="K5086">
        <v>1.1231519999999999</v>
      </c>
      <c r="L5086">
        <v>21.691859999999998</v>
      </c>
      <c r="M5086">
        <v>0.92954420000000004</v>
      </c>
      <c r="N5086">
        <v>-1.312265E-2</v>
      </c>
      <c r="O5086">
        <v>-0.36847740000000001</v>
      </c>
      <c r="P5086">
        <v>0.97434909999999997</v>
      </c>
      <c r="Q5086">
        <v>0.1244797</v>
      </c>
      <c r="R5086">
        <v>-0.18748049999999999</v>
      </c>
      <c r="S5086">
        <v>3.0035400000000001</v>
      </c>
      <c r="T5086">
        <v>-1.0262230000000001</v>
      </c>
      <c r="U5086">
        <v>-1.0550539999999999</v>
      </c>
      <c r="V5086">
        <v>-0.18557889999999999</v>
      </c>
      <c r="W5086">
        <v>0.13616689999999901</v>
      </c>
      <c r="X5086">
        <v>0.97314909999999999</v>
      </c>
      <c r="Y5086">
        <v>-2.2443660000000001E-2</v>
      </c>
      <c r="Z5086">
        <v>0.1141838</v>
      </c>
      <c r="AA5086">
        <v>0.99320609999999998</v>
      </c>
      <c r="AB5086">
        <v>29</v>
      </c>
      <c r="AC5086">
        <v>0.48999999999995197</v>
      </c>
      <c r="AD5086">
        <v>-0.25315969999999999</v>
      </c>
      <c r="AE5086">
        <v>-0.16335000000000099</v>
      </c>
      <c r="AF5086">
        <v>-2.3153211055140299E-2</v>
      </c>
      <c r="AG5086">
        <v>-0.25315969999999999</v>
      </c>
      <c r="AH5086">
        <v>0.415818849093049</v>
      </c>
      <c r="AI5086">
        <v>121.294601682386</v>
      </c>
      <c r="AJ5086">
        <v>93.186995628183794</v>
      </c>
      <c r="AK5086">
        <v>0.48737174738316702</v>
      </c>
      <c r="AL5086">
        <v>82.173899019326001</v>
      </c>
      <c r="AM5086">
        <v>100.796635760049</v>
      </c>
      <c r="AN5086">
        <v>1.00000006180581</v>
      </c>
    </row>
    <row r="5087" spans="1:40" x14ac:dyDescent="0.25">
      <c r="A5087" t="str">
        <f>"20190303162404016"</f>
        <v>20190303162404016</v>
      </c>
      <c r="B5087" t="str">
        <f>"1551601444010658"</f>
        <v>1551601444010658</v>
      </c>
      <c r="C5087" t="s">
        <v>40</v>
      </c>
      <c r="D5087">
        <v>5.4618630000000001</v>
      </c>
      <c r="E5087">
        <v>0.54832479999999995</v>
      </c>
      <c r="F5087" t="s">
        <v>42</v>
      </c>
      <c r="G5087">
        <v>-403.5027</v>
      </c>
      <c r="H5087">
        <v>0.87175319999999901</v>
      </c>
      <c r="I5087">
        <v>21.438120000000001</v>
      </c>
      <c r="J5087">
        <v>-403.9545</v>
      </c>
      <c r="K5087">
        <v>1.12304</v>
      </c>
      <c r="L5087">
        <v>21.58286</v>
      </c>
      <c r="M5087">
        <v>0.93056729999999999</v>
      </c>
      <c r="N5087">
        <v>-1.3099360000000001E-2</v>
      </c>
      <c r="O5087">
        <v>-0.36588680000000001</v>
      </c>
      <c r="P5087">
        <v>0.97477939999999996</v>
      </c>
      <c r="Q5087">
        <v>0.126278</v>
      </c>
      <c r="R5087">
        <v>-0.1840099</v>
      </c>
      <c r="S5087">
        <v>3.0105590000000002</v>
      </c>
      <c r="T5087">
        <v>-1.0291589999999999</v>
      </c>
      <c r="U5087">
        <v>-1.0388790000000001</v>
      </c>
      <c r="V5087">
        <v>-0.1862191</v>
      </c>
      <c r="W5087">
        <v>0.13798869999999999</v>
      </c>
      <c r="X5087">
        <v>0.97277000000000002</v>
      </c>
      <c r="Y5087">
        <v>-2.5047529999999998E-2</v>
      </c>
      <c r="Z5087">
        <v>0.1140943</v>
      </c>
      <c r="AA5087">
        <v>0.99315410000000004</v>
      </c>
      <c r="AB5087">
        <v>29</v>
      </c>
      <c r="AC5087">
        <v>0.45179999999999099</v>
      </c>
      <c r="AD5087">
        <v>-0.25128679999999998</v>
      </c>
      <c r="AE5087">
        <v>-0.14473999999999801</v>
      </c>
      <c r="AF5087">
        <v>-2.3911505397311201E-2</v>
      </c>
      <c r="AG5087">
        <v>-0.25128679999999998</v>
      </c>
      <c r="AH5087">
        <v>0.36970670838264003</v>
      </c>
      <c r="AI5087">
        <v>124.148068485114</v>
      </c>
      <c r="AJ5087">
        <v>93.700562539152401</v>
      </c>
      <c r="AK5087">
        <v>0.44766043623234397</v>
      </c>
      <c r="AL5087">
        <v>82.068521975201506</v>
      </c>
      <c r="AM5087">
        <v>100.837123346872</v>
      </c>
      <c r="AN5087">
        <v>0.99999995371624895</v>
      </c>
    </row>
    <row r="5088" spans="1:40" x14ac:dyDescent="0.25">
      <c r="A5088" t="str">
        <f>"20190303162404037"</f>
        <v>20190303162404037</v>
      </c>
      <c r="B5088" t="str">
        <f>"1551601444030177"</f>
        <v>1551601444030177</v>
      </c>
      <c r="C5088" t="s">
        <v>40</v>
      </c>
      <c r="D5088">
        <v>5.4551639999999999</v>
      </c>
      <c r="E5088">
        <v>0.54810839999999905</v>
      </c>
      <c r="F5088" t="s">
        <v>42</v>
      </c>
      <c r="G5088">
        <v>-403.25360000000001</v>
      </c>
      <c r="H5088">
        <v>0.88346970000000002</v>
      </c>
      <c r="I5088">
        <v>21.345580000000002</v>
      </c>
      <c r="J5088">
        <v>-403.69209999999998</v>
      </c>
      <c r="K5088">
        <v>1.12297</v>
      </c>
      <c r="L5088">
        <v>21.48273</v>
      </c>
      <c r="M5088">
        <v>0.93149199999999999</v>
      </c>
      <c r="N5088">
        <v>-1.308055E-2</v>
      </c>
      <c r="O5088">
        <v>-0.36352669999999998</v>
      </c>
      <c r="P5088">
        <v>0.97534419999999999</v>
      </c>
      <c r="Q5088">
        <v>0.12673579999999901</v>
      </c>
      <c r="R5088">
        <v>-0.18067079999999999</v>
      </c>
      <c r="S5088">
        <v>3.0186459999999999</v>
      </c>
      <c r="T5088">
        <v>-1.0319860000000001</v>
      </c>
      <c r="U5088">
        <v>-1.0206299999999999</v>
      </c>
      <c r="V5088">
        <v>-0.18704219999999999</v>
      </c>
      <c r="W5088">
        <v>0.13845389999999999</v>
      </c>
      <c r="X5088">
        <v>0.97254600000000002</v>
      </c>
      <c r="Y5088">
        <v>-2.8571679999999999E-2</v>
      </c>
      <c r="Z5088">
        <v>0.1141842</v>
      </c>
      <c r="AA5088">
        <v>0.99304870000000001</v>
      </c>
      <c r="AB5088">
        <v>29</v>
      </c>
      <c r="AC5088">
        <v>0.43849999999997602</v>
      </c>
      <c r="AD5088">
        <v>-0.239500299999999</v>
      </c>
      <c r="AE5088">
        <v>-0.13715000000000099</v>
      </c>
      <c r="AF5088">
        <v>-2.48912942212123E-2</v>
      </c>
      <c r="AG5088">
        <v>-0.239500299999999</v>
      </c>
      <c r="AH5088">
        <v>0.36041901085566602</v>
      </c>
      <c r="AI5088">
        <v>123.541437740785</v>
      </c>
      <c r="AJ5088">
        <v>93.950693852971995</v>
      </c>
      <c r="AK5088">
        <v>0.433453381131436</v>
      </c>
      <c r="AL5088">
        <v>82.041609982802498</v>
      </c>
      <c r="AM5088">
        <v>100.886329414739</v>
      </c>
      <c r="AN5088">
        <v>0.99999999456102495</v>
      </c>
    </row>
    <row r="5089" spans="1:40" x14ac:dyDescent="0.25">
      <c r="A5089" t="str">
        <f>"20190303162404060"</f>
        <v>20190303162404060</v>
      </c>
      <c r="B5089" t="str">
        <f>"1551601444049698"</f>
        <v>1551601444049698</v>
      </c>
      <c r="C5089" t="s">
        <v>40</v>
      </c>
      <c r="D5089">
        <v>5.4315889999999998</v>
      </c>
      <c r="E5089">
        <v>0.54789449999999995</v>
      </c>
      <c r="F5089" t="s">
        <v>42</v>
      </c>
      <c r="G5089">
        <v>-403.00700000000001</v>
      </c>
      <c r="H5089">
        <v>0.88838569999999994</v>
      </c>
      <c r="I5089">
        <v>21.255369999999999</v>
      </c>
      <c r="J5089">
        <v>-403.423</v>
      </c>
      <c r="K5089">
        <v>1.1229359999999999</v>
      </c>
      <c r="L5089">
        <v>21.380890000000001</v>
      </c>
      <c r="M5089">
        <v>0.93243969999999998</v>
      </c>
      <c r="N5089">
        <v>-1.306437E-2</v>
      </c>
      <c r="O5089">
        <v>-0.36108990000000002</v>
      </c>
      <c r="P5089">
        <v>0.9762052</v>
      </c>
      <c r="Q5089">
        <v>0.12614829999999999</v>
      </c>
      <c r="R5089">
        <v>-0.17638090000000001</v>
      </c>
      <c r="S5089">
        <v>3.024597</v>
      </c>
      <c r="T5089">
        <v>-1.0357689999999999</v>
      </c>
      <c r="U5089">
        <v>-1.0031429999999999</v>
      </c>
      <c r="V5089">
        <v>-0.18878990000000001</v>
      </c>
      <c r="W5089">
        <v>0.1378537</v>
      </c>
      <c r="X5089">
        <v>0.97229359999999998</v>
      </c>
      <c r="Y5089">
        <v>-3.155094E-2</v>
      </c>
      <c r="Z5089">
        <v>0.1143286</v>
      </c>
      <c r="AA5089">
        <v>0.99294190000000004</v>
      </c>
      <c r="AB5089">
        <v>29</v>
      </c>
      <c r="AC5089">
        <v>0.41600000000005299</v>
      </c>
      <c r="AD5089">
        <v>-0.23455029999999999</v>
      </c>
      <c r="AE5089">
        <v>-0.12551999999999799</v>
      </c>
      <c r="AF5089">
        <v>-2.5690859573553201E-2</v>
      </c>
      <c r="AG5089">
        <v>-0.23455029999999999</v>
      </c>
      <c r="AH5089">
        <v>0.335501043293021</v>
      </c>
      <c r="AI5089">
        <v>124.878958761546</v>
      </c>
      <c r="AJ5089">
        <v>94.378856253404507</v>
      </c>
      <c r="AK5089">
        <v>0.41016437381423498</v>
      </c>
      <c r="AL5089">
        <v>82.076332362054004</v>
      </c>
      <c r="AM5089">
        <v>100.98836864795599</v>
      </c>
      <c r="AN5089">
        <v>1.00000005677332</v>
      </c>
    </row>
    <row r="5090" spans="1:40" x14ac:dyDescent="0.25">
      <c r="A5090" t="str">
        <f>"20190303162404083"</f>
        <v>20190303162404083</v>
      </c>
      <c r="B5090" t="str">
        <f>"1551601444070194"</f>
        <v>1551601444070194</v>
      </c>
      <c r="C5090" t="s">
        <v>40</v>
      </c>
      <c r="D5090">
        <v>5.5852380000000004</v>
      </c>
      <c r="E5090">
        <v>0.54780299999999904</v>
      </c>
      <c r="F5090" t="s">
        <v>42</v>
      </c>
      <c r="G5090">
        <v>-402.75990000000002</v>
      </c>
      <c r="H5090">
        <v>0.89497490000000002</v>
      </c>
      <c r="I5090">
        <v>21.164719999999999</v>
      </c>
      <c r="J5090">
        <v>-403.14389999999997</v>
      </c>
      <c r="K5090">
        <v>1.122933</v>
      </c>
      <c r="L5090">
        <v>21.276119999999999</v>
      </c>
      <c r="M5090">
        <v>0.93343679999999996</v>
      </c>
      <c r="N5090">
        <v>-1.305076E-2</v>
      </c>
      <c r="O5090">
        <v>-0.35850480000000001</v>
      </c>
      <c r="P5090">
        <v>0.9773714</v>
      </c>
      <c r="Q5090">
        <v>0.1256323</v>
      </c>
      <c r="R5090">
        <v>-0.1701812</v>
      </c>
      <c r="S5090">
        <v>3.0294490000000001</v>
      </c>
      <c r="T5090">
        <v>-1.041636</v>
      </c>
      <c r="U5090">
        <v>-0.98666379999999998</v>
      </c>
      <c r="V5090">
        <v>-0.1922934</v>
      </c>
      <c r="W5090">
        <v>0.13729729999999901</v>
      </c>
      <c r="X5090">
        <v>0.97168549999999998</v>
      </c>
      <c r="Y5090">
        <v>-3.3924559999999999E-2</v>
      </c>
      <c r="Z5090">
        <v>0.11457970000000001</v>
      </c>
      <c r="AA5090">
        <v>0.99283460000000001</v>
      </c>
      <c r="AB5090">
        <v>29</v>
      </c>
      <c r="AC5090">
        <v>0.38399999999995699</v>
      </c>
      <c r="AD5090">
        <v>-0.227958099999999</v>
      </c>
      <c r="AE5090">
        <v>-0.111399999999999</v>
      </c>
      <c r="AF5090">
        <v>-2.5420756801796798E-2</v>
      </c>
      <c r="AG5090">
        <v>-0.227958099999999</v>
      </c>
      <c r="AH5090">
        <v>0.30067557249696197</v>
      </c>
      <c r="AI5090">
        <v>127.069510073835</v>
      </c>
      <c r="AJ5090">
        <v>94.832605936832906</v>
      </c>
      <c r="AK5090">
        <v>0.37817576618334803</v>
      </c>
      <c r="AL5090">
        <v>82.108517367867506</v>
      </c>
      <c r="AM5090">
        <v>101.194013155626</v>
      </c>
      <c r="AN5090">
        <v>1.00000000559055</v>
      </c>
    </row>
    <row r="5091" spans="1:40" x14ac:dyDescent="0.25">
      <c r="A5091" t="str">
        <f>"20190303162404096"</f>
        <v>20190303162404096</v>
      </c>
      <c r="B5091" t="str">
        <f>"1551601444090690"</f>
        <v>1551601444090690</v>
      </c>
      <c r="C5091" t="s">
        <v>40</v>
      </c>
      <c r="D5091">
        <v>5.7192179999999997</v>
      </c>
      <c r="E5091">
        <v>0.53621859999999999</v>
      </c>
      <c r="F5091" t="s">
        <v>42</v>
      </c>
      <c r="G5091">
        <v>-402.29239999999999</v>
      </c>
      <c r="H5091">
        <v>0.83115280000000002</v>
      </c>
      <c r="I5091">
        <v>21.004670000000001</v>
      </c>
      <c r="J5091">
        <v>-402.96969999999999</v>
      </c>
      <c r="K5091">
        <v>1.1229469999999999</v>
      </c>
      <c r="L5091">
        <v>21.211269999999999</v>
      </c>
      <c r="M5091">
        <v>0.93407399999999996</v>
      </c>
      <c r="N5091">
        <v>-1.3043829999999999E-2</v>
      </c>
      <c r="O5091">
        <v>-0.35684149999999998</v>
      </c>
      <c r="P5091">
        <v>0.97798940000000001</v>
      </c>
      <c r="Q5091">
        <v>0.12594729999999901</v>
      </c>
      <c r="R5091">
        <v>-0.1663558</v>
      </c>
      <c r="S5091">
        <v>3.0348820000000001</v>
      </c>
      <c r="T5091">
        <v>-1.0400929999999999</v>
      </c>
      <c r="U5091">
        <v>-0.96655270000000004</v>
      </c>
      <c r="V5091">
        <v>-0.19436149999999999</v>
      </c>
      <c r="W5091">
        <v>0.1375797</v>
      </c>
      <c r="X5091">
        <v>0.97123400000000004</v>
      </c>
      <c r="Y5091">
        <v>-3.8524089999999997E-2</v>
      </c>
      <c r="Z5091">
        <v>0.11466460000000001</v>
      </c>
      <c r="AA5091">
        <v>0.99265700000000001</v>
      </c>
      <c r="AB5091">
        <v>29</v>
      </c>
      <c r="AC5091">
        <v>0.67730000000000201</v>
      </c>
      <c r="AD5091">
        <v>-0.291794199999999</v>
      </c>
      <c r="AE5091">
        <v>-0.20660000000000101</v>
      </c>
      <c r="AF5091">
        <v>-4.1642122044956098E-2</v>
      </c>
      <c r="AG5091">
        <v>-0.291794199999999</v>
      </c>
      <c r="AH5091">
        <v>0.603888063081787</v>
      </c>
      <c r="AI5091">
        <v>115.736289682495</v>
      </c>
      <c r="AJ5091">
        <v>93.944682867167103</v>
      </c>
      <c r="AK5091">
        <v>0.67198118590829503</v>
      </c>
      <c r="AL5091">
        <v>82.092182173918303</v>
      </c>
      <c r="AM5091">
        <v>101.316438547571</v>
      </c>
      <c r="AN5091">
        <v>1.0000000246451599</v>
      </c>
    </row>
    <row r="5092" spans="1:40" x14ac:dyDescent="0.25">
      <c r="A5092" t="str">
        <f>"20190303162404109"</f>
        <v>20190303162404109</v>
      </c>
      <c r="B5092" t="str">
        <f>"1551601444100452"</f>
        <v>1551601444100452</v>
      </c>
      <c r="C5092" t="s">
        <v>40</v>
      </c>
      <c r="D5092">
        <v>5.7394860000000003</v>
      </c>
      <c r="E5092">
        <v>0.48691990000000002</v>
      </c>
      <c r="F5092" t="s">
        <v>42</v>
      </c>
      <c r="G5092">
        <v>-402.21899999999999</v>
      </c>
      <c r="H5092">
        <v>0.98391220000000001</v>
      </c>
      <c r="I5092">
        <v>21.001169999999998</v>
      </c>
      <c r="J5092">
        <v>-402.82010000000002</v>
      </c>
      <c r="K5092">
        <v>1.1229629999999999</v>
      </c>
      <c r="L5092">
        <v>21.15588</v>
      </c>
      <c r="M5092">
        <v>0.93462559999999995</v>
      </c>
      <c r="N5092">
        <v>-1.303844E-2</v>
      </c>
      <c r="O5092">
        <v>-0.35539409999999999</v>
      </c>
      <c r="P5092">
        <v>0.97857490000000003</v>
      </c>
      <c r="Q5092">
        <v>0.1258572</v>
      </c>
      <c r="R5092">
        <v>-0.16294510000000001</v>
      </c>
      <c r="S5092">
        <v>2.996613</v>
      </c>
      <c r="T5092">
        <v>-0.55521830000000005</v>
      </c>
      <c r="U5092">
        <v>-0.83764649999999996</v>
      </c>
      <c r="V5092">
        <v>-0.19625580000000001</v>
      </c>
      <c r="W5092">
        <v>0.13746029999999901</v>
      </c>
      <c r="X5092">
        <v>0.97086989999999995</v>
      </c>
      <c r="Y5092">
        <v>-8.4735749999999999E-2</v>
      </c>
      <c r="Z5092">
        <v>6.5810030000000005E-2</v>
      </c>
      <c r="AA5092">
        <v>0.99422779999999999</v>
      </c>
      <c r="AB5092">
        <v>29</v>
      </c>
      <c r="AC5092">
        <v>0.60110000000003005</v>
      </c>
      <c r="AD5092">
        <v>-0.1390508</v>
      </c>
      <c r="AE5092">
        <v>-0.15470999999999699</v>
      </c>
      <c r="AF5092">
        <v>-6.5738093631870803E-2</v>
      </c>
      <c r="AG5092">
        <v>-0.1390508</v>
      </c>
      <c r="AH5092">
        <v>0.58736064109925201</v>
      </c>
      <c r="AI5092">
        <v>103.239179123846</v>
      </c>
      <c r="AJ5092">
        <v>96.386034938246098</v>
      </c>
      <c r="AK5092">
        <v>0.60716484141254201</v>
      </c>
      <c r="AL5092">
        <v>82.099088857308104</v>
      </c>
      <c r="AM5092">
        <v>101.42801666763501</v>
      </c>
      <c r="AN5092">
        <v>1.0000000179178601</v>
      </c>
    </row>
    <row r="5093" spans="1:40" x14ac:dyDescent="0.25">
      <c r="A5093" t="str">
        <f>"20190303162404128"</f>
        <v>20190303162404128</v>
      </c>
      <c r="B5093" t="str">
        <f>"1551601444119933"</f>
        <v>1551601444119933</v>
      </c>
      <c r="C5093" t="s">
        <v>40</v>
      </c>
      <c r="D5093">
        <v>5.7872510000000004</v>
      </c>
      <c r="E5093">
        <v>0.47942200000000001</v>
      </c>
      <c r="F5093" t="s">
        <v>57</v>
      </c>
      <c r="G5093">
        <v>-381.5616</v>
      </c>
      <c r="H5093" s="1">
        <v>-4.2382029999999901E-6</v>
      </c>
      <c r="I5093">
        <v>18.213239999999999</v>
      </c>
      <c r="J5093">
        <v>-402.59179999999998</v>
      </c>
      <c r="K5093">
        <v>1.122997</v>
      </c>
      <c r="L5093">
        <v>21.071809999999999</v>
      </c>
      <c r="M5093">
        <v>0.93547910000000001</v>
      </c>
      <c r="N5093">
        <v>-1.303111E-2</v>
      </c>
      <c r="O5093">
        <v>-0.3531417</v>
      </c>
      <c r="P5093">
        <v>0.979549</v>
      </c>
      <c r="Q5093">
        <v>0.12581629999999999</v>
      </c>
      <c r="R5093">
        <v>-0.157016299999999</v>
      </c>
      <c r="S5093">
        <v>3.0166629999999999</v>
      </c>
      <c r="T5093">
        <v>-0.1593533</v>
      </c>
      <c r="U5093">
        <v>-0.417572</v>
      </c>
      <c r="V5093">
        <v>-0.19981389999999999</v>
      </c>
      <c r="W5093">
        <v>0.13736770000000001</v>
      </c>
      <c r="X5093">
        <v>0.97015700000000005</v>
      </c>
      <c r="Y5093">
        <v>-0.22093209999999999</v>
      </c>
      <c r="Z5093">
        <v>2.07017E-2</v>
      </c>
      <c r="AA5093">
        <v>0.97506950000000003</v>
      </c>
      <c r="AB5093">
        <v>29</v>
      </c>
      <c r="AC5093">
        <v>21.030199999999901</v>
      </c>
      <c r="AD5093">
        <v>-1.1230012382029999</v>
      </c>
      <c r="AE5093">
        <v>-2.8585699999999998</v>
      </c>
      <c r="AF5093">
        <v>-4.7396416910134</v>
      </c>
      <c r="AG5093">
        <v>-1.1230012382029999</v>
      </c>
      <c r="AH5093">
        <v>20.626798607802801</v>
      </c>
      <c r="AI5093">
        <v>93.037324410612499</v>
      </c>
      <c r="AJ5093">
        <v>102.94083414231901</v>
      </c>
      <c r="AK5093">
        <v>21.194106632435702</v>
      </c>
      <c r="AL5093">
        <v>82.104445451309303</v>
      </c>
      <c r="AM5093">
        <v>101.637922512972</v>
      </c>
      <c r="AN5093">
        <v>1.00000004214274</v>
      </c>
    </row>
    <row r="5094" spans="1:40" x14ac:dyDescent="0.25">
      <c r="A5094" t="str">
        <f>"20190303162404140"</f>
        <v>20190303162404140</v>
      </c>
      <c r="B5094" t="str">
        <f>"1551601444129694"</f>
        <v>1551601444129694</v>
      </c>
      <c r="C5094" t="s">
        <v>40</v>
      </c>
      <c r="D5094">
        <v>5.6574289999999996</v>
      </c>
      <c r="E5094">
        <v>0.47908719999999999</v>
      </c>
      <c r="F5094" t="s">
        <v>57</v>
      </c>
      <c r="G5094">
        <v>-381.51249999999999</v>
      </c>
      <c r="H5094" s="1">
        <v>-4.1776719999999999E-6</v>
      </c>
      <c r="I5094">
        <v>18.685269999999999</v>
      </c>
      <c r="J5094">
        <v>-402.43680000000001</v>
      </c>
      <c r="K5094">
        <v>1.123027</v>
      </c>
      <c r="L5094">
        <v>21.015139999999999</v>
      </c>
      <c r="M5094">
        <v>0.93606560000000005</v>
      </c>
      <c r="N5094">
        <v>-1.302644E-2</v>
      </c>
      <c r="O5094">
        <v>-0.35158469999999997</v>
      </c>
      <c r="P5094">
        <v>0.97993540000000001</v>
      </c>
      <c r="Q5094">
        <v>0.12607789999999999</v>
      </c>
      <c r="R5094">
        <v>-0.15437300000000001</v>
      </c>
      <c r="S5094">
        <v>3.028381</v>
      </c>
      <c r="T5094">
        <v>-0.1613376</v>
      </c>
      <c r="U5094">
        <v>-0.34286499999999998</v>
      </c>
      <c r="V5094">
        <v>-0.2008161</v>
      </c>
      <c r="W5094">
        <v>0.137603799999999</v>
      </c>
      <c r="X5094">
        <v>0.96991649999999996</v>
      </c>
      <c r="Y5094">
        <v>-0.24338770000000001</v>
      </c>
      <c r="Z5094">
        <v>2.1647159999999999E-2</v>
      </c>
      <c r="AA5094">
        <v>0.96968750000000004</v>
      </c>
      <c r="AB5094">
        <v>29</v>
      </c>
      <c r="AC5094">
        <v>20.924299999999999</v>
      </c>
      <c r="AD5094">
        <v>-1.1230311776719999</v>
      </c>
      <c r="AE5094">
        <v>-2.3298699999999899</v>
      </c>
      <c r="AF5094">
        <v>-5.1615048907526901</v>
      </c>
      <c r="AG5094">
        <v>-1.1230311776719999</v>
      </c>
      <c r="AH5094">
        <v>20.349491854738499</v>
      </c>
      <c r="AI5094">
        <v>93.0620199917566</v>
      </c>
      <c r="AJ5094">
        <v>104.232521463605</v>
      </c>
      <c r="AK5094">
        <v>21.023894751195801</v>
      </c>
      <c r="AL5094">
        <v>82.090787606860204</v>
      </c>
      <c r="AM5094">
        <v>101.69751042765201</v>
      </c>
      <c r="AN5094">
        <v>0.99999996438294902</v>
      </c>
    </row>
    <row r="5095" spans="1:40" x14ac:dyDescent="0.25">
      <c r="A5095" t="str">
        <f>"20190303162404156"</f>
        <v>20190303162404156</v>
      </c>
      <c r="B5095" t="str">
        <f>"1551601444150190"</f>
        <v>1551601444150190</v>
      </c>
      <c r="C5095" t="s">
        <v>40</v>
      </c>
      <c r="D5095">
        <v>5.7030919999999998</v>
      </c>
      <c r="E5095">
        <v>0.47897060000000002</v>
      </c>
      <c r="F5095" t="s">
        <v>57</v>
      </c>
      <c r="G5095">
        <v>-382.03070000000002</v>
      </c>
      <c r="H5095" s="1">
        <v>-3.9175810000000001E-6</v>
      </c>
      <c r="I5095">
        <v>18.770669999999999</v>
      </c>
      <c r="J5095">
        <v>-402.2688</v>
      </c>
      <c r="K5095">
        <v>1.123051</v>
      </c>
      <c r="L5095">
        <v>20.9541</v>
      </c>
      <c r="M5095">
        <v>0.93671070000000001</v>
      </c>
      <c r="N5095">
        <v>-1.3021960000000001E-2</v>
      </c>
      <c r="O5095">
        <v>-0.34986240000000002</v>
      </c>
      <c r="P5095">
        <v>0.98032450000000004</v>
      </c>
      <c r="Q5095">
        <v>0.12628710000000001</v>
      </c>
      <c r="R5095">
        <v>-0.1517095</v>
      </c>
      <c r="S5095">
        <v>3.0303960000000001</v>
      </c>
      <c r="T5095">
        <v>-0.16677500000000001</v>
      </c>
      <c r="U5095">
        <v>-0.33331300000000003</v>
      </c>
      <c r="V5095">
        <v>-0.20166870000000001</v>
      </c>
      <c r="W5095">
        <v>0.13778940000000001</v>
      </c>
      <c r="X5095">
        <v>0.9697133</v>
      </c>
      <c r="Y5095">
        <v>-0.2446441</v>
      </c>
      <c r="Z5095">
        <v>2.2447749999999999E-2</v>
      </c>
      <c r="AA5095">
        <v>0.96935309999999997</v>
      </c>
      <c r="AB5095">
        <v>29</v>
      </c>
      <c r="AC5095">
        <v>20.2380999999999</v>
      </c>
      <c r="AD5095">
        <v>-1.1230549175810001</v>
      </c>
      <c r="AE5095">
        <v>-2.1834299999999902</v>
      </c>
      <c r="AF5095">
        <v>-5.0204524748757304</v>
      </c>
      <c r="AG5095">
        <v>-1.1230549175810001</v>
      </c>
      <c r="AH5095">
        <v>19.662962172671801</v>
      </c>
      <c r="AI5095">
        <v>93.167511329988699</v>
      </c>
      <c r="AJ5095">
        <v>104.323052916508</v>
      </c>
      <c r="AK5095">
        <v>20.324819231774502</v>
      </c>
      <c r="AL5095">
        <v>82.080051792981706</v>
      </c>
      <c r="AM5095">
        <v>101.74819013290001</v>
      </c>
      <c r="AN5095">
        <v>1.0000000337544599</v>
      </c>
    </row>
    <row r="5096" spans="1:40" x14ac:dyDescent="0.25">
      <c r="A5096" t="str">
        <f>"20190303162404172"</f>
        <v>20190303162404172</v>
      </c>
      <c r="B5096" t="str">
        <f>"1551601444159950"</f>
        <v>1551601444159950</v>
      </c>
      <c r="C5096" t="s">
        <v>40</v>
      </c>
      <c r="D5096">
        <v>5.6186720000000001</v>
      </c>
      <c r="E5096">
        <v>0.47924549999999999</v>
      </c>
      <c r="F5096" t="s">
        <v>57</v>
      </c>
      <c r="G5096">
        <v>-383.41579999999999</v>
      </c>
      <c r="H5096" s="1">
        <v>-3.234712E-6</v>
      </c>
      <c r="I5096">
        <v>18.92914</v>
      </c>
      <c r="J5096">
        <v>-402.0505</v>
      </c>
      <c r="K5096">
        <v>1.123075</v>
      </c>
      <c r="L5096">
        <v>20.87527</v>
      </c>
      <c r="M5096">
        <v>0.93755350000000004</v>
      </c>
      <c r="N5096">
        <v>-1.301649E-2</v>
      </c>
      <c r="O5096">
        <v>-0.34759790000000002</v>
      </c>
      <c r="P5096">
        <v>0.98094610000000004</v>
      </c>
      <c r="Q5096">
        <v>0.1257152</v>
      </c>
      <c r="R5096">
        <v>-0.148123799999999</v>
      </c>
      <c r="S5096">
        <v>3.0330509999999999</v>
      </c>
      <c r="T5096">
        <v>-0.18067649999999999</v>
      </c>
      <c r="U5096">
        <v>-0.32577509999999998</v>
      </c>
      <c r="V5096">
        <v>-0.20290540000000001</v>
      </c>
      <c r="W5096">
        <v>0.13719010000000001</v>
      </c>
      <c r="X5096">
        <v>0.96954019999999996</v>
      </c>
      <c r="Y5096">
        <v>-0.24464140000000001</v>
      </c>
      <c r="Z5096">
        <v>2.4456780000000001E-2</v>
      </c>
      <c r="AA5096">
        <v>0.96930510000000003</v>
      </c>
      <c r="AB5096">
        <v>29</v>
      </c>
      <c r="AC5096">
        <v>18.634699999999999</v>
      </c>
      <c r="AD5096">
        <v>-1.1230782347120001</v>
      </c>
      <c r="AE5096">
        <v>-1.9461299999999999</v>
      </c>
      <c r="AF5096">
        <v>-4.6365158526056902</v>
      </c>
      <c r="AG5096">
        <v>-1.1230782347120001</v>
      </c>
      <c r="AH5096">
        <v>18.0840567447792</v>
      </c>
      <c r="AI5096">
        <v>93.442621252013495</v>
      </c>
      <c r="AJ5096">
        <v>104.38014071251899</v>
      </c>
      <c r="AK5096">
        <v>18.702718848369202</v>
      </c>
      <c r="AL5096">
        <v>82.114717806771694</v>
      </c>
      <c r="AM5096">
        <v>101.82026438401699</v>
      </c>
      <c r="AN5096">
        <v>0.99999996215160403</v>
      </c>
    </row>
    <row r="5097" spans="1:40" x14ac:dyDescent="0.25">
      <c r="A5097" t="str">
        <f>"20190303162404195"</f>
        <v>20190303162404195</v>
      </c>
      <c r="B5097" t="str">
        <f>"1551601444180446"</f>
        <v>1551601444180446</v>
      </c>
      <c r="C5097" t="s">
        <v>40</v>
      </c>
      <c r="D5097">
        <v>5.6770310000000004</v>
      </c>
      <c r="E5097">
        <v>0.48019820000000002</v>
      </c>
      <c r="F5097" t="s">
        <v>57</v>
      </c>
      <c r="G5097">
        <v>-383.78059999999999</v>
      </c>
      <c r="H5097" s="1">
        <v>-3.0576190000000001E-6</v>
      </c>
      <c r="I5097">
        <v>18.955480000000001</v>
      </c>
      <c r="J5097">
        <v>-401.78050000000002</v>
      </c>
      <c r="K5097">
        <v>1.1230929999999999</v>
      </c>
      <c r="L5097">
        <v>20.778690000000001</v>
      </c>
      <c r="M5097">
        <v>0.93860069999999995</v>
      </c>
      <c r="N5097">
        <v>-1.301043E-2</v>
      </c>
      <c r="O5097">
        <v>-0.34476010000000001</v>
      </c>
      <c r="P5097">
        <v>0.98175590000000001</v>
      </c>
      <c r="Q5097">
        <v>0.1252181</v>
      </c>
      <c r="R5097">
        <v>-0.14309439999999901</v>
      </c>
      <c r="S5097">
        <v>3.0340579999999999</v>
      </c>
      <c r="T5097">
        <v>-0.18650820000000001</v>
      </c>
      <c r="U5097">
        <v>-0.31881710000000002</v>
      </c>
      <c r="V5097">
        <v>-0.2049714</v>
      </c>
      <c r="W5097">
        <v>0.13665820000000001</v>
      </c>
      <c r="X5097">
        <v>0.96918070000000001</v>
      </c>
      <c r="Y5097">
        <v>-0.24388499999999999</v>
      </c>
      <c r="Z5097">
        <v>2.5186400000000001E-2</v>
      </c>
      <c r="AA5097">
        <v>0.96947709999999998</v>
      </c>
      <c r="AB5097">
        <v>29</v>
      </c>
      <c r="AC5097">
        <v>17.9999</v>
      </c>
      <c r="AD5097">
        <v>-1.1230960576189899</v>
      </c>
      <c r="AE5097">
        <v>-1.82321</v>
      </c>
      <c r="AF5097">
        <v>-4.47750713127121</v>
      </c>
      <c r="AG5097">
        <v>-1.1230960576189899</v>
      </c>
      <c r="AH5097">
        <v>17.457498173638299</v>
      </c>
      <c r="AI5097">
        <v>93.565841797950299</v>
      </c>
      <c r="AJ5097">
        <v>104.385168660801</v>
      </c>
      <c r="AK5097">
        <v>18.057509721658899</v>
      </c>
      <c r="AL5097">
        <v>82.145483367703093</v>
      </c>
      <c r="AM5097">
        <v>101.941484012416</v>
      </c>
      <c r="AN5097">
        <v>0.99999998384884403</v>
      </c>
    </row>
    <row r="5098" spans="1:40" x14ac:dyDescent="0.25">
      <c r="A5098" t="str">
        <f>"20190303162404206"</f>
        <v>20190303162404206</v>
      </c>
      <c r="B5098" t="str">
        <f>"1551601444199966"</f>
        <v>1551601444199966</v>
      </c>
      <c r="C5098" t="s">
        <v>40</v>
      </c>
      <c r="D5098">
        <v>5.7326350000000001</v>
      </c>
      <c r="E5098">
        <v>0.4812594</v>
      </c>
      <c r="F5098" t="s">
        <v>57</v>
      </c>
      <c r="G5098">
        <v>-384.04930000000002</v>
      </c>
      <c r="H5098" s="1">
        <v>-2.9309460000000002E-6</v>
      </c>
      <c r="I5098">
        <v>18.95355</v>
      </c>
      <c r="J5098">
        <v>-401.63209999999998</v>
      </c>
      <c r="K5098">
        <v>1.123102</v>
      </c>
      <c r="L5098">
        <v>20.725950000000001</v>
      </c>
      <c r="M5098">
        <v>0.93917640000000002</v>
      </c>
      <c r="N5098">
        <v>-1.3007309999999999E-2</v>
      </c>
      <c r="O5098">
        <v>-0.34318890000000002</v>
      </c>
      <c r="P5098">
        <v>0.98216999999999999</v>
      </c>
      <c r="Q5098">
        <v>0.12486460000000001</v>
      </c>
      <c r="R5098">
        <v>-0.14053840000000001</v>
      </c>
      <c r="S5098">
        <v>3.0347599999999999</v>
      </c>
      <c r="T5098">
        <v>-0.19222159999999999</v>
      </c>
      <c r="U5098">
        <v>-0.31237789999999999</v>
      </c>
      <c r="V5098">
        <v>-0.20588989999999999</v>
      </c>
      <c r="W5098">
        <v>0.1362902</v>
      </c>
      <c r="X5098">
        <v>0.96903779999999995</v>
      </c>
      <c r="Y5098">
        <v>-0.24426049999999999</v>
      </c>
      <c r="Z5098">
        <v>2.5988890000000001E-2</v>
      </c>
      <c r="AA5098">
        <v>0.96936129999999998</v>
      </c>
      <c r="AB5098">
        <v>29</v>
      </c>
      <c r="AC5098">
        <v>17.582799999999899</v>
      </c>
      <c r="AD5098">
        <v>-1.1231049309459999</v>
      </c>
      <c r="AE5098">
        <v>-1.7724</v>
      </c>
      <c r="AF5098">
        <v>-4.3524155617726397</v>
      </c>
      <c r="AG5098">
        <v>-1.1231049309459999</v>
      </c>
      <c r="AH5098">
        <v>17.054184503144</v>
      </c>
      <c r="AI5098">
        <v>93.651083442737402</v>
      </c>
      <c r="AJ5098">
        <v>104.316902818809</v>
      </c>
      <c r="AK5098">
        <v>17.636612344085599</v>
      </c>
      <c r="AL5098">
        <v>82.166767197052707</v>
      </c>
      <c r="AM5098">
        <v>101.995166358349</v>
      </c>
      <c r="AN5098">
        <v>0.99999996368344402</v>
      </c>
    </row>
    <row r="5099" spans="1:40" x14ac:dyDescent="0.25">
      <c r="A5099" t="str">
        <f>"20190303162404219"</f>
        <v>20190303162404219</v>
      </c>
      <c r="B5099" t="str">
        <f>"1551601444209726"</f>
        <v>1551601444209726</v>
      </c>
      <c r="C5099" t="s">
        <v>40</v>
      </c>
      <c r="D5099">
        <v>5.5455230000000002</v>
      </c>
      <c r="E5099">
        <v>0.48171979999999998</v>
      </c>
      <c r="F5099" t="s">
        <v>57</v>
      </c>
      <c r="G5099">
        <v>-384.26429999999999</v>
      </c>
      <c r="H5099" s="1">
        <v>-2.8326709999999998E-6</v>
      </c>
      <c r="I5099">
        <v>18.934640000000002</v>
      </c>
      <c r="J5099">
        <v>-401.47340000000003</v>
      </c>
      <c r="K5099">
        <v>1.123111</v>
      </c>
      <c r="L5099">
        <v>20.669920000000001</v>
      </c>
      <c r="M5099">
        <v>0.9397913</v>
      </c>
      <c r="N5099">
        <v>-1.300401E-2</v>
      </c>
      <c r="O5099">
        <v>-0.34150199999999997</v>
      </c>
      <c r="P5099">
        <v>0.98261960000000004</v>
      </c>
      <c r="Q5099">
        <v>0.1244627</v>
      </c>
      <c r="R5099">
        <v>-0.13772470000000001</v>
      </c>
      <c r="S5099">
        <v>3.0346069999999998</v>
      </c>
      <c r="T5099">
        <v>-0.1962353</v>
      </c>
      <c r="U5099">
        <v>-0.3129883</v>
      </c>
      <c r="V5099">
        <v>-0.20694470000000001</v>
      </c>
      <c r="W5099">
        <v>0.1358731</v>
      </c>
      <c r="X5099">
        <v>0.9688717</v>
      </c>
      <c r="Y5099">
        <v>-0.242284</v>
      </c>
      <c r="Z5099">
        <v>2.6437869999999999E-2</v>
      </c>
      <c r="AA5099">
        <v>0.96984510000000002</v>
      </c>
      <c r="AB5099">
        <v>29</v>
      </c>
      <c r="AC5099">
        <v>17.209099999999999</v>
      </c>
      <c r="AD5099">
        <v>-1.123113832671</v>
      </c>
      <c r="AE5099">
        <v>-1.7352799999999999</v>
      </c>
      <c r="AF5099">
        <v>-4.2286696244540698</v>
      </c>
      <c r="AG5099">
        <v>-1.123113832671</v>
      </c>
      <c r="AH5099">
        <v>16.696579573794899</v>
      </c>
      <c r="AI5099">
        <v>93.730820857905499</v>
      </c>
      <c r="AJ5099">
        <v>104.21220785151399</v>
      </c>
      <c r="AK5099">
        <v>17.260324473716601</v>
      </c>
      <c r="AL5099">
        <v>82.190889867723996</v>
      </c>
      <c r="AM5099">
        <v>102.056832103684</v>
      </c>
      <c r="AN5099">
        <v>0.99999998961129499</v>
      </c>
    </row>
    <row r="5100" spans="1:40" x14ac:dyDescent="0.25">
      <c r="A5100" t="str">
        <f>"20190303162404239"</f>
        <v>20190303162404239</v>
      </c>
      <c r="B5100" t="str">
        <f>"1551601444230222"</f>
        <v>1551601444230222</v>
      </c>
      <c r="C5100" t="s">
        <v>40</v>
      </c>
      <c r="D5100">
        <v>5.609076</v>
      </c>
      <c r="E5100">
        <v>0.48255009999999998</v>
      </c>
      <c r="F5100" t="s">
        <v>57</v>
      </c>
      <c r="G5100">
        <v>-384.34460000000001</v>
      </c>
      <c r="H5100" s="1">
        <v>-2.794995E-6</v>
      </c>
      <c r="I5100">
        <v>18.932860000000002</v>
      </c>
      <c r="J5100">
        <v>-401.23009999999999</v>
      </c>
      <c r="K5100">
        <v>1.123124</v>
      </c>
      <c r="L5100">
        <v>20.58456</v>
      </c>
      <c r="M5100">
        <v>0.94072960000000005</v>
      </c>
      <c r="N5100">
        <v>-1.299938E-2</v>
      </c>
      <c r="O5100">
        <v>-0.3389084</v>
      </c>
      <c r="P5100">
        <v>0.98290770000000005</v>
      </c>
      <c r="Q5100">
        <v>0.12504480000000001</v>
      </c>
      <c r="R5100">
        <v>-0.13511600000000001</v>
      </c>
      <c r="S5100">
        <v>3.0351560000000002</v>
      </c>
      <c r="T5100">
        <v>-0.1990114</v>
      </c>
      <c r="U5100">
        <v>-0.30780030000000003</v>
      </c>
      <c r="V5100">
        <v>-0.20682429999999999</v>
      </c>
      <c r="W5100">
        <v>0.1364475</v>
      </c>
      <c r="X5100">
        <v>0.96881669999999998</v>
      </c>
      <c r="Y5100">
        <v>-0.2412416</v>
      </c>
      <c r="Z5100">
        <v>2.6687140000000002E-2</v>
      </c>
      <c r="AA5100">
        <v>0.97009809999999996</v>
      </c>
      <c r="AB5100">
        <v>29</v>
      </c>
      <c r="AC5100">
        <v>16.885499999999901</v>
      </c>
      <c r="AD5100">
        <v>-1.1231267949949999</v>
      </c>
      <c r="AE5100">
        <v>-1.65169999999999</v>
      </c>
      <c r="AF5100">
        <v>-4.1509962716315796</v>
      </c>
      <c r="AG5100">
        <v>-1.1231267949949999</v>
      </c>
      <c r="AH5100">
        <v>16.374098830230999</v>
      </c>
      <c r="AI5100">
        <v>93.803907250557501</v>
      </c>
      <c r="AJ5100">
        <v>104.22535987443599</v>
      </c>
      <c r="AK5100">
        <v>16.929361959238399</v>
      </c>
      <c r="AL5100">
        <v>82.157669906067099</v>
      </c>
      <c r="AM5100">
        <v>102.050686630494</v>
      </c>
      <c r="AN5100">
        <v>1.0000000047628099</v>
      </c>
    </row>
    <row r="5101" spans="1:40" x14ac:dyDescent="0.25">
      <c r="A5101" t="str">
        <f>"20190303162404251"</f>
        <v>20190303162404251</v>
      </c>
      <c r="B5101" t="str">
        <f>"1551601444239982"</f>
        <v>1551601444239982</v>
      </c>
      <c r="C5101" t="s">
        <v>40</v>
      </c>
      <c r="D5101">
        <v>5.6681999999999997</v>
      </c>
      <c r="E5101">
        <v>0.48302410000000001</v>
      </c>
      <c r="F5101" t="s">
        <v>57</v>
      </c>
      <c r="G5101">
        <v>-384.15949999999998</v>
      </c>
      <c r="H5101" s="1">
        <v>-2.8939680000000001E-6</v>
      </c>
      <c r="I5101">
        <v>18.86842</v>
      </c>
      <c r="J5101">
        <v>-401.08100000000002</v>
      </c>
      <c r="K5101">
        <v>1.1231279999999999</v>
      </c>
      <c r="L5101">
        <v>20.532710000000002</v>
      </c>
      <c r="M5101">
        <v>0.94130130000000001</v>
      </c>
      <c r="N5101">
        <v>-1.299677E-2</v>
      </c>
      <c r="O5101">
        <v>-0.33731729999999999</v>
      </c>
      <c r="P5101">
        <v>0.98303280000000004</v>
      </c>
      <c r="Q5101">
        <v>0.12559500000000001</v>
      </c>
      <c r="R5101">
        <v>-0.1336879</v>
      </c>
      <c r="S5101">
        <v>3.0356139999999998</v>
      </c>
      <c r="T5101">
        <v>-0.1997217</v>
      </c>
      <c r="U5101">
        <v>-0.3051758</v>
      </c>
      <c r="V5101">
        <v>-0.2065738</v>
      </c>
      <c r="W5101">
        <v>0.13699500000000001</v>
      </c>
      <c r="X5101">
        <v>0.96879289999999996</v>
      </c>
      <c r="Y5101">
        <v>-0.24044199999999999</v>
      </c>
      <c r="Z5101">
        <v>2.6682529999999999E-2</v>
      </c>
      <c r="AA5101">
        <v>0.97029670000000001</v>
      </c>
      <c r="AB5101">
        <v>29</v>
      </c>
      <c r="AC5101">
        <v>16.921499999999899</v>
      </c>
      <c r="AD5101">
        <v>-1.123130893968</v>
      </c>
      <c r="AE5101">
        <v>-1.66429</v>
      </c>
      <c r="AF5101">
        <v>-4.1236738446749799</v>
      </c>
      <c r="AG5101">
        <v>-1.123130893968</v>
      </c>
      <c r="AH5101">
        <v>16.419375972911801</v>
      </c>
      <c r="AI5101">
        <v>93.795583219769398</v>
      </c>
      <c r="AJ5101">
        <v>104.09806882004899</v>
      </c>
      <c r="AK5101">
        <v>16.966496878320999</v>
      </c>
      <c r="AL5101">
        <v>82.126003253557698</v>
      </c>
      <c r="AM5101">
        <v>102.036804130503</v>
      </c>
      <c r="AN5101">
        <v>1.0000000239809199</v>
      </c>
    </row>
    <row r="5102" spans="1:40" x14ac:dyDescent="0.25">
      <c r="A5102" t="str">
        <f>"20190303162404272"</f>
        <v>20190303162404272</v>
      </c>
      <c r="B5102" t="str">
        <f>"1551601444260478"</f>
        <v>1551601444260478</v>
      </c>
      <c r="C5102" t="s">
        <v>40</v>
      </c>
      <c r="D5102">
        <v>5.6054199999999996</v>
      </c>
      <c r="E5102">
        <v>0.48389490000000002</v>
      </c>
      <c r="F5102" t="s">
        <v>57</v>
      </c>
      <c r="G5102">
        <v>-383.95069999999998</v>
      </c>
      <c r="H5102" s="1">
        <v>-3.001946E-6</v>
      </c>
      <c r="I5102">
        <v>18.815860000000001</v>
      </c>
      <c r="J5102">
        <v>-400.82830000000001</v>
      </c>
      <c r="K5102">
        <v>1.1231409999999999</v>
      </c>
      <c r="L5102">
        <v>20.44537</v>
      </c>
      <c r="M5102">
        <v>0.94226330000000003</v>
      </c>
      <c r="N5102">
        <v>-1.299265E-2</v>
      </c>
      <c r="O5102">
        <v>-0.3346208</v>
      </c>
      <c r="P5102">
        <v>0.98324230000000001</v>
      </c>
      <c r="Q5102">
        <v>0.126135199999999</v>
      </c>
      <c r="R5102">
        <v>-0.13162380000000001</v>
      </c>
      <c r="S5102">
        <v>3.0357970000000001</v>
      </c>
      <c r="T5102">
        <v>-0.1990402</v>
      </c>
      <c r="U5102">
        <v>-0.30426029999999998</v>
      </c>
      <c r="V5102">
        <v>-0.20581350000000001</v>
      </c>
      <c r="W5102">
        <v>0.13753479999999901</v>
      </c>
      <c r="X5102">
        <v>0.96887820000000002</v>
      </c>
      <c r="Y5102">
        <v>-0.23797509999999999</v>
      </c>
      <c r="Z5102">
        <v>2.6355360000000001E-2</v>
      </c>
      <c r="AA5102">
        <v>0.97091360000000004</v>
      </c>
      <c r="AB5102">
        <v>29</v>
      </c>
      <c r="AC5102">
        <v>16.877600000000001</v>
      </c>
      <c r="AD5102">
        <v>-1.1231440019459999</v>
      </c>
      <c r="AE5102">
        <v>-1.62950999999999</v>
      </c>
      <c r="AF5102">
        <v>-4.0945506856460803</v>
      </c>
      <c r="AG5102">
        <v>-1.1231440019459999</v>
      </c>
      <c r="AH5102">
        <v>16.377940705566001</v>
      </c>
      <c r="AI5102">
        <v>93.806224339145601</v>
      </c>
      <c r="AJ5102">
        <v>104.03645916122299</v>
      </c>
      <c r="AK5102">
        <v>16.9193303508581</v>
      </c>
      <c r="AL5102">
        <v>82.0947791864686</v>
      </c>
      <c r="AM5102">
        <v>101.992762167872</v>
      </c>
      <c r="AN5102">
        <v>0.99999999221426505</v>
      </c>
    </row>
    <row r="5103" spans="1:40" x14ac:dyDescent="0.25">
      <c r="A5103" t="str">
        <f>"20190303162404298"</f>
        <v>20190303162404298</v>
      </c>
      <c r="B5103" t="str">
        <f>"1551601444289758"</f>
        <v>1551601444289758</v>
      </c>
      <c r="C5103" t="s">
        <v>40</v>
      </c>
      <c r="D5103">
        <v>5.7270430000000001</v>
      </c>
      <c r="E5103">
        <v>0.48492109999999999</v>
      </c>
      <c r="F5103" t="s">
        <v>57</v>
      </c>
      <c r="G5103">
        <v>-383.70209999999997</v>
      </c>
      <c r="H5103" s="1">
        <v>-3.1353049999999998E-6</v>
      </c>
      <c r="I5103">
        <v>18.72673</v>
      </c>
      <c r="J5103">
        <v>-400.52069999999998</v>
      </c>
      <c r="K5103">
        <v>1.123143</v>
      </c>
      <c r="L5103">
        <v>20.34018</v>
      </c>
      <c r="M5103">
        <v>0.94342239999999999</v>
      </c>
      <c r="N5103">
        <v>-1.298826E-2</v>
      </c>
      <c r="O5103">
        <v>-0.33133889999999999</v>
      </c>
      <c r="P5103">
        <v>0.98362620000000001</v>
      </c>
      <c r="Q5103">
        <v>0.12603549999999999</v>
      </c>
      <c r="R5103">
        <v>-0.12881969999999901</v>
      </c>
      <c r="S5103">
        <v>3.0358890000000001</v>
      </c>
      <c r="T5103">
        <v>-0.19909499999999999</v>
      </c>
      <c r="U5103">
        <v>-0.30465700000000001</v>
      </c>
      <c r="V5103">
        <v>-0.2052079</v>
      </c>
      <c r="W5103">
        <v>0.13743379999999999</v>
      </c>
      <c r="X5103">
        <v>0.96902100000000002</v>
      </c>
      <c r="Y5103">
        <v>-0.23448279999999999</v>
      </c>
      <c r="Z5103">
        <v>2.6068259999999999E-2</v>
      </c>
      <c r="AA5103">
        <v>0.97177069999999999</v>
      </c>
      <c r="AB5103">
        <v>29</v>
      </c>
      <c r="AC5103">
        <v>16.8186</v>
      </c>
      <c r="AD5103">
        <v>-1.1231461353049901</v>
      </c>
      <c r="AE5103">
        <v>-1.6134500000000001</v>
      </c>
      <c r="AF5103">
        <v>-4.0330117907269702</v>
      </c>
      <c r="AG5103">
        <v>-1.1231461353049901</v>
      </c>
      <c r="AH5103">
        <v>16.3308619813522</v>
      </c>
      <c r="AI5103">
        <v>93.819887169454404</v>
      </c>
      <c r="AJ5103">
        <v>103.872001826312</v>
      </c>
      <c r="AK5103">
        <v>16.858935150221299</v>
      </c>
      <c r="AL5103">
        <v>82.100621720872297</v>
      </c>
      <c r="AM5103">
        <v>101.95677964412801</v>
      </c>
      <c r="AN5103">
        <v>1.00000001502292</v>
      </c>
    </row>
    <row r="5104" spans="1:40" x14ac:dyDescent="0.25">
      <c r="A5104" t="str">
        <f>"20190303162404318"</f>
        <v>20190303162404318</v>
      </c>
      <c r="B5104" t="str">
        <f>"1551601444309719"</f>
        <v>1551601444309719</v>
      </c>
      <c r="C5104" t="s">
        <v>40</v>
      </c>
      <c r="D5104">
        <v>5.6716360000000003</v>
      </c>
      <c r="E5104">
        <v>0.48545709999999997</v>
      </c>
      <c r="F5104" t="s">
        <v>57</v>
      </c>
      <c r="G5104">
        <v>-383.62610000000001</v>
      </c>
      <c r="H5104" s="1">
        <v>-3.1851720000000001E-6</v>
      </c>
      <c r="I5104">
        <v>18.648219999999998</v>
      </c>
      <c r="J5104">
        <v>-400.26409999999998</v>
      </c>
      <c r="K5104">
        <v>1.123148</v>
      </c>
      <c r="L5104">
        <v>20.253329999999998</v>
      </c>
      <c r="M5104">
        <v>0.94438049999999996</v>
      </c>
      <c r="N5104">
        <v>-1.298469E-2</v>
      </c>
      <c r="O5104">
        <v>-0.32859870000000002</v>
      </c>
      <c r="P5104">
        <v>0.98396119999999998</v>
      </c>
      <c r="Q5104">
        <v>0.125528</v>
      </c>
      <c r="R5104">
        <v>-0.1267404</v>
      </c>
      <c r="S5104">
        <v>3.0359799999999999</v>
      </c>
      <c r="T5104">
        <v>-0.20182990000000001</v>
      </c>
      <c r="U5104">
        <v>-0.3040466</v>
      </c>
      <c r="V5104">
        <v>-0.2044618</v>
      </c>
      <c r="W5104">
        <v>0.13692750000000001</v>
      </c>
      <c r="X5104">
        <v>0.96925030000000001</v>
      </c>
      <c r="Y5104">
        <v>-0.23183690000000001</v>
      </c>
      <c r="Z5104">
        <v>2.6225620000000002E-2</v>
      </c>
      <c r="AA5104">
        <v>0.97240110000000002</v>
      </c>
      <c r="AB5104">
        <v>29</v>
      </c>
      <c r="AC5104">
        <v>16.637999999999899</v>
      </c>
      <c r="AD5104">
        <v>-1.123151185172</v>
      </c>
      <c r="AE5104">
        <v>-1.60510999999999</v>
      </c>
      <c r="AF5104">
        <v>-3.9339617090890799</v>
      </c>
      <c r="AG5104">
        <v>-1.123151185172</v>
      </c>
      <c r="AH5104">
        <v>16.168407907306101</v>
      </c>
      <c r="AI5104">
        <v>93.861413193939299</v>
      </c>
      <c r="AJ5104">
        <v>103.675006553003</v>
      </c>
      <c r="AK5104">
        <v>16.677977622312898</v>
      </c>
      <c r="AL5104">
        <v>82.129906972172705</v>
      </c>
      <c r="AM5104">
        <v>101.91181335130899</v>
      </c>
      <c r="AN5104">
        <v>0.99999995598278801</v>
      </c>
    </row>
    <row r="5105" spans="1:40" x14ac:dyDescent="0.25">
      <c r="A5105" t="str">
        <f>"20190303162404341"</f>
        <v>20190303162404341</v>
      </c>
      <c r="B5105" t="str">
        <f>"1551601444330215"</f>
        <v>1551601444330215</v>
      </c>
      <c r="C5105" t="s">
        <v>40</v>
      </c>
      <c r="D5105">
        <v>5.6650349999999996</v>
      </c>
      <c r="E5105">
        <v>0.48592049999999998</v>
      </c>
      <c r="F5105" t="s">
        <v>57</v>
      </c>
      <c r="G5105">
        <v>-383.6062</v>
      </c>
      <c r="H5105" s="1">
        <v>-3.2033739999999998E-6</v>
      </c>
      <c r="I5105">
        <v>18.598569999999999</v>
      </c>
      <c r="J5105">
        <v>-399.98779999999999</v>
      </c>
      <c r="K5105">
        <v>1.1231629999999999</v>
      </c>
      <c r="L5105">
        <v>20.160740000000001</v>
      </c>
      <c r="M5105">
        <v>0.94540619999999997</v>
      </c>
      <c r="N5105">
        <v>-1.298119E-2</v>
      </c>
      <c r="O5105">
        <v>-0.32563569999999997</v>
      </c>
      <c r="P5105">
        <v>0.98433009999999999</v>
      </c>
      <c r="Q5105">
        <v>0.12546869999999999</v>
      </c>
      <c r="R5105">
        <v>-0.1239016</v>
      </c>
      <c r="S5105">
        <v>3.0361630000000002</v>
      </c>
      <c r="T5105">
        <v>-0.2047117</v>
      </c>
      <c r="U5105">
        <v>-0.30160520000000002</v>
      </c>
      <c r="V5105">
        <v>-0.20422290000000001</v>
      </c>
      <c r="W5105">
        <v>0.13686229999999999</v>
      </c>
      <c r="X5105">
        <v>0.96930989999999995</v>
      </c>
      <c r="Y5105">
        <v>-0.22954459999999999</v>
      </c>
      <c r="Z5105">
        <v>2.6400090000000001E-2</v>
      </c>
      <c r="AA5105">
        <v>0.97294000000000003</v>
      </c>
      <c r="AB5105">
        <v>29</v>
      </c>
      <c r="AC5105">
        <v>16.381599999999899</v>
      </c>
      <c r="AD5105">
        <v>-1.123166203374</v>
      </c>
      <c r="AE5105">
        <v>-1.5621699999999901</v>
      </c>
      <c r="AF5105">
        <v>-3.8399851544289199</v>
      </c>
      <c r="AG5105">
        <v>-1.123166203374</v>
      </c>
      <c r="AH5105">
        <v>15.9231348737191</v>
      </c>
      <c r="AI5105">
        <v>93.922687701991293</v>
      </c>
      <c r="AJ5105">
        <v>103.558430650616</v>
      </c>
      <c r="AK5105">
        <v>16.418075785952599</v>
      </c>
      <c r="AL5105">
        <v>82.133678367805999</v>
      </c>
      <c r="AM5105">
        <v>101.897581377048</v>
      </c>
      <c r="AN5105">
        <v>0.99999998214185404</v>
      </c>
    </row>
    <row r="5106" spans="1:40" x14ac:dyDescent="0.25">
      <c r="A5106" t="str">
        <f>"20190303162404365"</f>
        <v>20190303162404365</v>
      </c>
      <c r="B5106" t="str">
        <f>"1551601444349735"</f>
        <v>1551601444349735</v>
      </c>
      <c r="C5106" t="s">
        <v>40</v>
      </c>
      <c r="D5106">
        <v>5.6629930000000002</v>
      </c>
      <c r="E5106">
        <v>0.48633850000000001</v>
      </c>
      <c r="F5106" t="s">
        <v>57</v>
      </c>
      <c r="G5106">
        <v>-383.40870000000001</v>
      </c>
      <c r="H5106" s="1">
        <v>-3.3070139999999998E-6</v>
      </c>
      <c r="I5106">
        <v>18.54055</v>
      </c>
      <c r="J5106">
        <v>-399.69749999999999</v>
      </c>
      <c r="K5106">
        <v>1.123189</v>
      </c>
      <c r="L5106">
        <v>20.064609999999998</v>
      </c>
      <c r="M5106">
        <v>0.94648429999999995</v>
      </c>
      <c r="N5106">
        <v>-1.297832E-2</v>
      </c>
      <c r="O5106">
        <v>-0.32248880000000002</v>
      </c>
      <c r="P5106">
        <v>0.98467459999999996</v>
      </c>
      <c r="Q5106">
        <v>0.12642419999999999</v>
      </c>
      <c r="R5106">
        <v>-0.12013600000000001</v>
      </c>
      <c r="S5106">
        <v>3.0366209999999998</v>
      </c>
      <c r="T5106">
        <v>-0.20571880000000001</v>
      </c>
      <c r="U5106">
        <v>-0.29675289999999999</v>
      </c>
      <c r="V5106">
        <v>-0.2046799</v>
      </c>
      <c r="W5106">
        <v>0.13779839999999999</v>
      </c>
      <c r="X5106">
        <v>0.96908090000000002</v>
      </c>
      <c r="Y5106">
        <v>-0.2278587</v>
      </c>
      <c r="Z5106">
        <v>2.631648E-2</v>
      </c>
      <c r="AA5106">
        <v>0.9733385</v>
      </c>
      <c r="AB5106">
        <v>29</v>
      </c>
      <c r="AC5106">
        <v>16.288799999999899</v>
      </c>
      <c r="AD5106">
        <v>-1.123192307014</v>
      </c>
      <c r="AE5106">
        <v>-1.52406</v>
      </c>
      <c r="AF5106">
        <v>-3.7928997886920799</v>
      </c>
      <c r="AG5106">
        <v>-1.123192307014</v>
      </c>
      <c r="AH5106">
        <v>15.8352859554607</v>
      </c>
      <c r="AI5106">
        <v>93.945933874989194</v>
      </c>
      <c r="AJ5106">
        <v>103.46983614588601</v>
      </c>
      <c r="AK5106">
        <v>16.321885033806801</v>
      </c>
      <c r="AL5106">
        <v>82.079531099873506</v>
      </c>
      <c r="AM5106">
        <v>101.926180891263</v>
      </c>
      <c r="AN5106">
        <v>1.00000002562568</v>
      </c>
    </row>
    <row r="5107" spans="1:40" x14ac:dyDescent="0.25">
      <c r="A5107" t="str">
        <f>"20190303162404387"</f>
        <v>20190303162404387</v>
      </c>
      <c r="B5107" t="str">
        <f>"1551601444379990"</f>
        <v>1551601444379990</v>
      </c>
      <c r="C5107" t="s">
        <v>40</v>
      </c>
      <c r="D5107">
        <v>5.6846220000000001</v>
      </c>
      <c r="E5107">
        <v>0.48670419999999998</v>
      </c>
      <c r="F5107" t="s">
        <v>57</v>
      </c>
      <c r="G5107">
        <v>-382.9538</v>
      </c>
      <c r="H5107" s="1">
        <v>-3.5346660000000001E-6</v>
      </c>
      <c r="I5107">
        <v>18.469380000000001</v>
      </c>
      <c r="J5107">
        <v>-399.42970000000003</v>
      </c>
      <c r="K5107">
        <v>1.1232279999999999</v>
      </c>
      <c r="L5107">
        <v>19.976900000000001</v>
      </c>
      <c r="M5107">
        <v>0.94748529999999997</v>
      </c>
      <c r="N5107">
        <v>-1.2976669999999999E-2</v>
      </c>
      <c r="O5107">
        <v>-0.3195364</v>
      </c>
      <c r="P5107">
        <v>0.9851046</v>
      </c>
      <c r="Q5107">
        <v>0.1269187</v>
      </c>
      <c r="R5107">
        <v>-0.1160211</v>
      </c>
      <c r="S5107">
        <v>3.0375670000000001</v>
      </c>
      <c r="T5107">
        <v>-0.20376420000000001</v>
      </c>
      <c r="U5107">
        <v>-0.28939819999999999</v>
      </c>
      <c r="V5107">
        <v>-0.2057023</v>
      </c>
      <c r="W5107">
        <v>0.138266</v>
      </c>
      <c r="X5107">
        <v>0.96879769999999998</v>
      </c>
      <c r="Y5107">
        <v>-0.2272149</v>
      </c>
      <c r="Z5107">
        <v>2.5864160000000001E-2</v>
      </c>
      <c r="AA5107">
        <v>0.97350110000000001</v>
      </c>
      <c r="AB5107">
        <v>29</v>
      </c>
      <c r="AC5107">
        <v>16.475899999999999</v>
      </c>
      <c r="AD5107">
        <v>-1.123231534666</v>
      </c>
      <c r="AE5107">
        <v>-1.50752</v>
      </c>
      <c r="AF5107">
        <v>-3.81901683815923</v>
      </c>
      <c r="AG5107">
        <v>-1.123231534666</v>
      </c>
      <c r="AH5107">
        <v>16.0198953907095</v>
      </c>
      <c r="AI5107">
        <v>93.901732225348496</v>
      </c>
      <c r="AJ5107">
        <v>103.40859424544701</v>
      </c>
      <c r="AK5107">
        <v>16.507076876900001</v>
      </c>
      <c r="AL5107">
        <v>82.052480081116897</v>
      </c>
      <c r="AM5107">
        <v>101.987437175069</v>
      </c>
      <c r="AN5107">
        <v>0.99999995325328805</v>
      </c>
    </row>
    <row r="5108" spans="1:40" x14ac:dyDescent="0.25">
      <c r="A5108" t="str">
        <f>"20190303162404408"</f>
        <v>20190303162404408</v>
      </c>
      <c r="B5108" t="str">
        <f>"1551601444400486"</f>
        <v>1551601444400486</v>
      </c>
      <c r="C5108" t="s">
        <v>40</v>
      </c>
      <c r="D5108">
        <v>5.6008180000000003</v>
      </c>
      <c r="E5108">
        <v>0.46907460000000001</v>
      </c>
      <c r="F5108" t="s">
        <v>57</v>
      </c>
      <c r="G5108">
        <v>-382.57979999999998</v>
      </c>
      <c r="H5108" s="1">
        <v>-3.7196879999999998E-6</v>
      </c>
      <c r="I5108">
        <v>18.422979999999999</v>
      </c>
      <c r="J5108">
        <v>-399.17129999999997</v>
      </c>
      <c r="K5108">
        <v>1.123264</v>
      </c>
      <c r="L5108">
        <v>19.893160000000002</v>
      </c>
      <c r="M5108">
        <v>0.94845670000000004</v>
      </c>
      <c r="N5108">
        <v>-1.2974579999999999E-2</v>
      </c>
      <c r="O5108">
        <v>-0.31664140000000002</v>
      </c>
      <c r="P5108">
        <v>0.98541190000000001</v>
      </c>
      <c r="Q5108">
        <v>0.12816330000000001</v>
      </c>
      <c r="R5108">
        <v>-0.1119716</v>
      </c>
      <c r="S5108">
        <v>3.0384829999999998</v>
      </c>
      <c r="T5108">
        <v>-0.20254849999999999</v>
      </c>
      <c r="U5108">
        <v>-0.28021239999999997</v>
      </c>
      <c r="V5108">
        <v>-0.20669589999999999</v>
      </c>
      <c r="W5108">
        <v>0.13947909999999999</v>
      </c>
      <c r="X5108">
        <v>0.9684123</v>
      </c>
      <c r="Y5108">
        <v>-0.2272033</v>
      </c>
      <c r="Z5108">
        <v>2.5547879999999999E-2</v>
      </c>
      <c r="AA5108">
        <v>0.97351220000000005</v>
      </c>
      <c r="AB5108">
        <v>29</v>
      </c>
      <c r="AC5108">
        <v>16.5914999999999</v>
      </c>
      <c r="AD5108">
        <v>-1.1232677196879901</v>
      </c>
      <c r="AE5108">
        <v>-1.47018</v>
      </c>
      <c r="AF5108">
        <v>-3.84200558186369</v>
      </c>
      <c r="AG5108">
        <v>-1.1232677196879901</v>
      </c>
      <c r="AH5108">
        <v>16.129846379974701</v>
      </c>
      <c r="AI5108">
        <v>93.875515448085295</v>
      </c>
      <c r="AJ5108">
        <v>103.39776178356399</v>
      </c>
      <c r="AK5108">
        <v>16.619105917670399</v>
      </c>
      <c r="AL5108">
        <v>81.982294848999899</v>
      </c>
      <c r="AM5108">
        <v>102.04830615008601</v>
      </c>
      <c r="AN5108">
        <v>0.99999999860245503</v>
      </c>
    </row>
    <row r="5109" spans="1:40" x14ac:dyDescent="0.25">
      <c r="A5109" t="str">
        <f>"20190303162404428"</f>
        <v>20190303162404428</v>
      </c>
      <c r="B5109" t="str">
        <f>"1551601444420007"</f>
        <v>1551601444420007</v>
      </c>
      <c r="C5109" t="s">
        <v>40</v>
      </c>
      <c r="D5109">
        <v>5.5998890000000001</v>
      </c>
      <c r="E5109">
        <v>0.46384920000000002</v>
      </c>
      <c r="F5109" t="s">
        <v>58</v>
      </c>
      <c r="G5109">
        <v>-367.33920000000001</v>
      </c>
      <c r="H5109" s="1">
        <v>-1.4353470000000001E-6</v>
      </c>
      <c r="I5109">
        <v>18.617819999999998</v>
      </c>
      <c r="J5109">
        <v>-398.9101</v>
      </c>
      <c r="K5109">
        <v>1.123324</v>
      </c>
      <c r="L5109">
        <v>19.809539999999998</v>
      </c>
      <c r="M5109">
        <v>0.94945170000000001</v>
      </c>
      <c r="N5109">
        <v>-1.29681E-2</v>
      </c>
      <c r="O5109">
        <v>-0.31364530000000002</v>
      </c>
      <c r="P5109">
        <v>0.98558310000000005</v>
      </c>
      <c r="Q5109">
        <v>0.13005920000000001</v>
      </c>
      <c r="R5109">
        <v>-0.1082159</v>
      </c>
      <c r="S5109">
        <v>3.044556</v>
      </c>
      <c r="T5109">
        <v>-0.1074338</v>
      </c>
      <c r="U5109">
        <v>-0.1219788</v>
      </c>
      <c r="V5109">
        <v>-0.20727979999999999</v>
      </c>
      <c r="W5109">
        <v>0.14133499999999999</v>
      </c>
      <c r="X5109">
        <v>0.96801839999999995</v>
      </c>
      <c r="Y5109">
        <v>-0.27510380000000001</v>
      </c>
      <c r="Z5109">
        <v>1.341085E-2</v>
      </c>
      <c r="AA5109">
        <v>0.96132099999999998</v>
      </c>
      <c r="AB5109">
        <v>29</v>
      </c>
      <c r="AC5109">
        <v>31.570899999999899</v>
      </c>
      <c r="AD5109">
        <v>-1.1233254353469999</v>
      </c>
      <c r="AE5109">
        <v>-1.1917199999999899</v>
      </c>
      <c r="AF5109">
        <v>-8.7602462786567692</v>
      </c>
      <c r="AG5109">
        <v>-1.1233254353469999</v>
      </c>
      <c r="AH5109">
        <v>30.313051086101801</v>
      </c>
      <c r="AI5109">
        <v>92.038906890269502</v>
      </c>
      <c r="AJ5109">
        <v>106.11890053371501</v>
      </c>
      <c r="AK5109">
        <v>31.573483194684702</v>
      </c>
      <c r="AL5109">
        <v>81.874896188534706</v>
      </c>
      <c r="AM5109">
        <v>102.08611466574099</v>
      </c>
      <c r="AN5109">
        <v>1.0000000602257899</v>
      </c>
    </row>
    <row r="5110" spans="1:40" x14ac:dyDescent="0.25">
      <c r="A5110" t="str">
        <f>"20190303162404442"</f>
        <v>20190303162404442</v>
      </c>
      <c r="B5110" t="str">
        <f>"1551601444429766"</f>
        <v>1551601444429766</v>
      </c>
      <c r="C5110" t="s">
        <v>40</v>
      </c>
      <c r="D5110">
        <v>5.5453979999999996</v>
      </c>
      <c r="E5110">
        <v>0.46321459999999998</v>
      </c>
      <c r="F5110" t="s">
        <v>41</v>
      </c>
      <c r="G5110">
        <v>-358.92250000000001</v>
      </c>
      <c r="H5110" s="1">
        <v>-5.6780240000000001E-7</v>
      </c>
      <c r="I5110">
        <v>18.92135</v>
      </c>
      <c r="J5110">
        <v>-398.74340000000001</v>
      </c>
      <c r="K5110">
        <v>1.1233629999999999</v>
      </c>
      <c r="L5110">
        <v>19.75656</v>
      </c>
      <c r="M5110">
        <v>0.95009440000000001</v>
      </c>
      <c r="N5110">
        <v>-1.296258E-2</v>
      </c>
      <c r="O5110">
        <v>-0.31169350000000001</v>
      </c>
      <c r="P5110">
        <v>0.98565579999999997</v>
      </c>
      <c r="Q5110">
        <v>0.13096140000000001</v>
      </c>
      <c r="R5110">
        <v>-0.1064507</v>
      </c>
      <c r="S5110">
        <v>3.0477289999999999</v>
      </c>
      <c r="T5110">
        <v>-8.5616349999999994E-2</v>
      </c>
      <c r="U5110">
        <v>-6.7687990000000003E-2</v>
      </c>
      <c r="V5110">
        <v>-0.20700569999999999</v>
      </c>
      <c r="W5110">
        <v>0.14221339999999999</v>
      </c>
      <c r="X5110">
        <v>0.96794840000000004</v>
      </c>
      <c r="Y5110">
        <v>-0.29034710000000002</v>
      </c>
      <c r="Z5110">
        <v>1.049872E-2</v>
      </c>
      <c r="AA5110">
        <v>0.95686380000000004</v>
      </c>
      <c r="AB5110">
        <v>29</v>
      </c>
      <c r="AC5110">
        <v>39.820900000000002</v>
      </c>
      <c r="AD5110">
        <v>-1.1233635678024001</v>
      </c>
      <c r="AE5110">
        <v>-0.83521000000000001</v>
      </c>
      <c r="AF5110">
        <v>-11.6101266295492</v>
      </c>
      <c r="AG5110">
        <v>-1.1233635678024001</v>
      </c>
      <c r="AH5110">
        <v>38.066858671863102</v>
      </c>
      <c r="AI5110">
        <v>91.616837688108802</v>
      </c>
      <c r="AJ5110">
        <v>106.961340605689</v>
      </c>
      <c r="AK5110">
        <v>39.813850795963397</v>
      </c>
      <c r="AL5110">
        <v>81.824054003424294</v>
      </c>
      <c r="AM5110">
        <v>102.071448708397</v>
      </c>
      <c r="AN5110">
        <v>1.0000000580173001</v>
      </c>
    </row>
    <row r="5111" spans="1:40" x14ac:dyDescent="0.25">
      <c r="A5111" t="str">
        <f>"20190303162404461"</f>
        <v>20190303162404461</v>
      </c>
      <c r="B5111" t="str">
        <f>"1551601444450263"</f>
        <v>1551601444450263</v>
      </c>
      <c r="C5111" t="s">
        <v>40</v>
      </c>
      <c r="D5111">
        <v>5.599939</v>
      </c>
      <c r="E5111">
        <v>0.4632501</v>
      </c>
      <c r="F5111" t="s">
        <v>41</v>
      </c>
      <c r="G5111">
        <v>-356.87049999999999</v>
      </c>
      <c r="H5111" s="1">
        <v>-1.4391089999999999E-6</v>
      </c>
      <c r="I5111">
        <v>18.972149999999999</v>
      </c>
      <c r="J5111">
        <v>-398.50189999999998</v>
      </c>
      <c r="K5111">
        <v>1.123443</v>
      </c>
      <c r="L5111">
        <v>19.680689999999998</v>
      </c>
      <c r="M5111">
        <v>0.95105249999999997</v>
      </c>
      <c r="N5111">
        <v>-1.2955670000000001E-2</v>
      </c>
      <c r="O5111">
        <v>-0.30875770000000002</v>
      </c>
      <c r="P5111">
        <v>0.98574360000000005</v>
      </c>
      <c r="Q5111">
        <v>0.1321003</v>
      </c>
      <c r="R5111">
        <v>-0.10420749999999999</v>
      </c>
      <c r="S5111">
        <v>3.0483090000000002</v>
      </c>
      <c r="T5111">
        <v>-8.1779959999999999E-2</v>
      </c>
      <c r="U5111">
        <v>-5.7098389999999999E-2</v>
      </c>
      <c r="V5111">
        <v>-0.20620550000000001</v>
      </c>
      <c r="W5111">
        <v>0.1433112</v>
      </c>
      <c r="X5111">
        <v>0.96795730000000002</v>
      </c>
      <c r="Y5111">
        <v>-0.2907361</v>
      </c>
      <c r="Z5111">
        <v>9.901824E-3</v>
      </c>
      <c r="AA5111">
        <v>0.95675209999999999</v>
      </c>
      <c r="AB5111">
        <v>29</v>
      </c>
      <c r="AC5111">
        <v>41.6313999999999</v>
      </c>
      <c r="AD5111">
        <v>-1.1234444391089999</v>
      </c>
      <c r="AE5111">
        <v>-0.70853999999999895</v>
      </c>
      <c r="AF5111">
        <v>-12.1723172403543</v>
      </c>
      <c r="AG5111">
        <v>-1.1234444391089999</v>
      </c>
      <c r="AH5111">
        <v>39.7867903570354</v>
      </c>
      <c r="AI5111">
        <v>91.546681426676898</v>
      </c>
      <c r="AJ5111">
        <v>107.010896924896</v>
      </c>
      <c r="AK5111">
        <v>41.622303171764599</v>
      </c>
      <c r="AL5111">
        <v>81.760503863406001</v>
      </c>
      <c r="AM5111">
        <v>102.026039060686</v>
      </c>
      <c r="AN5111">
        <v>1.0000000714494801</v>
      </c>
    </row>
    <row r="5112" spans="1:40" x14ac:dyDescent="0.25">
      <c r="A5112" t="str">
        <f>"20190303162404486"</f>
        <v>20190303162404486</v>
      </c>
      <c r="B5112" t="str">
        <f>"1551601444480519"</f>
        <v>1551601444480519</v>
      </c>
      <c r="C5112" t="s">
        <v>40</v>
      </c>
      <c r="D5112">
        <v>5.5135990000000001</v>
      </c>
      <c r="E5112">
        <v>0.46426289999999998</v>
      </c>
      <c r="F5112" t="s">
        <v>41</v>
      </c>
      <c r="G5112">
        <v>-355.8886</v>
      </c>
      <c r="H5112" s="1">
        <v>-1.8607959999999999E-6</v>
      </c>
      <c r="I5112">
        <v>18.969550000000002</v>
      </c>
      <c r="J5112">
        <v>-398.21449999999999</v>
      </c>
      <c r="K5112">
        <v>1.1235889999999999</v>
      </c>
      <c r="L5112">
        <v>19.59177</v>
      </c>
      <c r="M5112">
        <v>0.9522524</v>
      </c>
      <c r="N5112">
        <v>-1.295111E-2</v>
      </c>
      <c r="O5112">
        <v>-0.30503740000000001</v>
      </c>
      <c r="P5112">
        <v>0.98603589999999997</v>
      </c>
      <c r="Q5112">
        <v>0.13240859999999999</v>
      </c>
      <c r="R5112">
        <v>-0.10100099999999999</v>
      </c>
      <c r="S5112">
        <v>3.048737</v>
      </c>
      <c r="T5112">
        <v>-8.0376030000000001E-2</v>
      </c>
      <c r="U5112">
        <v>-5.0872800000000003E-2</v>
      </c>
      <c r="V5112">
        <v>-0.2056094</v>
      </c>
      <c r="W5112">
        <v>0.1435466</v>
      </c>
      <c r="X5112">
        <v>0.9680491</v>
      </c>
      <c r="Y5112">
        <v>-0.2889584</v>
      </c>
      <c r="Z5112">
        <v>9.6157889999999996E-3</v>
      </c>
      <c r="AA5112">
        <v>0.95729330000000001</v>
      </c>
      <c r="AB5112">
        <v>29</v>
      </c>
      <c r="AC5112">
        <v>42.325899999999898</v>
      </c>
      <c r="AD5112">
        <v>-1.1235908607959999</v>
      </c>
      <c r="AE5112">
        <v>-0.622219999999998</v>
      </c>
      <c r="AF5112">
        <v>-12.3108305557216</v>
      </c>
      <c r="AG5112">
        <v>-1.1235908607959999</v>
      </c>
      <c r="AH5112">
        <v>40.469620366369398</v>
      </c>
      <c r="AI5112">
        <v>91.521533340499005</v>
      </c>
      <c r="AJ5112">
        <v>106.91972473123801</v>
      </c>
      <c r="AK5112">
        <v>42.3155902474752</v>
      </c>
      <c r="AL5112">
        <v>81.746874568888799</v>
      </c>
      <c r="AM5112">
        <v>101.991177678686</v>
      </c>
      <c r="AN5112">
        <v>0.99999995587536405</v>
      </c>
    </row>
    <row r="5113" spans="1:40" x14ac:dyDescent="0.25">
      <c r="A5113" t="str">
        <f>"20190303162404499"</f>
        <v>20190303162404499</v>
      </c>
      <c r="B5113" t="str">
        <f>"1551601444490279"</f>
        <v>1551601444490279</v>
      </c>
      <c r="C5113" t="s">
        <v>40</v>
      </c>
      <c r="D5113">
        <v>5.5737809999999897</v>
      </c>
      <c r="E5113">
        <v>0.46456629999999899</v>
      </c>
      <c r="F5113" t="s">
        <v>41</v>
      </c>
      <c r="G5113">
        <v>-355.94740000000002</v>
      </c>
      <c r="H5113" s="1">
        <v>-1.8477760000000001E-6</v>
      </c>
      <c r="I5113">
        <v>18.900670000000002</v>
      </c>
      <c r="J5113">
        <v>-398.04719999999998</v>
      </c>
      <c r="K5113">
        <v>1.123699</v>
      </c>
      <c r="L5113">
        <v>19.540679999999998</v>
      </c>
      <c r="M5113">
        <v>0.95298309999999997</v>
      </c>
      <c r="N5113">
        <v>-1.2950730000000001E-2</v>
      </c>
      <c r="O5113">
        <v>-0.30274669999999998</v>
      </c>
      <c r="P5113">
        <v>0.98628349999999998</v>
      </c>
      <c r="Q5113">
        <v>0.1318529</v>
      </c>
      <c r="R5113">
        <v>-9.9295839999999996E-2</v>
      </c>
      <c r="S5113">
        <v>3.048279</v>
      </c>
      <c r="T5113">
        <v>-8.1032750000000001E-2</v>
      </c>
      <c r="U5113">
        <v>-4.9835209999999998E-2</v>
      </c>
      <c r="V5113">
        <v>-0.20501179999999999</v>
      </c>
      <c r="W5113">
        <v>0.1429416</v>
      </c>
      <c r="X5113">
        <v>0.96826540000000005</v>
      </c>
      <c r="Y5113">
        <v>-0.2869775</v>
      </c>
      <c r="Z5113">
        <v>9.6468839999999997E-3</v>
      </c>
      <c r="AA5113">
        <v>0.95788870000000004</v>
      </c>
      <c r="AB5113">
        <v>29</v>
      </c>
      <c r="AC5113">
        <v>42.099799999999902</v>
      </c>
      <c r="AD5113">
        <v>-1.123700847776</v>
      </c>
      <c r="AE5113">
        <v>-0.64000999999999597</v>
      </c>
      <c r="AF5113">
        <v>-12.128035823168601</v>
      </c>
      <c r="AG5113">
        <v>-1.123700847776</v>
      </c>
      <c r="AH5113">
        <v>40.288842230775103</v>
      </c>
      <c r="AI5113">
        <v>91.529850969869202</v>
      </c>
      <c r="AJ5113">
        <v>106.7532216444</v>
      </c>
      <c r="AK5113">
        <v>42.089699034557697</v>
      </c>
      <c r="AL5113">
        <v>81.781900182746796</v>
      </c>
      <c r="AM5113">
        <v>101.954735832534</v>
      </c>
      <c r="AN5113">
        <v>1.00000001199348</v>
      </c>
    </row>
    <row r="5114" spans="1:40" x14ac:dyDescent="0.25">
      <c r="A5114" t="str">
        <f>"20190303162404520"</f>
        <v>20190303162404520</v>
      </c>
      <c r="B5114" t="str">
        <f>"1551601444509798"</f>
        <v>1551601444509798</v>
      </c>
      <c r="C5114" t="s">
        <v>40</v>
      </c>
      <c r="D5114">
        <v>5.4520119999999999</v>
      </c>
      <c r="E5114">
        <v>0.46529549999999997</v>
      </c>
      <c r="F5114" t="s">
        <v>41</v>
      </c>
      <c r="G5114">
        <v>-356.29070000000002</v>
      </c>
      <c r="H5114" s="1">
        <v>-1.70105E-6</v>
      </c>
      <c r="I5114">
        <v>18.897590000000001</v>
      </c>
      <c r="J5114">
        <v>-397.7851</v>
      </c>
      <c r="K5114">
        <v>1.1238840000000001</v>
      </c>
      <c r="L5114">
        <v>19.461639999999999</v>
      </c>
      <c r="M5114">
        <v>0.95416460000000003</v>
      </c>
      <c r="N5114">
        <v>-1.295289E-2</v>
      </c>
      <c r="O5114">
        <v>-0.29900179999999998</v>
      </c>
      <c r="P5114">
        <v>0.98672219999999999</v>
      </c>
      <c r="Q5114">
        <v>0.13057289999999999</v>
      </c>
      <c r="R5114">
        <v>-9.6592399999999995E-2</v>
      </c>
      <c r="S5114">
        <v>3.0480040000000002</v>
      </c>
      <c r="T5114">
        <v>-8.2024340000000001E-2</v>
      </c>
      <c r="U5114">
        <v>-4.6936039999999998E-2</v>
      </c>
      <c r="V5114">
        <v>-0.20396539999999999</v>
      </c>
      <c r="W5114">
        <v>0.14158699999999999</v>
      </c>
      <c r="X5114">
        <v>0.96868529999999997</v>
      </c>
      <c r="Y5114">
        <v>-0.28412120000000002</v>
      </c>
      <c r="Z5114">
        <v>9.6884080000000008E-3</v>
      </c>
      <c r="AA5114">
        <v>0.95873940000000002</v>
      </c>
      <c r="AB5114">
        <v>29</v>
      </c>
      <c r="AC5114">
        <v>41.494399999999899</v>
      </c>
      <c r="AD5114">
        <v>-1.1238857010500001</v>
      </c>
      <c r="AE5114">
        <v>-0.56404999999999805</v>
      </c>
      <c r="AF5114">
        <v>-11.861000150353201</v>
      </c>
      <c r="AG5114">
        <v>-1.1238857010500001</v>
      </c>
      <c r="AH5114">
        <v>39.735331856413602</v>
      </c>
      <c r="AI5114">
        <v>91.552484568635194</v>
      </c>
      <c r="AJ5114">
        <v>106.620369070352</v>
      </c>
      <c r="AK5114">
        <v>41.483045227840002</v>
      </c>
      <c r="AL5114">
        <v>81.860310379088304</v>
      </c>
      <c r="AM5114">
        <v>101.890450760755</v>
      </c>
      <c r="AN5114">
        <v>0.999999986701124</v>
      </c>
    </row>
    <row r="5115" spans="1:40" x14ac:dyDescent="0.25">
      <c r="A5115" t="str">
        <f>"20190303162404541"</f>
        <v>20190303162404541</v>
      </c>
      <c r="B5115" t="str">
        <f>"1551601444530294"</f>
        <v>1551601444530294</v>
      </c>
      <c r="C5115" t="s">
        <v>40</v>
      </c>
      <c r="D5115">
        <v>5.4551489999999996</v>
      </c>
      <c r="E5115">
        <v>0.46598129999999999</v>
      </c>
      <c r="F5115" t="s">
        <v>41</v>
      </c>
      <c r="G5115">
        <v>-356.94330000000002</v>
      </c>
      <c r="H5115" s="1">
        <v>-1.4244700000000001E-6</v>
      </c>
      <c r="I5115">
        <v>18.878689999999999</v>
      </c>
      <c r="J5115">
        <v>-397.54129999999998</v>
      </c>
      <c r="K5115">
        <v>1.12408</v>
      </c>
      <c r="L5115">
        <v>19.389430000000001</v>
      </c>
      <c r="M5115">
        <v>0.95532419999999996</v>
      </c>
      <c r="N5115">
        <v>-1.2952180000000001E-2</v>
      </c>
      <c r="O5115">
        <v>-0.29527639999999999</v>
      </c>
      <c r="P5115">
        <v>0.98707769999999995</v>
      </c>
      <c r="Q5115">
        <v>0.12980539999999999</v>
      </c>
      <c r="R5115">
        <v>-9.3957879999999994E-2</v>
      </c>
      <c r="S5115">
        <v>3.0472109999999999</v>
      </c>
      <c r="T5115">
        <v>-8.3853239999999996E-2</v>
      </c>
      <c r="U5115">
        <v>-4.348755E-2</v>
      </c>
      <c r="V5115">
        <v>-0.20285839999999999</v>
      </c>
      <c r="W5115">
        <v>0.1407378</v>
      </c>
      <c r="X5115">
        <v>0.9690415</v>
      </c>
      <c r="Y5115">
        <v>-0.28145350000000002</v>
      </c>
      <c r="Z5115">
        <v>9.8518709999999999E-3</v>
      </c>
      <c r="AA5115">
        <v>0.9595243</v>
      </c>
      <c r="AB5115">
        <v>29</v>
      </c>
      <c r="AC5115">
        <v>40.5979999999999</v>
      </c>
      <c r="AD5115">
        <v>-1.1240814244699999</v>
      </c>
      <c r="AE5115">
        <v>-0.51073999999999797</v>
      </c>
      <c r="AF5115">
        <v>-11.491863722242099</v>
      </c>
      <c r="AG5115">
        <v>-1.1240814244699999</v>
      </c>
      <c r="AH5115">
        <v>38.908499226552301</v>
      </c>
      <c r="AI5115">
        <v>91.587095521911806</v>
      </c>
      <c r="AJ5115">
        <v>106.454828548381</v>
      </c>
      <c r="AK5115">
        <v>40.585684704363999</v>
      </c>
      <c r="AL5115">
        <v>81.909458565054393</v>
      </c>
      <c r="AM5115">
        <v>101.82351396912701</v>
      </c>
      <c r="AN5115">
        <v>1.0000000437608201</v>
      </c>
    </row>
    <row r="5116" spans="1:40" x14ac:dyDescent="0.25">
      <c r="A5116" t="str">
        <f>"20190303162404554"</f>
        <v>20190303162404554</v>
      </c>
      <c r="B5116" t="str">
        <f>"1551601444549816"</f>
        <v>1551601444549816</v>
      </c>
      <c r="C5116" t="s">
        <v>40</v>
      </c>
      <c r="D5116">
        <v>5.5059760000000004</v>
      </c>
      <c r="E5116">
        <v>0.46652389999999999</v>
      </c>
      <c r="F5116" t="s">
        <v>41</v>
      </c>
      <c r="G5116">
        <v>-356.74790000000002</v>
      </c>
      <c r="H5116" s="1">
        <v>-1.510111E-6</v>
      </c>
      <c r="I5116">
        <v>18.86835</v>
      </c>
      <c r="J5116">
        <v>-397.37009999999998</v>
      </c>
      <c r="K5116">
        <v>1.1242319999999999</v>
      </c>
      <c r="L5116">
        <v>19.339600000000001</v>
      </c>
      <c r="M5116">
        <v>0.95618440000000005</v>
      </c>
      <c r="N5116">
        <v>-1.2948650000000001E-2</v>
      </c>
      <c r="O5116">
        <v>-0.29247889999999999</v>
      </c>
      <c r="P5116">
        <v>0.98723240000000001</v>
      </c>
      <c r="Q5116">
        <v>0.13019559999999999</v>
      </c>
      <c r="R5116">
        <v>-9.1768530000000001E-2</v>
      </c>
      <c r="S5116">
        <v>3.0466000000000002</v>
      </c>
      <c r="T5116">
        <v>-8.3950640000000007E-2</v>
      </c>
      <c r="U5116">
        <v>-3.8909909999999999E-2</v>
      </c>
      <c r="V5116">
        <v>-0.20220949999999999</v>
      </c>
      <c r="W5116">
        <v>0.14105780000000001</v>
      </c>
      <c r="X5116">
        <v>0.96913050000000001</v>
      </c>
      <c r="Y5116">
        <v>-0.28008379999999999</v>
      </c>
      <c r="Z5116">
        <v>9.8048279999999998E-3</v>
      </c>
      <c r="AA5116">
        <v>0.95992549999999999</v>
      </c>
      <c r="AB5116">
        <v>29</v>
      </c>
      <c r="AC5116">
        <v>40.6221999999999</v>
      </c>
      <c r="AD5116">
        <v>-1.1242335101109999</v>
      </c>
      <c r="AE5116">
        <v>-0.471250000000001</v>
      </c>
      <c r="AF5116">
        <v>-11.4227440355324</v>
      </c>
      <c r="AG5116">
        <v>-1.1242335101109999</v>
      </c>
      <c r="AH5116">
        <v>38.953577845139101</v>
      </c>
      <c r="AI5116">
        <v>91.586382699690802</v>
      </c>
      <c r="AJ5116">
        <v>106.34324325220599</v>
      </c>
      <c r="AK5116">
        <v>40.609410353067901</v>
      </c>
      <c r="AL5116">
        <v>81.890938448465505</v>
      </c>
      <c r="AM5116">
        <v>101.785700628905</v>
      </c>
      <c r="AN5116">
        <v>0.999999955430669</v>
      </c>
    </row>
    <row r="5117" spans="1:40" x14ac:dyDescent="0.25">
      <c r="A5117" t="str">
        <f>"20190303162404578"</f>
        <v>20190303162404578</v>
      </c>
      <c r="B5117" t="str">
        <f>"1551601444570311"</f>
        <v>1551601444570311</v>
      </c>
      <c r="C5117" t="s">
        <v>40</v>
      </c>
      <c r="D5117">
        <v>5.5079719999999996</v>
      </c>
      <c r="E5117">
        <v>0.46719169999999999</v>
      </c>
      <c r="F5117" t="s">
        <v>41</v>
      </c>
      <c r="G5117">
        <v>-355.79160000000002</v>
      </c>
      <c r="H5117" s="1">
        <v>-1.923152E-6</v>
      </c>
      <c r="I5117">
        <v>18.852589999999999</v>
      </c>
      <c r="J5117">
        <v>-397.0788</v>
      </c>
      <c r="K5117">
        <v>1.1245160000000001</v>
      </c>
      <c r="L5117">
        <v>19.2562</v>
      </c>
      <c r="M5117">
        <v>0.95771379999999995</v>
      </c>
      <c r="N5117">
        <v>-1.2938079999999999E-2</v>
      </c>
      <c r="O5117">
        <v>-0.28743180000000002</v>
      </c>
      <c r="P5117">
        <v>0.98728769999999999</v>
      </c>
      <c r="Q5117">
        <v>0.13261519999999999</v>
      </c>
      <c r="R5117">
        <v>-8.761447E-2</v>
      </c>
      <c r="S5117">
        <v>3.0463559999999998</v>
      </c>
      <c r="T5117">
        <v>-8.2370040000000005E-2</v>
      </c>
      <c r="U5117">
        <v>-3.567505E-2</v>
      </c>
      <c r="V5117">
        <v>-0.20119770000000001</v>
      </c>
      <c r="W5117">
        <v>0.14333989999999999</v>
      </c>
      <c r="X5117">
        <v>0.96900620000000004</v>
      </c>
      <c r="Y5117">
        <v>-0.27604620000000002</v>
      </c>
      <c r="Z5117">
        <v>9.4405329999999992E-3</v>
      </c>
      <c r="AA5117">
        <v>0.96109800000000001</v>
      </c>
      <c r="AB5117">
        <v>29</v>
      </c>
      <c r="AC5117">
        <v>41.287199999999899</v>
      </c>
      <c r="AD5117">
        <v>-1.1245179231519999</v>
      </c>
      <c r="AE5117">
        <v>-0.40361000000000002</v>
      </c>
      <c r="AF5117">
        <v>-11.473161197013599</v>
      </c>
      <c r="AG5117">
        <v>-1.1245179231519999</v>
      </c>
      <c r="AH5117">
        <v>39.631251394036902</v>
      </c>
      <c r="AI5117">
        <v>91.561231656237098</v>
      </c>
      <c r="AJ5117">
        <v>106.14561515147101</v>
      </c>
      <c r="AK5117">
        <v>41.273890723670597</v>
      </c>
      <c r="AL5117">
        <v>81.758841134181694</v>
      </c>
      <c r="AM5117">
        <v>101.729828578235</v>
      </c>
      <c r="AN5117">
        <v>0.99999992852786701</v>
      </c>
    </row>
    <row r="5118" spans="1:40" x14ac:dyDescent="0.25">
      <c r="A5118" t="str">
        <f>"20190303162404598"</f>
        <v>20190303162404598</v>
      </c>
      <c r="B5118" t="str">
        <f>"1551601444589831"</f>
        <v>1551601444589831</v>
      </c>
      <c r="C5118" t="s">
        <v>40</v>
      </c>
      <c r="D5118">
        <v>5.50718</v>
      </c>
      <c r="E5118">
        <v>0.46768720000000003</v>
      </c>
      <c r="F5118" t="s">
        <v>41</v>
      </c>
      <c r="G5118">
        <v>-350.15219999999999</v>
      </c>
      <c r="H5118" s="1">
        <v>-4.3459049999999997E-6</v>
      </c>
      <c r="I5118">
        <v>18.832979999999999</v>
      </c>
      <c r="J5118">
        <v>-396.83049999999997</v>
      </c>
      <c r="K5118">
        <v>1.1247769999999999</v>
      </c>
      <c r="L5118">
        <v>19.186769999999999</v>
      </c>
      <c r="M5118">
        <v>0.95909259999999996</v>
      </c>
      <c r="N5118">
        <v>-1.292423E-2</v>
      </c>
      <c r="O5118">
        <v>-0.28279769999999999</v>
      </c>
      <c r="P5118">
        <v>0.9872959</v>
      </c>
      <c r="Q5118">
        <v>0.13445650000000001</v>
      </c>
      <c r="R5118">
        <v>-8.4665439999999995E-2</v>
      </c>
      <c r="S5118">
        <v>3.0459900000000002</v>
      </c>
      <c r="T5118">
        <v>-7.2992319999999999E-2</v>
      </c>
      <c r="U5118">
        <v>-2.7465819999999998E-2</v>
      </c>
      <c r="V5118">
        <v>-0.19943759999999999</v>
      </c>
      <c r="W5118">
        <v>0.14506459999999999</v>
      </c>
      <c r="X5118">
        <v>0.96911349999999996</v>
      </c>
      <c r="Y5118">
        <v>-0.27402549999999998</v>
      </c>
      <c r="Z5118">
        <v>8.0629429999999995E-3</v>
      </c>
      <c r="AA5118">
        <v>0.9616886</v>
      </c>
      <c r="AB5118">
        <v>29</v>
      </c>
      <c r="AC5118">
        <v>46.678299999999901</v>
      </c>
      <c r="AD5118">
        <v>-1.124781345905</v>
      </c>
      <c r="AE5118">
        <v>-0.35379000000000299</v>
      </c>
      <c r="AF5118">
        <v>-12.854807986615</v>
      </c>
      <c r="AG5118">
        <v>-1.124781345905</v>
      </c>
      <c r="AH5118">
        <v>44.846568493636397</v>
      </c>
      <c r="AI5118">
        <v>91.381119272759605</v>
      </c>
      <c r="AJ5118">
        <v>105.994405792976</v>
      </c>
      <c r="AK5118">
        <v>46.666111120418698</v>
      </c>
      <c r="AL5118">
        <v>81.6589802468134</v>
      </c>
      <c r="AM5118">
        <v>101.628769368395</v>
      </c>
      <c r="AN5118">
        <v>1.0000000351745799</v>
      </c>
    </row>
    <row r="5119" spans="1:40" x14ac:dyDescent="0.25">
      <c r="A5119" t="str">
        <f>"20190303162404619"</f>
        <v>20190303162404619</v>
      </c>
      <c r="B5119" t="str">
        <f>"1551601444610326"</f>
        <v>1551601444610326</v>
      </c>
      <c r="C5119" t="s">
        <v>40</v>
      </c>
      <c r="D5119">
        <v>5.5065210000000002</v>
      </c>
      <c r="E5119">
        <v>0.46821190000000001</v>
      </c>
      <c r="F5119" t="s">
        <v>41</v>
      </c>
      <c r="G5119">
        <v>-345.28019999999998</v>
      </c>
      <c r="H5119" s="1">
        <v>-2.145305E-6</v>
      </c>
      <c r="I5119">
        <v>18.837</v>
      </c>
      <c r="J5119">
        <v>-396.56580000000002</v>
      </c>
      <c r="K5119">
        <v>1.125062</v>
      </c>
      <c r="L5119">
        <v>19.114560000000001</v>
      </c>
      <c r="M5119">
        <v>0.96063330000000002</v>
      </c>
      <c r="N5119">
        <v>-1.290001E-2</v>
      </c>
      <c r="O5119">
        <v>-0.27751999999999999</v>
      </c>
      <c r="P5119">
        <v>0.98729180000000005</v>
      </c>
      <c r="Q5119">
        <v>0.13584350000000001</v>
      </c>
      <c r="R5119">
        <v>-8.2472909999999996E-2</v>
      </c>
      <c r="S5119">
        <v>3.0458069999999999</v>
      </c>
      <c r="T5119">
        <v>-6.6456680000000004E-2</v>
      </c>
      <c r="U5119">
        <v>-2.0660399999999999E-2</v>
      </c>
      <c r="V5119">
        <v>-0.19631409999999999</v>
      </c>
      <c r="W5119">
        <v>0.14633119999999999</v>
      </c>
      <c r="X5119">
        <v>0.96956070000000005</v>
      </c>
      <c r="Y5119">
        <v>-0.2709085</v>
      </c>
      <c r="Z5119">
        <v>7.0785889999999997E-3</v>
      </c>
      <c r="AA5119">
        <v>0.96257910000000002</v>
      </c>
      <c r="AB5119">
        <v>29</v>
      </c>
      <c r="AC5119">
        <v>51.285600000000002</v>
      </c>
      <c r="AD5119">
        <v>-1.1250641453049901</v>
      </c>
      <c r="AE5119">
        <v>-0.27756000000000097</v>
      </c>
      <c r="AF5119">
        <v>-13.960589622876</v>
      </c>
      <c r="AG5119">
        <v>-1.1250641453049901</v>
      </c>
      <c r="AH5119">
        <v>49.324051251216098</v>
      </c>
      <c r="AI5119">
        <v>91.257295446864603</v>
      </c>
      <c r="AJ5119">
        <v>105.80353831258201</v>
      </c>
      <c r="AK5119">
        <v>51.274027185135402</v>
      </c>
      <c r="AL5119">
        <v>81.585626351950495</v>
      </c>
      <c r="AM5119">
        <v>101.446350695616</v>
      </c>
      <c r="AN5119">
        <v>0.99999999846836995</v>
      </c>
    </row>
    <row r="5120" spans="1:40" x14ac:dyDescent="0.25">
      <c r="A5120" t="str">
        <f>"20190303162404640"</f>
        <v>20190303162404640</v>
      </c>
      <c r="B5120" t="str">
        <f>"1551601444629847"</f>
        <v>1551601444629847</v>
      </c>
      <c r="C5120" t="s">
        <v>40</v>
      </c>
      <c r="D5120">
        <v>5.5003409999999997</v>
      </c>
      <c r="E5120">
        <v>0.4687383</v>
      </c>
      <c r="F5120" t="s">
        <v>41</v>
      </c>
      <c r="G5120">
        <v>-340.649</v>
      </c>
      <c r="H5120" s="1">
        <v>-4.1333629999999997E-6</v>
      </c>
      <c r="I5120">
        <v>18.82985</v>
      </c>
      <c r="J5120">
        <v>-396.30439999999999</v>
      </c>
      <c r="K5120">
        <v>1.1253409999999999</v>
      </c>
      <c r="L5120">
        <v>19.045169999999999</v>
      </c>
      <c r="M5120">
        <v>0.96222660000000004</v>
      </c>
      <c r="N5120">
        <v>-1.286611E-2</v>
      </c>
      <c r="O5120">
        <v>-0.27194580000000002</v>
      </c>
      <c r="P5120">
        <v>0.98735609999999996</v>
      </c>
      <c r="Q5120">
        <v>0.13660929999999999</v>
      </c>
      <c r="R5120">
        <v>-8.0410869999999995E-2</v>
      </c>
      <c r="S5120">
        <v>3.045715</v>
      </c>
      <c r="T5120">
        <v>-6.1280849999999998E-2</v>
      </c>
      <c r="U5120">
        <v>-1.550293E-2</v>
      </c>
      <c r="V5120">
        <v>-0.19279070000000001</v>
      </c>
      <c r="W5120">
        <v>0.14697550000000001</v>
      </c>
      <c r="X5120">
        <v>0.97017010000000004</v>
      </c>
      <c r="Y5120">
        <v>-0.26697270000000001</v>
      </c>
      <c r="Z5120">
        <v>6.2877940000000002E-3</v>
      </c>
      <c r="AA5120">
        <v>0.96368359999999997</v>
      </c>
      <c r="AB5120">
        <v>29</v>
      </c>
      <c r="AC5120">
        <v>55.655399999999901</v>
      </c>
      <c r="AD5120">
        <v>-1.125345133363</v>
      </c>
      <c r="AE5120">
        <v>-0.21532000000000101</v>
      </c>
      <c r="AF5120">
        <v>-14.9231995806319</v>
      </c>
      <c r="AG5120">
        <v>-1.125345133363</v>
      </c>
      <c r="AH5120">
        <v>53.594186020598798</v>
      </c>
      <c r="AI5120">
        <v>91.158820334092695</v>
      </c>
      <c r="AJ5120">
        <v>105.55976058211</v>
      </c>
      <c r="AK5120">
        <v>55.644452217656898</v>
      </c>
      <c r="AL5120">
        <v>81.548307513981598</v>
      </c>
      <c r="AM5120">
        <v>101.23931191470101</v>
      </c>
      <c r="AN5120">
        <v>1.0000000372703699</v>
      </c>
    </row>
    <row r="5121" spans="1:40" x14ac:dyDescent="0.25">
      <c r="A5121" t="str">
        <f>"20190303162404664"</f>
        <v>20190303162404664</v>
      </c>
      <c r="B5121" t="str">
        <f>"1551601444650343"</f>
        <v>1551601444650343</v>
      </c>
      <c r="C5121" t="s">
        <v>40</v>
      </c>
      <c r="D5121">
        <v>5.5050030000000003</v>
      </c>
      <c r="E5121">
        <v>0.46923809999999999</v>
      </c>
      <c r="F5121" t="s">
        <v>41</v>
      </c>
      <c r="G5121">
        <v>-339.267</v>
      </c>
      <c r="H5121" s="1">
        <v>-4.4556719999999999E-7</v>
      </c>
      <c r="I5121">
        <v>18.82677</v>
      </c>
      <c r="J5121">
        <v>-396.01979999999998</v>
      </c>
      <c r="K5121">
        <v>1.1256469999999901</v>
      </c>
      <c r="L5121">
        <v>18.97186</v>
      </c>
      <c r="M5121">
        <v>0.9640339</v>
      </c>
      <c r="N5121">
        <v>-1.282311E-2</v>
      </c>
      <c r="O5121">
        <v>-0.26546979999999998</v>
      </c>
      <c r="P5121">
        <v>0.98733570000000004</v>
      </c>
      <c r="Q5121">
        <v>0.13807259999999999</v>
      </c>
      <c r="R5121">
        <v>-7.8130809999999995E-2</v>
      </c>
      <c r="S5121">
        <v>3.045776</v>
      </c>
      <c r="T5121">
        <v>-6.0092810000000003E-2</v>
      </c>
      <c r="U5121">
        <v>-1.165771E-2</v>
      </c>
      <c r="V5121">
        <v>-0.18857450000000001</v>
      </c>
      <c r="W5121">
        <v>0.148308299999999</v>
      </c>
      <c r="X5121">
        <v>0.97079570000000004</v>
      </c>
      <c r="Y5121">
        <v>-0.26171080000000002</v>
      </c>
      <c r="Z5121">
        <v>6.0127770000000004E-3</v>
      </c>
      <c r="AA5121">
        <v>0.96512759999999997</v>
      </c>
      <c r="AB5121">
        <v>29</v>
      </c>
      <c r="AC5121">
        <v>56.752799999999901</v>
      </c>
      <c r="AD5121">
        <v>-1.1256474455672001</v>
      </c>
      <c r="AE5121">
        <v>-0.145089999999999</v>
      </c>
      <c r="AF5121">
        <v>-14.9216399862475</v>
      </c>
      <c r="AG5121">
        <v>-1.1256474455672001</v>
      </c>
      <c r="AH5121">
        <v>54.733110174078199</v>
      </c>
      <c r="AI5121">
        <v>91.136711204092705</v>
      </c>
      <c r="AJ5121">
        <v>105.24968960790299</v>
      </c>
      <c r="AK5121">
        <v>56.7418344026581</v>
      </c>
      <c r="AL5121">
        <v>81.471097158200905</v>
      </c>
      <c r="AM5121">
        <v>100.99265962475999</v>
      </c>
      <c r="AN5121">
        <v>0.999999992518815</v>
      </c>
    </row>
    <row r="5122" spans="1:40" x14ac:dyDescent="0.25">
      <c r="A5122" t="str">
        <f>"20190303162404686"</f>
        <v>20190303162404686</v>
      </c>
      <c r="B5122" t="str">
        <f>"1551601444679622"</f>
        <v>1551601444679622</v>
      </c>
      <c r="C5122" t="s">
        <v>40</v>
      </c>
      <c r="D5122">
        <v>5.5010709999999996</v>
      </c>
      <c r="E5122">
        <v>0.46989439999999999</v>
      </c>
      <c r="F5122" t="s">
        <v>41</v>
      </c>
      <c r="G5122">
        <v>-336.75349999999997</v>
      </c>
      <c r="H5122" s="1">
        <v>-1.515718E-6</v>
      </c>
      <c r="I5122">
        <v>18.823340000000002</v>
      </c>
      <c r="J5122">
        <v>-395.73099999999999</v>
      </c>
      <c r="K5122">
        <v>1.125947</v>
      </c>
      <c r="L5122">
        <v>18.900210000000001</v>
      </c>
      <c r="M5122">
        <v>0.96593709999999999</v>
      </c>
      <c r="N5122">
        <v>-1.27811E-2</v>
      </c>
      <c r="O5122">
        <v>-0.25846160000000001</v>
      </c>
      <c r="P5122">
        <v>0.98718030000000001</v>
      </c>
      <c r="Q5122">
        <v>0.14054510000000001</v>
      </c>
      <c r="R5122">
        <v>-7.5646759999999993E-2</v>
      </c>
      <c r="S5122">
        <v>3.0459290000000001</v>
      </c>
      <c r="T5122">
        <v>-5.7851430000000002E-2</v>
      </c>
      <c r="U5122">
        <v>-7.6293949999999998E-3</v>
      </c>
      <c r="V5122">
        <v>-0.18400859999999999</v>
      </c>
      <c r="W5122">
        <v>0.1506624</v>
      </c>
      <c r="X5122">
        <v>0.97130919999999998</v>
      </c>
      <c r="Y5122">
        <v>-0.25598130000000002</v>
      </c>
      <c r="Z5122">
        <v>5.6003099999999998E-3</v>
      </c>
      <c r="AA5122">
        <v>0.96666549999999996</v>
      </c>
      <c r="AB5122">
        <v>29</v>
      </c>
      <c r="AC5122">
        <v>58.977499999999999</v>
      </c>
      <c r="AD5122">
        <v>-1.125948515718</v>
      </c>
      <c r="AE5122">
        <v>-7.6870000000003103E-2</v>
      </c>
      <c r="AF5122">
        <v>-15.1648776129436</v>
      </c>
      <c r="AG5122">
        <v>-1.125948515718</v>
      </c>
      <c r="AH5122">
        <v>56.972307023897699</v>
      </c>
      <c r="AI5122">
        <v>91.094107268857996</v>
      </c>
      <c r="AJ5122">
        <v>104.905370898783</v>
      </c>
      <c r="AK5122">
        <v>58.966813045143198</v>
      </c>
      <c r="AL5122">
        <v>81.334683952648504</v>
      </c>
      <c r="AM5122">
        <v>100.72721175225701</v>
      </c>
      <c r="AN5122">
        <v>0.99999994282617799</v>
      </c>
    </row>
    <row r="5123" spans="1:40" x14ac:dyDescent="0.25">
      <c r="A5123" t="str">
        <f>"20190303162404708"</f>
        <v>20190303162404708</v>
      </c>
      <c r="B5123" t="str">
        <f>"1551601444700119"</f>
        <v>1551601444700119</v>
      </c>
      <c r="C5123" t="s">
        <v>40</v>
      </c>
      <c r="D5123">
        <v>5.5030060000000001</v>
      </c>
      <c r="E5123">
        <v>0.47025470000000003</v>
      </c>
      <c r="F5123" t="s">
        <v>41</v>
      </c>
      <c r="G5123">
        <v>-331.30349999999999</v>
      </c>
      <c r="H5123" s="1">
        <v>-3.8539520000000002E-6</v>
      </c>
      <c r="I5123">
        <v>18.822040000000001</v>
      </c>
      <c r="J5123">
        <v>-395.45679999999999</v>
      </c>
      <c r="K5123">
        <v>1.1262030000000001</v>
      </c>
      <c r="L5123">
        <v>18.834530000000001</v>
      </c>
      <c r="M5123">
        <v>0.96777250000000004</v>
      </c>
      <c r="N5123">
        <v>-1.2743859999999999E-2</v>
      </c>
      <c r="O5123">
        <v>-0.25150329999999999</v>
      </c>
      <c r="P5123">
        <v>0.9870215</v>
      </c>
      <c r="Q5123">
        <v>0.14269579999999901</v>
      </c>
      <c r="R5123">
        <v>-7.3664270000000004E-2</v>
      </c>
      <c r="S5123">
        <v>3.0462950000000002</v>
      </c>
      <c r="T5123">
        <v>-5.3237800000000002E-2</v>
      </c>
      <c r="U5123">
        <v>-3.692627E-3</v>
      </c>
      <c r="V5123">
        <v>-0.17900260000000001</v>
      </c>
      <c r="W5123">
        <v>0.15273619999999999</v>
      </c>
      <c r="X5123">
        <v>0.97192069999999997</v>
      </c>
      <c r="Y5123">
        <v>-0.25028250000000002</v>
      </c>
      <c r="Z5123">
        <v>4.9093289999999996E-3</v>
      </c>
      <c r="AA5123">
        <v>0.96816040000000003</v>
      </c>
      <c r="AB5123">
        <v>29</v>
      </c>
      <c r="AC5123">
        <v>64.153300000000002</v>
      </c>
      <c r="AD5123">
        <v>-1.126206853952</v>
      </c>
      <c r="AE5123">
        <v>-1.24899999999996E-2</v>
      </c>
      <c r="AF5123">
        <v>-16.119021640123702</v>
      </c>
      <c r="AG5123">
        <v>-1.126206853952</v>
      </c>
      <c r="AH5123">
        <v>62.074855510376501</v>
      </c>
      <c r="AI5123">
        <v>91.006030095776296</v>
      </c>
      <c r="AJ5123">
        <v>104.556542358936</v>
      </c>
      <c r="AK5123">
        <v>64.143424348461394</v>
      </c>
      <c r="AL5123">
        <v>81.214473751008001</v>
      </c>
      <c r="AM5123">
        <v>100.43545560987501</v>
      </c>
      <c r="AN5123">
        <v>1.00000006234284</v>
      </c>
    </row>
    <row r="5124" spans="1:40" x14ac:dyDescent="0.25">
      <c r="A5124" t="str">
        <f>"20190303162404730"</f>
        <v>20190303162404730</v>
      </c>
      <c r="B5124" t="str">
        <f>"1551601444719639"</f>
        <v>1551601444719639</v>
      </c>
      <c r="C5124" t="s">
        <v>40</v>
      </c>
      <c r="D5124">
        <v>5.5004439999999999</v>
      </c>
      <c r="E5124">
        <v>0.47063120000000003</v>
      </c>
      <c r="F5124" t="s">
        <v>41</v>
      </c>
      <c r="G5124">
        <v>-323.7285</v>
      </c>
      <c r="H5124" s="1">
        <v>-3.0790270000000002E-6</v>
      </c>
      <c r="I5124">
        <v>18.86112</v>
      </c>
      <c r="J5124">
        <v>-395.19650000000001</v>
      </c>
      <c r="K5124">
        <v>1.1264209999999999</v>
      </c>
      <c r="L5124">
        <v>18.774380000000001</v>
      </c>
      <c r="M5124">
        <v>0.9695281</v>
      </c>
      <c r="N5124">
        <v>-1.271006E-2</v>
      </c>
      <c r="O5124">
        <v>-0.24465029999999999</v>
      </c>
      <c r="P5124">
        <v>0.98702369999999995</v>
      </c>
      <c r="Q5124">
        <v>0.14428759999999999</v>
      </c>
      <c r="R5124">
        <v>-7.0466290000000001E-2</v>
      </c>
      <c r="S5124">
        <v>3.046478</v>
      </c>
      <c r="T5124">
        <v>-4.7832729999999997E-2</v>
      </c>
      <c r="U5124">
        <v>1.12915E-3</v>
      </c>
      <c r="V5124">
        <v>-0.175312</v>
      </c>
      <c r="W5124">
        <v>0.15425949999999999</v>
      </c>
      <c r="X5124">
        <v>0.97235269999999996</v>
      </c>
      <c r="Y5124">
        <v>-0.24497450000000001</v>
      </c>
      <c r="Z5124">
        <v>4.1579670000000003E-3</v>
      </c>
      <c r="AA5124">
        <v>0.96952059999999995</v>
      </c>
      <c r="AB5124">
        <v>29</v>
      </c>
      <c r="AC5124">
        <v>71.468000000000004</v>
      </c>
      <c r="AD5124">
        <v>-1.1264240790269999</v>
      </c>
      <c r="AE5124">
        <v>8.6740000000002399E-2</v>
      </c>
      <c r="AF5124">
        <v>-17.565819670274799</v>
      </c>
      <c r="AG5124">
        <v>-1.1264240790269999</v>
      </c>
      <c r="AH5124">
        <v>69.257402564700797</v>
      </c>
      <c r="AI5124">
        <v>90.903201199907699</v>
      </c>
      <c r="AJ5124">
        <v>104.2318752611</v>
      </c>
      <c r="AK5124">
        <v>71.459181788650795</v>
      </c>
      <c r="AL5124">
        <v>81.126148068361005</v>
      </c>
      <c r="AM5124">
        <v>100.220439991463</v>
      </c>
      <c r="AN5124">
        <v>1.00000003194076</v>
      </c>
    </row>
    <row r="5125" spans="1:40" x14ac:dyDescent="0.25">
      <c r="A5125" t="str">
        <f>"20190303162404753"</f>
        <v>20190303162404753</v>
      </c>
      <c r="B5125" t="str">
        <f>"1551601444740134"</f>
        <v>1551601444740134</v>
      </c>
      <c r="C5125" t="s">
        <v>40</v>
      </c>
      <c r="D5125">
        <v>5.6217290000000002</v>
      </c>
      <c r="E5125">
        <v>0.47079799999999999</v>
      </c>
      <c r="F5125" t="s">
        <v>43</v>
      </c>
      <c r="G5125">
        <v>-314.99700000000001</v>
      </c>
      <c r="H5125">
        <v>-0.05</v>
      </c>
      <c r="I5125">
        <v>19.00975</v>
      </c>
      <c r="J5125">
        <v>-394.90350000000001</v>
      </c>
      <c r="K5125">
        <v>1.1266179999999999</v>
      </c>
      <c r="L5125">
        <v>18.70926</v>
      </c>
      <c r="M5125">
        <v>0.97150309999999995</v>
      </c>
      <c r="N5125">
        <v>-1.267505E-2</v>
      </c>
      <c r="O5125">
        <v>-0.23668790000000001</v>
      </c>
      <c r="P5125">
        <v>0.98725469999999904</v>
      </c>
      <c r="Q5125">
        <v>0.1453924</v>
      </c>
      <c r="R5125">
        <v>-6.4724480000000001E-2</v>
      </c>
      <c r="S5125">
        <v>3.04657</v>
      </c>
      <c r="T5125">
        <v>-4.4689180000000002E-2</v>
      </c>
      <c r="U5125">
        <v>8.9416500000000006E-3</v>
      </c>
      <c r="V5125">
        <v>-0.1730371</v>
      </c>
      <c r="W5125">
        <v>0.15528129999999901</v>
      </c>
      <c r="X5125">
        <v>0.9725975</v>
      </c>
      <c r="Y5125">
        <v>-0.23950969999999999</v>
      </c>
      <c r="Z5125">
        <v>3.700166E-3</v>
      </c>
      <c r="AA5125">
        <v>0.9708869</v>
      </c>
      <c r="AB5125">
        <v>29</v>
      </c>
      <c r="AC5125">
        <v>79.906499999999994</v>
      </c>
      <c r="AD5125">
        <v>-1.1766179999999999</v>
      </c>
      <c r="AE5125">
        <v>0.30048999999999898</v>
      </c>
      <c r="AF5125">
        <v>-19.202207207372499</v>
      </c>
      <c r="AG5125">
        <v>-1.1766179999999999</v>
      </c>
      <c r="AH5125">
        <v>77.547703481650899</v>
      </c>
      <c r="AI5125">
        <v>90.843792568823901</v>
      </c>
      <c r="AJ5125">
        <v>103.90772123024099</v>
      </c>
      <c r="AK5125">
        <v>79.8984074111045</v>
      </c>
      <c r="AL5125">
        <v>81.066888987592094</v>
      </c>
      <c r="AM5125">
        <v>100.08807162299</v>
      </c>
      <c r="AN5125">
        <v>1.00000000855617</v>
      </c>
    </row>
    <row r="5126" spans="1:40" x14ac:dyDescent="0.25">
      <c r="A5126" t="str">
        <f>"20190303162404778"</f>
        <v>20190303162404778</v>
      </c>
      <c r="B5126" t="str">
        <f>"1551601444770391"</f>
        <v>1551601444770391</v>
      </c>
      <c r="C5126" t="s">
        <v>40</v>
      </c>
      <c r="D5126">
        <v>5.4880699999999996</v>
      </c>
      <c r="E5126">
        <v>0.47600389999999998</v>
      </c>
      <c r="F5126" t="s">
        <v>43</v>
      </c>
      <c r="G5126">
        <v>-311.06720000000001</v>
      </c>
      <c r="H5126">
        <v>-0.05</v>
      </c>
      <c r="I5126">
        <v>19.385269999999998</v>
      </c>
      <c r="J5126">
        <v>-394.60239999999999</v>
      </c>
      <c r="K5126">
        <v>1.126754</v>
      </c>
      <c r="L5126">
        <v>18.645109999999999</v>
      </c>
      <c r="M5126">
        <v>0.97350340000000002</v>
      </c>
      <c r="N5126">
        <v>-1.264208E-2</v>
      </c>
      <c r="O5126">
        <v>-0.228323</v>
      </c>
      <c r="P5126">
        <v>0.98804130000000001</v>
      </c>
      <c r="Q5126">
        <v>0.14315269999999999</v>
      </c>
      <c r="R5126">
        <v>-5.7287449999999997E-2</v>
      </c>
      <c r="S5126">
        <v>3.0466310000000001</v>
      </c>
      <c r="T5126">
        <v>-4.2758579999999997E-2</v>
      </c>
      <c r="U5126">
        <v>2.4566649999999999E-2</v>
      </c>
      <c r="V5126">
        <v>-0.172095</v>
      </c>
      <c r="W5126">
        <v>0.152964299999999</v>
      </c>
      <c r="X5126">
        <v>0.97313170000000004</v>
      </c>
      <c r="Y5126">
        <v>-0.2361403</v>
      </c>
      <c r="Z5126">
        <v>3.4281889999999999E-3</v>
      </c>
      <c r="AA5126">
        <v>0.97171289999999999</v>
      </c>
      <c r="AB5126">
        <v>29</v>
      </c>
      <c r="AC5126">
        <v>83.535199999999904</v>
      </c>
      <c r="AD5126">
        <v>-1.1767540000000001</v>
      </c>
      <c r="AE5126">
        <v>0.74016000000000204</v>
      </c>
      <c r="AF5126">
        <v>-19.791209738158202</v>
      </c>
      <c r="AG5126">
        <v>-1.1767540000000001</v>
      </c>
      <c r="AH5126">
        <v>81.143187126864305</v>
      </c>
      <c r="AI5126">
        <v>90.807196340895004</v>
      </c>
      <c r="AJ5126">
        <v>103.707086623607</v>
      </c>
      <c r="AK5126">
        <v>83.530195438425693</v>
      </c>
      <c r="AL5126">
        <v>81.201248952241798</v>
      </c>
      <c r="AM5126">
        <v>100.028869833618</v>
      </c>
      <c r="AN5126">
        <v>1.0000000358221799</v>
      </c>
    </row>
    <row r="5127" spans="1:40" x14ac:dyDescent="0.25">
      <c r="A5127" t="str">
        <f>"20190303162404800"</f>
        <v>20190303162404800</v>
      </c>
      <c r="B5127" t="str">
        <f>"1551601444789911"</f>
        <v>1551601444789911</v>
      </c>
      <c r="C5127" t="s">
        <v>40</v>
      </c>
      <c r="D5127">
        <v>5.6332890000000004</v>
      </c>
      <c r="E5127">
        <v>0.4765201</v>
      </c>
      <c r="F5127" t="s">
        <v>41</v>
      </c>
      <c r="G5127">
        <v>-354.9991</v>
      </c>
      <c r="H5127" s="1">
        <v>-2.289506E-6</v>
      </c>
      <c r="I5127">
        <v>18.704080000000001</v>
      </c>
      <c r="J5127">
        <v>-394.32549999999998</v>
      </c>
      <c r="K5127">
        <v>1.1268260000000001</v>
      </c>
      <c r="L5127">
        <v>18.588619999999999</v>
      </c>
      <c r="M5127">
        <v>0.9752963</v>
      </c>
      <c r="N5127">
        <v>-1.261291E-2</v>
      </c>
      <c r="O5127">
        <v>-0.2205406</v>
      </c>
      <c r="P5127">
        <v>0.98875210000000002</v>
      </c>
      <c r="Q5127">
        <v>0.1411559</v>
      </c>
      <c r="R5127">
        <v>-4.943898E-2</v>
      </c>
      <c r="S5127">
        <v>3.0491640000000002</v>
      </c>
      <c r="T5127">
        <v>-8.6751819999999993E-2</v>
      </c>
      <c r="U5127">
        <v>4.5471189999999996E-3</v>
      </c>
      <c r="V5127">
        <v>-0.17211899999999999</v>
      </c>
      <c r="W5127">
        <v>0.15090329999999999</v>
      </c>
      <c r="X5127">
        <v>0.97344920000000001</v>
      </c>
      <c r="Y5127">
        <v>-0.22185679999999999</v>
      </c>
      <c r="Z5127">
        <v>7.9907859999999997E-3</v>
      </c>
      <c r="AA5127">
        <v>0.97504650000000004</v>
      </c>
      <c r="AB5127">
        <v>29</v>
      </c>
      <c r="AC5127">
        <v>39.3263999999999</v>
      </c>
      <c r="AD5127">
        <v>-1.126828289506</v>
      </c>
      <c r="AE5127">
        <v>0.115459999999995</v>
      </c>
      <c r="AF5127">
        <v>-8.7791662807358399</v>
      </c>
      <c r="AG5127">
        <v>-1.126828289506</v>
      </c>
      <c r="AH5127">
        <v>38.301030630451102</v>
      </c>
      <c r="AI5127">
        <v>91.642599608047206</v>
      </c>
      <c r="AJ5127">
        <v>102.910033428245</v>
      </c>
      <c r="AK5127">
        <v>39.3104623469834</v>
      </c>
      <c r="AL5127">
        <v>81.320722709727207</v>
      </c>
      <c r="AM5127">
        <v>100.027034977581</v>
      </c>
      <c r="AN5127">
        <v>1.0000000505462601</v>
      </c>
    </row>
    <row r="5128" spans="1:40" x14ac:dyDescent="0.25">
      <c r="A5128" t="str">
        <f>"20190303162404821"</f>
        <v>20190303162404821</v>
      </c>
      <c r="B5128" t="str">
        <f>"1551601444810407"</f>
        <v>1551601444810407</v>
      </c>
      <c r="C5128" t="s">
        <v>40</v>
      </c>
      <c r="D5128">
        <v>5.5793210000000002</v>
      </c>
      <c r="E5128">
        <v>0.47220430000000002</v>
      </c>
      <c r="F5128" t="s">
        <v>41</v>
      </c>
      <c r="G5128">
        <v>-358.57190000000003</v>
      </c>
      <c r="H5128" s="1">
        <v>-7.2512889999999996E-7</v>
      </c>
      <c r="I5128">
        <v>18.88233</v>
      </c>
      <c r="J5128">
        <v>-394.05309999999997</v>
      </c>
      <c r="K5128">
        <v>1.126852</v>
      </c>
      <c r="L5128">
        <v>18.535309999999999</v>
      </c>
      <c r="M5128">
        <v>0.97699760000000002</v>
      </c>
      <c r="N5128">
        <v>-1.258365E-2</v>
      </c>
      <c r="O5128">
        <v>-0.21287929999999999</v>
      </c>
      <c r="P5128">
        <v>0.98914840000000004</v>
      </c>
      <c r="Q5128">
        <v>0.14151649999999999</v>
      </c>
      <c r="R5128">
        <v>-3.9483949999999997E-2</v>
      </c>
      <c r="S5128">
        <v>3.0491329999999999</v>
      </c>
      <c r="T5128">
        <v>-9.6098069999999994E-2</v>
      </c>
      <c r="U5128">
        <v>2.505493E-2</v>
      </c>
      <c r="V5128">
        <v>-0.17428950000000001</v>
      </c>
      <c r="W5128">
        <v>0.15118139999999999</v>
      </c>
      <c r="X5128">
        <v>0.97301970000000004</v>
      </c>
      <c r="Y5128">
        <v>-0.22072749999999999</v>
      </c>
      <c r="Z5128">
        <v>8.8433030000000003E-3</v>
      </c>
      <c r="AA5128">
        <v>0.97529540000000003</v>
      </c>
      <c r="AB5128">
        <v>29</v>
      </c>
      <c r="AC5128">
        <v>35.481199999999902</v>
      </c>
      <c r="AD5128">
        <v>-1.1268527251289</v>
      </c>
      <c r="AE5128">
        <v>0.34702</v>
      </c>
      <c r="AF5128">
        <v>-7.8849223405362299</v>
      </c>
      <c r="AG5128">
        <v>-1.1268527251289</v>
      </c>
      <c r="AH5128">
        <v>34.5590540765564</v>
      </c>
      <c r="AI5128">
        <v>91.820800125471294</v>
      </c>
      <c r="AJ5128">
        <v>102.85248428750199</v>
      </c>
      <c r="AK5128">
        <v>35.465053447679601</v>
      </c>
      <c r="AL5128">
        <v>81.304603305656201</v>
      </c>
      <c r="AM5128">
        <v>100.155254467921</v>
      </c>
      <c r="AN5128">
        <v>0.99999999105214998</v>
      </c>
    </row>
    <row r="5129" spans="1:40" x14ac:dyDescent="0.25">
      <c r="A5129" t="str">
        <f>"20190303162404841"</f>
        <v>20190303162404841</v>
      </c>
      <c r="B5129" t="str">
        <f>"1551601444829926"</f>
        <v>1551601444829926</v>
      </c>
      <c r="C5129" t="s">
        <v>40</v>
      </c>
      <c r="D5129">
        <v>5.5188319999999997</v>
      </c>
      <c r="E5129">
        <v>0.47030319999999998</v>
      </c>
      <c r="F5129" t="s">
        <v>41</v>
      </c>
      <c r="G5129">
        <v>-351.67860000000002</v>
      </c>
      <c r="H5129" s="1">
        <v>-3.594277E-6</v>
      </c>
      <c r="I5129">
        <v>19.77449</v>
      </c>
      <c r="J5129">
        <v>-393.79700000000003</v>
      </c>
      <c r="K5129">
        <v>1.1268339999999999</v>
      </c>
      <c r="L5129">
        <v>18.487210000000001</v>
      </c>
      <c r="M5129">
        <v>0.97852799999999995</v>
      </c>
      <c r="N5129">
        <v>-1.2555180000000001E-2</v>
      </c>
      <c r="O5129">
        <v>-0.2057322</v>
      </c>
      <c r="P5129">
        <v>0.98942600000000003</v>
      </c>
      <c r="Q5129">
        <v>0.1422138</v>
      </c>
      <c r="R5129">
        <v>-2.8493419999999998E-2</v>
      </c>
      <c r="S5129">
        <v>3.0480649999999998</v>
      </c>
      <c r="T5129">
        <v>-8.105648E-2</v>
      </c>
      <c r="U5129">
        <v>8.9141849999999995E-2</v>
      </c>
      <c r="V5129">
        <v>-0.1779753</v>
      </c>
      <c r="W5129">
        <v>0.15179219999999999</v>
      </c>
      <c r="X5129">
        <v>0.97225709999999999</v>
      </c>
      <c r="Y5129">
        <v>-0.2341269</v>
      </c>
      <c r="Z5129">
        <v>7.4313950000000004E-3</v>
      </c>
      <c r="AA5129">
        <v>0.97217759999999998</v>
      </c>
      <c r="AB5129">
        <v>29</v>
      </c>
      <c r="AC5129">
        <v>42.118399999999902</v>
      </c>
      <c r="AD5129">
        <v>-1.1268375942769999</v>
      </c>
      <c r="AE5129">
        <v>1.28727999999999</v>
      </c>
      <c r="AF5129">
        <v>-9.9184380848954206</v>
      </c>
      <c r="AG5129">
        <v>-1.1268375942769999</v>
      </c>
      <c r="AH5129">
        <v>40.923153469105202</v>
      </c>
      <c r="AI5129">
        <v>91.532908271074902</v>
      </c>
      <c r="AJ5129">
        <v>103.623918474451</v>
      </c>
      <c r="AK5129">
        <v>42.123030124430997</v>
      </c>
      <c r="AL5129">
        <v>81.269198294531705</v>
      </c>
      <c r="AM5129">
        <v>100.37335854558501</v>
      </c>
      <c r="AN5129">
        <v>0.99999997394566897</v>
      </c>
    </row>
    <row r="5130" spans="1:40" x14ac:dyDescent="0.25">
      <c r="A5130" t="str">
        <f>"20190303162404866"</f>
        <v>20190303162404866</v>
      </c>
      <c r="B5130" t="str">
        <f>"1551601444850422"</f>
        <v>1551601444850422</v>
      </c>
      <c r="C5130" t="s">
        <v>40</v>
      </c>
      <c r="D5130">
        <v>5.5149739999999996</v>
      </c>
      <c r="E5130">
        <v>0.46950130000000001</v>
      </c>
      <c r="F5130" t="s">
        <v>41</v>
      </c>
      <c r="G5130">
        <v>-348.44049999999999</v>
      </c>
      <c r="H5130" s="1">
        <v>-8.9025679999999997E-7</v>
      </c>
      <c r="I5130">
        <v>20.51417</v>
      </c>
      <c r="J5130">
        <v>-393.50310000000002</v>
      </c>
      <c r="K5130">
        <v>1.1267480000000001</v>
      </c>
      <c r="L5130">
        <v>18.434329999999999</v>
      </c>
      <c r="M5130">
        <v>0.98018959999999999</v>
      </c>
      <c r="N5130">
        <v>-1.252147E-2</v>
      </c>
      <c r="O5130">
        <v>-0.19766590000000001</v>
      </c>
      <c r="P5130">
        <v>0.98993660000000006</v>
      </c>
      <c r="Q5130">
        <v>0.14055299999999901</v>
      </c>
      <c r="R5130">
        <v>-1.645141E-2</v>
      </c>
      <c r="S5130">
        <v>3.0469059999999999</v>
      </c>
      <c r="T5130">
        <v>-7.5697059999999997E-2</v>
      </c>
      <c r="U5130">
        <v>0.1361694</v>
      </c>
      <c r="V5130">
        <v>-0.1818003</v>
      </c>
      <c r="W5130">
        <v>0.15006700000000001</v>
      </c>
      <c r="X5130">
        <v>0.97181709999999999</v>
      </c>
      <c r="Y5130">
        <v>-0.2411239</v>
      </c>
      <c r="Z5130">
        <v>6.9092719999999897E-3</v>
      </c>
      <c r="AA5130">
        <v>0.97046980000000005</v>
      </c>
      <c r="AB5130">
        <v>29</v>
      </c>
      <c r="AC5130">
        <v>45.062600000000003</v>
      </c>
      <c r="AD5130">
        <v>-1.1267488902567999</v>
      </c>
      <c r="AE5130">
        <v>2.0798399999999999</v>
      </c>
      <c r="AF5130">
        <v>-10.9400085669257</v>
      </c>
      <c r="AG5130">
        <v>-1.1267488902567999</v>
      </c>
      <c r="AH5130">
        <v>43.734918701067201</v>
      </c>
      <c r="AI5130">
        <v>91.431699590324897</v>
      </c>
      <c r="AJ5130">
        <v>104.043985120663</v>
      </c>
      <c r="AK5130">
        <v>45.096523860438097</v>
      </c>
      <c r="AL5130">
        <v>81.369190367822796</v>
      </c>
      <c r="AM5130">
        <v>100.595993964511</v>
      </c>
      <c r="AN5130">
        <v>0.99999996471074903</v>
      </c>
    </row>
    <row r="5131" spans="1:40" x14ac:dyDescent="0.25">
      <c r="A5131" t="str">
        <f>"20190303162404887"</f>
        <v>20190303162404887</v>
      </c>
      <c r="B5131" t="str">
        <f>"1551601444879703"</f>
        <v>1551601444879703</v>
      </c>
      <c r="C5131" t="s">
        <v>40</v>
      </c>
      <c r="D5131">
        <v>5.5678239999999999</v>
      </c>
      <c r="E5131">
        <v>0.46939180000000003</v>
      </c>
      <c r="F5131" t="s">
        <v>41</v>
      </c>
      <c r="G5131">
        <v>-347.0754</v>
      </c>
      <c r="H5131" s="1">
        <v>-1.6509079999999999E-6</v>
      </c>
      <c r="I5131">
        <v>21.172049999999999</v>
      </c>
      <c r="J5131">
        <v>-393.21769999999998</v>
      </c>
      <c r="K5131">
        <v>1.1266339999999999</v>
      </c>
      <c r="L5131">
        <v>18.385190000000001</v>
      </c>
      <c r="M5131">
        <v>0.98170449999999998</v>
      </c>
      <c r="N5131">
        <v>-1.2489139999999999E-2</v>
      </c>
      <c r="O5131">
        <v>-0.190001</v>
      </c>
      <c r="P5131">
        <v>0.99035949999999995</v>
      </c>
      <c r="Q5131">
        <v>0.1383702</v>
      </c>
      <c r="R5131">
        <v>-6.4616079999999998E-3</v>
      </c>
      <c r="S5131">
        <v>3.0440369999999999</v>
      </c>
      <c r="T5131">
        <v>-7.3875430000000006E-2</v>
      </c>
      <c r="U5131">
        <v>0.17950439999999901</v>
      </c>
      <c r="V5131">
        <v>-0.18400430000000001</v>
      </c>
      <c r="W5131">
        <v>0.147865</v>
      </c>
      <c r="X5131">
        <v>0.97173989999999999</v>
      </c>
      <c r="Y5131">
        <v>-0.2473582</v>
      </c>
      <c r="Z5131">
        <v>6.7582270000000003E-3</v>
      </c>
      <c r="AA5131">
        <v>0.9689006</v>
      </c>
      <c r="AB5131">
        <v>29</v>
      </c>
      <c r="AC5131">
        <v>46.142299999999899</v>
      </c>
      <c r="AD5131">
        <v>-1.126635650908</v>
      </c>
      <c r="AE5131">
        <v>2.7868599999999999</v>
      </c>
      <c r="AF5131">
        <v>-11.497023631520699</v>
      </c>
      <c r="AG5131">
        <v>-1.126635650908</v>
      </c>
      <c r="AH5131">
        <v>44.745508488633199</v>
      </c>
      <c r="AI5131">
        <v>91.396973082699802</v>
      </c>
      <c r="AJ5131">
        <v>104.41000595204</v>
      </c>
      <c r="AK5131">
        <v>46.212675644026397</v>
      </c>
      <c r="AL5131">
        <v>81.496779922210806</v>
      </c>
      <c r="AM5131">
        <v>100.72232267803599</v>
      </c>
      <c r="AN5131">
        <v>1.00000003694774</v>
      </c>
    </row>
    <row r="5132" spans="1:40" x14ac:dyDescent="0.25">
      <c r="A5132" t="str">
        <f>"20190303162404908"</f>
        <v>20190303162404908</v>
      </c>
      <c r="B5132" t="str">
        <f>"1551601444900199"</f>
        <v>1551601444900199</v>
      </c>
      <c r="C5132" t="s">
        <v>40</v>
      </c>
      <c r="D5132">
        <v>5.5669360000000001</v>
      </c>
      <c r="E5132">
        <v>0.46954170000000001</v>
      </c>
      <c r="F5132" t="s">
        <v>41</v>
      </c>
      <c r="G5132">
        <v>-347.95420000000001</v>
      </c>
      <c r="H5132" s="1">
        <v>-1.3689370000000001E-6</v>
      </c>
      <c r="I5132">
        <v>21.529129999999999</v>
      </c>
      <c r="J5132">
        <v>-392.94529999999997</v>
      </c>
      <c r="K5132">
        <v>1.126522</v>
      </c>
      <c r="L5132">
        <v>18.340240000000001</v>
      </c>
      <c r="M5132">
        <v>0.98306470000000001</v>
      </c>
      <c r="N5132">
        <v>-1.24604E-2</v>
      </c>
      <c r="O5132">
        <v>-0.18283479999999999</v>
      </c>
      <c r="P5132">
        <v>0.99061089999999996</v>
      </c>
      <c r="Q5132">
        <v>0.13669870000000001</v>
      </c>
      <c r="R5132">
        <v>1.9149289999999999E-3</v>
      </c>
      <c r="S5132">
        <v>3.0411990000000002</v>
      </c>
      <c r="T5132">
        <v>-7.5697180000000003E-2</v>
      </c>
      <c r="U5132">
        <v>0.21124270000000001</v>
      </c>
      <c r="V5132">
        <v>-0.1851168</v>
      </c>
      <c r="W5132">
        <v>0.1461963</v>
      </c>
      <c r="X5132">
        <v>0.97178109999999995</v>
      </c>
      <c r="Y5132">
        <v>-0.25040519999999999</v>
      </c>
      <c r="Z5132">
        <v>6.9256689999999997E-3</v>
      </c>
      <c r="AA5132">
        <v>0.96811630000000004</v>
      </c>
      <c r="AB5132">
        <v>29</v>
      </c>
      <c r="AC5132">
        <v>44.991099999999904</v>
      </c>
      <c r="AD5132">
        <v>-1.126523368937</v>
      </c>
      <c r="AE5132">
        <v>3.1888899999999998</v>
      </c>
      <c r="AF5132">
        <v>-11.3546227397199</v>
      </c>
      <c r="AG5132">
        <v>-1.126523368937</v>
      </c>
      <c r="AH5132">
        <v>43.622298245792102</v>
      </c>
      <c r="AI5132">
        <v>91.431622473858297</v>
      </c>
      <c r="AJ5132">
        <v>104.589993706557</v>
      </c>
      <c r="AK5132">
        <v>45.089925889348798</v>
      </c>
      <c r="AL5132">
        <v>81.593439990294996</v>
      </c>
      <c r="AM5132">
        <v>100.785187599423</v>
      </c>
      <c r="AN5132">
        <v>1.00000004704656</v>
      </c>
    </row>
    <row r="5133" spans="1:40" x14ac:dyDescent="0.25">
      <c r="A5133" t="str">
        <f>"20190303162404931"</f>
        <v>20190303162404931</v>
      </c>
      <c r="B5133" t="str">
        <f>"1551601444919720"</f>
        <v>1551601444919720</v>
      </c>
      <c r="C5133" t="s">
        <v>40</v>
      </c>
      <c r="D5133">
        <v>5.6247499999999997</v>
      </c>
      <c r="E5133">
        <v>0.46957019999999999</v>
      </c>
      <c r="F5133" t="s">
        <v>41</v>
      </c>
      <c r="G5133">
        <v>-348.4547</v>
      </c>
      <c r="H5133" s="1">
        <v>-1.2228289999999999E-6</v>
      </c>
      <c r="I5133">
        <v>21.786999999999999</v>
      </c>
      <c r="J5133">
        <v>-392.66919999999999</v>
      </c>
      <c r="K5133">
        <v>1.126417</v>
      </c>
      <c r="L5133">
        <v>18.296569999999999</v>
      </c>
      <c r="M5133">
        <v>0.98435830000000002</v>
      </c>
      <c r="N5133">
        <v>-1.243388E-2</v>
      </c>
      <c r="O5133">
        <v>-0.17573939999999999</v>
      </c>
      <c r="P5133">
        <v>0.99050819999999995</v>
      </c>
      <c r="Q5133">
        <v>0.13709769999999999</v>
      </c>
      <c r="R5133">
        <v>9.8937399999999998E-3</v>
      </c>
      <c r="S5133">
        <v>3.038605</v>
      </c>
      <c r="T5133">
        <v>-7.6938989999999999E-2</v>
      </c>
      <c r="U5133">
        <v>0.2354126</v>
      </c>
      <c r="V5133">
        <v>-0.18589410000000001</v>
      </c>
      <c r="W5133">
        <v>0.14660290000000001</v>
      </c>
      <c r="X5133">
        <v>0.97157139999999997</v>
      </c>
      <c r="Y5133">
        <v>-0.25113439999999998</v>
      </c>
      <c r="Z5133">
        <v>6.9841969999999897E-3</v>
      </c>
      <c r="AA5133">
        <v>0.96792699999999998</v>
      </c>
      <c r="AB5133">
        <v>29</v>
      </c>
      <c r="AC5133">
        <v>44.214500000000001</v>
      </c>
      <c r="AD5133">
        <v>-1.1264182228290001</v>
      </c>
      <c r="AE5133">
        <v>3.4904299999999902</v>
      </c>
      <c r="AF5133">
        <v>-11.1997046435154</v>
      </c>
      <c r="AG5133">
        <v>-1.1264182228290001</v>
      </c>
      <c r="AH5133">
        <v>42.885155296776198</v>
      </c>
      <c r="AI5133">
        <v>91.455777771617505</v>
      </c>
      <c r="AJ5133">
        <v>104.636225004293</v>
      </c>
      <c r="AK5133">
        <v>44.337780130982097</v>
      </c>
      <c r="AL5133">
        <v>81.569889437878402</v>
      </c>
      <c r="AM5133">
        <v>100.83168764889299</v>
      </c>
      <c r="AN5133">
        <v>1.00000000600059</v>
      </c>
    </row>
    <row r="5134" spans="1:40" x14ac:dyDescent="0.25">
      <c r="A5134" t="str">
        <f>"20190303162404954"</f>
        <v>20190303162404954</v>
      </c>
      <c r="B5134" t="str">
        <f>"1551601444940214"</f>
        <v>1551601444940214</v>
      </c>
      <c r="C5134" t="s">
        <v>40</v>
      </c>
      <c r="D5134">
        <v>5.5679100000000004</v>
      </c>
      <c r="E5134">
        <v>0.4697247</v>
      </c>
      <c r="F5134" t="s">
        <v>41</v>
      </c>
      <c r="G5134">
        <v>-347.18049999999999</v>
      </c>
      <c r="H5134" s="1">
        <v>-1.8720940000000001E-6</v>
      </c>
      <c r="I5134">
        <v>22.17277</v>
      </c>
      <c r="J5134">
        <v>-392.37400000000002</v>
      </c>
      <c r="K5134">
        <v>1.1263179999999999</v>
      </c>
      <c r="L5134">
        <v>18.251919999999998</v>
      </c>
      <c r="M5134">
        <v>0.98564980000000002</v>
      </c>
      <c r="N5134">
        <v>-1.2407319999999999E-2</v>
      </c>
      <c r="O5134">
        <v>-0.1683463</v>
      </c>
      <c r="P5134">
        <v>0.99013660000000003</v>
      </c>
      <c r="Q5134">
        <v>0.13914309999999999</v>
      </c>
      <c r="R5134">
        <v>1.6401800000000001E-2</v>
      </c>
      <c r="S5134">
        <v>3.0365600000000001</v>
      </c>
      <c r="T5134">
        <v>-7.5193170000000004E-2</v>
      </c>
      <c r="U5134">
        <v>0.2587585</v>
      </c>
      <c r="V5134">
        <v>-0.18492420000000001</v>
      </c>
      <c r="W5134">
        <v>0.1486846</v>
      </c>
      <c r="X5134">
        <v>0.97144010000000003</v>
      </c>
      <c r="Y5134">
        <v>-0.2513185</v>
      </c>
      <c r="Z5134">
        <v>6.7322869999999896E-3</v>
      </c>
      <c r="AA5134">
        <v>0.96788099999999999</v>
      </c>
      <c r="AB5134">
        <v>29</v>
      </c>
      <c r="AC5134">
        <v>45.1935</v>
      </c>
      <c r="AD5134">
        <v>-1.126319872094</v>
      </c>
      <c r="AE5134">
        <v>3.92084999999999</v>
      </c>
      <c r="AF5134">
        <v>-11.466558164251101</v>
      </c>
      <c r="AG5134">
        <v>-1.126319872094</v>
      </c>
      <c r="AH5134">
        <v>43.861243737199104</v>
      </c>
      <c r="AI5134">
        <v>91.423175389080598</v>
      </c>
      <c r="AJ5134">
        <v>104.65082832129001</v>
      </c>
      <c r="AK5134">
        <v>45.349302693232403</v>
      </c>
      <c r="AL5134">
        <v>81.449294831636905</v>
      </c>
      <c r="AM5134">
        <v>100.77792267732799</v>
      </c>
      <c r="AN5134">
        <v>0.99999996895540399</v>
      </c>
    </row>
    <row r="5135" spans="1:40" x14ac:dyDescent="0.25">
      <c r="A5135" t="str">
        <f>"20190303162404979"</f>
        <v>20190303162404979</v>
      </c>
      <c r="B5135" t="str">
        <f>"1551601444970471"</f>
        <v>1551601444970471</v>
      </c>
      <c r="C5135" t="s">
        <v>40</v>
      </c>
      <c r="D5135">
        <v>5.6187959999999997</v>
      </c>
      <c r="E5135">
        <v>0.4703175</v>
      </c>
      <c r="F5135" t="s">
        <v>41</v>
      </c>
      <c r="G5135">
        <v>-340.94099999999997</v>
      </c>
      <c r="H5135" s="1">
        <v>-4.549329E-6</v>
      </c>
      <c r="I5135">
        <v>22.962309999999999</v>
      </c>
      <c r="J5135">
        <v>-392.07619999999997</v>
      </c>
      <c r="K5135">
        <v>1.126212</v>
      </c>
      <c r="L5135">
        <v>18.208950000000002</v>
      </c>
      <c r="M5135">
        <v>0.98686529999999995</v>
      </c>
      <c r="N5135">
        <v>-1.238174E-2</v>
      </c>
      <c r="O5135">
        <v>-0.16107070000000001</v>
      </c>
      <c r="P5135">
        <v>0.98969390000000002</v>
      </c>
      <c r="Q5135">
        <v>0.14165259999999999</v>
      </c>
      <c r="R5135">
        <v>2.099152E-2</v>
      </c>
      <c r="S5135">
        <v>3.0346069999999998</v>
      </c>
      <c r="T5135">
        <v>-6.6454410000000005E-2</v>
      </c>
      <c r="U5135">
        <v>0.27792359999999999</v>
      </c>
      <c r="V5135">
        <v>-0.18219170000000001</v>
      </c>
      <c r="W5135">
        <v>0.1512568</v>
      </c>
      <c r="X5135">
        <v>0.97155930000000001</v>
      </c>
      <c r="Y5135">
        <v>-0.25032330000000003</v>
      </c>
      <c r="Z5135">
        <v>5.8095409999999997E-3</v>
      </c>
      <c r="AA5135">
        <v>0.96814489999999997</v>
      </c>
      <c r="AB5135">
        <v>29</v>
      </c>
      <c r="AC5135">
        <v>51.135199999999998</v>
      </c>
      <c r="AD5135">
        <v>-1.1262165493289999</v>
      </c>
      <c r="AE5135">
        <v>4.7533599999999998</v>
      </c>
      <c r="AF5135">
        <v>-12.922083850755399</v>
      </c>
      <c r="AG5135">
        <v>-1.1262165493289999</v>
      </c>
      <c r="AH5135">
        <v>49.677841746598403</v>
      </c>
      <c r="AI5135">
        <v>91.256884632852703</v>
      </c>
      <c r="AJ5135">
        <v>104.580530468316</v>
      </c>
      <c r="AK5135">
        <v>51.343320649934803</v>
      </c>
      <c r="AL5135">
        <v>81.300232623280195</v>
      </c>
      <c r="AM5135">
        <v>100.621041424981</v>
      </c>
      <c r="AN5135">
        <v>0.99999995425580901</v>
      </c>
    </row>
    <row r="5136" spans="1:40" x14ac:dyDescent="0.25">
      <c r="A5136" t="str">
        <f>"20190303162404999"</f>
        <v>20190303162404999</v>
      </c>
      <c r="B5136" t="str">
        <f>"1551601444989991"</f>
        <v>1551601444989991</v>
      </c>
      <c r="C5136" t="s">
        <v>40</v>
      </c>
      <c r="D5136">
        <v>5.6800889999999997</v>
      </c>
      <c r="E5136">
        <v>0.47067100000000001</v>
      </c>
      <c r="F5136" t="s">
        <v>41</v>
      </c>
      <c r="G5136">
        <v>-328.56740000000002</v>
      </c>
      <c r="H5136" s="1">
        <v>-1.8941729999999999E-6</v>
      </c>
      <c r="I5136">
        <v>24.263390000000001</v>
      </c>
      <c r="J5136">
        <v>-391.80349999999999</v>
      </c>
      <c r="K5136">
        <v>1.1261139999999901</v>
      </c>
      <c r="L5136">
        <v>18.17145</v>
      </c>
      <c r="M5136">
        <v>0.98790849999999997</v>
      </c>
      <c r="N5136">
        <v>-1.235985E-2</v>
      </c>
      <c r="O5136">
        <v>-0.15454409999999999</v>
      </c>
      <c r="P5136">
        <v>0.98967709999999998</v>
      </c>
      <c r="Q5136">
        <v>0.1411897</v>
      </c>
      <c r="R5136">
        <v>2.4592119999999999E-2</v>
      </c>
      <c r="S5136">
        <v>3.0328059999999999</v>
      </c>
      <c r="T5136">
        <v>-5.3781269999999999E-2</v>
      </c>
      <c r="U5136">
        <v>0.28912349999999998</v>
      </c>
      <c r="V5136">
        <v>-0.17926700000000001</v>
      </c>
      <c r="W5136">
        <v>0.15086040000000001</v>
      </c>
      <c r="X5136">
        <v>0.97216480000000005</v>
      </c>
      <c r="Y5136">
        <v>-0.2475521</v>
      </c>
      <c r="Z5136">
        <v>4.5462009999999997E-3</v>
      </c>
      <c r="AA5136">
        <v>0.9688639</v>
      </c>
      <c r="AB5136">
        <v>29</v>
      </c>
      <c r="AC5136">
        <v>63.236099999999901</v>
      </c>
      <c r="AD5136">
        <v>-1.1261158941729901</v>
      </c>
      <c r="AE5136">
        <v>6.0919400000000001</v>
      </c>
      <c r="AF5136">
        <v>-15.787292394555701</v>
      </c>
      <c r="AG5136">
        <v>-1.1261158941729901</v>
      </c>
      <c r="AH5136">
        <v>61.515383408564503</v>
      </c>
      <c r="AI5136">
        <v>91.015840649354899</v>
      </c>
      <c r="AJ5136">
        <v>104.393731560768</v>
      </c>
      <c r="AK5136">
        <v>63.518888010268199</v>
      </c>
      <c r="AL5136">
        <v>81.323208354480101</v>
      </c>
      <c r="AM5136">
        <v>100.447963966087</v>
      </c>
      <c r="AN5136">
        <v>0.99999995796809904</v>
      </c>
    </row>
    <row r="5137" spans="1:40" x14ac:dyDescent="0.25">
      <c r="A5137" t="str">
        <f>"20190303162405022"</f>
        <v>20190303162405022</v>
      </c>
      <c r="B5137" t="str">
        <f>"1551601445010487"</f>
        <v>1551601445010487</v>
      </c>
      <c r="C5137" t="s">
        <v>40</v>
      </c>
      <c r="D5137">
        <v>5.6176919999999999</v>
      </c>
      <c r="E5137">
        <v>0.47123890000000002</v>
      </c>
      <c r="F5137" t="s">
        <v>41</v>
      </c>
      <c r="G5137">
        <v>-326.67070000000001</v>
      </c>
      <c r="H5137" s="1">
        <v>-2.8724370000000002E-6</v>
      </c>
      <c r="I5137">
        <v>24.57057</v>
      </c>
      <c r="J5137">
        <v>-391.52769999999998</v>
      </c>
      <c r="K5137">
        <v>1.1260209999999999</v>
      </c>
      <c r="L5137">
        <v>18.135249999999999</v>
      </c>
      <c r="M5137">
        <v>0.98890350000000005</v>
      </c>
      <c r="N5137">
        <v>-1.234042E-2</v>
      </c>
      <c r="O5137">
        <v>-0.14804529999999999</v>
      </c>
      <c r="P5137">
        <v>0.98996729999999999</v>
      </c>
      <c r="Q5137">
        <v>0.13834839999999901</v>
      </c>
      <c r="R5137">
        <v>2.8710659999999999E-2</v>
      </c>
      <c r="S5137">
        <v>3.031342</v>
      </c>
      <c r="T5137">
        <v>-5.2410600000000002E-2</v>
      </c>
      <c r="U5137">
        <v>0.297821</v>
      </c>
      <c r="V5137">
        <v>-0.1769076</v>
      </c>
      <c r="W5137">
        <v>0.14807770000000001</v>
      </c>
      <c r="X5137">
        <v>0.97302449999999996</v>
      </c>
      <c r="Y5137">
        <v>-0.24398230000000001</v>
      </c>
      <c r="Z5137">
        <v>4.3397929999999998E-3</v>
      </c>
      <c r="AA5137">
        <v>0.96977000000000002</v>
      </c>
      <c r="AB5137">
        <v>29</v>
      </c>
      <c r="AC5137">
        <v>64.8569999999999</v>
      </c>
      <c r="AD5137">
        <v>-1.126023872437</v>
      </c>
      <c r="AE5137">
        <v>6.4353199999999999</v>
      </c>
      <c r="AF5137">
        <v>-15.962137167759</v>
      </c>
      <c r="AG5137">
        <v>-1.126023872437</v>
      </c>
      <c r="AH5137">
        <v>63.1705567883538</v>
      </c>
      <c r="AI5137">
        <v>90.990084685455599</v>
      </c>
      <c r="AJ5137">
        <v>104.18084352698899</v>
      </c>
      <c r="AK5137">
        <v>65.165765534322404</v>
      </c>
      <c r="AL5137">
        <v>81.484457065203998</v>
      </c>
      <c r="AM5137">
        <v>100.30450757799299</v>
      </c>
      <c r="AN5137">
        <v>0.99999999088764902</v>
      </c>
    </row>
    <row r="5138" spans="1:40" x14ac:dyDescent="0.25">
      <c r="A5138" t="str">
        <f>"20190303162405043"</f>
        <v>20190303162405043</v>
      </c>
      <c r="B5138" t="str">
        <f>"1551601445030007"</f>
        <v>1551601445030007</v>
      </c>
      <c r="C5138" t="s">
        <v>40</v>
      </c>
      <c r="D5138">
        <v>5.6151819999999999</v>
      </c>
      <c r="E5138">
        <v>0.47181699999999999</v>
      </c>
      <c r="F5138" t="s">
        <v>41</v>
      </c>
      <c r="G5138">
        <v>-336.66980000000001</v>
      </c>
      <c r="H5138" s="1">
        <v>-2.4874539999999999E-6</v>
      </c>
      <c r="I5138">
        <v>23.662120000000002</v>
      </c>
      <c r="J5138">
        <v>-391.24950000000001</v>
      </c>
      <c r="K5138">
        <v>1.1259539999999999</v>
      </c>
      <c r="L5138">
        <v>18.10059</v>
      </c>
      <c r="M5138">
        <v>0.98985199999999995</v>
      </c>
      <c r="N5138">
        <v>-1.232841E-2</v>
      </c>
      <c r="O5138">
        <v>-0.1415671</v>
      </c>
      <c r="P5138">
        <v>0.99008410000000002</v>
      </c>
      <c r="Q5138">
        <v>0.13648650000000001</v>
      </c>
      <c r="R5138">
        <v>3.3242239999999999E-2</v>
      </c>
      <c r="S5138">
        <v>3.030243</v>
      </c>
      <c r="T5138">
        <v>-6.219935E-2</v>
      </c>
      <c r="U5138">
        <v>0.30529790000000001</v>
      </c>
      <c r="V5138">
        <v>-0.17497560000000001</v>
      </c>
      <c r="W5138">
        <v>0.14626420000000001</v>
      </c>
      <c r="X5138">
        <v>0.97364799999999996</v>
      </c>
      <c r="Y5138">
        <v>-0.2400129</v>
      </c>
      <c r="Z5138">
        <v>5.094169E-3</v>
      </c>
      <c r="AA5138">
        <v>0.97075639999999996</v>
      </c>
      <c r="AB5138">
        <v>29</v>
      </c>
      <c r="AC5138">
        <v>54.579700000000003</v>
      </c>
      <c r="AD5138">
        <v>-1.125956487454</v>
      </c>
      <c r="AE5138">
        <v>5.5615300000000003</v>
      </c>
      <c r="AF5138">
        <v>-13.2272142918598</v>
      </c>
      <c r="AG5138">
        <v>-1.125956487454</v>
      </c>
      <c r="AH5138">
        <v>53.220119458470599</v>
      </c>
      <c r="AI5138">
        <v>91.176229143837503</v>
      </c>
      <c r="AJ5138">
        <v>103.957369528855</v>
      </c>
      <c r="AK5138">
        <v>54.850780223332301</v>
      </c>
      <c r="AL5138">
        <v>81.589507378210001</v>
      </c>
      <c r="AM5138">
        <v>100.18795371690101</v>
      </c>
      <c r="AN5138">
        <v>1.0000000523504899</v>
      </c>
    </row>
    <row r="5139" spans="1:40" x14ac:dyDescent="0.25">
      <c r="A5139" t="str">
        <f>"20190303162405067"</f>
        <v>20190303162405067</v>
      </c>
      <c r="B5139" t="str">
        <f>"1551601445060263"</f>
        <v>1551601445060263</v>
      </c>
      <c r="C5139" t="s">
        <v>40</v>
      </c>
      <c r="D5139">
        <v>5.7408539999999997</v>
      </c>
      <c r="E5139">
        <v>0.48183559999999998</v>
      </c>
      <c r="F5139" t="s">
        <v>41</v>
      </c>
      <c r="G5139">
        <v>-341.16460000000001</v>
      </c>
      <c r="H5139" s="1">
        <v>-4.5349899999999999E-6</v>
      </c>
      <c r="I5139">
        <v>23.310500000000001</v>
      </c>
      <c r="J5139">
        <v>-390.9529</v>
      </c>
      <c r="K5139">
        <v>1.1259060000000001</v>
      </c>
      <c r="L5139">
        <v>18.065670000000001</v>
      </c>
      <c r="M5139">
        <v>0.99080849999999998</v>
      </c>
      <c r="N5139">
        <v>-1.232376E-2</v>
      </c>
      <c r="O5139">
        <v>-0.134709</v>
      </c>
      <c r="P5139">
        <v>0.98997729999999995</v>
      </c>
      <c r="Q5139">
        <v>0.13631109999999999</v>
      </c>
      <c r="R5139">
        <v>3.6934920000000003E-2</v>
      </c>
      <c r="S5139">
        <v>3.028778</v>
      </c>
      <c r="T5139">
        <v>-6.8089960000000005E-2</v>
      </c>
      <c r="U5139">
        <v>0.3150635</v>
      </c>
      <c r="V5139">
        <v>-0.1718433</v>
      </c>
      <c r="W5139">
        <v>0.146151</v>
      </c>
      <c r="X5139">
        <v>0.9742227</v>
      </c>
      <c r="Y5139">
        <v>-0.2364195</v>
      </c>
      <c r="Z5139">
        <v>5.4727669999999999E-3</v>
      </c>
      <c r="AA5139">
        <v>0.97163560000000004</v>
      </c>
      <c r="AB5139">
        <v>29</v>
      </c>
      <c r="AC5139">
        <v>49.7882999999999</v>
      </c>
      <c r="AD5139">
        <v>-1.1259105349899901</v>
      </c>
      <c r="AE5139">
        <v>5.2448300000000003</v>
      </c>
      <c r="AF5139">
        <v>-11.898441057778101</v>
      </c>
      <c r="AG5139">
        <v>-1.1259105349899901</v>
      </c>
      <c r="AH5139">
        <v>48.603258451866402</v>
      </c>
      <c r="AI5139">
        <v>91.288988718505195</v>
      </c>
      <c r="AJ5139">
        <v>103.75589407516399</v>
      </c>
      <c r="AK5139">
        <v>50.051146902714798</v>
      </c>
      <c r="AL5139">
        <v>81.596063710942403</v>
      </c>
      <c r="AM5139">
        <v>100.003510833422</v>
      </c>
      <c r="AN5139">
        <v>1.0000000518755801</v>
      </c>
    </row>
    <row r="5140" spans="1:40" x14ac:dyDescent="0.25">
      <c r="A5140" t="str">
        <f>"20190303162405089"</f>
        <v>20190303162405089</v>
      </c>
      <c r="B5140" t="str">
        <f>"1551601445079783"</f>
        <v>1551601445079783</v>
      </c>
      <c r="C5140" t="s">
        <v>40</v>
      </c>
      <c r="D5140">
        <v>5.677295</v>
      </c>
      <c r="E5140">
        <v>0.48200910000000002</v>
      </c>
      <c r="F5140" t="s">
        <v>41</v>
      </c>
      <c r="G5140">
        <v>-337.26569999999998</v>
      </c>
      <c r="H5140" s="1">
        <v>-1.914505E-6</v>
      </c>
      <c r="I5140">
        <v>22.469539999999999</v>
      </c>
      <c r="J5140">
        <v>-390.66559999999998</v>
      </c>
      <c r="K5140">
        <v>1.1258729999999999</v>
      </c>
      <c r="L5140">
        <v>18.033840000000001</v>
      </c>
      <c r="M5140">
        <v>0.9916855</v>
      </c>
      <c r="N5140">
        <v>-1.232202E-2</v>
      </c>
      <c r="O5140">
        <v>-0.1280946</v>
      </c>
      <c r="P5140">
        <v>0.98984939999999999</v>
      </c>
      <c r="Q5140">
        <v>0.13611770000000001</v>
      </c>
      <c r="R5140">
        <v>4.0871829999999998E-2</v>
      </c>
      <c r="S5140">
        <v>3.0298159999999998</v>
      </c>
      <c r="T5140">
        <v>-6.3540219999999994E-2</v>
      </c>
      <c r="U5140">
        <v>0.24853520000000001</v>
      </c>
      <c r="V5140">
        <v>-0.16920360000000001</v>
      </c>
      <c r="W5140">
        <v>0.1460062</v>
      </c>
      <c r="X5140">
        <v>0.97470630000000003</v>
      </c>
      <c r="Y5140">
        <v>-0.2086799</v>
      </c>
      <c r="Z5140">
        <v>4.5749969999999999E-3</v>
      </c>
      <c r="AA5140">
        <v>0.97797330000000005</v>
      </c>
      <c r="AB5140">
        <v>29</v>
      </c>
      <c r="AC5140">
        <v>53.399900000000002</v>
      </c>
      <c r="AD5140">
        <v>-1.125874914505</v>
      </c>
      <c r="AE5140">
        <v>4.4356999999999998</v>
      </c>
      <c r="AF5140">
        <v>-11.2349504300239</v>
      </c>
      <c r="AG5140">
        <v>-1.125874914505</v>
      </c>
      <c r="AH5140">
        <v>52.368570083224199</v>
      </c>
      <c r="AI5140">
        <v>91.204222995205299</v>
      </c>
      <c r="AJ5140">
        <v>102.108474308718</v>
      </c>
      <c r="AK5140">
        <v>53.571996771165601</v>
      </c>
      <c r="AL5140">
        <v>81.604449830540602</v>
      </c>
      <c r="AM5140">
        <v>99.848087596395004</v>
      </c>
      <c r="AN5140">
        <v>1.0000000199755401</v>
      </c>
    </row>
    <row r="5141" spans="1:40" x14ac:dyDescent="0.25">
      <c r="A5141" t="str">
        <f>"20190303162405102"</f>
        <v>20190303162405102</v>
      </c>
      <c r="B5141" t="str">
        <f>"1551601445090520"</f>
        <v>1551601445090520</v>
      </c>
      <c r="C5141" t="s">
        <v>40</v>
      </c>
      <c r="D5141">
        <v>5.6147600000000004</v>
      </c>
      <c r="E5141">
        <v>0.48209209999999902</v>
      </c>
      <c r="F5141" t="s">
        <v>41</v>
      </c>
      <c r="G5141">
        <v>-333.72620000000001</v>
      </c>
      <c r="H5141" s="1">
        <v>-3.5528850000000001E-6</v>
      </c>
      <c r="I5141">
        <v>22.920359999999999</v>
      </c>
      <c r="J5141">
        <v>-390.4948</v>
      </c>
      <c r="K5141">
        <v>1.125861</v>
      </c>
      <c r="L5141">
        <v>18.01559</v>
      </c>
      <c r="M5141">
        <v>0.9921854</v>
      </c>
      <c r="N5141">
        <v>-1.232133E-2</v>
      </c>
      <c r="O5141">
        <v>-0.1241637</v>
      </c>
      <c r="P5141">
        <v>0.98978679999999997</v>
      </c>
      <c r="Q5141">
        <v>0.13579559999999999</v>
      </c>
      <c r="R5141">
        <v>4.3379569999999999E-2</v>
      </c>
      <c r="S5141">
        <v>3.0282589999999998</v>
      </c>
      <c r="T5141">
        <v>-5.9878470000000003E-2</v>
      </c>
      <c r="U5141">
        <v>0.2598877</v>
      </c>
      <c r="V5141">
        <v>-0.16780529999999999</v>
      </c>
      <c r="W5141">
        <v>0.14570900000000001</v>
      </c>
      <c r="X5141">
        <v>0.97499250000000004</v>
      </c>
      <c r="Y5141">
        <v>-0.20849390000000001</v>
      </c>
      <c r="Z5141">
        <v>4.2652769999999996E-3</v>
      </c>
      <c r="AA5141">
        <v>0.9780143</v>
      </c>
      <c r="AB5141">
        <v>29</v>
      </c>
      <c r="AC5141">
        <v>56.7685999999999</v>
      </c>
      <c r="AD5141">
        <v>-1.125864552885</v>
      </c>
      <c r="AE5141">
        <v>4.9047700000000001</v>
      </c>
      <c r="AF5141">
        <v>-11.911292974149999</v>
      </c>
      <c r="AG5141">
        <v>-1.125864552885</v>
      </c>
      <c r="AH5141">
        <v>55.698457395839</v>
      </c>
      <c r="AI5141">
        <v>91.132396745270796</v>
      </c>
      <c r="AJ5141">
        <v>102.07106132361901</v>
      </c>
      <c r="AK5141">
        <v>56.968979520292997</v>
      </c>
      <c r="AL5141">
        <v>81.621662492668406</v>
      </c>
      <c r="AM5141">
        <v>99.765464972034295</v>
      </c>
      <c r="AN5141">
        <v>1.0000000532226601</v>
      </c>
    </row>
    <row r="5142" spans="1:40" x14ac:dyDescent="0.25">
      <c r="A5142" t="str">
        <f>"20190303162405121"</f>
        <v>20190303162405121</v>
      </c>
      <c r="B5142" t="str">
        <f>"1551601445110039"</f>
        <v>1551601445110039</v>
      </c>
      <c r="C5142" t="s">
        <v>40</v>
      </c>
      <c r="D5142">
        <v>5.6733310000000001</v>
      </c>
      <c r="E5142">
        <v>0.48301500000000003</v>
      </c>
      <c r="F5142" t="s">
        <v>41</v>
      </c>
      <c r="G5142">
        <v>-334.2559</v>
      </c>
      <c r="H5142" s="1">
        <v>-3.3396109999999998E-6</v>
      </c>
      <c r="I5142">
        <v>22.972909999999999</v>
      </c>
      <c r="J5142">
        <v>-390.25049999999999</v>
      </c>
      <c r="K5142">
        <v>1.125845</v>
      </c>
      <c r="L5142">
        <v>17.991</v>
      </c>
      <c r="M5142">
        <v>0.99287289999999995</v>
      </c>
      <c r="N5142">
        <v>-1.232138E-2</v>
      </c>
      <c r="O5142">
        <v>-0.1185392</v>
      </c>
      <c r="P5142">
        <v>0.98987360000000002</v>
      </c>
      <c r="Q5142">
        <v>0.1342148</v>
      </c>
      <c r="R5142">
        <v>4.6225950000000002E-2</v>
      </c>
      <c r="S5142">
        <v>3.0275569999999998</v>
      </c>
      <c r="T5142">
        <v>-6.0609700000000002E-2</v>
      </c>
      <c r="U5142">
        <v>0.26687620000000001</v>
      </c>
      <c r="V5142">
        <v>-0.16508299999999901</v>
      </c>
      <c r="W5142">
        <v>0.1441733</v>
      </c>
      <c r="X5142">
        <v>0.97568520000000003</v>
      </c>
      <c r="Y5142">
        <v>-0.20521010000000001</v>
      </c>
      <c r="Z5142">
        <v>4.2255779999999998E-3</v>
      </c>
      <c r="AA5142">
        <v>0.97870880000000005</v>
      </c>
      <c r="AB5142">
        <v>29</v>
      </c>
      <c r="AC5142">
        <v>55.994599999999899</v>
      </c>
      <c r="AD5142">
        <v>-1.1258483396109999</v>
      </c>
      <c r="AE5142">
        <v>4.9819099999999903</v>
      </c>
      <c r="AF5142">
        <v>-11.580193487838701</v>
      </c>
      <c r="AG5142">
        <v>-1.1258483396109999</v>
      </c>
      <c r="AH5142">
        <v>54.987091490644197</v>
      </c>
      <c r="AI5142">
        <v>91.147784324008398</v>
      </c>
      <c r="AJ5142">
        <v>101.89261281879099</v>
      </c>
      <c r="AK5142">
        <v>56.204525140775502</v>
      </c>
      <c r="AL5142">
        <v>81.710590016630107</v>
      </c>
      <c r="AM5142">
        <v>99.603322677734099</v>
      </c>
      <c r="AN5142">
        <v>0.99999997341046398</v>
      </c>
    </row>
    <row r="5143" spans="1:40" x14ac:dyDescent="0.25">
      <c r="A5143" t="str">
        <f>"20190303162405135"</f>
        <v>20190303162405135</v>
      </c>
      <c r="B5143" t="str">
        <f>"1551601445130536"</f>
        <v>1551601445130536</v>
      </c>
      <c r="C5143" t="s">
        <v>40</v>
      </c>
      <c r="D5143">
        <v>5.6081120000000002</v>
      </c>
      <c r="E5143">
        <v>0.48333759999999998</v>
      </c>
      <c r="F5143" t="s">
        <v>41</v>
      </c>
      <c r="G5143">
        <v>-335.98719999999997</v>
      </c>
      <c r="H5143" s="1">
        <v>-2.5524299999999999E-6</v>
      </c>
      <c r="I5143">
        <v>22.805710000000001</v>
      </c>
      <c r="J5143">
        <v>-390.08539999999999</v>
      </c>
      <c r="K5143">
        <v>1.1258379999999999</v>
      </c>
      <c r="L5143">
        <v>17.975279999999898</v>
      </c>
      <c r="M5143">
        <v>0.99332030000000004</v>
      </c>
      <c r="N5143">
        <v>-1.232193E-2</v>
      </c>
      <c r="O5143">
        <v>-0.1147302</v>
      </c>
      <c r="P5143">
        <v>0.9899135</v>
      </c>
      <c r="Q5143">
        <v>0.1332874</v>
      </c>
      <c r="R5143">
        <v>4.8019289999999999E-2</v>
      </c>
      <c r="S5143">
        <v>3.0266419999999998</v>
      </c>
      <c r="T5143">
        <v>-6.2796350000000001E-2</v>
      </c>
      <c r="U5143">
        <v>0.26855469999999998</v>
      </c>
      <c r="V5143">
        <v>-0.16310720000000001</v>
      </c>
      <c r="W5143">
        <v>0.14327719999999999</v>
      </c>
      <c r="X5143">
        <v>0.97614939999999994</v>
      </c>
      <c r="Y5143">
        <v>-0.20201620000000001</v>
      </c>
      <c r="Z5143">
        <v>4.3017990000000002E-3</v>
      </c>
      <c r="AA5143">
        <v>0.97937269999999998</v>
      </c>
      <c r="AB5143">
        <v>29</v>
      </c>
      <c r="AC5143">
        <v>54.098199999999999</v>
      </c>
      <c r="AD5143">
        <v>-1.1258405524299999</v>
      </c>
      <c r="AE5143">
        <v>4.8304299999999998</v>
      </c>
      <c r="AF5143">
        <v>-11.000969807886801</v>
      </c>
      <c r="AG5143">
        <v>-1.1258405524299999</v>
      </c>
      <c r="AH5143">
        <v>53.163836952713297</v>
      </c>
      <c r="AI5143">
        <v>91.188000544016106</v>
      </c>
      <c r="AJ5143">
        <v>101.690976504731</v>
      </c>
      <c r="AK5143">
        <v>54.301771731668303</v>
      </c>
      <c r="AL5143">
        <v>81.762471498793204</v>
      </c>
      <c r="AM5143">
        <v>99.486057111901104</v>
      </c>
      <c r="AN5143">
        <v>0.99999998292601899</v>
      </c>
    </row>
    <row r="5144" spans="1:40" x14ac:dyDescent="0.25">
      <c r="A5144" t="str">
        <f>"20190303162405149"</f>
        <v>20190303162405149</v>
      </c>
      <c r="B5144" t="str">
        <f>"1551601445140295"</f>
        <v>1551601445140295</v>
      </c>
      <c r="C5144" t="s">
        <v>40</v>
      </c>
      <c r="D5144">
        <v>5.6139830000000002</v>
      </c>
      <c r="E5144">
        <v>0.48346630000000002</v>
      </c>
      <c r="F5144" t="s">
        <v>41</v>
      </c>
      <c r="G5144">
        <v>-337.84530000000001</v>
      </c>
      <c r="H5144" s="1">
        <v>-1.7178370000000001E-6</v>
      </c>
      <c r="I5144">
        <v>22.664909999999999</v>
      </c>
      <c r="J5144">
        <v>-389.90690000000001</v>
      </c>
      <c r="K5144">
        <v>1.1258349999999999</v>
      </c>
      <c r="L5144">
        <v>17.958860000000001</v>
      </c>
      <c r="M5144">
        <v>0.99378840000000002</v>
      </c>
      <c r="N5144">
        <v>-1.232289E-2</v>
      </c>
      <c r="O5144">
        <v>-0.110601</v>
      </c>
      <c r="P5144">
        <v>0.9899597</v>
      </c>
      <c r="Q5144">
        <v>0.13237370000000001</v>
      </c>
      <c r="R5144">
        <v>4.9568599999999997E-2</v>
      </c>
      <c r="S5144">
        <v>3.0261840000000002</v>
      </c>
      <c r="T5144">
        <v>-6.5218090000000006E-2</v>
      </c>
      <c r="U5144">
        <v>0.27166750000000001</v>
      </c>
      <c r="V5144">
        <v>-0.16057589999999999</v>
      </c>
      <c r="W5144">
        <v>0.14240259999999999</v>
      </c>
      <c r="X5144">
        <v>0.97669689999999998</v>
      </c>
      <c r="Y5144">
        <v>-0.19895360000000001</v>
      </c>
      <c r="Z5144">
        <v>4.3851200000000002E-3</v>
      </c>
      <c r="AA5144">
        <v>0.97999910000000001</v>
      </c>
      <c r="AB5144">
        <v>29</v>
      </c>
      <c r="AC5144">
        <v>52.061599999999999</v>
      </c>
      <c r="AD5144">
        <v>-1.1258367178369999</v>
      </c>
      <c r="AE5144">
        <v>4.7060499999999896</v>
      </c>
      <c r="AF5144">
        <v>-10.4308378558613</v>
      </c>
      <c r="AG5144">
        <v>-1.1258367178369999</v>
      </c>
      <c r="AH5144">
        <v>51.197865862592401</v>
      </c>
      <c r="AI5144">
        <v>91.234376434582799</v>
      </c>
      <c r="AJ5144">
        <v>101.51559656048499</v>
      </c>
      <c r="AK5144">
        <v>52.261758060502601</v>
      </c>
      <c r="AL5144">
        <v>81.813101514268595</v>
      </c>
      <c r="AM5144">
        <v>99.336311342052198</v>
      </c>
      <c r="AN5144">
        <v>0.99999997730858903</v>
      </c>
    </row>
    <row r="5145" spans="1:40" x14ac:dyDescent="0.25">
      <c r="A5145" t="str">
        <f>"20190303162405168"</f>
        <v>20190303162405168</v>
      </c>
      <c r="B5145" t="str">
        <f>"1551601445159815"</f>
        <v>1551601445159815</v>
      </c>
      <c r="C5145" t="s">
        <v>40</v>
      </c>
      <c r="D5145">
        <v>5.618055</v>
      </c>
      <c r="E5145">
        <v>0.48409219999999997</v>
      </c>
      <c r="F5145" t="s">
        <v>41</v>
      </c>
      <c r="G5145">
        <v>-338.90019999999998</v>
      </c>
      <c r="H5145" s="1">
        <v>-1.2506139999999999E-6</v>
      </c>
      <c r="I5145">
        <v>22.609739999999999</v>
      </c>
      <c r="J5145">
        <v>-389.65809999999999</v>
      </c>
      <c r="K5145">
        <v>1.1258300000000001</v>
      </c>
      <c r="L5145">
        <v>17.93723</v>
      </c>
      <c r="M5145">
        <v>0.99441360000000001</v>
      </c>
      <c r="N5145">
        <v>-1.232492E-2</v>
      </c>
      <c r="O5145">
        <v>-0.1048332</v>
      </c>
      <c r="P5145">
        <v>0.99012690000000003</v>
      </c>
      <c r="Q5145">
        <v>0.13079440000000001</v>
      </c>
      <c r="R5145">
        <v>5.0414439999999998E-2</v>
      </c>
      <c r="S5145">
        <v>3.0255429999999999</v>
      </c>
      <c r="T5145">
        <v>-6.6780809999999996E-2</v>
      </c>
      <c r="U5145">
        <v>0.27587889999999998</v>
      </c>
      <c r="V5145">
        <v>-0.1557373</v>
      </c>
      <c r="W5145">
        <v>0.14089689999999999</v>
      </c>
      <c r="X5145">
        <v>0.97769830000000002</v>
      </c>
      <c r="Y5145">
        <v>-0.1946358</v>
      </c>
      <c r="Z5145">
        <v>4.3643229999999998E-3</v>
      </c>
      <c r="AA5145">
        <v>0.98086589999999996</v>
      </c>
      <c r="AB5145">
        <v>29</v>
      </c>
      <c r="AC5145">
        <v>50.757899999999999</v>
      </c>
      <c r="AD5145">
        <v>-1.12583125061399</v>
      </c>
      <c r="AE5145">
        <v>4.6725099999999902</v>
      </c>
      <c r="AF5145">
        <v>-9.9634156372286196</v>
      </c>
      <c r="AG5145">
        <v>-1.12583125061399</v>
      </c>
      <c r="AH5145">
        <v>49.9639267144603</v>
      </c>
      <c r="AI5145">
        <v>91.265904812667799</v>
      </c>
      <c r="AJ5145">
        <v>101.27754467955199</v>
      </c>
      <c r="AK5145">
        <v>50.960093405457897</v>
      </c>
      <c r="AL5145">
        <v>81.900250738898094</v>
      </c>
      <c r="AM5145">
        <v>99.050592957492199</v>
      </c>
      <c r="AN5145">
        <v>1.00000000443189</v>
      </c>
    </row>
    <row r="5146" spans="1:40" x14ac:dyDescent="0.25">
      <c r="A5146" t="str">
        <f>"20190303162405192"</f>
        <v>20190303162405192</v>
      </c>
      <c r="B5146" t="str">
        <f>"1551601445180311"</f>
        <v>1551601445180311</v>
      </c>
      <c r="C5146" t="s">
        <v>40</v>
      </c>
      <c r="D5146">
        <v>5.6811910000000001</v>
      </c>
      <c r="E5146">
        <v>0.48452139999999999</v>
      </c>
      <c r="F5146" t="s">
        <v>41</v>
      </c>
      <c r="G5146">
        <v>-339.57560000000001</v>
      </c>
      <c r="H5146" s="1">
        <v>-9.2945609999999995E-7</v>
      </c>
      <c r="I5146">
        <v>22.491620000000001</v>
      </c>
      <c r="J5146">
        <v>-389.3657</v>
      </c>
      <c r="K5146">
        <v>1.125831</v>
      </c>
      <c r="L5146">
        <v>17.913699999999999</v>
      </c>
      <c r="M5146">
        <v>0.99510719999999997</v>
      </c>
      <c r="N5146">
        <v>-1.232744E-2</v>
      </c>
      <c r="O5146">
        <v>-9.8029630000000006E-2</v>
      </c>
      <c r="P5146">
        <v>0.9900909</v>
      </c>
      <c r="Q5146">
        <v>0.130352</v>
      </c>
      <c r="R5146">
        <v>5.2232729999999998E-2</v>
      </c>
      <c r="S5146">
        <v>3.0249329999999999</v>
      </c>
      <c r="T5146">
        <v>-6.7999009999999999E-2</v>
      </c>
      <c r="U5146">
        <v>0.27508539999999998</v>
      </c>
      <c r="V5146">
        <v>-0.15083840000000001</v>
      </c>
      <c r="W5146">
        <v>0.14052629999999999</v>
      </c>
      <c r="X5146">
        <v>0.97851940000000004</v>
      </c>
      <c r="Y5146">
        <v>-0.18768550000000001</v>
      </c>
      <c r="Z5146">
        <v>4.2570079999999996E-3</v>
      </c>
      <c r="AA5146">
        <v>0.98221990000000003</v>
      </c>
      <c r="AB5146">
        <v>29</v>
      </c>
      <c r="AC5146">
        <v>49.790100000000002</v>
      </c>
      <c r="AD5146">
        <v>-1.1258319294560999</v>
      </c>
      <c r="AE5146">
        <v>4.5779199999999998</v>
      </c>
      <c r="AF5146">
        <v>-9.4323606104044497</v>
      </c>
      <c r="AG5146">
        <v>-1.1258319294560999</v>
      </c>
      <c r="AH5146">
        <v>49.076561761534599</v>
      </c>
      <c r="AI5146">
        <v>91.290541203555705</v>
      </c>
      <c r="AJ5146">
        <v>100.879402657878</v>
      </c>
      <c r="AK5146">
        <v>49.987456812202602</v>
      </c>
      <c r="AL5146">
        <v>81.921698230602502</v>
      </c>
      <c r="AM5146">
        <v>98.763147159977393</v>
      </c>
      <c r="AN5146">
        <v>1.0000000400413001</v>
      </c>
    </row>
    <row r="5147" spans="1:40" x14ac:dyDescent="0.25">
      <c r="A5147" t="str">
        <f>"20190303162405211"</f>
        <v>20190303162405211</v>
      </c>
      <c r="B5147" t="str">
        <f>"1551601445199831"</f>
        <v>1551601445199831</v>
      </c>
      <c r="C5147" t="s">
        <v>40</v>
      </c>
      <c r="D5147">
        <v>5.6797079999999998</v>
      </c>
      <c r="E5147">
        <v>0.4848285</v>
      </c>
      <c r="F5147" t="s">
        <v>41</v>
      </c>
      <c r="G5147">
        <v>-337.81229999999999</v>
      </c>
      <c r="H5147" s="1">
        <v>-1.7299590000000001E-6</v>
      </c>
      <c r="I5147">
        <v>22.65728</v>
      </c>
      <c r="J5147">
        <v>-389.10660000000001</v>
      </c>
      <c r="K5147">
        <v>1.1258379999999999</v>
      </c>
      <c r="L5147">
        <v>17.89453</v>
      </c>
      <c r="M5147">
        <v>0.99568409999999996</v>
      </c>
      <c r="N5147">
        <v>-1.2329339999999999E-2</v>
      </c>
      <c r="O5147">
        <v>-9.1985070000000002E-2</v>
      </c>
      <c r="P5147">
        <v>0.98993779999999998</v>
      </c>
      <c r="Q5147">
        <v>0.13100390000000001</v>
      </c>
      <c r="R5147">
        <v>5.3490870000000003E-2</v>
      </c>
      <c r="S5147">
        <v>3.0240779999999998</v>
      </c>
      <c r="T5147">
        <v>-6.6040399999999999E-2</v>
      </c>
      <c r="U5147">
        <v>0.27825929999999999</v>
      </c>
      <c r="V5147">
        <v>-0.1461324</v>
      </c>
      <c r="W5147">
        <v>0.1412457</v>
      </c>
      <c r="X5147">
        <v>0.97912969999999999</v>
      </c>
      <c r="Y5147">
        <v>-0.18277209999999999</v>
      </c>
      <c r="Z5147">
        <v>3.9932129999999998E-3</v>
      </c>
      <c r="AA5147">
        <v>0.9831472</v>
      </c>
      <c r="AB5147">
        <v>29</v>
      </c>
      <c r="AC5147">
        <v>51.2943</v>
      </c>
      <c r="AD5147">
        <v>-1.1258397299589999</v>
      </c>
      <c r="AE5147">
        <v>4.7627499999999996</v>
      </c>
      <c r="AF5147">
        <v>-9.4567061685431497</v>
      </c>
      <c r="AG5147">
        <v>-1.1258397299589999</v>
      </c>
      <c r="AH5147">
        <v>50.614488966428901</v>
      </c>
      <c r="AI5147">
        <v>91.252576309210497</v>
      </c>
      <c r="AJ5147">
        <v>100.583005192935</v>
      </c>
      <c r="AK5147">
        <v>51.502653329595198</v>
      </c>
      <c r="AL5147">
        <v>81.880064038654098</v>
      </c>
      <c r="AM5147">
        <v>98.488579753397801</v>
      </c>
      <c r="AN5147">
        <v>0.99999999776017001</v>
      </c>
    </row>
    <row r="5148" spans="1:40" x14ac:dyDescent="0.25">
      <c r="A5148" t="str">
        <f>"20190303162405225"</f>
        <v>20190303162405225</v>
      </c>
      <c r="B5148" t="str">
        <f>"1551601445220327"</f>
        <v>1551601445220327</v>
      </c>
      <c r="C5148" t="s">
        <v>40</v>
      </c>
      <c r="D5148">
        <v>5.6608099999999997</v>
      </c>
      <c r="E5148">
        <v>0.48498980000000003</v>
      </c>
      <c r="F5148" t="s">
        <v>41</v>
      </c>
      <c r="G5148">
        <v>-334.81199999999899</v>
      </c>
      <c r="H5148" s="1">
        <v>-3.0901109999999999E-6</v>
      </c>
      <c r="I5148">
        <v>22.931660000000001</v>
      </c>
      <c r="J5148">
        <v>-388.92750000000001</v>
      </c>
      <c r="K5148">
        <v>1.1258459999999999</v>
      </c>
      <c r="L5148">
        <v>17.882110000000001</v>
      </c>
      <c r="M5148">
        <v>0.99606159999999999</v>
      </c>
      <c r="N5148">
        <v>-1.2330509999999999E-2</v>
      </c>
      <c r="O5148">
        <v>-8.7802340000000006E-2</v>
      </c>
      <c r="P5148">
        <v>0.98972800000000005</v>
      </c>
      <c r="Q5148">
        <v>0.131969</v>
      </c>
      <c r="R5148">
        <v>5.4980639999999997E-2</v>
      </c>
      <c r="S5148">
        <v>3.0236209999999999</v>
      </c>
      <c r="T5148">
        <v>-6.2697050000000004E-2</v>
      </c>
      <c r="U5148">
        <v>0.28051759999999998</v>
      </c>
      <c r="V5148">
        <v>-0.14349129999999999</v>
      </c>
      <c r="W5148">
        <v>0.14224779999999901</v>
      </c>
      <c r="X5148">
        <v>0.9793752</v>
      </c>
      <c r="Y5148">
        <v>-0.1793912</v>
      </c>
      <c r="Z5148">
        <v>3.7006919999999998E-3</v>
      </c>
      <c r="AA5148">
        <v>0.98377079999999995</v>
      </c>
      <c r="AB5148">
        <v>29</v>
      </c>
      <c r="AC5148">
        <v>54.115499999999997</v>
      </c>
      <c r="AD5148">
        <v>-1.1258490901110001</v>
      </c>
      <c r="AE5148">
        <v>5.04955</v>
      </c>
      <c r="AF5148">
        <v>-9.7776784803446795</v>
      </c>
      <c r="AG5148">
        <v>-1.1258490901110001</v>
      </c>
      <c r="AH5148">
        <v>53.440142752261103</v>
      </c>
      <c r="AI5148">
        <v>91.1871970331417</v>
      </c>
      <c r="AJ5148">
        <v>100.36844166294399</v>
      </c>
      <c r="AK5148">
        <v>54.338930703692903</v>
      </c>
      <c r="AL5148">
        <v>81.822062192759006</v>
      </c>
      <c r="AM5148">
        <v>98.335278150771998</v>
      </c>
      <c r="AN5148">
        <v>0.99999998607778495</v>
      </c>
    </row>
    <row r="5149" spans="1:40" x14ac:dyDescent="0.25">
      <c r="A5149" t="str">
        <f>"20190303162405244"</f>
        <v>20190303162405244</v>
      </c>
      <c r="B5149" t="str">
        <f>"1551601445230087"</f>
        <v>1551601445230087</v>
      </c>
      <c r="C5149" t="s">
        <v>40</v>
      </c>
      <c r="D5149">
        <v>5.5664699999999998</v>
      </c>
      <c r="E5149">
        <v>0.50311340000000004</v>
      </c>
      <c r="F5149" t="s">
        <v>41</v>
      </c>
      <c r="G5149">
        <v>-330.59</v>
      </c>
      <c r="H5149" s="1">
        <v>-4.7418309999999999E-6</v>
      </c>
      <c r="I5149">
        <v>23.374210000000001</v>
      </c>
      <c r="J5149">
        <v>-388.68459999999999</v>
      </c>
      <c r="K5149">
        <v>1.125861</v>
      </c>
      <c r="L5149">
        <v>17.866579999999999</v>
      </c>
      <c r="M5149">
        <v>0.99654620000000005</v>
      </c>
      <c r="N5149">
        <v>-1.2331979999999999E-2</v>
      </c>
      <c r="O5149">
        <v>-8.2118869999999997E-2</v>
      </c>
      <c r="P5149">
        <v>0.98937739999999996</v>
      </c>
      <c r="Q5149">
        <v>0.13497020000000001</v>
      </c>
      <c r="R5149">
        <v>5.3994210000000001E-2</v>
      </c>
      <c r="S5149">
        <v>3.0230709999999998</v>
      </c>
      <c r="T5149">
        <v>-5.8341980000000002E-2</v>
      </c>
      <c r="U5149">
        <v>0.2846069</v>
      </c>
      <c r="V5149">
        <v>-0.13691929999999999</v>
      </c>
      <c r="W5149">
        <v>0.1453401</v>
      </c>
      <c r="X5149">
        <v>0.97986189999999995</v>
      </c>
      <c r="Y5149">
        <v>-0.17512239999999901</v>
      </c>
      <c r="Z5149">
        <v>3.3393569999999998E-3</v>
      </c>
      <c r="AA5149">
        <v>0.984541</v>
      </c>
      <c r="AB5149">
        <v>29</v>
      </c>
      <c r="AC5149">
        <v>58.0946</v>
      </c>
      <c r="AD5149">
        <v>-1.1258657418310001</v>
      </c>
      <c r="AE5149">
        <v>5.5076299999999998</v>
      </c>
      <c r="AF5149">
        <v>-10.256233563551399</v>
      </c>
      <c r="AG5149">
        <v>-1.1258657418310001</v>
      </c>
      <c r="AH5149">
        <v>57.424667852137702</v>
      </c>
      <c r="AI5149">
        <v>91.105702278065493</v>
      </c>
      <c r="AJ5149">
        <v>100.12643975048699</v>
      </c>
      <c r="AK5149">
        <v>58.3442403199072</v>
      </c>
      <c r="AL5149">
        <v>81.643025808628295</v>
      </c>
      <c r="AM5149">
        <v>97.954620694970203</v>
      </c>
      <c r="AN5149">
        <v>0.99999999122605499</v>
      </c>
    </row>
    <row r="5150" spans="1:40" x14ac:dyDescent="0.25">
      <c r="A5150" t="str">
        <f>"20190303162405268"</f>
        <v>20190303162405268</v>
      </c>
      <c r="B5150" t="str">
        <f>"1551601445260344"</f>
        <v>1551601445260344</v>
      </c>
      <c r="C5150" t="s">
        <v>40</v>
      </c>
      <c r="D5150">
        <v>5.4233359999999999</v>
      </c>
      <c r="E5150">
        <v>0.52426899999999999</v>
      </c>
      <c r="F5150" t="s">
        <v>59</v>
      </c>
      <c r="G5150">
        <v>-279.68</v>
      </c>
      <c r="H5150">
        <v>0.39517799999999997</v>
      </c>
      <c r="I5150">
        <v>22.895949999999999</v>
      </c>
      <c r="J5150">
        <v>-388.38600000000002</v>
      </c>
      <c r="K5150">
        <v>1.1258729999999999</v>
      </c>
      <c r="L5150">
        <v>17.849519999999998</v>
      </c>
      <c r="M5150">
        <v>0.99709700000000001</v>
      </c>
      <c r="N5150">
        <v>-1.233336E-2</v>
      </c>
      <c r="O5150">
        <v>-7.5136480000000005E-2</v>
      </c>
      <c r="P5150">
        <v>0.9888422</v>
      </c>
      <c r="Q5150">
        <v>0.1395835</v>
      </c>
      <c r="R5150">
        <v>5.2038389999999997E-2</v>
      </c>
      <c r="S5150">
        <v>3.0273439999999998</v>
      </c>
      <c r="T5150">
        <v>-2.0292879999999999E-2</v>
      </c>
      <c r="U5150">
        <v>0.139679</v>
      </c>
      <c r="V5150">
        <v>-0.1281089</v>
      </c>
      <c r="W5150">
        <v>0.1500736</v>
      </c>
      <c r="X5150">
        <v>0.98033979999999998</v>
      </c>
      <c r="Y5150">
        <v>-0.1210132</v>
      </c>
      <c r="Z5150">
        <v>7.2881879999999995E-4</v>
      </c>
      <c r="AA5150">
        <v>0.99265060000000005</v>
      </c>
      <c r="AB5150">
        <v>29</v>
      </c>
      <c r="AC5150">
        <v>108.70599999999899</v>
      </c>
      <c r="AD5150">
        <v>-0.73069499999999898</v>
      </c>
      <c r="AE5150">
        <v>5.0464299999999902</v>
      </c>
      <c r="AF5150">
        <v>-13.199975112618599</v>
      </c>
      <c r="AG5150">
        <v>-0.73069499999999898</v>
      </c>
      <c r="AH5150">
        <v>108.01459989563899</v>
      </c>
      <c r="AI5150">
        <v>90.384725383172494</v>
      </c>
      <c r="AJ5150">
        <v>96.967311121531793</v>
      </c>
      <c r="AK5150">
        <v>108.82061867482599</v>
      </c>
      <c r="AL5150">
        <v>81.368808622191096</v>
      </c>
      <c r="AM5150">
        <v>97.445112950497901</v>
      </c>
      <c r="AN5150">
        <v>1.0000000495701</v>
      </c>
    </row>
    <row r="5151" spans="1:40" x14ac:dyDescent="0.25">
      <c r="A5151" t="str">
        <f>"20190303162405280"</f>
        <v>20190303162405280</v>
      </c>
      <c r="B5151" t="str">
        <f>"1551601445270103"</f>
        <v>1551601445270103</v>
      </c>
      <c r="C5151" t="s">
        <v>40</v>
      </c>
      <c r="D5151">
        <v>5.366555</v>
      </c>
      <c r="E5151">
        <v>0.5269414</v>
      </c>
      <c r="F5151" t="s">
        <v>43</v>
      </c>
      <c r="G5151">
        <v>-285.56229999999999</v>
      </c>
      <c r="H5151">
        <v>-0.05</v>
      </c>
      <c r="I5151">
        <v>16.787479999999999</v>
      </c>
      <c r="J5151">
        <v>-388.21690000000001</v>
      </c>
      <c r="K5151">
        <v>1.125874</v>
      </c>
      <c r="L5151">
        <v>17.84064</v>
      </c>
      <c r="M5151">
        <v>0.99738689999999997</v>
      </c>
      <c r="N5151">
        <v>-1.233396E-2</v>
      </c>
      <c r="O5151">
        <v>-7.1185609999999996E-2</v>
      </c>
      <c r="P5151">
        <v>0.98857470000000003</v>
      </c>
      <c r="Q5151">
        <v>0.1416007</v>
      </c>
      <c r="R5151">
        <v>5.166478E-2</v>
      </c>
      <c r="S5151">
        <v>3.0403440000000002</v>
      </c>
      <c r="T5151">
        <v>-3.4768819999999999E-2</v>
      </c>
      <c r="U5151">
        <v>-3.1402590000000001E-2</v>
      </c>
      <c r="V5151">
        <v>-0.1238491</v>
      </c>
      <c r="W5151">
        <v>0.15215000000000001</v>
      </c>
      <c r="X5151">
        <v>0.98056710000000002</v>
      </c>
      <c r="Y5151">
        <v>-6.0877069999999998E-2</v>
      </c>
      <c r="Z5151">
        <v>6.5832089999999998E-4</v>
      </c>
      <c r="AA5151">
        <v>0.99814499999999995</v>
      </c>
      <c r="AB5151">
        <v>29</v>
      </c>
      <c r="AC5151">
        <v>102.6546</v>
      </c>
      <c r="AD5151">
        <v>-1.1758740000000001</v>
      </c>
      <c r="AE5151">
        <v>-1.0531600000000001</v>
      </c>
      <c r="AF5151">
        <v>-6.2567770064535297</v>
      </c>
      <c r="AG5151">
        <v>-1.1758740000000001</v>
      </c>
      <c r="AH5151">
        <v>102.45566833229999</v>
      </c>
      <c r="AI5151">
        <v>90.656326784916899</v>
      </c>
      <c r="AJ5151">
        <v>93.494606779374493</v>
      </c>
      <c r="AK5151">
        <v>102.65327034045499</v>
      </c>
      <c r="AL5151">
        <v>81.248457444937699</v>
      </c>
      <c r="AM5151">
        <v>97.198543050331907</v>
      </c>
      <c r="AN5151">
        <v>1.0000000298366001</v>
      </c>
    </row>
    <row r="5152" spans="1:40" x14ac:dyDescent="0.25">
      <c r="A5152" t="str">
        <f>"20190303162405300"</f>
        <v>20190303162405300</v>
      </c>
      <c r="B5152" t="str">
        <f>"1551601445289623"</f>
        <v>1551601445289623</v>
      </c>
      <c r="C5152" t="s">
        <v>40</v>
      </c>
      <c r="D5152">
        <v>5.3515930000000003</v>
      </c>
      <c r="E5152">
        <v>0.53001339999999997</v>
      </c>
      <c r="F5152" t="s">
        <v>43</v>
      </c>
      <c r="G5152">
        <v>-280.05380000000002</v>
      </c>
      <c r="H5152">
        <v>-0.05</v>
      </c>
      <c r="I5152">
        <v>15.998200000000001</v>
      </c>
      <c r="J5152">
        <v>-387.97300000000001</v>
      </c>
      <c r="K5152">
        <v>1.1258629999999901</v>
      </c>
      <c r="L5152">
        <v>17.829129999999999</v>
      </c>
      <c r="M5152">
        <v>0.99777559999999998</v>
      </c>
      <c r="N5152">
        <v>-1.2333800000000001E-2</v>
      </c>
      <c r="O5152">
        <v>-6.5511659999999999E-2</v>
      </c>
      <c r="P5152">
        <v>0.98845769999999999</v>
      </c>
      <c r="Q5152">
        <v>0.14397850000000001</v>
      </c>
      <c r="R5152">
        <v>4.7131869999999999E-2</v>
      </c>
      <c r="S5152">
        <v>3.0421140000000002</v>
      </c>
      <c r="T5152">
        <v>-3.3071759999999999E-2</v>
      </c>
      <c r="U5152">
        <v>-5.181885E-2</v>
      </c>
      <c r="V5152">
        <v>-0.1137543</v>
      </c>
      <c r="W5152">
        <v>0.154669899999999</v>
      </c>
      <c r="X5152">
        <v>0.98139549999999998</v>
      </c>
      <c r="Y5152">
        <v>-4.8506199999999902E-2</v>
      </c>
      <c r="Z5152">
        <v>4.6593300000000003E-4</v>
      </c>
      <c r="AA5152">
        <v>0.99882269999999895</v>
      </c>
      <c r="AB5152">
        <v>29</v>
      </c>
      <c r="AC5152">
        <v>107.9192</v>
      </c>
      <c r="AD5152">
        <v>-1.1758630000000001</v>
      </c>
      <c r="AE5152">
        <v>-1.83092999999999</v>
      </c>
      <c r="AF5152">
        <v>-5.2428851305349902</v>
      </c>
      <c r="AG5152">
        <v>-1.1758630000000001</v>
      </c>
      <c r="AH5152">
        <v>107.79449602572799</v>
      </c>
      <c r="AI5152">
        <v>90.624241305780501</v>
      </c>
      <c r="AJ5152">
        <v>92.7845452426957</v>
      </c>
      <c r="AK5152">
        <v>107.92832747581799</v>
      </c>
      <c r="AL5152">
        <v>81.102347714862404</v>
      </c>
      <c r="AM5152">
        <v>96.611692758983096</v>
      </c>
      <c r="AN5152">
        <v>0.99999997307737398</v>
      </c>
    </row>
    <row r="5153" spans="1:40" x14ac:dyDescent="0.25">
      <c r="A5153" t="str">
        <f>"20190303162405314"</f>
        <v>20190303162405314</v>
      </c>
      <c r="B5153" t="str">
        <f>"1551601445300360"</f>
        <v>1551601445300360</v>
      </c>
      <c r="C5153" t="s">
        <v>40</v>
      </c>
      <c r="D5153">
        <v>5.3849109999999998</v>
      </c>
      <c r="E5153">
        <v>0.53098279999999998</v>
      </c>
      <c r="F5153" t="s">
        <v>43</v>
      </c>
      <c r="G5153">
        <v>-292.0471</v>
      </c>
      <c r="H5153">
        <v>-0.05</v>
      </c>
      <c r="I5153">
        <v>15.12721</v>
      </c>
      <c r="J5153">
        <v>-387.79719999999998</v>
      </c>
      <c r="K5153">
        <v>1.125839</v>
      </c>
      <c r="L5153">
        <v>17.82178</v>
      </c>
      <c r="M5153">
        <v>0.99803260000000005</v>
      </c>
      <c r="N5153">
        <v>-1.2332310000000001E-2</v>
      </c>
      <c r="O5153">
        <v>-6.1473260000000002E-2</v>
      </c>
      <c r="P5153">
        <v>0.98861540000000003</v>
      </c>
      <c r="Q5153">
        <v>0.1433034</v>
      </c>
      <c r="R5153">
        <v>4.5867699999999997E-2</v>
      </c>
      <c r="S5153">
        <v>3.0445250000000001</v>
      </c>
      <c r="T5153">
        <v>-3.7319900000000003E-2</v>
      </c>
      <c r="U5153">
        <v>-8.575439E-2</v>
      </c>
      <c r="V5153">
        <v>-0.1085035</v>
      </c>
      <c r="W5153">
        <v>0.15407579999999901</v>
      </c>
      <c r="X5153">
        <v>0.98208329999999999</v>
      </c>
      <c r="Y5153">
        <v>-3.3346220000000003E-2</v>
      </c>
      <c r="Z5153">
        <v>4.0434850000000002E-4</v>
      </c>
      <c r="AA5153">
        <v>0.99944379999999999</v>
      </c>
      <c r="AB5153">
        <v>29</v>
      </c>
      <c r="AC5153">
        <v>95.750099999999904</v>
      </c>
      <c r="AD5153">
        <v>-1.1758389999999901</v>
      </c>
      <c r="AE5153">
        <v>-2.6945700000000001</v>
      </c>
      <c r="AF5153">
        <v>-3.1965633443291299</v>
      </c>
      <c r="AG5153">
        <v>-1.1758389999999901</v>
      </c>
      <c r="AH5153">
        <v>95.720216101209004</v>
      </c>
      <c r="AI5153">
        <v>90.703400985025496</v>
      </c>
      <c r="AJ5153">
        <v>91.912673808350704</v>
      </c>
      <c r="AK5153">
        <v>95.780793403638</v>
      </c>
      <c r="AL5153">
        <v>81.136800237290601</v>
      </c>
      <c r="AM5153">
        <v>96.304639531083097</v>
      </c>
      <c r="AN5153">
        <v>0.99999998489838904</v>
      </c>
    </row>
    <row r="5154" spans="1:40" x14ac:dyDescent="0.25">
      <c r="A5154" t="str">
        <f>"20190303162405335"</f>
        <v>20190303162405335</v>
      </c>
      <c r="B5154" t="str">
        <f>"1551601445330616"</f>
        <v>1551601445330616</v>
      </c>
      <c r="C5154" t="s">
        <v>40</v>
      </c>
      <c r="D5154">
        <v>5.389043</v>
      </c>
      <c r="E5154">
        <v>0.5322481</v>
      </c>
      <c r="F5154" t="s">
        <v>43</v>
      </c>
      <c r="G5154">
        <v>-303.41609999999997</v>
      </c>
      <c r="H5154">
        <v>-0.05</v>
      </c>
      <c r="I5154">
        <v>15.16225</v>
      </c>
      <c r="J5154">
        <v>-387.52260000000001</v>
      </c>
      <c r="K5154">
        <v>1.125756</v>
      </c>
      <c r="L5154">
        <v>17.81146</v>
      </c>
      <c r="M5154">
        <v>0.99839540000000004</v>
      </c>
      <c r="N5154">
        <v>-1.232693E-2</v>
      </c>
      <c r="O5154">
        <v>-5.5269369999999998E-2</v>
      </c>
      <c r="P5154">
        <v>0.98920600000000003</v>
      </c>
      <c r="Q5154">
        <v>0.14055979999999901</v>
      </c>
      <c r="R5154">
        <v>4.1407720000000002E-2</v>
      </c>
      <c r="S5154">
        <v>3.045166</v>
      </c>
      <c r="T5154">
        <v>-4.2433980000000003E-2</v>
      </c>
      <c r="U5154">
        <v>-9.5977779999999999E-2</v>
      </c>
      <c r="V5154">
        <v>-9.7902779999999995E-2</v>
      </c>
      <c r="W5154">
        <v>0.1514972</v>
      </c>
      <c r="X5154">
        <v>0.98359730000000001</v>
      </c>
      <c r="Y5154">
        <v>-2.378744E-2</v>
      </c>
      <c r="Z5154">
        <v>4.0027360000000002E-4</v>
      </c>
      <c r="AA5154">
        <v>0.99971690000000002</v>
      </c>
      <c r="AB5154">
        <v>29</v>
      </c>
      <c r="AC5154">
        <v>84.106499999999997</v>
      </c>
      <c r="AD5154">
        <v>-1.175756</v>
      </c>
      <c r="AE5154">
        <v>-2.6492100000000001</v>
      </c>
      <c r="AF5154">
        <v>-2.00331529409151</v>
      </c>
      <c r="AG5154">
        <v>-1.175756</v>
      </c>
      <c r="AH5154">
        <v>84.107932971915901</v>
      </c>
      <c r="AI5154">
        <v>90.800666115009605</v>
      </c>
      <c r="AJ5154">
        <v>91.364435065003406</v>
      </c>
      <c r="AK5154">
        <v>84.140002752242495</v>
      </c>
      <c r="AL5154">
        <v>81.286298559101596</v>
      </c>
      <c r="AM5154">
        <v>95.684237558688494</v>
      </c>
      <c r="AN5154">
        <v>1.0000000022534199</v>
      </c>
    </row>
    <row r="5155" spans="1:40" x14ac:dyDescent="0.25">
      <c r="A5155" t="str">
        <f>"20190303162405358"</f>
        <v>20190303162405358</v>
      </c>
      <c r="B5155" t="str">
        <f>"1551601445350399"</f>
        <v>1551601445350399</v>
      </c>
      <c r="C5155" t="s">
        <v>40</v>
      </c>
      <c r="D5155">
        <v>5.3756490000000001</v>
      </c>
      <c r="E5155">
        <v>0.53239950000000003</v>
      </c>
      <c r="F5155" t="s">
        <v>41</v>
      </c>
      <c r="G5155">
        <v>-331.40129999999999</v>
      </c>
      <c r="H5155" s="1">
        <v>-4.3756190000000004E-6</v>
      </c>
      <c r="I5155">
        <v>15.64465</v>
      </c>
      <c r="J5155">
        <v>-387.23919999999998</v>
      </c>
      <c r="K5155">
        <v>1.1256219999999999</v>
      </c>
      <c r="L5155">
        <v>17.802429999999902</v>
      </c>
      <c r="M5155">
        <v>0.99872000000000005</v>
      </c>
      <c r="N5155">
        <v>-1.231646E-2</v>
      </c>
      <c r="O5155">
        <v>-4.9057749999999997E-2</v>
      </c>
      <c r="P5155">
        <v>0.98934659999999996</v>
      </c>
      <c r="Q5155">
        <v>0.1405672</v>
      </c>
      <c r="R5155">
        <v>3.7870229999999998E-2</v>
      </c>
      <c r="S5155">
        <v>3.0463870000000002</v>
      </c>
      <c r="T5155">
        <v>-6.1108709999999997E-2</v>
      </c>
      <c r="U5155">
        <v>-0.1176147</v>
      </c>
      <c r="V5155">
        <v>-8.8195380000000004E-2</v>
      </c>
      <c r="W5155">
        <v>0.15165319999999999</v>
      </c>
      <c r="X5155">
        <v>0.98449120000000001</v>
      </c>
      <c r="Y5155">
        <v>-1.048734E-2</v>
      </c>
      <c r="Z5155">
        <v>5.4851339999999996E-4</v>
      </c>
      <c r="AA5155">
        <v>0.99994490000000003</v>
      </c>
      <c r="AB5155">
        <v>29</v>
      </c>
      <c r="AC5155">
        <v>55.837899999999898</v>
      </c>
      <c r="AD5155">
        <v>-1.1256263756189999</v>
      </c>
      <c r="AE5155">
        <v>-2.15777999999999</v>
      </c>
      <c r="AF5155">
        <v>-0.58407101841678499</v>
      </c>
      <c r="AG5155">
        <v>-1.1256263756189999</v>
      </c>
      <c r="AH5155">
        <v>55.8538577365726</v>
      </c>
      <c r="AI5155">
        <v>91.154466129546094</v>
      </c>
      <c r="AJ5155">
        <v>90.599127543160407</v>
      </c>
      <c r="AK5155">
        <v>55.868252145107697</v>
      </c>
      <c r="AL5155">
        <v>81.277256097001001</v>
      </c>
      <c r="AM5155">
        <v>95.119161738221294</v>
      </c>
      <c r="AN5155">
        <v>1.00000002050051</v>
      </c>
    </row>
    <row r="5156" spans="1:40" x14ac:dyDescent="0.25">
      <c r="A5156" t="str">
        <f>"20190303162405381"</f>
        <v>20190303162405381</v>
      </c>
      <c r="B5156" t="str">
        <f>"1551601445369919"</f>
        <v>1551601445369919</v>
      </c>
      <c r="C5156" t="s">
        <v>40</v>
      </c>
      <c r="D5156">
        <v>5.4005349999999996</v>
      </c>
      <c r="E5156">
        <v>0.53247259999999996</v>
      </c>
      <c r="F5156" t="s">
        <v>41</v>
      </c>
      <c r="G5156">
        <v>-334.65710000000001</v>
      </c>
      <c r="H5156" s="1">
        <v>-2.9922030000000002E-6</v>
      </c>
      <c r="I5156">
        <v>15.56953</v>
      </c>
      <c r="J5156">
        <v>-386.93819999999999</v>
      </c>
      <c r="K5156">
        <v>1.125424</v>
      </c>
      <c r="L5156">
        <v>17.7944</v>
      </c>
      <c r="M5156">
        <v>0.99901059999999997</v>
      </c>
      <c r="N5156">
        <v>-1.230151E-2</v>
      </c>
      <c r="O5156">
        <v>-4.2738569999999997E-2</v>
      </c>
      <c r="P5156">
        <v>0.98906430000000001</v>
      </c>
      <c r="Q5156">
        <v>0.1430476</v>
      </c>
      <c r="R5156">
        <v>3.5908839999999997E-2</v>
      </c>
      <c r="S5156">
        <v>3.046478</v>
      </c>
      <c r="T5156">
        <v>-6.5216060000000006E-2</v>
      </c>
      <c r="U5156">
        <v>-0.12936400000000001</v>
      </c>
      <c r="V5156">
        <v>-7.9937469999999997E-2</v>
      </c>
      <c r="W5156">
        <v>0.15426089999999901</v>
      </c>
      <c r="X5156">
        <v>0.98479110000000003</v>
      </c>
      <c r="Y5156">
        <v>-3.1498620000000002E-4</v>
      </c>
      <c r="Z5156">
        <v>3.9353540000000001E-4</v>
      </c>
      <c r="AA5156">
        <v>0.99999990000000005</v>
      </c>
      <c r="AB5156">
        <v>29</v>
      </c>
      <c r="AC5156">
        <v>52.281099999999903</v>
      </c>
      <c r="AD5156">
        <v>-1.125426992203</v>
      </c>
      <c r="AE5156">
        <v>-2.2248700000000001</v>
      </c>
      <c r="AF5156">
        <v>-1.17461938603091E-2</v>
      </c>
      <c r="AG5156">
        <v>-1.125426992203</v>
      </c>
      <c r="AH5156">
        <v>52.304224594403998</v>
      </c>
      <c r="AI5156">
        <v>91.232639755991997</v>
      </c>
      <c r="AJ5156">
        <v>90.012867169477104</v>
      </c>
      <c r="AK5156">
        <v>52.316332385878397</v>
      </c>
      <c r="AL5156">
        <v>81.126066306119299</v>
      </c>
      <c r="AM5156">
        <v>94.640639031327296</v>
      </c>
      <c r="AN5156">
        <v>0.99999996750900999</v>
      </c>
    </row>
    <row r="5157" spans="1:40" x14ac:dyDescent="0.25">
      <c r="A5157" t="str">
        <f>"20190303162405403"</f>
        <v>20190303162405403</v>
      </c>
      <c r="B5157" t="str">
        <f>"1551601445390418"</f>
        <v>1551601445390418</v>
      </c>
      <c r="C5157" t="s">
        <v>40</v>
      </c>
      <c r="D5157">
        <v>5.4550999999999998</v>
      </c>
      <c r="E5157">
        <v>0.53175680000000003</v>
      </c>
      <c r="F5157" t="s">
        <v>41</v>
      </c>
      <c r="G5157">
        <v>-330.68029999999999</v>
      </c>
      <c r="H5157" s="1">
        <v>-4.7566600000000003E-6</v>
      </c>
      <c r="I5157">
        <v>15.240170000000001</v>
      </c>
      <c r="J5157">
        <v>-386.6592</v>
      </c>
      <c r="K5157">
        <v>1.125186</v>
      </c>
      <c r="L5157">
        <v>17.788329999999998</v>
      </c>
      <c r="M5157">
        <v>0.99923090000000003</v>
      </c>
      <c r="N5157">
        <v>-1.2284379999999999E-2</v>
      </c>
      <c r="O5157">
        <v>-3.7242379999999999E-2</v>
      </c>
      <c r="P5157">
        <v>0.98873350000000004</v>
      </c>
      <c r="Q5157">
        <v>0.14589579999999999</v>
      </c>
      <c r="R5157">
        <v>3.3473580000000003E-2</v>
      </c>
      <c r="S5157">
        <v>3.0469970000000002</v>
      </c>
      <c r="T5157">
        <v>-6.0954689999999999E-2</v>
      </c>
      <c r="U5157">
        <v>-0.13833619999999999</v>
      </c>
      <c r="V5157">
        <v>-7.2000110000000006E-2</v>
      </c>
      <c r="W5157">
        <v>0.157228799999999</v>
      </c>
      <c r="X5157">
        <v>0.98493399999999998</v>
      </c>
      <c r="Y5157">
        <v>8.1142639999999995E-3</v>
      </c>
      <c r="Z5157">
        <v>1.5585649999999999E-4</v>
      </c>
      <c r="AA5157">
        <v>0.99996700000000005</v>
      </c>
      <c r="AB5157">
        <v>29</v>
      </c>
      <c r="AC5157">
        <v>55.978900000000003</v>
      </c>
      <c r="AD5157">
        <v>-1.1251907566599999</v>
      </c>
      <c r="AE5157">
        <v>-2.54815999999999</v>
      </c>
      <c r="AF5157">
        <v>0.46126152196779302</v>
      </c>
      <c r="AG5157">
        <v>-1.1251907566599999</v>
      </c>
      <c r="AH5157">
        <v>56.012382777976498</v>
      </c>
      <c r="AI5157">
        <v>91.150778159653001</v>
      </c>
      <c r="AJ5157">
        <v>89.528180381538206</v>
      </c>
      <c r="AK5157">
        <v>56.025582021939599</v>
      </c>
      <c r="AL5157">
        <v>80.953917230364794</v>
      </c>
      <c r="AM5157">
        <v>94.180968068368202</v>
      </c>
      <c r="AN5157">
        <v>0.99999994787272395</v>
      </c>
    </row>
    <row r="5158" spans="1:40" x14ac:dyDescent="0.25">
      <c r="A5158" t="str">
        <f>"20190303162405424"</f>
        <v>20190303162405424</v>
      </c>
      <c r="B5158" t="str">
        <f>"1551601445419695"</f>
        <v>1551601445419695</v>
      </c>
      <c r="C5158" t="s">
        <v>40</v>
      </c>
      <c r="D5158">
        <v>5.429208</v>
      </c>
      <c r="E5158">
        <v>0.53072489999999894</v>
      </c>
      <c r="F5158" t="s">
        <v>41</v>
      </c>
      <c r="G5158">
        <v>-331.35079999999999</v>
      </c>
      <c r="H5158" s="1">
        <v>-4.4758340000000001E-6</v>
      </c>
      <c r="I5158">
        <v>15.20177</v>
      </c>
      <c r="J5158">
        <v>-386.38339999999999</v>
      </c>
      <c r="K5158">
        <v>1.1248739999999999</v>
      </c>
      <c r="L5158">
        <v>17.78351</v>
      </c>
      <c r="M5158">
        <v>0.99940390000000001</v>
      </c>
      <c r="N5158">
        <v>-1.2263390000000001E-2</v>
      </c>
      <c r="O5158">
        <v>-3.2274039999999997E-2</v>
      </c>
      <c r="P5158">
        <v>0.98848440000000004</v>
      </c>
      <c r="Q5158">
        <v>0.1481452</v>
      </c>
      <c r="R5158">
        <v>3.0853439999999999E-2</v>
      </c>
      <c r="S5158">
        <v>3.048187</v>
      </c>
      <c r="T5158">
        <v>-6.2012200000000003E-2</v>
      </c>
      <c r="U5158">
        <v>-0.1425476</v>
      </c>
      <c r="V5158">
        <v>-6.4369640000000006E-2</v>
      </c>
      <c r="W5158">
        <v>0.15959139999999999</v>
      </c>
      <c r="X5158">
        <v>0.98508229999999997</v>
      </c>
      <c r="Y5158">
        <v>1.444437E-2</v>
      </c>
      <c r="Z5158" s="1">
        <v>2.4780940000000001E-5</v>
      </c>
      <c r="AA5158">
        <v>0.99989570000000005</v>
      </c>
      <c r="AB5158">
        <v>29</v>
      </c>
      <c r="AC5158">
        <v>55.032600000000002</v>
      </c>
      <c r="AD5158">
        <v>-1.124878475834</v>
      </c>
      <c r="AE5158">
        <v>-2.5817399999999902</v>
      </c>
      <c r="AF5158">
        <v>0.80380200341737895</v>
      </c>
      <c r="AG5158">
        <v>-1.124878475834</v>
      </c>
      <c r="AH5158">
        <v>55.064300821818101</v>
      </c>
      <c r="AI5158">
        <v>91.170176720224603</v>
      </c>
      <c r="AJ5158">
        <v>89.163683350533006</v>
      </c>
      <c r="AK5158">
        <v>55.081654606972101</v>
      </c>
      <c r="AL5158">
        <v>80.816819595040201</v>
      </c>
      <c r="AM5158">
        <v>93.738644811758206</v>
      </c>
      <c r="AN5158">
        <v>1.00000000164048</v>
      </c>
    </row>
    <row r="5159" spans="1:40" x14ac:dyDescent="0.25">
      <c r="A5159" t="str">
        <f>"20190303162405448"</f>
        <v>20190303162405448</v>
      </c>
      <c r="B5159" t="str">
        <f>"1551601445440191"</f>
        <v>1551601445440191</v>
      </c>
      <c r="C5159" t="s">
        <v>40</v>
      </c>
      <c r="D5159">
        <v>5.4577780000000002</v>
      </c>
      <c r="E5159">
        <v>0.53017399999999903</v>
      </c>
      <c r="F5159" t="s">
        <v>41</v>
      </c>
      <c r="G5159">
        <v>-334.22739999999999</v>
      </c>
      <c r="H5159" s="1">
        <v>-3.2219090000000001E-6</v>
      </c>
      <c r="I5159">
        <v>15.31395</v>
      </c>
      <c r="J5159">
        <v>-386.08269999999999</v>
      </c>
      <c r="K5159">
        <v>1.1244769999999999</v>
      </c>
      <c r="L5159">
        <v>17.779209999999999</v>
      </c>
      <c r="M5159">
        <v>0.99954869999999996</v>
      </c>
      <c r="N5159">
        <v>-1.2238189999999999E-2</v>
      </c>
      <c r="O5159">
        <v>-2.7437420000000001E-2</v>
      </c>
      <c r="P5159">
        <v>0.98831080000000004</v>
      </c>
      <c r="Q5159">
        <v>0.14991589999999999</v>
      </c>
      <c r="R5159">
        <v>2.7693849999999999E-2</v>
      </c>
      <c r="S5159">
        <v>3.0493160000000001</v>
      </c>
      <c r="T5159">
        <v>-6.5766329999999998E-2</v>
      </c>
      <c r="U5159">
        <v>-0.1443787</v>
      </c>
      <c r="V5159">
        <v>-5.6290100000000003E-2</v>
      </c>
      <c r="W5159">
        <v>0.1614749</v>
      </c>
      <c r="X5159">
        <v>0.98527010000000004</v>
      </c>
      <c r="Y5159">
        <v>1.986228E-2</v>
      </c>
      <c r="Z5159" s="1">
        <v>-8.0151109999999898E-5</v>
      </c>
      <c r="AA5159">
        <v>0.99980270000000004</v>
      </c>
      <c r="AB5159">
        <v>29</v>
      </c>
      <c r="AC5159">
        <v>51.8553</v>
      </c>
      <c r="AD5159">
        <v>-1.124480221909</v>
      </c>
      <c r="AE5159">
        <v>-2.46525999999999</v>
      </c>
      <c r="AF5159">
        <v>1.0409612827456101</v>
      </c>
      <c r="AG5159">
        <v>-1.124480221909</v>
      </c>
      <c r="AH5159">
        <v>51.8790797111429</v>
      </c>
      <c r="AI5159">
        <v>91.241443079341195</v>
      </c>
      <c r="AJ5159">
        <v>88.850506096984304</v>
      </c>
      <c r="AK5159">
        <v>51.901704864452803</v>
      </c>
      <c r="AL5159">
        <v>80.707484418320306</v>
      </c>
      <c r="AM5159">
        <v>93.269847513426797</v>
      </c>
      <c r="AN5159">
        <v>0.99999994432101302</v>
      </c>
    </row>
    <row r="5160" spans="1:40" x14ac:dyDescent="0.25">
      <c r="A5160" t="str">
        <f>"20190303162405468"</f>
        <v>20190303162405468</v>
      </c>
      <c r="B5160" t="str">
        <f>"1551601445459711"</f>
        <v>1551601445459711</v>
      </c>
      <c r="C5160" t="s">
        <v>40</v>
      </c>
      <c r="D5160">
        <v>5.451695</v>
      </c>
      <c r="E5160">
        <v>0.52955779999999997</v>
      </c>
      <c r="F5160" t="s">
        <v>41</v>
      </c>
      <c r="G5160">
        <v>-335.00199999999899</v>
      </c>
      <c r="H5160" s="1">
        <v>-2.9030180000000001E-6</v>
      </c>
      <c r="I5160">
        <v>15.23837</v>
      </c>
      <c r="J5160">
        <v>-385.82139999999998</v>
      </c>
      <c r="K5160">
        <v>1.124142</v>
      </c>
      <c r="L5160">
        <v>17.776119999999999</v>
      </c>
      <c r="M5160">
        <v>0.99964600000000003</v>
      </c>
      <c r="N5160">
        <v>-1.2217199999999999E-2</v>
      </c>
      <c r="O5160">
        <v>-2.3639469999999999E-2</v>
      </c>
      <c r="P5160">
        <v>0.98815410000000004</v>
      </c>
      <c r="Q5160">
        <v>0.15146080000000001</v>
      </c>
      <c r="R5160">
        <v>2.4725380000000002E-2</v>
      </c>
      <c r="S5160">
        <v>3.0499269999999998</v>
      </c>
      <c r="T5160">
        <v>-6.7140459999999999E-2</v>
      </c>
      <c r="U5160">
        <v>-0.1517029</v>
      </c>
      <c r="V5160">
        <v>-4.9446179999999999E-2</v>
      </c>
      <c r="W5160">
        <v>0.16310339999999901</v>
      </c>
      <c r="X5160">
        <v>0.9853691</v>
      </c>
      <c r="Y5160">
        <v>2.6043839999999999E-2</v>
      </c>
      <c r="Z5160">
        <v>-2.1446590000000001E-4</v>
      </c>
      <c r="AA5160">
        <v>0.99966080000000002</v>
      </c>
      <c r="AB5160">
        <v>29</v>
      </c>
      <c r="AC5160">
        <v>50.819400000000002</v>
      </c>
      <c r="AD5160">
        <v>-1.124144903018</v>
      </c>
      <c r="AE5160">
        <v>-2.53775</v>
      </c>
      <c r="AF5160">
        <v>1.33495591013795</v>
      </c>
      <c r="AG5160">
        <v>-1.124144903018</v>
      </c>
      <c r="AH5160">
        <v>50.8403769638714</v>
      </c>
      <c r="AI5160">
        <v>91.266239298181702</v>
      </c>
      <c r="AJ5160">
        <v>88.495885107302598</v>
      </c>
      <c r="AK5160">
        <v>50.870322771470001</v>
      </c>
      <c r="AL5160">
        <v>80.612924756329804</v>
      </c>
      <c r="AM5160">
        <v>92.872713451917306</v>
      </c>
      <c r="AN5160">
        <v>0.99999995352147997</v>
      </c>
    </row>
    <row r="5161" spans="1:40" x14ac:dyDescent="0.25">
      <c r="A5161" t="str">
        <f>"20190303162405481"</f>
        <v>20190303162405481</v>
      </c>
      <c r="B5161" t="str">
        <f>"1551601445470447"</f>
        <v>1551601445470447</v>
      </c>
      <c r="C5161" t="s">
        <v>40</v>
      </c>
      <c r="D5161">
        <v>5.5725220000000002</v>
      </c>
      <c r="E5161">
        <v>0.52915760000000001</v>
      </c>
      <c r="F5161" t="s">
        <v>41</v>
      </c>
      <c r="G5161">
        <v>-335.86790000000002</v>
      </c>
      <c r="H5161" s="1">
        <v>-2.5686549999999999E-6</v>
      </c>
      <c r="I5161">
        <v>15.19486</v>
      </c>
      <c r="J5161">
        <v>-385.65230000000003</v>
      </c>
      <c r="K5161">
        <v>1.1239429999999999</v>
      </c>
      <c r="L5161">
        <v>17.77441</v>
      </c>
      <c r="M5161">
        <v>0.99969719999999995</v>
      </c>
      <c r="N5161">
        <v>-1.2204380000000001E-2</v>
      </c>
      <c r="O5161">
        <v>-2.137387E-2</v>
      </c>
      <c r="P5161">
        <v>0.98807020000000001</v>
      </c>
      <c r="Q5161">
        <v>0.15220839999999999</v>
      </c>
      <c r="R5161">
        <v>2.345208E-2</v>
      </c>
      <c r="S5161">
        <v>3.0504760000000002</v>
      </c>
      <c r="T5161">
        <v>-6.8647379999999994E-2</v>
      </c>
      <c r="U5161">
        <v>-0.15762329999999999</v>
      </c>
      <c r="V5161">
        <v>-4.5854739999999998E-2</v>
      </c>
      <c r="W5161">
        <v>0.16389229999999999</v>
      </c>
      <c r="X5161">
        <v>0.98541190000000001</v>
      </c>
      <c r="Y5161">
        <v>3.0233429999999999E-2</v>
      </c>
      <c r="Z5161">
        <v>-3.0477800000000002E-4</v>
      </c>
      <c r="AA5161">
        <v>0.99954279999999995</v>
      </c>
      <c r="AB5161">
        <v>29</v>
      </c>
      <c r="AC5161">
        <v>49.784399999999998</v>
      </c>
      <c r="AD5161">
        <v>-1.1239455686549999</v>
      </c>
      <c r="AE5161">
        <v>-2.5795499999999998</v>
      </c>
      <c r="AF5161">
        <v>1.51402660789531</v>
      </c>
      <c r="AG5161">
        <v>-1.1239455686549999</v>
      </c>
      <c r="AH5161">
        <v>49.802848340507502</v>
      </c>
      <c r="AI5161">
        <v>91.292229028397003</v>
      </c>
      <c r="AJ5161">
        <v>88.258721561336998</v>
      </c>
      <c r="AK5161">
        <v>49.838531609973202</v>
      </c>
      <c r="AL5161">
        <v>80.567107814588198</v>
      </c>
      <c r="AM5161">
        <v>92.664255609989894</v>
      </c>
      <c r="AN5161">
        <v>0.99999997792068296</v>
      </c>
    </row>
    <row r="5162" spans="1:40" x14ac:dyDescent="0.25">
      <c r="A5162" t="str">
        <f>"20190303162405494"</f>
        <v>20190303162405494</v>
      </c>
      <c r="B5162" t="str">
        <f>"1551601445489968"</f>
        <v>1551601445489968</v>
      </c>
      <c r="C5162" t="s">
        <v>40</v>
      </c>
      <c r="D5162">
        <v>5.472067</v>
      </c>
      <c r="E5162">
        <v>0.52852759999999999</v>
      </c>
      <c r="F5162" t="s">
        <v>41</v>
      </c>
      <c r="G5162">
        <v>-334.84539999999998</v>
      </c>
      <c r="H5162" s="1">
        <v>-2.9904600000000002E-6</v>
      </c>
      <c r="I5162">
        <v>15.12406</v>
      </c>
      <c r="J5162">
        <v>-385.48329999999999</v>
      </c>
      <c r="K5162">
        <v>1.123729</v>
      </c>
      <c r="L5162">
        <v>17.773009999999999</v>
      </c>
      <c r="M5162">
        <v>0.99973820000000002</v>
      </c>
      <c r="N5162">
        <v>-1.219141E-2</v>
      </c>
      <c r="O5162">
        <v>-1.9364949999999999E-2</v>
      </c>
      <c r="P5162">
        <v>0.98799000000000003</v>
      </c>
      <c r="Q5162">
        <v>0.15229870000000001</v>
      </c>
      <c r="R5162">
        <v>2.6093950000000001E-2</v>
      </c>
      <c r="S5162">
        <v>3.0503849999999999</v>
      </c>
      <c r="T5162">
        <v>-6.7480330000000005E-2</v>
      </c>
      <c r="U5162">
        <v>-0.1591187</v>
      </c>
      <c r="V5162">
        <v>-4.6424890000000003E-2</v>
      </c>
      <c r="W5162">
        <v>0.16398869999999999</v>
      </c>
      <c r="X5162">
        <v>0.98536919999999995</v>
      </c>
      <c r="Y5162">
        <v>3.2731339999999998E-2</v>
      </c>
      <c r="Z5162">
        <v>-3.6944119999999999E-4</v>
      </c>
      <c r="AA5162">
        <v>0.99946409999999997</v>
      </c>
      <c r="AB5162">
        <v>29</v>
      </c>
      <c r="AC5162">
        <v>50.637900000000002</v>
      </c>
      <c r="AD5162">
        <v>-1.1237319904600001</v>
      </c>
      <c r="AE5162">
        <v>-2.6489499999999899</v>
      </c>
      <c r="AF5162">
        <v>1.6669612883023199</v>
      </c>
      <c r="AG5162">
        <v>-1.1237319904600001</v>
      </c>
      <c r="AH5162">
        <v>50.654826075154403</v>
      </c>
      <c r="AI5162">
        <v>91.270159801801398</v>
      </c>
      <c r="AJ5162">
        <v>88.115176801998103</v>
      </c>
      <c r="AK5162">
        <v>50.694703256131397</v>
      </c>
      <c r="AL5162">
        <v>80.561509073947093</v>
      </c>
      <c r="AM5162">
        <v>92.697450598358103</v>
      </c>
      <c r="AN5162">
        <v>1.0000000122239201</v>
      </c>
    </row>
    <row r="5163" spans="1:40" x14ac:dyDescent="0.25">
      <c r="A5163" t="str">
        <f>"20190303162405513"</f>
        <v>20190303162405513</v>
      </c>
      <c r="B5163" t="str">
        <f>"1551601445499728"</f>
        <v>1551601445499728</v>
      </c>
      <c r="C5163" t="s">
        <v>40</v>
      </c>
      <c r="D5163">
        <v>5.4452230000000004</v>
      </c>
      <c r="E5163">
        <v>0.52820979999999995</v>
      </c>
      <c r="F5163" t="s">
        <v>41</v>
      </c>
      <c r="G5163">
        <v>-337.01310000000001</v>
      </c>
      <c r="H5163" s="1">
        <v>-2.1099619999999999E-6</v>
      </c>
      <c r="I5163">
        <v>15.45417</v>
      </c>
      <c r="J5163">
        <v>-385.23910000000001</v>
      </c>
      <c r="K5163">
        <v>1.123413</v>
      </c>
      <c r="L5163">
        <v>17.771179999999902</v>
      </c>
      <c r="M5163">
        <v>0.99978509999999998</v>
      </c>
      <c r="N5163">
        <v>-1.2172570000000001E-2</v>
      </c>
      <c r="O5163">
        <v>-1.677648E-2</v>
      </c>
      <c r="P5163">
        <v>0.98773520000000004</v>
      </c>
      <c r="Q5163">
        <v>0.15445420000000001</v>
      </c>
      <c r="R5163">
        <v>2.2865179999999999E-2</v>
      </c>
      <c r="S5163">
        <v>3.0512079999999999</v>
      </c>
      <c r="T5163">
        <v>-7.0739029999999994E-2</v>
      </c>
      <c r="U5163">
        <v>-0.1459656</v>
      </c>
      <c r="V5163">
        <v>-4.0518720000000001E-2</v>
      </c>
      <c r="W5163">
        <v>0.16619909999999999</v>
      </c>
      <c r="X5163">
        <v>0.98525940000000001</v>
      </c>
      <c r="Y5163">
        <v>3.1007010000000002E-2</v>
      </c>
      <c r="Z5163">
        <v>-3.6355049999999998E-4</v>
      </c>
      <c r="AA5163">
        <v>0.99951909999999999</v>
      </c>
      <c r="AB5163">
        <v>29</v>
      </c>
      <c r="AC5163">
        <v>48.225999999999999</v>
      </c>
      <c r="AD5163">
        <v>-1.123415109962</v>
      </c>
      <c r="AE5163">
        <v>-2.31700999999999</v>
      </c>
      <c r="AF5163">
        <v>1.50674559338865</v>
      </c>
      <c r="AG5163">
        <v>-1.123415109962</v>
      </c>
      <c r="AH5163">
        <v>48.2319733619996</v>
      </c>
      <c r="AI5163">
        <v>91.333636912907707</v>
      </c>
      <c r="AJ5163">
        <v>88.210687014726105</v>
      </c>
      <c r="AK5163">
        <v>48.268577751836901</v>
      </c>
      <c r="AL5163">
        <v>80.433100260498406</v>
      </c>
      <c r="AM5163">
        <v>92.354957680826203</v>
      </c>
      <c r="AN5163">
        <v>0.99999999639980397</v>
      </c>
    </row>
    <row r="5164" spans="1:40" x14ac:dyDescent="0.25">
      <c r="A5164" t="str">
        <f>"20190303162405535"</f>
        <v>20190303162405535</v>
      </c>
      <c r="B5164" t="str">
        <f>"1551601445530959"</f>
        <v>1551601445530959</v>
      </c>
      <c r="C5164" t="s">
        <v>40</v>
      </c>
      <c r="D5164">
        <v>5.4030069999999997</v>
      </c>
      <c r="E5164">
        <v>0.52760530000000005</v>
      </c>
      <c r="F5164" t="s">
        <v>41</v>
      </c>
      <c r="G5164">
        <v>-333.09089999999998</v>
      </c>
      <c r="H5164" s="1">
        <v>-3.742041E-6</v>
      </c>
      <c r="I5164">
        <v>15.130280000000001</v>
      </c>
      <c r="J5164">
        <v>-384.94850000000002</v>
      </c>
      <c r="K5164">
        <v>1.123011</v>
      </c>
      <c r="L5164">
        <v>17.76932</v>
      </c>
      <c r="M5164">
        <v>0.99982479999999996</v>
      </c>
      <c r="N5164">
        <v>-1.215019E-2</v>
      </c>
      <c r="O5164">
        <v>-1.424109E-2</v>
      </c>
      <c r="P5164">
        <v>0.98732920000000002</v>
      </c>
      <c r="Q5164">
        <v>0.15720719999999999</v>
      </c>
      <c r="R5164">
        <v>2.1612559999999999E-2</v>
      </c>
      <c r="S5164">
        <v>3.0511170000000001</v>
      </c>
      <c r="T5164">
        <v>-6.5729499999999996E-2</v>
      </c>
      <c r="U5164">
        <v>-0.1545105</v>
      </c>
      <c r="V5164">
        <v>-3.6604209999999998E-2</v>
      </c>
      <c r="W5164">
        <v>0.16898769999999999</v>
      </c>
      <c r="X5164">
        <v>0.98493819999999999</v>
      </c>
      <c r="Y5164">
        <v>3.6334239999999997E-2</v>
      </c>
      <c r="Z5164">
        <v>-4.7841129999999998E-4</v>
      </c>
      <c r="AA5164">
        <v>0.99933959999999999</v>
      </c>
      <c r="AB5164">
        <v>29</v>
      </c>
      <c r="AC5164">
        <v>51.857599999999998</v>
      </c>
      <c r="AD5164">
        <v>-1.1230147420409999</v>
      </c>
      <c r="AE5164">
        <v>-2.6390400000000001</v>
      </c>
      <c r="AF5164">
        <v>1.89932066896612</v>
      </c>
      <c r="AG5164">
        <v>-1.1230147420409999</v>
      </c>
      <c r="AH5164">
        <v>51.8656652836506</v>
      </c>
      <c r="AI5164">
        <v>91.239565177607005</v>
      </c>
      <c r="AJ5164">
        <v>87.902765693079601</v>
      </c>
      <c r="AK5164">
        <v>51.912578595462598</v>
      </c>
      <c r="AL5164">
        <v>80.271032825913196</v>
      </c>
      <c r="AM5164">
        <v>92.128358907043307</v>
      </c>
      <c r="AN5164">
        <v>0.99999998438012605</v>
      </c>
    </row>
    <row r="5165" spans="1:40" x14ac:dyDescent="0.25">
      <c r="A5165" t="str">
        <f>"20190303162405549"</f>
        <v>20190303162405549</v>
      </c>
      <c r="B5165" t="str">
        <f>"1551601445539744"</f>
        <v>1551601445539744</v>
      </c>
      <c r="C5165" t="s">
        <v>40</v>
      </c>
      <c r="D5165">
        <v>5.432436</v>
      </c>
      <c r="E5165">
        <v>0.52744440000000004</v>
      </c>
      <c r="F5165" t="s">
        <v>41</v>
      </c>
      <c r="G5165">
        <v>-328.24349999999998</v>
      </c>
      <c r="H5165" s="1">
        <v>-1.9192620000000002E-6</v>
      </c>
      <c r="I5165">
        <v>14.878819999999999</v>
      </c>
      <c r="J5165">
        <v>-384.7801</v>
      </c>
      <c r="K5165">
        <v>1.122776</v>
      </c>
      <c r="L5165">
        <v>17.76831</v>
      </c>
      <c r="M5165">
        <v>0.99984170000000006</v>
      </c>
      <c r="N5165">
        <v>-1.213798E-2</v>
      </c>
      <c r="O5165">
        <v>-1.301454E-2</v>
      </c>
      <c r="P5165">
        <v>0.98712750000000005</v>
      </c>
      <c r="Q5165">
        <v>0.15849530000000001</v>
      </c>
      <c r="R5165">
        <v>2.1421570000000001E-2</v>
      </c>
      <c r="S5165">
        <v>3.0515140000000001</v>
      </c>
      <c r="T5165">
        <v>-6.0433630000000002E-2</v>
      </c>
      <c r="U5165">
        <v>-0.15554809999999999</v>
      </c>
      <c r="V5165">
        <v>-3.5106440000000003E-2</v>
      </c>
      <c r="W5165">
        <v>0.17029029999999901</v>
      </c>
      <c r="X5165">
        <v>0.98476839999999999</v>
      </c>
      <c r="Y5165">
        <v>3.7893459999999997E-2</v>
      </c>
      <c r="Z5165">
        <v>-5.0547609999999996E-4</v>
      </c>
      <c r="AA5165">
        <v>0.99928159999999999</v>
      </c>
      <c r="AB5165">
        <v>29</v>
      </c>
      <c r="AC5165">
        <v>56.5366</v>
      </c>
      <c r="AD5165">
        <v>-1.122777919262</v>
      </c>
      <c r="AE5165">
        <v>-2.8894899999999901</v>
      </c>
      <c r="AF5165">
        <v>2.1525465076843302</v>
      </c>
      <c r="AG5165">
        <v>-1.122777919262</v>
      </c>
      <c r="AH5165">
        <v>56.547175543284098</v>
      </c>
      <c r="AI5165">
        <v>91.136669399291705</v>
      </c>
      <c r="AJ5165">
        <v>87.820009410939704</v>
      </c>
      <c r="AK5165">
        <v>56.599268092853599</v>
      </c>
      <c r="AL5165">
        <v>80.195302112522597</v>
      </c>
      <c r="AM5165">
        <v>92.041697711919596</v>
      </c>
      <c r="AN5165">
        <v>1.0000000250210599</v>
      </c>
    </row>
    <row r="5166" spans="1:40" x14ac:dyDescent="0.25">
      <c r="A5166" t="str">
        <f>"20190303162405581"</f>
        <v>20190303162405581</v>
      </c>
      <c r="B5166" t="str">
        <f>"1551601445570000"</f>
        <v>1551601445570000</v>
      </c>
      <c r="C5166" t="s">
        <v>40</v>
      </c>
      <c r="D5166">
        <v>5.4275659999999997</v>
      </c>
      <c r="E5166">
        <v>0.52712579999999998</v>
      </c>
      <c r="F5166" t="s">
        <v>41</v>
      </c>
      <c r="G5166">
        <v>-326.0575</v>
      </c>
      <c r="H5166" s="1">
        <v>-2.7884229999999998E-6</v>
      </c>
      <c r="I5166">
        <v>14.767150000000001</v>
      </c>
      <c r="J5166">
        <v>-384.35629999999998</v>
      </c>
      <c r="K5166">
        <v>1.122215</v>
      </c>
      <c r="L5166">
        <v>17.765929999999901</v>
      </c>
      <c r="M5166">
        <v>0.99987020000000004</v>
      </c>
      <c r="N5166">
        <v>-1.2115280000000001E-2</v>
      </c>
      <c r="O5166">
        <v>-1.064029E-2</v>
      </c>
      <c r="P5166">
        <v>0.98623289999999997</v>
      </c>
      <c r="Q5166">
        <v>0.16373379999999901</v>
      </c>
      <c r="R5166">
        <v>2.316E-2</v>
      </c>
      <c r="S5166">
        <v>3.0519099999999999</v>
      </c>
      <c r="T5166">
        <v>-5.8352710000000002E-2</v>
      </c>
      <c r="U5166">
        <v>-0.15597529999999901</v>
      </c>
      <c r="V5166">
        <v>-3.4265219999999999E-2</v>
      </c>
      <c r="W5166">
        <v>0.17554810000000001</v>
      </c>
      <c r="X5166">
        <v>0.98387440000000004</v>
      </c>
      <c r="Y5166">
        <v>4.0398959999999998E-2</v>
      </c>
      <c r="Z5166">
        <v>-5.5641760000000001E-4</v>
      </c>
      <c r="AA5166">
        <v>0.9991835</v>
      </c>
      <c r="AB5166">
        <v>29</v>
      </c>
      <c r="AC5166">
        <v>58.2987999999999</v>
      </c>
      <c r="AD5166">
        <v>-1.122217788423</v>
      </c>
      <c r="AE5166">
        <v>-2.9987799999999898</v>
      </c>
      <c r="AF5166">
        <v>2.37737008907063</v>
      </c>
      <c r="AG5166">
        <v>-1.122217788423</v>
      </c>
      <c r="AH5166">
        <v>58.305861835844098</v>
      </c>
      <c r="AI5166">
        <v>91.101725286602203</v>
      </c>
      <c r="AJ5166">
        <v>87.665108494939702</v>
      </c>
      <c r="AK5166">
        <v>58.3650990380861</v>
      </c>
      <c r="AL5166">
        <v>79.889444676701899</v>
      </c>
      <c r="AM5166">
        <v>91.994623825214106</v>
      </c>
      <c r="AN5166">
        <v>1.0000000378453</v>
      </c>
    </row>
    <row r="5167" spans="1:40" x14ac:dyDescent="0.25">
      <c r="A5167" t="str">
        <f>"20190303162405606"</f>
        <v>20190303162405606</v>
      </c>
      <c r="B5167" t="str">
        <f>"1551601445600256"</f>
        <v>1551601445600256</v>
      </c>
      <c r="C5167" t="s">
        <v>40</v>
      </c>
      <c r="D5167">
        <v>5.4235939999999996</v>
      </c>
      <c r="E5167">
        <v>0.52079390000000003</v>
      </c>
      <c r="F5167" t="s">
        <v>43</v>
      </c>
      <c r="G5167">
        <v>-306.36360000000002</v>
      </c>
      <c r="H5167">
        <v>-0.05</v>
      </c>
      <c r="I5167">
        <v>13.857100000000001</v>
      </c>
      <c r="J5167">
        <v>-384.0804</v>
      </c>
      <c r="K5167">
        <v>1.121904</v>
      </c>
      <c r="L5167">
        <v>17.764340000000001</v>
      </c>
      <c r="M5167">
        <v>0.99988049999999995</v>
      </c>
      <c r="N5167">
        <v>-1.2108219999999999E-2</v>
      </c>
      <c r="O5167">
        <v>-9.6119919999999998E-3</v>
      </c>
      <c r="P5167">
        <v>0.98519250000000003</v>
      </c>
      <c r="Q5167">
        <v>0.169441799999999</v>
      </c>
      <c r="R5167">
        <v>2.6185259999999998E-2</v>
      </c>
      <c r="S5167">
        <v>3.0531009999999998</v>
      </c>
      <c r="T5167">
        <v>-4.588747E-2</v>
      </c>
      <c r="U5167">
        <v>-0.15301509999999999</v>
      </c>
      <c r="V5167">
        <v>-3.613794E-2</v>
      </c>
      <c r="W5167">
        <v>0.18125949999999999</v>
      </c>
      <c r="X5167">
        <v>0.98277110000000001</v>
      </c>
      <c r="Y5167">
        <v>4.0443960000000001E-2</v>
      </c>
      <c r="Z5167">
        <v>-5.2072960000000004E-4</v>
      </c>
      <c r="AA5167">
        <v>0.99918169999999995</v>
      </c>
      <c r="AB5167">
        <v>29</v>
      </c>
      <c r="AC5167">
        <v>77.716799999999907</v>
      </c>
      <c r="AD5167">
        <v>-1.1719040000000001</v>
      </c>
      <c r="AE5167">
        <v>-3.9072399999999998</v>
      </c>
      <c r="AF5167">
        <v>3.1592749053722602</v>
      </c>
      <c r="AG5167">
        <v>-1.1719040000000001</v>
      </c>
      <c r="AH5167">
        <v>77.733137881744895</v>
      </c>
      <c r="AI5167">
        <v>90.863012790206298</v>
      </c>
      <c r="AJ5167">
        <v>87.672632868975597</v>
      </c>
      <c r="AK5167">
        <v>77.806137944607499</v>
      </c>
      <c r="AL5167">
        <v>79.556869246831795</v>
      </c>
      <c r="AM5167">
        <v>92.105901336271998</v>
      </c>
      <c r="AN5167">
        <v>0.99999999602145095</v>
      </c>
    </row>
    <row r="5168" spans="1:40" x14ac:dyDescent="0.25">
      <c r="A5168" t="str">
        <f>"20190303162405626"</f>
        <v>20190303162405626</v>
      </c>
      <c r="B5168" t="str">
        <f>"1551601445610016"</f>
        <v>1551601445610016</v>
      </c>
      <c r="C5168" t="s">
        <v>40</v>
      </c>
      <c r="D5168">
        <v>5.4197850000000001</v>
      </c>
      <c r="E5168">
        <v>0.52116669999999998</v>
      </c>
      <c r="F5168" t="s">
        <v>58</v>
      </c>
      <c r="G5168">
        <v>-361.77440000000001</v>
      </c>
      <c r="H5168" s="1">
        <v>-4.3438889999999999E-6</v>
      </c>
      <c r="I5168">
        <v>17.05048</v>
      </c>
      <c r="J5168">
        <v>-383.78109999999998</v>
      </c>
      <c r="K5168">
        <v>1.1216109999999999</v>
      </c>
      <c r="L5168">
        <v>17.762509999999999</v>
      </c>
      <c r="M5168">
        <v>0.99988690000000002</v>
      </c>
      <c r="N5168">
        <v>-1.2102669999999999E-2</v>
      </c>
      <c r="O5168">
        <v>-8.9435069999999998E-3</v>
      </c>
      <c r="P5168">
        <v>0.98403010000000002</v>
      </c>
      <c r="Q5168">
        <v>0.1753817</v>
      </c>
      <c r="R5168">
        <v>3.043531E-2</v>
      </c>
      <c r="S5168">
        <v>3.074341</v>
      </c>
      <c r="T5168">
        <v>-0.15462790000000001</v>
      </c>
      <c r="U5168">
        <v>-9.8388669999999998E-2</v>
      </c>
      <c r="V5168">
        <v>-3.9587339999999999E-2</v>
      </c>
      <c r="W5168">
        <v>0.18720039999999999</v>
      </c>
      <c r="X5168">
        <v>0.98152379999999995</v>
      </c>
      <c r="Y5168">
        <v>2.3016379999999999E-2</v>
      </c>
      <c r="Z5168">
        <v>-3.7649949999999998E-4</v>
      </c>
      <c r="AA5168">
        <v>0.99973500000000004</v>
      </c>
      <c r="AB5168">
        <v>29</v>
      </c>
      <c r="AC5168">
        <v>22.006699999999899</v>
      </c>
      <c r="AD5168">
        <v>-1.121615343889</v>
      </c>
      <c r="AE5168">
        <v>-0.71202999999999805</v>
      </c>
      <c r="AF5168">
        <v>0.51383669039097302</v>
      </c>
      <c r="AG5168">
        <v>-1.121615343889</v>
      </c>
      <c r="AH5168">
        <v>21.955216262119599</v>
      </c>
      <c r="AI5168">
        <v>92.923699735035299</v>
      </c>
      <c r="AJ5168">
        <v>88.659302652701896</v>
      </c>
      <c r="AK5168">
        <v>21.989851528386499</v>
      </c>
      <c r="AL5168">
        <v>79.210553011626203</v>
      </c>
      <c r="AM5168">
        <v>92.309632029677303</v>
      </c>
      <c r="AN5168">
        <v>1.00000005860743</v>
      </c>
    </row>
    <row r="5169" spans="1:40" x14ac:dyDescent="0.25">
      <c r="A5169" t="str">
        <f>"20190303162405648"</f>
        <v>20190303162405648</v>
      </c>
      <c r="B5169" t="str">
        <f>"1551601445640271"</f>
        <v>1551601445640271</v>
      </c>
      <c r="C5169" t="s">
        <v>40</v>
      </c>
      <c r="D5169">
        <v>5.4397229999999999</v>
      </c>
      <c r="E5169">
        <v>0.52239020000000003</v>
      </c>
      <c r="F5169" t="s">
        <v>41</v>
      </c>
      <c r="G5169">
        <v>-359.0763</v>
      </c>
      <c r="H5169" s="1">
        <v>-9.8582770000000005E-7</v>
      </c>
      <c r="I5169">
        <v>17.040189999999999</v>
      </c>
      <c r="J5169">
        <v>-383.49360000000001</v>
      </c>
      <c r="K5169">
        <v>1.1213759999999999</v>
      </c>
      <c r="L5169">
        <v>17.760590000000001</v>
      </c>
      <c r="M5169">
        <v>0.99988999999999995</v>
      </c>
      <c r="N5169">
        <v>-1.20979E-2</v>
      </c>
      <c r="O5169">
        <v>-8.5996579999999996E-3</v>
      </c>
      <c r="P5169">
        <v>0.98296989999999995</v>
      </c>
      <c r="Q5169">
        <v>0.18046309999999999</v>
      </c>
      <c r="R5169">
        <v>3.4687170000000003E-2</v>
      </c>
      <c r="S5169">
        <v>3.0763240000000001</v>
      </c>
      <c r="T5169">
        <v>-0.1396666</v>
      </c>
      <c r="U5169">
        <v>-8.9935299999999996E-2</v>
      </c>
      <c r="V5169">
        <v>-4.3380490000000001E-2</v>
      </c>
      <c r="W5169">
        <v>0.19228390000000001</v>
      </c>
      <c r="X5169">
        <v>0.98038009999999998</v>
      </c>
      <c r="Y5169">
        <v>2.060238E-2</v>
      </c>
      <c r="Z5169">
        <v>-3.0592949999999999E-4</v>
      </c>
      <c r="AA5169">
        <v>0.99978769999999995</v>
      </c>
      <c r="AB5169">
        <v>29</v>
      </c>
      <c r="AC5169">
        <v>24.417300000000001</v>
      </c>
      <c r="AD5169">
        <v>-1.1213769858276901</v>
      </c>
      <c r="AE5169">
        <v>-0.72040000000000104</v>
      </c>
      <c r="AF5169">
        <v>0.50930432796585301</v>
      </c>
      <c r="AG5169">
        <v>-1.1213769858276901</v>
      </c>
      <c r="AH5169">
        <v>24.371234670329901</v>
      </c>
      <c r="AI5169">
        <v>92.633879223258404</v>
      </c>
      <c r="AJ5169">
        <v>88.802820536291804</v>
      </c>
      <c r="AK5169">
        <v>24.402335064479299</v>
      </c>
      <c r="AL5169">
        <v>78.913900505746795</v>
      </c>
      <c r="AM5169">
        <v>92.533607858284299</v>
      </c>
      <c r="AN5169">
        <v>1.0000000527939199</v>
      </c>
    </row>
    <row r="5170" spans="1:40" x14ac:dyDescent="0.25">
      <c r="A5170" t="str">
        <f>"20190303162405682"</f>
        <v>20190303162405682</v>
      </c>
      <c r="B5170" t="str">
        <f>"1551601445669552"</f>
        <v>1551601445669552</v>
      </c>
      <c r="C5170" t="s">
        <v>40</v>
      </c>
      <c r="D5170">
        <v>5.4000029999999999</v>
      </c>
      <c r="E5170">
        <v>0.52294259999999904</v>
      </c>
      <c r="F5170" t="s">
        <v>41</v>
      </c>
      <c r="G5170">
        <v>-355.93939999999998</v>
      </c>
      <c r="H5170" s="1">
        <v>-2.1934679999999998E-6</v>
      </c>
      <c r="I5170">
        <v>16.971270000000001</v>
      </c>
      <c r="J5170">
        <v>-383.05520000000001</v>
      </c>
      <c r="K5170">
        <v>1.121105</v>
      </c>
      <c r="L5170">
        <v>17.757390000000001</v>
      </c>
      <c r="M5170">
        <v>0.99989090000000003</v>
      </c>
      <c r="N5170">
        <v>-1.209213E-2</v>
      </c>
      <c r="O5170">
        <v>-8.4794509999999903E-3</v>
      </c>
      <c r="P5170">
        <v>0.98144310000000001</v>
      </c>
      <c r="Q5170">
        <v>0.18728690000000001</v>
      </c>
      <c r="R5170">
        <v>4.1143859999999997E-2</v>
      </c>
      <c r="S5170">
        <v>3.0780639999999999</v>
      </c>
      <c r="T5170">
        <v>-0.12526869999999901</v>
      </c>
      <c r="U5170">
        <v>-8.8165279999999999E-2</v>
      </c>
      <c r="V5170">
        <v>-4.9566489999999998E-2</v>
      </c>
      <c r="W5170">
        <v>0.19911100000000001</v>
      </c>
      <c r="X5170">
        <v>0.9787226</v>
      </c>
      <c r="Y5170">
        <v>2.013558E-2</v>
      </c>
      <c r="Z5170">
        <v>-2.8894210000000002E-4</v>
      </c>
      <c r="AA5170">
        <v>0.99979720000000005</v>
      </c>
      <c r="AB5170">
        <v>29</v>
      </c>
      <c r="AC5170">
        <v>27.1158</v>
      </c>
      <c r="AD5170">
        <v>-1.1211071934679999</v>
      </c>
      <c r="AE5170">
        <v>-0.78612000000000004</v>
      </c>
      <c r="AF5170">
        <v>0.55519954335349597</v>
      </c>
      <c r="AG5170">
        <v>-1.1211071934679999</v>
      </c>
      <c r="AH5170">
        <v>27.075247194788101</v>
      </c>
      <c r="AI5170">
        <v>92.370599207695705</v>
      </c>
      <c r="AJ5170">
        <v>88.825268967518696</v>
      </c>
      <c r="AK5170">
        <v>27.104135081774299</v>
      </c>
      <c r="AL5170">
        <v>78.515022183367606</v>
      </c>
      <c r="AM5170">
        <v>92.899214162694705</v>
      </c>
      <c r="AN5170">
        <v>0.99999997750133895</v>
      </c>
    </row>
    <row r="5171" spans="1:40" x14ac:dyDescent="0.25">
      <c r="A5171" t="str">
        <f>"20190303162405694"</f>
        <v>20190303162405694</v>
      </c>
      <c r="B5171" t="str">
        <f>"1551601445680287"</f>
        <v>1551601445680287</v>
      </c>
      <c r="C5171" t="s">
        <v>40</v>
      </c>
      <c r="D5171">
        <v>5.6182299999999996</v>
      </c>
      <c r="E5171">
        <v>0.52294259999999904</v>
      </c>
      <c r="F5171" t="s">
        <v>41</v>
      </c>
      <c r="G5171">
        <v>-351.83390000000003</v>
      </c>
      <c r="H5171" s="1">
        <v>-3.9516389999999996E-6</v>
      </c>
      <c r="I5171">
        <v>16.988510000000002</v>
      </c>
      <c r="J5171">
        <v>-382.89870000000002</v>
      </c>
      <c r="K5171">
        <v>1.1210290000000001</v>
      </c>
      <c r="L5171">
        <v>17.7561</v>
      </c>
      <c r="M5171">
        <v>0.99989050000000002</v>
      </c>
      <c r="N5171">
        <v>-1.209058E-2</v>
      </c>
      <c r="O5171">
        <v>-8.553125E-3</v>
      </c>
      <c r="P5171">
        <v>0.98100290000000001</v>
      </c>
      <c r="Q5171">
        <v>0.18902189999999999</v>
      </c>
      <c r="R5171">
        <v>4.363885E-2</v>
      </c>
      <c r="S5171">
        <v>3.080994</v>
      </c>
      <c r="T5171">
        <v>-0.11063389999999999</v>
      </c>
      <c r="U5171">
        <v>-7.5866699999999995E-2</v>
      </c>
      <c r="V5171">
        <v>-5.2089530000000002E-2</v>
      </c>
      <c r="W5171">
        <v>0.20084859999999999</v>
      </c>
      <c r="X5171">
        <v>0.97823640000000001</v>
      </c>
      <c r="Y5171">
        <v>1.605318E-2</v>
      </c>
      <c r="Z5171">
        <v>-1.8160100000000001E-4</v>
      </c>
      <c r="AA5171">
        <v>0.99987110000000001</v>
      </c>
      <c r="AB5171">
        <v>29</v>
      </c>
      <c r="AC5171">
        <v>31.064799999999899</v>
      </c>
      <c r="AD5171">
        <v>-1.1210329516390001</v>
      </c>
      <c r="AE5171">
        <v>-0.767589999999998</v>
      </c>
      <c r="AF5171">
        <v>0.501189141790642</v>
      </c>
      <c r="AG5171">
        <v>-1.1210329516390001</v>
      </c>
      <c r="AH5171">
        <v>31.029844849252999</v>
      </c>
      <c r="AI5171">
        <v>92.068787926893705</v>
      </c>
      <c r="AJ5171">
        <v>89.074648103194903</v>
      </c>
      <c r="AK5171">
        <v>31.054133006787101</v>
      </c>
      <c r="AL5171">
        <v>78.413412380407294</v>
      </c>
      <c r="AM5171">
        <v>93.0480303757884</v>
      </c>
      <c r="AN5171">
        <v>0.99999996677126901</v>
      </c>
    </row>
    <row r="5172" spans="1:40" x14ac:dyDescent="0.25">
      <c r="A5172" t="str">
        <f>"20190303162405714"</f>
        <v>20190303162405714</v>
      </c>
      <c r="B5172" t="str">
        <f>"1551601445699807"</f>
        <v>1551601445699807</v>
      </c>
      <c r="C5172" t="s">
        <v>40</v>
      </c>
      <c r="D5172">
        <v>5.5488189999999999</v>
      </c>
      <c r="E5172">
        <v>0.4887724</v>
      </c>
      <c r="F5172" t="s">
        <v>41</v>
      </c>
      <c r="G5172">
        <v>-350.02019999999999</v>
      </c>
      <c r="H5172" s="1">
        <v>-4.7229600000000001E-6</v>
      </c>
      <c r="I5172">
        <v>17.026620000000001</v>
      </c>
      <c r="J5172">
        <v>-382.6438</v>
      </c>
      <c r="K5172">
        <v>1.1209180000000001</v>
      </c>
      <c r="L5172">
        <v>17.75394</v>
      </c>
      <c r="M5172">
        <v>0.99988869999999996</v>
      </c>
      <c r="N5172">
        <v>-1.2088420000000001E-2</v>
      </c>
      <c r="O5172">
        <v>-8.7423850000000001E-3</v>
      </c>
      <c r="P5172">
        <v>0.98033769999999998</v>
      </c>
      <c r="Q5172">
        <v>0.19137709999999999</v>
      </c>
      <c r="R5172">
        <v>4.8091879999999997E-2</v>
      </c>
      <c r="S5172">
        <v>3.0813899999999999</v>
      </c>
      <c r="T5172">
        <v>-0.1050639</v>
      </c>
      <c r="U5172">
        <v>-6.8359379999999997E-2</v>
      </c>
      <c r="V5172">
        <v>-5.665866E-2</v>
      </c>
      <c r="W5172">
        <v>0.2032089</v>
      </c>
      <c r="X5172">
        <v>0.97749470000000005</v>
      </c>
      <c r="Y5172">
        <v>1.342896E-2</v>
      </c>
      <c r="Z5172">
        <v>-1.177632E-4</v>
      </c>
      <c r="AA5172">
        <v>0.99990979999999996</v>
      </c>
      <c r="AB5172">
        <v>29</v>
      </c>
      <c r="AC5172">
        <v>32.623600000000003</v>
      </c>
      <c r="AD5172">
        <v>-1.1209227229600001</v>
      </c>
      <c r="AE5172">
        <v>-0.72731999999999797</v>
      </c>
      <c r="AF5172">
        <v>0.441542277182084</v>
      </c>
      <c r="AG5172">
        <v>-1.1209227229600001</v>
      </c>
      <c r="AH5172">
        <v>32.590256474317599</v>
      </c>
      <c r="AI5172">
        <v>91.969697520006704</v>
      </c>
      <c r="AJ5172">
        <v>89.223787598903101</v>
      </c>
      <c r="AK5172">
        <v>32.612516682942299</v>
      </c>
      <c r="AL5172">
        <v>78.275329884835003</v>
      </c>
      <c r="AM5172">
        <v>93.317331378758993</v>
      </c>
      <c r="AN5172">
        <v>0.99999997466014701</v>
      </c>
    </row>
    <row r="5173" spans="1:40" x14ac:dyDescent="0.25">
      <c r="A5173" t="str">
        <f>"20190303162405736"</f>
        <v>20190303162405736</v>
      </c>
      <c r="B5173" t="str">
        <f>"1551601445730064"</f>
        <v>1551601445730064</v>
      </c>
      <c r="C5173" t="s">
        <v>40</v>
      </c>
      <c r="D5173">
        <v>5.5790509999999998</v>
      </c>
      <c r="E5173">
        <v>0.43450109999999997</v>
      </c>
      <c r="F5173" t="s">
        <v>41</v>
      </c>
      <c r="G5173">
        <v>-332.40030000000002</v>
      </c>
      <c r="H5173" s="1">
        <v>-3.700615E-6</v>
      </c>
      <c r="I5173">
        <v>21.337810000000001</v>
      </c>
      <c r="J5173">
        <v>-382.35079999999999</v>
      </c>
      <c r="K5173">
        <v>1.1207940000000001</v>
      </c>
      <c r="L5173">
        <v>17.75122</v>
      </c>
      <c r="M5173">
        <v>0.99988589999999999</v>
      </c>
      <c r="N5173">
        <v>-1.2086629999999999E-2</v>
      </c>
      <c r="O5173">
        <v>-9.0716919999999993E-3</v>
      </c>
      <c r="P5173">
        <v>0.9796686</v>
      </c>
      <c r="Q5173">
        <v>0.19343170000000001</v>
      </c>
      <c r="R5173">
        <v>5.3234120000000003E-2</v>
      </c>
      <c r="S5173">
        <v>3.062805</v>
      </c>
      <c r="T5173">
        <v>-6.833053E-2</v>
      </c>
      <c r="U5173">
        <v>0.21847530000000001</v>
      </c>
      <c r="V5173">
        <v>-6.2050800000000003E-2</v>
      </c>
      <c r="W5173">
        <v>0.20527339999999999</v>
      </c>
      <c r="X5173">
        <v>0.97673569999999998</v>
      </c>
      <c r="Y5173">
        <v>-8.0166319999999999E-2</v>
      </c>
      <c r="Z5173">
        <v>1.4708200000000001E-3</v>
      </c>
      <c r="AA5173">
        <v>0.99678040000000001</v>
      </c>
      <c r="AB5173">
        <v>29</v>
      </c>
      <c r="AC5173">
        <v>49.950499999999899</v>
      </c>
      <c r="AD5173">
        <v>-1.1207977006150001</v>
      </c>
      <c r="AE5173">
        <v>3.5865900000000002</v>
      </c>
      <c r="AF5173">
        <v>-4.0375886207177798</v>
      </c>
      <c r="AG5173">
        <v>-1.1207977006150001</v>
      </c>
      <c r="AH5173">
        <v>49.890915682196201</v>
      </c>
      <c r="AI5173">
        <v>91.282738927996206</v>
      </c>
      <c r="AJ5173">
        <v>94.626768639820995</v>
      </c>
      <c r="AK5173">
        <v>50.066573449396998</v>
      </c>
      <c r="AL5173">
        <v>78.154496501204804</v>
      </c>
      <c r="AM5173">
        <v>93.635044388050005</v>
      </c>
      <c r="AN5173">
        <v>1.0000000490913401</v>
      </c>
    </row>
    <row r="5174" spans="1:40" x14ac:dyDescent="0.25">
      <c r="A5174" t="str">
        <f>"20190303162405759"</f>
        <v>20190303162405759</v>
      </c>
      <c r="B5174" t="str">
        <f>"1551601445749583"</f>
        <v>1551601445749583</v>
      </c>
      <c r="C5174" t="s">
        <v>40</v>
      </c>
      <c r="D5174">
        <v>5.4328909999999997</v>
      </c>
      <c r="E5174">
        <v>0.43443910000000002</v>
      </c>
      <c r="F5174" t="s">
        <v>41</v>
      </c>
      <c r="G5174">
        <v>-354.50909999999999</v>
      </c>
      <c r="H5174" s="1">
        <v>-3.4589239999999999E-6</v>
      </c>
      <c r="I5174">
        <v>23.8294</v>
      </c>
      <c r="J5174">
        <v>-382.06099999999998</v>
      </c>
      <c r="K5174">
        <v>1.1206969999999901</v>
      </c>
      <c r="L5174">
        <v>17.748290000000001</v>
      </c>
      <c r="M5174">
        <v>0.99988200000000005</v>
      </c>
      <c r="N5174">
        <v>-1.208535E-2</v>
      </c>
      <c r="O5174">
        <v>-9.4770159999999996E-3</v>
      </c>
      <c r="P5174">
        <v>0.97865340000000001</v>
      </c>
      <c r="Q5174">
        <v>0.19608539999999999</v>
      </c>
      <c r="R5174">
        <v>6.1547129999999999E-2</v>
      </c>
      <c r="S5174">
        <v>3.0502929999999999</v>
      </c>
      <c r="T5174">
        <v>-0.1227927</v>
      </c>
      <c r="U5174">
        <v>0.66592410000000002</v>
      </c>
      <c r="V5174">
        <v>-7.0693740000000005E-2</v>
      </c>
      <c r="W5174">
        <v>0.2079337</v>
      </c>
      <c r="X5174">
        <v>0.97558489999999998</v>
      </c>
      <c r="Y5174">
        <v>-0.22231190000000001</v>
      </c>
      <c r="Z5174">
        <v>6.0444799999999996E-3</v>
      </c>
      <c r="AA5174">
        <v>0.97495690000000002</v>
      </c>
      <c r="AB5174">
        <v>29</v>
      </c>
      <c r="AC5174">
        <v>27.5518999999999</v>
      </c>
      <c r="AD5174">
        <v>-1.1207004589239999</v>
      </c>
      <c r="AE5174">
        <v>6.08110999999999</v>
      </c>
      <c r="AF5174">
        <v>-6.3319759302551599</v>
      </c>
      <c r="AG5174">
        <v>-1.1207004589239999</v>
      </c>
      <c r="AH5174">
        <v>27.449720696061501</v>
      </c>
      <c r="AI5174">
        <v>92.278177569235098</v>
      </c>
      <c r="AJ5174">
        <v>102.989513651753</v>
      </c>
      <c r="AK5174">
        <v>28.192854679719002</v>
      </c>
      <c r="AL5174">
        <v>77.998710338208497</v>
      </c>
      <c r="AM5174">
        <v>94.144575952869303</v>
      </c>
      <c r="AN5174">
        <v>0.99999996278944303</v>
      </c>
    </row>
    <row r="5175" spans="1:40" x14ac:dyDescent="0.25">
      <c r="A5175" t="str">
        <f>"20190303162405773"</f>
        <v>20190303162405773</v>
      </c>
      <c r="B5175" t="str">
        <f>"1551601445760320"</f>
        <v>1551601445760320</v>
      </c>
      <c r="C5175" t="s">
        <v>40</v>
      </c>
      <c r="D5175">
        <v>5.4732190000000003</v>
      </c>
      <c r="E5175">
        <v>0.43670959999999998</v>
      </c>
      <c r="F5175" t="s">
        <v>41</v>
      </c>
      <c r="G5175">
        <v>-355.65219999999999</v>
      </c>
      <c r="H5175" s="1">
        <v>-2.943828E-6</v>
      </c>
      <c r="I5175">
        <v>23.736599999999999</v>
      </c>
      <c r="J5175">
        <v>-381.87889999999999</v>
      </c>
      <c r="K5175">
        <v>1.12064599999999</v>
      </c>
      <c r="L5175">
        <v>17.74634</v>
      </c>
      <c r="M5175">
        <v>0.99987939999999997</v>
      </c>
      <c r="N5175">
        <v>-1.208475E-2</v>
      </c>
      <c r="O5175">
        <v>-9.7624110000000004E-3</v>
      </c>
      <c r="P5175">
        <v>0.97821760000000002</v>
      </c>
      <c r="Q5175">
        <v>0.19715840000000001</v>
      </c>
      <c r="R5175">
        <v>6.4954399999999995E-2</v>
      </c>
      <c r="S5175">
        <v>3.047882</v>
      </c>
      <c r="T5175">
        <v>-0.12934200000000001</v>
      </c>
      <c r="U5175">
        <v>0.69113159999999996</v>
      </c>
      <c r="V5175">
        <v>-7.4347079999999996E-2</v>
      </c>
      <c r="W5175">
        <v>0.20901239999999999</v>
      </c>
      <c r="X5175">
        <v>0.97508280000000003</v>
      </c>
      <c r="Y5175">
        <v>-0.2303944</v>
      </c>
      <c r="Z5175">
        <v>6.5282090000000001E-3</v>
      </c>
      <c r="AA5175">
        <v>0.97307540000000003</v>
      </c>
      <c r="AB5175">
        <v>29</v>
      </c>
      <c r="AC5175">
        <v>26.226699999999902</v>
      </c>
      <c r="AD5175">
        <v>-1.1206489438279901</v>
      </c>
      <c r="AE5175">
        <v>5.9902599999999904</v>
      </c>
      <c r="AF5175">
        <v>-6.2352092387321099</v>
      </c>
      <c r="AG5175">
        <v>-1.1206489438279901</v>
      </c>
      <c r="AH5175">
        <v>26.121638310723601</v>
      </c>
      <c r="AI5175">
        <v>92.389500385872097</v>
      </c>
      <c r="AJ5175">
        <v>103.425231071485</v>
      </c>
      <c r="AK5175">
        <v>26.878870443944201</v>
      </c>
      <c r="AL5175">
        <v>77.935518199430007</v>
      </c>
      <c r="AM5175">
        <v>94.360191473317201</v>
      </c>
      <c r="AN5175">
        <v>1.0000000692570601</v>
      </c>
    </row>
    <row r="5176" spans="1:40" x14ac:dyDescent="0.25">
      <c r="A5176" t="str">
        <f>"20190303162405788"</f>
        <v>20190303162405788</v>
      </c>
      <c r="B5176" t="str">
        <f>"1551601445779840"</f>
        <v>1551601445779840</v>
      </c>
      <c r="C5176" t="s">
        <v>40</v>
      </c>
      <c r="D5176">
        <v>5.5129510000000002</v>
      </c>
      <c r="E5176">
        <v>0.43972889999999998</v>
      </c>
      <c r="F5176" t="s">
        <v>41</v>
      </c>
      <c r="G5176">
        <v>-355.34989999999999</v>
      </c>
      <c r="H5176" s="1">
        <v>-3.0606240000000002E-6</v>
      </c>
      <c r="I5176">
        <v>23.68816</v>
      </c>
      <c r="J5176">
        <v>-381.68939999999998</v>
      </c>
      <c r="K5176">
        <v>1.1206039999999999</v>
      </c>
      <c r="L5176">
        <v>17.744199999999999</v>
      </c>
      <c r="M5176">
        <v>0.99987619999999999</v>
      </c>
      <c r="N5176">
        <v>-1.208415E-2</v>
      </c>
      <c r="O5176">
        <v>-1.00745E-2</v>
      </c>
      <c r="P5176">
        <v>0.97788770000000003</v>
      </c>
      <c r="Q5176">
        <v>0.19767009999999999</v>
      </c>
      <c r="R5176">
        <v>6.8280850000000004E-2</v>
      </c>
      <c r="S5176">
        <v>3.0474239999999999</v>
      </c>
      <c r="T5176">
        <v>-0.1287307</v>
      </c>
      <c r="U5176">
        <v>0.68255619999999995</v>
      </c>
      <c r="V5176">
        <v>-7.7950889999999995E-2</v>
      </c>
      <c r="W5176">
        <v>0.20953089999999999</v>
      </c>
      <c r="X5176">
        <v>0.97468999999999995</v>
      </c>
      <c r="Y5176">
        <v>-0.22812750000000001</v>
      </c>
      <c r="Z5176">
        <v>6.4534789999999998E-3</v>
      </c>
      <c r="AA5176">
        <v>0.97360990000000003</v>
      </c>
      <c r="AB5176">
        <v>29</v>
      </c>
      <c r="AC5176">
        <v>26.339499999999902</v>
      </c>
      <c r="AD5176">
        <v>-1.120607060624</v>
      </c>
      <c r="AE5176">
        <v>5.9439599999999997</v>
      </c>
      <c r="AF5176">
        <v>-6.1983592822485596</v>
      </c>
      <c r="AG5176">
        <v>-1.120607060624</v>
      </c>
      <c r="AH5176">
        <v>26.23309391307</v>
      </c>
      <c r="AI5176">
        <v>92.380563743601201</v>
      </c>
      <c r="AJ5176">
        <v>103.29403975763201</v>
      </c>
      <c r="AK5176">
        <v>26.978707052564701</v>
      </c>
      <c r="AL5176">
        <v>77.905137620217801</v>
      </c>
      <c r="AM5176">
        <v>94.572501315584304</v>
      </c>
      <c r="AN5176">
        <v>1.0000000677032901</v>
      </c>
    </row>
    <row r="5177" spans="1:40" x14ac:dyDescent="0.25">
      <c r="A5177" t="str">
        <f>"20190303162405805"</f>
        <v>20190303162405805</v>
      </c>
      <c r="B5177" t="str">
        <f>"1551601445800336"</f>
        <v>1551601445800336</v>
      </c>
      <c r="C5177" t="s">
        <v>40</v>
      </c>
      <c r="D5177">
        <v>5.5128810000000001</v>
      </c>
      <c r="E5177">
        <v>0.4429844</v>
      </c>
      <c r="F5177" t="s">
        <v>41</v>
      </c>
      <c r="G5177">
        <v>-356.86160000000001</v>
      </c>
      <c r="H5177" s="1">
        <v>-2.2770989999999999E-6</v>
      </c>
      <c r="I5177">
        <v>23.180730000000001</v>
      </c>
      <c r="J5177">
        <v>-381.47379999999998</v>
      </c>
      <c r="K5177">
        <v>1.1205719999999999</v>
      </c>
      <c r="L5177">
        <v>17.741669999999999</v>
      </c>
      <c r="M5177">
        <v>0.99987239999999999</v>
      </c>
      <c r="N5177">
        <v>-1.2083450000000001E-2</v>
      </c>
      <c r="O5177">
        <v>-1.044903E-2</v>
      </c>
      <c r="P5177">
        <v>0.97729440000000001</v>
      </c>
      <c r="Q5177">
        <v>0.19786709999999999</v>
      </c>
      <c r="R5177">
        <v>7.5790529999999995E-2</v>
      </c>
      <c r="S5177">
        <v>3.0490719999999998</v>
      </c>
      <c r="T5177">
        <v>-0.1376202</v>
      </c>
      <c r="U5177">
        <v>0.66766359999999902</v>
      </c>
      <c r="V5177">
        <v>-8.5800909999999994E-2</v>
      </c>
      <c r="W5177">
        <v>0.2097328</v>
      </c>
      <c r="X5177">
        <v>0.97398689999999999</v>
      </c>
      <c r="Y5177">
        <v>-0.22381719999999999</v>
      </c>
      <c r="Z5177">
        <v>6.6996669999999899E-3</v>
      </c>
      <c r="AA5177">
        <v>0.97460809999999998</v>
      </c>
      <c r="AB5177">
        <v>29</v>
      </c>
      <c r="AC5177">
        <v>24.612199999999898</v>
      </c>
      <c r="AD5177">
        <v>-1.1205742770989999</v>
      </c>
      <c r="AE5177">
        <v>5.4390599999999898</v>
      </c>
      <c r="AF5177">
        <v>-5.6847201952478903</v>
      </c>
      <c r="AG5177">
        <v>-1.1205742770989999</v>
      </c>
      <c r="AH5177">
        <v>24.505586526569399</v>
      </c>
      <c r="AI5177">
        <v>92.5505238382014</v>
      </c>
      <c r="AJ5177">
        <v>103.060273401049</v>
      </c>
      <c r="AK5177">
        <v>25.1812529755756</v>
      </c>
      <c r="AL5177">
        <v>77.893306660820997</v>
      </c>
      <c r="AM5177">
        <v>95.034330863292297</v>
      </c>
      <c r="AN5177">
        <v>1.0000000624621299</v>
      </c>
    </row>
    <row r="5178" spans="1:40" x14ac:dyDescent="0.25">
      <c r="A5178" t="str">
        <f>"20190303162405838"</f>
        <v>20190303162405838</v>
      </c>
      <c r="B5178" t="str">
        <f>"1551601445830592"</f>
        <v>1551601445830592</v>
      </c>
      <c r="C5178" t="s">
        <v>40</v>
      </c>
      <c r="D5178">
        <v>5.5669890000000004</v>
      </c>
      <c r="E5178">
        <v>0.44590859999999899</v>
      </c>
      <c r="F5178" t="s">
        <v>41</v>
      </c>
      <c r="G5178">
        <v>-355.36759999999998</v>
      </c>
      <c r="H5178" s="1">
        <v>-2.9838539999999999E-6</v>
      </c>
      <c r="I5178">
        <v>23.428129999999999</v>
      </c>
      <c r="J5178">
        <v>-381.04039999999998</v>
      </c>
      <c r="K5178">
        <v>1.1205499999999999</v>
      </c>
      <c r="L5178">
        <v>17.73621</v>
      </c>
      <c r="M5178">
        <v>0.99986379999999997</v>
      </c>
      <c r="N5178">
        <v>-1.2082509999999999E-2</v>
      </c>
      <c r="O5178">
        <v>-1.1242169999999999E-2</v>
      </c>
      <c r="P5178">
        <v>0.97655789999999998</v>
      </c>
      <c r="Q5178">
        <v>0.19701850000000001</v>
      </c>
      <c r="R5178">
        <v>8.6708789999999994E-2</v>
      </c>
      <c r="S5178">
        <v>3.044708</v>
      </c>
      <c r="T5178">
        <v>-0.1306899</v>
      </c>
      <c r="U5178">
        <v>0.66320800000000002</v>
      </c>
      <c r="V5178">
        <v>-9.7471600000000005E-2</v>
      </c>
      <c r="W5178">
        <v>0.20888970000000001</v>
      </c>
      <c r="X5178">
        <v>0.97306950000000003</v>
      </c>
      <c r="Y5178">
        <v>-0.2235453</v>
      </c>
      <c r="Z5178">
        <v>6.4496479999999997E-3</v>
      </c>
      <c r="AA5178">
        <v>0.97467219999999999</v>
      </c>
      <c r="AB5178">
        <v>29</v>
      </c>
      <c r="AC5178">
        <v>25.672799999999899</v>
      </c>
      <c r="AD5178">
        <v>-1.120552983854</v>
      </c>
      <c r="AE5178">
        <v>5.6919199999999996</v>
      </c>
      <c r="AF5178">
        <v>-5.9693598726730501</v>
      </c>
      <c r="AG5178">
        <v>-1.120552983854</v>
      </c>
      <c r="AH5178">
        <v>25.560768796486499</v>
      </c>
      <c r="AI5178">
        <v>92.444478165374406</v>
      </c>
      <c r="AJ5178">
        <v>103.145034557572</v>
      </c>
      <c r="AK5178">
        <v>26.2724532114255</v>
      </c>
      <c r="AL5178">
        <v>77.9427054431263</v>
      </c>
      <c r="AM5178">
        <v>95.720191825019398</v>
      </c>
      <c r="AN5178">
        <v>0.99999993570144696</v>
      </c>
    </row>
    <row r="5179" spans="1:40" x14ac:dyDescent="0.25">
      <c r="A5179" t="str">
        <f>"20190303162405852"</f>
        <v>20190303162405852</v>
      </c>
      <c r="B5179" t="str">
        <f>"1551601445840351"</f>
        <v>1551601445840351</v>
      </c>
      <c r="C5179" t="s">
        <v>40</v>
      </c>
      <c r="D5179">
        <v>5.5652509999999999</v>
      </c>
      <c r="E5179">
        <v>0.44670189999999999</v>
      </c>
      <c r="F5179" t="s">
        <v>41</v>
      </c>
      <c r="G5179">
        <v>-355.64440000000002</v>
      </c>
      <c r="H5179" s="1">
        <v>-2.8436210000000001E-6</v>
      </c>
      <c r="I5179">
        <v>23.347390000000001</v>
      </c>
      <c r="J5179">
        <v>-380.86309999999997</v>
      </c>
      <c r="K5179">
        <v>1.1205459999999901</v>
      </c>
      <c r="L5179">
        <v>17.733889999999999</v>
      </c>
      <c r="M5179">
        <v>0.99986019999999998</v>
      </c>
      <c r="N5179">
        <v>-1.2082259999999999E-2</v>
      </c>
      <c r="O5179">
        <v>-1.156533E-2</v>
      </c>
      <c r="P5179">
        <v>0.97620309999999999</v>
      </c>
      <c r="Q5179">
        <v>0.19723750000000001</v>
      </c>
      <c r="R5179">
        <v>9.0139090000000005E-2</v>
      </c>
      <c r="S5179">
        <v>3.0394589999999999</v>
      </c>
      <c r="T5179">
        <v>-0.13411049999999999</v>
      </c>
      <c r="U5179">
        <v>0.67156979999999999</v>
      </c>
      <c r="V5179">
        <v>-0.10121280000000001</v>
      </c>
      <c r="W5179">
        <v>0.20910699999999999</v>
      </c>
      <c r="X5179">
        <v>0.97264090000000003</v>
      </c>
      <c r="Y5179">
        <v>-0.22675010000000001</v>
      </c>
      <c r="Z5179">
        <v>6.6937009999999998E-3</v>
      </c>
      <c r="AA5179">
        <v>0.97392990000000002</v>
      </c>
      <c r="AB5179">
        <v>29</v>
      </c>
      <c r="AC5179">
        <v>25.218699999999899</v>
      </c>
      <c r="AD5179">
        <v>-1.1205488436209901</v>
      </c>
      <c r="AE5179">
        <v>5.6135000000000002</v>
      </c>
      <c r="AF5179">
        <v>-5.8937216304510196</v>
      </c>
      <c r="AG5179">
        <v>-1.1205488436209901</v>
      </c>
      <c r="AH5179">
        <v>25.1048614029433</v>
      </c>
      <c r="AI5179">
        <v>92.488128120255098</v>
      </c>
      <c r="AJ5179">
        <v>103.211744915796</v>
      </c>
      <c r="AK5179">
        <v>25.811734742732401</v>
      </c>
      <c r="AL5179">
        <v>77.9299752370721</v>
      </c>
      <c r="AM5179">
        <v>95.940804682707196</v>
      </c>
      <c r="AN5179">
        <v>1.0000000443428201</v>
      </c>
    </row>
    <row r="5180" spans="1:40" x14ac:dyDescent="0.25">
      <c r="A5180" t="str">
        <f>"20190303162405869"</f>
        <v>20190303162405869</v>
      </c>
      <c r="B5180" t="str">
        <f>"1551601445859872"</f>
        <v>1551601445859872</v>
      </c>
      <c r="C5180" t="s">
        <v>40</v>
      </c>
      <c r="D5180">
        <v>5.6272570000000002</v>
      </c>
      <c r="E5180">
        <v>0.44840439999999998</v>
      </c>
      <c r="F5180" t="s">
        <v>41</v>
      </c>
      <c r="G5180">
        <v>-355.26209999999998</v>
      </c>
      <c r="H5180" s="1">
        <v>-3.0310689999999999E-6</v>
      </c>
      <c r="I5180">
        <v>23.435590000000001</v>
      </c>
      <c r="J5180">
        <v>-380.62240000000003</v>
      </c>
      <c r="K5180">
        <v>1.1205510000000001</v>
      </c>
      <c r="L5180">
        <v>17.730619999999998</v>
      </c>
      <c r="M5180">
        <v>0.99985520000000006</v>
      </c>
      <c r="N5180">
        <v>-1.208186E-2</v>
      </c>
      <c r="O5180">
        <v>-1.1994019999999999E-2</v>
      </c>
      <c r="P5180">
        <v>0.97548749999999995</v>
      </c>
      <c r="Q5180">
        <v>0.19817509999999999</v>
      </c>
      <c r="R5180">
        <v>9.5659969999999997E-2</v>
      </c>
      <c r="S5180">
        <v>3.0375369999999999</v>
      </c>
      <c r="T5180">
        <v>-0.1329525</v>
      </c>
      <c r="U5180">
        <v>0.6765137</v>
      </c>
      <c r="V5180">
        <v>-0.10714460000000001</v>
      </c>
      <c r="W5180">
        <v>0.21003859999999999</v>
      </c>
      <c r="X5180">
        <v>0.97180440000000001</v>
      </c>
      <c r="Y5180">
        <v>-0.22880919999999999</v>
      </c>
      <c r="Z5180">
        <v>6.7198750000000002E-3</v>
      </c>
      <c r="AA5180">
        <v>0.97344810000000004</v>
      </c>
      <c r="AB5180">
        <v>29</v>
      </c>
      <c r="AC5180">
        <v>25.360299999999999</v>
      </c>
      <c r="AD5180">
        <v>-1.1205540310690001</v>
      </c>
      <c r="AE5180">
        <v>5.7049699999999897</v>
      </c>
      <c r="AF5180">
        <v>-5.9976082976116603</v>
      </c>
      <c r="AG5180">
        <v>-1.1205540310690001</v>
      </c>
      <c r="AH5180">
        <v>25.243135574215302</v>
      </c>
      <c r="AI5180">
        <v>92.472963521211298</v>
      </c>
      <c r="AJ5180">
        <v>103.365296681893</v>
      </c>
      <c r="AK5180">
        <v>25.970037355505202</v>
      </c>
      <c r="AL5180">
        <v>77.875385507194096</v>
      </c>
      <c r="AM5180">
        <v>96.291635157710601</v>
      </c>
      <c r="AN5180">
        <v>0.99999998532923995</v>
      </c>
    </row>
    <row r="5181" spans="1:40" x14ac:dyDescent="0.25">
      <c r="A5181" t="str">
        <f>"20190303162405892"</f>
        <v>20190303162405892</v>
      </c>
      <c r="B5181" t="str">
        <f>"1551601445880368"</f>
        <v>1551601445880368</v>
      </c>
      <c r="C5181" t="s">
        <v>40</v>
      </c>
      <c r="D5181">
        <v>5.624206</v>
      </c>
      <c r="E5181">
        <v>0.44985310000000001</v>
      </c>
      <c r="F5181" t="s">
        <v>41</v>
      </c>
      <c r="G5181">
        <v>-353.78219999999999</v>
      </c>
      <c r="H5181" s="1">
        <v>-3.724928E-6</v>
      </c>
      <c r="I5181">
        <v>23.765429999999999</v>
      </c>
      <c r="J5181">
        <v>-380.33690000000001</v>
      </c>
      <c r="K5181">
        <v>1.1205590000000001</v>
      </c>
      <c r="L5181">
        <v>17.726649999999999</v>
      </c>
      <c r="M5181">
        <v>0.99984919999999999</v>
      </c>
      <c r="N5181">
        <v>-1.208129E-2</v>
      </c>
      <c r="O5181">
        <v>-1.2481870000000001E-2</v>
      </c>
      <c r="P5181">
        <v>0.9751533</v>
      </c>
      <c r="Q5181">
        <v>0.19816520000000001</v>
      </c>
      <c r="R5181">
        <v>9.9028790000000005E-2</v>
      </c>
      <c r="S5181">
        <v>3.0341800000000001</v>
      </c>
      <c r="T5181">
        <v>-0.12667429999999999</v>
      </c>
      <c r="U5181">
        <v>0.68222050000000001</v>
      </c>
      <c r="V5181">
        <v>-0.1109898</v>
      </c>
      <c r="W5181">
        <v>0.21002370000000001</v>
      </c>
      <c r="X5181">
        <v>0.97137600000000002</v>
      </c>
      <c r="Y5181">
        <v>-0.23127500000000001</v>
      </c>
      <c r="Z5181">
        <v>6.5471080000000003E-3</v>
      </c>
      <c r="AA5181">
        <v>0.97286640000000002</v>
      </c>
      <c r="AB5181">
        <v>29</v>
      </c>
      <c r="AC5181">
        <v>26.5547</v>
      </c>
      <c r="AD5181">
        <v>-1.1205627249279999</v>
      </c>
      <c r="AE5181">
        <v>6.0387799999999903</v>
      </c>
      <c r="AF5181">
        <v>-6.3590192999539603</v>
      </c>
      <c r="AG5181">
        <v>-1.1205627249279999</v>
      </c>
      <c r="AH5181">
        <v>26.432496505647599</v>
      </c>
      <c r="AI5181">
        <v>92.360246347634899</v>
      </c>
      <c r="AJ5181">
        <v>103.52692395959301</v>
      </c>
      <c r="AK5181">
        <v>27.2097346330088</v>
      </c>
      <c r="AL5181">
        <v>77.876259017010796</v>
      </c>
      <c r="AM5181">
        <v>96.518369445303705</v>
      </c>
      <c r="AN5181">
        <v>1.0000000118208601</v>
      </c>
    </row>
    <row r="5182" spans="1:40" x14ac:dyDescent="0.25">
      <c r="A5182" t="str">
        <f>"20190303162405905"</f>
        <v>20190303162405905</v>
      </c>
      <c r="B5182" t="str">
        <f>"1551601445890127"</f>
        <v>1551601445890127</v>
      </c>
      <c r="C5182" t="s">
        <v>40</v>
      </c>
      <c r="D5182">
        <v>5.5699199999999998</v>
      </c>
      <c r="E5182">
        <v>0.45051669999999999</v>
      </c>
      <c r="F5182" t="s">
        <v>41</v>
      </c>
      <c r="G5182">
        <v>-353.14550000000003</v>
      </c>
      <c r="H5182" s="1">
        <v>-3.9563900000000001E-6</v>
      </c>
      <c r="I5182">
        <v>23.84892</v>
      </c>
      <c r="J5182">
        <v>-380.16890000000001</v>
      </c>
      <c r="K5182">
        <v>1.12056</v>
      </c>
      <c r="L5182">
        <v>17.724239999999899</v>
      </c>
      <c r="M5182">
        <v>0.99984569999999995</v>
      </c>
      <c r="N5182">
        <v>-1.208098E-2</v>
      </c>
      <c r="O5182">
        <v>-1.2759990000000001E-2</v>
      </c>
      <c r="P5182">
        <v>0.9751126</v>
      </c>
      <c r="Q5182">
        <v>0.19753879999999999</v>
      </c>
      <c r="R5182">
        <v>0.10066890000000001</v>
      </c>
      <c r="S5182">
        <v>3.0325319999999998</v>
      </c>
      <c r="T5182">
        <v>-0.1249716</v>
      </c>
      <c r="U5182">
        <v>0.68280030000000003</v>
      </c>
      <c r="V5182">
        <v>-0.1129042</v>
      </c>
      <c r="W5182">
        <v>0.2093961</v>
      </c>
      <c r="X5182">
        <v>0.97129080000000001</v>
      </c>
      <c r="Y5182">
        <v>-0.23184099999999999</v>
      </c>
      <c r="Z5182">
        <v>6.5018189999999998E-3</v>
      </c>
      <c r="AA5182">
        <v>0.97273200000000004</v>
      </c>
      <c r="AB5182">
        <v>29</v>
      </c>
      <c r="AC5182">
        <v>27.023399999999899</v>
      </c>
      <c r="AD5182">
        <v>-1.1205639563900001</v>
      </c>
      <c r="AE5182">
        <v>6.1246799999999997</v>
      </c>
      <c r="AF5182">
        <v>-6.4584622212007998</v>
      </c>
      <c r="AG5182">
        <v>-1.1205639563900001</v>
      </c>
      <c r="AH5182">
        <v>26.899050886223201</v>
      </c>
      <c r="AI5182">
        <v>92.319606854471999</v>
      </c>
      <c r="AJ5182">
        <v>103.501150894441</v>
      </c>
      <c r="AK5182">
        <v>27.686212027337</v>
      </c>
      <c r="AL5182">
        <v>77.913034887340601</v>
      </c>
      <c r="AM5182">
        <v>96.630384940549504</v>
      </c>
      <c r="AN5182">
        <v>0.999999951618743</v>
      </c>
    </row>
    <row r="5183" spans="1:40" x14ac:dyDescent="0.25">
      <c r="A5183" t="str">
        <f>"20190303162405918"</f>
        <v>20190303162405918</v>
      </c>
      <c r="B5183" t="str">
        <f>"1551601445909648"</f>
        <v>1551601445909648</v>
      </c>
      <c r="C5183" t="s">
        <v>40</v>
      </c>
      <c r="D5183">
        <v>5.6188960000000003</v>
      </c>
      <c r="E5183">
        <v>0.45185769999999997</v>
      </c>
      <c r="F5183" t="s">
        <v>41</v>
      </c>
      <c r="G5183">
        <v>-353.45979999999997</v>
      </c>
      <c r="H5183" s="1">
        <v>-3.8308169999999996E-6</v>
      </c>
      <c r="I5183">
        <v>23.743950000000002</v>
      </c>
      <c r="J5183">
        <v>-379.99270000000001</v>
      </c>
      <c r="K5183">
        <v>1.120565</v>
      </c>
      <c r="L5183">
        <v>17.721679999999999</v>
      </c>
      <c r="M5183">
        <v>0.99984200000000001</v>
      </c>
      <c r="N5183">
        <v>-1.20807E-2</v>
      </c>
      <c r="O5183">
        <v>-1.3043000000000001E-2</v>
      </c>
      <c r="P5183">
        <v>0.97519420000000001</v>
      </c>
      <c r="Q5183">
        <v>0.1965083</v>
      </c>
      <c r="R5183">
        <v>0.10188709999999999</v>
      </c>
      <c r="S5183">
        <v>3.0317989999999999</v>
      </c>
      <c r="T5183">
        <v>-0.12719749999999999</v>
      </c>
      <c r="U5183">
        <v>0.68331909999999996</v>
      </c>
      <c r="V5183">
        <v>-0.114403</v>
      </c>
      <c r="W5183">
        <v>0.208366</v>
      </c>
      <c r="X5183">
        <v>0.97133700000000001</v>
      </c>
      <c r="Y5183">
        <v>-0.2323163</v>
      </c>
      <c r="Z5183">
        <v>6.6172849999999997E-3</v>
      </c>
      <c r="AA5183">
        <v>0.97261779999999998</v>
      </c>
      <c r="AB5183">
        <v>29</v>
      </c>
      <c r="AC5183">
        <v>26.532900000000001</v>
      </c>
      <c r="AD5183">
        <v>-1.1205688308169901</v>
      </c>
      <c r="AE5183">
        <v>6.0222699999999998</v>
      </c>
      <c r="AF5183">
        <v>-6.3570682918356702</v>
      </c>
      <c r="AG5183">
        <v>-1.1205688308169901</v>
      </c>
      <c r="AH5183">
        <v>26.407294967499801</v>
      </c>
      <c r="AI5183">
        <v>92.362425547134805</v>
      </c>
      <c r="AJ5183">
        <v>103.53535707221999</v>
      </c>
      <c r="AK5183">
        <v>27.184797576443401</v>
      </c>
      <c r="AL5183">
        <v>77.973387184936001</v>
      </c>
      <c r="AM5183">
        <v>96.717287314015493</v>
      </c>
      <c r="AN5183">
        <v>1.0000000019669999</v>
      </c>
    </row>
    <row r="5184" spans="1:40" x14ac:dyDescent="0.25">
      <c r="A5184" t="str">
        <f>"20190303162405938"</f>
        <v>20190303162405938</v>
      </c>
      <c r="B5184" t="str">
        <f>"1551601445930143"</f>
        <v>1551601445930143</v>
      </c>
      <c r="C5184" t="s">
        <v>40</v>
      </c>
      <c r="D5184">
        <v>5.6806049999999999</v>
      </c>
      <c r="E5184">
        <v>0.45295380000000002</v>
      </c>
      <c r="F5184" t="s">
        <v>41</v>
      </c>
      <c r="G5184">
        <v>-354.02280000000002</v>
      </c>
      <c r="H5184" s="1">
        <v>-3.5848110000000001E-6</v>
      </c>
      <c r="I5184">
        <v>23.518560000000001</v>
      </c>
      <c r="J5184">
        <v>-379.73919999999998</v>
      </c>
      <c r="K5184">
        <v>1.1205609999999999</v>
      </c>
      <c r="L5184">
        <v>17.717929999999999</v>
      </c>
      <c r="M5184">
        <v>0.99983679999999997</v>
      </c>
      <c r="N5184">
        <v>-1.208037E-2</v>
      </c>
      <c r="O5184">
        <v>-1.3441989999999999E-2</v>
      </c>
      <c r="P5184">
        <v>0.97533579999999998</v>
      </c>
      <c r="Q5184">
        <v>0.19447619999999999</v>
      </c>
      <c r="R5184">
        <v>0.10440000000000001</v>
      </c>
      <c r="S5184">
        <v>3.031952</v>
      </c>
      <c r="T5184">
        <v>-0.13082489999999999</v>
      </c>
      <c r="U5184">
        <v>0.67678830000000001</v>
      </c>
      <c r="V5184">
        <v>-0.117310999999999</v>
      </c>
      <c r="W5184">
        <v>0.20633499999999999</v>
      </c>
      <c r="X5184">
        <v>0.9714237</v>
      </c>
      <c r="Y5184">
        <v>-0.23068710000000001</v>
      </c>
      <c r="Z5184">
        <v>6.7379989999999997E-3</v>
      </c>
      <c r="AA5184">
        <v>0.9730046</v>
      </c>
      <c r="AB5184">
        <v>29</v>
      </c>
      <c r="AC5184">
        <v>25.716399999999901</v>
      </c>
      <c r="AD5184">
        <v>-1.120564584811</v>
      </c>
      <c r="AE5184">
        <v>5.80063</v>
      </c>
      <c r="AF5184">
        <v>-6.1347266293164999</v>
      </c>
      <c r="AG5184">
        <v>-1.120564584811</v>
      </c>
      <c r="AH5184">
        <v>25.589863740755199</v>
      </c>
      <c r="AI5184">
        <v>92.438343391286793</v>
      </c>
      <c r="AJ5184">
        <v>103.48125029527399</v>
      </c>
      <c r="AK5184">
        <v>26.3387862680799</v>
      </c>
      <c r="AL5184">
        <v>78.092340199342701</v>
      </c>
      <c r="AM5184">
        <v>96.885805135731104</v>
      </c>
      <c r="AN5184">
        <v>1.0000000039338399</v>
      </c>
    </row>
    <row r="5185" spans="1:40" x14ac:dyDescent="0.25">
      <c r="A5185" t="str">
        <f>"20190303162405960"</f>
        <v>20190303162405960</v>
      </c>
      <c r="B5185" t="str">
        <f>"1551601445949664"</f>
        <v>1551601445949664</v>
      </c>
      <c r="C5185" t="s">
        <v>40</v>
      </c>
      <c r="D5185">
        <v>5.6817979999999997</v>
      </c>
      <c r="E5185">
        <v>0.45325769999999999</v>
      </c>
      <c r="F5185" t="s">
        <v>41</v>
      </c>
      <c r="G5185">
        <v>-354.97370000000001</v>
      </c>
      <c r="H5185" s="1">
        <v>-3.1028460000000002E-6</v>
      </c>
      <c r="I5185">
        <v>23.240290000000002</v>
      </c>
      <c r="J5185">
        <v>-379.46199999999999</v>
      </c>
      <c r="K5185">
        <v>1.1205620000000001</v>
      </c>
      <c r="L5185">
        <v>17.71368</v>
      </c>
      <c r="M5185">
        <v>0.99983100000000003</v>
      </c>
      <c r="N5185">
        <v>-1.208003E-2</v>
      </c>
      <c r="O5185">
        <v>-1.386626E-2</v>
      </c>
      <c r="P5185">
        <v>0.97539319999999896</v>
      </c>
      <c r="Q5185">
        <v>0.19301460000000001</v>
      </c>
      <c r="R5185">
        <v>0.1065528</v>
      </c>
      <c r="S5185">
        <v>3.0308229999999998</v>
      </c>
      <c r="T5185">
        <v>-0.1371356</v>
      </c>
      <c r="U5185">
        <v>0.67584230000000001</v>
      </c>
      <c r="V5185">
        <v>-0.1198824</v>
      </c>
      <c r="W5185">
        <v>0.20487340000000001</v>
      </c>
      <c r="X5185">
        <v>0.97141909999999998</v>
      </c>
      <c r="Y5185">
        <v>-0.23086319999999999</v>
      </c>
      <c r="Z5185">
        <v>7.023634E-3</v>
      </c>
      <c r="AA5185">
        <v>0.97296090000000002</v>
      </c>
      <c r="AB5185">
        <v>29</v>
      </c>
      <c r="AC5185">
        <v>24.488299999999899</v>
      </c>
      <c r="AD5185">
        <v>-1.120565102846</v>
      </c>
      <c r="AE5185">
        <v>5.52660999999999</v>
      </c>
      <c r="AF5185">
        <v>-5.8540008083669104</v>
      </c>
      <c r="AG5185">
        <v>-1.120565102846</v>
      </c>
      <c r="AH5185">
        <v>24.360769339007799</v>
      </c>
      <c r="AI5185">
        <v>92.560876603952593</v>
      </c>
      <c r="AJ5185">
        <v>103.512224762524</v>
      </c>
      <c r="AK5185">
        <v>25.079315668542801</v>
      </c>
      <c r="AL5185">
        <v>78.177911698872194</v>
      </c>
      <c r="AM5185">
        <v>97.035275071629897</v>
      </c>
      <c r="AN5185">
        <v>0.99999998385106403</v>
      </c>
    </row>
    <row r="5186" spans="1:40" x14ac:dyDescent="0.25">
      <c r="A5186" t="str">
        <f>"20190303162405974"</f>
        <v>20190303162405974</v>
      </c>
      <c r="B5186" t="str">
        <f>"1551601445960400"</f>
        <v>1551601445960400</v>
      </c>
      <c r="C5186" t="s">
        <v>40</v>
      </c>
      <c r="D5186">
        <v>5.6217180000000004</v>
      </c>
      <c r="E5186">
        <v>0.45336650000000001</v>
      </c>
      <c r="F5186" t="s">
        <v>41</v>
      </c>
      <c r="G5186">
        <v>-355.68180000000001</v>
      </c>
      <c r="H5186" s="1">
        <v>-2.7497079999999999E-6</v>
      </c>
      <c r="I5186">
        <v>23.054659999999998</v>
      </c>
      <c r="J5186">
        <v>-379.28399999999999</v>
      </c>
      <c r="K5186">
        <v>1.120568</v>
      </c>
      <c r="L5186">
        <v>17.710909999999998</v>
      </c>
      <c r="M5186">
        <v>0.99982740000000003</v>
      </c>
      <c r="N5186">
        <v>-1.2079799999999899E-2</v>
      </c>
      <c r="O5186">
        <v>-1.4121679999999999E-2</v>
      </c>
      <c r="P5186">
        <v>0.97537649999999998</v>
      </c>
      <c r="Q5186">
        <v>0.1928375</v>
      </c>
      <c r="R5186">
        <v>0.10702780000000001</v>
      </c>
      <c r="S5186">
        <v>3.0296020000000001</v>
      </c>
      <c r="T5186">
        <v>-0.14275979999999999</v>
      </c>
      <c r="U5186">
        <v>0.68045040000000001</v>
      </c>
      <c r="V5186">
        <v>-0.120611</v>
      </c>
      <c r="W5186">
        <v>0.20469329999999999</v>
      </c>
      <c r="X5186">
        <v>0.97136690000000003</v>
      </c>
      <c r="Y5186">
        <v>-0.23257910000000001</v>
      </c>
      <c r="Z5186">
        <v>7.3212519999999899E-3</v>
      </c>
      <c r="AA5186">
        <v>0.97254989999999997</v>
      </c>
      <c r="AB5186">
        <v>29</v>
      </c>
      <c r="AC5186">
        <v>23.6021999999999</v>
      </c>
      <c r="AD5186">
        <v>-1.120570749708</v>
      </c>
      <c r="AE5186">
        <v>5.34375</v>
      </c>
      <c r="AF5186">
        <v>-5.6643985330044</v>
      </c>
      <c r="AG5186">
        <v>-1.120570749708</v>
      </c>
      <c r="AH5186">
        <v>23.474045129856499</v>
      </c>
      <c r="AI5186">
        <v>92.656885958196199</v>
      </c>
      <c r="AJ5186">
        <v>103.56639738802301</v>
      </c>
      <c r="AK5186">
        <v>24.173785063666401</v>
      </c>
      <c r="AL5186">
        <v>78.188454372597207</v>
      </c>
      <c r="AM5186">
        <v>97.077976955977107</v>
      </c>
      <c r="AN5186">
        <v>1.00000000740074</v>
      </c>
    </row>
    <row r="5187" spans="1:40" x14ac:dyDescent="0.25">
      <c r="A5187" t="str">
        <f>"20190303162405995"</f>
        <v>20190303162405995</v>
      </c>
      <c r="B5187" t="str">
        <f>"1551601445989679"</f>
        <v>1551601445989679</v>
      </c>
      <c r="C5187" t="s">
        <v>40</v>
      </c>
      <c r="D5187">
        <v>5.5711789999999999</v>
      </c>
      <c r="E5187">
        <v>0.45391379999999998</v>
      </c>
      <c r="F5187" t="s">
        <v>41</v>
      </c>
      <c r="G5187">
        <v>-355.64580000000001</v>
      </c>
      <c r="H5187" s="1">
        <v>-2.758357E-6</v>
      </c>
      <c r="I5187">
        <v>23.029140000000002</v>
      </c>
      <c r="J5187">
        <v>-379.00740000000002</v>
      </c>
      <c r="K5187">
        <v>1.1206020000000001</v>
      </c>
      <c r="L5187">
        <v>17.706569999999999</v>
      </c>
      <c r="M5187">
        <v>0.99982249999999995</v>
      </c>
      <c r="N5187">
        <v>-1.207942E-2</v>
      </c>
      <c r="O5187">
        <v>-1.446515E-2</v>
      </c>
      <c r="P5187">
        <v>0.9754874</v>
      </c>
      <c r="Q5187">
        <v>0.19184399999999999</v>
      </c>
      <c r="R5187">
        <v>0.1077979</v>
      </c>
      <c r="S5187">
        <v>3.0292659999999998</v>
      </c>
      <c r="T5187">
        <v>-0.1436026</v>
      </c>
      <c r="U5187">
        <v>0.68154910000000002</v>
      </c>
      <c r="V5187">
        <v>-0.1217352</v>
      </c>
      <c r="W5187">
        <v>0.2036906</v>
      </c>
      <c r="X5187">
        <v>0.97143749999999995</v>
      </c>
      <c r="Y5187">
        <v>-0.23326730000000001</v>
      </c>
      <c r="Z5187">
        <v>7.3897859999999998E-3</v>
      </c>
      <c r="AA5187">
        <v>0.97238460000000004</v>
      </c>
      <c r="AB5187">
        <v>29</v>
      </c>
      <c r="AC5187">
        <v>23.361599999999999</v>
      </c>
      <c r="AD5187">
        <v>-1.120604758357</v>
      </c>
      <c r="AE5187">
        <v>5.32256999999999</v>
      </c>
      <c r="AF5187">
        <v>-5.6476133065929099</v>
      </c>
      <c r="AG5187">
        <v>-1.120604758357</v>
      </c>
      <c r="AH5187">
        <v>23.231342541541199</v>
      </c>
      <c r="AI5187">
        <v>92.683581174475094</v>
      </c>
      <c r="AJ5187">
        <v>103.663730288311</v>
      </c>
      <c r="AK5187">
        <v>23.9342133225155</v>
      </c>
      <c r="AL5187">
        <v>78.247142057903005</v>
      </c>
      <c r="AM5187">
        <v>97.142757694077005</v>
      </c>
      <c r="AN5187">
        <v>1.0000000679268199</v>
      </c>
    </row>
    <row r="5188" spans="1:40" x14ac:dyDescent="0.25">
      <c r="A5188" t="str">
        <f>"20190303162406018"</f>
        <v>20190303162406018</v>
      </c>
      <c r="B5188" t="str">
        <f>"1551601446010175"</f>
        <v>1551601446010175</v>
      </c>
      <c r="C5188" t="s">
        <v>40</v>
      </c>
      <c r="D5188">
        <v>5.5670830000000002</v>
      </c>
      <c r="E5188">
        <v>0.45436310000000002</v>
      </c>
      <c r="F5188" t="s">
        <v>41</v>
      </c>
      <c r="G5188">
        <v>-355.88639999999998</v>
      </c>
      <c r="H5188" s="1">
        <v>-2.6211549999999998E-6</v>
      </c>
      <c r="I5188">
        <v>22.901530000000001</v>
      </c>
      <c r="J5188">
        <v>-378.71510000000001</v>
      </c>
      <c r="K5188">
        <v>1.120673</v>
      </c>
      <c r="L5188">
        <v>17.701969999999999</v>
      </c>
      <c r="M5188">
        <v>0.99981869999999995</v>
      </c>
      <c r="N5188">
        <v>-1.207888E-2</v>
      </c>
      <c r="O5188">
        <v>-1.4726059999999999E-2</v>
      </c>
      <c r="P5188">
        <v>0.97558590000000001</v>
      </c>
      <c r="Q5188">
        <v>0.1908562</v>
      </c>
      <c r="R5188">
        <v>0.108656</v>
      </c>
      <c r="S5188">
        <v>3.029083</v>
      </c>
      <c r="T5188">
        <v>-0.14681079999999999</v>
      </c>
      <c r="U5188">
        <v>0.68060299999999996</v>
      </c>
      <c r="V5188">
        <v>-0.1228842</v>
      </c>
      <c r="W5188">
        <v>0.2026831</v>
      </c>
      <c r="X5188">
        <v>0.97150349999999996</v>
      </c>
      <c r="Y5188">
        <v>-0.2332311</v>
      </c>
      <c r="Z5188">
        <v>7.5355049999999996E-3</v>
      </c>
      <c r="AA5188">
        <v>0.97239209999999998</v>
      </c>
      <c r="AB5188">
        <v>29</v>
      </c>
      <c r="AC5188">
        <v>22.828700000000001</v>
      </c>
      <c r="AD5188">
        <v>-1.120675621155</v>
      </c>
      <c r="AE5188">
        <v>5.1995599999999902</v>
      </c>
      <c r="AF5188">
        <v>-5.52254503480843</v>
      </c>
      <c r="AG5188">
        <v>-1.120675621155</v>
      </c>
      <c r="AH5188">
        <v>22.6976483865819</v>
      </c>
      <c r="AI5188">
        <v>92.746628943257704</v>
      </c>
      <c r="AJ5188">
        <v>103.674871117758</v>
      </c>
      <c r="AK5188">
        <v>23.386698351632301</v>
      </c>
      <c r="AL5188">
        <v>78.306096653491394</v>
      </c>
      <c r="AM5188">
        <v>97.2089840241795</v>
      </c>
      <c r="AN5188">
        <v>1.0000000080737499</v>
      </c>
    </row>
    <row r="5189" spans="1:40" x14ac:dyDescent="0.25">
      <c r="A5189" t="str">
        <f>"20190303162406039"</f>
        <v>20190303162406039</v>
      </c>
      <c r="B5189" t="str">
        <f>"1551601446030203"</f>
        <v>1551601446030203</v>
      </c>
      <c r="C5189" t="s">
        <v>40</v>
      </c>
      <c r="D5189">
        <v>5.5044559999999896</v>
      </c>
      <c r="E5189">
        <v>0.45485399999999998</v>
      </c>
      <c r="F5189" t="s">
        <v>41</v>
      </c>
      <c r="G5189">
        <v>-356.04059999999998</v>
      </c>
      <c r="H5189" s="1">
        <v>-2.522509E-6</v>
      </c>
      <c r="I5189">
        <v>22.779260000000001</v>
      </c>
      <c r="J5189">
        <v>-378.43389999999999</v>
      </c>
      <c r="K5189">
        <v>1.12077</v>
      </c>
      <c r="L5189">
        <v>17.697569999999999</v>
      </c>
      <c r="M5189">
        <v>0.9998167</v>
      </c>
      <c r="N5189">
        <v>-1.207883E-2</v>
      </c>
      <c r="O5189">
        <v>-1.4862770000000001E-2</v>
      </c>
      <c r="P5189">
        <v>0.97548449999999998</v>
      </c>
      <c r="Q5189">
        <v>0.1910878</v>
      </c>
      <c r="R5189">
        <v>0.1091584</v>
      </c>
      <c r="S5189">
        <v>3.0288089999999999</v>
      </c>
      <c r="T5189">
        <v>-0.14969669999999999</v>
      </c>
      <c r="U5189">
        <v>0.67822269999999996</v>
      </c>
      <c r="V5189">
        <v>-0.12356490000000001</v>
      </c>
      <c r="W5189">
        <v>0.20288529999999999</v>
      </c>
      <c r="X5189">
        <v>0.97137490000000004</v>
      </c>
      <c r="Y5189">
        <v>-0.23264380000000001</v>
      </c>
      <c r="Z5189">
        <v>7.6470269999999998E-3</v>
      </c>
      <c r="AA5189">
        <v>0.97253199999999995</v>
      </c>
      <c r="AB5189">
        <v>29</v>
      </c>
      <c r="AC5189">
        <v>22.3933</v>
      </c>
      <c r="AD5189">
        <v>-1.1207725225089999</v>
      </c>
      <c r="AE5189">
        <v>5.0816899999999903</v>
      </c>
      <c r="AF5189">
        <v>-5.4011124174491201</v>
      </c>
      <c r="AG5189">
        <v>-1.1207725225089999</v>
      </c>
      <c r="AH5189">
        <v>22.262257962782101</v>
      </c>
      <c r="AI5189">
        <v>92.8009493460318</v>
      </c>
      <c r="AJ5189">
        <v>103.637207237352</v>
      </c>
      <c r="AK5189">
        <v>22.9354807229887</v>
      </c>
      <c r="AL5189">
        <v>78.294265103143204</v>
      </c>
      <c r="AM5189">
        <v>97.249443039984996</v>
      </c>
      <c r="AN5189">
        <v>0.99999996290905402</v>
      </c>
    </row>
    <row r="5190" spans="1:40" x14ac:dyDescent="0.25">
      <c r="A5190" t="str">
        <f>"20190303162406061"</f>
        <v>20190303162406061</v>
      </c>
      <c r="B5190" t="str">
        <f>"1551601446049723"</f>
        <v>1551601446049723</v>
      </c>
      <c r="C5190" t="s">
        <v>40</v>
      </c>
      <c r="D5190">
        <v>5.569407</v>
      </c>
      <c r="E5190">
        <v>0.45535579999999998</v>
      </c>
      <c r="F5190" t="s">
        <v>41</v>
      </c>
      <c r="G5190">
        <v>-355.52820000000003</v>
      </c>
      <c r="H5190" s="1">
        <v>-2.7490050000000002E-6</v>
      </c>
      <c r="I5190">
        <v>22.80442</v>
      </c>
      <c r="J5190">
        <v>-378.15679999999998</v>
      </c>
      <c r="K5190">
        <v>1.1208979999999999</v>
      </c>
      <c r="L5190">
        <v>17.693359999999998</v>
      </c>
      <c r="M5190">
        <v>0.99981690000000001</v>
      </c>
      <c r="N5190">
        <v>-1.2078999999999999E-2</v>
      </c>
      <c r="O5190">
        <v>-1.485173E-2</v>
      </c>
      <c r="P5190">
        <v>0.97519180000000005</v>
      </c>
      <c r="Q5190">
        <v>0.19303339999999999</v>
      </c>
      <c r="R5190">
        <v>0.1083476</v>
      </c>
      <c r="S5190">
        <v>3.0288390000000001</v>
      </c>
      <c r="T5190">
        <v>-0.14820059999999999</v>
      </c>
      <c r="U5190">
        <v>0.67529300000000003</v>
      </c>
      <c r="V5190">
        <v>-0.122796699999999</v>
      </c>
      <c r="W5190">
        <v>0.20479230000000001</v>
      </c>
      <c r="X5190">
        <v>0.97107209999999999</v>
      </c>
      <c r="Y5190">
        <v>-0.23174249999999999</v>
      </c>
      <c r="Z5190">
        <v>7.5558750000000001E-3</v>
      </c>
      <c r="AA5190">
        <v>0.97274780000000005</v>
      </c>
      <c r="AB5190">
        <v>29</v>
      </c>
      <c r="AC5190">
        <v>22.628599999999899</v>
      </c>
      <c r="AD5190">
        <v>-1.120900749005</v>
      </c>
      <c r="AE5190">
        <v>5.1110599999999904</v>
      </c>
      <c r="AF5190">
        <v>-5.4339086095231801</v>
      </c>
      <c r="AG5190">
        <v>-1.120900749005</v>
      </c>
      <c r="AH5190">
        <v>22.497667542719199</v>
      </c>
      <c r="AI5190">
        <v>92.772687678860393</v>
      </c>
      <c r="AJ5190">
        <v>103.578705659307</v>
      </c>
      <c r="AK5190">
        <v>23.171724711995299</v>
      </c>
      <c r="AL5190">
        <v>78.182658873173906</v>
      </c>
      <c r="AM5190">
        <v>97.2070714955087</v>
      </c>
      <c r="AN5190">
        <v>0.99999996953429404</v>
      </c>
    </row>
    <row r="5191" spans="1:40" x14ac:dyDescent="0.25">
      <c r="A5191" t="str">
        <f>"20190303162406076"</f>
        <v>20190303162406076</v>
      </c>
      <c r="B5191" t="str">
        <f>"1551601446070219"</f>
        <v>1551601446070219</v>
      </c>
      <c r="C5191" t="s">
        <v>40</v>
      </c>
      <c r="D5191">
        <v>5.6250920000000004</v>
      </c>
      <c r="E5191">
        <v>0.45579069999999999</v>
      </c>
      <c r="F5191" t="s">
        <v>41</v>
      </c>
      <c r="G5191">
        <v>-353.71409999999997</v>
      </c>
      <c r="H5191" s="1">
        <v>-3.611682E-6</v>
      </c>
      <c r="I5191">
        <v>23.121759999999998</v>
      </c>
      <c r="J5191">
        <v>-377.96730000000002</v>
      </c>
      <c r="K5191">
        <v>1.1209990000000001</v>
      </c>
      <c r="L5191">
        <v>17.69061</v>
      </c>
      <c r="M5191">
        <v>0.99981880000000001</v>
      </c>
      <c r="N5191">
        <v>-1.2079309999999999E-2</v>
      </c>
      <c r="O5191">
        <v>-1.472003E-2</v>
      </c>
      <c r="P5191">
        <v>0.97516139999999996</v>
      </c>
      <c r="Q5191">
        <v>0.19362579999999999</v>
      </c>
      <c r="R5191">
        <v>0.10756209999999999</v>
      </c>
      <c r="S5191">
        <v>3.029083</v>
      </c>
      <c r="T5191">
        <v>-0.1389089</v>
      </c>
      <c r="U5191">
        <v>0.67272949999999998</v>
      </c>
      <c r="V5191">
        <v>-0.12192989999999999</v>
      </c>
      <c r="W5191">
        <v>0.20535600000000001</v>
      </c>
      <c r="X5191">
        <v>0.97106230000000004</v>
      </c>
      <c r="Y5191">
        <v>-0.23085220000000001</v>
      </c>
      <c r="Z5191">
        <v>7.1301719999999997E-3</v>
      </c>
      <c r="AA5191">
        <v>0.97296269999999996</v>
      </c>
      <c r="AB5191">
        <v>29</v>
      </c>
      <c r="AC5191">
        <v>24.2532</v>
      </c>
      <c r="AD5191">
        <v>-1.121002611682</v>
      </c>
      <c r="AE5191">
        <v>5.4311499999999997</v>
      </c>
      <c r="AF5191">
        <v>-5.7758452404492102</v>
      </c>
      <c r="AG5191">
        <v>-1.121002611682</v>
      </c>
      <c r="AH5191">
        <v>24.121547778433001</v>
      </c>
      <c r="AI5191">
        <v>92.587749992544005</v>
      </c>
      <c r="AJ5191">
        <v>103.46579977275999</v>
      </c>
      <c r="AK5191">
        <v>24.8287354153256</v>
      </c>
      <c r="AL5191">
        <v>78.149660127359397</v>
      </c>
      <c r="AM5191">
        <v>97.156798891254894</v>
      </c>
      <c r="AN5191">
        <v>0.999999988865649</v>
      </c>
    </row>
    <row r="5192" spans="1:40" x14ac:dyDescent="0.25">
      <c r="A5192" t="str">
        <f>"20190303162406093"</f>
        <v>20190303162406093</v>
      </c>
      <c r="B5192" t="str">
        <f>"1551601446079980"</f>
        <v>1551601446079980</v>
      </c>
      <c r="C5192" t="s">
        <v>40</v>
      </c>
      <c r="D5192">
        <v>5.5025829999999996</v>
      </c>
      <c r="E5192">
        <v>0.45598349999999999</v>
      </c>
      <c r="F5192" t="s">
        <v>41</v>
      </c>
      <c r="G5192">
        <v>-352.6986</v>
      </c>
      <c r="H5192" s="1">
        <v>-4.005843E-6</v>
      </c>
      <c r="I5192">
        <v>23.27036</v>
      </c>
      <c r="J5192">
        <v>-377.73</v>
      </c>
      <c r="K5192">
        <v>1.121129</v>
      </c>
      <c r="L5192">
        <v>17.687349999999999</v>
      </c>
      <c r="M5192">
        <v>0.99982309999999996</v>
      </c>
      <c r="N5192">
        <v>-1.208004E-2</v>
      </c>
      <c r="O5192">
        <v>-1.4426059999999999E-2</v>
      </c>
      <c r="P5192">
        <v>0.97528250000000005</v>
      </c>
      <c r="Q5192">
        <v>0.1936348</v>
      </c>
      <c r="R5192">
        <v>0.10644190000000001</v>
      </c>
      <c r="S5192">
        <v>3.0293580000000002</v>
      </c>
      <c r="T5192">
        <v>-0.13439289999999901</v>
      </c>
      <c r="U5192">
        <v>0.66894529999999996</v>
      </c>
      <c r="V5192">
        <v>-0.1205923</v>
      </c>
      <c r="W5192">
        <v>0.20532900000000001</v>
      </c>
      <c r="X5192">
        <v>0.97123499999999996</v>
      </c>
      <c r="Y5192">
        <v>-0.2294081</v>
      </c>
      <c r="Z5192">
        <v>6.8889569999999898E-3</v>
      </c>
      <c r="AA5192">
        <v>0.97330589999999995</v>
      </c>
      <c r="AB5192">
        <v>29</v>
      </c>
      <c r="AC5192">
        <v>25.031400000000001</v>
      </c>
      <c r="AD5192">
        <v>-1.121133005843</v>
      </c>
      <c r="AE5192">
        <v>5.5830099999999998</v>
      </c>
      <c r="AF5192">
        <v>-5.9322232772690402</v>
      </c>
      <c r="AG5192">
        <v>-1.121133005843</v>
      </c>
      <c r="AH5192">
        <v>24.900663100984701</v>
      </c>
      <c r="AI5192">
        <v>92.507864037151904</v>
      </c>
      <c r="AJ5192">
        <v>103.400105736548</v>
      </c>
      <c r="AK5192">
        <v>25.622084909251701</v>
      </c>
      <c r="AL5192">
        <v>78.151240488016995</v>
      </c>
      <c r="AM5192">
        <v>97.077842027400905</v>
      </c>
      <c r="AN5192">
        <v>0.99999996314264405</v>
      </c>
    </row>
    <row r="5193" spans="1:40" x14ac:dyDescent="0.25">
      <c r="A5193" t="str">
        <f>"20190303162406117"</f>
        <v>20190303162406117</v>
      </c>
      <c r="B5193" t="str">
        <f>"1551601446110235"</f>
        <v>1551601446110235</v>
      </c>
      <c r="C5193" t="s">
        <v>40</v>
      </c>
      <c r="D5193">
        <v>5.5078329999999998</v>
      </c>
      <c r="E5193">
        <v>0.45654329999999999</v>
      </c>
      <c r="F5193" t="s">
        <v>41</v>
      </c>
      <c r="G5193">
        <v>-352.15010000000001</v>
      </c>
      <c r="H5193" s="1">
        <v>-4.1990199999999997E-6</v>
      </c>
      <c r="I5193">
        <v>23.307079999999999</v>
      </c>
      <c r="J5193">
        <v>-377.41739999999999</v>
      </c>
      <c r="K5193">
        <v>1.1213229999999901</v>
      </c>
      <c r="L5193">
        <v>17.683350000000001</v>
      </c>
      <c r="M5193">
        <v>0.99983200000000005</v>
      </c>
      <c r="N5193">
        <v>-1.208181E-2</v>
      </c>
      <c r="O5193">
        <v>-1.379493E-2</v>
      </c>
      <c r="P5193">
        <v>0.97541619999999996</v>
      </c>
      <c r="Q5193">
        <v>0.19275890000000001</v>
      </c>
      <c r="R5193">
        <v>0.1068059</v>
      </c>
      <c r="S5193">
        <v>3.0297239999999999</v>
      </c>
      <c r="T5193">
        <v>-0.13278879999999901</v>
      </c>
      <c r="U5193">
        <v>0.66561890000000001</v>
      </c>
      <c r="V5193">
        <v>-0.1204402</v>
      </c>
      <c r="W5193">
        <v>0.20440059999999999</v>
      </c>
      <c r="X5193">
        <v>0.97144969999999997</v>
      </c>
      <c r="Y5193">
        <v>-0.22775780000000001</v>
      </c>
      <c r="Z5193">
        <v>6.7558239999999997E-3</v>
      </c>
      <c r="AA5193">
        <v>0.97369439999999996</v>
      </c>
      <c r="AB5193">
        <v>29</v>
      </c>
      <c r="AC5193">
        <v>25.267299999999899</v>
      </c>
      <c r="AD5193">
        <v>-1.12132719901999</v>
      </c>
      <c r="AE5193">
        <v>5.6237299999999903</v>
      </c>
      <c r="AF5193">
        <v>-5.96059574915793</v>
      </c>
      <c r="AG5193">
        <v>-1.12132719901999</v>
      </c>
      <c r="AH5193">
        <v>25.140135204012999</v>
      </c>
      <c r="AI5193">
        <v>92.485072023624099</v>
      </c>
      <c r="AJ5193">
        <v>103.338240721516</v>
      </c>
      <c r="AK5193">
        <v>25.861408980335899</v>
      </c>
      <c r="AL5193">
        <v>78.205586800602603</v>
      </c>
      <c r="AM5193">
        <v>97.067458779074201</v>
      </c>
      <c r="AN5193">
        <v>0.99999998334324403</v>
      </c>
    </row>
    <row r="5194" spans="1:40" x14ac:dyDescent="0.25">
      <c r="A5194" t="str">
        <f>"20190303162406139"</f>
        <v>20190303162406139</v>
      </c>
      <c r="B5194" t="str">
        <f>"1551601446130261"</f>
        <v>1551601446130261</v>
      </c>
      <c r="C5194" t="s">
        <v>40</v>
      </c>
      <c r="D5194">
        <v>5.4453579999999997</v>
      </c>
      <c r="E5194">
        <v>0.45692529999999998</v>
      </c>
      <c r="F5194" t="s">
        <v>41</v>
      </c>
      <c r="G5194">
        <v>-351.9846</v>
      </c>
      <c r="H5194" s="1">
        <v>-4.2456889999999998E-6</v>
      </c>
      <c r="I5194">
        <v>23.25273</v>
      </c>
      <c r="J5194">
        <v>-377.14850000000001</v>
      </c>
      <c r="K5194">
        <v>1.121502</v>
      </c>
      <c r="L5194">
        <v>17.680389999999999</v>
      </c>
      <c r="M5194">
        <v>0.99984220000000001</v>
      </c>
      <c r="N5194">
        <v>-1.208382E-2</v>
      </c>
      <c r="O5194">
        <v>-1.3024290000000001E-2</v>
      </c>
      <c r="P5194">
        <v>0.97534129999999997</v>
      </c>
      <c r="Q5194">
        <v>0.19327</v>
      </c>
      <c r="R5194">
        <v>0.1065661</v>
      </c>
      <c r="S5194">
        <v>3.0293580000000002</v>
      </c>
      <c r="T5194">
        <v>-0.13356390000000001</v>
      </c>
      <c r="U5194">
        <v>0.66339110000000001</v>
      </c>
      <c r="V5194">
        <v>-0.119533399999999</v>
      </c>
      <c r="W5194">
        <v>0.20486550000000001</v>
      </c>
      <c r="X5194">
        <v>0.97146379999999999</v>
      </c>
      <c r="Y5194">
        <v>-0.22634760000000001</v>
      </c>
      <c r="Z5194">
        <v>6.7255190000000001E-3</v>
      </c>
      <c r="AA5194">
        <v>0.97402339999999998</v>
      </c>
      <c r="AB5194">
        <v>29</v>
      </c>
      <c r="AC5194">
        <v>25.163900000000002</v>
      </c>
      <c r="AD5194">
        <v>-1.1215062456889999</v>
      </c>
      <c r="AE5194">
        <v>5.5723399999999996</v>
      </c>
      <c r="AF5194">
        <v>-5.8884835089602099</v>
      </c>
      <c r="AG5194">
        <v>-1.1215062456889999</v>
      </c>
      <c r="AH5194">
        <v>25.041768555691299</v>
      </c>
      <c r="AI5194">
        <v>92.496305340209204</v>
      </c>
      <c r="AJ5194">
        <v>103.232503912146</v>
      </c>
      <c r="AK5194">
        <v>25.7492172054069</v>
      </c>
      <c r="AL5194">
        <v>78.178374467003394</v>
      </c>
      <c r="AM5194">
        <v>97.014678867425104</v>
      </c>
      <c r="AN5194">
        <v>1.00000001075812</v>
      </c>
    </row>
    <row r="5195" spans="1:40" x14ac:dyDescent="0.25">
      <c r="A5195" t="str">
        <f>"20190303162406161"</f>
        <v>20190303162406161</v>
      </c>
      <c r="B5195" t="str">
        <f>"1551601446149782"</f>
        <v>1551601446149782</v>
      </c>
      <c r="C5195" t="s">
        <v>40</v>
      </c>
      <c r="D5195">
        <v>5.451149</v>
      </c>
      <c r="E5195">
        <v>0.45723629999999998</v>
      </c>
      <c r="F5195" t="s">
        <v>41</v>
      </c>
      <c r="G5195">
        <v>-351.14510000000001</v>
      </c>
      <c r="H5195" s="1">
        <v>-4.5493380000000004E-6</v>
      </c>
      <c r="I5195">
        <v>23.353940000000001</v>
      </c>
      <c r="J5195">
        <v>-376.85849999999999</v>
      </c>
      <c r="K5195">
        <v>1.121686</v>
      </c>
      <c r="L5195">
        <v>17.677579999999999</v>
      </c>
      <c r="M5195">
        <v>0.99985520000000006</v>
      </c>
      <c r="N5195">
        <v>-1.208625E-2</v>
      </c>
      <c r="O5195">
        <v>-1.197459E-2</v>
      </c>
      <c r="P5195">
        <v>0.9752421</v>
      </c>
      <c r="Q5195">
        <v>0.1947719</v>
      </c>
      <c r="R5195">
        <v>0.10472239999999999</v>
      </c>
      <c r="S5195">
        <v>3.029541</v>
      </c>
      <c r="T5195">
        <v>-0.130662</v>
      </c>
      <c r="U5195">
        <v>0.66101069999999995</v>
      </c>
      <c r="V5195">
        <v>-0.11675729999999999</v>
      </c>
      <c r="W5195">
        <v>0.20632329999999999</v>
      </c>
      <c r="X5195">
        <v>0.97149289999999999</v>
      </c>
      <c r="Y5195">
        <v>-0.22459509999999999</v>
      </c>
      <c r="Z5195">
        <v>6.5261399999999997E-3</v>
      </c>
      <c r="AA5195">
        <v>0.97443029999999997</v>
      </c>
      <c r="AB5195">
        <v>29</v>
      </c>
      <c r="AC5195">
        <v>25.713399999999901</v>
      </c>
      <c r="AD5195">
        <v>-1.1216905493380001</v>
      </c>
      <c r="AE5195">
        <v>5.6763599999999901</v>
      </c>
      <c r="AF5195">
        <v>-5.9730446661127603</v>
      </c>
      <c r="AG5195">
        <v>-1.1216905493380001</v>
      </c>
      <c r="AH5195">
        <v>25.597132514322301</v>
      </c>
      <c r="AI5195">
        <v>92.443586242424402</v>
      </c>
      <c r="AJ5195">
        <v>103.134829841244</v>
      </c>
      <c r="AK5195">
        <v>26.3087180460703</v>
      </c>
      <c r="AL5195">
        <v>78.093025410939703</v>
      </c>
      <c r="AM5195">
        <v>96.853130914904597</v>
      </c>
      <c r="AN5195">
        <v>1.00000001298829</v>
      </c>
    </row>
    <row r="5196" spans="1:40" x14ac:dyDescent="0.25">
      <c r="A5196" t="str">
        <f>"20190303162406175"</f>
        <v>20190303162406175</v>
      </c>
      <c r="B5196" t="str">
        <f>"1551601446170278"</f>
        <v>1551601446170278</v>
      </c>
      <c r="C5196" t="s">
        <v>40</v>
      </c>
      <c r="D5196">
        <v>5.4500970000000004</v>
      </c>
      <c r="E5196">
        <v>0.4575998</v>
      </c>
      <c r="F5196" t="s">
        <v>41</v>
      </c>
      <c r="G5196">
        <v>-349.59320000000002</v>
      </c>
      <c r="H5196" s="1">
        <v>-1.209378E-6</v>
      </c>
      <c r="I5196">
        <v>23.572050000000001</v>
      </c>
      <c r="J5196">
        <v>-376.68329999999997</v>
      </c>
      <c r="K5196">
        <v>1.1217820000000001</v>
      </c>
      <c r="L5196">
        <v>17.67624</v>
      </c>
      <c r="M5196">
        <v>0.99986419999999998</v>
      </c>
      <c r="N5196">
        <v>-1.2087789999999999E-2</v>
      </c>
      <c r="O5196">
        <v>-1.121953E-2</v>
      </c>
      <c r="P5196">
        <v>0.97521820000000004</v>
      </c>
      <c r="Q5196">
        <v>0.19532430000000001</v>
      </c>
      <c r="R5196">
        <v>0.1039143</v>
      </c>
      <c r="S5196">
        <v>3.0307010000000001</v>
      </c>
      <c r="T5196">
        <v>-0.1246819</v>
      </c>
      <c r="U5196">
        <v>0.65521240000000003</v>
      </c>
      <c r="V5196">
        <v>-0.1152634</v>
      </c>
      <c r="W5196">
        <v>0.2068538</v>
      </c>
      <c r="X5196">
        <v>0.97155849999999999</v>
      </c>
      <c r="Y5196">
        <v>-0.22202479999999999</v>
      </c>
      <c r="Z5196">
        <v>6.1932319999999999E-3</v>
      </c>
      <c r="AA5196">
        <v>0.97502140000000004</v>
      </c>
      <c r="AB5196">
        <v>29</v>
      </c>
      <c r="AC5196">
        <v>27.0900999999999</v>
      </c>
      <c r="AD5196">
        <v>-1.121783209378</v>
      </c>
      <c r="AE5196">
        <v>5.89581</v>
      </c>
      <c r="AF5196">
        <v>-6.1892662080719703</v>
      </c>
      <c r="AG5196">
        <v>-1.121783209378</v>
      </c>
      <c r="AH5196">
        <v>26.978073494324999</v>
      </c>
      <c r="AI5196">
        <v>92.320836632018796</v>
      </c>
      <c r="AJ5196">
        <v>102.92111100104199</v>
      </c>
      <c r="AK5196">
        <v>27.7016581313903</v>
      </c>
      <c r="AL5196">
        <v>78.061960086386307</v>
      </c>
      <c r="AM5196">
        <v>96.765811209081406</v>
      </c>
      <c r="AN5196">
        <v>1.00000003243812</v>
      </c>
    </row>
    <row r="5197" spans="1:40" x14ac:dyDescent="0.25">
      <c r="A5197" t="str">
        <f>"20190303162406196"</f>
        <v>20190303162406196</v>
      </c>
      <c r="B5197" t="str">
        <f>"1551601446189798"</f>
        <v>1551601446189798</v>
      </c>
      <c r="C5197" t="s">
        <v>40</v>
      </c>
      <c r="D5197">
        <v>5.4476599999999999</v>
      </c>
      <c r="E5197">
        <v>0.457872</v>
      </c>
      <c r="F5197" t="s">
        <v>41</v>
      </c>
      <c r="G5197">
        <v>-348.86720000000003</v>
      </c>
      <c r="H5197" s="1">
        <v>-1.5408989999999999E-6</v>
      </c>
      <c r="I5197">
        <v>23.647549999999999</v>
      </c>
      <c r="J5197">
        <v>-376.4144</v>
      </c>
      <c r="K5197">
        <v>1.1219190000000001</v>
      </c>
      <c r="L5197">
        <v>17.674440000000001</v>
      </c>
      <c r="M5197">
        <v>0.99987749999999997</v>
      </c>
      <c r="N5197">
        <v>-1.208999E-2</v>
      </c>
      <c r="O5197">
        <v>-9.9506360000000006E-3</v>
      </c>
      <c r="P5197">
        <v>0.97541509999999998</v>
      </c>
      <c r="Q5197">
        <v>0.19549559999999999</v>
      </c>
      <c r="R5197">
        <v>0.1017197</v>
      </c>
      <c r="S5197">
        <v>3.0313720000000002</v>
      </c>
      <c r="T5197">
        <v>-0.1222507</v>
      </c>
      <c r="U5197">
        <v>0.65075680000000002</v>
      </c>
      <c r="V5197">
        <v>-0.11190319999999999</v>
      </c>
      <c r="W5197">
        <v>0.20700170000000001</v>
      </c>
      <c r="X5197">
        <v>0.97191970000000005</v>
      </c>
      <c r="Y5197">
        <v>-0.21938389999999999</v>
      </c>
      <c r="Z5197">
        <v>5.9918360000000004E-3</v>
      </c>
      <c r="AA5197">
        <v>0.97562020000000005</v>
      </c>
      <c r="AB5197">
        <v>29</v>
      </c>
      <c r="AC5197">
        <v>27.547199999999901</v>
      </c>
      <c r="AD5197">
        <v>-1.1219205408990001</v>
      </c>
      <c r="AE5197">
        <v>5.9731099999999904</v>
      </c>
      <c r="AF5197">
        <v>-6.2370655095001597</v>
      </c>
      <c r="AG5197">
        <v>-1.1219205408990001</v>
      </c>
      <c r="AH5197">
        <v>27.442919723259699</v>
      </c>
      <c r="AI5197">
        <v>92.282906721696804</v>
      </c>
      <c r="AJ5197">
        <v>102.804342100501</v>
      </c>
      <c r="AK5197">
        <v>28.165112014816501</v>
      </c>
      <c r="AL5197">
        <v>78.053297775022699</v>
      </c>
      <c r="AM5197">
        <v>96.567901544713607</v>
      </c>
      <c r="AN5197">
        <v>0.99999996661060897</v>
      </c>
    </row>
    <row r="5198" spans="1:40" x14ac:dyDescent="0.25">
      <c r="A5198" t="str">
        <f>"20190303162406218"</f>
        <v>20190303162406218</v>
      </c>
      <c r="B5198" t="str">
        <f>"1551601446210294"</f>
        <v>1551601446210294</v>
      </c>
      <c r="C5198" t="s">
        <v>40</v>
      </c>
      <c r="D5198">
        <v>5.5101620000000002</v>
      </c>
      <c r="E5198">
        <v>0.45819320000000002</v>
      </c>
      <c r="F5198" t="s">
        <v>41</v>
      </c>
      <c r="G5198">
        <v>-348.44409999999999</v>
      </c>
      <c r="H5198" s="1">
        <v>-1.7092910000000001E-6</v>
      </c>
      <c r="I5198">
        <v>23.598199999999999</v>
      </c>
      <c r="J5198">
        <v>-376.1277</v>
      </c>
      <c r="K5198">
        <v>1.122039</v>
      </c>
      <c r="L5198">
        <v>17.673100000000002</v>
      </c>
      <c r="M5198">
        <v>0.99989110000000003</v>
      </c>
      <c r="N5198">
        <v>-1.2092139999999999E-2</v>
      </c>
      <c r="O5198">
        <v>-8.4631269999999904E-3</v>
      </c>
      <c r="P5198">
        <v>0.97567729999999997</v>
      </c>
      <c r="Q5198">
        <v>0.19541729999999999</v>
      </c>
      <c r="R5198">
        <v>9.9327470000000001E-2</v>
      </c>
      <c r="S5198">
        <v>3.03302</v>
      </c>
      <c r="T5198">
        <v>-0.1216578</v>
      </c>
      <c r="U5198">
        <v>0.6423645</v>
      </c>
      <c r="V5198">
        <v>-0.1081237</v>
      </c>
      <c r="W5198">
        <v>0.20690839999999999</v>
      </c>
      <c r="X5198">
        <v>0.97236730000000005</v>
      </c>
      <c r="Y5198">
        <v>-0.2152464</v>
      </c>
      <c r="Z5198">
        <v>5.8187669999999999E-3</v>
      </c>
      <c r="AA5198">
        <v>0.97654240000000003</v>
      </c>
      <c r="AB5198">
        <v>29</v>
      </c>
      <c r="AC5198">
        <v>27.683599999999998</v>
      </c>
      <c r="AD5198">
        <v>-1.1220407092910001</v>
      </c>
      <c r="AE5198">
        <v>5.9250999999999898</v>
      </c>
      <c r="AF5198">
        <v>-6.1495350526983303</v>
      </c>
      <c r="AG5198">
        <v>-1.1220407092910001</v>
      </c>
      <c r="AH5198">
        <v>27.5891229885979</v>
      </c>
      <c r="AI5198">
        <v>92.273192901714495</v>
      </c>
      <c r="AJ5198">
        <v>102.56564953675</v>
      </c>
      <c r="AK5198">
        <v>28.2884333959598</v>
      </c>
      <c r="AL5198">
        <v>78.058762087747695</v>
      </c>
      <c r="AM5198">
        <v>96.345016283640902</v>
      </c>
      <c r="AN5198">
        <v>0.99999999330076905</v>
      </c>
    </row>
    <row r="5199" spans="1:40" x14ac:dyDescent="0.25">
      <c r="A5199" t="str">
        <f>"20190303162406240"</f>
        <v>20190303162406240</v>
      </c>
      <c r="B5199" t="str">
        <f>"1551601446230320"</f>
        <v>1551601446230320</v>
      </c>
      <c r="C5199" t="s">
        <v>40</v>
      </c>
      <c r="D5199">
        <v>5.5047550000000003</v>
      </c>
      <c r="E5199">
        <v>0.45846110000000001</v>
      </c>
      <c r="F5199" t="s">
        <v>41</v>
      </c>
      <c r="G5199">
        <v>-348.34649999999999</v>
      </c>
      <c r="H5199" s="1">
        <v>-1.711252E-6</v>
      </c>
      <c r="I5199">
        <v>23.448260000000001</v>
      </c>
      <c r="J5199">
        <v>-375.84199999999998</v>
      </c>
      <c r="K5199">
        <v>1.122123</v>
      </c>
      <c r="L5199">
        <v>17.672270000000001</v>
      </c>
      <c r="M5199">
        <v>0.99990319999999999</v>
      </c>
      <c r="N5199">
        <v>-1.2093670000000001E-2</v>
      </c>
      <c r="O5199">
        <v>-6.8867319999999996E-3</v>
      </c>
      <c r="P5199">
        <v>0.97572990000000004</v>
      </c>
      <c r="Q5199">
        <v>0.19537760000000001</v>
      </c>
      <c r="R5199">
        <v>9.8886390000000005E-2</v>
      </c>
      <c r="S5199">
        <v>3.035126</v>
      </c>
      <c r="T5199">
        <v>-0.122584</v>
      </c>
      <c r="U5199">
        <v>0.63095089999999998</v>
      </c>
      <c r="V5199">
        <v>-0.1061894</v>
      </c>
      <c r="W5199">
        <v>0.2068557</v>
      </c>
      <c r="X5199">
        <v>0.9725916</v>
      </c>
      <c r="Y5199">
        <v>-0.21005209999999999</v>
      </c>
      <c r="Z5199">
        <v>5.6723700000000004E-3</v>
      </c>
      <c r="AA5199">
        <v>0.97767369999999998</v>
      </c>
      <c r="AB5199">
        <v>29</v>
      </c>
      <c r="AC5199">
        <v>27.4955</v>
      </c>
      <c r="AD5199">
        <v>-1.1221247112520001</v>
      </c>
      <c r="AE5199">
        <v>5.7759900000000002</v>
      </c>
      <c r="AF5199">
        <v>-5.9557206533718103</v>
      </c>
      <c r="AG5199">
        <v>-1.1221247112520001</v>
      </c>
      <c r="AH5199">
        <v>27.411341765992098</v>
      </c>
      <c r="AI5199">
        <v>92.290792005722096</v>
      </c>
      <c r="AJ5199">
        <v>102.25825359392</v>
      </c>
      <c r="AK5199">
        <v>28.073322385863499</v>
      </c>
      <c r="AL5199">
        <v>78.061847756727801</v>
      </c>
      <c r="AM5199">
        <v>96.230981164074194</v>
      </c>
      <c r="AN5199">
        <v>0.99999994484270305</v>
      </c>
    </row>
    <row r="5200" spans="1:40" x14ac:dyDescent="0.25">
      <c r="A5200" t="str">
        <f>"20190303162406260"</f>
        <v>20190303162406260</v>
      </c>
      <c r="B5200" t="str">
        <f>"1551601446249840"</f>
        <v>1551601446249840</v>
      </c>
      <c r="C5200" t="s">
        <v>40</v>
      </c>
      <c r="D5200">
        <v>5.506462</v>
      </c>
      <c r="E5200">
        <v>0.45864050000000001</v>
      </c>
      <c r="F5200" t="s">
        <v>41</v>
      </c>
      <c r="G5200">
        <v>-348.5068</v>
      </c>
      <c r="H5200" s="1">
        <v>-1.6018789999999999E-6</v>
      </c>
      <c r="I5200">
        <v>23.295660000000002</v>
      </c>
      <c r="J5200">
        <v>-375.57420000000002</v>
      </c>
      <c r="K5200">
        <v>1.12217099999999</v>
      </c>
      <c r="L5200">
        <v>17.672029999999999</v>
      </c>
      <c r="M5200">
        <v>0.99991249999999998</v>
      </c>
      <c r="N5200">
        <v>-1.2094529999999999E-2</v>
      </c>
      <c r="O5200">
        <v>-5.3581810000000001E-3</v>
      </c>
      <c r="P5200">
        <v>0.97619889999999998</v>
      </c>
      <c r="Q5200">
        <v>0.19383739999999999</v>
      </c>
      <c r="R5200">
        <v>9.7276199999999993E-2</v>
      </c>
      <c r="S5200">
        <v>3.0362849999999999</v>
      </c>
      <c r="T5200">
        <v>-0.12464119999999999</v>
      </c>
      <c r="U5200">
        <v>0.62463380000000002</v>
      </c>
      <c r="V5200">
        <v>-0.10311289999999999</v>
      </c>
      <c r="W5200">
        <v>0.20531959999999999</v>
      </c>
      <c r="X5200">
        <v>0.97324790000000005</v>
      </c>
      <c r="Y5200">
        <v>-0.20652899999999999</v>
      </c>
      <c r="Z5200">
        <v>5.6095169999999996E-3</v>
      </c>
      <c r="AA5200">
        <v>0.97842439999999997</v>
      </c>
      <c r="AB5200">
        <v>29</v>
      </c>
      <c r="AC5200">
        <v>27.067399999999999</v>
      </c>
      <c r="AD5200">
        <v>-1.1221726018789899</v>
      </c>
      <c r="AE5200">
        <v>5.6236300000000004</v>
      </c>
      <c r="AF5200">
        <v>-5.7591027389712304</v>
      </c>
      <c r="AG5200">
        <v>-1.1221726018789899</v>
      </c>
      <c r="AH5200">
        <v>26.9924019135747</v>
      </c>
      <c r="AI5200">
        <v>92.328278446728802</v>
      </c>
      <c r="AJ5200">
        <v>102.04404436374401</v>
      </c>
      <c r="AK5200">
        <v>27.6227496236415</v>
      </c>
      <c r="AL5200">
        <v>78.151790533896602</v>
      </c>
      <c r="AM5200">
        <v>96.047766994921702</v>
      </c>
      <c r="AN5200">
        <v>0.99999994157248795</v>
      </c>
    </row>
    <row r="5201" spans="1:40" x14ac:dyDescent="0.25">
      <c r="A5201" t="str">
        <f>"20190303162406284"</f>
        <v>20190303162406284</v>
      </c>
      <c r="B5201" t="str">
        <f>"1551601446270336"</f>
        <v>1551601446270336</v>
      </c>
      <c r="C5201" t="s">
        <v>40</v>
      </c>
      <c r="D5201">
        <v>5.5513620000000001</v>
      </c>
      <c r="E5201">
        <v>0.45887529999999999</v>
      </c>
      <c r="F5201" t="s">
        <v>41</v>
      </c>
      <c r="G5201">
        <v>-349.30509999999998</v>
      </c>
      <c r="H5201" s="1">
        <v>-1.1864040000000001E-6</v>
      </c>
      <c r="I5201">
        <v>23.02131</v>
      </c>
      <c r="J5201">
        <v>-375.27100000000002</v>
      </c>
      <c r="K5201">
        <v>1.12219</v>
      </c>
      <c r="L5201">
        <v>17.672239999999999</v>
      </c>
      <c r="M5201">
        <v>0.99992029999999998</v>
      </c>
      <c r="N5201">
        <v>-1.2095089999999999E-2</v>
      </c>
      <c r="O5201">
        <v>-3.6029059999999999E-3</v>
      </c>
      <c r="P5201">
        <v>0.97692330000000005</v>
      </c>
      <c r="Q5201">
        <v>0.19181019999999999</v>
      </c>
      <c r="R5201">
        <v>9.3964519999999996E-2</v>
      </c>
      <c r="S5201">
        <v>3.0372620000000001</v>
      </c>
      <c r="T5201">
        <v>-0.1297468</v>
      </c>
      <c r="U5201">
        <v>0.61849980000000004</v>
      </c>
      <c r="V5201">
        <v>-9.8099710000000007E-2</v>
      </c>
      <c r="W5201">
        <v>0.20331150000000001</v>
      </c>
      <c r="X5201">
        <v>0.97418729999999998</v>
      </c>
      <c r="Y5201">
        <v>-0.2028401</v>
      </c>
      <c r="Z5201">
        <v>5.6356519999999997E-3</v>
      </c>
      <c r="AA5201">
        <v>0.9791957</v>
      </c>
      <c r="AB5201">
        <v>29</v>
      </c>
      <c r="AC5201">
        <v>25.965899999999898</v>
      </c>
      <c r="AD5201">
        <v>-1.122191186404</v>
      </c>
      <c r="AE5201">
        <v>5.3490700000000002</v>
      </c>
      <c r="AF5201">
        <v>-5.4328605063965396</v>
      </c>
      <c r="AG5201">
        <v>-1.122191186404</v>
      </c>
      <c r="AH5201">
        <v>25.9000514720498</v>
      </c>
      <c r="AI5201">
        <v>92.428166329496406</v>
      </c>
      <c r="AJ5201">
        <v>101.84674753903499</v>
      </c>
      <c r="AK5201">
        <v>26.487505594065102</v>
      </c>
      <c r="AL5201">
        <v>78.269326393679094</v>
      </c>
      <c r="AM5201">
        <v>95.750244948387405</v>
      </c>
      <c r="AN5201">
        <v>1.0000000073078099</v>
      </c>
    </row>
    <row r="5202" spans="1:40" x14ac:dyDescent="0.25">
      <c r="A5202" t="str">
        <f>"20190303162406307"</f>
        <v>20190303162406307</v>
      </c>
      <c r="B5202" t="str">
        <f>"1551601446300593"</f>
        <v>1551601446300593</v>
      </c>
      <c r="C5202" t="s">
        <v>40</v>
      </c>
      <c r="D5202">
        <v>5.4018169999999897</v>
      </c>
      <c r="E5202">
        <v>0.48913430000000002</v>
      </c>
      <c r="F5202" t="s">
        <v>41</v>
      </c>
      <c r="G5202">
        <v>-350.0899</v>
      </c>
      <c r="H5202" s="1">
        <v>-4.7941600000000004E-6</v>
      </c>
      <c r="I5202">
        <v>22.709790000000002</v>
      </c>
      <c r="J5202">
        <v>-374.97579999999999</v>
      </c>
      <c r="K5202">
        <v>1.122177</v>
      </c>
      <c r="L5202">
        <v>17.672999999999998</v>
      </c>
      <c r="M5202">
        <v>0.99992519999999996</v>
      </c>
      <c r="N5202">
        <v>-1.2095430000000001E-2</v>
      </c>
      <c r="O5202">
        <v>-1.8995100000000001E-3</v>
      </c>
      <c r="P5202">
        <v>0.9780681</v>
      </c>
      <c r="Q5202">
        <v>0.18845780000000001</v>
      </c>
      <c r="R5202">
        <v>8.8693910000000001E-2</v>
      </c>
      <c r="S5202">
        <v>3.0390009999999998</v>
      </c>
      <c r="T5202">
        <v>-0.1354331</v>
      </c>
      <c r="U5202">
        <v>0.60797119999999905</v>
      </c>
      <c r="V5202">
        <v>-9.1161240000000004E-2</v>
      </c>
      <c r="W5202">
        <v>0.19999510000000001</v>
      </c>
      <c r="X5202">
        <v>0.97554680000000005</v>
      </c>
      <c r="Y5202">
        <v>-0.19778889999999999</v>
      </c>
      <c r="Z5202">
        <v>5.6316159999999999E-3</v>
      </c>
      <c r="AA5202">
        <v>0.98022849999999995</v>
      </c>
      <c r="AB5202">
        <v>29</v>
      </c>
      <c r="AC5202">
        <v>24.8858999999999</v>
      </c>
      <c r="AD5202">
        <v>-1.1221817941600001</v>
      </c>
      <c r="AE5202">
        <v>5.0367899999999999</v>
      </c>
      <c r="AF5202">
        <v>-5.0741437085490997</v>
      </c>
      <c r="AG5202">
        <v>-1.1221817941600001</v>
      </c>
      <c r="AH5202">
        <v>24.827789156299801</v>
      </c>
      <c r="AI5202">
        <v>92.535587118551106</v>
      </c>
      <c r="AJ5202">
        <v>101.55067727372401</v>
      </c>
      <c r="AK5202">
        <v>25.365830180457898</v>
      </c>
      <c r="AL5202">
        <v>78.463327334235302</v>
      </c>
      <c r="AM5202">
        <v>95.338575493823498</v>
      </c>
      <c r="AN5202">
        <v>0.99999998534629297</v>
      </c>
    </row>
    <row r="5203" spans="1:40" x14ac:dyDescent="0.25">
      <c r="A5203" t="str">
        <f>"20190303162406329"</f>
        <v>20190303162406329</v>
      </c>
      <c r="B5203" t="str">
        <f>"1551601446320619"</f>
        <v>1551601446320619</v>
      </c>
      <c r="C5203" t="s">
        <v>40</v>
      </c>
      <c r="D5203">
        <v>5.4373519999999997</v>
      </c>
      <c r="E5203">
        <v>0.53917539999999997</v>
      </c>
      <c r="F5203" t="s">
        <v>41</v>
      </c>
      <c r="G5203">
        <v>-348.16059999999999</v>
      </c>
      <c r="H5203" s="1">
        <v>-1.077367E-6</v>
      </c>
      <c r="I5203">
        <v>20.766079999999999</v>
      </c>
      <c r="J5203">
        <v>-374.69240000000002</v>
      </c>
      <c r="K5203">
        <v>1.12216</v>
      </c>
      <c r="L5203">
        <v>17.674129999999899</v>
      </c>
      <c r="M5203">
        <v>0.99992689999999995</v>
      </c>
      <c r="N5203">
        <v>-1.209559E-2</v>
      </c>
      <c r="O5203">
        <v>-2.8600959999999998E-4</v>
      </c>
      <c r="P5203">
        <v>0.97898050000000003</v>
      </c>
      <c r="Q5203">
        <v>0.18606990000000001</v>
      </c>
      <c r="R5203">
        <v>8.3517339999999995E-2</v>
      </c>
      <c r="S5203">
        <v>3.0599370000000001</v>
      </c>
      <c r="T5203">
        <v>-0.12805369999999999</v>
      </c>
      <c r="U5203">
        <v>0.35296630000000001</v>
      </c>
      <c r="V5203">
        <v>-8.4396949999999998E-2</v>
      </c>
      <c r="W5203">
        <v>0.1976426</v>
      </c>
      <c r="X5203">
        <v>0.97663429999999996</v>
      </c>
      <c r="Y5203">
        <v>-0.1147469</v>
      </c>
      <c r="Z5203">
        <v>3.0971699999999998E-3</v>
      </c>
      <c r="AA5203">
        <v>0.99338990000000005</v>
      </c>
      <c r="AB5203">
        <v>29</v>
      </c>
      <c r="AC5203">
        <v>26.5318</v>
      </c>
      <c r="AD5203">
        <v>-1.1221610773669899</v>
      </c>
      <c r="AE5203">
        <v>3.0919500000000002</v>
      </c>
      <c r="AF5203">
        <v>-3.09407805906902</v>
      </c>
      <c r="AG5203">
        <v>-1.1221610773669899</v>
      </c>
      <c r="AH5203">
        <v>26.484172777105002</v>
      </c>
      <c r="AI5203">
        <v>92.409858246364706</v>
      </c>
      <c r="AJ5203">
        <v>96.663512713999296</v>
      </c>
      <c r="AK5203">
        <v>26.687899359198699</v>
      </c>
      <c r="AL5203">
        <v>78.600861548747105</v>
      </c>
      <c r="AM5203">
        <v>94.939009107200704</v>
      </c>
      <c r="AN5203">
        <v>0.99999999922027605</v>
      </c>
    </row>
    <row r="5204" spans="1:40" x14ac:dyDescent="0.25">
      <c r="A5204" t="str">
        <f>"20190303162406351"</f>
        <v>20190303162406351</v>
      </c>
      <c r="B5204" t="str">
        <f>"1551601446340138"</f>
        <v>1551601446340138</v>
      </c>
      <c r="C5204" t="s">
        <v>40</v>
      </c>
      <c r="D5204">
        <v>5.3307529999999996</v>
      </c>
      <c r="E5204">
        <v>0.54006639999999995</v>
      </c>
      <c r="F5204" t="s">
        <v>41</v>
      </c>
      <c r="G5204">
        <v>-357.92779999999999</v>
      </c>
      <c r="H5204" s="1">
        <v>-1.2931299999999999E-6</v>
      </c>
      <c r="I5204">
        <v>17.354150000000001</v>
      </c>
      <c r="J5204">
        <v>-374.4033</v>
      </c>
      <c r="K5204">
        <v>1.122133</v>
      </c>
      <c r="L5204">
        <v>17.67578</v>
      </c>
      <c r="M5204">
        <v>0.99992599999999998</v>
      </c>
      <c r="N5204">
        <v>-1.209558E-2</v>
      </c>
      <c r="O5204">
        <v>1.3163949999999999E-3</v>
      </c>
      <c r="P5204">
        <v>0.97973920000000003</v>
      </c>
      <c r="Q5204">
        <v>0.18467990000000001</v>
      </c>
      <c r="R5204">
        <v>7.7488180000000004E-2</v>
      </c>
      <c r="S5204">
        <v>3.1090089999999999</v>
      </c>
      <c r="T5204">
        <v>-0.2081057</v>
      </c>
      <c r="U5204">
        <v>-5.9326169999999998E-2</v>
      </c>
      <c r="V5204">
        <v>-7.6785329999999999E-2</v>
      </c>
      <c r="W5204">
        <v>0.19628970000000001</v>
      </c>
      <c r="X5204">
        <v>0.97753480000000004</v>
      </c>
      <c r="Y5204">
        <v>2.0339070000000001E-2</v>
      </c>
      <c r="Z5204">
        <v>-8.7517490000000003E-4</v>
      </c>
      <c r="AA5204">
        <v>0.99979280000000004</v>
      </c>
      <c r="AB5204">
        <v>29</v>
      </c>
      <c r="AC5204">
        <v>16.4755</v>
      </c>
      <c r="AD5204">
        <v>-1.12213429313</v>
      </c>
      <c r="AE5204">
        <v>-0.32162999999999897</v>
      </c>
      <c r="AF5204">
        <v>0.341734912484986</v>
      </c>
      <c r="AG5204">
        <v>-1.12213429313</v>
      </c>
      <c r="AH5204">
        <v>16.399018320008398</v>
      </c>
      <c r="AI5204">
        <v>93.913624734061898</v>
      </c>
      <c r="AJ5204">
        <v>88.806200814415504</v>
      </c>
      <c r="AK5204">
        <v>16.440917552928699</v>
      </c>
      <c r="AL5204">
        <v>78.679925404042805</v>
      </c>
      <c r="AM5204">
        <v>94.491359581701403</v>
      </c>
      <c r="AN5204">
        <v>0.99999995922016804</v>
      </c>
    </row>
    <row r="5205" spans="1:40" x14ac:dyDescent="0.25">
      <c r="A5205" t="str">
        <f>"20190303162406373"</f>
        <v>20190303162406373</v>
      </c>
      <c r="B5205" t="str">
        <f>"1551601446360635"</f>
        <v>1551601446360635</v>
      </c>
      <c r="C5205" t="s">
        <v>40</v>
      </c>
      <c r="D5205">
        <v>5.3482219999999998</v>
      </c>
      <c r="E5205">
        <v>0.54023559999999904</v>
      </c>
      <c r="F5205" t="s">
        <v>41</v>
      </c>
      <c r="G5205">
        <v>-359.25650000000002</v>
      </c>
      <c r="H5205" s="1">
        <v>-8.6369649999999904E-7</v>
      </c>
      <c r="I5205">
        <v>17.268719999999998</v>
      </c>
      <c r="J5205">
        <v>-374.12430000000001</v>
      </c>
      <c r="K5205">
        <v>1.1221000000000001</v>
      </c>
      <c r="L5205">
        <v>17.67773</v>
      </c>
      <c r="M5205">
        <v>0.99992300000000001</v>
      </c>
      <c r="N5205">
        <v>-1.2095359999999999E-2</v>
      </c>
      <c r="O5205">
        <v>2.804399E-3</v>
      </c>
      <c r="P5205">
        <v>0.98038170000000002</v>
      </c>
      <c r="Q5205">
        <v>0.1846486</v>
      </c>
      <c r="R5205">
        <v>6.8970420000000005E-2</v>
      </c>
      <c r="S5205">
        <v>3.1121219999999998</v>
      </c>
      <c r="T5205">
        <v>-0.23055790000000001</v>
      </c>
      <c r="U5205">
        <v>-8.3618159999999997E-2</v>
      </c>
      <c r="V5205">
        <v>-6.6793649999999996E-2</v>
      </c>
      <c r="W5205">
        <v>0.1963018</v>
      </c>
      <c r="X5205">
        <v>0.97826590000000002</v>
      </c>
      <c r="Y5205">
        <v>2.9562740000000001E-2</v>
      </c>
      <c r="Z5205">
        <v>-1.4460390000000001E-3</v>
      </c>
      <c r="AA5205">
        <v>0.9995619</v>
      </c>
      <c r="AB5205">
        <v>29</v>
      </c>
      <c r="AC5205">
        <v>14.8677999999999</v>
      </c>
      <c r="AD5205">
        <v>-1.1221008636965</v>
      </c>
      <c r="AE5205">
        <v>-0.40900999999999799</v>
      </c>
      <c r="AF5205">
        <v>0.44815591364149898</v>
      </c>
      <c r="AG5205">
        <v>-1.1221008636965</v>
      </c>
      <c r="AH5205">
        <v>14.7824571375114</v>
      </c>
      <c r="AI5205">
        <v>94.338874804850093</v>
      </c>
      <c r="AJ5205">
        <v>88.263510608618205</v>
      </c>
      <c r="AK5205">
        <v>14.8317562376679</v>
      </c>
      <c r="AL5205">
        <v>78.679218604831405</v>
      </c>
      <c r="AM5205">
        <v>93.905956334386005</v>
      </c>
      <c r="AN5205">
        <v>0.999999979733186</v>
      </c>
    </row>
    <row r="5206" spans="1:40" x14ac:dyDescent="0.25">
      <c r="A5206" t="str">
        <f>"20190303162406396"</f>
        <v>20190303162406396</v>
      </c>
      <c r="B5206" t="str">
        <f>"1551601446389915"</f>
        <v>1551601446389915</v>
      </c>
      <c r="C5206" t="s">
        <v>40</v>
      </c>
      <c r="D5206">
        <v>5.3676550000000001</v>
      </c>
      <c r="E5206">
        <v>0.53948160000000001</v>
      </c>
      <c r="F5206" t="s">
        <v>41</v>
      </c>
      <c r="G5206">
        <v>-359.2167</v>
      </c>
      <c r="H5206" s="1">
        <v>-9.0706649999999999E-7</v>
      </c>
      <c r="I5206">
        <v>17.156589999999898</v>
      </c>
      <c r="J5206">
        <v>-373.8211</v>
      </c>
      <c r="K5206">
        <v>1.122055</v>
      </c>
      <c r="L5206">
        <v>17.68027</v>
      </c>
      <c r="M5206">
        <v>0.99991739999999996</v>
      </c>
      <c r="N5206">
        <v>-1.209476E-2</v>
      </c>
      <c r="O5206">
        <v>4.3366890000000003E-3</v>
      </c>
      <c r="P5206">
        <v>0.98083719999999996</v>
      </c>
      <c r="Q5206">
        <v>0.18546109999999999</v>
      </c>
      <c r="R5206">
        <v>5.96895E-2</v>
      </c>
      <c r="S5206">
        <v>3.1117859999999999</v>
      </c>
      <c r="T5206">
        <v>-0.23422599999999999</v>
      </c>
      <c r="U5206">
        <v>-0.1087646</v>
      </c>
      <c r="V5206">
        <v>-5.5986260000000003E-2</v>
      </c>
      <c r="W5206">
        <v>0.19715830000000001</v>
      </c>
      <c r="X5206">
        <v>0.97877170000000002</v>
      </c>
      <c r="Y5206">
        <v>3.9128169999999997E-2</v>
      </c>
      <c r="Z5206">
        <v>-1.9806609999999999E-3</v>
      </c>
      <c r="AA5206">
        <v>0.99923220000000001</v>
      </c>
      <c r="AB5206">
        <v>29</v>
      </c>
      <c r="AC5206">
        <v>14.604399999999901</v>
      </c>
      <c r="AD5206">
        <v>-1.1220559070664999</v>
      </c>
      <c r="AE5206">
        <v>-0.52368000000000203</v>
      </c>
      <c r="AF5206">
        <v>0.58357412635476602</v>
      </c>
      <c r="AG5206">
        <v>-1.1220559070664999</v>
      </c>
      <c r="AH5206">
        <v>14.5164133061119</v>
      </c>
      <c r="AI5206">
        <v>94.416374117657</v>
      </c>
      <c r="AJ5206">
        <v>87.697892802698703</v>
      </c>
      <c r="AK5206">
        <v>14.571404307526301</v>
      </c>
      <c r="AL5206">
        <v>78.629166277722305</v>
      </c>
      <c r="AM5206">
        <v>93.273781569512494</v>
      </c>
      <c r="AN5206">
        <v>0.99999994864428199</v>
      </c>
    </row>
    <row r="5207" spans="1:40" x14ac:dyDescent="0.25">
      <c r="A5207" t="str">
        <f>"20190303162406419"</f>
        <v>20190303162406419</v>
      </c>
      <c r="B5207" t="str">
        <f>"1551601446410411"</f>
        <v>1551601446410411</v>
      </c>
      <c r="C5207" t="s">
        <v>40</v>
      </c>
      <c r="D5207">
        <v>5.3994559999999998</v>
      </c>
      <c r="E5207">
        <v>0.53899750000000002</v>
      </c>
      <c r="F5207" t="s">
        <v>41</v>
      </c>
      <c r="G5207">
        <v>-358.80160000000001</v>
      </c>
      <c r="H5207" s="1">
        <v>-1.072765E-6</v>
      </c>
      <c r="I5207">
        <v>17.064769999999999</v>
      </c>
      <c r="J5207">
        <v>-373.52730000000003</v>
      </c>
      <c r="K5207">
        <v>1.121996</v>
      </c>
      <c r="L5207">
        <v>17.683039999999998</v>
      </c>
      <c r="M5207">
        <v>0.99991050000000004</v>
      </c>
      <c r="N5207">
        <v>-1.209389E-2</v>
      </c>
      <c r="O5207">
        <v>5.7197019999999897E-3</v>
      </c>
      <c r="P5207">
        <v>0.98134010000000005</v>
      </c>
      <c r="Q5207">
        <v>0.1855724</v>
      </c>
      <c r="R5207">
        <v>5.0344809999999997E-2</v>
      </c>
      <c r="S5207">
        <v>3.1102910000000001</v>
      </c>
      <c r="T5207">
        <v>-0.2323586</v>
      </c>
      <c r="U5207">
        <v>-0.12744140000000001</v>
      </c>
      <c r="V5207">
        <v>-4.5249110000000002E-2</v>
      </c>
      <c r="W5207">
        <v>0.19731209999999999</v>
      </c>
      <c r="X5207">
        <v>0.9792959</v>
      </c>
      <c r="Y5207">
        <v>4.6492859999999997E-2</v>
      </c>
      <c r="Z5207">
        <v>-2.3727100000000001E-3</v>
      </c>
      <c r="AA5207">
        <v>0.99891580000000002</v>
      </c>
      <c r="AB5207">
        <v>29</v>
      </c>
      <c r="AC5207">
        <v>14.7257</v>
      </c>
      <c r="AD5207">
        <v>-1.1219970727649999</v>
      </c>
      <c r="AE5207">
        <v>-0.61826999999999499</v>
      </c>
      <c r="AF5207">
        <v>0.69844504956033704</v>
      </c>
      <c r="AG5207">
        <v>-1.1219970727649999</v>
      </c>
      <c r="AH5207">
        <v>14.6370979461938</v>
      </c>
      <c r="AI5207">
        <v>94.3784355731906</v>
      </c>
      <c r="AJ5207">
        <v>87.268063512050801</v>
      </c>
      <c r="AK5207">
        <v>14.696643807516701</v>
      </c>
      <c r="AL5207">
        <v>78.620178244657595</v>
      </c>
      <c r="AM5207">
        <v>92.645513331301601</v>
      </c>
      <c r="AN5207">
        <v>1.0000000032595</v>
      </c>
    </row>
    <row r="5208" spans="1:40" x14ac:dyDescent="0.25">
      <c r="A5208" t="str">
        <f>"20190303162406441"</f>
        <v>20190303162406441</v>
      </c>
      <c r="B5208" t="str">
        <f>"1551601446430437"</f>
        <v>1551601446430437</v>
      </c>
      <c r="C5208" t="s">
        <v>40</v>
      </c>
      <c r="D5208">
        <v>5.4373860000000001</v>
      </c>
      <c r="E5208">
        <v>0.5381785</v>
      </c>
      <c r="F5208" t="s">
        <v>41</v>
      </c>
      <c r="G5208">
        <v>-358.52050000000003</v>
      </c>
      <c r="H5208" s="1">
        <v>-1.194595E-6</v>
      </c>
      <c r="I5208">
        <v>16.966379999999901</v>
      </c>
      <c r="J5208">
        <v>-373.25009999999997</v>
      </c>
      <c r="K5208">
        <v>1.121918</v>
      </c>
      <c r="L5208">
        <v>17.685939999999999</v>
      </c>
      <c r="M5208">
        <v>0.99990310000000004</v>
      </c>
      <c r="N5208">
        <v>-1.20929E-2</v>
      </c>
      <c r="O5208">
        <v>6.9113309999999997E-3</v>
      </c>
      <c r="P5208">
        <v>0.98194369999999997</v>
      </c>
      <c r="Q5208">
        <v>0.18495549999999999</v>
      </c>
      <c r="R5208">
        <v>3.9729159999999999E-2</v>
      </c>
      <c r="S5208">
        <v>3.1086119999999999</v>
      </c>
      <c r="T5208">
        <v>-0.23241829999999999</v>
      </c>
      <c r="U5208">
        <v>-0.1484375</v>
      </c>
      <c r="V5208">
        <v>-3.3418539999999997E-2</v>
      </c>
      <c r="W5208">
        <v>0.19673940000000001</v>
      </c>
      <c r="X5208">
        <v>0.97988609999999998</v>
      </c>
      <c r="Y5208">
        <v>5.4409220000000001E-2</v>
      </c>
      <c r="Z5208">
        <v>-2.7920100000000002E-3</v>
      </c>
      <c r="AA5208">
        <v>0.99851480000000004</v>
      </c>
      <c r="AB5208">
        <v>29</v>
      </c>
      <c r="AC5208">
        <v>14.7295999999999</v>
      </c>
      <c r="AD5208">
        <v>-1.121919194595</v>
      </c>
      <c r="AE5208">
        <v>-0.71956000000000098</v>
      </c>
      <c r="AF5208">
        <v>0.81662500537238703</v>
      </c>
      <c r="AG5208">
        <v>-1.121919194595</v>
      </c>
      <c r="AH5208">
        <v>14.639545366477099</v>
      </c>
      <c r="AI5208">
        <v>94.375589235892406</v>
      </c>
      <c r="AJ5208">
        <v>86.807228295113703</v>
      </c>
      <c r="AK5208">
        <v>14.7051646578928</v>
      </c>
      <c r="AL5208">
        <v>78.653647322238996</v>
      </c>
      <c r="AM5208">
        <v>91.953287693827505</v>
      </c>
      <c r="AN5208">
        <v>0.99999997965065002</v>
      </c>
    </row>
    <row r="5209" spans="1:40" x14ac:dyDescent="0.25">
      <c r="A5209" t="str">
        <f>"20190303162406462"</f>
        <v>20190303162406462</v>
      </c>
      <c r="B5209" t="str">
        <f>"1551601446449958"</f>
        <v>1551601446449958</v>
      </c>
      <c r="C5209" t="s">
        <v>40</v>
      </c>
      <c r="D5209">
        <v>5.4109860000000003</v>
      </c>
      <c r="E5209">
        <v>0.53693849999999999</v>
      </c>
      <c r="F5209" t="s">
        <v>41</v>
      </c>
      <c r="G5209">
        <v>-358.4117</v>
      </c>
      <c r="H5209" s="1">
        <v>-1.258789E-6</v>
      </c>
      <c r="I5209">
        <v>16.864260000000002</v>
      </c>
      <c r="J5209">
        <v>-372.97660000000002</v>
      </c>
      <c r="K5209">
        <v>1.1218109999999999</v>
      </c>
      <c r="L5209">
        <v>17.688960000000002</v>
      </c>
      <c r="M5209">
        <v>0.99989530000000004</v>
      </c>
      <c r="N5209">
        <v>-1.209179E-2</v>
      </c>
      <c r="O5209">
        <v>7.9543269999999902E-3</v>
      </c>
      <c r="P5209">
        <v>0.98260179999999997</v>
      </c>
      <c r="Q5209">
        <v>0.1833718</v>
      </c>
      <c r="R5209">
        <v>2.9475439999999999E-2</v>
      </c>
      <c r="S5209">
        <v>3.1063540000000001</v>
      </c>
      <c r="T5209">
        <v>-0.23486889999999999</v>
      </c>
      <c r="U5209">
        <v>-0.17199710000000001</v>
      </c>
      <c r="V5209">
        <v>-2.2084380000000001E-2</v>
      </c>
      <c r="W5209">
        <v>0.19519449999999999</v>
      </c>
      <c r="X5209">
        <v>0.9805159</v>
      </c>
      <c r="Y5209">
        <v>6.3001660000000001E-2</v>
      </c>
      <c r="Z5209">
        <v>-3.262521E-3</v>
      </c>
      <c r="AA5209">
        <v>0.99800809999999995</v>
      </c>
      <c r="AB5209">
        <v>29</v>
      </c>
      <c r="AC5209">
        <v>14.5649</v>
      </c>
      <c r="AD5209">
        <v>-1.121812258789</v>
      </c>
      <c r="AE5209">
        <v>-0.82469999999999999</v>
      </c>
      <c r="AF5209">
        <v>0.93500730245538199</v>
      </c>
      <c r="AG5209">
        <v>-1.121812258789</v>
      </c>
      <c r="AH5209">
        <v>14.472298659821799</v>
      </c>
      <c r="AI5209">
        <v>94.423202693689106</v>
      </c>
      <c r="AJ5209">
        <v>86.3034468321829</v>
      </c>
      <c r="AK5209">
        <v>14.545794234028399</v>
      </c>
      <c r="AL5209">
        <v>78.743914282244006</v>
      </c>
      <c r="AM5209">
        <v>91.290267567111002</v>
      </c>
      <c r="AN5209">
        <v>1.0000000214115199</v>
      </c>
    </row>
    <row r="5210" spans="1:40" x14ac:dyDescent="0.25">
      <c r="A5210" t="str">
        <f>"20190303162406487"</f>
        <v>20190303162406487</v>
      </c>
      <c r="B5210" t="str">
        <f>"1551601446481190"</f>
        <v>1551601446481190</v>
      </c>
      <c r="C5210" t="s">
        <v>40</v>
      </c>
      <c r="D5210">
        <v>5.4441540000000002</v>
      </c>
      <c r="E5210">
        <v>0.53542730000000005</v>
      </c>
      <c r="F5210" t="s">
        <v>41</v>
      </c>
      <c r="G5210">
        <v>-358.48989999999998</v>
      </c>
      <c r="H5210" s="1">
        <v>-1.2530009999999999E-6</v>
      </c>
      <c r="I5210">
        <v>16.785959999999999</v>
      </c>
      <c r="J5210">
        <v>-372.67329999999998</v>
      </c>
      <c r="K5210">
        <v>1.1216889999999999</v>
      </c>
      <c r="L5210">
        <v>17.692540000000001</v>
      </c>
      <c r="M5210">
        <v>0.99988699999999997</v>
      </c>
      <c r="N5210">
        <v>-1.2090470000000001E-2</v>
      </c>
      <c r="O5210">
        <v>8.9379869999999997E-3</v>
      </c>
      <c r="P5210">
        <v>0.98300799999999999</v>
      </c>
      <c r="Q5210">
        <v>0.18229580000000001</v>
      </c>
      <c r="R5210">
        <v>2.1530830000000001E-2</v>
      </c>
      <c r="S5210">
        <v>3.10379</v>
      </c>
      <c r="T5210">
        <v>-0.24035039999999999</v>
      </c>
      <c r="U5210">
        <v>-0.19345090000000001</v>
      </c>
      <c r="V5210">
        <v>-1.310853E-2</v>
      </c>
      <c r="W5210">
        <v>0.1941454</v>
      </c>
      <c r="X5210">
        <v>0.98088509999999995</v>
      </c>
      <c r="Y5210">
        <v>7.086191E-2</v>
      </c>
      <c r="Z5210">
        <v>-3.7491479999999999E-3</v>
      </c>
      <c r="AA5210">
        <v>0.99747909999999995</v>
      </c>
      <c r="AB5210">
        <v>29</v>
      </c>
      <c r="AC5210">
        <v>14.183400000000001</v>
      </c>
      <c r="AD5210">
        <v>-1.121690253001</v>
      </c>
      <c r="AE5210">
        <v>-0.90658000000000105</v>
      </c>
      <c r="AF5210">
        <v>1.02692741418331</v>
      </c>
      <c r="AG5210">
        <v>-1.121690253001</v>
      </c>
      <c r="AH5210">
        <v>14.086982739525199</v>
      </c>
      <c r="AI5210">
        <v>94.540630451901706</v>
      </c>
      <c r="AJ5210">
        <v>85.830568489653302</v>
      </c>
      <c r="AK5210">
        <v>14.1688338137392</v>
      </c>
      <c r="AL5210">
        <v>78.805194575478197</v>
      </c>
      <c r="AM5210">
        <v>90.765654139413599</v>
      </c>
      <c r="AN5210">
        <v>0.99999992465096199</v>
      </c>
    </row>
    <row r="5211" spans="1:40" x14ac:dyDescent="0.25">
      <c r="A5211" t="str">
        <f>"20190303162406507"</f>
        <v>20190303162406507</v>
      </c>
      <c r="B5211" t="str">
        <f>"1551601446500709"</f>
        <v>1551601446500709</v>
      </c>
      <c r="C5211" t="s">
        <v>40</v>
      </c>
      <c r="D5211">
        <v>5.139246</v>
      </c>
      <c r="E5211">
        <v>0.53542730000000005</v>
      </c>
      <c r="F5211" t="s">
        <v>42</v>
      </c>
      <c r="G5211">
        <v>-371.71850000000001</v>
      </c>
      <c r="H5211">
        <v>1.047841</v>
      </c>
      <c r="I5211">
        <v>17.627970000000001</v>
      </c>
      <c r="J5211">
        <v>-372.38940000000002</v>
      </c>
      <c r="K5211">
        <v>1.1215850000000001</v>
      </c>
      <c r="L5211">
        <v>17.69595</v>
      </c>
      <c r="M5211">
        <v>0.99987979999999999</v>
      </c>
      <c r="N5211">
        <v>-1.2089269999999999E-2</v>
      </c>
      <c r="O5211">
        <v>9.7050230000000001E-3</v>
      </c>
      <c r="P5211">
        <v>0.98266750000000003</v>
      </c>
      <c r="Q5211">
        <v>0.1847509</v>
      </c>
      <c r="R5211">
        <v>1.522829E-2</v>
      </c>
      <c r="S5211">
        <v>3.1009519999999999</v>
      </c>
      <c r="T5211">
        <v>-0.23989379999999999</v>
      </c>
      <c r="U5211">
        <v>-0.2087097</v>
      </c>
      <c r="V5211">
        <v>-6.0042809999999898E-3</v>
      </c>
      <c r="W5211">
        <v>0.19660949999999999</v>
      </c>
      <c r="X5211">
        <v>0.98046350000000004</v>
      </c>
      <c r="Y5211">
        <v>7.6549660000000005E-2</v>
      </c>
      <c r="Z5211">
        <v>-4.0491370000000004E-3</v>
      </c>
      <c r="AA5211">
        <v>0.99705759999999999</v>
      </c>
      <c r="AB5211">
        <v>29</v>
      </c>
      <c r="AC5211">
        <v>0.67090000000001704</v>
      </c>
      <c r="AD5211">
        <v>-7.3744000000000004E-2</v>
      </c>
      <c r="AE5211">
        <v>-6.7979999999998597E-2</v>
      </c>
      <c r="AF5211">
        <v>7.3608081272098697E-2</v>
      </c>
      <c r="AG5211">
        <v>-7.3744000000000004E-2</v>
      </c>
      <c r="AH5211">
        <v>0.66228817666533302</v>
      </c>
      <c r="AI5211">
        <v>96.314992529482197</v>
      </c>
      <c r="AJ5211">
        <v>83.658055874776394</v>
      </c>
      <c r="AK5211">
        <v>0.67043415494383296</v>
      </c>
      <c r="AL5211">
        <v>78.661238663327694</v>
      </c>
      <c r="AM5211">
        <v>90.350870440237401</v>
      </c>
      <c r="AN5211">
        <v>1.00000001085641</v>
      </c>
    </row>
    <row r="5212" spans="1:40" x14ac:dyDescent="0.25">
      <c r="A5212" t="str">
        <f>"20190303162406529"</f>
        <v>20190303162406529</v>
      </c>
      <c r="B5212" t="str">
        <f>"1551601446520229"</f>
        <v>1551601446520229</v>
      </c>
      <c r="C5212" t="s">
        <v>40</v>
      </c>
      <c r="D5212">
        <v>5.4684410000000003</v>
      </c>
      <c r="E5212">
        <v>0.51896319999999996</v>
      </c>
      <c r="F5212" t="s">
        <v>42</v>
      </c>
      <c r="G5212">
        <v>-371.45620000000002</v>
      </c>
      <c r="H5212">
        <v>1.051871</v>
      </c>
      <c r="I5212">
        <v>17.6264</v>
      </c>
      <c r="J5212">
        <v>-372.10329999999999</v>
      </c>
      <c r="K5212">
        <v>1.1214980000000001</v>
      </c>
      <c r="L5212">
        <v>17.699490000000001</v>
      </c>
      <c r="M5212">
        <v>0.99987340000000002</v>
      </c>
      <c r="N5212">
        <v>-1.208819E-2</v>
      </c>
      <c r="O5212">
        <v>1.0348080000000001E-2</v>
      </c>
      <c r="P5212">
        <v>0.98168279999999997</v>
      </c>
      <c r="Q5212">
        <v>0.19025880000000001</v>
      </c>
      <c r="R5212">
        <v>1.002752E-2</v>
      </c>
      <c r="S5212">
        <v>3.1000369999999999</v>
      </c>
      <c r="T5212">
        <v>-0.23162469999999999</v>
      </c>
      <c r="U5212">
        <v>-0.23019410000000001</v>
      </c>
      <c r="V5212">
        <v>-1.380597E-4</v>
      </c>
      <c r="W5212">
        <v>0.2021125</v>
      </c>
      <c r="X5212">
        <v>0.97936230000000002</v>
      </c>
      <c r="Y5212">
        <v>8.4076620000000005E-2</v>
      </c>
      <c r="Z5212">
        <v>-4.2883419999999997E-3</v>
      </c>
      <c r="AA5212">
        <v>0.99645010000000001</v>
      </c>
      <c r="AB5212">
        <v>29</v>
      </c>
      <c r="AC5212">
        <v>0.64709999999996604</v>
      </c>
      <c r="AD5212">
        <v>-6.96269999999998E-2</v>
      </c>
      <c r="AE5212">
        <v>-7.3090000000000502E-2</v>
      </c>
      <c r="AF5212">
        <v>7.8881080839672005E-2</v>
      </c>
      <c r="AG5212">
        <v>-6.96269999999998E-2</v>
      </c>
      <c r="AH5212">
        <v>0.63900411182310801</v>
      </c>
      <c r="AI5212">
        <v>96.172032786465195</v>
      </c>
      <c r="AJ5212">
        <v>82.962793662959299</v>
      </c>
      <c r="AK5212">
        <v>0.64760821410037295</v>
      </c>
      <c r="AL5212">
        <v>78.339480442310105</v>
      </c>
      <c r="AM5212">
        <v>90.008076927280598</v>
      </c>
      <c r="AN5212">
        <v>0.99999999818900998</v>
      </c>
    </row>
    <row r="5213" spans="1:40" x14ac:dyDescent="0.25">
      <c r="A5213" t="str">
        <f>"20190303162406551"</f>
        <v>20190303162406551</v>
      </c>
      <c r="B5213" t="str">
        <f>"1551601446539750"</f>
        <v>1551601446539750</v>
      </c>
      <c r="C5213" t="s">
        <v>40</v>
      </c>
      <c r="D5213">
        <v>5.4508219999999996</v>
      </c>
      <c r="E5213">
        <v>0.51830849999999995</v>
      </c>
      <c r="F5213" t="s">
        <v>41</v>
      </c>
      <c r="G5213">
        <v>-346.06380000000001</v>
      </c>
      <c r="H5213" s="1">
        <v>-2.1851719999999999E-6</v>
      </c>
      <c r="I5213">
        <v>16.71707</v>
      </c>
      <c r="J5213">
        <v>-371.82990000000001</v>
      </c>
      <c r="K5213">
        <v>1.121424</v>
      </c>
      <c r="L5213">
        <v>17.702909999999999</v>
      </c>
      <c r="M5213">
        <v>0.99986830000000004</v>
      </c>
      <c r="N5213">
        <v>-1.2087209999999999E-2</v>
      </c>
      <c r="O5213">
        <v>1.083463E-2</v>
      </c>
      <c r="P5213">
        <v>0.98107160000000004</v>
      </c>
      <c r="Q5213">
        <v>0.19355330000000001</v>
      </c>
      <c r="R5213">
        <v>6.001284E-3</v>
      </c>
      <c r="S5213">
        <v>3.0828859999999998</v>
      </c>
      <c r="T5213">
        <v>-0.1327776</v>
      </c>
      <c r="U5213">
        <v>-0.1163025</v>
      </c>
      <c r="V5213">
        <v>4.4014090000000002E-3</v>
      </c>
      <c r="W5213">
        <v>0.20540269999999999</v>
      </c>
      <c r="X5213">
        <v>0.97866770000000003</v>
      </c>
      <c r="Y5213">
        <v>4.8461209999999998E-2</v>
      </c>
      <c r="Z5213">
        <v>-1.67131299999999E-3</v>
      </c>
      <c r="AA5213">
        <v>0.99882360000000003</v>
      </c>
      <c r="AB5213">
        <v>29</v>
      </c>
      <c r="AC5213">
        <v>25.766099999999899</v>
      </c>
      <c r="AD5213">
        <v>-1.121426185172</v>
      </c>
      <c r="AE5213">
        <v>-0.98583999999999905</v>
      </c>
      <c r="AF5213">
        <v>1.2625804828993601</v>
      </c>
      <c r="AG5213">
        <v>-1.121426185172</v>
      </c>
      <c r="AH5213">
        <v>25.705283604311301</v>
      </c>
      <c r="AI5213">
        <v>92.495014339942799</v>
      </c>
      <c r="AJ5213">
        <v>87.1880317101092</v>
      </c>
      <c r="AK5213">
        <v>25.760693145617498</v>
      </c>
      <c r="AL5213">
        <v>78.146926919133406</v>
      </c>
      <c r="AM5213">
        <v>89.7423226909318</v>
      </c>
      <c r="AN5213">
        <v>1.00000005429588</v>
      </c>
    </row>
    <row r="5214" spans="1:40" x14ac:dyDescent="0.25">
      <c r="A5214" t="str">
        <f>"20190303162406597"</f>
        <v>20190303162406597</v>
      </c>
      <c r="B5214" t="str">
        <f>"1551601446590502"</f>
        <v>1551601446590502</v>
      </c>
      <c r="C5214" t="s">
        <v>40</v>
      </c>
      <c r="D5214">
        <v>5.592981</v>
      </c>
      <c r="E5214">
        <v>0.51683440000000003</v>
      </c>
      <c r="F5214" t="s">
        <v>41</v>
      </c>
      <c r="G5214">
        <v>-342.89670000000001</v>
      </c>
      <c r="H5214" s="1">
        <v>-3.57713E-6</v>
      </c>
      <c r="I5214">
        <v>16.52946</v>
      </c>
      <c r="J5214">
        <v>-371.23169999999999</v>
      </c>
      <c r="K5214">
        <v>1.1212299999999999</v>
      </c>
      <c r="L5214">
        <v>17.710450000000002</v>
      </c>
      <c r="M5214">
        <v>0.99986120000000001</v>
      </c>
      <c r="N5214">
        <v>-1.20851E-2</v>
      </c>
      <c r="O5214">
        <v>1.146987E-2</v>
      </c>
      <c r="P5214">
        <v>0.9806473</v>
      </c>
      <c r="Q5214">
        <v>0.19577069999999999</v>
      </c>
      <c r="R5214">
        <v>2.101777E-3</v>
      </c>
      <c r="S5214">
        <v>3.0822750000000001</v>
      </c>
      <c r="T5214">
        <v>-0.1194667</v>
      </c>
      <c r="U5214">
        <v>-0.125</v>
      </c>
      <c r="V5214">
        <v>9.0210180000000004E-3</v>
      </c>
      <c r="W5214">
        <v>0.20761279999999999</v>
      </c>
      <c r="X5214">
        <v>0.97816950000000003</v>
      </c>
      <c r="Y5214">
        <v>5.1924610000000003E-2</v>
      </c>
      <c r="Z5214">
        <v>-1.6252529999999999E-3</v>
      </c>
      <c r="AA5214">
        <v>0.99864969999999997</v>
      </c>
      <c r="AB5214">
        <v>29</v>
      </c>
      <c r="AC5214">
        <v>28.334999999999901</v>
      </c>
      <c r="AD5214">
        <v>-1.1212335771299999</v>
      </c>
      <c r="AE5214">
        <v>-1.18099</v>
      </c>
      <c r="AF5214">
        <v>1.5035845183841801</v>
      </c>
      <c r="AG5214">
        <v>-1.1212335771299999</v>
      </c>
      <c r="AH5214">
        <v>28.275391235800502</v>
      </c>
      <c r="AI5214">
        <v>92.267619056728506</v>
      </c>
      <c r="AJ5214">
        <v>86.956081645558598</v>
      </c>
      <c r="AK5214">
        <v>28.337531308778399</v>
      </c>
      <c r="AL5214">
        <v>78.017507348154794</v>
      </c>
      <c r="AM5214">
        <v>89.471613451848</v>
      </c>
      <c r="AN5214">
        <v>1.00000001210992</v>
      </c>
    </row>
    <row r="5215" spans="1:40" x14ac:dyDescent="0.25">
      <c r="A5215" t="str">
        <f>"20190303162406631"</f>
        <v>20190303162406631</v>
      </c>
      <c r="B5215" t="str">
        <f>"1551601446619781"</f>
        <v>1551601446619781</v>
      </c>
      <c r="C5215" t="s">
        <v>40</v>
      </c>
      <c r="D5215">
        <v>5.5842510000000001</v>
      </c>
      <c r="E5215">
        <v>0.51610259999999997</v>
      </c>
      <c r="F5215" t="s">
        <v>41</v>
      </c>
      <c r="G5215">
        <v>-341.71170000000001</v>
      </c>
      <c r="H5215" s="1">
        <v>-4.090652E-6</v>
      </c>
      <c r="I5215">
        <v>16.50055</v>
      </c>
      <c r="J5215">
        <v>-370.79770000000002</v>
      </c>
      <c r="K5215">
        <v>1.12107</v>
      </c>
      <c r="L5215">
        <v>17.715729999999901</v>
      </c>
      <c r="M5215">
        <v>0.99985930000000001</v>
      </c>
      <c r="N5215">
        <v>-1.2083959999999999E-2</v>
      </c>
      <c r="O5215">
        <v>1.163835E-2</v>
      </c>
      <c r="P5215">
        <v>0.98128459999999995</v>
      </c>
      <c r="Q5215">
        <v>0.19256090000000001</v>
      </c>
      <c r="R5215">
        <v>8.3323380000000001E-4</v>
      </c>
      <c r="S5215">
        <v>3.0828250000000001</v>
      </c>
      <c r="T5215">
        <v>-0.1170924</v>
      </c>
      <c r="U5215">
        <v>-0.12634280000000001</v>
      </c>
      <c r="V5215">
        <v>1.053172E-2</v>
      </c>
      <c r="W5215">
        <v>0.20440720000000001</v>
      </c>
      <c r="X5215">
        <v>0.97882930000000001</v>
      </c>
      <c r="Y5215">
        <v>5.2521329999999998E-2</v>
      </c>
      <c r="Z5215">
        <v>-1.615469E-3</v>
      </c>
      <c r="AA5215">
        <v>0.99861849999999996</v>
      </c>
      <c r="AB5215">
        <v>29</v>
      </c>
      <c r="AC5215">
        <v>29.085999999999999</v>
      </c>
      <c r="AD5215">
        <v>-1.121074090652</v>
      </c>
      <c r="AE5215">
        <v>-1.2151799999999899</v>
      </c>
      <c r="AF5215">
        <v>1.5513347960678601</v>
      </c>
      <c r="AG5215">
        <v>-1.121074090652</v>
      </c>
      <c r="AH5215">
        <v>29.026839047255301</v>
      </c>
      <c r="AI5215">
        <v>92.208628402466502</v>
      </c>
      <c r="AJ5215">
        <v>86.940746728750895</v>
      </c>
      <c r="AK5215">
        <v>29.089875074353401</v>
      </c>
      <c r="AL5215">
        <v>78.205200805585207</v>
      </c>
      <c r="AM5215">
        <v>89.383549488004206</v>
      </c>
      <c r="AN5215">
        <v>1.00000000953824</v>
      </c>
    </row>
    <row r="5216" spans="1:40" x14ac:dyDescent="0.25">
      <c r="A5216" t="str">
        <f>"20190303162406651"</f>
        <v>20190303162406651</v>
      </c>
      <c r="B5216" t="str">
        <f>"1551601446640277"</f>
        <v>1551601446640277</v>
      </c>
      <c r="C5216" t="s">
        <v>40</v>
      </c>
      <c r="D5216">
        <v>5.5807120000000001</v>
      </c>
      <c r="E5216">
        <v>0.51001759999999996</v>
      </c>
      <c r="F5216" t="s">
        <v>41</v>
      </c>
      <c r="G5216">
        <v>-344.69900000000001</v>
      </c>
      <c r="H5216" s="1">
        <v>-2.7795050000000002E-6</v>
      </c>
      <c r="I5216">
        <v>16.667390000000001</v>
      </c>
      <c r="J5216">
        <v>-370.5301</v>
      </c>
      <c r="K5216">
        <v>1.120987</v>
      </c>
      <c r="L5216">
        <v>17.71893</v>
      </c>
      <c r="M5216">
        <v>0.99985889999999999</v>
      </c>
      <c r="N5216">
        <v>-1.2083109999999999E-2</v>
      </c>
      <c r="O5216">
        <v>1.166093E-2</v>
      </c>
      <c r="P5216">
        <v>0.98194090000000001</v>
      </c>
      <c r="Q5216">
        <v>0.18918280000000001</v>
      </c>
      <c r="R5216">
        <v>1.332305E-3</v>
      </c>
      <c r="S5216">
        <v>3.0832820000000001</v>
      </c>
      <c r="T5216">
        <v>-0.1324427</v>
      </c>
      <c r="U5216">
        <v>-0.1238403</v>
      </c>
      <c r="V5216">
        <v>1.009405E-2</v>
      </c>
      <c r="W5216">
        <v>0.20103499999999999</v>
      </c>
      <c r="X5216">
        <v>0.97953210000000002</v>
      </c>
      <c r="Y5216">
        <v>5.1715820000000003E-2</v>
      </c>
      <c r="Z5216">
        <v>-1.7822249999999999E-3</v>
      </c>
      <c r="AA5216">
        <v>0.99866029999999995</v>
      </c>
      <c r="AB5216">
        <v>29</v>
      </c>
      <c r="AC5216">
        <v>25.8310999999999</v>
      </c>
      <c r="AD5216">
        <v>-1.1209897795049999</v>
      </c>
      <c r="AE5216">
        <v>-1.0515399999999899</v>
      </c>
      <c r="AF5216">
        <v>1.35016661461889</v>
      </c>
      <c r="AG5216">
        <v>-1.1209897795049999</v>
      </c>
      <c r="AH5216">
        <v>25.768631080898999</v>
      </c>
      <c r="AI5216">
        <v>92.487508837149093</v>
      </c>
      <c r="AJ5216">
        <v>87.000687644282806</v>
      </c>
      <c r="AK5216">
        <v>25.8283161618495</v>
      </c>
      <c r="AL5216">
        <v>78.402511029493496</v>
      </c>
      <c r="AM5216">
        <v>89.409589545362607</v>
      </c>
      <c r="AN5216">
        <v>1.0000000480004001</v>
      </c>
    </row>
    <row r="5217" spans="1:40" x14ac:dyDescent="0.25">
      <c r="A5217" t="str">
        <f>"20190303162406673"</f>
        <v>20190303162406673</v>
      </c>
      <c r="B5217" t="str">
        <f>"1551601446659798"</f>
        <v>1551601446659798</v>
      </c>
      <c r="C5217" t="s">
        <v>40</v>
      </c>
      <c r="D5217">
        <v>5.6481659999999998</v>
      </c>
      <c r="E5217">
        <v>0.50915519999999903</v>
      </c>
      <c r="F5217" t="s">
        <v>41</v>
      </c>
      <c r="G5217">
        <v>-348.26769999999999</v>
      </c>
      <c r="H5217" s="1">
        <v>-1.2218469999999999E-6</v>
      </c>
      <c r="I5217">
        <v>17.187270000000002</v>
      </c>
      <c r="J5217">
        <v>-370.24119999999999</v>
      </c>
      <c r="K5217">
        <v>1.1209229999999999</v>
      </c>
      <c r="L5217">
        <v>17.722349999999999</v>
      </c>
      <c r="M5217">
        <v>0.99985930000000001</v>
      </c>
      <c r="N5217">
        <v>-1.20821E-2</v>
      </c>
      <c r="O5217">
        <v>1.164084E-2</v>
      </c>
      <c r="P5217">
        <v>0.98252249999999997</v>
      </c>
      <c r="Q5217">
        <v>0.18613080000000001</v>
      </c>
      <c r="R5217">
        <v>2.2710970000000001E-3</v>
      </c>
      <c r="S5217">
        <v>3.0852360000000001</v>
      </c>
      <c r="T5217">
        <v>-0.1553524</v>
      </c>
      <c r="U5217">
        <v>-7.3669429999999994E-2</v>
      </c>
      <c r="V5217">
        <v>9.1645049999999999E-3</v>
      </c>
      <c r="W5217">
        <v>0.19798760000000001</v>
      </c>
      <c r="X5217">
        <v>0.98016170000000002</v>
      </c>
      <c r="Y5217">
        <v>3.5443830000000003E-2</v>
      </c>
      <c r="Z5217">
        <v>-1.5511450000000001E-3</v>
      </c>
      <c r="AA5217">
        <v>0.99937050000000005</v>
      </c>
      <c r="AB5217">
        <v>29</v>
      </c>
      <c r="AC5217">
        <v>21.973500000000001</v>
      </c>
      <c r="AD5217">
        <v>-1.1209242218469999</v>
      </c>
      <c r="AE5217">
        <v>-0.535079999999997</v>
      </c>
      <c r="AF5217">
        <v>0.78880093087312497</v>
      </c>
      <c r="AG5217">
        <v>-1.1209242218469999</v>
      </c>
      <c r="AH5217">
        <v>21.908802639521198</v>
      </c>
      <c r="AI5217">
        <v>92.926987814613994</v>
      </c>
      <c r="AJ5217">
        <v>87.938022823633901</v>
      </c>
      <c r="AK5217">
        <v>21.951635727598099</v>
      </c>
      <c r="AL5217">
        <v>78.580696238415101</v>
      </c>
      <c r="AM5217">
        <v>89.4643004749461</v>
      </c>
      <c r="AN5217">
        <v>1.00000001802627</v>
      </c>
    </row>
    <row r="5218" spans="1:40" x14ac:dyDescent="0.25">
      <c r="A5218" t="str">
        <f>"20190303162406696"</f>
        <v>20190303162406696</v>
      </c>
      <c r="B5218" t="str">
        <f>"1551601446690054"</f>
        <v>1551601446690054</v>
      </c>
      <c r="C5218" t="s">
        <v>40</v>
      </c>
      <c r="D5218">
        <v>5.4185150000000002</v>
      </c>
      <c r="E5218">
        <v>0.50941729999999996</v>
      </c>
      <c r="F5218" t="s">
        <v>41</v>
      </c>
      <c r="G5218">
        <v>-349.48509999999999</v>
      </c>
      <c r="H5218" s="1">
        <v>-7.7739450000000002E-7</v>
      </c>
      <c r="I5218">
        <v>17.300740000000001</v>
      </c>
      <c r="J5218">
        <v>-369.9425</v>
      </c>
      <c r="K5218">
        <v>1.1208819999999999</v>
      </c>
      <c r="L5218">
        <v>17.725860000000001</v>
      </c>
      <c r="M5218">
        <v>0.99985979999999997</v>
      </c>
      <c r="N5218">
        <v>-1.2081120000000001E-2</v>
      </c>
      <c r="O5218">
        <v>1.1598199999999999E-2</v>
      </c>
      <c r="P5218">
        <v>0.98305319999999996</v>
      </c>
      <c r="Q5218">
        <v>0.18330489999999999</v>
      </c>
      <c r="R5218">
        <v>2.3923640000000001E-3</v>
      </c>
      <c r="S5218">
        <v>3.085083</v>
      </c>
      <c r="T5218">
        <v>-0.16660800000000001</v>
      </c>
      <c r="U5218">
        <v>-6.2652589999999994E-2</v>
      </c>
      <c r="V5218">
        <v>9.020307E-3</v>
      </c>
      <c r="W5218">
        <v>0.1951669</v>
      </c>
      <c r="X5218">
        <v>0.98072859999999995</v>
      </c>
      <c r="Y5218">
        <v>3.1832399999999997E-2</v>
      </c>
      <c r="Z5218">
        <v>-1.537126E-3</v>
      </c>
      <c r="AA5218">
        <v>0.99949200000000005</v>
      </c>
      <c r="AB5218">
        <v>29</v>
      </c>
      <c r="AC5218">
        <v>20.4574</v>
      </c>
      <c r="AD5218">
        <v>-1.12088277739449</v>
      </c>
      <c r="AE5218">
        <v>-0.425119999999999</v>
      </c>
      <c r="AF5218">
        <v>0.66039603109751199</v>
      </c>
      <c r="AG5218">
        <v>-1.12088277739449</v>
      </c>
      <c r="AH5218">
        <v>20.389907495119999</v>
      </c>
      <c r="AI5218">
        <v>93.144875505175904</v>
      </c>
      <c r="AJ5218">
        <v>88.144931114744907</v>
      </c>
      <c r="AK5218">
        <v>20.4313687446069</v>
      </c>
      <c r="AL5218">
        <v>78.745526820372802</v>
      </c>
      <c r="AM5218">
        <v>89.473033673000998</v>
      </c>
      <c r="AN5218">
        <v>1.00000003582597</v>
      </c>
    </row>
    <row r="5219" spans="1:40" x14ac:dyDescent="0.25">
      <c r="A5219" t="str">
        <f>"20190303162406719"</f>
        <v>20190303162406719</v>
      </c>
      <c r="B5219" t="str">
        <f>"1551601446710550"</f>
        <v>1551601446710550</v>
      </c>
      <c r="C5219" t="s">
        <v>40</v>
      </c>
      <c r="D5219">
        <v>5.6453499999999996</v>
      </c>
      <c r="E5219">
        <v>0.50944780000000001</v>
      </c>
      <c r="F5219" t="s">
        <v>41</v>
      </c>
      <c r="G5219">
        <v>-350.49930000000001</v>
      </c>
      <c r="H5219" s="1">
        <v>-4.4626549999999999E-6</v>
      </c>
      <c r="I5219">
        <v>17.335519999999999</v>
      </c>
      <c r="J5219">
        <v>-369.65219999999999</v>
      </c>
      <c r="K5219">
        <v>1.1208450000000001</v>
      </c>
      <c r="L5219">
        <v>17.729189999999999</v>
      </c>
      <c r="M5219">
        <v>0.99986030000000004</v>
      </c>
      <c r="N5219">
        <v>-1.207636E-2</v>
      </c>
      <c r="O5219">
        <v>1.155634E-2</v>
      </c>
      <c r="P5219">
        <v>0.98369309999999999</v>
      </c>
      <c r="Q5219">
        <v>0.17984059999999999</v>
      </c>
      <c r="R5219">
        <v>2.343014E-3</v>
      </c>
      <c r="S5219">
        <v>3.084991</v>
      </c>
      <c r="T5219">
        <v>-0.17784710000000001</v>
      </c>
      <c r="U5219">
        <v>-6.1920169999999997E-2</v>
      </c>
      <c r="V5219">
        <v>9.040803E-3</v>
      </c>
      <c r="W5219">
        <v>0.1917055</v>
      </c>
      <c r="X5219">
        <v>0.98141089999999997</v>
      </c>
      <c r="Y5219">
        <v>3.1545570000000002E-2</v>
      </c>
      <c r="Z5219">
        <v>-1.6252829999999999E-3</v>
      </c>
      <c r="AA5219">
        <v>0.99950099999999997</v>
      </c>
      <c r="AB5219">
        <v>29</v>
      </c>
      <c r="AC5219">
        <v>19.152899999999899</v>
      </c>
      <c r="AD5219">
        <v>-1.1208494626549901</v>
      </c>
      <c r="AE5219">
        <v>-0.39366999999999602</v>
      </c>
      <c r="AF5219">
        <v>0.612899149676846</v>
      </c>
      <c r="AG5219">
        <v>-1.1208494626549901</v>
      </c>
      <c r="AH5219">
        <v>19.081749014750599</v>
      </c>
      <c r="AI5219">
        <v>93.359925181716704</v>
      </c>
      <c r="AJ5219">
        <v>88.160311943272305</v>
      </c>
      <c r="AK5219">
        <v>19.1244632433839</v>
      </c>
      <c r="AL5219">
        <v>78.947668516254794</v>
      </c>
      <c r="AM5219">
        <v>89.472203535486898</v>
      </c>
      <c r="AN5219">
        <v>1.0000000447439701</v>
      </c>
    </row>
    <row r="5220" spans="1:40" x14ac:dyDescent="0.25">
      <c r="A5220" t="str">
        <f>"20190303162406740"</f>
        <v>20190303162406740</v>
      </c>
      <c r="B5220" t="str">
        <f>"1551601446730070"</f>
        <v>1551601446730070</v>
      </c>
      <c r="C5220" t="s">
        <v>40</v>
      </c>
      <c r="D5220">
        <v>5.4339380000000004</v>
      </c>
      <c r="E5220">
        <v>0.50937080000000001</v>
      </c>
      <c r="F5220" t="s">
        <v>41</v>
      </c>
      <c r="G5220">
        <v>-351.1096</v>
      </c>
      <c r="H5220" s="1">
        <v>-4.1970249999999999E-6</v>
      </c>
      <c r="I5220">
        <v>17.3568</v>
      </c>
      <c r="J5220">
        <v>-369.38049999999998</v>
      </c>
      <c r="K5220">
        <v>1.1208320000000001</v>
      </c>
      <c r="L5220">
        <v>17.732329999999902</v>
      </c>
      <c r="M5220">
        <v>0.99986079999999999</v>
      </c>
      <c r="N5220">
        <v>-1.206754E-2</v>
      </c>
      <c r="O5220">
        <v>1.1525840000000001E-2</v>
      </c>
      <c r="P5220">
        <v>0.9839154</v>
      </c>
      <c r="Q5220">
        <v>0.17861859999999999</v>
      </c>
      <c r="R5220">
        <v>2.4651069999999998E-3</v>
      </c>
      <c r="S5220">
        <v>3.083923</v>
      </c>
      <c r="T5220">
        <v>-0.18641569999999999</v>
      </c>
      <c r="U5220">
        <v>-6.1920169999999997E-2</v>
      </c>
      <c r="V5220">
        <v>8.8923950000000009E-3</v>
      </c>
      <c r="W5220">
        <v>0.19047819999999999</v>
      </c>
      <c r="X5220">
        <v>0.9816511</v>
      </c>
      <c r="Y5220">
        <v>3.151487E-2</v>
      </c>
      <c r="Z5220">
        <v>-1.698958E-3</v>
      </c>
      <c r="AA5220">
        <v>0.9995018</v>
      </c>
      <c r="AB5220">
        <v>29</v>
      </c>
      <c r="AC5220">
        <v>18.270899999999902</v>
      </c>
      <c r="AD5220">
        <v>-1.120836197025</v>
      </c>
      <c r="AE5220">
        <v>-0.37552999999999698</v>
      </c>
      <c r="AF5220">
        <v>0.58391136426980605</v>
      </c>
      <c r="AG5220">
        <v>-1.120836197025</v>
      </c>
      <c r="AH5220">
        <v>18.196906765906199</v>
      </c>
      <c r="AI5220">
        <v>93.522864762620898</v>
      </c>
      <c r="AJ5220">
        <v>88.162095265853495</v>
      </c>
      <c r="AK5220">
        <v>18.2407412708192</v>
      </c>
      <c r="AL5220">
        <v>79.019306740320005</v>
      </c>
      <c r="AM5220">
        <v>89.480994043827096</v>
      </c>
      <c r="AN5220">
        <v>0.99999995074764103</v>
      </c>
    </row>
    <row r="5221" spans="1:40" x14ac:dyDescent="0.25">
      <c r="A5221" t="str">
        <f>"20190303162406775"</f>
        <v>20190303162406775</v>
      </c>
      <c r="B5221" t="str">
        <f>"1551601446770086"</f>
        <v>1551601446770086</v>
      </c>
      <c r="C5221" t="s">
        <v>40</v>
      </c>
      <c r="D5221">
        <v>5.5293559999999999</v>
      </c>
      <c r="E5221">
        <v>0.50910509999999998</v>
      </c>
      <c r="F5221" t="s">
        <v>41</v>
      </c>
      <c r="G5221">
        <v>-350.88490000000002</v>
      </c>
      <c r="H5221" s="1">
        <v>-4.2930630000000001E-6</v>
      </c>
      <c r="I5221">
        <v>17.35896</v>
      </c>
      <c r="J5221">
        <v>-368.93349999999998</v>
      </c>
      <c r="K5221">
        <v>1.1208119999999999</v>
      </c>
      <c r="L5221">
        <v>17.737459999999999</v>
      </c>
      <c r="M5221">
        <v>0.99986149999999996</v>
      </c>
      <c r="N5221">
        <v>-1.2041919999999999E-2</v>
      </c>
      <c r="O5221">
        <v>1.1498929999999999E-2</v>
      </c>
      <c r="P5221">
        <v>0.98431440000000003</v>
      </c>
      <c r="Q5221">
        <v>0.17640020000000001</v>
      </c>
      <c r="R5221">
        <v>2.9210899999999999E-3</v>
      </c>
      <c r="S5221">
        <v>3.0831300000000001</v>
      </c>
      <c r="T5221">
        <v>-0.18683849999999999</v>
      </c>
      <c r="U5221">
        <v>-6.2225339999999997E-2</v>
      </c>
      <c r="V5221">
        <v>8.4128090000000003E-3</v>
      </c>
      <c r="W5221">
        <v>0.18823970000000001</v>
      </c>
      <c r="X5221">
        <v>0.98208709999999999</v>
      </c>
      <c r="Y5221">
        <v>3.159149E-2</v>
      </c>
      <c r="Z5221">
        <v>-1.7044789999999901E-3</v>
      </c>
      <c r="AA5221">
        <v>0.99949940000000004</v>
      </c>
      <c r="AB5221">
        <v>29</v>
      </c>
      <c r="AC5221">
        <v>18.048599999999901</v>
      </c>
      <c r="AD5221">
        <v>-1.1208162930629999</v>
      </c>
      <c r="AE5221">
        <v>-0.378500000000002</v>
      </c>
      <c r="AF5221">
        <v>0.58377928723735295</v>
      </c>
      <c r="AG5221">
        <v>-1.1208162930629999</v>
      </c>
      <c r="AH5221">
        <v>17.973770347142199</v>
      </c>
      <c r="AI5221">
        <v>93.566379348400005</v>
      </c>
      <c r="AJ5221">
        <v>88.139715015408797</v>
      </c>
      <c r="AK5221">
        <v>18.0181421881062</v>
      </c>
      <c r="AL5221">
        <v>79.149927279387398</v>
      </c>
      <c r="AM5221">
        <v>89.509201719705104</v>
      </c>
      <c r="AN5221">
        <v>1.00000001599888</v>
      </c>
    </row>
    <row r="5222" spans="1:40" x14ac:dyDescent="0.25">
      <c r="A5222" t="str">
        <f>"20190303162406787"</f>
        <v>20190303162406787</v>
      </c>
      <c r="B5222" t="str">
        <f>"1551601446779846"</f>
        <v>1551601446779846</v>
      </c>
      <c r="C5222" t="s">
        <v>40</v>
      </c>
      <c r="D5222">
        <v>5.5919179999999997</v>
      </c>
      <c r="E5222">
        <v>0.50915719999999998</v>
      </c>
      <c r="F5222" t="s">
        <v>41</v>
      </c>
      <c r="G5222">
        <v>-350.46609999999998</v>
      </c>
      <c r="H5222" s="1">
        <v>-4.4692469999999997E-6</v>
      </c>
      <c r="I5222">
        <v>17.378540000000001</v>
      </c>
      <c r="J5222">
        <v>-368.76670000000001</v>
      </c>
      <c r="K5222">
        <v>1.1208070000000001</v>
      </c>
      <c r="L5222">
        <v>17.739380000000001</v>
      </c>
      <c r="M5222">
        <v>0.99986149999999996</v>
      </c>
      <c r="N5222">
        <v>-1.203097E-2</v>
      </c>
      <c r="O5222">
        <v>1.14945E-2</v>
      </c>
      <c r="P5222">
        <v>0.98437490000000005</v>
      </c>
      <c r="Q5222">
        <v>0.17605950000000001</v>
      </c>
      <c r="R5222">
        <v>2.9687070000000001E-3</v>
      </c>
      <c r="S5222">
        <v>3.081512</v>
      </c>
      <c r="T5222">
        <v>-0.1870221</v>
      </c>
      <c r="U5222">
        <v>-5.9875490000000003E-2</v>
      </c>
      <c r="V5222">
        <v>8.3606879999999998E-3</v>
      </c>
      <c r="W5222">
        <v>0.18788850000000001</v>
      </c>
      <c r="X5222">
        <v>0.98215479999999999</v>
      </c>
      <c r="Y5222">
        <v>3.0837179999999999E-2</v>
      </c>
      <c r="Z5222">
        <v>-1.6793029999999901E-3</v>
      </c>
      <c r="AA5222">
        <v>0.99952300000000005</v>
      </c>
      <c r="AB5222">
        <v>29</v>
      </c>
      <c r="AC5222">
        <v>18.300599999999999</v>
      </c>
      <c r="AD5222">
        <v>-1.1208114692469999</v>
      </c>
      <c r="AE5222">
        <v>-0.36083999999999899</v>
      </c>
      <c r="AF5222">
        <v>0.56905401197950101</v>
      </c>
      <c r="AG5222">
        <v>-1.1208114692469999</v>
      </c>
      <c r="AH5222">
        <v>18.226902279551901</v>
      </c>
      <c r="AI5222">
        <v>93.517100735699998</v>
      </c>
      <c r="AJ5222">
        <v>88.211774799994899</v>
      </c>
      <c r="AK5222">
        <v>18.2701945125518</v>
      </c>
      <c r="AL5222">
        <v>79.170415174269706</v>
      </c>
      <c r="AM5222">
        <v>89.512275900073902</v>
      </c>
      <c r="AN5222">
        <v>1.00000002034956</v>
      </c>
    </row>
    <row r="5223" spans="1:40" x14ac:dyDescent="0.25">
      <c r="A5223" t="str">
        <f>"20190303162406799"</f>
        <v>20190303162406799</v>
      </c>
      <c r="B5223" t="str">
        <f>"1551601446790582"</f>
        <v>1551601446790582</v>
      </c>
      <c r="C5223" t="s">
        <v>40</v>
      </c>
      <c r="D5223">
        <v>5.417421</v>
      </c>
      <c r="E5223">
        <v>0.50921649999999996</v>
      </c>
      <c r="F5223" t="s">
        <v>41</v>
      </c>
      <c r="G5223">
        <v>-350.16419999999999</v>
      </c>
      <c r="H5223" s="1">
        <v>-4.5993680000000003E-6</v>
      </c>
      <c r="I5223">
        <v>17.37519</v>
      </c>
      <c r="J5223">
        <v>-368.61</v>
      </c>
      <c r="K5223">
        <v>1.1208039999999999</v>
      </c>
      <c r="L5223">
        <v>17.74118</v>
      </c>
      <c r="M5223">
        <v>0.99986180000000002</v>
      </c>
      <c r="N5223">
        <v>-1.202074E-2</v>
      </c>
      <c r="O5223">
        <v>1.1492560000000001E-2</v>
      </c>
      <c r="P5223">
        <v>0.98436069999999998</v>
      </c>
      <c r="Q5223">
        <v>0.1761315</v>
      </c>
      <c r="R5223">
        <v>3.427126E-3</v>
      </c>
      <c r="S5223">
        <v>3.0809630000000001</v>
      </c>
      <c r="T5223">
        <v>-0.18562970000000001</v>
      </c>
      <c r="U5223">
        <v>-6.0302729999999999E-2</v>
      </c>
      <c r="V5223">
        <v>7.8994670000000003E-3</v>
      </c>
      <c r="W5223">
        <v>0.1879507</v>
      </c>
      <c r="X5223">
        <v>0.98214670000000004</v>
      </c>
      <c r="Y5223">
        <v>3.097811E-2</v>
      </c>
      <c r="Z5223">
        <v>-1.672415E-3</v>
      </c>
      <c r="AA5223">
        <v>0.99951869999999998</v>
      </c>
      <c r="AB5223">
        <v>29</v>
      </c>
      <c r="AC5223">
        <v>18.445799999999998</v>
      </c>
      <c r="AD5223">
        <v>-1.1208085993679999</v>
      </c>
      <c r="AE5223">
        <v>-0.36598999999999998</v>
      </c>
      <c r="AF5223">
        <v>0.57584537114841405</v>
      </c>
      <c r="AG5223">
        <v>-1.1208085993679999</v>
      </c>
      <c r="AH5223">
        <v>18.372569362943899</v>
      </c>
      <c r="AI5223">
        <v>93.489262344948699</v>
      </c>
      <c r="AJ5223">
        <v>88.204785010524603</v>
      </c>
      <c r="AK5223">
        <v>18.415730091529699</v>
      </c>
      <c r="AL5223">
        <v>79.166786552236999</v>
      </c>
      <c r="AM5223">
        <v>89.539176418291802</v>
      </c>
      <c r="AN5223">
        <v>1.00000000376513</v>
      </c>
    </row>
    <row r="5224" spans="1:40" x14ac:dyDescent="0.25">
      <c r="A5224" t="str">
        <f>"20190303162406832"</f>
        <v>20190303162406832</v>
      </c>
      <c r="B5224" t="str">
        <f>"1551601446819862"</f>
        <v>1551601446819862</v>
      </c>
      <c r="C5224" t="s">
        <v>40</v>
      </c>
      <c r="D5224">
        <v>5.3923420000000002</v>
      </c>
      <c r="E5224">
        <v>0.50925010000000004</v>
      </c>
      <c r="F5224" t="s">
        <v>41</v>
      </c>
      <c r="G5224">
        <v>-349.67610000000002</v>
      </c>
      <c r="H5224" s="1">
        <v>-6.9202449999999898E-7</v>
      </c>
      <c r="I5224">
        <v>17.377210000000002</v>
      </c>
      <c r="J5224">
        <v>-368.19529999999997</v>
      </c>
      <c r="K5224">
        <v>1.120803</v>
      </c>
      <c r="L5224">
        <v>17.745940000000001</v>
      </c>
      <c r="M5224">
        <v>0.99986209999999998</v>
      </c>
      <c r="N5224">
        <v>-1.199545E-2</v>
      </c>
      <c r="O5224">
        <v>1.1493969999999999E-2</v>
      </c>
      <c r="P5224">
        <v>0.98439019999999999</v>
      </c>
      <c r="Q5224">
        <v>0.175928</v>
      </c>
      <c r="R5224">
        <v>5.0798919999999999E-3</v>
      </c>
      <c r="S5224">
        <v>3.080505</v>
      </c>
      <c r="T5224">
        <v>-0.18235280000000001</v>
      </c>
      <c r="U5224">
        <v>-5.9204100000000003E-2</v>
      </c>
      <c r="V5224">
        <v>6.2462259999999997E-3</v>
      </c>
      <c r="W5224">
        <v>0.18772320000000001</v>
      </c>
      <c r="X5224">
        <v>0.98220209999999997</v>
      </c>
      <c r="Y5224">
        <v>3.062954E-2</v>
      </c>
      <c r="Z5224">
        <v>-1.6315909999999999E-3</v>
      </c>
      <c r="AA5224">
        <v>0.99952949999999996</v>
      </c>
      <c r="AB5224">
        <v>29</v>
      </c>
      <c r="AC5224">
        <v>18.519199999999898</v>
      </c>
      <c r="AD5224">
        <v>-1.1208036920244999</v>
      </c>
      <c r="AE5224">
        <v>-0.368729999999999</v>
      </c>
      <c r="AF5224">
        <v>0.57945845409256702</v>
      </c>
      <c r="AG5224">
        <v>-1.1208036920244999</v>
      </c>
      <c r="AH5224">
        <v>18.446199816810999</v>
      </c>
      <c r="AI5224">
        <v>93.475345827421194</v>
      </c>
      <c r="AJ5224">
        <v>88.200734578757604</v>
      </c>
      <c r="AK5224">
        <v>18.489301249581999</v>
      </c>
      <c r="AL5224">
        <v>79.180057414543001</v>
      </c>
      <c r="AM5224">
        <v>89.635637550258593</v>
      </c>
      <c r="AN5224">
        <v>0.99999999020094599</v>
      </c>
    </row>
    <row r="5225" spans="1:40" x14ac:dyDescent="0.25">
      <c r="A5225" t="str">
        <f>"20190303162406854"</f>
        <v>20190303162406854</v>
      </c>
      <c r="B5225" t="str">
        <f>"1551601446840358"</f>
        <v>1551601446840358</v>
      </c>
      <c r="C5225" t="s">
        <v>40</v>
      </c>
      <c r="D5225">
        <v>5.5944830000000003</v>
      </c>
      <c r="E5225">
        <v>0.50947480000000001</v>
      </c>
      <c r="F5225" t="s">
        <v>41</v>
      </c>
      <c r="G5225">
        <v>-348.88780000000003</v>
      </c>
      <c r="H5225" s="1">
        <v>-9.5450409999999997E-7</v>
      </c>
      <c r="I5225">
        <v>17.399000000000001</v>
      </c>
      <c r="J5225">
        <v>-367.90120000000002</v>
      </c>
      <c r="K5225">
        <v>1.1208100000000001</v>
      </c>
      <c r="L5225">
        <v>17.74933</v>
      </c>
      <c r="M5225">
        <v>0.99986220000000003</v>
      </c>
      <c r="N5225">
        <v>-1.1978819999999999E-2</v>
      </c>
      <c r="O5225">
        <v>1.149709E-2</v>
      </c>
      <c r="P5225">
        <v>0.98430200000000001</v>
      </c>
      <c r="Q5225">
        <v>0.1763826</v>
      </c>
      <c r="R5225">
        <v>6.2172069999999998E-3</v>
      </c>
      <c r="S5225">
        <v>3.0798030000000001</v>
      </c>
      <c r="T5225">
        <v>-0.17878329999999901</v>
      </c>
      <c r="U5225">
        <v>-5.5328370000000002E-2</v>
      </c>
      <c r="V5225">
        <v>5.1100119999999997E-3</v>
      </c>
      <c r="W5225">
        <v>0.18816060000000001</v>
      </c>
      <c r="X5225">
        <v>0.98212500000000003</v>
      </c>
      <c r="Y5225">
        <v>2.938501E-2</v>
      </c>
      <c r="Z5225">
        <v>-1.5574930000000001E-3</v>
      </c>
      <c r="AA5225">
        <v>0.99956699999999998</v>
      </c>
      <c r="AB5225">
        <v>29</v>
      </c>
      <c r="AC5225">
        <v>19.013399999999901</v>
      </c>
      <c r="AD5225">
        <v>-1.1208109545041001</v>
      </c>
      <c r="AE5225">
        <v>-0.35032999999999898</v>
      </c>
      <c r="AF5225">
        <v>0.56695184278106203</v>
      </c>
      <c r="AG5225">
        <v>-1.1208109545041001</v>
      </c>
      <c r="AH5225">
        <v>18.942314347565901</v>
      </c>
      <c r="AI5225">
        <v>93.384713471467805</v>
      </c>
      <c r="AJ5225">
        <v>88.285623797247098</v>
      </c>
      <c r="AK5225">
        <v>18.983912253004402</v>
      </c>
      <c r="AL5225">
        <v>79.154541874108304</v>
      </c>
      <c r="AM5225">
        <v>89.701891837699506</v>
      </c>
      <c r="AN5225">
        <v>1.0000000196199901</v>
      </c>
    </row>
    <row r="5226" spans="1:40" x14ac:dyDescent="0.25">
      <c r="A5226" t="str">
        <f>"20190303162406875"</f>
        <v>20190303162406875</v>
      </c>
      <c r="B5226" t="str">
        <f>"1551601446859878"</f>
        <v>1551601446859878</v>
      </c>
      <c r="C5226" t="s">
        <v>40</v>
      </c>
      <c r="D5226">
        <v>5.5978919999999999</v>
      </c>
      <c r="E5226">
        <v>0.50954469999999996</v>
      </c>
      <c r="F5226" t="s">
        <v>41</v>
      </c>
      <c r="G5226">
        <v>-348.0797</v>
      </c>
      <c r="H5226" s="1">
        <v>-1.227518E-6</v>
      </c>
      <c r="I5226">
        <v>17.406459999999999</v>
      </c>
      <c r="J5226">
        <v>-367.63529999999997</v>
      </c>
      <c r="K5226">
        <v>1.1208199999999999</v>
      </c>
      <c r="L5226">
        <v>17.752379999999999</v>
      </c>
      <c r="M5226">
        <v>0.99986240000000004</v>
      </c>
      <c r="N5226">
        <v>-1.196491E-2</v>
      </c>
      <c r="O5226">
        <v>1.1499769999999999E-2</v>
      </c>
      <c r="P5226">
        <v>0.98416939999999997</v>
      </c>
      <c r="Q5226">
        <v>0.17710780000000001</v>
      </c>
      <c r="R5226">
        <v>6.6168829999999996E-3</v>
      </c>
      <c r="S5226">
        <v>3.0793759999999999</v>
      </c>
      <c r="T5226">
        <v>-0.17412359999999999</v>
      </c>
      <c r="U5226">
        <v>-5.3253170000000002E-2</v>
      </c>
      <c r="V5226">
        <v>4.710306E-3</v>
      </c>
      <c r="W5226">
        <v>0.1888705</v>
      </c>
      <c r="X5226">
        <v>0.98199069999999999</v>
      </c>
      <c r="Y5226">
        <v>2.8721630000000001E-2</v>
      </c>
      <c r="Z5226">
        <v>-1.495529E-3</v>
      </c>
      <c r="AA5226">
        <v>0.99958630000000004</v>
      </c>
      <c r="AB5226">
        <v>29</v>
      </c>
      <c r="AC5226">
        <v>19.555599999999899</v>
      </c>
      <c r="AD5226">
        <v>-1.1208212275180001</v>
      </c>
      <c r="AE5226">
        <v>-0.34591999999999901</v>
      </c>
      <c r="AF5226">
        <v>0.56892977067182804</v>
      </c>
      <c r="AG5226">
        <v>-1.1208212275180001</v>
      </c>
      <c r="AH5226">
        <v>19.4863365653672</v>
      </c>
      <c r="AI5226">
        <v>93.290530462801897</v>
      </c>
      <c r="AJ5226">
        <v>88.327647833440807</v>
      </c>
      <c r="AK5226">
        <v>19.526833692301</v>
      </c>
      <c r="AL5226">
        <v>79.113124719769104</v>
      </c>
      <c r="AM5226">
        <v>89.725171955073506</v>
      </c>
      <c r="AN5226">
        <v>0.99999999381967597</v>
      </c>
    </row>
    <row r="5227" spans="1:40" x14ac:dyDescent="0.25">
      <c r="A5227" t="str">
        <f>"20190303162406888"</f>
        <v>20190303162406888</v>
      </c>
      <c r="B5227" t="str">
        <f>"1551601446880374"</f>
        <v>1551601446880374</v>
      </c>
      <c r="C5227" t="s">
        <v>40</v>
      </c>
      <c r="D5227">
        <v>5.5954629999999996</v>
      </c>
      <c r="E5227">
        <v>0.50977680000000003</v>
      </c>
      <c r="F5227" t="s">
        <v>41</v>
      </c>
      <c r="G5227">
        <v>-347.13709999999998</v>
      </c>
      <c r="H5227" s="1">
        <v>-1.6025399999999999E-6</v>
      </c>
      <c r="I5227">
        <v>17.406079999999999</v>
      </c>
      <c r="J5227">
        <v>-367.4692</v>
      </c>
      <c r="K5227">
        <v>1.120822</v>
      </c>
      <c r="L5227">
        <v>17.754300000000001</v>
      </c>
      <c r="M5227">
        <v>0.99986240000000004</v>
      </c>
      <c r="N5227">
        <v>-1.195682E-2</v>
      </c>
      <c r="O5227">
        <v>1.150115E-2</v>
      </c>
      <c r="P5227">
        <v>0.98409709999999995</v>
      </c>
      <c r="Q5227">
        <v>0.17748369999999999</v>
      </c>
      <c r="R5227">
        <v>7.2552210000000001E-3</v>
      </c>
      <c r="S5227">
        <v>3.0788880000000001</v>
      </c>
      <c r="T5227">
        <v>-0.16835029999999901</v>
      </c>
      <c r="U5227">
        <v>-5.2001949999999998E-2</v>
      </c>
      <c r="V5227">
        <v>4.0721830000000001E-3</v>
      </c>
      <c r="W5227">
        <v>0.18923760000000001</v>
      </c>
      <c r="X5227">
        <v>0.98192290000000004</v>
      </c>
      <c r="Y5227">
        <v>2.8324599999999998E-2</v>
      </c>
      <c r="Z5227">
        <v>-1.4341849999999999E-3</v>
      </c>
      <c r="AA5227">
        <v>0.99959770000000003</v>
      </c>
      <c r="AB5227">
        <v>29</v>
      </c>
      <c r="AC5227">
        <v>20.332100000000001</v>
      </c>
      <c r="AD5227">
        <v>-1.12082360254</v>
      </c>
      <c r="AE5227">
        <v>-0.34822000000000097</v>
      </c>
      <c r="AF5227">
        <v>0.580293297159717</v>
      </c>
      <c r="AG5227">
        <v>-1.12082360254</v>
      </c>
      <c r="AH5227">
        <v>20.2651849056084</v>
      </c>
      <c r="AI5227">
        <v>93.164386100599899</v>
      </c>
      <c r="AJ5227">
        <v>88.359784331505793</v>
      </c>
      <c r="AK5227">
        <v>20.304450377127601</v>
      </c>
      <c r="AL5227">
        <v>79.091705426410698</v>
      </c>
      <c r="AM5227">
        <v>89.762387085878103</v>
      </c>
      <c r="AN5227">
        <v>1.0000000167362699</v>
      </c>
    </row>
    <row r="5228" spans="1:40" x14ac:dyDescent="0.25">
      <c r="A5228" t="str">
        <f>"20190303162406909"</f>
        <v>20190303162406909</v>
      </c>
      <c r="B5228" t="str">
        <f>"1551601446899894"</f>
        <v>1551601446899894</v>
      </c>
      <c r="C5228" t="s">
        <v>40</v>
      </c>
      <c r="D5228">
        <v>5.426196</v>
      </c>
      <c r="E5228">
        <v>0.5099281</v>
      </c>
      <c r="F5228" t="s">
        <v>41</v>
      </c>
      <c r="G5228">
        <v>-346.51010000000002</v>
      </c>
      <c r="H5228" s="1">
        <v>-1.8722080000000001E-6</v>
      </c>
      <c r="I5228">
        <v>17.402249999999999</v>
      </c>
      <c r="J5228">
        <v>-367.19319999999999</v>
      </c>
      <c r="K5228">
        <v>1.120819</v>
      </c>
      <c r="L5228">
        <v>17.75751</v>
      </c>
      <c r="M5228">
        <v>0.99986260000000005</v>
      </c>
      <c r="N5228">
        <v>-1.194462E-2</v>
      </c>
      <c r="O5228">
        <v>1.150261E-2</v>
      </c>
      <c r="P5228">
        <v>0.98403379999999996</v>
      </c>
      <c r="Q5228">
        <v>0.17776</v>
      </c>
      <c r="R5228">
        <v>8.8934940000000001E-3</v>
      </c>
      <c r="S5228">
        <v>3.078522</v>
      </c>
      <c r="T5228">
        <v>-0.16462869999999999</v>
      </c>
      <c r="U5228">
        <v>-5.1696779999999998E-2</v>
      </c>
      <c r="V5228">
        <v>2.434262E-3</v>
      </c>
      <c r="W5228">
        <v>0.1895017</v>
      </c>
      <c r="X5228">
        <v>0.98187740000000001</v>
      </c>
      <c r="Y5228">
        <v>2.823179E-2</v>
      </c>
      <c r="Z5228">
        <v>-1.4003819999999999E-3</v>
      </c>
      <c r="AA5228">
        <v>0.99960039999999994</v>
      </c>
      <c r="AB5228">
        <v>29</v>
      </c>
      <c r="AC5228">
        <v>20.6830999999999</v>
      </c>
      <c r="AD5228">
        <v>-1.120820872208</v>
      </c>
      <c r="AE5228">
        <v>-0.35526000000000102</v>
      </c>
      <c r="AF5228">
        <v>0.59142681876077097</v>
      </c>
      <c r="AG5228">
        <v>-1.120820872208</v>
      </c>
      <c r="AH5228">
        <v>20.6171188931208</v>
      </c>
      <c r="AI5228">
        <v>93.110464936270603</v>
      </c>
      <c r="AJ5228">
        <v>88.356852361969004</v>
      </c>
      <c r="AK5228">
        <v>20.656030997328799</v>
      </c>
      <c r="AL5228">
        <v>79.076294852243194</v>
      </c>
      <c r="AM5228">
        <v>89.857953087545894</v>
      </c>
      <c r="AN5228">
        <v>1.00000002428256</v>
      </c>
    </row>
    <row r="5229" spans="1:40" x14ac:dyDescent="0.25">
      <c r="A5229" t="str">
        <f>"20190303162406923"</f>
        <v>20190303162406923</v>
      </c>
      <c r="B5229" t="str">
        <f>"1551601446910630"</f>
        <v>1551601446910630</v>
      </c>
      <c r="C5229" t="s">
        <v>40</v>
      </c>
      <c r="D5229">
        <v>5.1935250000000002</v>
      </c>
      <c r="E5229">
        <v>0.51005739999999999</v>
      </c>
      <c r="F5229" t="s">
        <v>41</v>
      </c>
      <c r="G5229">
        <v>-345.97230000000002</v>
      </c>
      <c r="H5229" s="1">
        <v>-2.0989419999999998E-6</v>
      </c>
      <c r="I5229">
        <v>17.424620000000001</v>
      </c>
      <c r="J5229">
        <v>-367.01490000000001</v>
      </c>
      <c r="K5229">
        <v>1.1208180000000001</v>
      </c>
      <c r="L5229">
        <v>17.759550000000001</v>
      </c>
      <c r="M5229">
        <v>0.99986269999999999</v>
      </c>
      <c r="N5229">
        <v>-1.1937410000000001E-2</v>
      </c>
      <c r="O5229">
        <v>1.1503319999999999E-2</v>
      </c>
      <c r="P5229">
        <v>0.9840236</v>
      </c>
      <c r="Q5229">
        <v>0.17777390000000001</v>
      </c>
      <c r="R5229">
        <v>9.7196260000000003E-3</v>
      </c>
      <c r="S5229">
        <v>3.0784910000000001</v>
      </c>
      <c r="T5229">
        <v>-0.16259570000000001</v>
      </c>
      <c r="U5229">
        <v>-4.8278809999999998E-2</v>
      </c>
      <c r="V5229">
        <v>1.6084210000000001E-3</v>
      </c>
      <c r="W5229">
        <v>0.1895087</v>
      </c>
      <c r="X5229">
        <v>0.98187769999999996</v>
      </c>
      <c r="Y5229">
        <v>2.712641E-2</v>
      </c>
      <c r="Z5229">
        <v>-1.3477529999999999E-3</v>
      </c>
      <c r="AA5229">
        <v>0.99963109999999999</v>
      </c>
      <c r="AB5229">
        <v>29</v>
      </c>
      <c r="AC5229">
        <v>21.0426</v>
      </c>
      <c r="AD5229">
        <v>-1.1208200989420001</v>
      </c>
      <c r="AE5229">
        <v>-0.33492999999999901</v>
      </c>
      <c r="AF5229">
        <v>0.57535290224047098</v>
      </c>
      <c r="AG5229">
        <v>-1.1208200989420001</v>
      </c>
      <c r="AH5229">
        <v>20.977853457857499</v>
      </c>
      <c r="AI5229">
        <v>93.057185449406404</v>
      </c>
      <c r="AJ5229">
        <v>88.428960757357402</v>
      </c>
      <c r="AK5229">
        <v>21.0156514140212</v>
      </c>
      <c r="AL5229">
        <v>79.075885847072897</v>
      </c>
      <c r="AM5229">
        <v>89.906143450910093</v>
      </c>
      <c r="AN5229">
        <v>0.99999997607554603</v>
      </c>
    </row>
    <row r="5230" spans="1:40" x14ac:dyDescent="0.25">
      <c r="A5230" t="str">
        <f>"20190303162406941"</f>
        <v>20190303162406941</v>
      </c>
      <c r="B5230" t="str">
        <f>"1551601446930150"</f>
        <v>1551601446930150</v>
      </c>
      <c r="C5230" t="s">
        <v>40</v>
      </c>
      <c r="D5230">
        <v>5.5940989999999999</v>
      </c>
      <c r="E5230">
        <v>0.5101715</v>
      </c>
      <c r="F5230" t="s">
        <v>41</v>
      </c>
      <c r="G5230">
        <v>-345.68689999999998</v>
      </c>
      <c r="H5230" s="1">
        <v>-2.219917E-6</v>
      </c>
      <c r="I5230">
        <v>17.4328</v>
      </c>
      <c r="J5230">
        <v>-366.76729999999998</v>
      </c>
      <c r="K5230">
        <v>1.1208129999999901</v>
      </c>
      <c r="L5230">
        <v>17.762419999999999</v>
      </c>
      <c r="M5230">
        <v>0.99986269999999999</v>
      </c>
      <c r="N5230">
        <v>-1.1928329999999999E-2</v>
      </c>
      <c r="O5230">
        <v>1.1504210000000001E-2</v>
      </c>
      <c r="P5230">
        <v>0.98412339999999998</v>
      </c>
      <c r="Q5230">
        <v>0.17716589999999999</v>
      </c>
      <c r="R5230">
        <v>1.0655370000000001E-2</v>
      </c>
      <c r="S5230">
        <v>3.0783999999999998</v>
      </c>
      <c r="T5230">
        <v>-0.161774799999999</v>
      </c>
      <c r="U5230">
        <v>-4.7149660000000003E-2</v>
      </c>
      <c r="V5230">
        <v>6.747109E-4</v>
      </c>
      <c r="W5230">
        <v>0.18889300000000001</v>
      </c>
      <c r="X5230">
        <v>0.98199740000000002</v>
      </c>
      <c r="Y5230">
        <v>2.6762359999999999E-2</v>
      </c>
      <c r="Z5230">
        <v>-1.32940799999999E-3</v>
      </c>
      <c r="AA5230">
        <v>0.99964090000000005</v>
      </c>
      <c r="AB5230">
        <v>29</v>
      </c>
      <c r="AC5230">
        <v>21.080400000000001</v>
      </c>
      <c r="AD5230">
        <v>-1.1208152199169901</v>
      </c>
      <c r="AE5230">
        <v>-0.32962000000000202</v>
      </c>
      <c r="AF5230">
        <v>0.57051638310813402</v>
      </c>
      <c r="AG5230">
        <v>-1.1208152199169901</v>
      </c>
      <c r="AH5230">
        <v>21.015817427056199</v>
      </c>
      <c r="AI5230">
        <v>93.051683221453402</v>
      </c>
      <c r="AJ5230">
        <v>88.444973430065403</v>
      </c>
      <c r="AK5230">
        <v>21.053415348298</v>
      </c>
      <c r="AL5230">
        <v>79.111811530178699</v>
      </c>
      <c r="AM5230">
        <v>89.9606332146314</v>
      </c>
      <c r="AN5230">
        <v>0.99999995714527801</v>
      </c>
    </row>
    <row r="5231" spans="1:40" x14ac:dyDescent="0.25">
      <c r="A5231" t="str">
        <f>"20190303162406956"</f>
        <v>20190303162406956</v>
      </c>
      <c r="B5231" t="str">
        <f>"1551601446950647"</f>
        <v>1551601446950647</v>
      </c>
      <c r="C5231" t="s">
        <v>40</v>
      </c>
      <c r="D5231">
        <v>5.4518050000000002</v>
      </c>
      <c r="E5231">
        <v>0.51041009999999998</v>
      </c>
      <c r="F5231" t="s">
        <v>41</v>
      </c>
      <c r="G5231">
        <v>-345.54759999999999</v>
      </c>
      <c r="H5231" s="1">
        <v>-2.2773190000000001E-6</v>
      </c>
      <c r="I5231">
        <v>17.44614</v>
      </c>
      <c r="J5231">
        <v>-366.59160000000003</v>
      </c>
      <c r="K5231">
        <v>1.120808</v>
      </c>
      <c r="L5231">
        <v>17.764429999999901</v>
      </c>
      <c r="M5231">
        <v>0.99986280000000005</v>
      </c>
      <c r="N5231">
        <v>-1.1922530000000001E-2</v>
      </c>
      <c r="O5231">
        <v>1.14968E-2</v>
      </c>
      <c r="P5231">
        <v>0.9841512</v>
      </c>
      <c r="Q5231">
        <v>0.17700009999999999</v>
      </c>
      <c r="R5231">
        <v>1.0840829999999999E-2</v>
      </c>
      <c r="S5231">
        <v>3.0781860000000001</v>
      </c>
      <c r="T5231">
        <v>-0.1625885</v>
      </c>
      <c r="U5231">
        <v>-4.586792E-2</v>
      </c>
      <c r="V5231">
        <v>4.8385939999999998E-4</v>
      </c>
      <c r="W5231">
        <v>0.188722</v>
      </c>
      <c r="X5231">
        <v>0.98203050000000003</v>
      </c>
      <c r="Y5231">
        <v>2.634005E-2</v>
      </c>
      <c r="Z5231">
        <v>-1.3220899999999999E-3</v>
      </c>
      <c r="AA5231">
        <v>0.99965210000000004</v>
      </c>
      <c r="AB5231">
        <v>29</v>
      </c>
      <c r="AC5231">
        <v>21.044</v>
      </c>
      <c r="AD5231">
        <v>-1.1208102773190001</v>
      </c>
      <c r="AE5231">
        <v>-0.31828999999999702</v>
      </c>
      <c r="AF5231">
        <v>0.558640512552805</v>
      </c>
      <c r="AG5231">
        <v>-1.1208102773190001</v>
      </c>
      <c r="AH5231">
        <v>20.979451413416299</v>
      </c>
      <c r="AI5231">
        <v>93.056992111732697</v>
      </c>
      <c r="AJ5231">
        <v>88.474689295023794</v>
      </c>
      <c r="AK5231">
        <v>21.016795105531799</v>
      </c>
      <c r="AL5231">
        <v>79.121789743916807</v>
      </c>
      <c r="AM5231">
        <v>89.971769614839502</v>
      </c>
      <c r="AN5231">
        <v>1.00000006516708</v>
      </c>
    </row>
    <row r="5232" spans="1:40" x14ac:dyDescent="0.25">
      <c r="A5232" t="str">
        <f>"20190303162406988"</f>
        <v>20190303162406988</v>
      </c>
      <c r="B5232" t="str">
        <f>"1551601446979926"</f>
        <v>1551601446979926</v>
      </c>
      <c r="C5232" t="s">
        <v>40</v>
      </c>
      <c r="D5232">
        <v>5.5958690000000004</v>
      </c>
      <c r="E5232">
        <v>0.51066990000000001</v>
      </c>
      <c r="F5232" t="s">
        <v>41</v>
      </c>
      <c r="G5232">
        <v>-345.2903</v>
      </c>
      <c r="H5232" s="1">
        <v>-2.38994E-6</v>
      </c>
      <c r="I5232">
        <v>17.433389999999999</v>
      </c>
      <c r="J5232">
        <v>-366.16800000000001</v>
      </c>
      <c r="K5232">
        <v>1.1207860000000001</v>
      </c>
      <c r="L5232">
        <v>17.769289999999899</v>
      </c>
      <c r="M5232">
        <v>0.99986390000000003</v>
      </c>
      <c r="N5232">
        <v>-1.191013E-2</v>
      </c>
      <c r="O5232">
        <v>1.1424749999999999E-2</v>
      </c>
      <c r="P5232">
        <v>0.98407109999999998</v>
      </c>
      <c r="Q5232">
        <v>0.17741470000000001</v>
      </c>
      <c r="R5232">
        <v>1.1328100000000001E-2</v>
      </c>
      <c r="S5232">
        <v>3.0779109999999998</v>
      </c>
      <c r="T5232">
        <v>-0.16195090000000001</v>
      </c>
      <c r="U5232">
        <v>-4.7821040000000002E-2</v>
      </c>
      <c r="V5232" s="1">
        <v>-6.1799119999999896E-5</v>
      </c>
      <c r="W5232">
        <v>0.18912380000000001</v>
      </c>
      <c r="X5232">
        <v>0.98195330000000003</v>
      </c>
      <c r="Y5232">
        <v>2.690304E-2</v>
      </c>
      <c r="Z5232">
        <v>-1.3323059999999999E-3</v>
      </c>
      <c r="AA5232">
        <v>0.9996372</v>
      </c>
      <c r="AB5232">
        <v>29</v>
      </c>
      <c r="AC5232">
        <v>20.877700000000001</v>
      </c>
      <c r="AD5232">
        <v>-1.12078838994</v>
      </c>
      <c r="AE5232">
        <v>-0.33589999999999798</v>
      </c>
      <c r="AF5232">
        <v>0.57276723128294804</v>
      </c>
      <c r="AG5232">
        <v>-1.12078838994</v>
      </c>
      <c r="AH5232">
        <v>20.812534845925398</v>
      </c>
      <c r="AI5232">
        <v>93.081327828947707</v>
      </c>
      <c r="AJ5232">
        <v>88.423600771002398</v>
      </c>
      <c r="AK5232">
        <v>20.8505595999032</v>
      </c>
      <c r="AL5232">
        <v>79.098345953338494</v>
      </c>
      <c r="AM5232">
        <v>90.003605903405898</v>
      </c>
      <c r="AN5232">
        <v>1.00000004946322</v>
      </c>
    </row>
    <row r="5233" spans="1:40" x14ac:dyDescent="0.25">
      <c r="A5233" t="str">
        <f>"20190303162407011"</f>
        <v>20190303162407011</v>
      </c>
      <c r="B5233" t="str">
        <f>"1551601447000422"</f>
        <v>1551601447000422</v>
      </c>
      <c r="C5233" t="s">
        <v>40</v>
      </c>
      <c r="D5233">
        <v>5.5041070000000003</v>
      </c>
      <c r="E5233">
        <v>0.51066990000000001</v>
      </c>
      <c r="F5233" t="s">
        <v>41</v>
      </c>
      <c r="G5233">
        <v>-344.5797</v>
      </c>
      <c r="H5233" s="1">
        <v>-2.6987199999999998E-6</v>
      </c>
      <c r="I5233">
        <v>17.41132</v>
      </c>
      <c r="J5233">
        <v>-365.87920000000003</v>
      </c>
      <c r="K5233">
        <v>1.1207510000000001</v>
      </c>
      <c r="L5233">
        <v>17.772489999999902</v>
      </c>
      <c r="M5233">
        <v>0.99986509999999995</v>
      </c>
      <c r="N5233">
        <v>-1.190313E-2</v>
      </c>
      <c r="O5233">
        <v>1.131529E-2</v>
      </c>
      <c r="P5233">
        <v>0.98414049999999997</v>
      </c>
      <c r="Q5233">
        <v>0.177028399999999</v>
      </c>
      <c r="R5233">
        <v>1.134456E-2</v>
      </c>
      <c r="S5233">
        <v>3.0780029999999998</v>
      </c>
      <c r="T5233">
        <v>-0.15979889999999999</v>
      </c>
      <c r="U5233">
        <v>-5.1025389999999997E-2</v>
      </c>
      <c r="V5233">
        <v>-1.6793649999999999E-4</v>
      </c>
      <c r="W5233">
        <v>0.18873100000000001</v>
      </c>
      <c r="X5233">
        <v>0.98202880000000004</v>
      </c>
      <c r="Y5233">
        <v>2.7833500000000001E-2</v>
      </c>
      <c r="Z5233">
        <v>-1.340185E-3</v>
      </c>
      <c r="AA5233">
        <v>0.99961169999999999</v>
      </c>
      <c r="AB5233">
        <v>29</v>
      </c>
      <c r="AC5233">
        <v>21.299499999999998</v>
      </c>
      <c r="AD5233">
        <v>-1.12075369872</v>
      </c>
      <c r="AE5233">
        <v>-0.36116999999999699</v>
      </c>
      <c r="AF5233">
        <v>0.60051179622692896</v>
      </c>
      <c r="AG5233">
        <v>-1.12075369872</v>
      </c>
      <c r="AH5233">
        <v>21.235271221954001</v>
      </c>
      <c r="AI5233">
        <v>93.019944634599895</v>
      </c>
      <c r="AJ5233">
        <v>88.380165536906503</v>
      </c>
      <c r="AK5233">
        <v>21.273303625449199</v>
      </c>
      <c r="AL5233">
        <v>79.121263832342194</v>
      </c>
      <c r="AM5233">
        <v>90.009798136859501</v>
      </c>
      <c r="AN5233">
        <v>0.99999999129655404</v>
      </c>
    </row>
    <row r="5234" spans="1:40" x14ac:dyDescent="0.25">
      <c r="A5234" t="str">
        <f>"20190303162407032"</f>
        <v>20190303162407032</v>
      </c>
      <c r="B5234" t="str">
        <f>"1551601447019942"</f>
        <v>1551601447019942</v>
      </c>
      <c r="C5234" t="s">
        <v>40</v>
      </c>
      <c r="D5234">
        <v>5.5750229999999998</v>
      </c>
      <c r="E5234">
        <v>0.52464460000000002</v>
      </c>
      <c r="F5234" t="s">
        <v>41</v>
      </c>
      <c r="G5234">
        <v>-344.4384</v>
      </c>
      <c r="H5234" s="1">
        <v>-2.7596389999999998E-6</v>
      </c>
      <c r="I5234">
        <v>17.409520000000001</v>
      </c>
      <c r="J5234">
        <v>-365.6035</v>
      </c>
      <c r="K5234">
        <v>1.1207129999999901</v>
      </c>
      <c r="L5234">
        <v>17.775479999999899</v>
      </c>
      <c r="M5234">
        <v>0.99986699999999995</v>
      </c>
      <c r="N5234">
        <v>-1.1897370000000001E-2</v>
      </c>
      <c r="O5234">
        <v>1.11611E-2</v>
      </c>
      <c r="P5234">
        <v>0.98410900000000001</v>
      </c>
      <c r="Q5234">
        <v>0.1772569</v>
      </c>
      <c r="R5234">
        <v>1.0475949999999999E-2</v>
      </c>
      <c r="S5234">
        <v>3.0779109999999998</v>
      </c>
      <c r="T5234">
        <v>-0.16088910000000001</v>
      </c>
      <c r="U5234">
        <v>-5.2093510000000003E-2</v>
      </c>
      <c r="V5234">
        <v>5.6810129999999999E-4</v>
      </c>
      <c r="W5234">
        <v>0.18895290000000001</v>
      </c>
      <c r="X5234">
        <v>0.98198600000000003</v>
      </c>
      <c r="Y5234">
        <v>2.8025700000000001E-2</v>
      </c>
      <c r="Z5234">
        <v>-1.349072E-3</v>
      </c>
      <c r="AA5234">
        <v>0.99960629999999995</v>
      </c>
      <c r="AB5234">
        <v>29</v>
      </c>
      <c r="AC5234">
        <v>21.165099999999899</v>
      </c>
      <c r="AD5234">
        <v>-1.1207157596389901</v>
      </c>
      <c r="AE5234">
        <v>-0.36595999999999701</v>
      </c>
      <c r="AF5234">
        <v>0.60049652256542996</v>
      </c>
      <c r="AG5234">
        <v>-1.1207157596389901</v>
      </c>
      <c r="AH5234">
        <v>21.100552205294299</v>
      </c>
      <c r="AI5234">
        <v>93.039071652138901</v>
      </c>
      <c r="AJ5234">
        <v>88.369870511474105</v>
      </c>
      <c r="AK5234">
        <v>21.138824547639</v>
      </c>
      <c r="AL5234">
        <v>79.108317187609401</v>
      </c>
      <c r="AM5234">
        <v>89.966853088338695</v>
      </c>
      <c r="AN5234">
        <v>1.0000000126767401</v>
      </c>
    </row>
    <row r="5235" spans="1:40" x14ac:dyDescent="0.25">
      <c r="A5235" t="str">
        <f>"20190303162407055"</f>
        <v>20190303162407055</v>
      </c>
      <c r="B5235" t="str">
        <f>"1551601447040438"</f>
        <v>1551601447040438</v>
      </c>
      <c r="C5235" t="s">
        <v>40</v>
      </c>
      <c r="D5235">
        <v>5.5288079999999997</v>
      </c>
      <c r="E5235">
        <v>0.5293776</v>
      </c>
      <c r="F5235" t="s">
        <v>42</v>
      </c>
      <c r="G5235">
        <v>-364.74259999999998</v>
      </c>
      <c r="H5235">
        <v>1.030967</v>
      </c>
      <c r="I5235">
        <v>17.728939999999898</v>
      </c>
      <c r="J5235">
        <v>-365.30489999999998</v>
      </c>
      <c r="K5235">
        <v>1.120681</v>
      </c>
      <c r="L5235">
        <v>17.778559999999999</v>
      </c>
      <c r="M5235">
        <v>0.99986949999999997</v>
      </c>
      <c r="N5235">
        <v>-1.189494E-2</v>
      </c>
      <c r="O5235">
        <v>1.093157E-2</v>
      </c>
      <c r="P5235">
        <v>0.98387829999999998</v>
      </c>
      <c r="Q5235">
        <v>0.17864730000000001</v>
      </c>
      <c r="R5235">
        <v>8.2817969999999901E-3</v>
      </c>
      <c r="S5235">
        <v>3.1085820000000002</v>
      </c>
      <c r="T5235">
        <v>-0.32408049999999999</v>
      </c>
      <c r="U5235">
        <v>-0.16735839999999999</v>
      </c>
      <c r="V5235">
        <v>2.5567210000000001E-3</v>
      </c>
      <c r="W5235">
        <v>0.19033729999999999</v>
      </c>
      <c r="X5235">
        <v>0.98171540000000002</v>
      </c>
      <c r="Y5235">
        <v>6.4239519999999994E-2</v>
      </c>
      <c r="Z5235">
        <v>-4.7268529999999996E-3</v>
      </c>
      <c r="AA5235">
        <v>0.99792329999999996</v>
      </c>
      <c r="AB5235">
        <v>29</v>
      </c>
      <c r="AC5235">
        <v>0.56229999999999303</v>
      </c>
      <c r="AD5235">
        <v>-8.9714000000000002E-2</v>
      </c>
      <c r="AE5235">
        <v>-4.9620000000000802E-2</v>
      </c>
      <c r="AF5235">
        <v>5.43904453227061E-2</v>
      </c>
      <c r="AG5235">
        <v>-8.9714000000000002E-2</v>
      </c>
      <c r="AH5235">
        <v>0.54788493055485599</v>
      </c>
      <c r="AI5235">
        <v>99.254730783289403</v>
      </c>
      <c r="AJ5235">
        <v>84.330624037655795</v>
      </c>
      <c r="AK5235">
        <v>0.557839420861866</v>
      </c>
      <c r="AL5235">
        <v>79.027530438850803</v>
      </c>
      <c r="AM5235">
        <v>89.850782628548401</v>
      </c>
      <c r="AN5235">
        <v>0.99999997559536002</v>
      </c>
    </row>
    <row r="5236" spans="1:40" x14ac:dyDescent="0.25">
      <c r="A5236" t="str">
        <f>"20190303162407076"</f>
        <v>20190303162407076</v>
      </c>
      <c r="B5236" t="str">
        <f>"1551601447070694"</f>
        <v>1551601447070694</v>
      </c>
      <c r="C5236" t="s">
        <v>40</v>
      </c>
      <c r="D5236">
        <v>5.5618280000000002</v>
      </c>
      <c r="E5236">
        <v>0.53154060000000003</v>
      </c>
      <c r="F5236" t="s">
        <v>42</v>
      </c>
      <c r="G5236">
        <v>-364.49380000000002</v>
      </c>
      <c r="H5236">
        <v>1.0098590000000001</v>
      </c>
      <c r="I5236">
        <v>17.72308</v>
      </c>
      <c r="J5236">
        <v>-365.02379999999999</v>
      </c>
      <c r="K5236">
        <v>1.1206469999999999</v>
      </c>
      <c r="L5236">
        <v>17.78134</v>
      </c>
      <c r="M5236">
        <v>0.9998726</v>
      </c>
      <c r="N5236">
        <v>-1.1898300000000001E-2</v>
      </c>
      <c r="O5236">
        <v>1.065457E-2</v>
      </c>
      <c r="P5236">
        <v>0.98347399999999996</v>
      </c>
      <c r="Q5236">
        <v>0.1809617</v>
      </c>
      <c r="R5236">
        <v>5.6632200000000001E-3</v>
      </c>
      <c r="S5236">
        <v>3.1286010000000002</v>
      </c>
      <c r="T5236">
        <v>-0.42740060000000002</v>
      </c>
      <c r="U5236">
        <v>-0.21298220000000001</v>
      </c>
      <c r="V5236">
        <v>4.9198310000000004E-3</v>
      </c>
      <c r="W5236">
        <v>0.19264790000000001</v>
      </c>
      <c r="X5236">
        <v>0.98125560000000001</v>
      </c>
      <c r="Y5236">
        <v>7.7681710000000001E-2</v>
      </c>
      <c r="Z5236">
        <v>-7.0617060000000001E-3</v>
      </c>
      <c r="AA5236">
        <v>0.99695319999999998</v>
      </c>
      <c r="AB5236">
        <v>29</v>
      </c>
      <c r="AC5236">
        <v>0.52999999999997205</v>
      </c>
      <c r="AD5236">
        <v>-0.110787999999999</v>
      </c>
      <c r="AE5236">
        <v>-5.8260000000000603E-2</v>
      </c>
      <c r="AF5236">
        <v>6.1259237044850298E-2</v>
      </c>
      <c r="AG5236">
        <v>-0.110787999999999</v>
      </c>
      <c r="AH5236">
        <v>0.507441116652247</v>
      </c>
      <c r="AI5236">
        <v>102.229851053056</v>
      </c>
      <c r="AJ5236">
        <v>83.116457488640293</v>
      </c>
      <c r="AK5236">
        <v>0.52299441864765295</v>
      </c>
      <c r="AL5236">
        <v>78.892646730468002</v>
      </c>
      <c r="AM5236">
        <v>89.712732146230607</v>
      </c>
      <c r="AN5236">
        <v>0.99999998532141898</v>
      </c>
    </row>
    <row r="5237" spans="1:40" x14ac:dyDescent="0.25">
      <c r="A5237" t="str">
        <f>"20190303162407098"</f>
        <v>20190303162407098</v>
      </c>
      <c r="B5237" t="str">
        <f>"1551601447090214"</f>
        <v>1551601447090214</v>
      </c>
      <c r="C5237" t="s">
        <v>40</v>
      </c>
      <c r="D5237">
        <v>5.5749709999999997</v>
      </c>
      <c r="E5237">
        <v>0.53247949999999999</v>
      </c>
      <c r="F5237" t="s">
        <v>42</v>
      </c>
      <c r="G5237">
        <v>-364.24130000000002</v>
      </c>
      <c r="H5237">
        <v>0.99619539999999995</v>
      </c>
      <c r="I5237">
        <v>17.721260000000001</v>
      </c>
      <c r="J5237">
        <v>-364.74099999999999</v>
      </c>
      <c r="K5237">
        <v>1.120614</v>
      </c>
      <c r="L5237">
        <v>17.78406</v>
      </c>
      <c r="M5237">
        <v>0.99987579999999998</v>
      </c>
      <c r="N5237">
        <v>-1.1904120000000001E-2</v>
      </c>
      <c r="O5237">
        <v>1.032629E-2</v>
      </c>
      <c r="P5237">
        <v>0.98327229999999999</v>
      </c>
      <c r="Q5237">
        <v>0.1821265</v>
      </c>
      <c r="R5237">
        <v>2.3374839999999999E-3</v>
      </c>
      <c r="S5237">
        <v>3.1438290000000002</v>
      </c>
      <c r="T5237">
        <v>-0.50001110000000004</v>
      </c>
      <c r="U5237">
        <v>-0.24093629999999999</v>
      </c>
      <c r="V5237">
        <v>7.9397649999999997E-3</v>
      </c>
      <c r="W5237">
        <v>0.19381329999999999</v>
      </c>
      <c r="X5237">
        <v>0.9810063</v>
      </c>
      <c r="Y5237">
        <v>8.5446800000000003E-2</v>
      </c>
      <c r="Z5237">
        <v>-8.7634129999999994E-3</v>
      </c>
      <c r="AA5237">
        <v>0.99630419999999997</v>
      </c>
      <c r="AB5237">
        <v>29</v>
      </c>
      <c r="AC5237">
        <v>0.49969999999996101</v>
      </c>
      <c r="AD5237">
        <v>-0.1244186</v>
      </c>
      <c r="AE5237">
        <v>-6.2799999999999301E-2</v>
      </c>
      <c r="AF5237">
        <v>6.4048178718710005E-2</v>
      </c>
      <c r="AG5237">
        <v>-0.1244186</v>
      </c>
      <c r="AH5237">
        <v>0.47032094561960203</v>
      </c>
      <c r="AI5237">
        <v>104.68795700366201</v>
      </c>
      <c r="AJ5237">
        <v>82.245179014555603</v>
      </c>
      <c r="AK5237">
        <v>0.49069741094860198</v>
      </c>
      <c r="AL5237">
        <v>78.824591756197705</v>
      </c>
      <c r="AM5237">
        <v>89.536287287646005</v>
      </c>
      <c r="AN5237">
        <v>0.999999997882417</v>
      </c>
    </row>
    <row r="5238" spans="1:40" x14ac:dyDescent="0.25">
      <c r="A5238" t="str">
        <f>"20190303162407112"</f>
        <v>20190303162407112</v>
      </c>
      <c r="B5238" t="str">
        <f>"1551601447099975"</f>
        <v>1551601447099975</v>
      </c>
      <c r="C5238" t="s">
        <v>40</v>
      </c>
      <c r="D5238">
        <v>5.6051849999999996</v>
      </c>
      <c r="E5238">
        <v>0.53286389999999995</v>
      </c>
      <c r="F5238" t="s">
        <v>42</v>
      </c>
      <c r="G5238">
        <v>-363.98410000000001</v>
      </c>
      <c r="H5238">
        <v>0.99194570000000004</v>
      </c>
      <c r="I5238">
        <v>17.721260000000001</v>
      </c>
      <c r="J5238">
        <v>-364.56990000000002</v>
      </c>
      <c r="K5238">
        <v>1.1205969999999901</v>
      </c>
      <c r="L5238">
        <v>17.78558</v>
      </c>
      <c r="M5238">
        <v>0.99987809999999999</v>
      </c>
      <c r="N5238">
        <v>-1.190776E-2</v>
      </c>
      <c r="O5238">
        <v>1.0106209999999999E-2</v>
      </c>
      <c r="P5238">
        <v>0.98329699999999998</v>
      </c>
      <c r="Q5238">
        <v>0.1820069</v>
      </c>
      <c r="R5238">
        <v>8.328888E-4</v>
      </c>
      <c r="S5238">
        <v>3.1508180000000001</v>
      </c>
      <c r="T5238">
        <v>-0.53558329999999998</v>
      </c>
      <c r="U5238">
        <v>-0.2605286</v>
      </c>
      <c r="V5238">
        <v>9.2377320000000002E-3</v>
      </c>
      <c r="W5238">
        <v>0.1936959</v>
      </c>
      <c r="X5238">
        <v>0.9810181</v>
      </c>
      <c r="Y5238">
        <v>9.0959789999999999E-2</v>
      </c>
      <c r="Z5238">
        <v>-9.7931509999999999E-3</v>
      </c>
      <c r="AA5238">
        <v>0.99580639999999998</v>
      </c>
      <c r="AB5238">
        <v>29</v>
      </c>
      <c r="AC5238">
        <v>0.58580000000000598</v>
      </c>
      <c r="AD5238">
        <v>-0.128651299999999</v>
      </c>
      <c r="AE5238">
        <v>-6.4319999999998601E-2</v>
      </c>
      <c r="AF5238">
        <v>6.7042326820484999E-2</v>
      </c>
      <c r="AG5238">
        <v>-0.128651299999999</v>
      </c>
      <c r="AH5238">
        <v>0.55850349316687398</v>
      </c>
      <c r="AI5238">
        <v>102.88244620027299</v>
      </c>
      <c r="AJ5238">
        <v>83.155011039756701</v>
      </c>
      <c r="AK5238">
        <v>0.57703724529426603</v>
      </c>
      <c r="AL5238">
        <v>78.831447950921401</v>
      </c>
      <c r="AM5238">
        <v>89.460491694430999</v>
      </c>
      <c r="AN5238">
        <v>0.99999997494846105</v>
      </c>
    </row>
    <row r="5239" spans="1:40" x14ac:dyDescent="0.25">
      <c r="A5239" t="str">
        <f>"20190303162407125"</f>
        <v>20190303162407125</v>
      </c>
      <c r="B5239" t="str">
        <f>"1551601447120470"</f>
        <v>1551601447120470</v>
      </c>
      <c r="C5239" t="s">
        <v>40</v>
      </c>
      <c r="D5239">
        <v>5.6140189999999999</v>
      </c>
      <c r="E5239">
        <v>0.53327760000000002</v>
      </c>
      <c r="F5239" t="s">
        <v>42</v>
      </c>
      <c r="G5239">
        <v>-363.73289999999997</v>
      </c>
      <c r="H5239">
        <v>0.97526729999999995</v>
      </c>
      <c r="I5239">
        <v>17.71416</v>
      </c>
      <c r="J5239">
        <v>-364.39229999999998</v>
      </c>
      <c r="K5239">
        <v>1.1205769999999999</v>
      </c>
      <c r="L5239">
        <v>17.787140000000001</v>
      </c>
      <c r="M5239">
        <v>0.9998804</v>
      </c>
      <c r="N5239">
        <v>-1.191148E-2</v>
      </c>
      <c r="O5239">
        <v>9.8685579999999995E-3</v>
      </c>
      <c r="P5239">
        <v>0.98335700000000004</v>
      </c>
      <c r="Q5239">
        <v>0.1816815</v>
      </c>
      <c r="R5239">
        <v>-1.1318739999999999E-3</v>
      </c>
      <c r="S5239">
        <v>3.1525569999999998</v>
      </c>
      <c r="T5239">
        <v>-0.5474755</v>
      </c>
      <c r="U5239">
        <v>-0.26861570000000001</v>
      </c>
      <c r="V5239">
        <v>1.097774E-2</v>
      </c>
      <c r="W5239">
        <v>0.19337309999999999</v>
      </c>
      <c r="X5239">
        <v>0.98106389999999999</v>
      </c>
      <c r="Y5239">
        <v>9.3119359999999998E-2</v>
      </c>
      <c r="Z5239">
        <v>-1.0153010000000001E-2</v>
      </c>
      <c r="AA5239">
        <v>0.99560320000000002</v>
      </c>
      <c r="AB5239">
        <v>29</v>
      </c>
      <c r="AC5239">
        <v>0.65940000000000498</v>
      </c>
      <c r="AD5239">
        <v>-0.14530969999999899</v>
      </c>
      <c r="AE5239">
        <v>-7.29800000000011E-2</v>
      </c>
      <c r="AF5239">
        <v>7.5845633210718605E-2</v>
      </c>
      <c r="AG5239">
        <v>-0.14530969999999899</v>
      </c>
      <c r="AH5239">
        <v>0.62849629008455699</v>
      </c>
      <c r="AI5239">
        <v>102.92755652901</v>
      </c>
      <c r="AJ5239">
        <v>83.118938356513098</v>
      </c>
      <c r="AK5239">
        <v>0.64951909567100197</v>
      </c>
      <c r="AL5239">
        <v>78.850299968118094</v>
      </c>
      <c r="AM5239">
        <v>89.358908301917296</v>
      </c>
      <c r="AN5239">
        <v>1.0000000212311599</v>
      </c>
    </row>
    <row r="5240" spans="1:40" x14ac:dyDescent="0.25">
      <c r="A5240" t="str">
        <f>"20190303162407143"</f>
        <v>20190303162407143</v>
      </c>
      <c r="B5240" t="str">
        <f>"1551601447130231"</f>
        <v>1551601447130231</v>
      </c>
      <c r="C5240" t="s">
        <v>40</v>
      </c>
      <c r="D5240">
        <v>5.629931</v>
      </c>
      <c r="E5240">
        <v>0.53338209999999997</v>
      </c>
      <c r="F5240" t="s">
        <v>42</v>
      </c>
      <c r="G5240">
        <v>-363.48259999999999</v>
      </c>
      <c r="H5240">
        <v>0.95684040000000004</v>
      </c>
      <c r="I5240">
        <v>17.70665</v>
      </c>
      <c r="J5240">
        <v>-364.16070000000002</v>
      </c>
      <c r="K5240">
        <v>1.120549</v>
      </c>
      <c r="L5240">
        <v>17.789089999999899</v>
      </c>
      <c r="M5240">
        <v>0.99988350000000004</v>
      </c>
      <c r="N5240">
        <v>-1.191627E-2</v>
      </c>
      <c r="O5240">
        <v>9.5424470000000008E-3</v>
      </c>
      <c r="P5240">
        <v>0.98341290000000003</v>
      </c>
      <c r="Q5240">
        <v>0.18132300000000001</v>
      </c>
      <c r="R5240">
        <v>-4.625746E-3</v>
      </c>
      <c r="S5240">
        <v>3.1553650000000002</v>
      </c>
      <c r="T5240">
        <v>-0.56784299999999999</v>
      </c>
      <c r="U5240">
        <v>-0.27798460000000003</v>
      </c>
      <c r="V5240">
        <v>1.416005E-2</v>
      </c>
      <c r="W5240">
        <v>0.19301660000000001</v>
      </c>
      <c r="X5240">
        <v>0.98109329999999995</v>
      </c>
      <c r="Y5240">
        <v>9.5502959999999998E-2</v>
      </c>
      <c r="Z5240">
        <v>-1.0671679999999999E-2</v>
      </c>
      <c r="AA5240">
        <v>0.99537189999999998</v>
      </c>
      <c r="AB5240">
        <v>29</v>
      </c>
      <c r="AC5240">
        <v>0.67810000000002801</v>
      </c>
      <c r="AD5240">
        <v>-0.16370859999999901</v>
      </c>
      <c r="AE5240">
        <v>-8.2439999999998195E-2</v>
      </c>
      <c r="AF5240">
        <v>8.4078324641817595E-2</v>
      </c>
      <c r="AG5240">
        <v>-0.16370859999999901</v>
      </c>
      <c r="AH5240">
        <v>0.64049498350973499</v>
      </c>
      <c r="AI5240">
        <v>104.22067224265</v>
      </c>
      <c r="AJ5240">
        <v>82.521494981613003</v>
      </c>
      <c r="AK5240">
        <v>0.66641090499005995</v>
      </c>
      <c r="AL5240">
        <v>78.871117756441805</v>
      </c>
      <c r="AM5240">
        <v>89.173111491897103</v>
      </c>
      <c r="AN5240">
        <v>0.99999998909822596</v>
      </c>
    </row>
    <row r="5241" spans="1:40" x14ac:dyDescent="0.25">
      <c r="A5241" t="str">
        <f>"20190303162407170"</f>
        <v>20190303162407170</v>
      </c>
      <c r="B5241" t="str">
        <f>"1551601447160486"</f>
        <v>1551601447160486</v>
      </c>
      <c r="C5241" t="s">
        <v>40</v>
      </c>
      <c r="D5241">
        <v>5.6183180000000004</v>
      </c>
      <c r="E5241">
        <v>0.5335259</v>
      </c>
      <c r="F5241" t="s">
        <v>42</v>
      </c>
      <c r="G5241">
        <v>-363.22649999999999</v>
      </c>
      <c r="H5241">
        <v>0.94985699999999995</v>
      </c>
      <c r="I5241">
        <v>17.703510000000001</v>
      </c>
      <c r="J5241">
        <v>-363.81880000000001</v>
      </c>
      <c r="K5241">
        <v>1.1205259999999999</v>
      </c>
      <c r="L5241">
        <v>17.791779999999999</v>
      </c>
      <c r="M5241">
        <v>0.999888</v>
      </c>
      <c r="N5241">
        <v>-1.1923329999999999E-2</v>
      </c>
      <c r="O5241">
        <v>9.0406410000000003E-3</v>
      </c>
      <c r="P5241">
        <v>0.98342560000000001</v>
      </c>
      <c r="Q5241">
        <v>0.18111730000000001</v>
      </c>
      <c r="R5241">
        <v>-8.4112849999999992E-3</v>
      </c>
      <c r="S5241">
        <v>3.1555179999999998</v>
      </c>
      <c r="T5241">
        <v>-0.57656169999999995</v>
      </c>
      <c r="U5241">
        <v>-0.28887940000000001</v>
      </c>
      <c r="V5241">
        <v>1.7459700000000002E-2</v>
      </c>
      <c r="W5241">
        <v>0.19281490000000001</v>
      </c>
      <c r="X5241">
        <v>0.98107979999999995</v>
      </c>
      <c r="Y5241">
        <v>9.8313970000000001E-2</v>
      </c>
      <c r="Z5241">
        <v>-1.101069E-2</v>
      </c>
      <c r="AA5241">
        <v>0.99509449999999999</v>
      </c>
      <c r="AB5241">
        <v>29</v>
      </c>
      <c r="AC5241">
        <v>0.59230000000002203</v>
      </c>
      <c r="AD5241">
        <v>-0.17066899999999899</v>
      </c>
      <c r="AE5241">
        <v>-8.8269999999997795E-2</v>
      </c>
      <c r="AF5241">
        <v>8.6588460135692102E-2</v>
      </c>
      <c r="AG5241">
        <v>-0.17066899999999899</v>
      </c>
      <c r="AH5241">
        <v>0.54704443144315196</v>
      </c>
      <c r="AI5241">
        <v>107.12655270665699</v>
      </c>
      <c r="AJ5241">
        <v>81.005605955989793</v>
      </c>
      <c r="AK5241">
        <v>0.57955420709596395</v>
      </c>
      <c r="AL5241">
        <v>78.882895684477504</v>
      </c>
      <c r="AM5241">
        <v>88.980448346693706</v>
      </c>
      <c r="AN5241">
        <v>1.0000000003770699</v>
      </c>
    </row>
    <row r="5242" spans="1:40" x14ac:dyDescent="0.25">
      <c r="A5242" t="str">
        <f>"20190303162407188"</f>
        <v>20190303162407188</v>
      </c>
      <c r="B5242" t="str">
        <f>"1551601447180006"</f>
        <v>1551601447180006</v>
      </c>
      <c r="C5242" t="s">
        <v>40</v>
      </c>
      <c r="D5242">
        <v>5.6791320000000001</v>
      </c>
      <c r="E5242">
        <v>0.53357239999999995</v>
      </c>
      <c r="F5242" t="s">
        <v>42</v>
      </c>
      <c r="G5242">
        <v>-362.96230000000003</v>
      </c>
      <c r="H5242">
        <v>0.96017960000000002</v>
      </c>
      <c r="I5242">
        <v>17.710039999999999</v>
      </c>
      <c r="J5242">
        <v>-363.5761</v>
      </c>
      <c r="K5242">
        <v>1.1205039999999999</v>
      </c>
      <c r="L5242">
        <v>17.793579999999999</v>
      </c>
      <c r="M5242">
        <v>0.99989130000000004</v>
      </c>
      <c r="N5242">
        <v>-1.192821E-2</v>
      </c>
      <c r="O5242">
        <v>8.6791309999999997E-3</v>
      </c>
      <c r="P5242">
        <v>0.98372599999999999</v>
      </c>
      <c r="Q5242">
        <v>0.1792723</v>
      </c>
      <c r="R5242">
        <v>-1.2036379999999999E-2</v>
      </c>
      <c r="S5242">
        <v>3.1568299999999998</v>
      </c>
      <c r="T5242">
        <v>-0.5909605</v>
      </c>
      <c r="U5242">
        <v>-0.3006897</v>
      </c>
      <c r="V5242">
        <v>2.0733729999999999E-2</v>
      </c>
      <c r="W5242">
        <v>0.1909749</v>
      </c>
      <c r="X5242">
        <v>0.98137589999999997</v>
      </c>
      <c r="Y5242">
        <v>0.1014661</v>
      </c>
      <c r="Z5242">
        <v>-1.15117E-2</v>
      </c>
      <c r="AA5242">
        <v>0.9947724</v>
      </c>
      <c r="AB5242">
        <v>29</v>
      </c>
      <c r="AC5242">
        <v>0.61379999999996904</v>
      </c>
      <c r="AD5242">
        <v>-0.16032440000000001</v>
      </c>
      <c r="AE5242">
        <v>-8.3539999999999198E-2</v>
      </c>
      <c r="AF5242">
        <v>8.3285636862535095E-2</v>
      </c>
      <c r="AG5242">
        <v>-0.16032440000000001</v>
      </c>
      <c r="AH5242">
        <v>0.57456484370973504</v>
      </c>
      <c r="AI5242">
        <v>105.437496104188</v>
      </c>
      <c r="AJ5242">
        <v>81.752178054147095</v>
      </c>
      <c r="AK5242">
        <v>0.602299900523111</v>
      </c>
      <c r="AL5242">
        <v>78.990316052933906</v>
      </c>
      <c r="AM5242">
        <v>88.789680367672204</v>
      </c>
      <c r="AN5242">
        <v>0.99999997854526601</v>
      </c>
    </row>
    <row r="5243" spans="1:40" x14ac:dyDescent="0.25">
      <c r="A5243" t="str">
        <f>"20190303162407201"</f>
        <v>20190303162407201</v>
      </c>
      <c r="B5243" t="str">
        <f>"1551601447189766"</f>
        <v>1551601447189766</v>
      </c>
      <c r="C5243" t="s">
        <v>40</v>
      </c>
      <c r="D5243">
        <v>5.7192879999999997</v>
      </c>
      <c r="E5243">
        <v>0.53357239999999995</v>
      </c>
      <c r="F5243" t="s">
        <v>42</v>
      </c>
      <c r="G5243">
        <v>-362.70659999999998</v>
      </c>
      <c r="H5243">
        <v>0.95279159999999996</v>
      </c>
      <c r="I5243">
        <v>17.70748</v>
      </c>
      <c r="J5243">
        <v>-363.40899999999999</v>
      </c>
      <c r="K5243">
        <v>1.120495</v>
      </c>
      <c r="L5243">
        <v>17.79477</v>
      </c>
      <c r="M5243">
        <v>0.99989329999999998</v>
      </c>
      <c r="N5243">
        <v>-1.193136E-2</v>
      </c>
      <c r="O5243">
        <v>8.4299869999999999E-3</v>
      </c>
      <c r="P5243">
        <v>0.98395410000000005</v>
      </c>
      <c r="Q5243">
        <v>0.17787539999999999</v>
      </c>
      <c r="R5243">
        <v>-1.395537E-2</v>
      </c>
      <c r="S5243">
        <v>3.1567989999999999</v>
      </c>
      <c r="T5243">
        <v>-0.60889609999999905</v>
      </c>
      <c r="U5243">
        <v>-0.31219479999999999</v>
      </c>
      <c r="V5243">
        <v>2.2409579999999998E-2</v>
      </c>
      <c r="W5243">
        <v>0.18958220000000001</v>
      </c>
      <c r="X5243">
        <v>0.98160910000000001</v>
      </c>
      <c r="Y5243">
        <v>0.1046348</v>
      </c>
      <c r="Z5243">
        <v>-1.211515E-2</v>
      </c>
      <c r="AA5243">
        <v>0.99443689999999996</v>
      </c>
      <c r="AB5243">
        <v>29</v>
      </c>
      <c r="AC5243">
        <v>0.70240000000001102</v>
      </c>
      <c r="AD5243">
        <v>-0.1677034</v>
      </c>
      <c r="AE5243">
        <v>-8.7289999999999396E-2</v>
      </c>
      <c r="AF5243">
        <v>8.8254112141606403E-2</v>
      </c>
      <c r="AG5243">
        <v>-0.1677034</v>
      </c>
      <c r="AH5243">
        <v>0.66434403128278297</v>
      </c>
      <c r="AI5243">
        <v>104.048980046151</v>
      </c>
      <c r="AJ5243">
        <v>82.432905943608304</v>
      </c>
      <c r="AK5243">
        <v>0.69084456325755506</v>
      </c>
      <c r="AL5243">
        <v>79.071597259277894</v>
      </c>
      <c r="AM5243">
        <v>88.692196962621097</v>
      </c>
      <c r="AN5243">
        <v>1.00000001251771</v>
      </c>
    </row>
    <row r="5244" spans="1:40" x14ac:dyDescent="0.25">
      <c r="A5244" t="str">
        <f>"20190303162407223"</f>
        <v>20190303162407223</v>
      </c>
      <c r="B5244" t="str">
        <f>"1551601447220023"</f>
        <v>1551601447220023</v>
      </c>
      <c r="C5244" t="s">
        <v>40</v>
      </c>
      <c r="D5244">
        <v>5.6617540000000002</v>
      </c>
      <c r="E5244">
        <v>0.53231280000000003</v>
      </c>
      <c r="F5244" t="s">
        <v>42</v>
      </c>
      <c r="G5244">
        <v>-362.69290000000001</v>
      </c>
      <c r="H5244">
        <v>0.98127310000000001</v>
      </c>
      <c r="I5244">
        <v>17.722529999999999</v>
      </c>
      <c r="J5244">
        <v>-363.12970000000001</v>
      </c>
      <c r="K5244">
        <v>1.120479</v>
      </c>
      <c r="L5244">
        <v>17.796689999999899</v>
      </c>
      <c r="M5244">
        <v>0.99989660000000002</v>
      </c>
      <c r="N5244">
        <v>-1.1936240000000001E-2</v>
      </c>
      <c r="O5244">
        <v>8.0152680000000007E-3</v>
      </c>
      <c r="P5244">
        <v>0.98440490000000003</v>
      </c>
      <c r="Q5244">
        <v>0.17512179999999999</v>
      </c>
      <c r="R5244">
        <v>-1.6707960000000001E-2</v>
      </c>
      <c r="S5244">
        <v>3.1552730000000002</v>
      </c>
      <c r="T5244">
        <v>-0.61348029999999998</v>
      </c>
      <c r="U5244">
        <v>-0.31784059999999997</v>
      </c>
      <c r="V5244">
        <v>2.4756529999999999E-2</v>
      </c>
      <c r="W5244">
        <v>0.18683649999999999</v>
      </c>
      <c r="X5244">
        <v>0.98207900000000004</v>
      </c>
      <c r="Y5244">
        <v>0.10597810000000001</v>
      </c>
      <c r="Z5244">
        <v>-1.2268029999999999E-2</v>
      </c>
      <c r="AA5244">
        <v>0.99429279999999998</v>
      </c>
      <c r="AB5244">
        <v>29</v>
      </c>
      <c r="AC5244">
        <v>0.43680000000000502</v>
      </c>
      <c r="AD5244">
        <v>-0.13920589999999999</v>
      </c>
      <c r="AE5244">
        <v>-7.4159999999999102E-2</v>
      </c>
      <c r="AF5244">
        <v>7.0681232798098306E-2</v>
      </c>
      <c r="AG5244">
        <v>-0.13920589999999999</v>
      </c>
      <c r="AH5244">
        <v>0.39699943599206</v>
      </c>
      <c r="AI5244">
        <v>109.045517345498</v>
      </c>
      <c r="AJ5244">
        <v>79.904915225227697</v>
      </c>
      <c r="AK5244">
        <v>0.426594270288154</v>
      </c>
      <c r="AL5244">
        <v>79.231776376417002</v>
      </c>
      <c r="AM5244">
        <v>88.555977324641006</v>
      </c>
      <c r="AN5244">
        <v>0.99999996287544402</v>
      </c>
    </row>
    <row r="5245" spans="1:40" x14ac:dyDescent="0.25">
      <c r="A5245" t="str">
        <f>"20190303162407245"</f>
        <v>20190303162407245</v>
      </c>
      <c r="B5245" t="str">
        <f>"1551601447229782"</f>
        <v>1551601447229782</v>
      </c>
      <c r="C5245" t="s">
        <v>40</v>
      </c>
      <c r="D5245">
        <v>5.6463789999999996</v>
      </c>
      <c r="E5245">
        <v>0.53194319999999995</v>
      </c>
      <c r="F5245" t="s">
        <v>42</v>
      </c>
      <c r="G5245">
        <v>-362.23820000000001</v>
      </c>
      <c r="H5245">
        <v>0.83732059999999997</v>
      </c>
      <c r="I5245">
        <v>17.708310000000001</v>
      </c>
      <c r="J5245">
        <v>-362.84519999999998</v>
      </c>
      <c r="K5245">
        <v>1.120463</v>
      </c>
      <c r="L5245">
        <v>17.798490000000001</v>
      </c>
      <c r="M5245">
        <v>0.99990000000000001</v>
      </c>
      <c r="N5245">
        <v>-1.19407E-2</v>
      </c>
      <c r="O5245">
        <v>7.5971240000000002E-3</v>
      </c>
      <c r="P5245">
        <v>0.98470809999999998</v>
      </c>
      <c r="Q5245">
        <v>0.17320150000000001</v>
      </c>
      <c r="R5245">
        <v>-1.875199E-2</v>
      </c>
      <c r="S5245">
        <v>3.224243</v>
      </c>
      <c r="T5245">
        <v>-1.0240370000000001</v>
      </c>
      <c r="U5245">
        <v>-0.31924439999999998</v>
      </c>
      <c r="V5245">
        <v>2.638938E-2</v>
      </c>
      <c r="W5245">
        <v>0.184923</v>
      </c>
      <c r="X5245">
        <v>0.98239860000000001</v>
      </c>
      <c r="Y5245">
        <v>0.10064339999999999</v>
      </c>
      <c r="Z5245">
        <v>-1.844171E-2</v>
      </c>
      <c r="AA5245">
        <v>0.99475159999999996</v>
      </c>
      <c r="AB5245">
        <v>29</v>
      </c>
      <c r="AC5245">
        <v>0.60699999999997001</v>
      </c>
      <c r="AD5245">
        <v>-0.28314240000000002</v>
      </c>
      <c r="AE5245">
        <v>-9.0180000000000093E-2</v>
      </c>
      <c r="AF5245">
        <v>7.8151642809262498E-2</v>
      </c>
      <c r="AG5245">
        <v>-0.28314240000000002</v>
      </c>
      <c r="AH5245">
        <v>0.49987912191488498</v>
      </c>
      <c r="AI5245">
        <v>119.232411122226</v>
      </c>
      <c r="AJ5245">
        <v>81.1142466750171</v>
      </c>
      <c r="AK5245">
        <v>0.57978999170211898</v>
      </c>
      <c r="AL5245">
        <v>79.343356429078398</v>
      </c>
      <c r="AM5245">
        <v>88.461279789771694</v>
      </c>
      <c r="AN5245">
        <v>0.999999962293871</v>
      </c>
    </row>
    <row r="5246" spans="1:40" x14ac:dyDescent="0.25">
      <c r="A5246" t="str">
        <f>"20190303162407266"</f>
        <v>20190303162407266</v>
      </c>
      <c r="B5246" t="str">
        <f>"1551601447260038"</f>
        <v>1551601447260038</v>
      </c>
      <c r="C5246" t="s">
        <v>40</v>
      </c>
      <c r="D5246">
        <v>5.6955049999999998</v>
      </c>
      <c r="E5246">
        <v>0.53109319999999904</v>
      </c>
      <c r="F5246" t="s">
        <v>42</v>
      </c>
      <c r="G5246">
        <v>-361.97890000000001</v>
      </c>
      <c r="H5246">
        <v>0.83724940000000003</v>
      </c>
      <c r="I5246">
        <v>17.711169999999999</v>
      </c>
      <c r="J5246">
        <v>-362.56490000000002</v>
      </c>
      <c r="K5246">
        <v>1.12046</v>
      </c>
      <c r="L5246">
        <v>17.800139999999999</v>
      </c>
      <c r="M5246">
        <v>0.99990279999999998</v>
      </c>
      <c r="N5246">
        <v>-1.1944669999999999E-2</v>
      </c>
      <c r="O5246">
        <v>7.1891280000000004E-3</v>
      </c>
      <c r="P5246">
        <v>0.98493070000000005</v>
      </c>
      <c r="Q5246">
        <v>0.17175199999999999</v>
      </c>
      <c r="R5246">
        <v>-2.0324109999999999E-2</v>
      </c>
      <c r="S5246">
        <v>3.2259829999999998</v>
      </c>
      <c r="T5246">
        <v>-1.054629</v>
      </c>
      <c r="U5246">
        <v>-0.32345580000000002</v>
      </c>
      <c r="V5246">
        <v>2.7559879999999998E-2</v>
      </c>
      <c r="W5246">
        <v>0.18347949999999999</v>
      </c>
      <c r="X5246">
        <v>0.98263710000000004</v>
      </c>
      <c r="Y5246">
        <v>0.1011524</v>
      </c>
      <c r="Z5246">
        <v>-1.890058E-2</v>
      </c>
      <c r="AA5246">
        <v>0.9946914</v>
      </c>
      <c r="AB5246">
        <v>29</v>
      </c>
      <c r="AC5246">
        <v>0.58600000000001196</v>
      </c>
      <c r="AD5246">
        <v>-0.28321059999999998</v>
      </c>
      <c r="AE5246">
        <v>-8.8969999999996205E-2</v>
      </c>
      <c r="AF5246">
        <v>7.5860955270248595E-2</v>
      </c>
      <c r="AG5246">
        <v>-0.28321059999999998</v>
      </c>
      <c r="AH5246">
        <v>0.47654485757923598</v>
      </c>
      <c r="AI5246">
        <v>120.40909759087199</v>
      </c>
      <c r="AJ5246">
        <v>80.955005809066407</v>
      </c>
      <c r="AK5246">
        <v>0.55951597812045395</v>
      </c>
      <c r="AL5246">
        <v>79.427502869030306</v>
      </c>
      <c r="AM5246">
        <v>88.393454756912206</v>
      </c>
      <c r="AN5246">
        <v>0.999999972101136</v>
      </c>
    </row>
    <row r="5247" spans="1:40" x14ac:dyDescent="0.25">
      <c r="A5247" t="str">
        <f>"20190303162407279"</f>
        <v>20190303162407279</v>
      </c>
      <c r="B5247" t="str">
        <f>"1551601447269798"</f>
        <v>1551601447269798</v>
      </c>
      <c r="C5247" t="s">
        <v>40</v>
      </c>
      <c r="D5247">
        <v>5.6831060000000004</v>
      </c>
      <c r="E5247">
        <v>0.53073419999999905</v>
      </c>
      <c r="F5247" t="s">
        <v>42</v>
      </c>
      <c r="G5247">
        <v>-361.71940000000001</v>
      </c>
      <c r="H5247">
        <v>0.83776489999999904</v>
      </c>
      <c r="I5247">
        <v>17.71556</v>
      </c>
      <c r="J5247">
        <v>-362.39260000000002</v>
      </c>
      <c r="K5247">
        <v>1.1204529999999999</v>
      </c>
      <c r="L5247">
        <v>17.801120000000001</v>
      </c>
      <c r="M5247">
        <v>0.99990480000000004</v>
      </c>
      <c r="N5247">
        <v>-1.194691E-2</v>
      </c>
      <c r="O5247">
        <v>6.9399830000000003E-3</v>
      </c>
      <c r="P5247">
        <v>0.98501689999999997</v>
      </c>
      <c r="Q5247">
        <v>0.1711637</v>
      </c>
      <c r="R5247">
        <v>-2.1097959999999999E-2</v>
      </c>
      <c r="S5247">
        <v>3.2273860000000001</v>
      </c>
      <c r="T5247">
        <v>-1.079132</v>
      </c>
      <c r="U5247">
        <v>-0.32220460000000001</v>
      </c>
      <c r="V5247">
        <v>2.808834E-2</v>
      </c>
      <c r="W5247">
        <v>0.182894</v>
      </c>
      <c r="X5247">
        <v>0.98273129999999997</v>
      </c>
      <c r="Y5247">
        <v>0.10028529999999999</v>
      </c>
      <c r="Z5247">
        <v>-1.9074879999999999E-2</v>
      </c>
      <c r="AA5247">
        <v>0.99477579999999999</v>
      </c>
      <c r="AB5247">
        <v>29</v>
      </c>
      <c r="AC5247">
        <v>0.67320000000000801</v>
      </c>
      <c r="AD5247">
        <v>-0.2826881</v>
      </c>
      <c r="AE5247">
        <v>-8.5560000000000899E-2</v>
      </c>
      <c r="AF5247">
        <v>7.6888088100062396E-2</v>
      </c>
      <c r="AG5247">
        <v>-0.2826881</v>
      </c>
      <c r="AH5247">
        <v>0.57313534674048905</v>
      </c>
      <c r="AI5247">
        <v>116.05177152898401</v>
      </c>
      <c r="AJ5247">
        <v>82.359192755346498</v>
      </c>
      <c r="AK5247">
        <v>0.64366797780892704</v>
      </c>
      <c r="AL5247">
        <v>79.4616271739079</v>
      </c>
      <c r="AM5247">
        <v>88.3628227652666</v>
      </c>
      <c r="AN5247">
        <v>0.99999998903982201</v>
      </c>
    </row>
    <row r="5248" spans="1:40" x14ac:dyDescent="0.25">
      <c r="A5248" t="str">
        <f>"20190303162407294"</f>
        <v>20190303162407294</v>
      </c>
      <c r="B5248" t="str">
        <f>"1551601447290294"</f>
        <v>1551601447290294</v>
      </c>
      <c r="C5248" t="s">
        <v>40</v>
      </c>
      <c r="D5248">
        <v>5.6908379999999896</v>
      </c>
      <c r="E5248">
        <v>0.53065059999999997</v>
      </c>
      <c r="F5248" t="s">
        <v>42</v>
      </c>
      <c r="G5248">
        <v>-361.69970000000001</v>
      </c>
      <c r="H5248">
        <v>0.88752719999999896</v>
      </c>
      <c r="I5248">
        <v>17.73179</v>
      </c>
      <c r="J5248">
        <v>-362.20280000000002</v>
      </c>
      <c r="K5248">
        <v>1.1204529999999999</v>
      </c>
      <c r="L5248">
        <v>17.802119999999999</v>
      </c>
      <c r="M5248">
        <v>0.99990639999999997</v>
      </c>
      <c r="N5248">
        <v>-1.19492E-2</v>
      </c>
      <c r="O5248">
        <v>6.6668200000000004E-3</v>
      </c>
      <c r="P5248">
        <v>0.98514710000000005</v>
      </c>
      <c r="Q5248">
        <v>0.1703191</v>
      </c>
      <c r="R5248">
        <v>-2.1835110000000001E-2</v>
      </c>
      <c r="S5248">
        <v>3.227325</v>
      </c>
      <c r="T5248">
        <v>-1.084943</v>
      </c>
      <c r="U5248">
        <v>-0.32214359999999997</v>
      </c>
      <c r="V5248">
        <v>2.8556290000000002E-2</v>
      </c>
      <c r="W5248">
        <v>0.18205289999999999</v>
      </c>
      <c r="X5248">
        <v>0.98287400000000003</v>
      </c>
      <c r="Y5248">
        <v>9.9966730000000004E-2</v>
      </c>
      <c r="Z5248">
        <v>-1.9030200000000001E-2</v>
      </c>
      <c r="AA5248">
        <v>0.99480880000000005</v>
      </c>
      <c r="AB5248">
        <v>29</v>
      </c>
      <c r="AC5248">
        <v>0.50310000000001698</v>
      </c>
      <c r="AD5248">
        <v>-0.23292579999999999</v>
      </c>
      <c r="AE5248">
        <v>-7.0330000000002002E-2</v>
      </c>
      <c r="AF5248">
        <v>6.0882614982761998E-2</v>
      </c>
      <c r="AG5248">
        <v>-0.23292579999999999</v>
      </c>
      <c r="AH5248">
        <v>0.41530497813837902</v>
      </c>
      <c r="AI5248">
        <v>119.026930064044</v>
      </c>
      <c r="AJ5248">
        <v>81.659995597621005</v>
      </c>
      <c r="AK5248">
        <v>0.480040983645458</v>
      </c>
      <c r="AL5248">
        <v>79.510641791849096</v>
      </c>
      <c r="AM5248">
        <v>88.335804228905999</v>
      </c>
      <c r="AN5248">
        <v>1.0000000099864801</v>
      </c>
    </row>
    <row r="5249" spans="1:40" x14ac:dyDescent="0.25">
      <c r="A5249" t="str">
        <f>"20190303162407311"</f>
        <v>20190303162407311</v>
      </c>
      <c r="B5249" t="str">
        <f>"1551601447300055"</f>
        <v>1551601447300055</v>
      </c>
      <c r="C5249" t="s">
        <v>40</v>
      </c>
      <c r="D5249">
        <v>5.6951489999999998</v>
      </c>
      <c r="E5249">
        <v>0.53067909999999996</v>
      </c>
      <c r="F5249" t="s">
        <v>42</v>
      </c>
      <c r="G5249">
        <v>-361.44929999999999</v>
      </c>
      <c r="H5249">
        <v>0.86488940000000003</v>
      </c>
      <c r="I5249">
        <v>17.72617</v>
      </c>
      <c r="J5249">
        <v>-361.98880000000003</v>
      </c>
      <c r="K5249">
        <v>1.1204540000000001</v>
      </c>
      <c r="L5249">
        <v>17.80322</v>
      </c>
      <c r="M5249">
        <v>0.99990840000000003</v>
      </c>
      <c r="N5249">
        <v>-1.19516E-2</v>
      </c>
      <c r="O5249">
        <v>6.359328E-3</v>
      </c>
      <c r="P5249">
        <v>0.98541190000000001</v>
      </c>
      <c r="Q5249">
        <v>0.1686262</v>
      </c>
      <c r="R5249">
        <v>-2.2995310000000001E-2</v>
      </c>
      <c r="S5249">
        <v>3.227325</v>
      </c>
      <c r="T5249">
        <v>-1.094557</v>
      </c>
      <c r="U5249">
        <v>-0.32373049999999998</v>
      </c>
      <c r="V5249">
        <v>2.941361E-2</v>
      </c>
      <c r="W5249">
        <v>0.18036469999999999</v>
      </c>
      <c r="X5249">
        <v>0.98315989999999998</v>
      </c>
      <c r="Y5249">
        <v>0.10005410000000001</v>
      </c>
      <c r="Z5249">
        <v>-1.910274E-2</v>
      </c>
      <c r="AA5249">
        <v>0.99479859999999998</v>
      </c>
      <c r="AB5249">
        <v>29</v>
      </c>
      <c r="AC5249">
        <v>0.53950000000003195</v>
      </c>
      <c r="AD5249">
        <v>-0.25556459999999998</v>
      </c>
      <c r="AE5249">
        <v>-7.7049999999999799E-2</v>
      </c>
      <c r="AF5249">
        <v>6.5971585138712804E-2</v>
      </c>
      <c r="AG5249">
        <v>-0.25556459999999998</v>
      </c>
      <c r="AH5249">
        <v>0.44183429837680599</v>
      </c>
      <c r="AI5249">
        <v>119.772812347722</v>
      </c>
      <c r="AJ5249">
        <v>81.507736771831205</v>
      </c>
      <c r="AK5249">
        <v>0.51466791433020098</v>
      </c>
      <c r="AL5249">
        <v>79.608996602362893</v>
      </c>
      <c r="AM5249">
        <v>88.286369104487704</v>
      </c>
      <c r="AN5249">
        <v>0.99999998721366501</v>
      </c>
    </row>
    <row r="5250" spans="1:40" x14ac:dyDescent="0.25">
      <c r="A5250" t="str">
        <f>"20190303162407325"</f>
        <v>20190303162407325</v>
      </c>
      <c r="B5250" t="str">
        <f>"1551601447320550"</f>
        <v>1551601447320550</v>
      </c>
      <c r="C5250" t="s">
        <v>40</v>
      </c>
      <c r="D5250">
        <v>5.6947769999999904</v>
      </c>
      <c r="E5250">
        <v>0.53070680000000003</v>
      </c>
      <c r="F5250" t="s">
        <v>42</v>
      </c>
      <c r="G5250">
        <v>-361.19600000000003</v>
      </c>
      <c r="H5250">
        <v>0.84961030000000004</v>
      </c>
      <c r="I5250">
        <v>17.72268</v>
      </c>
      <c r="J5250">
        <v>-361.81020000000001</v>
      </c>
      <c r="K5250">
        <v>1.1204529999999999</v>
      </c>
      <c r="L5250">
        <v>17.804079999999999</v>
      </c>
      <c r="M5250">
        <v>0.99990990000000002</v>
      </c>
      <c r="N5250">
        <v>-1.195391E-2</v>
      </c>
      <c r="O5250">
        <v>6.1030320000000004E-3</v>
      </c>
      <c r="P5250">
        <v>0.98547640000000003</v>
      </c>
      <c r="Q5250">
        <v>0.168155</v>
      </c>
      <c r="R5250">
        <v>-2.3667250000000001E-2</v>
      </c>
      <c r="S5250">
        <v>3.2253419999999999</v>
      </c>
      <c r="T5250">
        <v>-1.1019540000000001</v>
      </c>
      <c r="U5250">
        <v>-0.32769779999999998</v>
      </c>
      <c r="V5250">
        <v>2.9832669999999999E-2</v>
      </c>
      <c r="W5250">
        <v>0.1798961</v>
      </c>
      <c r="X5250">
        <v>0.98323320000000003</v>
      </c>
      <c r="Y5250">
        <v>0.100947</v>
      </c>
      <c r="Z5250">
        <v>-1.9303190000000001E-2</v>
      </c>
      <c r="AA5250">
        <v>0.99470449999999999</v>
      </c>
      <c r="AB5250">
        <v>29</v>
      </c>
      <c r="AC5250">
        <v>0.61420000000003905</v>
      </c>
      <c r="AD5250">
        <v>-0.27084269999999999</v>
      </c>
      <c r="AE5250">
        <v>-8.1399999999998501E-2</v>
      </c>
      <c r="AF5250">
        <v>7.1486425769911405E-2</v>
      </c>
      <c r="AG5250">
        <v>-0.27084269999999999</v>
      </c>
      <c r="AH5250">
        <v>0.51523257730275795</v>
      </c>
      <c r="AI5250">
        <v>117.50522501254299</v>
      </c>
      <c r="AJ5250">
        <v>82.100873089641198</v>
      </c>
      <c r="AK5250">
        <v>0.58645603921068901</v>
      </c>
      <c r="AL5250">
        <v>79.636292646957997</v>
      </c>
      <c r="AM5250">
        <v>88.262099114464803</v>
      </c>
      <c r="AN5250">
        <v>1.0000000602883801</v>
      </c>
    </row>
    <row r="5251" spans="1:40" x14ac:dyDescent="0.25">
      <c r="A5251" t="str">
        <f>"20190303162407339"</f>
        <v>20190303162407339</v>
      </c>
      <c r="B5251" t="str">
        <f>"1551601447330311"</f>
        <v>1551601447330311</v>
      </c>
      <c r="C5251" t="s">
        <v>40</v>
      </c>
      <c r="D5251">
        <v>5.7222039999999996</v>
      </c>
      <c r="E5251">
        <v>0.53052440000000001</v>
      </c>
      <c r="F5251" t="s">
        <v>42</v>
      </c>
      <c r="G5251">
        <v>-360.94659999999999</v>
      </c>
      <c r="H5251">
        <v>0.82430729999999997</v>
      </c>
      <c r="I5251">
        <v>17.71529</v>
      </c>
      <c r="J5251">
        <v>-361.6216</v>
      </c>
      <c r="K5251">
        <v>1.120452</v>
      </c>
      <c r="L5251">
        <v>17.804929999999999</v>
      </c>
      <c r="M5251">
        <v>0.99991160000000001</v>
      </c>
      <c r="N5251">
        <v>-1.195916E-2</v>
      </c>
      <c r="O5251">
        <v>5.8317509999999996E-3</v>
      </c>
      <c r="P5251">
        <v>0.98544790000000004</v>
      </c>
      <c r="Q5251">
        <v>0.16819289999999901</v>
      </c>
      <c r="R5251">
        <v>-2.456759E-2</v>
      </c>
      <c r="S5251">
        <v>3.2249759999999998</v>
      </c>
      <c r="T5251">
        <v>-1.1058190000000001</v>
      </c>
      <c r="U5251">
        <v>-0.33001710000000001</v>
      </c>
      <c r="V5251">
        <v>3.046544E-2</v>
      </c>
      <c r="W5251">
        <v>0.17993879999999901</v>
      </c>
      <c r="X5251">
        <v>0.98320589999999997</v>
      </c>
      <c r="Y5251">
        <v>0.1013449</v>
      </c>
      <c r="Z5251">
        <v>-1.934872E-2</v>
      </c>
      <c r="AA5251">
        <v>0.99466319999999997</v>
      </c>
      <c r="AB5251">
        <v>29</v>
      </c>
      <c r="AC5251">
        <v>0.67500000000001104</v>
      </c>
      <c r="AD5251">
        <v>-0.29614469999999898</v>
      </c>
      <c r="AE5251">
        <v>-8.9639999999999206E-2</v>
      </c>
      <c r="AF5251">
        <v>7.8690772492442496E-2</v>
      </c>
      <c r="AG5251">
        <v>-0.29614469999999898</v>
      </c>
      <c r="AH5251">
        <v>0.56718270909010704</v>
      </c>
      <c r="AI5251">
        <v>117.34705679219201</v>
      </c>
      <c r="AJ5251">
        <v>82.101222245050906</v>
      </c>
      <c r="AK5251">
        <v>0.64466281613285303</v>
      </c>
      <c r="AL5251">
        <v>79.633804672428397</v>
      </c>
      <c r="AM5251">
        <v>88.225211208500696</v>
      </c>
      <c r="AN5251">
        <v>0.99999997828732101</v>
      </c>
    </row>
    <row r="5252" spans="1:40" x14ac:dyDescent="0.25">
      <c r="A5252" t="str">
        <f>"20190303162407358"</f>
        <v>20190303162407358</v>
      </c>
      <c r="B5252" t="str">
        <f>"1551601447349832"</f>
        <v>1551601447349832</v>
      </c>
      <c r="C5252" t="s">
        <v>40</v>
      </c>
      <c r="D5252">
        <v>5.6978770000000001</v>
      </c>
      <c r="E5252">
        <v>0.52584989999999998</v>
      </c>
      <c r="F5252" t="s">
        <v>42</v>
      </c>
      <c r="G5252">
        <v>-360.92439999999999</v>
      </c>
      <c r="H5252">
        <v>0.88040149999999995</v>
      </c>
      <c r="I5252">
        <v>17.732949999999999</v>
      </c>
      <c r="J5252">
        <v>-361.38130000000001</v>
      </c>
      <c r="K5252">
        <v>1.1204529999999999</v>
      </c>
      <c r="L5252">
        <v>17.805910000000001</v>
      </c>
      <c r="M5252">
        <v>0.99991350000000001</v>
      </c>
      <c r="N5252">
        <v>-1.1968319999999999E-2</v>
      </c>
      <c r="O5252">
        <v>5.485874E-3</v>
      </c>
      <c r="P5252">
        <v>0.98527279999999995</v>
      </c>
      <c r="Q5252">
        <v>0.16896910000000001</v>
      </c>
      <c r="R5252">
        <v>-2.621745E-2</v>
      </c>
      <c r="S5252">
        <v>3.225616</v>
      </c>
      <c r="T5252">
        <v>-1.110492</v>
      </c>
      <c r="U5252">
        <v>-0.33111570000000001</v>
      </c>
      <c r="V5252">
        <v>3.1774129999999998E-2</v>
      </c>
      <c r="W5252">
        <v>0.18072070000000001</v>
      </c>
      <c r="X5252">
        <v>0.98302109999999998</v>
      </c>
      <c r="Y5252">
        <v>0.10128959999999999</v>
      </c>
      <c r="Z5252">
        <v>-1.929958E-2</v>
      </c>
      <c r="AA5252">
        <v>0.99466980000000005</v>
      </c>
      <c r="AB5252">
        <v>29</v>
      </c>
      <c r="AC5252">
        <v>0.45690000000001801</v>
      </c>
      <c r="AD5252">
        <v>-0.2400515</v>
      </c>
      <c r="AE5252">
        <v>-7.2960000000001898E-2</v>
      </c>
      <c r="AF5252">
        <v>5.9460442561309501E-2</v>
      </c>
      <c r="AG5252">
        <v>-0.2400515</v>
      </c>
      <c r="AH5252">
        <v>0.35967745494379899</v>
      </c>
      <c r="AI5252">
        <v>123.363726647088</v>
      </c>
      <c r="AJ5252">
        <v>80.612989504210404</v>
      </c>
      <c r="AK5252">
        <v>0.43649529032589302</v>
      </c>
      <c r="AL5252">
        <v>79.588258915300202</v>
      </c>
      <c r="AM5252">
        <v>88.148676632704806</v>
      </c>
      <c r="AN5252">
        <v>1.0000000248954699</v>
      </c>
    </row>
    <row r="5253" spans="1:40" x14ac:dyDescent="0.25">
      <c r="A5253" t="str">
        <f>"20190303162407379"</f>
        <v>20190303162407379</v>
      </c>
      <c r="B5253" t="str">
        <f>"1551601447370327"</f>
        <v>1551601447370327</v>
      </c>
      <c r="C5253" t="s">
        <v>40</v>
      </c>
      <c r="D5253">
        <v>5.6863449999999904</v>
      </c>
      <c r="E5253">
        <v>0.5259395</v>
      </c>
      <c r="F5253" t="s">
        <v>42</v>
      </c>
      <c r="G5253">
        <v>-360.67520000000002</v>
      </c>
      <c r="H5253">
        <v>0.85516939999999997</v>
      </c>
      <c r="I5253">
        <v>17.740929999999999</v>
      </c>
      <c r="J5253">
        <v>-361.10520000000002</v>
      </c>
      <c r="K5253">
        <v>1.1204590000000001</v>
      </c>
      <c r="L5253">
        <v>17.806979999999999</v>
      </c>
      <c r="M5253">
        <v>0.99991529999999995</v>
      </c>
      <c r="N5253">
        <v>-1.19801E-2</v>
      </c>
      <c r="O5253">
        <v>5.0891920000000002E-3</v>
      </c>
      <c r="P5253">
        <v>0.98499559999999997</v>
      </c>
      <c r="Q5253">
        <v>0.17024790000000001</v>
      </c>
      <c r="R5253">
        <v>-2.827642E-2</v>
      </c>
      <c r="S5253">
        <v>3.2460330000000002</v>
      </c>
      <c r="T5253">
        <v>-1.2196</v>
      </c>
      <c r="U5253">
        <v>-0.298797599999999</v>
      </c>
      <c r="V5253">
        <v>3.3442279999999998E-2</v>
      </c>
      <c r="W5253">
        <v>0.182006</v>
      </c>
      <c r="X5253">
        <v>0.9827285</v>
      </c>
      <c r="Y5253">
        <v>9.0097209999999997E-2</v>
      </c>
      <c r="Z5253">
        <v>-1.8681630000000001E-2</v>
      </c>
      <c r="AA5253">
        <v>0.99575780000000003</v>
      </c>
      <c r="AB5253">
        <v>29</v>
      </c>
      <c r="AC5253">
        <v>0.43000000000000599</v>
      </c>
      <c r="AD5253">
        <v>-0.26528960000000001</v>
      </c>
      <c r="AE5253">
        <v>-6.6050000000000594E-2</v>
      </c>
      <c r="AF5253">
        <v>4.9741093788859103E-2</v>
      </c>
      <c r="AG5253">
        <v>-0.26528960000000001</v>
      </c>
      <c r="AH5253">
        <v>0.31319470689034901</v>
      </c>
      <c r="AI5253">
        <v>129.91447073435299</v>
      </c>
      <c r="AJ5253">
        <v>80.975743975272295</v>
      </c>
      <c r="AK5253">
        <v>0.41345335009357898</v>
      </c>
      <c r="AL5253">
        <v>79.513373851450993</v>
      </c>
      <c r="AM5253">
        <v>88.050975043258404</v>
      </c>
      <c r="AN5253">
        <v>0.99999993741992199</v>
      </c>
    </row>
    <row r="5254" spans="1:40" x14ac:dyDescent="0.25">
      <c r="A5254" t="str">
        <f>"20190303162407393"</f>
        <v>20190303162407393</v>
      </c>
      <c r="B5254" t="str">
        <f>"1551601447380087"</f>
        <v>1551601447380087</v>
      </c>
      <c r="C5254" t="s">
        <v>40</v>
      </c>
      <c r="D5254">
        <v>5.6916580000000003</v>
      </c>
      <c r="E5254">
        <v>0.52581040000000001</v>
      </c>
      <c r="F5254" t="s">
        <v>42</v>
      </c>
      <c r="G5254">
        <v>-360.41370000000001</v>
      </c>
      <c r="H5254">
        <v>0.86057969999999895</v>
      </c>
      <c r="I5254">
        <v>17.74175</v>
      </c>
      <c r="J5254">
        <v>-360.92250000000001</v>
      </c>
      <c r="K5254">
        <v>1.120463</v>
      </c>
      <c r="L5254">
        <v>17.807590000000001</v>
      </c>
      <c r="M5254">
        <v>0.99991660000000004</v>
      </c>
      <c r="N5254">
        <v>-1.1987340000000001E-2</v>
      </c>
      <c r="O5254">
        <v>4.8269489999999996E-3</v>
      </c>
      <c r="P5254">
        <v>0.98487230000000003</v>
      </c>
      <c r="Q5254">
        <v>0.170757299999999</v>
      </c>
      <c r="R5254">
        <v>-2.9477340000000001E-2</v>
      </c>
      <c r="S5254">
        <v>3.247925</v>
      </c>
      <c r="T5254">
        <v>-1.220588</v>
      </c>
      <c r="U5254">
        <v>-0.30398560000000002</v>
      </c>
      <c r="V5254">
        <v>3.4384669999999999E-2</v>
      </c>
      <c r="W5254">
        <v>0.1825203</v>
      </c>
      <c r="X5254">
        <v>0.98260060000000005</v>
      </c>
      <c r="Y5254">
        <v>9.1291259999999999E-2</v>
      </c>
      <c r="Z5254">
        <v>-1.881654E-2</v>
      </c>
      <c r="AA5254">
        <v>0.99564640000000004</v>
      </c>
      <c r="AB5254">
        <v>29</v>
      </c>
      <c r="AC5254">
        <v>0.50880000000000702</v>
      </c>
      <c r="AD5254">
        <v>-0.25988329999999998</v>
      </c>
      <c r="AE5254">
        <v>-6.5840000000001397E-2</v>
      </c>
      <c r="AF5254">
        <v>5.4349481626519099E-2</v>
      </c>
      <c r="AG5254">
        <v>-0.25988329999999998</v>
      </c>
      <c r="AH5254">
        <v>0.40464564362731298</v>
      </c>
      <c r="AI5254">
        <v>122.478105674121</v>
      </c>
      <c r="AJ5254">
        <v>82.350170113686403</v>
      </c>
      <c r="AK5254">
        <v>0.48397447523451398</v>
      </c>
      <c r="AL5254">
        <v>79.483404797161597</v>
      </c>
      <c r="AM5254">
        <v>87.9958358438777</v>
      </c>
      <c r="AN5254">
        <v>0.999999952281728</v>
      </c>
    </row>
    <row r="5255" spans="1:40" x14ac:dyDescent="0.25">
      <c r="A5255" t="str">
        <f>"20190303162407412"</f>
        <v>20190303162407412</v>
      </c>
      <c r="B5255" t="str">
        <f>"1551601447400582"</f>
        <v>1551601447400582</v>
      </c>
      <c r="C5255" t="s">
        <v>40</v>
      </c>
      <c r="D5255">
        <v>5.6872540000000003</v>
      </c>
      <c r="E5255">
        <v>0.52556349999999996</v>
      </c>
      <c r="F5255" t="s">
        <v>42</v>
      </c>
      <c r="G5255">
        <v>-360.1644</v>
      </c>
      <c r="H5255">
        <v>0.83521460000000003</v>
      </c>
      <c r="I5255">
        <v>17.736170000000001</v>
      </c>
      <c r="J5255">
        <v>-360.6764</v>
      </c>
      <c r="K5255">
        <v>1.1204639999999999</v>
      </c>
      <c r="L5255">
        <v>17.80838</v>
      </c>
      <c r="M5255">
        <v>0.99991799999999997</v>
      </c>
      <c r="N5255">
        <v>-1.1996450000000001E-2</v>
      </c>
      <c r="O5255">
        <v>4.473388E-3</v>
      </c>
      <c r="P5255">
        <v>0.98472930000000003</v>
      </c>
      <c r="Q5255">
        <v>0.17112859999999999</v>
      </c>
      <c r="R5255">
        <v>-3.1989660000000003E-2</v>
      </c>
      <c r="S5255">
        <v>3.248901</v>
      </c>
      <c r="T5255">
        <v>-1.222404</v>
      </c>
      <c r="U5255">
        <v>-0.3053284</v>
      </c>
      <c r="V5255">
        <v>3.654868E-2</v>
      </c>
      <c r="W5255">
        <v>0.1828968</v>
      </c>
      <c r="X5255">
        <v>0.98245249999999995</v>
      </c>
      <c r="Y5255">
        <v>9.1324660000000002E-2</v>
      </c>
      <c r="Z5255">
        <v>-1.8719010000000001E-2</v>
      </c>
      <c r="AA5255">
        <v>0.99564520000000001</v>
      </c>
      <c r="AB5255">
        <v>29</v>
      </c>
      <c r="AC5255">
        <v>0.51200000000000001</v>
      </c>
      <c r="AD5255">
        <v>-0.28524939999999899</v>
      </c>
      <c r="AE5255">
        <v>-7.2209999999998303E-2</v>
      </c>
      <c r="AF5255">
        <v>5.7116967297816901E-2</v>
      </c>
      <c r="AG5255">
        <v>-0.28524939999999899</v>
      </c>
      <c r="AH5255">
        <v>0.39228476478265201</v>
      </c>
      <c r="AI5255">
        <v>125.737341334875</v>
      </c>
      <c r="AJ5255">
        <v>81.715902378051794</v>
      </c>
      <c r="AK5255">
        <v>0.48838192517152001</v>
      </c>
      <c r="AL5255">
        <v>79.461463898050695</v>
      </c>
      <c r="AM5255">
        <v>87.869495088996004</v>
      </c>
      <c r="AN5255">
        <v>0.99999998010811597</v>
      </c>
    </row>
    <row r="5256" spans="1:40" x14ac:dyDescent="0.25">
      <c r="A5256" t="str">
        <f>"20190303162407435"</f>
        <v>20190303162407435</v>
      </c>
      <c r="B5256" t="str">
        <f>"1551601447429863"</f>
        <v>1551601447429863</v>
      </c>
      <c r="C5256" t="s">
        <v>40</v>
      </c>
      <c r="D5256">
        <v>5.7045539999999999</v>
      </c>
      <c r="E5256">
        <v>0.5251479</v>
      </c>
      <c r="F5256" t="s">
        <v>42</v>
      </c>
      <c r="G5256">
        <v>-359.90629999999999</v>
      </c>
      <c r="H5256">
        <v>0.83197049999999995</v>
      </c>
      <c r="I5256">
        <v>17.73516</v>
      </c>
      <c r="J5256">
        <v>-360.3784</v>
      </c>
      <c r="K5256">
        <v>1.120466</v>
      </c>
      <c r="L5256">
        <v>17.809170000000002</v>
      </c>
      <c r="M5256">
        <v>0.99991980000000003</v>
      </c>
      <c r="N5256">
        <v>-1.200676E-2</v>
      </c>
      <c r="O5256">
        <v>4.0438970000000003E-3</v>
      </c>
      <c r="P5256">
        <v>0.98446140000000004</v>
      </c>
      <c r="Q5256">
        <v>0.17219679999999901</v>
      </c>
      <c r="R5256">
        <v>-3.441673E-2</v>
      </c>
      <c r="S5256">
        <v>3.2479550000000001</v>
      </c>
      <c r="T5256">
        <v>-1.216623</v>
      </c>
      <c r="U5256">
        <v>-0.3078613</v>
      </c>
      <c r="V5256">
        <v>3.8552210000000003E-2</v>
      </c>
      <c r="W5256">
        <v>0.1839702</v>
      </c>
      <c r="X5256">
        <v>0.98217549999999998</v>
      </c>
      <c r="Y5256">
        <v>9.1748549999999998E-2</v>
      </c>
      <c r="Z5256">
        <v>-1.8571939999999999E-2</v>
      </c>
      <c r="AA5256">
        <v>0.99560899999999997</v>
      </c>
      <c r="AB5256">
        <v>29</v>
      </c>
      <c r="AC5256">
        <v>0.47210000000001101</v>
      </c>
      <c r="AD5256">
        <v>-0.28849550000000002</v>
      </c>
      <c r="AE5256">
        <v>-7.40100000000012E-2</v>
      </c>
      <c r="AF5256">
        <v>5.5639527031895397E-2</v>
      </c>
      <c r="AG5256">
        <v>-0.28849550000000002</v>
      </c>
      <c r="AH5256">
        <v>0.34577209057569402</v>
      </c>
      <c r="AI5256">
        <v>129.48015776846799</v>
      </c>
      <c r="AJ5256">
        <v>80.858676165906701</v>
      </c>
      <c r="AK5256">
        <v>0.453744144986653</v>
      </c>
      <c r="AL5256">
        <v>79.398901366302098</v>
      </c>
      <c r="AM5256">
        <v>87.752188321861595</v>
      </c>
      <c r="AN5256">
        <v>1.0000000100920801</v>
      </c>
    </row>
    <row r="5257" spans="1:40" x14ac:dyDescent="0.25">
      <c r="A5257" t="str">
        <f>"20190303162407458"</f>
        <v>20190303162407458</v>
      </c>
      <c r="B5257" t="str">
        <f>"1551601447450359"</f>
        <v>1551601447450359</v>
      </c>
      <c r="C5257" t="s">
        <v>40</v>
      </c>
      <c r="D5257">
        <v>5.7071759999999996</v>
      </c>
      <c r="E5257">
        <v>0.52492119999999998</v>
      </c>
      <c r="F5257" t="s">
        <v>42</v>
      </c>
      <c r="G5257">
        <v>-359.64120000000003</v>
      </c>
      <c r="H5257">
        <v>0.84651460000000001</v>
      </c>
      <c r="I5257">
        <v>17.738119999999999</v>
      </c>
      <c r="J5257">
        <v>-360.0804</v>
      </c>
      <c r="K5257">
        <v>1.1204769999999999</v>
      </c>
      <c r="L5257">
        <v>17.80988</v>
      </c>
      <c r="M5257">
        <v>0.99992139999999996</v>
      </c>
      <c r="N5257">
        <v>-1.201636E-2</v>
      </c>
      <c r="O5257">
        <v>3.613401E-3</v>
      </c>
      <c r="P5257">
        <v>0.98390089999999997</v>
      </c>
      <c r="Q5257">
        <v>0.174959</v>
      </c>
      <c r="R5257">
        <v>-3.645205E-2</v>
      </c>
      <c r="S5257">
        <v>3.2475589999999999</v>
      </c>
      <c r="T5257">
        <v>-1.2068239999999999</v>
      </c>
      <c r="U5257">
        <v>-0.31210329999999997</v>
      </c>
      <c r="V5257">
        <v>4.0163560000000001E-2</v>
      </c>
      <c r="W5257">
        <v>0.18673390000000001</v>
      </c>
      <c r="X5257">
        <v>0.98158920000000005</v>
      </c>
      <c r="Y5257">
        <v>9.2684000000000002E-2</v>
      </c>
      <c r="Z5257">
        <v>-1.8461020000000002E-2</v>
      </c>
      <c r="AA5257">
        <v>0.99552439999999998</v>
      </c>
      <c r="AB5257">
        <v>29</v>
      </c>
      <c r="AC5257">
        <v>0.439199999999971</v>
      </c>
      <c r="AD5257">
        <v>-0.273962399999999</v>
      </c>
      <c r="AE5257">
        <v>-7.1759999999997603E-2</v>
      </c>
      <c r="AF5257">
        <v>5.31890862117377E-2</v>
      </c>
      <c r="AG5257">
        <v>-0.273962399999999</v>
      </c>
      <c r="AH5257">
        <v>0.31830630081707501</v>
      </c>
      <c r="AI5257">
        <v>130.32851323252501</v>
      </c>
      <c r="AJ5257">
        <v>80.513504254311997</v>
      </c>
      <c r="AK5257">
        <v>0.42332419803934002</v>
      </c>
      <c r="AL5257">
        <v>79.237760740020605</v>
      </c>
      <c r="AM5257">
        <v>87.656942894615597</v>
      </c>
      <c r="AN5257">
        <v>1.0000000092588599</v>
      </c>
    </row>
    <row r="5258" spans="1:40" x14ac:dyDescent="0.25">
      <c r="A5258" t="str">
        <f>"20190303162407472"</f>
        <v>20190303162407472</v>
      </c>
      <c r="B5258" t="str">
        <f>"1551601447460120"</f>
        <v>1551601447460120</v>
      </c>
      <c r="C5258" t="s">
        <v>40</v>
      </c>
      <c r="D5258">
        <v>5.7146759999999999</v>
      </c>
      <c r="E5258">
        <v>0.52492119999999998</v>
      </c>
      <c r="F5258" t="s">
        <v>42</v>
      </c>
      <c r="G5258">
        <v>-359.37599999999998</v>
      </c>
      <c r="H5258">
        <v>0.86123939999999999</v>
      </c>
      <c r="I5258">
        <v>17.74136</v>
      </c>
      <c r="J5258">
        <v>-359.90140000000002</v>
      </c>
      <c r="K5258">
        <v>1.120482</v>
      </c>
      <c r="L5258">
        <v>17.81024</v>
      </c>
      <c r="M5258">
        <v>0.99992219999999998</v>
      </c>
      <c r="N5258">
        <v>-1.202168E-2</v>
      </c>
      <c r="O5258">
        <v>3.3547590000000001E-3</v>
      </c>
      <c r="P5258">
        <v>0.98360749999999997</v>
      </c>
      <c r="Q5258">
        <v>0.17638480000000001</v>
      </c>
      <c r="R5258">
        <v>-3.7477719999999999E-2</v>
      </c>
      <c r="S5258">
        <v>3.250092</v>
      </c>
      <c r="T5258">
        <v>-1.196123</v>
      </c>
      <c r="U5258">
        <v>-0.31527709999999998</v>
      </c>
      <c r="V5258">
        <v>4.0934959999999999E-2</v>
      </c>
      <c r="W5258">
        <v>0.18816099999999999</v>
      </c>
      <c r="X5258">
        <v>0.98128470000000001</v>
      </c>
      <c r="Y5258">
        <v>9.3404429999999997E-2</v>
      </c>
      <c r="Z5258">
        <v>-1.8341650000000001E-2</v>
      </c>
      <c r="AA5258">
        <v>0.99545930000000005</v>
      </c>
      <c r="AB5258">
        <v>29</v>
      </c>
      <c r="AC5258">
        <v>0.52540000000004705</v>
      </c>
      <c r="AD5258">
        <v>-0.25924259999999999</v>
      </c>
      <c r="AE5258">
        <v>-6.8879999999999997E-2</v>
      </c>
      <c r="AF5258">
        <v>5.6999543675779703E-2</v>
      </c>
      <c r="AG5258">
        <v>-0.25924259999999999</v>
      </c>
      <c r="AH5258">
        <v>0.42374337824569802</v>
      </c>
      <c r="AI5258">
        <v>121.229715105753</v>
      </c>
      <c r="AJ5258">
        <v>82.338884480895402</v>
      </c>
      <c r="AK5258">
        <v>0.50001412404159495</v>
      </c>
      <c r="AL5258">
        <v>79.154517749121993</v>
      </c>
      <c r="AM5258">
        <v>87.611252499742207</v>
      </c>
      <c r="AN5258">
        <v>0.999999947662644</v>
      </c>
    </row>
    <row r="5259" spans="1:40" x14ac:dyDescent="0.25">
      <c r="A5259" t="str">
        <f>"20190303162407485"</f>
        <v>20190303162407485</v>
      </c>
      <c r="B5259" t="str">
        <f>"1551601447480615"</f>
        <v>1551601447480615</v>
      </c>
      <c r="C5259" t="s">
        <v>40</v>
      </c>
      <c r="D5259">
        <v>5.9702679999999999</v>
      </c>
      <c r="E5259">
        <v>0.50534369999999995</v>
      </c>
      <c r="F5259" t="s">
        <v>42</v>
      </c>
      <c r="G5259">
        <v>-359.12650000000002</v>
      </c>
      <c r="H5259">
        <v>0.8364859</v>
      </c>
      <c r="I5259">
        <v>17.73462</v>
      </c>
      <c r="J5259">
        <v>-359.7201</v>
      </c>
      <c r="K5259">
        <v>1.120485</v>
      </c>
      <c r="L5259">
        <v>17.810549999999999</v>
      </c>
      <c r="M5259">
        <v>0.99992289999999995</v>
      </c>
      <c r="N5259">
        <v>-1.2026800000000001E-2</v>
      </c>
      <c r="O5259">
        <v>3.092839E-3</v>
      </c>
      <c r="P5259">
        <v>0.98342499999999999</v>
      </c>
      <c r="Q5259">
        <v>0.17716399999999999</v>
      </c>
      <c r="R5259">
        <v>-3.8576569999999998E-2</v>
      </c>
      <c r="S5259">
        <v>3.2515869999999998</v>
      </c>
      <c r="T5259">
        <v>-1.1915960000000001</v>
      </c>
      <c r="U5259">
        <v>-0.31683349999999999</v>
      </c>
      <c r="V5259">
        <v>4.1775960000000001E-2</v>
      </c>
      <c r="W5259">
        <v>0.18894259999999999</v>
      </c>
      <c r="X5259">
        <v>0.9810991</v>
      </c>
      <c r="Y5259">
        <v>9.3625650000000005E-2</v>
      </c>
      <c r="Z5259">
        <v>-1.8221299999999999E-2</v>
      </c>
      <c r="AA5259">
        <v>0.99544069999999996</v>
      </c>
      <c r="AB5259">
        <v>29</v>
      </c>
      <c r="AC5259">
        <v>0.59359999999998003</v>
      </c>
      <c r="AD5259">
        <v>-0.28399909999999901</v>
      </c>
      <c r="AE5259">
        <v>-7.5929999999999595E-2</v>
      </c>
      <c r="AF5259">
        <v>6.3471037039672495E-2</v>
      </c>
      <c r="AG5259">
        <v>-0.28399909999999901</v>
      </c>
      <c r="AH5259">
        <v>0.48429231731831601</v>
      </c>
      <c r="AI5259">
        <v>120.175793642442</v>
      </c>
      <c r="AJ5259">
        <v>82.533408327126594</v>
      </c>
      <c r="AK5259">
        <v>0.56499832739331701</v>
      </c>
      <c r="AL5259">
        <v>79.108917914590194</v>
      </c>
      <c r="AM5259">
        <v>87.561774194640805</v>
      </c>
      <c r="AN5259">
        <v>0.99999999047474497</v>
      </c>
    </row>
    <row r="5260" spans="1:40" x14ac:dyDescent="0.25">
      <c r="A5260" t="str">
        <f>"20190303162407500"</f>
        <v>20190303162407500</v>
      </c>
      <c r="B5260" t="str">
        <f>"1551601447490375"</f>
        <v>1551601447490375</v>
      </c>
      <c r="C5260" t="s">
        <v>40</v>
      </c>
      <c r="D5260">
        <v>5.4921920000000002</v>
      </c>
      <c r="E5260">
        <v>0.47359089999999998</v>
      </c>
      <c r="F5260" t="s">
        <v>42</v>
      </c>
      <c r="G5260">
        <v>-358.79610000000002</v>
      </c>
      <c r="H5260">
        <v>0.9946798</v>
      </c>
      <c r="I5260">
        <v>17.76257</v>
      </c>
      <c r="J5260">
        <v>-359.52760000000001</v>
      </c>
      <c r="K5260">
        <v>1.1204909999999999</v>
      </c>
      <c r="L5260">
        <v>17.81082</v>
      </c>
      <c r="M5260">
        <v>0.99992369999999997</v>
      </c>
      <c r="N5260">
        <v>-1.2031790000000001E-2</v>
      </c>
      <c r="O5260">
        <v>2.8150620000000001E-3</v>
      </c>
      <c r="P5260">
        <v>0.98338950000000003</v>
      </c>
      <c r="Q5260">
        <v>0.17694260000000001</v>
      </c>
      <c r="R5260">
        <v>-4.045547E-2</v>
      </c>
      <c r="S5260">
        <v>3.1207889999999998</v>
      </c>
      <c r="T5260">
        <v>-0.42485119999999998</v>
      </c>
      <c r="U5260">
        <v>-0.1607056</v>
      </c>
      <c r="V5260">
        <v>4.3381450000000002E-2</v>
      </c>
      <c r="W5260">
        <v>0.1887239</v>
      </c>
      <c r="X5260">
        <v>0.98107149999999999</v>
      </c>
      <c r="Y5260">
        <v>5.367885E-2</v>
      </c>
      <c r="Z5260">
        <v>-4.3069429999999997E-3</v>
      </c>
      <c r="AA5260">
        <v>0.99854900000000002</v>
      </c>
      <c r="AB5260">
        <v>29</v>
      </c>
      <c r="AC5260">
        <v>0.73149999999998205</v>
      </c>
      <c r="AD5260">
        <v>-0.12581119999999901</v>
      </c>
      <c r="AE5260">
        <v>-4.8249999999999398E-2</v>
      </c>
      <c r="AF5260">
        <v>4.8869829124749603E-2</v>
      </c>
      <c r="AG5260">
        <v>-0.12581119999999901</v>
      </c>
      <c r="AH5260">
        <v>0.71043700464292303</v>
      </c>
      <c r="AI5260">
        <v>100.019191752859</v>
      </c>
      <c r="AJ5260">
        <v>86.064913582739194</v>
      </c>
      <c r="AK5260">
        <v>0.72314414594196297</v>
      </c>
      <c r="AL5260">
        <v>79.121677890217896</v>
      </c>
      <c r="AM5260">
        <v>87.468119395650803</v>
      </c>
      <c r="AN5260">
        <v>0.99999997437378096</v>
      </c>
    </row>
    <row r="5261" spans="1:40" x14ac:dyDescent="0.25">
      <c r="A5261" t="str">
        <f>"20190303162407523"</f>
        <v>20190303162407523</v>
      </c>
      <c r="B5261" t="str">
        <f>"1551601447509895"</f>
        <v>1551601447509895</v>
      </c>
      <c r="C5261" t="s">
        <v>40</v>
      </c>
      <c r="D5261">
        <v>5.9534849999999997</v>
      </c>
      <c r="E5261">
        <v>0.4754545</v>
      </c>
      <c r="F5261" t="s">
        <v>59</v>
      </c>
      <c r="G5261">
        <v>-279.68</v>
      </c>
      <c r="H5261">
        <v>0.9538219</v>
      </c>
      <c r="I5261">
        <v>20.114049999999999</v>
      </c>
      <c r="J5261">
        <v>-359.24509999999998</v>
      </c>
      <c r="K5261">
        <v>1.1204989999999999</v>
      </c>
      <c r="L5261">
        <v>17.811160000000001</v>
      </c>
      <c r="M5261">
        <v>0.9999247</v>
      </c>
      <c r="N5261">
        <v>-1.2038470000000001E-2</v>
      </c>
      <c r="O5261">
        <v>2.407934E-3</v>
      </c>
      <c r="P5261">
        <v>0.98347399999999996</v>
      </c>
      <c r="Q5261">
        <v>0.17628079999999999</v>
      </c>
      <c r="R5261">
        <v>-4.1286450000000002E-2</v>
      </c>
      <c r="S5261">
        <v>3.0554199999999998</v>
      </c>
      <c r="T5261">
        <v>-6.3775780000000001E-3</v>
      </c>
      <c r="U5261">
        <v>8.8134770000000001E-2</v>
      </c>
      <c r="V5261">
        <v>4.3811599999999999E-2</v>
      </c>
      <c r="W5261">
        <v>0.18806970000000001</v>
      </c>
      <c r="X5261">
        <v>0.98117799999999999</v>
      </c>
      <c r="Y5261">
        <v>-2.6425939999999998E-2</v>
      </c>
      <c r="Z5261">
        <v>2.1063589999999999E-4</v>
      </c>
      <c r="AA5261">
        <v>0.99965079999999995</v>
      </c>
      <c r="AB5261">
        <v>29</v>
      </c>
      <c r="AC5261">
        <v>79.565099999999902</v>
      </c>
      <c r="AD5261">
        <v>-0.166677099999999</v>
      </c>
      <c r="AE5261">
        <v>2.3028899999999899</v>
      </c>
      <c r="AF5261">
        <v>-2.1112726838337901</v>
      </c>
      <c r="AG5261">
        <v>-0.166677099999999</v>
      </c>
      <c r="AH5261">
        <v>79.570066016503304</v>
      </c>
      <c r="AI5261">
        <v>90.119976279765794</v>
      </c>
      <c r="AJ5261">
        <v>91.5199011916974</v>
      </c>
      <c r="AK5261">
        <v>79.598245329101701</v>
      </c>
      <c r="AL5261">
        <v>79.159844166255795</v>
      </c>
      <c r="AM5261">
        <v>87.443324788566301</v>
      </c>
      <c r="AN5261">
        <v>0.99999996801832403</v>
      </c>
    </row>
    <row r="5262" spans="1:40" x14ac:dyDescent="0.25">
      <c r="A5262" t="str">
        <f>"20190303162407534"</f>
        <v>20190303162407534</v>
      </c>
      <c r="B5262" t="str">
        <f>"1551601447529921"</f>
        <v>1551601447529921</v>
      </c>
      <c r="C5262" t="s">
        <v>40</v>
      </c>
      <c r="D5262">
        <v>5.8696699999999904</v>
      </c>
      <c r="E5262">
        <v>0.47873290000000002</v>
      </c>
      <c r="F5262" t="s">
        <v>60</v>
      </c>
      <c r="G5262">
        <v>-279.68</v>
      </c>
      <c r="H5262">
        <v>9.5742229999999998E-2</v>
      </c>
      <c r="I5262">
        <v>19.64629</v>
      </c>
      <c r="J5262">
        <v>-359.09359999999998</v>
      </c>
      <c r="K5262">
        <v>1.1205039999999999</v>
      </c>
      <c r="L5262">
        <v>17.81128</v>
      </c>
      <c r="M5262">
        <v>0.99992530000000002</v>
      </c>
      <c r="N5262">
        <v>-1.2041649999999999E-2</v>
      </c>
      <c r="O5262">
        <v>2.1897079999999998E-3</v>
      </c>
      <c r="P5262">
        <v>0.98342390000000002</v>
      </c>
      <c r="Q5262">
        <v>0.17652190000000001</v>
      </c>
      <c r="R5262">
        <v>-4.1445950000000002E-2</v>
      </c>
      <c r="S5262">
        <v>3.060425</v>
      </c>
      <c r="T5262">
        <v>-3.9416550000000002E-2</v>
      </c>
      <c r="U5262">
        <v>7.0587159999999996E-2</v>
      </c>
      <c r="V5262">
        <v>4.3756730000000001E-2</v>
      </c>
      <c r="W5262">
        <v>0.18831329999999999</v>
      </c>
      <c r="X5262">
        <v>0.98113379999999994</v>
      </c>
      <c r="Y5262">
        <v>-2.0865680000000001E-2</v>
      </c>
      <c r="Z5262">
        <v>2.581738E-4</v>
      </c>
      <c r="AA5262">
        <v>0.99978230000000001</v>
      </c>
      <c r="AB5262">
        <v>29</v>
      </c>
      <c r="AC5262">
        <v>79.413599999999903</v>
      </c>
      <c r="AD5262">
        <v>-1.02476177</v>
      </c>
      <c r="AE5262">
        <v>1.83501</v>
      </c>
      <c r="AF5262">
        <v>-1.66082402484433</v>
      </c>
      <c r="AG5262">
        <v>-1.02476177</v>
      </c>
      <c r="AH5262">
        <v>79.404212993049697</v>
      </c>
      <c r="AI5262">
        <v>90.739235688857505</v>
      </c>
      <c r="AJ5262">
        <v>91.198227783215401</v>
      </c>
      <c r="AK5262">
        <v>79.428190928488107</v>
      </c>
      <c r="AL5262">
        <v>79.145633805761705</v>
      </c>
      <c r="AM5262">
        <v>87.446407666660903</v>
      </c>
      <c r="AN5262">
        <v>1.0000000419398101</v>
      </c>
    </row>
    <row r="5263" spans="1:40" x14ac:dyDescent="0.25">
      <c r="A5263" t="str">
        <f>"20190303162407557"</f>
        <v>20190303162407557</v>
      </c>
      <c r="B5263" t="str">
        <f>"1551601447550419"</f>
        <v>1551601447550419</v>
      </c>
      <c r="C5263" t="s">
        <v>40</v>
      </c>
      <c r="D5263">
        <v>5.9345929999999996</v>
      </c>
      <c r="E5263">
        <v>0.48016710000000001</v>
      </c>
      <c r="F5263" t="s">
        <v>43</v>
      </c>
      <c r="G5263">
        <v>-311.89609999999999</v>
      </c>
      <c r="H5263">
        <v>-0.05</v>
      </c>
      <c r="I5263">
        <v>18.484470000000002</v>
      </c>
      <c r="J5263">
        <v>-358.80090000000001</v>
      </c>
      <c r="K5263">
        <v>1.1205069999999999</v>
      </c>
      <c r="L5263">
        <v>17.811429999999898</v>
      </c>
      <c r="M5263">
        <v>0.99992599999999998</v>
      </c>
      <c r="N5263">
        <v>-1.2047479999999999E-2</v>
      </c>
      <c r="O5263">
        <v>1.768279E-3</v>
      </c>
      <c r="P5263">
        <v>0.98314299999999999</v>
      </c>
      <c r="Q5263">
        <v>0.17801139999999999</v>
      </c>
      <c r="R5263">
        <v>-4.1743019999999999E-2</v>
      </c>
      <c r="S5263">
        <v>3.0661010000000002</v>
      </c>
      <c r="T5263">
        <v>-7.6039670000000004E-2</v>
      </c>
      <c r="U5263">
        <v>4.3731689999999997E-2</v>
      </c>
      <c r="V5263">
        <v>4.3639999999999998E-2</v>
      </c>
      <c r="W5263">
        <v>0.18980549999999999</v>
      </c>
      <c r="X5263">
        <v>0.98085140000000004</v>
      </c>
      <c r="Y5263">
        <v>-1.2487699999999999E-2</v>
      </c>
      <c r="Z5263">
        <v>2.0751999999999999E-4</v>
      </c>
      <c r="AA5263">
        <v>0.99992199999999998</v>
      </c>
      <c r="AB5263">
        <v>29</v>
      </c>
      <c r="AC5263">
        <v>46.904800000000002</v>
      </c>
      <c r="AD5263">
        <v>-1.170507</v>
      </c>
      <c r="AE5263">
        <v>0.67304000000000297</v>
      </c>
      <c r="AF5263">
        <v>-0.58972499100104503</v>
      </c>
      <c r="AG5263">
        <v>-1.170507</v>
      </c>
      <c r="AH5263">
        <v>46.876730411318398</v>
      </c>
      <c r="AI5263">
        <v>91.430259198073998</v>
      </c>
      <c r="AJ5263">
        <v>90.720762101082599</v>
      </c>
      <c r="AK5263">
        <v>46.8950500187118</v>
      </c>
      <c r="AL5263">
        <v>79.058566634244997</v>
      </c>
      <c r="AM5263">
        <v>87.4524786253304</v>
      </c>
      <c r="AN5263">
        <v>1.0000000231560999</v>
      </c>
    </row>
    <row r="5264" spans="1:40" x14ac:dyDescent="0.25">
      <c r="A5264" t="str">
        <f>"20190303162407569"</f>
        <v>20190303162407569</v>
      </c>
      <c r="B5264" t="str">
        <f>"1551601447560178"</f>
        <v>1551601447560178</v>
      </c>
      <c r="C5264" t="s">
        <v>40</v>
      </c>
      <c r="D5264">
        <v>5.932734</v>
      </c>
      <c r="E5264">
        <v>0.48091919999999999</v>
      </c>
      <c r="F5264" t="s">
        <v>41</v>
      </c>
      <c r="G5264">
        <v>-320.32100000000003</v>
      </c>
      <c r="H5264" s="1">
        <v>-4.8065329999999999E-6</v>
      </c>
      <c r="I5264">
        <v>18.20289</v>
      </c>
      <c r="J5264">
        <v>-358.63499999999999</v>
      </c>
      <c r="K5264">
        <v>1.120511</v>
      </c>
      <c r="L5264">
        <v>17.81146</v>
      </c>
      <c r="M5264">
        <v>0.99992630000000005</v>
      </c>
      <c r="N5264">
        <v>-1.2050490000000001E-2</v>
      </c>
      <c r="O5264">
        <v>1.5292529999999999E-3</v>
      </c>
      <c r="P5264">
        <v>0.98296830000000002</v>
      </c>
      <c r="Q5264">
        <v>0.17889349999999901</v>
      </c>
      <c r="R5264">
        <v>-4.207777E-2</v>
      </c>
      <c r="S5264">
        <v>3.0689090000000001</v>
      </c>
      <c r="T5264">
        <v>-8.9364769999999996E-2</v>
      </c>
      <c r="U5264">
        <v>3.1219480000000001E-2</v>
      </c>
      <c r="V5264">
        <v>4.3740559999999998E-2</v>
      </c>
      <c r="W5264">
        <v>0.19068889999999999</v>
      </c>
      <c r="X5264">
        <v>0.98067550000000003</v>
      </c>
      <c r="Y5264">
        <v>-8.6380509999999903E-3</v>
      </c>
      <c r="Z5264">
        <v>1.5170870000000001E-4</v>
      </c>
      <c r="AA5264">
        <v>0.99996269999999998</v>
      </c>
      <c r="AB5264">
        <v>29</v>
      </c>
      <c r="AC5264">
        <v>38.314</v>
      </c>
      <c r="AD5264">
        <v>-1.1205158065330001</v>
      </c>
      <c r="AE5264">
        <v>0.391429999999999</v>
      </c>
      <c r="AF5264">
        <v>-0.33254909158277901</v>
      </c>
      <c r="AG5264">
        <v>-1.1205158065330001</v>
      </c>
      <c r="AH5264">
        <v>38.2818146231944</v>
      </c>
      <c r="AI5264">
        <v>91.676516172228204</v>
      </c>
      <c r="AJ5264">
        <v>90.497708386190396</v>
      </c>
      <c r="AK5264">
        <v>38.2996537244872</v>
      </c>
      <c r="AL5264">
        <v>79.007009271199095</v>
      </c>
      <c r="AM5264">
        <v>87.446158727539895</v>
      </c>
      <c r="AN5264">
        <v>0.99999996473628605</v>
      </c>
    </row>
    <row r="5265" spans="1:40" x14ac:dyDescent="0.25">
      <c r="A5265" t="str">
        <f>"20190303162407581"</f>
        <v>20190303162407581</v>
      </c>
      <c r="B5265" t="str">
        <f>"1551601447569939"</f>
        <v>1551601447569939</v>
      </c>
      <c r="C5265" t="s">
        <v>40</v>
      </c>
      <c r="D5265">
        <v>5.9287809999999999</v>
      </c>
      <c r="E5265">
        <v>0.48149219999999998</v>
      </c>
      <c r="F5265" t="s">
        <v>41</v>
      </c>
      <c r="G5265">
        <v>-320.93150000000003</v>
      </c>
      <c r="H5265" s="1">
        <v>-4.5339379999999997E-6</v>
      </c>
      <c r="I5265">
        <v>18.112829999999999</v>
      </c>
      <c r="J5265">
        <v>-358.47219999999999</v>
      </c>
      <c r="K5265">
        <v>1.120514</v>
      </c>
      <c r="L5265">
        <v>17.81146</v>
      </c>
      <c r="M5265">
        <v>0.9999266</v>
      </c>
      <c r="N5265">
        <v>-1.2053299999999999E-2</v>
      </c>
      <c r="O5265">
        <v>1.2947589999999999E-3</v>
      </c>
      <c r="P5265">
        <v>0.98291229999999996</v>
      </c>
      <c r="Q5265">
        <v>0.1790725</v>
      </c>
      <c r="R5265">
        <v>-4.2619560000000001E-2</v>
      </c>
      <c r="S5265">
        <v>3.0696720000000002</v>
      </c>
      <c r="T5265">
        <v>-9.1227890000000006E-2</v>
      </c>
      <c r="U5265">
        <v>2.453613E-2</v>
      </c>
      <c r="V5265">
        <v>4.4051760000000002E-2</v>
      </c>
      <c r="W5265">
        <v>0.1908695</v>
      </c>
      <c r="X5265">
        <v>0.98062649999999996</v>
      </c>
      <c r="Y5265">
        <v>-6.6940539999999996E-3</v>
      </c>
      <c r="Z5265">
        <v>1.16939E-4</v>
      </c>
      <c r="AA5265">
        <v>0.99997760000000002</v>
      </c>
      <c r="AB5265">
        <v>29</v>
      </c>
      <c r="AC5265">
        <v>37.540699999999902</v>
      </c>
      <c r="AD5265">
        <v>-1.1205185339379999</v>
      </c>
      <c r="AE5265">
        <v>0.30136999999999797</v>
      </c>
      <c r="AF5265">
        <v>-0.25253508966934901</v>
      </c>
      <c r="AG5265">
        <v>-1.1205185339379999</v>
      </c>
      <c r="AH5265">
        <v>37.507645012743502</v>
      </c>
      <c r="AI5265">
        <v>91.711129554158106</v>
      </c>
      <c r="AJ5265">
        <v>90.385760721030906</v>
      </c>
      <c r="AK5265">
        <v>37.525228449116703</v>
      </c>
      <c r="AL5265">
        <v>78.996468747320705</v>
      </c>
      <c r="AM5265">
        <v>87.427884937804706</v>
      </c>
      <c r="AN5265">
        <v>1.0000000280457899</v>
      </c>
    </row>
    <row r="5266" spans="1:40" x14ac:dyDescent="0.25">
      <c r="A5266" t="str">
        <f>"20190303162407601"</f>
        <v>20190303162407601</v>
      </c>
      <c r="B5266" t="str">
        <f>"1551601447590434"</f>
        <v>1551601447590434</v>
      </c>
      <c r="C5266" t="s">
        <v>40</v>
      </c>
      <c r="D5266">
        <v>5.9266100000000002</v>
      </c>
      <c r="E5266">
        <v>0.48210150000000002</v>
      </c>
      <c r="F5266" t="s">
        <v>41</v>
      </c>
      <c r="G5266">
        <v>-323.03179999999998</v>
      </c>
      <c r="H5266" s="1">
        <v>-3.556409E-6</v>
      </c>
      <c r="I5266">
        <v>18.026319999999998</v>
      </c>
      <c r="J5266">
        <v>-358.22379999999998</v>
      </c>
      <c r="K5266">
        <v>1.1205179999999999</v>
      </c>
      <c r="L5266">
        <v>17.81137</v>
      </c>
      <c r="M5266">
        <v>0.99992700000000001</v>
      </c>
      <c r="N5266">
        <v>-1.205708E-2</v>
      </c>
      <c r="O5266">
        <v>9.3670359999999998E-4</v>
      </c>
      <c r="P5266">
        <v>0.98269819999999997</v>
      </c>
      <c r="Q5266">
        <v>0.1800195</v>
      </c>
      <c r="R5266">
        <v>-4.3559309999999997E-2</v>
      </c>
      <c r="S5266">
        <v>3.0706479999999998</v>
      </c>
      <c r="T5266">
        <v>-9.7084760000000006E-2</v>
      </c>
      <c r="U5266">
        <v>1.8615719999999999E-2</v>
      </c>
      <c r="V5266">
        <v>4.4640119999999998E-2</v>
      </c>
      <c r="W5266">
        <v>0.19181680000000001</v>
      </c>
      <c r="X5266">
        <v>0.98041500000000004</v>
      </c>
      <c r="Y5266">
        <v>-5.1222489999999997E-3</v>
      </c>
      <c r="Z5266" s="1">
        <v>9.3530330000000003E-5</v>
      </c>
      <c r="AA5266">
        <v>0.99998690000000001</v>
      </c>
      <c r="AB5266">
        <v>29</v>
      </c>
      <c r="AC5266">
        <v>35.192</v>
      </c>
      <c r="AD5266">
        <v>-1.1205215564090001</v>
      </c>
      <c r="AE5266">
        <v>0.214950000000001</v>
      </c>
      <c r="AF5266">
        <v>-0.18179873968634899</v>
      </c>
      <c r="AG5266">
        <v>-1.1205215564090001</v>
      </c>
      <c r="AH5266">
        <v>35.156545521353301</v>
      </c>
      <c r="AI5266">
        <v>91.825508488494194</v>
      </c>
      <c r="AJ5266">
        <v>90.296280749606893</v>
      </c>
      <c r="AK5266">
        <v>35.174867623562001</v>
      </c>
      <c r="AL5266">
        <v>78.941170395125198</v>
      </c>
      <c r="AM5266">
        <v>87.393017063263301</v>
      </c>
      <c r="AN5266">
        <v>0.99999999865042699</v>
      </c>
    </row>
    <row r="5267" spans="1:40" x14ac:dyDescent="0.25">
      <c r="A5267" t="str">
        <f>"20190303162407624"</f>
        <v>20190303162407624</v>
      </c>
      <c r="B5267" t="str">
        <f>"1551601447609954"</f>
        <v>1551601447609954</v>
      </c>
      <c r="C5267" t="s">
        <v>40</v>
      </c>
      <c r="D5267">
        <v>5.9210349999999998</v>
      </c>
      <c r="E5267">
        <v>0.48268719999999998</v>
      </c>
      <c r="F5267" t="s">
        <v>41</v>
      </c>
      <c r="G5267">
        <v>-324.56200000000001</v>
      </c>
      <c r="H5267" s="1">
        <v>-2.8488230000000002E-6</v>
      </c>
      <c r="I5267">
        <v>17.93777</v>
      </c>
      <c r="J5267">
        <v>-357.93189999999998</v>
      </c>
      <c r="K5267">
        <v>1.120522</v>
      </c>
      <c r="L5267">
        <v>17.811160000000001</v>
      </c>
      <c r="M5267">
        <v>0.99992720000000002</v>
      </c>
      <c r="N5267">
        <v>-1.206086E-2</v>
      </c>
      <c r="O5267">
        <v>5.1588570000000002E-4</v>
      </c>
      <c r="P5267">
        <v>0.98242949999999996</v>
      </c>
      <c r="Q5267">
        <v>0.18113209999999999</v>
      </c>
      <c r="R5267">
        <v>-4.4985259999999999E-2</v>
      </c>
      <c r="S5267">
        <v>3.0720519999999998</v>
      </c>
      <c r="T5267">
        <v>-0.1022609</v>
      </c>
      <c r="U5267">
        <v>1.153564E-2</v>
      </c>
      <c r="V5267">
        <v>4.5653230000000003E-2</v>
      </c>
      <c r="W5267">
        <v>0.19292960000000001</v>
      </c>
      <c r="X5267">
        <v>0.98014999999999997</v>
      </c>
      <c r="Y5267">
        <v>-3.2367559999999999E-3</v>
      </c>
      <c r="Z5267" s="1">
        <v>6.2437240000000002E-5</v>
      </c>
      <c r="AA5267">
        <v>0.99999479999999996</v>
      </c>
      <c r="AB5267">
        <v>29</v>
      </c>
      <c r="AC5267">
        <v>33.369899999999902</v>
      </c>
      <c r="AD5267">
        <v>-1.120524848823</v>
      </c>
      <c r="AE5267">
        <v>0.126609999999999</v>
      </c>
      <c r="AF5267">
        <v>-0.109270472473498</v>
      </c>
      <c r="AG5267">
        <v>-1.120524848823</v>
      </c>
      <c r="AH5267">
        <v>33.332377726519198</v>
      </c>
      <c r="AI5267">
        <v>91.925360162435396</v>
      </c>
      <c r="AJ5267">
        <v>90.187826818786505</v>
      </c>
      <c r="AK5267">
        <v>33.351385591551299</v>
      </c>
      <c r="AL5267">
        <v>78.876198496639006</v>
      </c>
      <c r="AM5267">
        <v>87.333216087296094</v>
      </c>
      <c r="AN5267">
        <v>1.00000003523279</v>
      </c>
    </row>
    <row r="5268" spans="1:40" x14ac:dyDescent="0.25">
      <c r="A5268" t="str">
        <f>"20190303162407639"</f>
        <v>20190303162407639</v>
      </c>
      <c r="B5268" t="str">
        <f>"1551601447630450"</f>
        <v>1551601447630450</v>
      </c>
      <c r="C5268" t="s">
        <v>40</v>
      </c>
      <c r="D5268">
        <v>5.9112859999999996</v>
      </c>
      <c r="E5268">
        <v>0.48298419999999997</v>
      </c>
      <c r="F5268" t="s">
        <v>41</v>
      </c>
      <c r="G5268">
        <v>-325.24790000000002</v>
      </c>
      <c r="H5268" s="1">
        <v>-2.5424169999999998E-6</v>
      </c>
      <c r="I5268">
        <v>17.837119999999999</v>
      </c>
      <c r="J5268">
        <v>-357.73250000000002</v>
      </c>
      <c r="K5268">
        <v>1.1205240000000001</v>
      </c>
      <c r="L5268">
        <v>17.81091</v>
      </c>
      <c r="M5268">
        <v>0.99992729999999996</v>
      </c>
      <c r="N5268">
        <v>-1.2063040000000001E-2</v>
      </c>
      <c r="O5268">
        <v>2.2864740000000001E-4</v>
      </c>
      <c r="P5268">
        <v>0.98218240000000001</v>
      </c>
      <c r="Q5268">
        <v>0.18221270000000001</v>
      </c>
      <c r="R5268">
        <v>-4.6004650000000001E-2</v>
      </c>
      <c r="S5268">
        <v>3.0731809999999999</v>
      </c>
      <c r="T5268">
        <v>-0.1053598</v>
      </c>
      <c r="U5268">
        <v>2.4414060000000001E-3</v>
      </c>
      <c r="V5268">
        <v>4.6391259999999997E-2</v>
      </c>
      <c r="W5268">
        <v>0.19400890000000001</v>
      </c>
      <c r="X5268">
        <v>0.9799023</v>
      </c>
      <c r="Y5268">
        <v>-5.6536620000000005E-4</v>
      </c>
      <c r="Z5268" s="1">
        <v>8.0212489999999994E-6</v>
      </c>
      <c r="AA5268">
        <v>0.99999979999999999</v>
      </c>
      <c r="AB5268">
        <v>29</v>
      </c>
      <c r="AC5268">
        <v>32.4846</v>
      </c>
      <c r="AD5268">
        <v>-1.1205265424169999</v>
      </c>
      <c r="AE5268">
        <v>2.6210000000002499E-2</v>
      </c>
      <c r="AF5268">
        <v>-1.8759619193052201E-2</v>
      </c>
      <c r="AG5268">
        <v>-1.1205265424169999</v>
      </c>
      <c r="AH5268">
        <v>32.445999560157397</v>
      </c>
      <c r="AI5268">
        <v>91.9779302935288</v>
      </c>
      <c r="AJ5268">
        <v>90.033127254510006</v>
      </c>
      <c r="AK5268">
        <v>32.465347974622198</v>
      </c>
      <c r="AL5268">
        <v>78.813168568921398</v>
      </c>
      <c r="AM5268">
        <v>87.289484645308505</v>
      </c>
      <c r="AN5268">
        <v>1.0000000599144401</v>
      </c>
    </row>
    <row r="5269" spans="1:40" x14ac:dyDescent="0.25">
      <c r="A5269" t="str">
        <f>"20190303162407669"</f>
        <v>20190303162407669</v>
      </c>
      <c r="B5269" t="str">
        <f>"1551601447659730"</f>
        <v>1551601447659730</v>
      </c>
      <c r="C5269" t="s">
        <v>40</v>
      </c>
      <c r="D5269">
        <v>5.9640680000000001</v>
      </c>
      <c r="E5269">
        <v>0.48297109999999899</v>
      </c>
      <c r="F5269" t="s">
        <v>41</v>
      </c>
      <c r="G5269">
        <v>-326.13639999999998</v>
      </c>
      <c r="H5269" s="1">
        <v>-2.1334650000000001E-6</v>
      </c>
      <c r="I5269">
        <v>17.774850000000001</v>
      </c>
      <c r="J5269">
        <v>-357.33909999999997</v>
      </c>
      <c r="K5269">
        <v>1.1205339999999999</v>
      </c>
      <c r="L5269">
        <v>17.81033</v>
      </c>
      <c r="M5269">
        <v>0.99992720000000002</v>
      </c>
      <c r="N5269">
        <v>-1.206516E-2</v>
      </c>
      <c r="O5269">
        <v>-3.3806150000000002E-4</v>
      </c>
      <c r="P5269">
        <v>0.98178200000000004</v>
      </c>
      <c r="Q5269">
        <v>0.18367030000000001</v>
      </c>
      <c r="R5269">
        <v>-4.867668E-2</v>
      </c>
      <c r="S5269">
        <v>3.0745239999999998</v>
      </c>
      <c r="T5269">
        <v>-0.10903500000000001</v>
      </c>
      <c r="U5269">
        <v>-3.5095209999999998E-3</v>
      </c>
      <c r="V5269">
        <v>4.8507660000000001E-2</v>
      </c>
      <c r="W5269">
        <v>0.19546250000000001</v>
      </c>
      <c r="X5269">
        <v>0.97951080000000001</v>
      </c>
      <c r="Y5269">
        <v>8.0281389999999997E-4</v>
      </c>
      <c r="Z5269" s="1">
        <v>-1.11691E-5</v>
      </c>
      <c r="AA5269">
        <v>0.99999970000000005</v>
      </c>
      <c r="AB5269">
        <v>29</v>
      </c>
      <c r="AC5269">
        <v>31.2027</v>
      </c>
      <c r="AD5269">
        <v>-1.1205361334649999</v>
      </c>
      <c r="AE5269">
        <v>-3.5479999999999699E-2</v>
      </c>
      <c r="AF5269">
        <v>2.48986888063122E-2</v>
      </c>
      <c r="AG5269">
        <v>-1.1205361334649999</v>
      </c>
      <c r="AH5269">
        <v>31.162521932366602</v>
      </c>
      <c r="AI5269">
        <v>92.059343016716198</v>
      </c>
      <c r="AJ5269">
        <v>89.954220987520401</v>
      </c>
      <c r="AK5269">
        <v>31.182671379410898</v>
      </c>
      <c r="AL5269">
        <v>78.728257123753494</v>
      </c>
      <c r="AM5269">
        <v>87.164895476066107</v>
      </c>
      <c r="AN5269">
        <v>0.99999999465078204</v>
      </c>
    </row>
    <row r="5270" spans="1:40" x14ac:dyDescent="0.25">
      <c r="A5270" t="str">
        <f>"20190303162407689"</f>
        <v>20190303162407689</v>
      </c>
      <c r="B5270" t="str">
        <f>"1551601447680225"</f>
        <v>1551601447680225</v>
      </c>
      <c r="C5270" t="s">
        <v>40</v>
      </c>
      <c r="D5270">
        <v>5.962421</v>
      </c>
      <c r="E5270">
        <v>0.48310789999999998</v>
      </c>
      <c r="F5270" t="s">
        <v>41</v>
      </c>
      <c r="G5270">
        <v>-326.14299999999997</v>
      </c>
      <c r="H5270" s="1">
        <v>-2.1457329999999999E-6</v>
      </c>
      <c r="I5270">
        <v>17.68807</v>
      </c>
      <c r="J5270">
        <v>-357.07170000000002</v>
      </c>
      <c r="K5270">
        <v>1.120536</v>
      </c>
      <c r="L5270">
        <v>17.80978</v>
      </c>
      <c r="M5270">
        <v>0.99992700000000001</v>
      </c>
      <c r="N5270">
        <v>-1.206109E-2</v>
      </c>
      <c r="O5270">
        <v>-7.2186129999999996E-4</v>
      </c>
      <c r="P5270">
        <v>0.98172020000000004</v>
      </c>
      <c r="Q5270">
        <v>0.18356069999999999</v>
      </c>
      <c r="R5270">
        <v>-5.0311160000000001E-2</v>
      </c>
      <c r="S5270">
        <v>3.0757750000000001</v>
      </c>
      <c r="T5270">
        <v>-0.1104792</v>
      </c>
      <c r="U5270">
        <v>-1.205444E-2</v>
      </c>
      <c r="V5270">
        <v>4.9764790000000003E-2</v>
      </c>
      <c r="W5270">
        <v>0.19534699999999999</v>
      </c>
      <c r="X5270">
        <v>0.97947079999999997</v>
      </c>
      <c r="Y5270">
        <v>3.1946700000000001E-3</v>
      </c>
      <c r="Z5270" s="1">
        <v>-5.9415549999999997E-5</v>
      </c>
      <c r="AA5270">
        <v>0.99999490000000002</v>
      </c>
      <c r="AB5270">
        <v>29</v>
      </c>
      <c r="AC5270">
        <v>30.928699999999999</v>
      </c>
      <c r="AD5270">
        <v>-1.1205381457329999</v>
      </c>
      <c r="AE5270">
        <v>-0.12171</v>
      </c>
      <c r="AF5270">
        <v>9.9251837367721807E-2</v>
      </c>
      <c r="AG5270">
        <v>-1.1205381457329999</v>
      </c>
      <c r="AH5270">
        <v>30.888236760877401</v>
      </c>
      <c r="AI5270">
        <v>92.077607543438006</v>
      </c>
      <c r="AJ5270">
        <v>89.815894579466203</v>
      </c>
      <c r="AK5270">
        <v>30.908714416152701</v>
      </c>
      <c r="AL5270">
        <v>78.735005112787405</v>
      </c>
      <c r="AM5270">
        <v>87.091426579590802</v>
      </c>
      <c r="AN5270">
        <v>1.0000000163926901</v>
      </c>
    </row>
    <row r="5271" spans="1:40" x14ac:dyDescent="0.25">
      <c r="A5271" t="str">
        <f>"20190303162407703"</f>
        <v>20190303162407703</v>
      </c>
      <c r="B5271" t="str">
        <f>"1551601447689987"</f>
        <v>1551601447689987</v>
      </c>
      <c r="C5271" t="s">
        <v>40</v>
      </c>
      <c r="D5271">
        <v>5.9620449999999998</v>
      </c>
      <c r="E5271">
        <v>0.48317349999999998</v>
      </c>
      <c r="F5271" t="s">
        <v>41</v>
      </c>
      <c r="G5271">
        <v>-327.48649999999998</v>
      </c>
      <c r="H5271" s="1">
        <v>-1.520849E-6</v>
      </c>
      <c r="I5271">
        <v>17.630479999999999</v>
      </c>
      <c r="J5271">
        <v>-356.9008</v>
      </c>
      <c r="K5271">
        <v>1.1205350000000001</v>
      </c>
      <c r="L5271">
        <v>17.80939</v>
      </c>
      <c r="M5271">
        <v>0.99992689999999995</v>
      </c>
      <c r="N5271">
        <v>-1.2056819999999999E-2</v>
      </c>
      <c r="O5271">
        <v>-9.6726359999999999E-4</v>
      </c>
      <c r="P5271">
        <v>0.98168770000000005</v>
      </c>
      <c r="Q5271">
        <v>0.1836082</v>
      </c>
      <c r="R5271">
        <v>-5.0769219999999997E-2</v>
      </c>
      <c r="S5271">
        <v>3.0766909999999998</v>
      </c>
      <c r="T5271">
        <v>-0.11652949999999999</v>
      </c>
      <c r="U5271">
        <v>-1.8646240000000001E-2</v>
      </c>
      <c r="V5271">
        <v>4.9981810000000002E-2</v>
      </c>
      <c r="W5271">
        <v>0.19539000000000001</v>
      </c>
      <c r="X5271">
        <v>0.97945119999999997</v>
      </c>
      <c r="Y5271">
        <v>5.0885669999999996E-3</v>
      </c>
      <c r="Z5271">
        <v>-1.020591E-4</v>
      </c>
      <c r="AA5271">
        <v>0.99998710000000002</v>
      </c>
      <c r="AB5271">
        <v>29</v>
      </c>
      <c r="AC5271">
        <v>29.414300000000001</v>
      </c>
      <c r="AD5271">
        <v>-1.1205365208489999</v>
      </c>
      <c r="AE5271">
        <v>-0.17891000000000101</v>
      </c>
      <c r="AF5271">
        <v>0.150238446102618</v>
      </c>
      <c r="AG5271">
        <v>-1.1205365208489999</v>
      </c>
      <c r="AH5271">
        <v>29.371835714252899</v>
      </c>
      <c r="AI5271">
        <v>92.184747848632995</v>
      </c>
      <c r="AJ5271">
        <v>89.706931705105703</v>
      </c>
      <c r="AK5271">
        <v>29.393586152599799</v>
      </c>
      <c r="AL5271">
        <v>78.732493292597994</v>
      </c>
      <c r="AM5271">
        <v>87.078706105417794</v>
      </c>
      <c r="AN5271">
        <v>1.00000004330615</v>
      </c>
    </row>
    <row r="5272" spans="1:40" x14ac:dyDescent="0.25">
      <c r="A5272" t="str">
        <f>"20190303162407716"</f>
        <v>20190303162407716</v>
      </c>
      <c r="B5272" t="str">
        <f>"1551601447699746"</f>
        <v>1551601447699746</v>
      </c>
      <c r="C5272" t="s">
        <v>40</v>
      </c>
      <c r="D5272">
        <v>5.9633289999999999</v>
      </c>
      <c r="E5272">
        <v>0.48328520000000003</v>
      </c>
      <c r="F5272" t="s">
        <v>41</v>
      </c>
      <c r="G5272">
        <v>-328.12119999999999</v>
      </c>
      <c r="H5272" s="1">
        <v>-1.2380310000000001E-6</v>
      </c>
      <c r="I5272">
        <v>17.615590000000001</v>
      </c>
      <c r="J5272">
        <v>-356.7294</v>
      </c>
      <c r="K5272">
        <v>1.1205339999999999</v>
      </c>
      <c r="L5272">
        <v>17.808959999999999</v>
      </c>
      <c r="M5272">
        <v>0.99992669999999995</v>
      </c>
      <c r="N5272">
        <v>-1.205203E-2</v>
      </c>
      <c r="O5272">
        <v>-1.213734E-3</v>
      </c>
      <c r="P5272">
        <v>0.98168270000000002</v>
      </c>
      <c r="Q5272">
        <v>0.18345910000000001</v>
      </c>
      <c r="R5272">
        <v>-5.1398970000000002E-2</v>
      </c>
      <c r="S5272">
        <v>3.0772710000000001</v>
      </c>
      <c r="T5272">
        <v>-0.1198137</v>
      </c>
      <c r="U5272">
        <v>-2.0721440000000001E-2</v>
      </c>
      <c r="V5272">
        <v>5.0369039999999997E-2</v>
      </c>
      <c r="W5272">
        <v>0.1952361</v>
      </c>
      <c r="X5272">
        <v>0.97946200000000005</v>
      </c>
      <c r="Y5272">
        <v>5.5147199999999999E-3</v>
      </c>
      <c r="Z5272">
        <v>-1.0795210000000001E-4</v>
      </c>
      <c r="AA5272">
        <v>0.99998480000000001</v>
      </c>
      <c r="AB5272">
        <v>29</v>
      </c>
      <c r="AC5272">
        <v>28.6082</v>
      </c>
      <c r="AD5272">
        <v>-1.1205352380310001</v>
      </c>
      <c r="AE5272">
        <v>-0.19336999999999799</v>
      </c>
      <c r="AF5272">
        <v>0.15840159084731101</v>
      </c>
      <c r="AG5272">
        <v>-1.1205352380310001</v>
      </c>
      <c r="AH5272">
        <v>28.564593056676799</v>
      </c>
      <c r="AI5272">
        <v>92.246419274759106</v>
      </c>
      <c r="AJ5272">
        <v>89.682276250978703</v>
      </c>
      <c r="AK5272">
        <v>28.587001710168899</v>
      </c>
      <c r="AL5272">
        <v>78.741483687333499</v>
      </c>
      <c r="AM5272">
        <v>87.056145681480501</v>
      </c>
      <c r="AN5272">
        <v>0.99999999218886504</v>
      </c>
    </row>
    <row r="5273" spans="1:40" x14ac:dyDescent="0.25">
      <c r="A5273" t="str">
        <f>"20190303162407735"</f>
        <v>20190303162407735</v>
      </c>
      <c r="B5273" t="str">
        <f>"1551601447720242"</f>
        <v>1551601447720242</v>
      </c>
      <c r="C5273" t="s">
        <v>40</v>
      </c>
      <c r="D5273">
        <v>5.9022050000000004</v>
      </c>
      <c r="E5273">
        <v>0.48339409999999999</v>
      </c>
      <c r="F5273" t="s">
        <v>41</v>
      </c>
      <c r="G5273">
        <v>-328.5299</v>
      </c>
      <c r="H5273" s="1">
        <v>-1.0863310000000001E-6</v>
      </c>
      <c r="I5273">
        <v>17.595879999999902</v>
      </c>
      <c r="J5273">
        <v>-356.4796</v>
      </c>
      <c r="K5273">
        <v>1.1205309999999999</v>
      </c>
      <c r="L5273">
        <v>17.808260000000001</v>
      </c>
      <c r="M5273">
        <v>0.99992630000000005</v>
      </c>
      <c r="N5273">
        <v>-1.204538E-2</v>
      </c>
      <c r="O5273">
        <v>-1.5728420000000001E-3</v>
      </c>
      <c r="P5273">
        <v>0.98175590000000001</v>
      </c>
      <c r="Q5273">
        <v>0.1827529</v>
      </c>
      <c r="R5273">
        <v>-5.2509559999999997E-2</v>
      </c>
      <c r="S5273">
        <v>3.0776059999999998</v>
      </c>
      <c r="T5273">
        <v>-0.12229180000000001</v>
      </c>
      <c r="U5273">
        <v>-2.325439E-2</v>
      </c>
      <c r="V5273">
        <v>5.1125669999999998E-2</v>
      </c>
      <c r="W5273">
        <v>0.1945239</v>
      </c>
      <c r="X5273">
        <v>0.97956449999999995</v>
      </c>
      <c r="Y5273">
        <v>5.977319E-3</v>
      </c>
      <c r="Z5273">
        <v>-1.111966E-4</v>
      </c>
      <c r="AA5273">
        <v>0.99998209999999998</v>
      </c>
      <c r="AB5273">
        <v>29</v>
      </c>
      <c r="AC5273">
        <v>27.9497</v>
      </c>
      <c r="AD5273">
        <v>-1.120532086331</v>
      </c>
      <c r="AE5273">
        <v>-0.21238000000000301</v>
      </c>
      <c r="AF5273">
        <v>0.16814584591658499</v>
      </c>
      <c r="AG5273">
        <v>-1.120532086331</v>
      </c>
      <c r="AH5273">
        <v>27.905150403142699</v>
      </c>
      <c r="AI5273">
        <v>92.299436530277006</v>
      </c>
      <c r="AJ5273">
        <v>89.654761555517695</v>
      </c>
      <c r="AK5273">
        <v>27.928145019030801</v>
      </c>
      <c r="AL5273">
        <v>78.783087447363897</v>
      </c>
      <c r="AM5273">
        <v>87.012315540190997</v>
      </c>
      <c r="AN5273">
        <v>0.99999999573220399</v>
      </c>
    </row>
    <row r="5274" spans="1:40" x14ac:dyDescent="0.25">
      <c r="A5274" t="str">
        <f>"20190303162407748"</f>
        <v>20190303162407748</v>
      </c>
      <c r="B5274" t="str">
        <f>"1551601447739763"</f>
        <v>1551601447739763</v>
      </c>
      <c r="C5274" t="s">
        <v>40</v>
      </c>
      <c r="D5274">
        <v>5.9066809999999998</v>
      </c>
      <c r="E5274">
        <v>0.48340159999999999</v>
      </c>
      <c r="F5274" t="s">
        <v>41</v>
      </c>
      <c r="G5274">
        <v>-329.8184</v>
      </c>
      <c r="H5274" s="1">
        <v>-5.9698899999999997E-7</v>
      </c>
      <c r="I5274">
        <v>17.575399999999998</v>
      </c>
      <c r="J5274">
        <v>-356.31479999999999</v>
      </c>
      <c r="K5274">
        <v>1.120519</v>
      </c>
      <c r="L5274">
        <v>17.807739999999999</v>
      </c>
      <c r="M5274">
        <v>0.99992599999999998</v>
      </c>
      <c r="N5274">
        <v>-1.204119E-2</v>
      </c>
      <c r="O5274">
        <v>-1.809911E-3</v>
      </c>
      <c r="P5274">
        <v>0.98180020000000001</v>
      </c>
      <c r="Q5274">
        <v>0.18239549999999999</v>
      </c>
      <c r="R5274">
        <v>-5.2922190000000001E-2</v>
      </c>
      <c r="S5274">
        <v>3.0783999999999998</v>
      </c>
      <c r="T5274">
        <v>-0.12938050000000001</v>
      </c>
      <c r="U5274">
        <v>-2.6885989999999999E-2</v>
      </c>
      <c r="V5274">
        <v>5.1305200000000002E-2</v>
      </c>
      <c r="W5274">
        <v>0.19416320000000001</v>
      </c>
      <c r="X5274">
        <v>0.97962669999999996</v>
      </c>
      <c r="Y5274">
        <v>6.9163920000000004E-3</v>
      </c>
      <c r="Z5274">
        <v>-1.3269700000000001E-4</v>
      </c>
      <c r="AA5274">
        <v>0.99997610000000003</v>
      </c>
      <c r="AB5274">
        <v>29</v>
      </c>
      <c r="AC5274">
        <v>26.496399999999898</v>
      </c>
      <c r="AD5274">
        <v>-1.1205195969890001</v>
      </c>
      <c r="AE5274">
        <v>-0.23233999999999999</v>
      </c>
      <c r="AF5274">
        <v>0.18405089143258899</v>
      </c>
      <c r="AG5274">
        <v>-1.1205195969890001</v>
      </c>
      <c r="AH5274">
        <v>26.449478474792699</v>
      </c>
      <c r="AI5274">
        <v>92.425799256208194</v>
      </c>
      <c r="AJ5274">
        <v>89.601308997403194</v>
      </c>
      <c r="AK5274">
        <v>26.473842760098002</v>
      </c>
      <c r="AL5274">
        <v>78.804156026138102</v>
      </c>
      <c r="AM5274">
        <v>87.002033281196205</v>
      </c>
      <c r="AN5274">
        <v>1.0000000215670799</v>
      </c>
    </row>
    <row r="5275" spans="1:40" x14ac:dyDescent="0.25">
      <c r="A5275" t="str">
        <f>"20190303162407761"</f>
        <v>20190303162407761</v>
      </c>
      <c r="B5275" t="str">
        <f>"1551601447750498"</f>
        <v>1551601447750498</v>
      </c>
      <c r="C5275" t="s">
        <v>40</v>
      </c>
      <c r="D5275">
        <v>5.9033579999999999</v>
      </c>
      <c r="E5275">
        <v>0.48339140000000003</v>
      </c>
      <c r="F5275" t="s">
        <v>41</v>
      </c>
      <c r="G5275">
        <v>-330.69569999999999</v>
      </c>
      <c r="H5275" s="1">
        <v>-4.335584E-6</v>
      </c>
      <c r="I5275">
        <v>17.57685</v>
      </c>
      <c r="J5275">
        <v>-356.13889999999998</v>
      </c>
      <c r="K5275">
        <v>1.1205149999999999</v>
      </c>
      <c r="L5275">
        <v>17.80716</v>
      </c>
      <c r="M5275">
        <v>0.99992539999999996</v>
      </c>
      <c r="N5275">
        <v>-1.203686E-2</v>
      </c>
      <c r="O5275">
        <v>-2.0625980000000001E-3</v>
      </c>
      <c r="P5275">
        <v>0.98186870000000004</v>
      </c>
      <c r="Q5275">
        <v>0.1819325</v>
      </c>
      <c r="R5275">
        <v>-5.3239670000000003E-2</v>
      </c>
      <c r="S5275">
        <v>3.079132</v>
      </c>
      <c r="T5275">
        <v>-0.1346745</v>
      </c>
      <c r="U5275">
        <v>-2.7740480000000001E-2</v>
      </c>
      <c r="V5275">
        <v>5.137398E-2</v>
      </c>
      <c r="W5275">
        <v>0.1936968</v>
      </c>
      <c r="X5275">
        <v>0.97971540000000001</v>
      </c>
      <c r="Y5275">
        <v>6.9387140000000003E-3</v>
      </c>
      <c r="Z5275">
        <v>-1.2810520000000001E-4</v>
      </c>
      <c r="AA5275">
        <v>0.99997590000000003</v>
      </c>
      <c r="AB5275">
        <v>29</v>
      </c>
      <c r="AC5275">
        <v>25.443199999999901</v>
      </c>
      <c r="AD5275">
        <v>-1.120519335584</v>
      </c>
      <c r="AE5275">
        <v>-0.23030999999999899</v>
      </c>
      <c r="AF5275">
        <v>0.177482409752688</v>
      </c>
      <c r="AG5275">
        <v>-1.120519335584</v>
      </c>
      <c r="AH5275">
        <v>25.3943719732113</v>
      </c>
      <c r="AI5275">
        <v>92.526459260635306</v>
      </c>
      <c r="AJ5275">
        <v>89.599563735691802</v>
      </c>
      <c r="AK5275">
        <v>25.4197008538851</v>
      </c>
      <c r="AL5275">
        <v>78.831395679166306</v>
      </c>
      <c r="AM5275">
        <v>86.998292830473005</v>
      </c>
      <c r="AN5275">
        <v>1.00000000057422</v>
      </c>
    </row>
    <row r="5276" spans="1:40" x14ac:dyDescent="0.25">
      <c r="A5276" t="str">
        <f>"20190303162407779"</f>
        <v>20190303162407779</v>
      </c>
      <c r="B5276" t="str">
        <f>"1551601447770018"</f>
        <v>1551601447770018</v>
      </c>
      <c r="C5276" t="s">
        <v>40</v>
      </c>
      <c r="D5276">
        <v>5.9572250000000002</v>
      </c>
      <c r="E5276">
        <v>0.483593</v>
      </c>
      <c r="F5276" t="s">
        <v>41</v>
      </c>
      <c r="G5276">
        <v>-331.10640000000001</v>
      </c>
      <c r="H5276" s="1">
        <v>-4.1596010000000002E-6</v>
      </c>
      <c r="I5276">
        <v>17.575620000000001</v>
      </c>
      <c r="J5276">
        <v>-355.91070000000002</v>
      </c>
      <c r="K5276">
        <v>1.1205069999999999</v>
      </c>
      <c r="L5276">
        <v>17.806339999999999</v>
      </c>
      <c r="M5276">
        <v>0.99992499999999995</v>
      </c>
      <c r="N5276">
        <v>-1.203138E-2</v>
      </c>
      <c r="O5276">
        <v>-2.3897900000000001E-3</v>
      </c>
      <c r="P5276">
        <v>0.98197029999999996</v>
      </c>
      <c r="Q5276">
        <v>0.18122179999999999</v>
      </c>
      <c r="R5276">
        <v>-5.3789599999999903E-2</v>
      </c>
      <c r="S5276">
        <v>3.0793759999999999</v>
      </c>
      <c r="T5276">
        <v>-0.13784109999999999</v>
      </c>
      <c r="U5276">
        <v>-2.8472899999999999E-2</v>
      </c>
      <c r="V5276">
        <v>5.1602149999999999E-2</v>
      </c>
      <c r="W5276">
        <v>0.19298199999999999</v>
      </c>
      <c r="X5276">
        <v>0.97984450000000001</v>
      </c>
      <c r="Y5276">
        <v>6.8486170000000004E-3</v>
      </c>
      <c r="Z5276">
        <v>-1.162542E-4</v>
      </c>
      <c r="AA5276">
        <v>0.99997650000000005</v>
      </c>
      <c r="AB5276">
        <v>29</v>
      </c>
      <c r="AC5276">
        <v>24.804300000000001</v>
      </c>
      <c r="AD5276">
        <v>-1.120511159601</v>
      </c>
      <c r="AE5276">
        <v>-0.23071999999999801</v>
      </c>
      <c r="AF5276">
        <v>0.17108888588000801</v>
      </c>
      <c r="AG5276">
        <v>-1.120511159601</v>
      </c>
      <c r="AH5276">
        <v>24.754268991866599</v>
      </c>
      <c r="AI5276">
        <v>92.591683721237203</v>
      </c>
      <c r="AJ5276">
        <v>89.604007090523396</v>
      </c>
      <c r="AK5276">
        <v>24.780206818897799</v>
      </c>
      <c r="AL5276">
        <v>78.873138741096199</v>
      </c>
      <c r="AM5276">
        <v>86.985382243366502</v>
      </c>
      <c r="AN5276">
        <v>1.0000000391944299</v>
      </c>
    </row>
    <row r="5277" spans="1:40" x14ac:dyDescent="0.25">
      <c r="A5277" t="str">
        <f>"20190303162407805"</f>
        <v>20190303162407805</v>
      </c>
      <c r="B5277" t="str">
        <f>"1551601447790514"</f>
        <v>1551601447790514</v>
      </c>
      <c r="C5277" t="s">
        <v>40</v>
      </c>
      <c r="D5277">
        <v>5.9595849999999997</v>
      </c>
      <c r="E5277">
        <v>0.483593</v>
      </c>
      <c r="F5277" t="s">
        <v>41</v>
      </c>
      <c r="G5277">
        <v>-331.69330000000002</v>
      </c>
      <c r="H5277" s="1">
        <v>-3.9116750000000001E-6</v>
      </c>
      <c r="I5277">
        <v>17.554029999999901</v>
      </c>
      <c r="J5277">
        <v>-355.5881</v>
      </c>
      <c r="K5277">
        <v>1.1205050000000001</v>
      </c>
      <c r="L5277">
        <v>17.805019999999999</v>
      </c>
      <c r="M5277">
        <v>0.99992360000000002</v>
      </c>
      <c r="N5277">
        <v>-1.202398E-2</v>
      </c>
      <c r="O5277">
        <v>-2.8513190000000002E-3</v>
      </c>
      <c r="P5277">
        <v>0.98210850000000005</v>
      </c>
      <c r="Q5277">
        <v>0.18004800000000001</v>
      </c>
      <c r="R5277">
        <v>-5.5189120000000001E-2</v>
      </c>
      <c r="S5277">
        <v>3.0796199999999998</v>
      </c>
      <c r="T5277">
        <v>-0.14249039999999999</v>
      </c>
      <c r="U5277">
        <v>-3.207397E-2</v>
      </c>
      <c r="V5277">
        <v>5.2547400000000001E-2</v>
      </c>
      <c r="W5277">
        <v>0.19180240000000001</v>
      </c>
      <c r="X5277">
        <v>0.98002579999999995</v>
      </c>
      <c r="Y5277">
        <v>7.55442099999999E-3</v>
      </c>
      <c r="Z5277">
        <v>-1.2253819999999901E-4</v>
      </c>
      <c r="AA5277">
        <v>0.99997139999999995</v>
      </c>
      <c r="AB5277">
        <v>29</v>
      </c>
      <c r="AC5277">
        <v>23.894799999999901</v>
      </c>
      <c r="AD5277">
        <v>-1.12050891167499</v>
      </c>
      <c r="AE5277">
        <v>-0.25099000000000499</v>
      </c>
      <c r="AF5277">
        <v>0.18245118908020899</v>
      </c>
      <c r="AG5277">
        <v>-1.12050891167499</v>
      </c>
      <c r="AH5277">
        <v>23.8429937672833</v>
      </c>
      <c r="AI5277">
        <v>92.690574672796203</v>
      </c>
      <c r="AJ5277">
        <v>89.561570196742807</v>
      </c>
      <c r="AK5277">
        <v>23.8700058744075</v>
      </c>
      <c r="AL5277">
        <v>78.942010846846998</v>
      </c>
      <c r="AM5277">
        <v>86.930831837664599</v>
      </c>
      <c r="AN5277">
        <v>0.99999997927907902</v>
      </c>
    </row>
    <row r="5278" spans="1:40" x14ac:dyDescent="0.25">
      <c r="A5278" t="str">
        <f>"20190303162407825"</f>
        <v>20190303162407825</v>
      </c>
      <c r="B5278" t="str">
        <f>"1551601447810034"</f>
        <v>1551601447810034</v>
      </c>
      <c r="C5278" t="s">
        <v>40</v>
      </c>
      <c r="D5278">
        <v>5.5980400000000001</v>
      </c>
      <c r="E5278">
        <v>0.51781169999999999</v>
      </c>
      <c r="F5278" t="s">
        <v>41</v>
      </c>
      <c r="G5278">
        <v>-331.97710000000001</v>
      </c>
      <c r="H5278" s="1">
        <v>-3.7947919999999999E-6</v>
      </c>
      <c r="I5278">
        <v>17.526489999999999</v>
      </c>
      <c r="J5278">
        <v>-355.31279999999998</v>
      </c>
      <c r="K5278">
        <v>1.1205000000000001</v>
      </c>
      <c r="L5278">
        <v>17.803799999999999</v>
      </c>
      <c r="M5278">
        <v>0.99992259999999999</v>
      </c>
      <c r="N5278">
        <v>-1.201823E-2</v>
      </c>
      <c r="O5278">
        <v>-3.2458579999999999E-3</v>
      </c>
      <c r="P5278">
        <v>0.98223349999999998</v>
      </c>
      <c r="Q5278">
        <v>0.17873530000000001</v>
      </c>
      <c r="R5278">
        <v>-5.7194889999999998E-2</v>
      </c>
      <c r="S5278">
        <v>3.0793759999999999</v>
      </c>
      <c r="T5278">
        <v>-0.14613799999999999</v>
      </c>
      <c r="U5278">
        <v>-3.6315920000000002E-2</v>
      </c>
      <c r="V5278">
        <v>5.4164419999999998E-2</v>
      </c>
      <c r="W5278">
        <v>0.1904843</v>
      </c>
      <c r="X5278">
        <v>0.98019489999999998</v>
      </c>
      <c r="Y5278">
        <v>8.5365179999999999E-3</v>
      </c>
      <c r="Z5278">
        <v>-1.3882209999999999E-4</v>
      </c>
      <c r="AA5278">
        <v>0.99996359999999995</v>
      </c>
      <c r="AB5278">
        <v>29</v>
      </c>
      <c r="AC5278">
        <v>23.3356999999999</v>
      </c>
      <c r="AD5278">
        <v>-1.120503794792</v>
      </c>
      <c r="AE5278">
        <v>-0.277309999999999</v>
      </c>
      <c r="AF5278">
        <v>0.20109512590911</v>
      </c>
      <c r="AG5278">
        <v>-1.120503794792</v>
      </c>
      <c r="AH5278">
        <v>23.282803847292499</v>
      </c>
      <c r="AI5278">
        <v>92.755177343816399</v>
      </c>
      <c r="AJ5278">
        <v>89.505144845247401</v>
      </c>
      <c r="AK5278">
        <v>23.310618245668799</v>
      </c>
      <c r="AL5278">
        <v>79.018951792803307</v>
      </c>
      <c r="AM5278">
        <v>86.837119164033496</v>
      </c>
      <c r="AN5278">
        <v>1.00000004746321</v>
      </c>
    </row>
    <row r="5279" spans="1:40" x14ac:dyDescent="0.25">
      <c r="A5279" t="str">
        <f>"20190303162407849"</f>
        <v>20190303162407849</v>
      </c>
      <c r="B5279" t="str">
        <f>"1551601447840290"</f>
        <v>1551601447840290</v>
      </c>
      <c r="C5279" t="s">
        <v>40</v>
      </c>
      <c r="D5279">
        <v>5.5668150000000001</v>
      </c>
      <c r="E5279">
        <v>0.52297109999999902</v>
      </c>
      <c r="F5279" t="s">
        <v>42</v>
      </c>
      <c r="G5279">
        <v>-354.3578</v>
      </c>
      <c r="H5279">
        <v>1.0492189999999999</v>
      </c>
      <c r="I5279">
        <v>17.706039999999899</v>
      </c>
      <c r="J5279">
        <v>-355.02679999999998</v>
      </c>
      <c r="K5279">
        <v>1.1204970000000001</v>
      </c>
      <c r="L5279">
        <v>17.80237</v>
      </c>
      <c r="M5279">
        <v>0.99992110000000001</v>
      </c>
      <c r="N5279">
        <v>-1.201283E-2</v>
      </c>
      <c r="O5279">
        <v>-3.6557719999999998E-3</v>
      </c>
      <c r="P5279">
        <v>0.98235050000000002</v>
      </c>
      <c r="Q5279">
        <v>0.1771683</v>
      </c>
      <c r="R5279">
        <v>-5.9991419999999997E-2</v>
      </c>
      <c r="S5279">
        <v>3.077728</v>
      </c>
      <c r="T5279">
        <v>-0.22972129999999999</v>
      </c>
      <c r="U5279">
        <v>-0.31512449999999997</v>
      </c>
      <c r="V5279">
        <v>5.6556370000000002E-2</v>
      </c>
      <c r="W5279">
        <v>0.18891169999999999</v>
      </c>
      <c r="X5279">
        <v>0.98036409999999996</v>
      </c>
      <c r="Y5279">
        <v>9.7912170000000007E-2</v>
      </c>
      <c r="Z5279">
        <v>-4.002111E-3</v>
      </c>
      <c r="AA5279">
        <v>0.99518700000000004</v>
      </c>
      <c r="AB5279">
        <v>29</v>
      </c>
      <c r="AC5279">
        <v>0.66899999999998205</v>
      </c>
      <c r="AD5279">
        <v>-7.1277999999999703E-2</v>
      </c>
      <c r="AE5279">
        <v>-9.6330000000001803E-2</v>
      </c>
      <c r="AF5279">
        <v>9.2850867411374799E-2</v>
      </c>
      <c r="AG5279">
        <v>-7.1277999999999703E-2</v>
      </c>
      <c r="AH5279">
        <v>0.66198572743956297</v>
      </c>
      <c r="AI5279">
        <v>96.086408799631499</v>
      </c>
      <c r="AJ5279">
        <v>82.015715991337999</v>
      </c>
      <c r="AK5279">
        <v>0.67225511541135397</v>
      </c>
      <c r="AL5279">
        <v>79.110721048551895</v>
      </c>
      <c r="AM5279">
        <v>86.698314742190902</v>
      </c>
      <c r="AN5279">
        <v>1.00000001097663</v>
      </c>
    </row>
    <row r="5280" spans="1:40" x14ac:dyDescent="0.25">
      <c r="A5280" t="str">
        <f>"20190303162407870"</f>
        <v>20190303162407870</v>
      </c>
      <c r="B5280" t="str">
        <f>"1551601447859809"</f>
        <v>1551601447859809</v>
      </c>
      <c r="C5280" t="s">
        <v>40</v>
      </c>
      <c r="D5280">
        <v>5.5462030000000002</v>
      </c>
      <c r="E5280">
        <v>0.52401489999999995</v>
      </c>
      <c r="F5280" t="s">
        <v>42</v>
      </c>
      <c r="G5280">
        <v>-354.09179999999998</v>
      </c>
      <c r="H5280">
        <v>1.050751</v>
      </c>
      <c r="I5280">
        <v>17.690729999999999</v>
      </c>
      <c r="J5280">
        <v>-354.73419999999999</v>
      </c>
      <c r="K5280">
        <v>1.120492</v>
      </c>
      <c r="L5280">
        <v>17.800840000000001</v>
      </c>
      <c r="M5280">
        <v>0.99991969999999997</v>
      </c>
      <c r="N5280">
        <v>-1.200794E-2</v>
      </c>
      <c r="O5280">
        <v>-4.0762970000000004E-3</v>
      </c>
      <c r="P5280">
        <v>0.9822668</v>
      </c>
      <c r="Q5280">
        <v>0.1765765</v>
      </c>
      <c r="R5280">
        <v>-6.3031550000000006E-2</v>
      </c>
      <c r="S5280">
        <v>3.0728759999999999</v>
      </c>
      <c r="T5280">
        <v>-0.22912160000000001</v>
      </c>
      <c r="U5280">
        <v>-0.36557010000000001</v>
      </c>
      <c r="V5280">
        <v>5.9183050000000001E-2</v>
      </c>
      <c r="W5280">
        <v>0.1883128</v>
      </c>
      <c r="X5280">
        <v>0.98032430000000004</v>
      </c>
      <c r="Y5280">
        <v>0.113730399999999</v>
      </c>
      <c r="Z5280">
        <v>-4.6519580000000003E-3</v>
      </c>
      <c r="AA5280">
        <v>0.99350079999999996</v>
      </c>
      <c r="AB5280">
        <v>29</v>
      </c>
      <c r="AC5280">
        <v>0.64240000000000896</v>
      </c>
      <c r="AD5280">
        <v>-6.9740999999999997E-2</v>
      </c>
      <c r="AE5280">
        <v>-0.110110000000002</v>
      </c>
      <c r="AF5280">
        <v>0.10627349571517999</v>
      </c>
      <c r="AG5280">
        <v>-6.9740999999999997E-2</v>
      </c>
      <c r="AH5280">
        <v>0.63556656091516905</v>
      </c>
      <c r="AI5280">
        <v>96.176958128336196</v>
      </c>
      <c r="AJ5280">
        <v>80.507355077677104</v>
      </c>
      <c r="AK5280">
        <v>0.64815331236217499</v>
      </c>
      <c r="AL5280">
        <v>79.145662938952299</v>
      </c>
      <c r="AM5280">
        <v>86.545195931413801</v>
      </c>
      <c r="AN5280">
        <v>1.0000000386108101</v>
      </c>
    </row>
    <row r="5281" spans="1:40" x14ac:dyDescent="0.25">
      <c r="A5281" t="str">
        <f>"20190303162407884"</f>
        <v>20190303162407884</v>
      </c>
      <c r="B5281" t="str">
        <f>"1551601447870547"</f>
        <v>1551601447870547</v>
      </c>
      <c r="C5281" t="s">
        <v>40</v>
      </c>
      <c r="D5281">
        <v>5.5317160000000003</v>
      </c>
      <c r="E5281">
        <v>0.52453289999999997</v>
      </c>
      <c r="F5281" t="s">
        <v>42</v>
      </c>
      <c r="G5281">
        <v>-353.8372</v>
      </c>
      <c r="H5281">
        <v>1.050354</v>
      </c>
      <c r="I5281">
        <v>17.68891</v>
      </c>
      <c r="J5281">
        <v>-354.56330000000003</v>
      </c>
      <c r="K5281">
        <v>1.120492</v>
      </c>
      <c r="L5281">
        <v>17.799869999999999</v>
      </c>
      <c r="M5281">
        <v>0.99991870000000005</v>
      </c>
      <c r="N5281">
        <v>-1.20053E-2</v>
      </c>
      <c r="O5281">
        <v>-4.3218420000000002E-3</v>
      </c>
      <c r="P5281">
        <v>0.9822784</v>
      </c>
      <c r="Q5281">
        <v>0.17617149999999901</v>
      </c>
      <c r="R5281">
        <v>-6.3976619999999998E-2</v>
      </c>
      <c r="S5281">
        <v>3.0727229999999999</v>
      </c>
      <c r="T5281">
        <v>-0.2402678</v>
      </c>
      <c r="U5281">
        <v>-0.38369750000000002</v>
      </c>
      <c r="V5281">
        <v>5.988657E-2</v>
      </c>
      <c r="W5281">
        <v>0.18790490000000001</v>
      </c>
      <c r="X5281">
        <v>0.9803598</v>
      </c>
      <c r="Y5281">
        <v>0.119215</v>
      </c>
      <c r="Z5281">
        <v>-5.0710720000000003E-3</v>
      </c>
      <c r="AA5281">
        <v>0.9928555</v>
      </c>
      <c r="AB5281">
        <v>29</v>
      </c>
      <c r="AC5281">
        <v>0.72610000000003005</v>
      </c>
      <c r="AD5281">
        <v>-7.0138000000000006E-2</v>
      </c>
      <c r="AE5281">
        <v>-0.110960000000002</v>
      </c>
      <c r="AF5281">
        <v>0.106846447284163</v>
      </c>
      <c r="AG5281">
        <v>-7.0138000000000006E-2</v>
      </c>
      <c r="AH5281">
        <v>0.72000793951414999</v>
      </c>
      <c r="AI5281">
        <v>95.503893081111897</v>
      </c>
      <c r="AJ5281">
        <v>81.559123989423597</v>
      </c>
      <c r="AK5281">
        <v>0.73126392999016399</v>
      </c>
      <c r="AL5281">
        <v>79.169458206739193</v>
      </c>
      <c r="AM5281">
        <v>86.504355547049698</v>
      </c>
      <c r="AN5281">
        <v>0.99999999508320703</v>
      </c>
    </row>
    <row r="5282" spans="1:40" x14ac:dyDescent="0.25">
      <c r="A5282" t="str">
        <f>"20190303162407895"</f>
        <v>20190303162407895</v>
      </c>
      <c r="B5282" t="str">
        <f>"1551601447880306"</f>
        <v>1551601447880306</v>
      </c>
      <c r="C5282" t="s">
        <v>40</v>
      </c>
      <c r="D5282">
        <v>5.5498440000000002</v>
      </c>
      <c r="E5282">
        <v>0.52491330000000003</v>
      </c>
      <c r="F5282" t="s">
        <v>42</v>
      </c>
      <c r="G5282">
        <v>-353.58269999999999</v>
      </c>
      <c r="H5282">
        <v>1.043145</v>
      </c>
      <c r="I5282">
        <v>17.67484</v>
      </c>
      <c r="J5282">
        <v>-354.39659999999998</v>
      </c>
      <c r="K5282">
        <v>1.120492</v>
      </c>
      <c r="L5282">
        <v>17.798919999999999</v>
      </c>
      <c r="M5282">
        <v>0.99991759999999996</v>
      </c>
      <c r="N5282">
        <v>-1.20029E-2</v>
      </c>
      <c r="O5282">
        <v>-4.561191E-3</v>
      </c>
      <c r="P5282">
        <v>0.98219800000000002</v>
      </c>
      <c r="Q5282">
        <v>0.17619849999999901</v>
      </c>
      <c r="R5282">
        <v>-6.5125169999999996E-2</v>
      </c>
      <c r="S5282">
        <v>3.0720830000000001</v>
      </c>
      <c r="T5282">
        <v>-0.24229780000000001</v>
      </c>
      <c r="U5282">
        <v>-0.39080809999999999</v>
      </c>
      <c r="V5282">
        <v>6.0800229999999997E-2</v>
      </c>
      <c r="W5282">
        <v>0.18792780000000001</v>
      </c>
      <c r="X5282">
        <v>0.98029920000000004</v>
      </c>
      <c r="Y5282">
        <v>0.1212516</v>
      </c>
      <c r="Z5282">
        <v>-5.1837740000000004E-3</v>
      </c>
      <c r="AA5282">
        <v>0.99260820000000005</v>
      </c>
      <c r="AB5282">
        <v>29</v>
      </c>
      <c r="AC5282">
        <v>0.81389999999998897</v>
      </c>
      <c r="AD5282">
        <v>-7.7346999999999999E-2</v>
      </c>
      <c r="AE5282">
        <v>-0.12408000000000199</v>
      </c>
      <c r="AF5282">
        <v>0.119313024796788</v>
      </c>
      <c r="AG5282">
        <v>-7.7346999999999999E-2</v>
      </c>
      <c r="AH5282">
        <v>0.80733196710931099</v>
      </c>
      <c r="AI5282">
        <v>95.414108864700694</v>
      </c>
      <c r="AJ5282">
        <v>81.593289949481601</v>
      </c>
      <c r="AK5282">
        <v>0.81975792854461005</v>
      </c>
      <c r="AL5282">
        <v>79.168122649149296</v>
      </c>
      <c r="AM5282">
        <v>86.450940671470306</v>
      </c>
      <c r="AN5282">
        <v>1.00000002375076</v>
      </c>
    </row>
    <row r="5283" spans="1:40" x14ac:dyDescent="0.25">
      <c r="A5283" t="str">
        <f>"20190303162407914"</f>
        <v>20190303162407914</v>
      </c>
      <c r="B5283" t="str">
        <f>"1551601447899827"</f>
        <v>1551601447899827</v>
      </c>
      <c r="C5283" t="s">
        <v>40</v>
      </c>
      <c r="D5283">
        <v>5.5276079999999999</v>
      </c>
      <c r="E5283">
        <v>0.52500069999999999</v>
      </c>
      <c r="F5283" t="s">
        <v>41</v>
      </c>
      <c r="G5283">
        <v>-340.28320000000002</v>
      </c>
      <c r="H5283" s="1">
        <v>-4.7969910000000004E-6</v>
      </c>
      <c r="I5283">
        <v>15.97322</v>
      </c>
      <c r="J5283">
        <v>-354.16500000000002</v>
      </c>
      <c r="K5283">
        <v>1.120493</v>
      </c>
      <c r="L5283">
        <v>17.79749</v>
      </c>
      <c r="M5283">
        <v>0.99991609999999997</v>
      </c>
      <c r="N5283">
        <v>-1.1999869999999999E-2</v>
      </c>
      <c r="O5283">
        <v>-4.8938740000000003E-3</v>
      </c>
      <c r="P5283">
        <v>0.98214389999999996</v>
      </c>
      <c r="Q5283">
        <v>0.17607030000000001</v>
      </c>
      <c r="R5283">
        <v>-6.6279710000000006E-2</v>
      </c>
      <c r="S5283">
        <v>3.0717469999999998</v>
      </c>
      <c r="T5283">
        <v>-0.24387259999999999</v>
      </c>
      <c r="U5283">
        <v>-0.39733889999999999</v>
      </c>
      <c r="V5283">
        <v>6.1627899999999999E-2</v>
      </c>
      <c r="W5283">
        <v>0.1877962</v>
      </c>
      <c r="X5283">
        <v>0.9802727</v>
      </c>
      <c r="Y5283">
        <v>0.1230004</v>
      </c>
      <c r="Z5283">
        <v>-5.2693569999999997E-3</v>
      </c>
      <c r="AA5283">
        <v>0.99239259999999996</v>
      </c>
      <c r="AB5283">
        <v>29</v>
      </c>
      <c r="AC5283">
        <v>13.881799999999901</v>
      </c>
      <c r="AD5283">
        <v>-1.1204977969909999</v>
      </c>
      <c r="AE5283">
        <v>-1.8242699999999901</v>
      </c>
      <c r="AF5283">
        <v>1.74513056213889</v>
      </c>
      <c r="AG5283">
        <v>-1.1204977969909999</v>
      </c>
      <c r="AH5283">
        <v>13.8021643212409</v>
      </c>
      <c r="AI5283">
        <v>94.604749007653794</v>
      </c>
      <c r="AJ5283">
        <v>82.793823175090594</v>
      </c>
      <c r="AK5283">
        <v>13.957103422362</v>
      </c>
      <c r="AL5283">
        <v>79.175799070470106</v>
      </c>
      <c r="AM5283">
        <v>86.402656555122704</v>
      </c>
      <c r="AN5283">
        <v>0.99999998857906902</v>
      </c>
    </row>
    <row r="5284" spans="1:40" x14ac:dyDescent="0.25">
      <c r="A5284" t="str">
        <f>"20190303162407929"</f>
        <v>20190303162407929</v>
      </c>
      <c r="B5284" t="str">
        <f>"1551601447920323"</f>
        <v>1551601447920323</v>
      </c>
      <c r="C5284" t="s">
        <v>40</v>
      </c>
      <c r="D5284">
        <v>5.5092249999999998</v>
      </c>
      <c r="E5284">
        <v>0.52541040000000006</v>
      </c>
      <c r="F5284" t="s">
        <v>41</v>
      </c>
      <c r="G5284">
        <v>-340.3141</v>
      </c>
      <c r="H5284" s="1">
        <v>-4.7813710000000003E-6</v>
      </c>
      <c r="I5284">
        <v>15.98649</v>
      </c>
      <c r="J5284">
        <v>-353.97449999999998</v>
      </c>
      <c r="K5284">
        <v>1.120495</v>
      </c>
      <c r="L5284">
        <v>17.796229999999898</v>
      </c>
      <c r="M5284">
        <v>0.99991479999999999</v>
      </c>
      <c r="N5284">
        <v>-1.199766E-2</v>
      </c>
      <c r="O5284">
        <v>-5.1673190000000001E-3</v>
      </c>
      <c r="P5284">
        <v>0.98209299999999999</v>
      </c>
      <c r="Q5284">
        <v>0.17611189999999999</v>
      </c>
      <c r="R5284">
        <v>-6.6919560000000003E-2</v>
      </c>
      <c r="S5284">
        <v>3.0719910000000001</v>
      </c>
      <c r="T5284">
        <v>-0.24851580000000001</v>
      </c>
      <c r="U5284">
        <v>-0.40164179999999999</v>
      </c>
      <c r="V5284">
        <v>6.1999619999999998E-2</v>
      </c>
      <c r="W5284">
        <v>0.18783459999999999</v>
      </c>
      <c r="X5284">
        <v>0.9802419</v>
      </c>
      <c r="Y5284">
        <v>0.1240675</v>
      </c>
      <c r="Z5284">
        <v>-5.3839819999999998E-3</v>
      </c>
      <c r="AA5284">
        <v>0.99225909999999995</v>
      </c>
      <c r="AB5284">
        <v>29</v>
      </c>
      <c r="AC5284">
        <v>13.6603999999999</v>
      </c>
      <c r="AD5284">
        <v>-1.120499781371</v>
      </c>
      <c r="AE5284">
        <v>-1.8097399999999899</v>
      </c>
      <c r="AF5284">
        <v>1.7276993700043</v>
      </c>
      <c r="AG5284">
        <v>-1.120499781371</v>
      </c>
      <c r="AH5284">
        <v>13.579778700567999</v>
      </c>
      <c r="AI5284">
        <v>94.679375788392306</v>
      </c>
      <c r="AJ5284">
        <v>82.749446458209604</v>
      </c>
      <c r="AK5284">
        <v>13.7350229133251</v>
      </c>
      <c r="AL5284">
        <v>79.173559023551306</v>
      </c>
      <c r="AM5284">
        <v>86.380902600738395</v>
      </c>
      <c r="AN5284">
        <v>0.99999998617645702</v>
      </c>
    </row>
    <row r="5285" spans="1:40" x14ac:dyDescent="0.25">
      <c r="A5285" t="str">
        <f>"20190303162407939"</f>
        <v>20190303162407939</v>
      </c>
      <c r="B5285" t="str">
        <f>"1551601447930082"</f>
        <v>1551601447930082</v>
      </c>
      <c r="C5285" t="s">
        <v>40</v>
      </c>
      <c r="D5285">
        <v>5.5059370000000003</v>
      </c>
      <c r="E5285">
        <v>0.52558139999999998</v>
      </c>
      <c r="F5285" t="s">
        <v>42</v>
      </c>
      <c r="G5285">
        <v>-353.06240000000003</v>
      </c>
      <c r="H5285">
        <v>1.0453589999999999</v>
      </c>
      <c r="I5285">
        <v>17.67531</v>
      </c>
      <c r="J5285">
        <v>-353.82089999999999</v>
      </c>
      <c r="K5285">
        <v>1.1204970000000001</v>
      </c>
      <c r="L5285">
        <v>17.79523</v>
      </c>
      <c r="M5285">
        <v>0.99991359999999996</v>
      </c>
      <c r="N5285">
        <v>-1.1996E-2</v>
      </c>
      <c r="O5285">
        <v>-5.3878379999999998E-3</v>
      </c>
      <c r="P5285">
        <v>0.98200719999999997</v>
      </c>
      <c r="Q5285">
        <v>0.1763091</v>
      </c>
      <c r="R5285">
        <v>-6.7656949999999993E-2</v>
      </c>
      <c r="S5285">
        <v>3.0723880000000001</v>
      </c>
      <c r="T5285">
        <v>-0.2530811</v>
      </c>
      <c r="U5285">
        <v>-0.4067383</v>
      </c>
      <c r="V5285">
        <v>6.2520880000000001E-2</v>
      </c>
      <c r="W5285">
        <v>0.188029</v>
      </c>
      <c r="X5285">
        <v>0.98017160000000003</v>
      </c>
      <c r="Y5285">
        <v>0.12543029999999999</v>
      </c>
      <c r="Z5285">
        <v>-5.5152219999999898E-3</v>
      </c>
      <c r="AA5285">
        <v>0.9920871</v>
      </c>
      <c r="AB5285">
        <v>29</v>
      </c>
      <c r="AC5285">
        <v>0.75849999999996898</v>
      </c>
      <c r="AD5285">
        <v>-7.5137999999999899E-2</v>
      </c>
      <c r="AE5285">
        <v>-0.11992</v>
      </c>
      <c r="AF5285">
        <v>0.114732856955751</v>
      </c>
      <c r="AG5285">
        <v>-7.5137999999999899E-2</v>
      </c>
      <c r="AH5285">
        <v>0.751936232639274</v>
      </c>
      <c r="AI5285">
        <v>95.641530994752799</v>
      </c>
      <c r="AJ5285">
        <v>81.324538420571798</v>
      </c>
      <c r="AK5285">
        <v>0.76434118393880501</v>
      </c>
      <c r="AL5285">
        <v>79.162219530761107</v>
      </c>
      <c r="AM5285">
        <v>86.350295994927194</v>
      </c>
      <c r="AN5285">
        <v>1.00000006536176</v>
      </c>
    </row>
    <row r="5286" spans="1:40" x14ac:dyDescent="0.25">
      <c r="A5286" t="str">
        <f>"20190303162407959"</f>
        <v>20190303162407959</v>
      </c>
      <c r="B5286" t="str">
        <f>"1551601447950578"</f>
        <v>1551601447950578</v>
      </c>
      <c r="C5286" t="s">
        <v>40</v>
      </c>
      <c r="D5286">
        <v>5.5144669999999998</v>
      </c>
      <c r="E5286">
        <v>0.52589750000000002</v>
      </c>
      <c r="F5286" t="s">
        <v>41</v>
      </c>
      <c r="G5286">
        <v>-340.21690000000001</v>
      </c>
      <c r="H5286" s="1">
        <v>-4.824634E-6</v>
      </c>
      <c r="I5286">
        <v>15.97781</v>
      </c>
      <c r="J5286">
        <v>-353.58390000000003</v>
      </c>
      <c r="K5286">
        <v>1.1204940000000001</v>
      </c>
      <c r="L5286">
        <v>17.793579999999999</v>
      </c>
      <c r="M5286">
        <v>0.99991180000000002</v>
      </c>
      <c r="N5286">
        <v>-1.199368E-2</v>
      </c>
      <c r="O5286">
        <v>-5.7280369999999897E-3</v>
      </c>
      <c r="P5286">
        <v>0.98187610000000003</v>
      </c>
      <c r="Q5286">
        <v>0.17713219999999999</v>
      </c>
      <c r="R5286">
        <v>-6.7408560000000006E-2</v>
      </c>
      <c r="S5286">
        <v>3.0721440000000002</v>
      </c>
      <c r="T5286">
        <v>-0.25303779999999998</v>
      </c>
      <c r="U5286">
        <v>-0.4104004</v>
      </c>
      <c r="V5286">
        <v>6.1939910000000001E-2</v>
      </c>
      <c r="W5286">
        <v>0.18884899999999999</v>
      </c>
      <c r="X5286">
        <v>0.98005070000000005</v>
      </c>
      <c r="Y5286">
        <v>0.12626289999999901</v>
      </c>
      <c r="Z5286">
        <v>-5.5296369999999996E-3</v>
      </c>
      <c r="AA5286">
        <v>0.99198140000000001</v>
      </c>
      <c r="AB5286">
        <v>29</v>
      </c>
      <c r="AC5286">
        <v>13.367000000000001</v>
      </c>
      <c r="AD5286">
        <v>-1.120498824634</v>
      </c>
      <c r="AE5286">
        <v>-1.8157699999999899</v>
      </c>
      <c r="AF5286">
        <v>1.72725096625825</v>
      </c>
      <c r="AG5286">
        <v>-1.120498824634</v>
      </c>
      <c r="AH5286">
        <v>13.285519510634799</v>
      </c>
      <c r="AI5286">
        <v>94.780862401850598</v>
      </c>
      <c r="AJ5286">
        <v>82.592521999293098</v>
      </c>
      <c r="AK5286">
        <v>13.444104365256299</v>
      </c>
      <c r="AL5286">
        <v>79.114378515675597</v>
      </c>
      <c r="AM5286">
        <v>86.383675289307703</v>
      </c>
      <c r="AN5286">
        <v>0.999999935911147</v>
      </c>
    </row>
    <row r="5287" spans="1:40" x14ac:dyDescent="0.25">
      <c r="A5287" t="str">
        <f>"20190303162407983"</f>
        <v>20190303162407983</v>
      </c>
      <c r="B5287" t="str">
        <f>"1551601447970098"</f>
        <v>1551601447970098</v>
      </c>
      <c r="C5287" t="s">
        <v>40</v>
      </c>
      <c r="D5287">
        <v>5.5147430000000002</v>
      </c>
      <c r="E5287">
        <v>0.52596719999999997</v>
      </c>
      <c r="F5287" t="s">
        <v>41</v>
      </c>
      <c r="G5287">
        <v>-339.89670000000001</v>
      </c>
      <c r="H5287" s="1">
        <v>-9.9447890000000008E-7</v>
      </c>
      <c r="I5287">
        <v>15.9584299999999</v>
      </c>
      <c r="J5287">
        <v>-353.26729999999998</v>
      </c>
      <c r="K5287">
        <v>1.120501</v>
      </c>
      <c r="L5287">
        <v>17.791260000000001</v>
      </c>
      <c r="M5287">
        <v>0.99990900000000005</v>
      </c>
      <c r="N5287">
        <v>-1.199096E-2</v>
      </c>
      <c r="O5287">
        <v>-6.1826679999999997E-3</v>
      </c>
      <c r="P5287">
        <v>0.98181459999999998</v>
      </c>
      <c r="Q5287">
        <v>0.17819589999999999</v>
      </c>
      <c r="R5287">
        <v>-6.5470509999999996E-2</v>
      </c>
      <c r="S5287">
        <v>3.0724490000000002</v>
      </c>
      <c r="T5287">
        <v>-0.25152329999999901</v>
      </c>
      <c r="U5287">
        <v>-0.41192630000000002</v>
      </c>
      <c r="V5287">
        <v>5.9556739999999997E-2</v>
      </c>
      <c r="W5287">
        <v>0.18991130000000001</v>
      </c>
      <c r="X5287">
        <v>0.97999320000000001</v>
      </c>
      <c r="Y5287">
        <v>0.12628929999999999</v>
      </c>
      <c r="Z5287">
        <v>-5.4704819999999996E-3</v>
      </c>
      <c r="AA5287">
        <v>0.99197829999999998</v>
      </c>
      <c r="AB5287">
        <v>29</v>
      </c>
      <c r="AC5287">
        <v>13.3705999999999</v>
      </c>
      <c r="AD5287">
        <v>-1.1205019944789001</v>
      </c>
      <c r="AE5287">
        <v>-1.83283</v>
      </c>
      <c r="AF5287">
        <v>1.7381411992968401</v>
      </c>
      <c r="AG5287">
        <v>-1.1205019944789001</v>
      </c>
      <c r="AH5287">
        <v>13.290062230594099</v>
      </c>
      <c r="AI5287">
        <v>94.778776591876095</v>
      </c>
      <c r="AJ5287">
        <v>82.548860873723797</v>
      </c>
      <c r="AK5287">
        <v>13.4499967896423</v>
      </c>
      <c r="AL5287">
        <v>79.052392069571894</v>
      </c>
      <c r="AM5287">
        <v>86.522263446770296</v>
      </c>
      <c r="AN5287">
        <v>0.99999998959667802</v>
      </c>
    </row>
    <row r="5288" spans="1:40" x14ac:dyDescent="0.25">
      <c r="A5288" t="str">
        <f>"20190303162408015"</f>
        <v>20190303162408015</v>
      </c>
      <c r="B5288" t="str">
        <f>"1551601448010114"</f>
        <v>1551601448010114</v>
      </c>
      <c r="C5288" t="s">
        <v>40</v>
      </c>
      <c r="D5288">
        <v>5.5351299999999997</v>
      </c>
      <c r="E5288">
        <v>0.52595329999999996</v>
      </c>
      <c r="F5288" t="s">
        <v>42</v>
      </c>
      <c r="G5288">
        <v>-352.2867</v>
      </c>
      <c r="H5288">
        <v>1.041174</v>
      </c>
      <c r="I5288">
        <v>17.661629999999999</v>
      </c>
      <c r="J5288">
        <v>-352.851</v>
      </c>
      <c r="K5288">
        <v>1.1205130000000001</v>
      </c>
      <c r="L5288">
        <v>17.787990000000001</v>
      </c>
      <c r="M5288">
        <v>0.99990520000000005</v>
      </c>
      <c r="N5288">
        <v>-1.198805E-2</v>
      </c>
      <c r="O5288">
        <v>-6.7780649999999998E-3</v>
      </c>
      <c r="P5288">
        <v>0.98181810000000003</v>
      </c>
      <c r="Q5288">
        <v>0.17957239999999999</v>
      </c>
      <c r="R5288">
        <v>-6.1539759999999999E-2</v>
      </c>
      <c r="S5288">
        <v>3.0736080000000001</v>
      </c>
      <c r="T5288">
        <v>-0.2486447</v>
      </c>
      <c r="U5288">
        <v>-0.40588380000000002</v>
      </c>
      <c r="V5288">
        <v>5.5041680000000003E-2</v>
      </c>
      <c r="W5288">
        <v>0.19128890000000001</v>
      </c>
      <c r="X5288">
        <v>0.97998929999999995</v>
      </c>
      <c r="Y5288">
        <v>0.1237533</v>
      </c>
      <c r="Z5288">
        <v>-5.2581360000000001E-3</v>
      </c>
      <c r="AA5288">
        <v>0.99229909999999999</v>
      </c>
      <c r="AB5288">
        <v>29</v>
      </c>
      <c r="AC5288">
        <v>0.56430000000000202</v>
      </c>
      <c r="AD5288">
        <v>-7.9338999999999799E-2</v>
      </c>
      <c r="AE5288">
        <v>-0.126360000000001</v>
      </c>
      <c r="AF5288">
        <v>0.120268067758281</v>
      </c>
      <c r="AG5288">
        <v>-7.9338999999999799E-2</v>
      </c>
      <c r="AH5288">
        <v>0.55470201818571796</v>
      </c>
      <c r="AI5288">
        <v>97.957368972900696</v>
      </c>
      <c r="AJ5288">
        <v>77.766725286951697</v>
      </c>
      <c r="AK5288">
        <v>0.57310855343697298</v>
      </c>
      <c r="AL5288">
        <v>78.971987837880505</v>
      </c>
      <c r="AM5288">
        <v>86.785326046950203</v>
      </c>
      <c r="AN5288">
        <v>1.00000002895746</v>
      </c>
    </row>
    <row r="5289" spans="1:40" x14ac:dyDescent="0.25">
      <c r="A5289" t="str">
        <f>"20190303162408028"</f>
        <v>20190303162408028</v>
      </c>
      <c r="B5289" t="str">
        <f>"1551601448019874"</f>
        <v>1551601448019874</v>
      </c>
      <c r="C5289" t="s">
        <v>40</v>
      </c>
      <c r="D5289">
        <v>5.5318180000000003</v>
      </c>
      <c r="E5289">
        <v>0.52605119999999905</v>
      </c>
      <c r="F5289" t="s">
        <v>41</v>
      </c>
      <c r="G5289">
        <v>-338.7722</v>
      </c>
      <c r="H5289" s="1">
        <v>-1.3704099999999999E-6</v>
      </c>
      <c r="I5289">
        <v>15.983750000000001</v>
      </c>
      <c r="J5289">
        <v>-352.68049999999999</v>
      </c>
      <c r="K5289">
        <v>1.1205210000000001</v>
      </c>
      <c r="L5289">
        <v>17.78659</v>
      </c>
      <c r="M5289">
        <v>0.9999036</v>
      </c>
      <c r="N5289">
        <v>-1.1987009999999999E-2</v>
      </c>
      <c r="O5289">
        <v>-7.0185880000000001E-3</v>
      </c>
      <c r="P5289">
        <v>0.98172210000000004</v>
      </c>
      <c r="Q5289">
        <v>0.18047759999999999</v>
      </c>
      <c r="R5289">
        <v>-6.0414259999999997E-2</v>
      </c>
      <c r="S5289">
        <v>3.0756230000000002</v>
      </c>
      <c r="T5289">
        <v>-0.24478549999999999</v>
      </c>
      <c r="U5289">
        <v>-0.3941345</v>
      </c>
      <c r="V5289">
        <v>5.3680529999999997E-2</v>
      </c>
      <c r="W5289">
        <v>0.19219349999999999</v>
      </c>
      <c r="X5289">
        <v>0.97988779999999998</v>
      </c>
      <c r="Y5289">
        <v>0.1197295</v>
      </c>
      <c r="Z5289">
        <v>-4.9878980000000002E-3</v>
      </c>
      <c r="AA5289">
        <v>0.99279399999999995</v>
      </c>
      <c r="AB5289">
        <v>29</v>
      </c>
      <c r="AC5289">
        <v>13.908299999999899</v>
      </c>
      <c r="AD5289">
        <v>-1.12052237040999</v>
      </c>
      <c r="AE5289">
        <v>-1.80284</v>
      </c>
      <c r="AF5289">
        <v>1.6943560920407299</v>
      </c>
      <c r="AG5289">
        <v>-1.12052237040999</v>
      </c>
      <c r="AH5289">
        <v>13.8323135903645</v>
      </c>
      <c r="AI5289">
        <v>94.597069207654002</v>
      </c>
      <c r="AJ5289">
        <v>83.016480112332104</v>
      </c>
      <c r="AK5289">
        <v>13.9806763860483</v>
      </c>
      <c r="AL5289">
        <v>78.919178127310104</v>
      </c>
      <c r="AM5289">
        <v>86.864338405985507</v>
      </c>
      <c r="AN5289">
        <v>1.00000002066608</v>
      </c>
    </row>
    <row r="5290" spans="1:40" x14ac:dyDescent="0.25">
      <c r="A5290" t="str">
        <f>"20190303162408043"</f>
        <v>20190303162408043</v>
      </c>
      <c r="B5290" t="str">
        <f>"1551601448030610"</f>
        <v>1551601448030610</v>
      </c>
      <c r="C5290" t="s">
        <v>40</v>
      </c>
      <c r="D5290">
        <v>5.5260099999999897</v>
      </c>
      <c r="E5290">
        <v>0.52615319999999899</v>
      </c>
      <c r="F5290" t="s">
        <v>42</v>
      </c>
      <c r="G5290">
        <v>-351.76299999999998</v>
      </c>
      <c r="H5290">
        <v>1.0483849999999999</v>
      </c>
      <c r="I5290">
        <v>17.669589999999999</v>
      </c>
      <c r="J5290">
        <v>-352.49029999999999</v>
      </c>
      <c r="K5290">
        <v>1.1205290000000001</v>
      </c>
      <c r="L5290">
        <v>17.785</v>
      </c>
      <c r="M5290">
        <v>0.9999017</v>
      </c>
      <c r="N5290">
        <v>-1.1985930000000001E-2</v>
      </c>
      <c r="O5290">
        <v>-7.2834040000000003E-3</v>
      </c>
      <c r="P5290">
        <v>0.98159470000000004</v>
      </c>
      <c r="Q5290">
        <v>0.18155489999999999</v>
      </c>
      <c r="R5290">
        <v>-5.9244459999999999E-2</v>
      </c>
      <c r="S5290">
        <v>3.0761720000000001</v>
      </c>
      <c r="T5290">
        <v>-0.24180479999999999</v>
      </c>
      <c r="U5290">
        <v>-0.39181519999999997</v>
      </c>
      <c r="V5290">
        <v>5.2250770000000002E-2</v>
      </c>
      <c r="W5290">
        <v>0.19326969999999999</v>
      </c>
      <c r="X5290">
        <v>0.9797534</v>
      </c>
      <c r="Y5290">
        <v>0.1187211</v>
      </c>
      <c r="Z5290">
        <v>-4.8734349999999997E-3</v>
      </c>
      <c r="AA5290">
        <v>0.99291569999999996</v>
      </c>
      <c r="AB5290">
        <v>29</v>
      </c>
      <c r="AC5290">
        <v>0.72729999999995698</v>
      </c>
      <c r="AD5290">
        <v>-7.2143999999999903E-2</v>
      </c>
      <c r="AE5290">
        <v>-0.11541</v>
      </c>
      <c r="AF5290">
        <v>0.10906257441709601</v>
      </c>
      <c r="AG5290">
        <v>-7.2143999999999903E-2</v>
      </c>
      <c r="AH5290">
        <v>0.72119939512426801</v>
      </c>
      <c r="AI5290">
        <v>95.648684267446598</v>
      </c>
      <c r="AJ5290">
        <v>81.400666345212898</v>
      </c>
      <c r="AK5290">
        <v>0.732958368123385</v>
      </c>
      <c r="AL5290">
        <v>78.8563382737848</v>
      </c>
      <c r="AM5290">
        <v>86.947277537519795</v>
      </c>
      <c r="AN5290">
        <v>1.00000002235762</v>
      </c>
    </row>
    <row r="5291" spans="1:40" x14ac:dyDescent="0.25">
      <c r="A5291" t="str">
        <f>"20190303162408060"</f>
        <v>20190303162408060</v>
      </c>
      <c r="B5291" t="str">
        <f>"1551601448050130"</f>
        <v>1551601448050130</v>
      </c>
      <c r="C5291" t="s">
        <v>40</v>
      </c>
      <c r="D5291">
        <v>5.5429959999999996</v>
      </c>
      <c r="E5291">
        <v>0.52642659999999997</v>
      </c>
      <c r="F5291" t="s">
        <v>42</v>
      </c>
      <c r="G5291">
        <v>-351.50630000000001</v>
      </c>
      <c r="H5291">
        <v>1.0441279999999999</v>
      </c>
      <c r="I5291">
        <v>17.660119999999999</v>
      </c>
      <c r="J5291">
        <v>-352.26240000000001</v>
      </c>
      <c r="K5291">
        <v>1.12053</v>
      </c>
      <c r="L5291">
        <v>17.782989999999899</v>
      </c>
      <c r="M5291">
        <v>0.99989950000000005</v>
      </c>
      <c r="N5291">
        <v>-1.198479E-2</v>
      </c>
      <c r="O5291">
        <v>-7.5904730000000004E-3</v>
      </c>
      <c r="P5291">
        <v>0.98138559999999997</v>
      </c>
      <c r="Q5291">
        <v>0.18317849999999999</v>
      </c>
      <c r="R5291">
        <v>-5.7691890000000003E-2</v>
      </c>
      <c r="S5291">
        <v>3.0769350000000002</v>
      </c>
      <c r="T5291">
        <v>-0.2388979</v>
      </c>
      <c r="U5291">
        <v>-0.38943480000000003</v>
      </c>
      <c r="V5291">
        <v>5.0396379999999998E-2</v>
      </c>
      <c r="W5291">
        <v>0.19489200000000001</v>
      </c>
      <c r="X5291">
        <v>0.97952910000000004</v>
      </c>
      <c r="Y5291">
        <v>0.1176426</v>
      </c>
      <c r="Z5291">
        <v>-4.7555319999999998E-3</v>
      </c>
      <c r="AA5291">
        <v>0.99304460000000006</v>
      </c>
      <c r="AB5291">
        <v>29</v>
      </c>
      <c r="AC5291">
        <v>0.75610000000000299</v>
      </c>
      <c r="AD5291">
        <v>-7.6401999999999803E-2</v>
      </c>
      <c r="AE5291">
        <v>-0.122869999999995</v>
      </c>
      <c r="AF5291">
        <v>0.115973202984867</v>
      </c>
      <c r="AG5291">
        <v>-7.6401999999999803E-2</v>
      </c>
      <c r="AH5291">
        <v>0.74955443770374497</v>
      </c>
      <c r="AI5291">
        <v>95.752076096673605</v>
      </c>
      <c r="AJ5291">
        <v>81.204774324469795</v>
      </c>
      <c r="AK5291">
        <v>0.76231155343202495</v>
      </c>
      <c r="AL5291">
        <v>78.761585080446693</v>
      </c>
      <c r="AM5291">
        <v>87.054752003576098</v>
      </c>
      <c r="AN5291">
        <v>0.99999997226395598</v>
      </c>
    </row>
    <row r="5292" spans="1:40" x14ac:dyDescent="0.25">
      <c r="A5292" t="str">
        <f>"20190303162408084"</f>
        <v>20190303162408084</v>
      </c>
      <c r="B5292" t="str">
        <f>"1551601448070626"</f>
        <v>1551601448070626</v>
      </c>
      <c r="C5292" t="s">
        <v>40</v>
      </c>
      <c r="D5292">
        <v>5.5350809999999999</v>
      </c>
      <c r="E5292">
        <v>0.52655479999999999</v>
      </c>
      <c r="F5292" t="s">
        <v>41</v>
      </c>
      <c r="G5292">
        <v>-337.601</v>
      </c>
      <c r="H5292" s="1">
        <v>-1.7822380000000001E-6</v>
      </c>
      <c r="I5292">
        <v>15.933879999999901</v>
      </c>
      <c r="J5292">
        <v>-351.9676</v>
      </c>
      <c r="K5292">
        <v>1.1205529999999999</v>
      </c>
      <c r="L5292">
        <v>17.7803</v>
      </c>
      <c r="M5292">
        <v>0.99989660000000002</v>
      </c>
      <c r="N5292">
        <v>-1.198345E-2</v>
      </c>
      <c r="O5292">
        <v>-7.9723090000000003E-3</v>
      </c>
      <c r="P5292">
        <v>0.98129560000000005</v>
      </c>
      <c r="Q5292">
        <v>0.18405479999999999</v>
      </c>
      <c r="R5292">
        <v>-5.6420430000000001E-2</v>
      </c>
      <c r="S5292">
        <v>3.0780029999999998</v>
      </c>
      <c r="T5292">
        <v>-0.23524320000000001</v>
      </c>
      <c r="U5292">
        <v>-0.38818360000000002</v>
      </c>
      <c r="V5292">
        <v>4.8744870000000003E-2</v>
      </c>
      <c r="W5292">
        <v>0.19576830000000001</v>
      </c>
      <c r="X5292">
        <v>0.97943789999999997</v>
      </c>
      <c r="Y5292">
        <v>0.1168376</v>
      </c>
      <c r="Z5292">
        <v>-4.6339010000000002E-3</v>
      </c>
      <c r="AA5292">
        <v>0.99314020000000003</v>
      </c>
      <c r="AB5292">
        <v>29</v>
      </c>
      <c r="AC5292">
        <v>14.3666</v>
      </c>
      <c r="AD5292">
        <v>-1.120554782238</v>
      </c>
      <c r="AE5292">
        <v>-1.84642</v>
      </c>
      <c r="AF5292">
        <v>1.72151536367948</v>
      </c>
      <c r="AG5292">
        <v>-1.120554782238</v>
      </c>
      <c r="AH5292">
        <v>14.2953113507472</v>
      </c>
      <c r="AI5292">
        <v>94.450011379721403</v>
      </c>
      <c r="AJ5292">
        <v>83.133212907643795</v>
      </c>
      <c r="AK5292">
        <v>14.442132279624801</v>
      </c>
      <c r="AL5292">
        <v>78.710390341063899</v>
      </c>
      <c r="AM5292">
        <v>87.150842460417707</v>
      </c>
      <c r="AN5292">
        <v>0.99999994479630605</v>
      </c>
    </row>
    <row r="5293" spans="1:40" x14ac:dyDescent="0.25">
      <c r="A5293" t="str">
        <f>"20190303162408104"</f>
        <v>20190303162408104</v>
      </c>
      <c r="B5293" t="str">
        <f>"1551601448090147"</f>
        <v>1551601448090147</v>
      </c>
      <c r="C5293" t="s">
        <v>40</v>
      </c>
      <c r="D5293">
        <v>5.5189089999999998</v>
      </c>
      <c r="E5293">
        <v>0.52679989999999999</v>
      </c>
      <c r="F5293" t="s">
        <v>42</v>
      </c>
      <c r="G5293">
        <v>-350.98570000000001</v>
      </c>
      <c r="H5293">
        <v>1.0461579999999999</v>
      </c>
      <c r="I5293">
        <v>17.656489999999899</v>
      </c>
      <c r="J5293">
        <v>-351.69909999999999</v>
      </c>
      <c r="K5293">
        <v>1.1205780000000001</v>
      </c>
      <c r="L5293">
        <v>17.777799999999999</v>
      </c>
      <c r="M5293">
        <v>0.99989399999999995</v>
      </c>
      <c r="N5293">
        <v>-1.1982420000000001E-2</v>
      </c>
      <c r="O5293">
        <v>-8.290281E-3</v>
      </c>
      <c r="P5293">
        <v>0.9810411</v>
      </c>
      <c r="Q5293">
        <v>0.1850677</v>
      </c>
      <c r="R5293">
        <v>-5.7522080000000003E-2</v>
      </c>
      <c r="S5293">
        <v>3.0787049999999998</v>
      </c>
      <c r="T5293">
        <v>-0.23324</v>
      </c>
      <c r="U5293">
        <v>-0.38668819999999998</v>
      </c>
      <c r="V5293">
        <v>4.9528139999999998E-2</v>
      </c>
      <c r="W5293">
        <v>0.1967796</v>
      </c>
      <c r="X5293">
        <v>0.97919599999999996</v>
      </c>
      <c r="Y5293">
        <v>0.11602800000000001</v>
      </c>
      <c r="Z5293">
        <v>-4.5449449999999999E-3</v>
      </c>
      <c r="AA5293">
        <v>0.99323550000000005</v>
      </c>
      <c r="AB5293">
        <v>29</v>
      </c>
      <c r="AC5293">
        <v>0.71339999999997805</v>
      </c>
      <c r="AD5293">
        <v>-7.4420000000000097E-2</v>
      </c>
      <c r="AE5293">
        <v>-0.121310000000001</v>
      </c>
      <c r="AF5293">
        <v>0.114183482354342</v>
      </c>
      <c r="AG5293">
        <v>-7.4420000000000097E-2</v>
      </c>
      <c r="AH5293">
        <v>0.70690481339491296</v>
      </c>
      <c r="AI5293">
        <v>95.933379605219898</v>
      </c>
      <c r="AJ5293">
        <v>80.824494434900899</v>
      </c>
      <c r="AK5293">
        <v>0.71992403713410003</v>
      </c>
      <c r="AL5293">
        <v>78.651298653668505</v>
      </c>
      <c r="AM5293">
        <v>87.104423341689397</v>
      </c>
      <c r="AN5293">
        <v>1.000000027022</v>
      </c>
    </row>
    <row r="5294" spans="1:40" x14ac:dyDescent="0.25">
      <c r="A5294" t="str">
        <f>"20190303162408117"</f>
        <v>20190303162408117</v>
      </c>
      <c r="B5294" t="str">
        <f>"1551601448110643"</f>
        <v>1551601448110643</v>
      </c>
      <c r="C5294" t="s">
        <v>40</v>
      </c>
      <c r="D5294">
        <v>5.5588550000000003</v>
      </c>
      <c r="E5294">
        <v>0.52685419999999905</v>
      </c>
      <c r="F5294" t="s">
        <v>42</v>
      </c>
      <c r="G5294">
        <v>-350.72480000000002</v>
      </c>
      <c r="H5294">
        <v>1.04755</v>
      </c>
      <c r="I5294">
        <v>17.653479999999998</v>
      </c>
      <c r="J5294">
        <v>-351.5181</v>
      </c>
      <c r="K5294">
        <v>1.120598</v>
      </c>
      <c r="L5294">
        <v>17.776060000000001</v>
      </c>
      <c r="M5294">
        <v>0.99989220000000001</v>
      </c>
      <c r="N5294">
        <v>-1.1981800000000001E-2</v>
      </c>
      <c r="O5294">
        <v>-8.4882840000000005E-3</v>
      </c>
      <c r="P5294">
        <v>0.98092480000000004</v>
      </c>
      <c r="Q5294">
        <v>0.18529209999999999</v>
      </c>
      <c r="R5294">
        <v>-5.8765150000000002E-2</v>
      </c>
      <c r="S5294">
        <v>3.0784609999999999</v>
      </c>
      <c r="T5294">
        <v>-0.23077420000000001</v>
      </c>
      <c r="U5294">
        <v>-0.39291379999999998</v>
      </c>
      <c r="V5294">
        <v>5.057089E-2</v>
      </c>
      <c r="W5294">
        <v>0.19700309999999999</v>
      </c>
      <c r="X5294">
        <v>0.97909769999999896</v>
      </c>
      <c r="Y5294">
        <v>0.11781949999999999</v>
      </c>
      <c r="Z5294">
        <v>-4.5704609999999996E-3</v>
      </c>
      <c r="AA5294">
        <v>0.99302449999999998</v>
      </c>
      <c r="AB5294">
        <v>29</v>
      </c>
      <c r="AC5294">
        <v>0.79329999999998702</v>
      </c>
      <c r="AD5294">
        <v>-7.3048000000000002E-2</v>
      </c>
      <c r="AE5294">
        <v>-0.12258000000000201</v>
      </c>
      <c r="AF5294">
        <v>0.114889915591022</v>
      </c>
      <c r="AG5294">
        <v>-7.3048000000000002E-2</v>
      </c>
      <c r="AH5294">
        <v>0.78778813799897796</v>
      </c>
      <c r="AI5294">
        <v>95.242484182511404</v>
      </c>
      <c r="AJ5294">
        <v>81.702559809472405</v>
      </c>
      <c r="AK5294">
        <v>0.79946598012698999</v>
      </c>
      <c r="AL5294">
        <v>78.638236734606096</v>
      </c>
      <c r="AM5294">
        <v>87.043271518935995</v>
      </c>
      <c r="AN5294">
        <v>0.99999997123514495</v>
      </c>
    </row>
    <row r="5295" spans="1:40" x14ac:dyDescent="0.25">
      <c r="A5295" t="str">
        <f>"20190303162408130"</f>
        <v>20190303162408130</v>
      </c>
      <c r="B5295" t="str">
        <f>"1551601448120403"</f>
        <v>1551601448120403</v>
      </c>
      <c r="C5295" t="s">
        <v>40</v>
      </c>
      <c r="D5295">
        <v>5.5494130000000004</v>
      </c>
      <c r="E5295">
        <v>0.52698970000000001</v>
      </c>
      <c r="F5295" t="s">
        <v>41</v>
      </c>
      <c r="G5295">
        <v>-336.72289999999998</v>
      </c>
      <c r="H5295" s="1">
        <v>-2.0985910000000001E-6</v>
      </c>
      <c r="I5295">
        <v>15.86802</v>
      </c>
      <c r="J5295">
        <v>-351.35219999999998</v>
      </c>
      <c r="K5295">
        <v>1.120617</v>
      </c>
      <c r="L5295">
        <v>17.774480000000001</v>
      </c>
      <c r="M5295">
        <v>0.99989070000000002</v>
      </c>
      <c r="N5295">
        <v>-1.198127E-2</v>
      </c>
      <c r="O5295">
        <v>-8.6569579999999993E-3</v>
      </c>
      <c r="P5295">
        <v>0.9808171</v>
      </c>
      <c r="Q5295">
        <v>0.1856051</v>
      </c>
      <c r="R5295">
        <v>-5.9571720000000002E-2</v>
      </c>
      <c r="S5295">
        <v>3.0785520000000002</v>
      </c>
      <c r="T5295">
        <v>-0.23317109999999999</v>
      </c>
      <c r="U5295">
        <v>-0.3970032</v>
      </c>
      <c r="V5295">
        <v>5.1205279999999999E-2</v>
      </c>
      <c r="W5295">
        <v>0.19731589999999999</v>
      </c>
      <c r="X5295">
        <v>0.97900180000000003</v>
      </c>
      <c r="Y5295">
        <v>0.11893579999999999</v>
      </c>
      <c r="Z5295">
        <v>-4.6470799999999996E-3</v>
      </c>
      <c r="AA5295">
        <v>0.99289110000000003</v>
      </c>
      <c r="AB5295">
        <v>29</v>
      </c>
      <c r="AC5295">
        <v>14.629300000000001</v>
      </c>
      <c r="AD5295">
        <v>-1.1206190985910001</v>
      </c>
      <c r="AE5295">
        <v>-1.9064599999999901</v>
      </c>
      <c r="AF5295">
        <v>1.7695245422350101</v>
      </c>
      <c r="AG5295">
        <v>-1.1206190985910001</v>
      </c>
      <c r="AH5295">
        <v>14.561242646765299</v>
      </c>
      <c r="AI5295">
        <v>94.368738803595704</v>
      </c>
      <c r="AJ5295">
        <v>83.071224629502495</v>
      </c>
      <c r="AK5295">
        <v>14.7111111642756</v>
      </c>
      <c r="AL5295">
        <v>78.619956517606894</v>
      </c>
      <c r="AM5295">
        <v>87.005954965893096</v>
      </c>
      <c r="AN5295">
        <v>1.0000000347479601</v>
      </c>
    </row>
    <row r="5296" spans="1:40" x14ac:dyDescent="0.25">
      <c r="A5296" t="str">
        <f>"20190303162408149"</f>
        <v>20190303162408149</v>
      </c>
      <c r="B5296" t="str">
        <f>"1551601448140428"</f>
        <v>1551601448140428</v>
      </c>
      <c r="C5296" t="s">
        <v>40</v>
      </c>
      <c r="D5296">
        <v>5.5728580000000001</v>
      </c>
      <c r="E5296">
        <v>0.52729619999999999</v>
      </c>
      <c r="F5296" t="s">
        <v>41</v>
      </c>
      <c r="G5296">
        <v>-336.57799999999997</v>
      </c>
      <c r="H5296" s="1">
        <v>-2.1522159999999999E-6</v>
      </c>
      <c r="I5296">
        <v>15.851839999999999</v>
      </c>
      <c r="J5296">
        <v>-351.11930000000001</v>
      </c>
      <c r="K5296">
        <v>1.1206320000000001</v>
      </c>
      <c r="L5296">
        <v>17.772220000000001</v>
      </c>
      <c r="M5296">
        <v>0.99988900000000003</v>
      </c>
      <c r="N5296">
        <v>-1.1980660000000001E-2</v>
      </c>
      <c r="O5296">
        <v>-8.8683900000000003E-3</v>
      </c>
      <c r="P5296">
        <v>0.98053489999999999</v>
      </c>
      <c r="Q5296">
        <v>0.18654090000000001</v>
      </c>
      <c r="R5296">
        <v>-6.1270739999999997E-2</v>
      </c>
      <c r="S5296">
        <v>3.078522</v>
      </c>
      <c r="T5296">
        <v>-0.2335045</v>
      </c>
      <c r="U5296">
        <v>-0.40060420000000002</v>
      </c>
      <c r="V5296">
        <v>5.2687730000000002E-2</v>
      </c>
      <c r="W5296">
        <v>0.19825019999999999</v>
      </c>
      <c r="X5296">
        <v>0.97873429999999995</v>
      </c>
      <c r="Y5296">
        <v>0.11986579999999999</v>
      </c>
      <c r="Z5296">
        <v>-4.6795500000000002E-3</v>
      </c>
      <c r="AA5296">
        <v>0.99277910000000003</v>
      </c>
      <c r="AB5296">
        <v>29</v>
      </c>
      <c r="AC5296">
        <v>14.5412999999999</v>
      </c>
      <c r="AD5296">
        <v>-1.1206341522159999</v>
      </c>
      <c r="AE5296">
        <v>-1.92038</v>
      </c>
      <c r="AF5296">
        <v>1.78094141692466</v>
      </c>
      <c r="AG5296">
        <v>-1.1206341522159999</v>
      </c>
      <c r="AH5296">
        <v>14.4732751230241</v>
      </c>
      <c r="AI5296">
        <v>94.3944411369324</v>
      </c>
      <c r="AJ5296">
        <v>82.984998661436904</v>
      </c>
      <c r="AK5296">
        <v>14.6254321652517</v>
      </c>
      <c r="AL5296">
        <v>78.565345706015705</v>
      </c>
      <c r="AM5296">
        <v>86.918598300137305</v>
      </c>
      <c r="AN5296">
        <v>0.99999998434454096</v>
      </c>
    </row>
    <row r="5297" spans="1:40" x14ac:dyDescent="0.25">
      <c r="A5297" t="str">
        <f>"20190303162408170"</f>
        <v>20190303162408170</v>
      </c>
      <c r="B5297" t="str">
        <f>"1551601448160455"</f>
        <v>1551601448160455</v>
      </c>
      <c r="C5297" t="s">
        <v>40</v>
      </c>
      <c r="D5297">
        <v>5.5556020000000004</v>
      </c>
      <c r="E5297">
        <v>0.52750649999999999</v>
      </c>
      <c r="F5297" t="s">
        <v>41</v>
      </c>
      <c r="G5297">
        <v>-336.20069999999998</v>
      </c>
      <c r="H5297" s="1">
        <v>-2.2959470000000001E-6</v>
      </c>
      <c r="I5297">
        <v>15.7941</v>
      </c>
      <c r="J5297">
        <v>-350.84039999999999</v>
      </c>
      <c r="K5297">
        <v>1.1206750000000001</v>
      </c>
      <c r="L5297">
        <v>17.769469999999998</v>
      </c>
      <c r="M5297">
        <v>0.99988719999999998</v>
      </c>
      <c r="N5297">
        <v>-1.198011E-2</v>
      </c>
      <c r="O5297">
        <v>-9.0663800000000006E-3</v>
      </c>
      <c r="P5297">
        <v>0.98054750000000002</v>
      </c>
      <c r="Q5297">
        <v>0.1862133</v>
      </c>
      <c r="R5297">
        <v>-6.2061119999999997E-2</v>
      </c>
      <c r="S5297">
        <v>3.078033</v>
      </c>
      <c r="T5297">
        <v>-0.23121140000000001</v>
      </c>
      <c r="U5297">
        <v>-0.40811160000000002</v>
      </c>
      <c r="V5297">
        <v>5.3264359999999997E-2</v>
      </c>
      <c r="W5297">
        <v>0.1979273</v>
      </c>
      <c r="X5297">
        <v>0.97876850000000004</v>
      </c>
      <c r="Y5297">
        <v>0.12206939999999999</v>
      </c>
      <c r="Z5297">
        <v>-4.7250169999999998E-3</v>
      </c>
      <c r="AA5297">
        <v>0.99251029999999996</v>
      </c>
      <c r="AB5297">
        <v>29</v>
      </c>
      <c r="AC5297">
        <v>14.639699999999999</v>
      </c>
      <c r="AD5297">
        <v>-1.1206772959469999</v>
      </c>
      <c r="AE5297">
        <v>-1.9753700000000001</v>
      </c>
      <c r="AF5297">
        <v>1.8320066253349601</v>
      </c>
      <c r="AG5297">
        <v>-1.1206772959469999</v>
      </c>
      <c r="AH5297">
        <v>14.5731375562038</v>
      </c>
      <c r="AI5297">
        <v>94.363195577909806</v>
      </c>
      <c r="AJ5297">
        <v>82.834865255365798</v>
      </c>
      <c r="AK5297">
        <v>14.7305296615214</v>
      </c>
      <c r="AL5297">
        <v>78.584221206788698</v>
      </c>
      <c r="AM5297">
        <v>86.885049224105899</v>
      </c>
      <c r="AN5297">
        <v>1.00000004236187</v>
      </c>
    </row>
    <row r="5298" spans="1:40" x14ac:dyDescent="0.25">
      <c r="A5298" t="str">
        <f>"20190303162408184"</f>
        <v>20190303162408184</v>
      </c>
      <c r="B5298" t="str">
        <f>"1551601448170215"</f>
        <v>1551601448170215</v>
      </c>
      <c r="C5298" t="s">
        <v>40</v>
      </c>
      <c r="D5298">
        <v>5.5537850000000004</v>
      </c>
      <c r="E5298">
        <v>0.52754999999999996</v>
      </c>
      <c r="F5298" t="s">
        <v>41</v>
      </c>
      <c r="G5298">
        <v>-336.09289999999999</v>
      </c>
      <c r="H5298" s="1">
        <v>-2.3362490000000001E-6</v>
      </c>
      <c r="I5298">
        <v>15.795059999999999</v>
      </c>
      <c r="J5298">
        <v>-350.65429999999998</v>
      </c>
      <c r="K5298">
        <v>1.120708</v>
      </c>
      <c r="L5298">
        <v>17.76764</v>
      </c>
      <c r="M5298">
        <v>0.99988630000000001</v>
      </c>
      <c r="N5298">
        <v>-1.1979689999999999E-2</v>
      </c>
      <c r="O5298">
        <v>-9.1693929999999996E-3</v>
      </c>
      <c r="P5298">
        <v>0.98050420000000005</v>
      </c>
      <c r="Q5298">
        <v>0.18632499999999999</v>
      </c>
      <c r="R5298">
        <v>-6.2409510000000001E-2</v>
      </c>
      <c r="S5298">
        <v>3.0778500000000002</v>
      </c>
      <c r="T5298">
        <v>-0.23388919999999999</v>
      </c>
      <c r="U5298">
        <v>-0.41204829999999998</v>
      </c>
      <c r="V5298">
        <v>5.3497679999999999E-2</v>
      </c>
      <c r="W5298">
        <v>0.1980422</v>
      </c>
      <c r="X5298">
        <v>0.97873250000000001</v>
      </c>
      <c r="Y5298">
        <v>0.1232106</v>
      </c>
      <c r="Z5298">
        <v>-4.8132230000000002E-3</v>
      </c>
      <c r="AA5298">
        <v>0.9923689</v>
      </c>
      <c r="AB5298">
        <v>29</v>
      </c>
      <c r="AC5298">
        <v>14.5613999999999</v>
      </c>
      <c r="AD5298">
        <v>-1.1207103362490001</v>
      </c>
      <c r="AE5298">
        <v>-1.97257999999999</v>
      </c>
      <c r="AF5298">
        <v>1.8283332740213301</v>
      </c>
      <c r="AG5298">
        <v>-1.1207103362490001</v>
      </c>
      <c r="AH5298">
        <v>14.494564659835101</v>
      </c>
      <c r="AI5298">
        <v>94.386652720660706</v>
      </c>
      <c r="AJ5298">
        <v>82.810723629024295</v>
      </c>
      <c r="AK5298">
        <v>14.6523444846485</v>
      </c>
      <c r="AL5298">
        <v>78.577504607781094</v>
      </c>
      <c r="AM5298">
        <v>86.871316646745498</v>
      </c>
      <c r="AN5298">
        <v>1.0000000106512299</v>
      </c>
    </row>
    <row r="5299" spans="1:40" x14ac:dyDescent="0.25">
      <c r="A5299" t="str">
        <f>"20190303162408197"</f>
        <v>20190303162408197</v>
      </c>
      <c r="B5299" t="str">
        <f>"1551601448189735"</f>
        <v>1551601448189735</v>
      </c>
      <c r="C5299" t="s">
        <v>40</v>
      </c>
      <c r="D5299">
        <v>5.566319</v>
      </c>
      <c r="E5299">
        <v>0.52762379999999998</v>
      </c>
      <c r="F5299" t="s">
        <v>42</v>
      </c>
      <c r="G5299">
        <v>-349.6866</v>
      </c>
      <c r="H5299">
        <v>1.0469010000000001</v>
      </c>
      <c r="I5299">
        <v>17.637499999999999</v>
      </c>
      <c r="J5299">
        <v>-350.48059999999998</v>
      </c>
      <c r="K5299">
        <v>1.1207400000000001</v>
      </c>
      <c r="L5299">
        <v>17.76596</v>
      </c>
      <c r="M5299">
        <v>0.99988569999999999</v>
      </c>
      <c r="N5299">
        <v>-1.1979149999999999E-2</v>
      </c>
      <c r="O5299">
        <v>-9.2347320000000007E-3</v>
      </c>
      <c r="P5299">
        <v>0.98051239999999995</v>
      </c>
      <c r="Q5299">
        <v>0.18610930000000001</v>
      </c>
      <c r="R5299">
        <v>-6.2922770000000003E-2</v>
      </c>
      <c r="S5299">
        <v>3.0779719999999999</v>
      </c>
      <c r="T5299">
        <v>-0.23479149999999999</v>
      </c>
      <c r="U5299">
        <v>-0.4129333</v>
      </c>
      <c r="V5299">
        <v>5.3932109999999998E-2</v>
      </c>
      <c r="W5299">
        <v>0.19782959999999999</v>
      </c>
      <c r="X5299">
        <v>0.9787517</v>
      </c>
      <c r="Y5299">
        <v>0.1234176</v>
      </c>
      <c r="Z5299">
        <v>-4.8331340000000002E-3</v>
      </c>
      <c r="AA5299">
        <v>0.99234310000000003</v>
      </c>
      <c r="AB5299">
        <v>29</v>
      </c>
      <c r="AC5299">
        <v>0.79399999999998205</v>
      </c>
      <c r="AD5299">
        <v>-7.3838999999999905E-2</v>
      </c>
      <c r="AE5299">
        <v>-0.12845999999999999</v>
      </c>
      <c r="AF5299">
        <v>0.120109373353417</v>
      </c>
      <c r="AG5299">
        <v>-7.3838999999999905E-2</v>
      </c>
      <c r="AH5299">
        <v>0.78850721606482099</v>
      </c>
      <c r="AI5299">
        <v>95.289148759264904</v>
      </c>
      <c r="AJ5299">
        <v>81.338996849686893</v>
      </c>
      <c r="AK5299">
        <v>0.80101316423305102</v>
      </c>
      <c r="AL5299">
        <v>78.589932090381595</v>
      </c>
      <c r="AM5299">
        <v>86.846022888429999</v>
      </c>
      <c r="AN5299">
        <v>1.0000000566890399</v>
      </c>
    </row>
    <row r="5300" spans="1:40" x14ac:dyDescent="0.25">
      <c r="A5300" t="str">
        <f>"20190303162408216"</f>
        <v>20190303162408216</v>
      </c>
      <c r="B5300" t="str">
        <f>"1551601448210231"</f>
        <v>1551601448210231</v>
      </c>
      <c r="C5300" t="s">
        <v>40</v>
      </c>
      <c r="D5300">
        <v>5.5573750000000004</v>
      </c>
      <c r="E5300">
        <v>0.52767319999999995</v>
      </c>
      <c r="F5300" t="s">
        <v>41</v>
      </c>
      <c r="G5300">
        <v>-336.02140000000003</v>
      </c>
      <c r="H5300" s="1">
        <v>-2.3626149999999998E-6</v>
      </c>
      <c r="I5300">
        <v>15.81954</v>
      </c>
      <c r="J5300">
        <v>-350.25</v>
      </c>
      <c r="K5300">
        <v>1.1207750000000001</v>
      </c>
      <c r="L5300">
        <v>17.7637</v>
      </c>
      <c r="M5300">
        <v>0.99988520000000003</v>
      </c>
      <c r="N5300">
        <v>-1.1978580000000001E-2</v>
      </c>
      <c r="O5300">
        <v>-9.2923199999999997E-3</v>
      </c>
      <c r="P5300">
        <v>0.98053489999999999</v>
      </c>
      <c r="Q5300">
        <v>0.1855289</v>
      </c>
      <c r="R5300">
        <v>-6.4271809999999999E-2</v>
      </c>
      <c r="S5300">
        <v>3.0783079999999998</v>
      </c>
      <c r="T5300">
        <v>-0.23860120000000001</v>
      </c>
      <c r="U5300">
        <v>-0.41436770000000001</v>
      </c>
      <c r="V5300">
        <v>5.5205360000000002E-2</v>
      </c>
      <c r="W5300">
        <v>0.19725419999999999</v>
      </c>
      <c r="X5300">
        <v>0.97879680000000002</v>
      </c>
      <c r="Y5300">
        <v>0.1237877</v>
      </c>
      <c r="Z5300">
        <v>-4.9096979999999997E-3</v>
      </c>
      <c r="AA5300">
        <v>0.99229659999999997</v>
      </c>
      <c r="AB5300">
        <v>29</v>
      </c>
      <c r="AC5300">
        <v>14.228599999999901</v>
      </c>
      <c r="AD5300">
        <v>-1.1207773626149999</v>
      </c>
      <c r="AE5300">
        <v>-1.9441599999999899</v>
      </c>
      <c r="AF5300">
        <v>1.8008809032155</v>
      </c>
      <c r="AG5300">
        <v>-1.1207773626149999</v>
      </c>
      <c r="AH5300">
        <v>14.159806789749901</v>
      </c>
      <c r="AI5300">
        <v>94.4896260482369</v>
      </c>
      <c r="AJ5300">
        <v>82.751887600154703</v>
      </c>
      <c r="AK5300">
        <v>14.3178015856892</v>
      </c>
      <c r="AL5300">
        <v>78.623562293576896</v>
      </c>
      <c r="AM5300">
        <v>86.771866699051799</v>
      </c>
      <c r="AN5300">
        <v>1.0000000134403</v>
      </c>
    </row>
    <row r="5301" spans="1:40" x14ac:dyDescent="0.25">
      <c r="A5301" t="str">
        <f>"20190303162408228"</f>
        <v>20190303162408228</v>
      </c>
      <c r="B5301" t="str">
        <f>"1551601448219992"</f>
        <v>1551601448219992</v>
      </c>
      <c r="C5301" t="s">
        <v>40</v>
      </c>
      <c r="D5301">
        <v>5.5756319999999997</v>
      </c>
      <c r="E5301">
        <v>0.52772919999999901</v>
      </c>
      <c r="F5301" t="s">
        <v>41</v>
      </c>
      <c r="G5301">
        <v>-335.98329999999999</v>
      </c>
      <c r="H5301" s="1">
        <v>-2.3774030000000002E-6</v>
      </c>
      <c r="I5301">
        <v>15.828110000000001</v>
      </c>
      <c r="J5301">
        <v>-350.07740000000001</v>
      </c>
      <c r="K5301">
        <v>1.1208020000000001</v>
      </c>
      <c r="L5301">
        <v>17.762049999999999</v>
      </c>
      <c r="M5301">
        <v>0.99988500000000002</v>
      </c>
      <c r="N5301">
        <v>-1.1978219999999999E-2</v>
      </c>
      <c r="O5301">
        <v>-9.3149259999999994E-3</v>
      </c>
      <c r="P5301">
        <v>0.9805642</v>
      </c>
      <c r="Q5301">
        <v>0.18514600000000001</v>
      </c>
      <c r="R5301">
        <v>-6.4924819999999994E-2</v>
      </c>
      <c r="S5301">
        <v>3.0779420000000002</v>
      </c>
      <c r="T5301">
        <v>-0.24179970000000001</v>
      </c>
      <c r="U5301">
        <v>-0.417572</v>
      </c>
      <c r="V5301">
        <v>5.5822959999999998E-2</v>
      </c>
      <c r="W5301">
        <v>0.19687460000000001</v>
      </c>
      <c r="X5301">
        <v>0.97883819999999999</v>
      </c>
      <c r="Y5301">
        <v>0.1247819</v>
      </c>
      <c r="Z5301">
        <v>-5.0074259999999997E-3</v>
      </c>
      <c r="AA5301">
        <v>0.99217160000000004</v>
      </c>
      <c r="AB5301">
        <v>29</v>
      </c>
      <c r="AC5301">
        <v>14.094099999999999</v>
      </c>
      <c r="AD5301">
        <v>-1.1208043774030001</v>
      </c>
      <c r="AE5301">
        <v>-1.93393999999999</v>
      </c>
      <c r="AF5301">
        <v>1.79144164901034</v>
      </c>
      <c r="AG5301">
        <v>-1.1208043774030001</v>
      </c>
      <c r="AH5301">
        <v>14.024454014675699</v>
      </c>
      <c r="AI5301">
        <v>94.532571536672194</v>
      </c>
      <c r="AJ5301">
        <v>82.720630199459194</v>
      </c>
      <c r="AK5301">
        <v>14.1827633430149</v>
      </c>
      <c r="AL5301">
        <v>78.645746831204605</v>
      </c>
      <c r="AM5301">
        <v>86.7359679612604</v>
      </c>
      <c r="AN5301">
        <v>1.0000000163837801</v>
      </c>
    </row>
    <row r="5302" spans="1:40" x14ac:dyDescent="0.25">
      <c r="A5302" t="str">
        <f>"20190303162408244"</f>
        <v>20190303162408244</v>
      </c>
      <c r="B5302" t="str">
        <f>"1551601448230728"</f>
        <v>1551601448230728</v>
      </c>
      <c r="C5302" t="s">
        <v>40</v>
      </c>
      <c r="D5302">
        <v>5.5814940000000002</v>
      </c>
      <c r="E5302">
        <v>0.52777189999999996</v>
      </c>
      <c r="F5302" t="s">
        <v>42</v>
      </c>
      <c r="G5302">
        <v>-349.16559999999998</v>
      </c>
      <c r="H5302">
        <v>1.0485580000000001</v>
      </c>
      <c r="I5302">
        <v>17.63747</v>
      </c>
      <c r="J5302">
        <v>-349.88679999999999</v>
      </c>
      <c r="K5302">
        <v>1.120825</v>
      </c>
      <c r="L5302">
        <v>17.760249999999999</v>
      </c>
      <c r="M5302">
        <v>0.99988480000000002</v>
      </c>
      <c r="N5302">
        <v>-1.197811E-2</v>
      </c>
      <c r="O5302">
        <v>-9.322749E-3</v>
      </c>
      <c r="P5302">
        <v>0.98061730000000003</v>
      </c>
      <c r="Q5302">
        <v>0.1847386</v>
      </c>
      <c r="R5302">
        <v>-6.5279320000000002E-2</v>
      </c>
      <c r="S5302">
        <v>3.0776979999999998</v>
      </c>
      <c r="T5302">
        <v>-0.24387500000000001</v>
      </c>
      <c r="U5302">
        <v>-0.42004390000000003</v>
      </c>
      <c r="V5302">
        <v>5.6156369999999997E-2</v>
      </c>
      <c r="W5302">
        <v>0.19647200000000001</v>
      </c>
      <c r="X5302">
        <v>0.97889999999999999</v>
      </c>
      <c r="Y5302">
        <v>0.12555759999999999</v>
      </c>
      <c r="Z5302">
        <v>-5.0777359999999898E-3</v>
      </c>
      <c r="AA5302">
        <v>0.99207339999999999</v>
      </c>
      <c r="AB5302">
        <v>29</v>
      </c>
      <c r="AC5302">
        <v>0.72120000000001006</v>
      </c>
      <c r="AD5302">
        <v>-7.2266999999999804E-2</v>
      </c>
      <c r="AE5302">
        <v>-0.122779999999998</v>
      </c>
      <c r="AF5302">
        <v>0.114929137074157</v>
      </c>
      <c r="AG5302">
        <v>-7.2266999999999804E-2</v>
      </c>
      <c r="AH5302">
        <v>0.71533316854490303</v>
      </c>
      <c r="AI5302">
        <v>95.696209947797598</v>
      </c>
      <c r="AJ5302">
        <v>80.872565873353395</v>
      </c>
      <c r="AK5302">
        <v>0.728102168557477</v>
      </c>
      <c r="AL5302">
        <v>78.669273392871901</v>
      </c>
      <c r="AM5302">
        <v>86.716722467254101</v>
      </c>
      <c r="AN5302">
        <v>0.99999999733778799</v>
      </c>
    </row>
    <row r="5303" spans="1:40" x14ac:dyDescent="0.25">
      <c r="A5303" t="str">
        <f>"20190303162408260"</f>
        <v>20190303162408260</v>
      </c>
      <c r="B5303" t="str">
        <f>"1551601448250248"</f>
        <v>1551601448250248</v>
      </c>
      <c r="C5303" t="s">
        <v>40</v>
      </c>
      <c r="D5303">
        <v>5.5595800000000004</v>
      </c>
      <c r="E5303">
        <v>0.52782959999999901</v>
      </c>
      <c r="F5303" t="s">
        <v>42</v>
      </c>
      <c r="G5303">
        <v>-348.91140000000001</v>
      </c>
      <c r="H5303">
        <v>1.042648</v>
      </c>
      <c r="I5303">
        <v>17.6265</v>
      </c>
      <c r="J5303">
        <v>-349.66359999999997</v>
      </c>
      <c r="K5303">
        <v>1.120849</v>
      </c>
      <c r="L5303">
        <v>17.758179999999999</v>
      </c>
      <c r="M5303">
        <v>0.99988509999999997</v>
      </c>
      <c r="N5303">
        <v>-1.1981800000000001E-2</v>
      </c>
      <c r="O5303">
        <v>-9.3004230000000004E-3</v>
      </c>
      <c r="P5303">
        <v>0.98073730000000003</v>
      </c>
      <c r="Q5303">
        <v>0.1839007</v>
      </c>
      <c r="R5303">
        <v>-6.5841940000000002E-2</v>
      </c>
      <c r="S5303">
        <v>3.077728</v>
      </c>
      <c r="T5303">
        <v>-0.2467058</v>
      </c>
      <c r="U5303">
        <v>-0.420929</v>
      </c>
      <c r="V5303">
        <v>5.6726209999999999E-2</v>
      </c>
      <c r="W5303">
        <v>0.19564300000000001</v>
      </c>
      <c r="X5303">
        <v>0.97903320000000005</v>
      </c>
      <c r="Y5303">
        <v>0.1258483</v>
      </c>
      <c r="Z5303">
        <v>-5.1414709999999999E-3</v>
      </c>
      <c r="AA5303">
        <v>0.99203620000000003</v>
      </c>
      <c r="AB5303">
        <v>29</v>
      </c>
      <c r="AC5303">
        <v>0.75219999999995901</v>
      </c>
      <c r="AD5303">
        <v>-7.8200999999999896E-2</v>
      </c>
      <c r="AE5303">
        <v>-0.13167999999999899</v>
      </c>
      <c r="AF5303">
        <v>0.12338410387413901</v>
      </c>
      <c r="AG5303">
        <v>-7.8200999999999896E-2</v>
      </c>
      <c r="AH5303">
        <v>0.74557345204569803</v>
      </c>
      <c r="AI5303">
        <v>95.907919397685504</v>
      </c>
      <c r="AJ5303">
        <v>80.603349540005098</v>
      </c>
      <c r="AK5303">
        <v>0.759749173007226</v>
      </c>
      <c r="AL5303">
        <v>78.717712000032094</v>
      </c>
      <c r="AM5303">
        <v>86.683930016153397</v>
      </c>
      <c r="AN5303">
        <v>1.0000000265261</v>
      </c>
    </row>
    <row r="5304" spans="1:40" x14ac:dyDescent="0.25">
      <c r="A5304" t="str">
        <f>"20190303162408283"</f>
        <v>20190303162408283</v>
      </c>
      <c r="B5304" t="str">
        <f>"1551601448269768"</f>
        <v>1551601448269768</v>
      </c>
      <c r="C5304" t="s">
        <v>40</v>
      </c>
      <c r="D5304">
        <v>5.5738649999999996</v>
      </c>
      <c r="E5304">
        <v>0.52787069999999903</v>
      </c>
      <c r="F5304" t="s">
        <v>41</v>
      </c>
      <c r="G5304">
        <v>-335.94380000000001</v>
      </c>
      <c r="H5304" s="1">
        <v>-2.3862870000000002E-6</v>
      </c>
      <c r="I5304">
        <v>15.87364</v>
      </c>
      <c r="J5304">
        <v>-349.38560000000001</v>
      </c>
      <c r="K5304">
        <v>1.12087</v>
      </c>
      <c r="L5304">
        <v>17.75562</v>
      </c>
      <c r="M5304">
        <v>0.99988549999999998</v>
      </c>
      <c r="N5304">
        <v>-1.1989949999999999E-2</v>
      </c>
      <c r="O5304">
        <v>-9.2402990000000004E-3</v>
      </c>
      <c r="P5304">
        <v>0.98083989999999999</v>
      </c>
      <c r="Q5304">
        <v>0.183173</v>
      </c>
      <c r="R5304">
        <v>-6.6339720000000005E-2</v>
      </c>
      <c r="S5304">
        <v>3.0776979999999998</v>
      </c>
      <c r="T5304">
        <v>-0.2514343</v>
      </c>
      <c r="U5304">
        <v>-0.42272949999999998</v>
      </c>
      <c r="V5304">
        <v>5.7267360000000003E-2</v>
      </c>
      <c r="W5304">
        <v>0.1949284</v>
      </c>
      <c r="X5304">
        <v>0.97914420000000002</v>
      </c>
      <c r="Y5304">
        <v>0.12646089999999999</v>
      </c>
      <c r="Z5304">
        <v>-5.25634E-3</v>
      </c>
      <c r="AA5304">
        <v>0.99195770000000005</v>
      </c>
      <c r="AB5304">
        <v>29</v>
      </c>
      <c r="AC5304">
        <v>13.441800000000001</v>
      </c>
      <c r="AD5304">
        <v>-1.120872386287</v>
      </c>
      <c r="AE5304">
        <v>-1.88198</v>
      </c>
      <c r="AF5304">
        <v>1.7457787502023601</v>
      </c>
      <c r="AG5304">
        <v>-1.120872386287</v>
      </c>
      <c r="AH5304">
        <v>13.367455065148601</v>
      </c>
      <c r="AI5304">
        <v>94.752912545368901</v>
      </c>
      <c r="AJ5304">
        <v>82.559330181863402</v>
      </c>
      <c r="AK5304">
        <v>13.5274888013173</v>
      </c>
      <c r="AL5304">
        <v>78.759459026282499</v>
      </c>
      <c r="AM5304">
        <v>86.652746008594605</v>
      </c>
      <c r="AN5304">
        <v>0.99999999802078399</v>
      </c>
    </row>
    <row r="5305" spans="1:40" x14ac:dyDescent="0.25">
      <c r="A5305" t="str">
        <f>"20190303162408305"</f>
        <v>20190303162408305</v>
      </c>
      <c r="B5305" t="str">
        <f>"1551601448300026"</f>
        <v>1551601448300026</v>
      </c>
      <c r="C5305" t="s">
        <v>40</v>
      </c>
      <c r="D5305">
        <v>5.6109519999999904</v>
      </c>
      <c r="E5305">
        <v>0.52791089999999996</v>
      </c>
      <c r="F5305" t="s">
        <v>41</v>
      </c>
      <c r="G5305">
        <v>-335.9427</v>
      </c>
      <c r="H5305" s="1">
        <v>-2.381785E-6</v>
      </c>
      <c r="I5305">
        <v>15.90174</v>
      </c>
      <c r="J5305">
        <v>-349.08629999999999</v>
      </c>
      <c r="K5305">
        <v>1.1208979999999999</v>
      </c>
      <c r="L5305">
        <v>17.752929999999999</v>
      </c>
      <c r="M5305">
        <v>0.99988630000000001</v>
      </c>
      <c r="N5305">
        <v>-1.199976E-2</v>
      </c>
      <c r="O5305">
        <v>-9.1398060000000003E-3</v>
      </c>
      <c r="P5305">
        <v>0.98093589999999997</v>
      </c>
      <c r="Q5305">
        <v>0.18272740000000001</v>
      </c>
      <c r="R5305">
        <v>-6.6146899999999995E-2</v>
      </c>
      <c r="S5305">
        <v>3.0778500000000002</v>
      </c>
      <c r="T5305">
        <v>-0.25663130000000001</v>
      </c>
      <c r="U5305">
        <v>-0.4244385</v>
      </c>
      <c r="V5305">
        <v>5.7158639999999997E-2</v>
      </c>
      <c r="W5305">
        <v>0.19449810000000001</v>
      </c>
      <c r="X5305">
        <v>0.97923610000000005</v>
      </c>
      <c r="Y5305">
        <v>0.1270744</v>
      </c>
      <c r="Z5305">
        <v>-5.3832730000000001E-3</v>
      </c>
      <c r="AA5305">
        <v>0.99187860000000005</v>
      </c>
      <c r="AB5305">
        <v>29</v>
      </c>
      <c r="AC5305">
        <v>13.1435999999999</v>
      </c>
      <c r="AD5305">
        <v>-1.1209003817849901</v>
      </c>
      <c r="AE5305">
        <v>-1.8511899999999899</v>
      </c>
      <c r="AF5305">
        <v>1.71871721529118</v>
      </c>
      <c r="AG5305">
        <v>-1.1209003817849901</v>
      </c>
      <c r="AH5305">
        <v>13.0667872061028</v>
      </c>
      <c r="AI5305">
        <v>94.861297618569907</v>
      </c>
      <c r="AJ5305">
        <v>82.506715104682897</v>
      </c>
      <c r="AK5305">
        <v>13.2269170414574</v>
      </c>
      <c r="AL5305">
        <v>78.784594286478793</v>
      </c>
      <c r="AM5305">
        <v>86.6593990708148</v>
      </c>
      <c r="AN5305">
        <v>0.99999998028673398</v>
      </c>
    </row>
    <row r="5306" spans="1:40" x14ac:dyDescent="0.25">
      <c r="A5306" t="str">
        <f>"20190303162408328"</f>
        <v>20190303162408328</v>
      </c>
      <c r="B5306" t="str">
        <f>"1551601448320520"</f>
        <v>1551601448320520</v>
      </c>
      <c r="C5306" t="s">
        <v>40</v>
      </c>
      <c r="D5306">
        <v>5.8015280000000002</v>
      </c>
      <c r="E5306">
        <v>0.50424590000000002</v>
      </c>
      <c r="F5306" t="s">
        <v>42</v>
      </c>
      <c r="G5306">
        <v>-348.13490000000002</v>
      </c>
      <c r="H5306">
        <v>1.040619</v>
      </c>
      <c r="I5306">
        <v>17.621320000000001</v>
      </c>
      <c r="J5306">
        <v>-348.79109999999997</v>
      </c>
      <c r="K5306">
        <v>1.1209169999999999</v>
      </c>
      <c r="L5306">
        <v>17.75037</v>
      </c>
      <c r="M5306">
        <v>0.99988719999999998</v>
      </c>
      <c r="N5306">
        <v>-1.200877E-2</v>
      </c>
      <c r="O5306">
        <v>-9.0214010000000001E-3</v>
      </c>
      <c r="P5306">
        <v>0.98107509999999998</v>
      </c>
      <c r="Q5306">
        <v>0.1824172</v>
      </c>
      <c r="R5306">
        <v>-6.4928379999999994E-2</v>
      </c>
      <c r="S5306">
        <v>3.078033</v>
      </c>
      <c r="T5306">
        <v>-0.25974560000000002</v>
      </c>
      <c r="U5306">
        <v>-0.42507929999999999</v>
      </c>
      <c r="V5306">
        <v>5.6044530000000002E-2</v>
      </c>
      <c r="W5306">
        <v>0.1942006</v>
      </c>
      <c r="X5306">
        <v>0.9793596</v>
      </c>
      <c r="Y5306">
        <v>0.1273744</v>
      </c>
      <c r="Z5306">
        <v>-5.4610350000000004E-3</v>
      </c>
      <c r="AA5306">
        <v>0.99183969999999999</v>
      </c>
      <c r="AB5306">
        <v>29</v>
      </c>
      <c r="AC5306">
        <v>0.65619999999995504</v>
      </c>
      <c r="AD5306">
        <v>-8.0297999999999897E-2</v>
      </c>
      <c r="AE5306">
        <v>-0.129049999999999</v>
      </c>
      <c r="AF5306">
        <v>0.121374691380129</v>
      </c>
      <c r="AG5306">
        <v>-8.0297999999999897E-2</v>
      </c>
      <c r="AH5306">
        <v>0.64799582155833502</v>
      </c>
      <c r="AI5306">
        <v>96.944378714517896</v>
      </c>
      <c r="AJ5306">
        <v>79.390981664742895</v>
      </c>
      <c r="AK5306">
        <v>0.66413716148750701</v>
      </c>
      <c r="AL5306">
        <v>78.801971841623896</v>
      </c>
      <c r="AM5306">
        <v>86.724781506640696</v>
      </c>
      <c r="AN5306">
        <v>1.0000000442477099</v>
      </c>
    </row>
    <row r="5307" spans="1:40" x14ac:dyDescent="0.25">
      <c r="A5307" t="str">
        <f>"20190303162408344"</f>
        <v>20190303162408344</v>
      </c>
      <c r="B5307" t="str">
        <f>"1551601448329813"</f>
        <v>1551601448329813</v>
      </c>
      <c r="C5307" t="s">
        <v>40</v>
      </c>
      <c r="D5307">
        <v>5.8002399999999996</v>
      </c>
      <c r="E5307">
        <v>0.49978830000000002</v>
      </c>
      <c r="F5307" t="s">
        <v>42</v>
      </c>
      <c r="G5307">
        <v>-347.87509999999997</v>
      </c>
      <c r="H5307">
        <v>1.043847</v>
      </c>
      <c r="I5307">
        <v>17.680720000000001</v>
      </c>
      <c r="J5307">
        <v>-348.58940000000001</v>
      </c>
      <c r="K5307">
        <v>1.12093</v>
      </c>
      <c r="L5307">
        <v>17.748629999999999</v>
      </c>
      <c r="M5307">
        <v>0.99988790000000005</v>
      </c>
      <c r="N5307">
        <v>-1.201467E-2</v>
      </c>
      <c r="O5307">
        <v>-8.9348440000000008E-3</v>
      </c>
      <c r="P5307">
        <v>0.98112849999999996</v>
      </c>
      <c r="Q5307">
        <v>0.18254319999999999</v>
      </c>
      <c r="R5307">
        <v>-6.3757659999999994E-2</v>
      </c>
      <c r="S5307">
        <v>3.0907290000000001</v>
      </c>
      <c r="T5307">
        <v>-0.26008829999999999</v>
      </c>
      <c r="U5307">
        <v>-0.23419190000000001</v>
      </c>
      <c r="V5307">
        <v>5.4952569999999999E-2</v>
      </c>
      <c r="W5307">
        <v>0.19433439999999999</v>
      </c>
      <c r="X5307">
        <v>0.97939489999999996</v>
      </c>
      <c r="Y5307">
        <v>6.6399020000000003E-2</v>
      </c>
      <c r="Z5307">
        <v>-2.5427800000000001E-3</v>
      </c>
      <c r="AA5307">
        <v>0.99778990000000001</v>
      </c>
      <c r="AB5307">
        <v>29</v>
      </c>
      <c r="AC5307">
        <v>0.71430000000003602</v>
      </c>
      <c r="AD5307">
        <v>-7.7082999999999999E-2</v>
      </c>
      <c r="AE5307">
        <v>-6.7909999999997694E-2</v>
      </c>
      <c r="AF5307">
        <v>6.0822706731389599E-2</v>
      </c>
      <c r="AG5307">
        <v>-7.7082999999999999E-2</v>
      </c>
      <c r="AH5307">
        <v>0.70672192745612605</v>
      </c>
      <c r="AI5307">
        <v>96.201965861435099</v>
      </c>
      <c r="AJ5307">
        <v>85.0810661533081</v>
      </c>
      <c r="AK5307">
        <v>0.71351038765419195</v>
      </c>
      <c r="AL5307">
        <v>78.794156356590605</v>
      </c>
      <c r="AM5307">
        <v>86.788575795318295</v>
      </c>
      <c r="AN5307">
        <v>1.0000000070594799</v>
      </c>
    </row>
    <row r="5308" spans="1:40" x14ac:dyDescent="0.25">
      <c r="A5308" t="str">
        <f>"20190303162408361"</f>
        <v>20190303162408361</v>
      </c>
      <c r="B5308" t="str">
        <f>"1551601448350308"</f>
        <v>1551601448350308</v>
      </c>
      <c r="C5308" t="s">
        <v>40</v>
      </c>
      <c r="D5308">
        <v>5.8523290000000001</v>
      </c>
      <c r="E5308">
        <v>0.496085</v>
      </c>
      <c r="F5308" t="s">
        <v>42</v>
      </c>
      <c r="G5308">
        <v>-347.61619999999999</v>
      </c>
      <c r="H5308">
        <v>1.0424150000000001</v>
      </c>
      <c r="I5308">
        <v>17.686959999999999</v>
      </c>
      <c r="J5308">
        <v>-348.35860000000002</v>
      </c>
      <c r="K5308">
        <v>1.120935</v>
      </c>
      <c r="L5308">
        <v>17.746670000000002</v>
      </c>
      <c r="M5308">
        <v>0.99988880000000002</v>
      </c>
      <c r="N5308">
        <v>-1.202133E-2</v>
      </c>
      <c r="O5308">
        <v>-8.8320120000000002E-3</v>
      </c>
      <c r="P5308">
        <v>0.98115790000000003</v>
      </c>
      <c r="Q5308">
        <v>0.1829779</v>
      </c>
      <c r="R5308">
        <v>-6.2038879999999998E-2</v>
      </c>
      <c r="S5308">
        <v>3.091431</v>
      </c>
      <c r="T5308">
        <v>-0.24947150000000001</v>
      </c>
      <c r="U5308">
        <v>-0.19558719999999999</v>
      </c>
      <c r="V5308">
        <v>5.3330660000000002E-2</v>
      </c>
      <c r="W5308">
        <v>0.19477639999999999</v>
      </c>
      <c r="X5308">
        <v>0.97939679999999996</v>
      </c>
      <c r="Y5308">
        <v>5.4142940000000001E-2</v>
      </c>
      <c r="Z5308">
        <v>-1.9004009999999999E-3</v>
      </c>
      <c r="AA5308">
        <v>0.99853139999999996</v>
      </c>
      <c r="AB5308">
        <v>29</v>
      </c>
      <c r="AC5308">
        <v>0.74240000000003104</v>
      </c>
      <c r="AD5308">
        <v>-7.8520000000000104E-2</v>
      </c>
      <c r="AE5308">
        <v>-5.9710000000002497E-2</v>
      </c>
      <c r="AF5308">
        <v>5.2566073533567501E-2</v>
      </c>
      <c r="AG5308">
        <v>-7.8520000000000104E-2</v>
      </c>
      <c r="AH5308">
        <v>0.734732359181136</v>
      </c>
      <c r="AI5308">
        <v>96.084546413768706</v>
      </c>
      <c r="AJ5308">
        <v>85.907773666949296</v>
      </c>
      <c r="AK5308">
        <v>0.74078351906249496</v>
      </c>
      <c r="AL5308">
        <v>78.768338750364094</v>
      </c>
      <c r="AM5308">
        <v>86.883176417518797</v>
      </c>
      <c r="AN5308">
        <v>1.0000000485716101</v>
      </c>
    </row>
    <row r="5309" spans="1:40" x14ac:dyDescent="0.25">
      <c r="A5309" t="str">
        <f>"20190303162408383"</f>
        <v>20190303162408383</v>
      </c>
      <c r="B5309" t="str">
        <f>"1551601448369827"</f>
        <v>1551601448369827</v>
      </c>
      <c r="C5309" t="s">
        <v>40</v>
      </c>
      <c r="D5309">
        <v>5.6745660000000004</v>
      </c>
      <c r="E5309">
        <v>0.49444149999999998</v>
      </c>
      <c r="F5309" t="s">
        <v>41</v>
      </c>
      <c r="G5309">
        <v>-333.8707</v>
      </c>
      <c r="H5309" s="1">
        <v>-3.0777289999999999E-6</v>
      </c>
      <c r="I5309">
        <v>16.98931</v>
      </c>
      <c r="J5309">
        <v>-348.0779</v>
      </c>
      <c r="K5309">
        <v>1.120949</v>
      </c>
      <c r="L5309">
        <v>17.744289999999999</v>
      </c>
      <c r="M5309">
        <v>0.99988980000000005</v>
      </c>
      <c r="N5309">
        <v>-1.202898E-2</v>
      </c>
      <c r="O5309">
        <v>-8.7048070000000002E-3</v>
      </c>
      <c r="P5309">
        <v>0.98120890000000005</v>
      </c>
      <c r="Q5309">
        <v>0.18303359999999999</v>
      </c>
      <c r="R5309">
        <v>-6.1056520000000003E-2</v>
      </c>
      <c r="S5309">
        <v>3.092041</v>
      </c>
      <c r="T5309">
        <v>-0.239233</v>
      </c>
      <c r="U5309">
        <v>-0.16162109999999999</v>
      </c>
      <c r="V5309">
        <v>5.2470959999999997E-2</v>
      </c>
      <c r="W5309">
        <v>0.1948405</v>
      </c>
      <c r="X5309">
        <v>0.97943040000000003</v>
      </c>
      <c r="Y5309">
        <v>4.3372269999999997E-2</v>
      </c>
      <c r="Z5309">
        <v>-1.368254E-3</v>
      </c>
      <c r="AA5309">
        <v>0.99905809999999995</v>
      </c>
      <c r="AB5309">
        <v>29</v>
      </c>
      <c r="AC5309">
        <v>14.2072</v>
      </c>
      <c r="AD5309">
        <v>-1.1209520777290001</v>
      </c>
      <c r="AE5309">
        <v>-0.75497999999999899</v>
      </c>
      <c r="AF5309">
        <v>0.62737693127899297</v>
      </c>
      <c r="AG5309">
        <v>-1.1209520777290001</v>
      </c>
      <c r="AH5309">
        <v>14.1255465788888</v>
      </c>
      <c r="AI5309">
        <v>94.532826576074697</v>
      </c>
      <c r="AJ5309">
        <v>87.4569166633771</v>
      </c>
      <c r="AK5309">
        <v>14.1838359242774</v>
      </c>
      <c r="AL5309">
        <v>78.764593405144197</v>
      </c>
      <c r="AM5309">
        <v>86.933428501323903</v>
      </c>
      <c r="AN5309">
        <v>0.99999996526386503</v>
      </c>
    </row>
    <row r="5310" spans="1:40" x14ac:dyDescent="0.25">
      <c r="A5310" t="str">
        <f>"20190303162408398"</f>
        <v>20190303162408398</v>
      </c>
      <c r="B5310" t="str">
        <f>"1551601448390324"</f>
        <v>1551601448390324</v>
      </c>
      <c r="C5310" t="s">
        <v>40</v>
      </c>
      <c r="D5310">
        <v>5.7335310000000002</v>
      </c>
      <c r="E5310">
        <v>0.49379250000000002</v>
      </c>
      <c r="F5310" t="s">
        <v>42</v>
      </c>
      <c r="G5310">
        <v>-347.09339999999997</v>
      </c>
      <c r="H5310">
        <v>1.0466789999999999</v>
      </c>
      <c r="I5310">
        <v>17.69801</v>
      </c>
      <c r="J5310">
        <v>-347.88560000000001</v>
      </c>
      <c r="K5310">
        <v>1.1209469999999999</v>
      </c>
      <c r="L5310">
        <v>17.742709999999999</v>
      </c>
      <c r="M5310">
        <v>0.99989050000000002</v>
      </c>
      <c r="N5310">
        <v>-1.2033749999999999E-2</v>
      </c>
      <c r="O5310">
        <v>-8.6180489999999992E-3</v>
      </c>
      <c r="P5310">
        <v>0.98126310000000005</v>
      </c>
      <c r="Q5310">
        <v>0.1829065</v>
      </c>
      <c r="R5310">
        <v>-6.0567679999999999E-2</v>
      </c>
      <c r="S5310">
        <v>3.0919490000000001</v>
      </c>
      <c r="T5310">
        <v>-0.23325129999999999</v>
      </c>
      <c r="U5310">
        <v>-0.14471439999999999</v>
      </c>
      <c r="V5310">
        <v>5.206674E-2</v>
      </c>
      <c r="W5310">
        <v>0.19471840000000001</v>
      </c>
      <c r="X5310">
        <v>0.97947629999999997</v>
      </c>
      <c r="Y5310">
        <v>3.8033579999999997E-2</v>
      </c>
      <c r="Z5310">
        <v>-1.1158520000000001E-3</v>
      </c>
      <c r="AA5310">
        <v>0.99927589999999999</v>
      </c>
      <c r="AB5310">
        <v>29</v>
      </c>
      <c r="AC5310">
        <v>0.79220000000003599</v>
      </c>
      <c r="AD5310">
        <v>-7.4267999999999695E-2</v>
      </c>
      <c r="AE5310">
        <v>-4.4699999999998803E-2</v>
      </c>
      <c r="AF5310">
        <v>3.7541724557833701E-2</v>
      </c>
      <c r="AG5310">
        <v>-7.4267999999999695E-2</v>
      </c>
      <c r="AH5310">
        <v>0.78567256037698596</v>
      </c>
      <c r="AI5310">
        <v>95.393887743108095</v>
      </c>
      <c r="AJ5310">
        <v>87.264321456221694</v>
      </c>
      <c r="AK5310">
        <v>0.79006739524935798</v>
      </c>
      <c r="AL5310">
        <v>78.771726352643398</v>
      </c>
      <c r="AM5310">
        <v>86.957150178269401</v>
      </c>
      <c r="AN5310">
        <v>1.0000000114872301</v>
      </c>
    </row>
    <row r="5311" spans="1:40" x14ac:dyDescent="0.25">
      <c r="A5311" t="str">
        <f>"20190303162408410"</f>
        <v>20190303162408410</v>
      </c>
      <c r="B5311" t="str">
        <f>"1551601448400083"</f>
        <v>1551601448400083</v>
      </c>
      <c r="C5311" t="s">
        <v>40</v>
      </c>
      <c r="D5311">
        <v>5.7912780000000001</v>
      </c>
      <c r="E5311">
        <v>0.49381979999999998</v>
      </c>
      <c r="F5311" t="s">
        <v>41</v>
      </c>
      <c r="G5311">
        <v>-333.0204</v>
      </c>
      <c r="H5311" s="1">
        <v>-3.4262010000000001E-6</v>
      </c>
      <c r="I5311">
        <v>17.081289999999999</v>
      </c>
      <c r="J5311">
        <v>-347.72230000000002</v>
      </c>
      <c r="K5311">
        <v>1.120951</v>
      </c>
      <c r="L5311">
        <v>17.741389999999999</v>
      </c>
      <c r="M5311">
        <v>0.99989099999999997</v>
      </c>
      <c r="N5311">
        <v>-1.2037630000000001E-2</v>
      </c>
      <c r="O5311">
        <v>-8.5452419999999998E-3</v>
      </c>
      <c r="P5311">
        <v>0.98129580000000005</v>
      </c>
      <c r="Q5311">
        <v>0.18281549999999999</v>
      </c>
      <c r="R5311">
        <v>-6.0307640000000003E-2</v>
      </c>
      <c r="S5311">
        <v>3.092285</v>
      </c>
      <c r="T5311">
        <v>-0.23318230000000001</v>
      </c>
      <c r="U5311">
        <v>-0.13757320000000001</v>
      </c>
      <c r="V5311">
        <v>5.1878170000000001E-2</v>
      </c>
      <c r="W5311">
        <v>0.1946319</v>
      </c>
      <c r="X5311">
        <v>0.97950349999999997</v>
      </c>
      <c r="Y5311">
        <v>3.5805570000000002E-2</v>
      </c>
      <c r="Z5311">
        <v>-1.022996E-3</v>
      </c>
      <c r="AA5311">
        <v>0.99935819999999997</v>
      </c>
      <c r="AB5311">
        <v>29</v>
      </c>
      <c r="AC5311">
        <v>14.7019</v>
      </c>
      <c r="AD5311">
        <v>-1.1209544262010001</v>
      </c>
      <c r="AE5311">
        <v>-0.66009999999999902</v>
      </c>
      <c r="AF5311">
        <v>0.53135275204881105</v>
      </c>
      <c r="AG5311">
        <v>-1.1209544262010001</v>
      </c>
      <c r="AH5311">
        <v>14.622170987925401</v>
      </c>
      <c r="AI5311">
        <v>94.3809134506768</v>
      </c>
      <c r="AJ5311">
        <v>87.9188534938407</v>
      </c>
      <c r="AK5311">
        <v>14.674697917601501</v>
      </c>
      <c r="AL5311">
        <v>78.776779133891097</v>
      </c>
      <c r="AM5311">
        <v>86.968233898296404</v>
      </c>
      <c r="AN5311">
        <v>1.0000000137662</v>
      </c>
    </row>
    <row r="5312" spans="1:40" x14ac:dyDescent="0.25">
      <c r="A5312" t="str">
        <f>"20190303162408428"</f>
        <v>20190303162408428</v>
      </c>
      <c r="B5312" t="str">
        <f>"1551601448420579"</f>
        <v>1551601448420579</v>
      </c>
      <c r="C5312" t="s">
        <v>40</v>
      </c>
      <c r="D5312">
        <v>5.780653</v>
      </c>
      <c r="E5312">
        <v>0.49363629999999997</v>
      </c>
      <c r="F5312" t="s">
        <v>41</v>
      </c>
      <c r="G5312">
        <v>-332.85050000000001</v>
      </c>
      <c r="H5312" s="1">
        <v>-3.498484E-6</v>
      </c>
      <c r="I5312">
        <v>17.08465</v>
      </c>
      <c r="J5312">
        <v>-347.49099999999999</v>
      </c>
      <c r="K5312">
        <v>1.1209480000000001</v>
      </c>
      <c r="L5312">
        <v>17.739529999999998</v>
      </c>
      <c r="M5312">
        <v>0.99989189999999994</v>
      </c>
      <c r="N5312">
        <v>-1.204277E-2</v>
      </c>
      <c r="O5312">
        <v>-8.4442010000000001E-3</v>
      </c>
      <c r="P5312">
        <v>0.9813906</v>
      </c>
      <c r="Q5312">
        <v>0.1822734</v>
      </c>
      <c r="R5312">
        <v>-6.040893E-2</v>
      </c>
      <c r="S5312">
        <v>3.0921940000000001</v>
      </c>
      <c r="T5312">
        <v>-0.233072</v>
      </c>
      <c r="U5312">
        <v>-0.13653560000000001</v>
      </c>
      <c r="V5312">
        <v>5.2078359999999997E-2</v>
      </c>
      <c r="W5312">
        <v>0.19409580000000001</v>
      </c>
      <c r="X5312">
        <v>0.9795992</v>
      </c>
      <c r="Y5312">
        <v>3.5573809999999997E-2</v>
      </c>
      <c r="Z5312">
        <v>-1.019095E-3</v>
      </c>
      <c r="AA5312">
        <v>0.99936650000000005</v>
      </c>
      <c r="AB5312">
        <v>29</v>
      </c>
      <c r="AC5312">
        <v>14.6404999999999</v>
      </c>
      <c r="AD5312">
        <v>-1.1209514984839899</v>
      </c>
      <c r="AE5312">
        <v>-0.65487999999999802</v>
      </c>
      <c r="AF5312">
        <v>0.52813053365356399</v>
      </c>
      <c r="AG5312">
        <v>-1.1209514984839899</v>
      </c>
      <c r="AH5312">
        <v>14.560322968844201</v>
      </c>
      <c r="AI5312">
        <v>94.399448584215193</v>
      </c>
      <c r="AJ5312">
        <v>87.922684080163407</v>
      </c>
      <c r="AK5312">
        <v>14.6129551795516</v>
      </c>
      <c r="AL5312">
        <v>78.808091998571101</v>
      </c>
      <c r="AM5312">
        <v>86.956853488165706</v>
      </c>
      <c r="AN5312">
        <v>0.99999996389928403</v>
      </c>
    </row>
    <row r="5313" spans="1:40" x14ac:dyDescent="0.25">
      <c r="A5313" t="str">
        <f>"20190303162408450"</f>
        <v>20190303162408450</v>
      </c>
      <c r="B5313" t="str">
        <f>"1551601448440606"</f>
        <v>1551601448440606</v>
      </c>
      <c r="C5313" t="s">
        <v>40</v>
      </c>
      <c r="D5313">
        <v>5.7237749999999998</v>
      </c>
      <c r="E5313">
        <v>0.49314449999999999</v>
      </c>
      <c r="F5313" t="s">
        <v>42</v>
      </c>
      <c r="G5313">
        <v>-346.5702</v>
      </c>
      <c r="H5313">
        <v>1.0510949999999999</v>
      </c>
      <c r="I5313">
        <v>17.699079999999999</v>
      </c>
      <c r="J5313">
        <v>-347.20650000000001</v>
      </c>
      <c r="K5313">
        <v>1.1209439999999999</v>
      </c>
      <c r="L5313">
        <v>17.73724</v>
      </c>
      <c r="M5313">
        <v>0.99989289999999997</v>
      </c>
      <c r="N5313">
        <v>-1.2048379999999999E-2</v>
      </c>
      <c r="O5313">
        <v>-8.3238559999999993E-3</v>
      </c>
      <c r="P5313">
        <v>0.98137859999999999</v>
      </c>
      <c r="Q5313">
        <v>0.18227599999999999</v>
      </c>
      <c r="R5313">
        <v>-6.0597039999999998E-2</v>
      </c>
      <c r="S5313">
        <v>3.0921630000000002</v>
      </c>
      <c r="T5313">
        <v>-0.23456659999999999</v>
      </c>
      <c r="U5313">
        <v>-0.13510129999999901</v>
      </c>
      <c r="V5313">
        <v>5.2385300000000003E-2</v>
      </c>
      <c r="W5313">
        <v>0.19410330000000001</v>
      </c>
      <c r="X5313">
        <v>0.97958140000000005</v>
      </c>
      <c r="Y5313">
        <v>3.523159E-2</v>
      </c>
      <c r="Z5313">
        <v>-1.016393E-3</v>
      </c>
      <c r="AA5313">
        <v>0.99937869999999995</v>
      </c>
      <c r="AB5313">
        <v>29</v>
      </c>
      <c r="AC5313">
        <v>0.63630000000000497</v>
      </c>
      <c r="AD5313">
        <v>-6.98489999999998E-2</v>
      </c>
      <c r="AE5313">
        <v>-3.8160000000001297E-2</v>
      </c>
      <c r="AF5313">
        <v>3.24719314144006E-2</v>
      </c>
      <c r="AG5313">
        <v>-6.98489999999998E-2</v>
      </c>
      <c r="AH5313">
        <v>0.62904264969233603</v>
      </c>
      <c r="AI5313">
        <v>96.327819477140196</v>
      </c>
      <c r="AJ5313">
        <v>87.044946524440704</v>
      </c>
      <c r="AK5313">
        <v>0.63374124393378095</v>
      </c>
      <c r="AL5313">
        <v>78.8076545283744</v>
      </c>
      <c r="AM5313">
        <v>86.938896251659799</v>
      </c>
      <c r="AN5313">
        <v>1.0000000149764601</v>
      </c>
    </row>
    <row r="5314" spans="1:40" x14ac:dyDescent="0.25">
      <c r="A5314" t="str">
        <f>"20190303162408505"</f>
        <v>20190303162408505</v>
      </c>
      <c r="B5314" t="str">
        <f>"1551601448500142"</f>
        <v>1551601448500142</v>
      </c>
      <c r="C5314" t="s">
        <v>40</v>
      </c>
      <c r="D5314">
        <v>5.7855549999999996</v>
      </c>
      <c r="E5314">
        <v>0.49311700000000003</v>
      </c>
      <c r="F5314" t="s">
        <v>41</v>
      </c>
      <c r="G5314">
        <v>-332.34629999999999</v>
      </c>
      <c r="H5314" s="1">
        <v>-3.7113130000000001E-6</v>
      </c>
      <c r="I5314">
        <v>17.104310000000002</v>
      </c>
      <c r="J5314">
        <v>-346.48099999999999</v>
      </c>
      <c r="K5314">
        <v>1.120943</v>
      </c>
      <c r="L5314">
        <v>17.7316</v>
      </c>
      <c r="M5314">
        <v>0.99989519999999998</v>
      </c>
      <c r="N5314">
        <v>-1.205995E-2</v>
      </c>
      <c r="O5314">
        <v>-8.0279710000000001E-3</v>
      </c>
      <c r="P5314">
        <v>0.98131950000000001</v>
      </c>
      <c r="Q5314">
        <v>0.18177009999999999</v>
      </c>
      <c r="R5314">
        <v>-6.3020359999999997E-2</v>
      </c>
      <c r="S5314">
        <v>3.0921020000000001</v>
      </c>
      <c r="T5314">
        <v>-0.2332448</v>
      </c>
      <c r="U5314">
        <v>-0.131683299999999</v>
      </c>
      <c r="V5314">
        <v>5.5100959999999997E-2</v>
      </c>
      <c r="W5314">
        <v>0.19360840000000001</v>
      </c>
      <c r="X5314">
        <v>0.97953029999999996</v>
      </c>
      <c r="Y5314">
        <v>3.4428540000000001E-2</v>
      </c>
      <c r="Z5314">
        <v>-9.9639299999999993E-4</v>
      </c>
      <c r="AA5314">
        <v>0.99940660000000003</v>
      </c>
      <c r="AB5314">
        <v>29</v>
      </c>
      <c r="AC5314">
        <v>14.1347</v>
      </c>
      <c r="AD5314">
        <v>-1.1209467113130001</v>
      </c>
      <c r="AE5314">
        <v>-0.62728999999999802</v>
      </c>
      <c r="AF5314">
        <v>0.510583724514729</v>
      </c>
      <c r="AG5314">
        <v>-1.1209467113130001</v>
      </c>
      <c r="AH5314">
        <v>14.051084035485401</v>
      </c>
      <c r="AI5314">
        <v>94.558202802751694</v>
      </c>
      <c r="AJ5314">
        <v>87.918920236220899</v>
      </c>
      <c r="AK5314">
        <v>14.1049700404366</v>
      </c>
      <c r="AL5314">
        <v>78.836557991787799</v>
      </c>
      <c r="AM5314">
        <v>86.780366292198195</v>
      </c>
      <c r="AN5314">
        <v>0.99999996848078498</v>
      </c>
    </row>
    <row r="5315" spans="1:40" x14ac:dyDescent="0.25">
      <c r="A5315" t="str">
        <f>"20190303162408518"</f>
        <v>20190303162408518</v>
      </c>
      <c r="B5315" t="str">
        <f>"1551601448509902"</f>
        <v>1551601448509902</v>
      </c>
      <c r="C5315" t="s">
        <v>40</v>
      </c>
      <c r="D5315">
        <v>5.784535</v>
      </c>
      <c r="E5315">
        <v>0.49305870000000002</v>
      </c>
      <c r="F5315" t="s">
        <v>42</v>
      </c>
      <c r="G5315">
        <v>-345.5342</v>
      </c>
      <c r="H5315">
        <v>1.0491010000000001</v>
      </c>
      <c r="I5315">
        <v>17.689319999999999</v>
      </c>
      <c r="J5315">
        <v>-346.31349999999998</v>
      </c>
      <c r="K5315">
        <v>1.120941</v>
      </c>
      <c r="L5315">
        <v>17.730319999999999</v>
      </c>
      <c r="M5315">
        <v>0.9998956</v>
      </c>
      <c r="N5315">
        <v>-1.2062109999999999E-2</v>
      </c>
      <c r="O5315">
        <v>-7.9601629999999993E-3</v>
      </c>
      <c r="P5315">
        <v>0.98136219999999996</v>
      </c>
      <c r="Q5315">
        <v>0.18139749999999999</v>
      </c>
      <c r="R5315">
        <v>-6.3429170000000007E-2</v>
      </c>
      <c r="S5315">
        <v>3.091736</v>
      </c>
      <c r="T5315">
        <v>-0.23465620000000001</v>
      </c>
      <c r="U5315">
        <v>-0.13748170000000001</v>
      </c>
      <c r="V5315">
        <v>5.5576239999999999E-2</v>
      </c>
      <c r="W5315">
        <v>0.19323879999999999</v>
      </c>
      <c r="X5315">
        <v>0.97957649999999996</v>
      </c>
      <c r="Y5315">
        <v>3.636441E-2</v>
      </c>
      <c r="Z5315">
        <v>-1.090026E-3</v>
      </c>
      <c r="AA5315">
        <v>0.99933799999999995</v>
      </c>
      <c r="AB5315">
        <v>29</v>
      </c>
      <c r="AC5315">
        <v>0.77929999999997701</v>
      </c>
      <c r="AD5315">
        <v>-7.1839999999999904E-2</v>
      </c>
      <c r="AE5315">
        <v>-4.10000000000003E-2</v>
      </c>
      <c r="AF5315">
        <v>3.4502497372628602E-2</v>
      </c>
      <c r="AG5315">
        <v>-7.1839999999999904E-2</v>
      </c>
      <c r="AH5315">
        <v>0.77305034916222604</v>
      </c>
      <c r="AI5315">
        <v>95.304029994020297</v>
      </c>
      <c r="AJ5315">
        <v>87.444491894086795</v>
      </c>
      <c r="AK5315">
        <v>0.77714750869110305</v>
      </c>
      <c r="AL5315">
        <v>78.858142881508599</v>
      </c>
      <c r="AM5315">
        <v>86.752806960732599</v>
      </c>
      <c r="AN5315">
        <v>1.00000003581511</v>
      </c>
    </row>
    <row r="5316" spans="1:40" x14ac:dyDescent="0.25">
      <c r="A5316" t="str">
        <f>"20190303162408540"</f>
        <v>20190303162408540</v>
      </c>
      <c r="B5316" t="str">
        <f>"1551601448529929"</f>
        <v>1551601448529929</v>
      </c>
      <c r="C5316" t="s">
        <v>40</v>
      </c>
      <c r="D5316">
        <v>5.7839939999999999</v>
      </c>
      <c r="E5316">
        <v>0.49305359999999998</v>
      </c>
      <c r="F5316" t="s">
        <v>41</v>
      </c>
      <c r="G5316">
        <v>-331.61419999999998</v>
      </c>
      <c r="H5316" s="1">
        <v>-4.030816E-6</v>
      </c>
      <c r="I5316">
        <v>17.07366</v>
      </c>
      <c r="J5316">
        <v>-346.04539999999997</v>
      </c>
      <c r="K5316">
        <v>1.120935</v>
      </c>
      <c r="L5316">
        <v>17.728269999999998</v>
      </c>
      <c r="M5316">
        <v>0.99989629999999996</v>
      </c>
      <c r="N5316">
        <v>-1.206519E-2</v>
      </c>
      <c r="O5316">
        <v>-7.8514759999999996E-3</v>
      </c>
      <c r="P5316">
        <v>0.98147519999999999</v>
      </c>
      <c r="Q5316">
        <v>0.18042730000000001</v>
      </c>
      <c r="R5316">
        <v>-6.4437659999999994E-2</v>
      </c>
      <c r="S5316">
        <v>3.091583</v>
      </c>
      <c r="T5316">
        <v>-0.23575889999999999</v>
      </c>
      <c r="U5316">
        <v>-0.13809199999999999</v>
      </c>
      <c r="V5316">
        <v>5.6691020000000002E-2</v>
      </c>
      <c r="W5316">
        <v>0.19227259999999999</v>
      </c>
      <c r="X5316">
        <v>0.97970270000000004</v>
      </c>
      <c r="Y5316">
        <v>3.6669979999999998E-2</v>
      </c>
      <c r="Z5316">
        <v>-1.1142109999999999E-3</v>
      </c>
      <c r="AA5316">
        <v>0.99932679999999996</v>
      </c>
      <c r="AB5316">
        <v>29</v>
      </c>
      <c r="AC5316">
        <v>14.431199999999899</v>
      </c>
      <c r="AD5316">
        <v>-1.1209390308159899</v>
      </c>
      <c r="AE5316">
        <v>-0.65461000000000102</v>
      </c>
      <c r="AF5316">
        <v>0.53803584437381002</v>
      </c>
      <c r="AG5316">
        <v>-1.1209390308159899</v>
      </c>
      <c r="AH5316">
        <v>14.349497265755</v>
      </c>
      <c r="AI5316">
        <v>94.463577065271394</v>
      </c>
      <c r="AJ5316">
        <v>87.852694889164994</v>
      </c>
      <c r="AK5316">
        <v>14.4032655554408</v>
      </c>
      <c r="AL5316">
        <v>78.914559693261296</v>
      </c>
      <c r="AM5316">
        <v>86.688242207103997</v>
      </c>
      <c r="AN5316">
        <v>1.00000000242334</v>
      </c>
    </row>
    <row r="5317" spans="1:40" x14ac:dyDescent="0.25">
      <c r="A5317" t="str">
        <f>"20190303162408552"</f>
        <v>20190303162408552</v>
      </c>
      <c r="B5317" t="str">
        <f>"1551601448539689"</f>
        <v>1551601448539689</v>
      </c>
      <c r="C5317" t="s">
        <v>40</v>
      </c>
      <c r="D5317">
        <v>5.7840280000000002</v>
      </c>
      <c r="E5317">
        <v>0.49295939999999999</v>
      </c>
      <c r="F5317" t="s">
        <v>41</v>
      </c>
      <c r="G5317">
        <v>-331.5772</v>
      </c>
      <c r="H5317" s="1">
        <v>-4.0475359999999999E-6</v>
      </c>
      <c r="I5317">
        <v>17.06889</v>
      </c>
      <c r="J5317">
        <v>-345.88170000000002</v>
      </c>
      <c r="K5317">
        <v>1.120932</v>
      </c>
      <c r="L5317">
        <v>17.727049999999998</v>
      </c>
      <c r="M5317">
        <v>0.99989689999999998</v>
      </c>
      <c r="N5317">
        <v>-1.2066830000000001E-2</v>
      </c>
      <c r="O5317">
        <v>-7.7849740000000001E-3</v>
      </c>
      <c r="P5317">
        <v>0.98151829999999995</v>
      </c>
      <c r="Q5317">
        <v>0.17995120000000001</v>
      </c>
      <c r="R5317">
        <v>-6.511219E-2</v>
      </c>
      <c r="S5317">
        <v>3.09137</v>
      </c>
      <c r="T5317">
        <v>-0.23950669999999999</v>
      </c>
      <c r="U5317">
        <v>-0.1408691</v>
      </c>
      <c r="V5317">
        <v>5.7430769999999999E-2</v>
      </c>
      <c r="W5317">
        <v>0.191799</v>
      </c>
      <c r="X5317">
        <v>0.97975239999999997</v>
      </c>
      <c r="Y5317">
        <v>3.7628889999999998E-2</v>
      </c>
      <c r="Z5317">
        <v>-1.174161E-3</v>
      </c>
      <c r="AA5317">
        <v>0.99929109999999999</v>
      </c>
      <c r="AB5317">
        <v>29</v>
      </c>
      <c r="AC5317">
        <v>14.304500000000001</v>
      </c>
      <c r="AD5317">
        <v>-1.120936047536</v>
      </c>
      <c r="AE5317">
        <v>-0.65815999999999797</v>
      </c>
      <c r="AF5317">
        <v>0.54344173415808505</v>
      </c>
      <c r="AG5317">
        <v>-1.120936047536</v>
      </c>
      <c r="AH5317">
        <v>14.2220421082624</v>
      </c>
      <c r="AI5317">
        <v>94.503281612766898</v>
      </c>
      <c r="AJ5317">
        <v>87.811722361314295</v>
      </c>
      <c r="AK5317">
        <v>14.2764949574564</v>
      </c>
      <c r="AL5317">
        <v>78.942209094117203</v>
      </c>
      <c r="AM5317">
        <v>86.645295597088904</v>
      </c>
      <c r="AN5317">
        <v>0.999999957524775</v>
      </c>
    </row>
    <row r="5318" spans="1:40" x14ac:dyDescent="0.25">
      <c r="A5318" t="str">
        <f>"20190303162408572"</f>
        <v>20190303162408572</v>
      </c>
      <c r="B5318" t="str">
        <f>"1551601448560184"</f>
        <v>1551601448560184</v>
      </c>
      <c r="C5318" t="s">
        <v>40</v>
      </c>
      <c r="D5318">
        <v>5.8471109999999999</v>
      </c>
      <c r="E5318">
        <v>0.49292160000000002</v>
      </c>
      <c r="F5318" t="s">
        <v>41</v>
      </c>
      <c r="G5318">
        <v>-331.5181</v>
      </c>
      <c r="H5318" s="1">
        <v>-4.073581E-6</v>
      </c>
      <c r="I5318">
        <v>17.06504</v>
      </c>
      <c r="J5318">
        <v>-345.62259999999998</v>
      </c>
      <c r="K5318">
        <v>1.120924</v>
      </c>
      <c r="L5318">
        <v>17.725159999999999</v>
      </c>
      <c r="M5318">
        <v>0.9998977</v>
      </c>
      <c r="N5318">
        <v>-1.2069170000000001E-2</v>
      </c>
      <c r="O5318">
        <v>-7.6796169999999997E-3</v>
      </c>
      <c r="P5318">
        <v>0.98156140000000003</v>
      </c>
      <c r="Q5318">
        <v>0.17937520000000001</v>
      </c>
      <c r="R5318">
        <v>-6.6043320000000003E-2</v>
      </c>
      <c r="S5318">
        <v>3.0912480000000002</v>
      </c>
      <c r="T5318">
        <v>-0.24124090000000001</v>
      </c>
      <c r="U5318">
        <v>-0.1424561</v>
      </c>
      <c r="V5318">
        <v>5.8465410000000002E-2</v>
      </c>
      <c r="W5318">
        <v>0.19122620000000001</v>
      </c>
      <c r="X5318">
        <v>0.97980319999999999</v>
      </c>
      <c r="Y5318">
        <v>3.8244019999999997E-2</v>
      </c>
      <c r="Z5318">
        <v>-1.2150170000000001E-3</v>
      </c>
      <c r="AA5318">
        <v>0.99926769999999998</v>
      </c>
      <c r="AB5318">
        <v>29</v>
      </c>
      <c r="AC5318">
        <v>14.1044999999999</v>
      </c>
      <c r="AD5318">
        <v>-1.1209280735809899</v>
      </c>
      <c r="AE5318">
        <v>-0.66011999999999904</v>
      </c>
      <c r="AF5318">
        <v>0.54831988305199497</v>
      </c>
      <c r="AG5318">
        <v>-1.1209280735809899</v>
      </c>
      <c r="AH5318">
        <v>14.0207924902665</v>
      </c>
      <c r="AI5318">
        <v>94.567458832187299</v>
      </c>
      <c r="AJ5318">
        <v>87.760439456556</v>
      </c>
      <c r="AK5318">
        <v>14.076212434295201</v>
      </c>
      <c r="AL5318">
        <v>78.975647381574305</v>
      </c>
      <c r="AM5318">
        <v>86.5851775663685</v>
      </c>
      <c r="AN5318">
        <v>0.99999998723157402</v>
      </c>
    </row>
    <row r="5319" spans="1:40" x14ac:dyDescent="0.25">
      <c r="A5319" t="str">
        <f>"20190303162408583"</f>
        <v>20190303162408583</v>
      </c>
      <c r="B5319" t="str">
        <f>"1551601448569945"</f>
        <v>1551601448569945</v>
      </c>
      <c r="C5319" t="s">
        <v>40</v>
      </c>
      <c r="D5319">
        <v>5.7192550000000004</v>
      </c>
      <c r="E5319">
        <v>0.49281360000000002</v>
      </c>
      <c r="F5319" t="s">
        <v>42</v>
      </c>
      <c r="G5319">
        <v>-344.74529999999999</v>
      </c>
      <c r="H5319">
        <v>1.051893</v>
      </c>
      <c r="I5319">
        <v>17.683889999999899</v>
      </c>
      <c r="J5319">
        <v>-345.48039999999997</v>
      </c>
      <c r="K5319">
        <v>1.120922</v>
      </c>
      <c r="L5319">
        <v>17.724119999999999</v>
      </c>
      <c r="M5319">
        <v>0.99989810000000001</v>
      </c>
      <c r="N5319">
        <v>-1.2070350000000001E-2</v>
      </c>
      <c r="O5319">
        <v>-7.6215739999999999E-3</v>
      </c>
      <c r="P5319">
        <v>0.98159090000000004</v>
      </c>
      <c r="Q5319">
        <v>0.1790649</v>
      </c>
      <c r="R5319">
        <v>-6.6445770000000001E-2</v>
      </c>
      <c r="S5319">
        <v>3.0910340000000001</v>
      </c>
      <c r="T5319">
        <v>-0.243252</v>
      </c>
      <c r="U5319">
        <v>-0.1447754</v>
      </c>
      <c r="V5319">
        <v>5.8924850000000001E-2</v>
      </c>
      <c r="W5319">
        <v>0.19091730000000001</v>
      </c>
      <c r="X5319">
        <v>0.97983589999999998</v>
      </c>
      <c r="Y5319">
        <v>3.9048600000000003E-2</v>
      </c>
      <c r="Z5319">
        <v>-1.262827E-3</v>
      </c>
      <c r="AA5319">
        <v>0.99923649999999997</v>
      </c>
      <c r="AB5319">
        <v>29</v>
      </c>
      <c r="AC5319">
        <v>0.73509999999998799</v>
      </c>
      <c r="AD5319">
        <v>-6.9028999999999993E-2</v>
      </c>
      <c r="AE5319">
        <v>-4.0230000000004602E-2</v>
      </c>
      <c r="AF5319">
        <v>3.43240384018203E-2</v>
      </c>
      <c r="AG5319">
        <v>-6.9028999999999993E-2</v>
      </c>
      <c r="AH5319">
        <v>0.72897636275117805</v>
      </c>
      <c r="AI5319">
        <v>95.403431780134198</v>
      </c>
      <c r="AJ5319">
        <v>87.304204609541003</v>
      </c>
      <c r="AK5319">
        <v>0.73304139030695004</v>
      </c>
      <c r="AL5319">
        <v>78.993678079568994</v>
      </c>
      <c r="AM5319">
        <v>86.558521623727103</v>
      </c>
      <c r="AN5319">
        <v>0.99999997215781</v>
      </c>
    </row>
    <row r="5320" spans="1:40" x14ac:dyDescent="0.25">
      <c r="A5320" t="str">
        <f>"20190303162408596"</f>
        <v>20190303162408596</v>
      </c>
      <c r="B5320" t="str">
        <f>"1551601448590441"</f>
        <v>1551601448590441</v>
      </c>
      <c r="C5320" t="s">
        <v>40</v>
      </c>
      <c r="D5320">
        <v>5.8030030000000004</v>
      </c>
      <c r="E5320">
        <v>0.49260490000000001</v>
      </c>
      <c r="F5320" t="s">
        <v>42</v>
      </c>
      <c r="G5320">
        <v>-344.50150000000002</v>
      </c>
      <c r="H5320">
        <v>1.043803</v>
      </c>
      <c r="I5320">
        <v>17.678179999999902</v>
      </c>
      <c r="J5320">
        <v>-345.3082</v>
      </c>
      <c r="K5320">
        <v>1.1209209999999901</v>
      </c>
      <c r="L5320">
        <v>17.72287</v>
      </c>
      <c r="M5320">
        <v>0.99989870000000003</v>
      </c>
      <c r="N5320">
        <v>-1.207159E-2</v>
      </c>
      <c r="O5320">
        <v>-7.5513719999999998E-3</v>
      </c>
      <c r="P5320">
        <v>0.98158409999999996</v>
      </c>
      <c r="Q5320">
        <v>0.17882579999999901</v>
      </c>
      <c r="R5320">
        <v>-6.7186300000000004E-2</v>
      </c>
      <c r="S5320">
        <v>3.0909119999999999</v>
      </c>
      <c r="T5320">
        <v>-0.2434945</v>
      </c>
      <c r="U5320">
        <v>-0.1447754</v>
      </c>
      <c r="V5320">
        <v>5.9734450000000001E-2</v>
      </c>
      <c r="W5320">
        <v>0.1906795</v>
      </c>
      <c r="X5320">
        <v>0.97983319999999996</v>
      </c>
      <c r="Y5320">
        <v>3.9119969999999997E-2</v>
      </c>
      <c r="Z5320">
        <v>-1.2717360000000001E-3</v>
      </c>
      <c r="AA5320">
        <v>0.9992337</v>
      </c>
      <c r="AB5320">
        <v>29</v>
      </c>
      <c r="AC5320">
        <v>0.80669999999997799</v>
      </c>
      <c r="AD5320">
        <v>-7.7117999999999798E-2</v>
      </c>
      <c r="AE5320">
        <v>-4.46900000000027E-2</v>
      </c>
      <c r="AF5320">
        <v>3.82481193675294E-2</v>
      </c>
      <c r="AG5320">
        <v>-7.7117999999999798E-2</v>
      </c>
      <c r="AH5320">
        <v>0.79972832520247505</v>
      </c>
      <c r="AI5320">
        <v>95.501765649353501</v>
      </c>
      <c r="AJ5320">
        <v>87.261836114815907</v>
      </c>
      <c r="AK5320">
        <v>0.80434787168880395</v>
      </c>
      <c r="AL5320">
        <v>79.007558177676302</v>
      </c>
      <c r="AM5320">
        <v>86.511343716705596</v>
      </c>
      <c r="AN5320">
        <v>0.99999998802964596</v>
      </c>
    </row>
    <row r="5321" spans="1:40" x14ac:dyDescent="0.25">
      <c r="A5321" t="str">
        <f>"20190303162408608"</f>
        <v>20190303162408608</v>
      </c>
      <c r="B5321" t="str">
        <f>"1551601448600201"</f>
        <v>1551601448600201</v>
      </c>
      <c r="C5321" t="s">
        <v>40</v>
      </c>
      <c r="D5321">
        <v>5.8177099999999999</v>
      </c>
      <c r="E5321">
        <v>0.46831679999999998</v>
      </c>
      <c r="F5321" t="s">
        <v>41</v>
      </c>
      <c r="G5321">
        <v>-331.09039999999999</v>
      </c>
      <c r="H5321" s="1">
        <v>-4.2586880000000001E-6</v>
      </c>
      <c r="I5321">
        <v>17.05583</v>
      </c>
      <c r="J5321">
        <v>-345.1454</v>
      </c>
      <c r="K5321">
        <v>1.1209150000000001</v>
      </c>
      <c r="L5321">
        <v>17.721710000000002</v>
      </c>
      <c r="M5321">
        <v>0.99989919999999999</v>
      </c>
      <c r="N5321">
        <v>-1.2072680000000001E-2</v>
      </c>
      <c r="O5321">
        <v>-7.4848639999999999E-3</v>
      </c>
      <c r="P5321">
        <v>0.98155119999999896</v>
      </c>
      <c r="Q5321">
        <v>0.17869989999999999</v>
      </c>
      <c r="R5321">
        <v>-6.7997569999999993E-2</v>
      </c>
      <c r="S5321">
        <v>3.0907589999999998</v>
      </c>
      <c r="T5321">
        <v>-0.24367359999999999</v>
      </c>
      <c r="U5321">
        <v>-0.14498900000000001</v>
      </c>
      <c r="V5321">
        <v>6.0611329999999998E-2</v>
      </c>
      <c r="W5321">
        <v>0.19055449999999999</v>
      </c>
      <c r="X5321">
        <v>0.97980370000000006</v>
      </c>
      <c r="Y5321">
        <v>3.925683E-2</v>
      </c>
      <c r="Z5321">
        <v>-1.283146E-3</v>
      </c>
      <c r="AA5321">
        <v>0.99922840000000002</v>
      </c>
      <c r="AB5321">
        <v>29</v>
      </c>
      <c r="AC5321">
        <v>14.055</v>
      </c>
      <c r="AD5321">
        <v>-1.1209192586879999</v>
      </c>
      <c r="AE5321">
        <v>-0.66588000000000103</v>
      </c>
      <c r="AF5321">
        <v>0.55711834314508601</v>
      </c>
      <c r="AG5321">
        <v>-1.1209192586879999</v>
      </c>
      <c r="AH5321">
        <v>13.9709284140603</v>
      </c>
      <c r="AI5321">
        <v>94.583517000448595</v>
      </c>
      <c r="AJ5321">
        <v>87.7164276267753</v>
      </c>
      <c r="AK5321">
        <v>14.026891372772701</v>
      </c>
      <c r="AL5321">
        <v>79.014854284388704</v>
      </c>
      <c r="AM5321">
        <v>86.460154480551495</v>
      </c>
      <c r="AN5321">
        <v>1.0000000206641499</v>
      </c>
    </row>
    <row r="5322" spans="1:40" x14ac:dyDescent="0.25">
      <c r="A5322" t="str">
        <f>"20190303162408619"</f>
        <v>20190303162408619</v>
      </c>
      <c r="B5322" t="str">
        <f>"1551601448609961"</f>
        <v>1551601448609961</v>
      </c>
      <c r="C5322" t="s">
        <v>40</v>
      </c>
      <c r="D5322">
        <v>5.8164720000000001</v>
      </c>
      <c r="E5322">
        <v>0.46512530000000002</v>
      </c>
      <c r="F5322" t="s">
        <v>41</v>
      </c>
      <c r="G5322">
        <v>-327.46510000000001</v>
      </c>
      <c r="H5322" s="1">
        <v>-1.4681420000000001E-6</v>
      </c>
      <c r="I5322">
        <v>17.984919999999999</v>
      </c>
      <c r="J5322">
        <v>-345.0016</v>
      </c>
      <c r="K5322">
        <v>1.120914</v>
      </c>
      <c r="L5322">
        <v>17.720700000000001</v>
      </c>
      <c r="M5322">
        <v>0.99989969999999995</v>
      </c>
      <c r="N5322">
        <v>-1.207357E-2</v>
      </c>
      <c r="O5322">
        <v>-7.42610199999999E-3</v>
      </c>
      <c r="P5322">
        <v>0.98161869999999996</v>
      </c>
      <c r="Q5322">
        <v>0.17815719999999999</v>
      </c>
      <c r="R5322">
        <v>-6.8447519999999998E-2</v>
      </c>
      <c r="S5322">
        <v>3.0953059999999999</v>
      </c>
      <c r="T5322">
        <v>-0.19623940000000001</v>
      </c>
      <c r="U5322">
        <v>4.6081539999999997E-2</v>
      </c>
      <c r="V5322">
        <v>6.1118440000000003E-2</v>
      </c>
      <c r="W5322">
        <v>0.19001380000000001</v>
      </c>
      <c r="X5322">
        <v>0.9798772</v>
      </c>
      <c r="Y5322">
        <v>-2.2248359999999998E-2</v>
      </c>
      <c r="Z5322">
        <v>1.2197250000000001E-3</v>
      </c>
      <c r="AA5322">
        <v>0.99975170000000002</v>
      </c>
      <c r="AB5322">
        <v>29</v>
      </c>
      <c r="AC5322">
        <v>17.536499999999901</v>
      </c>
      <c r="AD5322">
        <v>-1.1209154681419999</v>
      </c>
      <c r="AE5322">
        <v>0.26422000000000101</v>
      </c>
      <c r="AF5322">
        <v>-0.392845362814571</v>
      </c>
      <c r="AG5322">
        <v>-1.1209154681419999</v>
      </c>
      <c r="AH5322">
        <v>17.4627239369953</v>
      </c>
      <c r="AI5322">
        <v>93.671795948336396</v>
      </c>
      <c r="AJ5322">
        <v>91.288721364974904</v>
      </c>
      <c r="AK5322">
        <v>17.503071338068398</v>
      </c>
      <c r="AL5322">
        <v>79.046410641974802</v>
      </c>
      <c r="AM5322">
        <v>86.430881349832305</v>
      </c>
      <c r="AN5322">
        <v>1.0000000174891499</v>
      </c>
    </row>
    <row r="5323" spans="1:40" x14ac:dyDescent="0.25">
      <c r="A5323" t="str">
        <f>"20190303162408631"</f>
        <v>20190303162408631</v>
      </c>
      <c r="B5323" t="str">
        <f>"1551601448620698"</f>
        <v>1551601448620698</v>
      </c>
      <c r="C5323" t="s">
        <v>40</v>
      </c>
      <c r="D5323">
        <v>5.8777140000000001</v>
      </c>
      <c r="E5323">
        <v>0.4635186</v>
      </c>
      <c r="F5323" t="s">
        <v>41</v>
      </c>
      <c r="G5323">
        <v>-326.97629999999998</v>
      </c>
      <c r="H5323" s="1">
        <v>-1.6735210000000001E-6</v>
      </c>
      <c r="I5323">
        <v>18.129539999999999</v>
      </c>
      <c r="J5323">
        <v>-344.85109999999997</v>
      </c>
      <c r="K5323">
        <v>1.120914</v>
      </c>
      <c r="L5323">
        <v>17.719639999999998</v>
      </c>
      <c r="M5323">
        <v>0.99990000000000001</v>
      </c>
      <c r="N5323">
        <v>-1.2074400000000001E-2</v>
      </c>
      <c r="O5323">
        <v>-7.3643600000000004E-3</v>
      </c>
      <c r="P5323">
        <v>0.98159759999999996</v>
      </c>
      <c r="Q5323">
        <v>0.17807539999999999</v>
      </c>
      <c r="R5323">
        <v>-6.8959039999999999E-2</v>
      </c>
      <c r="S5323">
        <v>3.0960079999999999</v>
      </c>
      <c r="T5323">
        <v>-0.1925277</v>
      </c>
      <c r="U5323">
        <v>7.0220950000000004E-2</v>
      </c>
      <c r="V5323">
        <v>6.1690830000000002E-2</v>
      </c>
      <c r="W5323">
        <v>0.18993280000000001</v>
      </c>
      <c r="X5323">
        <v>0.97985699999999998</v>
      </c>
      <c r="Y5323">
        <v>-2.9959349999999999E-2</v>
      </c>
      <c r="Z5323">
        <v>1.480236E-3</v>
      </c>
      <c r="AA5323">
        <v>0.99955000000000005</v>
      </c>
      <c r="AB5323">
        <v>29</v>
      </c>
      <c r="AC5323">
        <v>17.874799999999901</v>
      </c>
      <c r="AD5323">
        <v>-1.120915673521</v>
      </c>
      <c r="AE5323">
        <v>0.40989999999999999</v>
      </c>
      <c r="AF5323">
        <v>-0.53941483121418599</v>
      </c>
      <c r="AG5323">
        <v>-1.120915673521</v>
      </c>
      <c r="AH5323">
        <v>17.801330246909501</v>
      </c>
      <c r="AI5323">
        <v>93.601399842707806</v>
      </c>
      <c r="AJ5323">
        <v>91.735642144808494</v>
      </c>
      <c r="AK5323">
        <v>17.844740930223999</v>
      </c>
      <c r="AL5323">
        <v>79.051137308831201</v>
      </c>
      <c r="AM5323">
        <v>86.397469177277301</v>
      </c>
      <c r="AN5323">
        <v>0.99999998373546395</v>
      </c>
    </row>
    <row r="5324" spans="1:40" x14ac:dyDescent="0.25">
      <c r="A5324" t="str">
        <f>"20190303162408644"</f>
        <v>20190303162408644</v>
      </c>
      <c r="B5324" t="str">
        <f>"1551601448629988"</f>
        <v>1551601448629988</v>
      </c>
      <c r="C5324" t="s">
        <v>40</v>
      </c>
      <c r="D5324">
        <v>5.8121409999999996</v>
      </c>
      <c r="E5324">
        <v>0.46293030000000002</v>
      </c>
      <c r="F5324" t="s">
        <v>41</v>
      </c>
      <c r="G5324">
        <v>-326.51839999999999</v>
      </c>
      <c r="H5324" s="1">
        <v>-1.8771500000000001E-6</v>
      </c>
      <c r="I5324">
        <v>18.201889999999999</v>
      </c>
      <c r="J5324">
        <v>-344.69880000000001</v>
      </c>
      <c r="K5324">
        <v>1.1209070000000001</v>
      </c>
      <c r="L5324">
        <v>17.71857</v>
      </c>
      <c r="M5324">
        <v>0.99990060000000003</v>
      </c>
      <c r="N5324">
        <v>-1.2075209999999999E-2</v>
      </c>
      <c r="O5324">
        <v>-7.3021400000000004E-3</v>
      </c>
      <c r="P5324">
        <v>0.98163999999999996</v>
      </c>
      <c r="Q5324">
        <v>0.17758669999999999</v>
      </c>
      <c r="R5324">
        <v>-6.9613120000000001E-2</v>
      </c>
      <c r="S5324">
        <v>3.0963129999999999</v>
      </c>
      <c r="T5324">
        <v>-0.18931719999999999</v>
      </c>
      <c r="U5324">
        <v>8.1451419999999997E-2</v>
      </c>
      <c r="V5324">
        <v>6.2405919999999997E-2</v>
      </c>
      <c r="W5324">
        <v>0.18944549999999999</v>
      </c>
      <c r="X5324">
        <v>0.9799061</v>
      </c>
      <c r="Y5324">
        <v>-3.351258E-2</v>
      </c>
      <c r="Z5324">
        <v>1.5838899999999999E-3</v>
      </c>
      <c r="AA5324">
        <v>0.99943700000000002</v>
      </c>
      <c r="AB5324">
        <v>29</v>
      </c>
      <c r="AC5324">
        <v>18.180399999999999</v>
      </c>
      <c r="AD5324">
        <v>-1.12090887715</v>
      </c>
      <c r="AE5324">
        <v>0.48331999999999897</v>
      </c>
      <c r="AF5324">
        <v>-0.61374121994625896</v>
      </c>
      <c r="AG5324">
        <v>-1.12090887715</v>
      </c>
      <c r="AH5324">
        <v>18.107601627800001</v>
      </c>
      <c r="AI5324">
        <v>93.540213997439494</v>
      </c>
      <c r="AJ5324">
        <v>91.941246870386806</v>
      </c>
      <c r="AK5324">
        <v>18.152640350842599</v>
      </c>
      <c r="AL5324">
        <v>79.079574348611104</v>
      </c>
      <c r="AM5324">
        <v>86.356004389640205</v>
      </c>
      <c r="AN5324">
        <v>1.00000003056925</v>
      </c>
    </row>
    <row r="5325" spans="1:40" x14ac:dyDescent="0.25">
      <c r="A5325" t="str">
        <f>"20190303162408656"</f>
        <v>20190303162408656</v>
      </c>
      <c r="B5325" t="str">
        <f>"1551601448650484"</f>
        <v>1551601448650484</v>
      </c>
      <c r="C5325" t="s">
        <v>40</v>
      </c>
      <c r="D5325">
        <v>5.813828</v>
      </c>
      <c r="E5325">
        <v>0.46230599999999999</v>
      </c>
      <c r="F5325" t="s">
        <v>41</v>
      </c>
      <c r="G5325">
        <v>-326.31959999999998</v>
      </c>
      <c r="H5325" s="1">
        <v>-1.968083E-6</v>
      </c>
      <c r="I5325">
        <v>18.218900000000001</v>
      </c>
      <c r="J5325">
        <v>-344.5376</v>
      </c>
      <c r="K5325">
        <v>1.12090499999999</v>
      </c>
      <c r="L5325">
        <v>17.717469999999999</v>
      </c>
      <c r="M5325">
        <v>0.99990109999999999</v>
      </c>
      <c r="N5325">
        <v>-1.207599E-2</v>
      </c>
      <c r="O5325">
        <v>-7.236106E-3</v>
      </c>
      <c r="P5325">
        <v>0.98161699999999996</v>
      </c>
      <c r="Q5325">
        <v>0.17750389999999999</v>
      </c>
      <c r="R5325">
        <v>-7.0148470000000004E-2</v>
      </c>
      <c r="S5325">
        <v>3.0962519999999998</v>
      </c>
      <c r="T5325">
        <v>-0.18883430000000001</v>
      </c>
      <c r="U5325">
        <v>8.4289550000000005E-2</v>
      </c>
      <c r="V5325">
        <v>6.3006160000000005E-2</v>
      </c>
      <c r="W5325">
        <v>0.18936310000000001</v>
      </c>
      <c r="X5325">
        <v>0.97988359999999997</v>
      </c>
      <c r="Y5325">
        <v>-3.4361139999999998E-2</v>
      </c>
      <c r="Z5325">
        <v>1.607921E-3</v>
      </c>
      <c r="AA5325">
        <v>0.99940819999999997</v>
      </c>
      <c r="AB5325">
        <v>29</v>
      </c>
      <c r="AC5325">
        <v>18.218</v>
      </c>
      <c r="AD5325">
        <v>-1.12090696808299</v>
      </c>
      <c r="AE5325">
        <v>0.50142999999999904</v>
      </c>
      <c r="AF5325">
        <v>-0.63086741566049298</v>
      </c>
      <c r="AG5325">
        <v>-1.12090696808299</v>
      </c>
      <c r="AH5325">
        <v>18.145255144525699</v>
      </c>
      <c r="AI5325">
        <v>93.532774714967999</v>
      </c>
      <c r="AJ5325">
        <v>91.991236073532704</v>
      </c>
      <c r="AK5325">
        <v>18.190786414753401</v>
      </c>
      <c r="AL5325">
        <v>79.084382377698205</v>
      </c>
      <c r="AM5325">
        <v>86.320966836369294</v>
      </c>
      <c r="AN5325">
        <v>1.00000001469425</v>
      </c>
    </row>
    <row r="5326" spans="1:40" x14ac:dyDescent="0.25">
      <c r="A5326" t="str">
        <f>"20190303162408673"</f>
        <v>20190303162408673</v>
      </c>
      <c r="B5326" t="str">
        <f>"1551601448660244"</f>
        <v>1551601448660244</v>
      </c>
      <c r="C5326" t="s">
        <v>40</v>
      </c>
      <c r="D5326">
        <v>5.816846</v>
      </c>
      <c r="E5326">
        <v>0.46211360000000001</v>
      </c>
      <c r="F5326" t="s">
        <v>41</v>
      </c>
      <c r="G5326">
        <v>-325.95949999999999</v>
      </c>
      <c r="H5326" s="1">
        <v>-2.1340179999999999E-6</v>
      </c>
      <c r="I5326">
        <v>18.243189999999998</v>
      </c>
      <c r="J5326">
        <v>-344.31459999999998</v>
      </c>
      <c r="K5326">
        <v>1.12090499999999</v>
      </c>
      <c r="L5326">
        <v>17.71594</v>
      </c>
      <c r="M5326">
        <v>0.9999017</v>
      </c>
      <c r="N5326">
        <v>-1.2076969999999999E-2</v>
      </c>
      <c r="O5326">
        <v>-7.1445619999999897E-3</v>
      </c>
      <c r="P5326">
        <v>0.98158920000000005</v>
      </c>
      <c r="Q5326">
        <v>0.17719770000000001</v>
      </c>
      <c r="R5326">
        <v>-7.1302149999999995E-2</v>
      </c>
      <c r="S5326">
        <v>3.096222</v>
      </c>
      <c r="T5326">
        <v>-0.1868097</v>
      </c>
      <c r="U5326">
        <v>8.7615970000000001E-2</v>
      </c>
      <c r="V5326">
        <v>6.4249879999999995E-2</v>
      </c>
      <c r="W5326">
        <v>0.1890578</v>
      </c>
      <c r="X5326">
        <v>0.97986180000000001</v>
      </c>
      <c r="Y5326">
        <v>-3.5342470000000001E-2</v>
      </c>
      <c r="Z5326">
        <v>1.623095E-3</v>
      </c>
      <c r="AA5326">
        <v>0.99937390000000004</v>
      </c>
      <c r="AB5326">
        <v>29</v>
      </c>
      <c r="AC5326">
        <v>18.3551</v>
      </c>
      <c r="AD5326">
        <v>-1.1209071340179999</v>
      </c>
      <c r="AE5326">
        <v>0.527249999999998</v>
      </c>
      <c r="AF5326">
        <v>-0.65594106012883002</v>
      </c>
      <c r="AG5326">
        <v>-1.1209071340179999</v>
      </c>
      <c r="AH5326">
        <v>18.282738854992399</v>
      </c>
      <c r="AI5326">
        <v>93.506138816552806</v>
      </c>
      <c r="AJ5326">
        <v>92.054754574276203</v>
      </c>
      <c r="AK5326">
        <v>18.3288087860969</v>
      </c>
      <c r="AL5326">
        <v>79.1021966556915</v>
      </c>
      <c r="AM5326">
        <v>86.248466138737797</v>
      </c>
      <c r="AN5326">
        <v>1.0000000229600401</v>
      </c>
    </row>
    <row r="5327" spans="1:40" x14ac:dyDescent="0.25">
      <c r="A5327" t="str">
        <f>"20190303162408689"</f>
        <v>20190303162408689</v>
      </c>
      <c r="B5327" t="str">
        <f>"1551601448680740"</f>
        <v>1551601448680740</v>
      </c>
      <c r="C5327" t="s">
        <v>40</v>
      </c>
      <c r="D5327">
        <v>5.8176899999999998</v>
      </c>
      <c r="E5327">
        <v>0.46160020000000002</v>
      </c>
      <c r="F5327" t="s">
        <v>41</v>
      </c>
      <c r="G5327">
        <v>-325.83479999999997</v>
      </c>
      <c r="H5327" s="1">
        <v>-2.1951200000000001E-6</v>
      </c>
      <c r="I5327">
        <v>18.231010000000001</v>
      </c>
      <c r="J5327">
        <v>-344.11309999999997</v>
      </c>
      <c r="K5327">
        <v>1.12090499999999</v>
      </c>
      <c r="L5327">
        <v>17.714600000000001</v>
      </c>
      <c r="M5327">
        <v>0.99990219999999996</v>
      </c>
      <c r="N5327">
        <v>-1.207776E-2</v>
      </c>
      <c r="O5327">
        <v>-7.0621939999999999E-3</v>
      </c>
      <c r="P5327">
        <v>0.981576</v>
      </c>
      <c r="Q5327">
        <v>0.17719570000000001</v>
      </c>
      <c r="R5327">
        <v>-7.1488369999999996E-2</v>
      </c>
      <c r="S5327">
        <v>3.0964360000000002</v>
      </c>
      <c r="T5327">
        <v>-0.18781709999999999</v>
      </c>
      <c r="U5327">
        <v>8.6303710000000006E-2</v>
      </c>
      <c r="V5327">
        <v>6.4517069999999996E-2</v>
      </c>
      <c r="W5327">
        <v>0.18905640000000001</v>
      </c>
      <c r="X5327">
        <v>0.97984450000000001</v>
      </c>
      <c r="Y5327">
        <v>-3.4835350000000001E-2</v>
      </c>
      <c r="Z5327">
        <v>1.608635E-3</v>
      </c>
      <c r="AA5327">
        <v>0.99939180000000005</v>
      </c>
      <c r="AB5327">
        <v>29</v>
      </c>
      <c r="AC5327">
        <v>18.278300000000002</v>
      </c>
      <c r="AD5327">
        <v>-1.12090719511999</v>
      </c>
      <c r="AE5327">
        <v>0.51641000000000004</v>
      </c>
      <c r="AF5327">
        <v>-0.64307494891886896</v>
      </c>
      <c r="AG5327">
        <v>-1.12090719511999</v>
      </c>
      <c r="AH5327">
        <v>18.2057851283502</v>
      </c>
      <c r="AI5327">
        <v>93.520991154555603</v>
      </c>
      <c r="AJ5327">
        <v>92.022992573803094</v>
      </c>
      <c r="AK5327">
        <v>18.251591450327201</v>
      </c>
      <c r="AL5327">
        <v>79.102278193794405</v>
      </c>
      <c r="AM5327">
        <v>86.232843493261697</v>
      </c>
      <c r="AN5327">
        <v>1.00000000944129</v>
      </c>
    </row>
    <row r="5328" spans="1:40" x14ac:dyDescent="0.25">
      <c r="A5328" t="str">
        <f>"20190303162408708"</f>
        <v>20190303162408708</v>
      </c>
      <c r="B5328" t="str">
        <f>"1551601448700261"</f>
        <v>1551601448700261</v>
      </c>
      <c r="C5328" t="s">
        <v>40</v>
      </c>
      <c r="D5328">
        <v>5.8124289999999998</v>
      </c>
      <c r="E5328">
        <v>0.46121830000000003</v>
      </c>
      <c r="F5328" t="s">
        <v>41</v>
      </c>
      <c r="G5328">
        <v>-325.65190000000001</v>
      </c>
      <c r="H5328" s="1">
        <v>-2.2780879999999999E-6</v>
      </c>
      <c r="I5328">
        <v>18.25056</v>
      </c>
      <c r="J5328">
        <v>-343.86669999999998</v>
      </c>
      <c r="K5328">
        <v>1.120908</v>
      </c>
      <c r="L5328">
        <v>17.712949999999999</v>
      </c>
      <c r="M5328">
        <v>0.99990290000000004</v>
      </c>
      <c r="N5328">
        <v>-1.207862E-2</v>
      </c>
      <c r="O5328">
        <v>-6.9615869999999896E-3</v>
      </c>
      <c r="P5328">
        <v>0.98149059999999999</v>
      </c>
      <c r="Q5328">
        <v>0.1774319</v>
      </c>
      <c r="R5328">
        <v>-7.207152E-2</v>
      </c>
      <c r="S5328">
        <v>3.0968019999999998</v>
      </c>
      <c r="T5328">
        <v>-0.1880288</v>
      </c>
      <c r="U5328">
        <v>8.9904789999999998E-2</v>
      </c>
      <c r="V5328">
        <v>6.5199510000000002E-2</v>
      </c>
      <c r="W5328">
        <v>0.1892924</v>
      </c>
      <c r="X5328">
        <v>0.97975369999999995</v>
      </c>
      <c r="Y5328">
        <v>-3.58903E-2</v>
      </c>
      <c r="Z5328">
        <v>1.643601E-3</v>
      </c>
      <c r="AA5328">
        <v>0.99935439999999998</v>
      </c>
      <c r="AB5328">
        <v>29</v>
      </c>
      <c r="AC5328">
        <v>18.214799999999901</v>
      </c>
      <c r="AD5328">
        <v>-1.120910278088</v>
      </c>
      <c r="AE5328">
        <v>0.53761000000000003</v>
      </c>
      <c r="AF5328">
        <v>-0.66190568475376199</v>
      </c>
      <c r="AG5328">
        <v>-1.120910278088</v>
      </c>
      <c r="AH5328">
        <v>18.1419721919066</v>
      </c>
      <c r="AI5328">
        <v>93.5332074595688</v>
      </c>
      <c r="AJ5328">
        <v>92.089496536259603</v>
      </c>
      <c r="AK5328">
        <v>18.1886149554865</v>
      </c>
      <c r="AL5328">
        <v>79.088507095405504</v>
      </c>
      <c r="AM5328">
        <v>86.1927605616916</v>
      </c>
      <c r="AN5328">
        <v>0.99999995073284298</v>
      </c>
    </row>
    <row r="5329" spans="1:40" x14ac:dyDescent="0.25">
      <c r="A5329" t="str">
        <f>"20190303162408729"</f>
        <v>20190303162408729</v>
      </c>
      <c r="B5329" t="str">
        <f>"1551601448720756"</f>
        <v>1551601448720756</v>
      </c>
      <c r="C5329" t="s">
        <v>40</v>
      </c>
      <c r="D5329">
        <v>5.7573970000000001</v>
      </c>
      <c r="E5329">
        <v>0.46086490000000002</v>
      </c>
      <c r="F5329" t="s">
        <v>41</v>
      </c>
      <c r="G5329">
        <v>-325.31889999999999</v>
      </c>
      <c r="H5329" s="1">
        <v>-2.4336989999999999E-6</v>
      </c>
      <c r="I5329">
        <v>18.26088</v>
      </c>
      <c r="J5329">
        <v>-343.58839999999998</v>
      </c>
      <c r="K5329">
        <v>1.1209100000000001</v>
      </c>
      <c r="L5329">
        <v>17.711120000000001</v>
      </c>
      <c r="M5329">
        <v>0.9999036</v>
      </c>
      <c r="N5329">
        <v>-1.207946E-2</v>
      </c>
      <c r="O5329">
        <v>-6.8477490000000002E-3</v>
      </c>
      <c r="P5329">
        <v>0.98140910000000003</v>
      </c>
      <c r="Q5329">
        <v>0.1777426</v>
      </c>
      <c r="R5329">
        <v>-7.2413850000000002E-2</v>
      </c>
      <c r="S5329">
        <v>3.0971069999999998</v>
      </c>
      <c r="T5329">
        <v>-0.18716920000000001</v>
      </c>
      <c r="U5329">
        <v>9.1491699999999995E-2</v>
      </c>
      <c r="V5329">
        <v>6.5654019999999993E-2</v>
      </c>
      <c r="W5329">
        <v>0.1896033</v>
      </c>
      <c r="X5329">
        <v>0.97966330000000001</v>
      </c>
      <c r="Y5329">
        <v>-3.6285329999999998E-2</v>
      </c>
      <c r="Z5329">
        <v>1.645372E-3</v>
      </c>
      <c r="AA5329">
        <v>0.99934009999999995</v>
      </c>
      <c r="AB5329">
        <v>29</v>
      </c>
      <c r="AC5329">
        <v>18.269499999999901</v>
      </c>
      <c r="AD5329">
        <v>-1.120912433699</v>
      </c>
      <c r="AE5329">
        <v>0.54975999999999903</v>
      </c>
      <c r="AF5329">
        <v>-0.67233258030321996</v>
      </c>
      <c r="AG5329">
        <v>-1.120912433699</v>
      </c>
      <c r="AH5329">
        <v>18.196869273124999</v>
      </c>
      <c r="AI5329">
        <v>93.522522325260795</v>
      </c>
      <c r="AJ5329">
        <v>92.1159851131994</v>
      </c>
      <c r="AK5329">
        <v>18.2437530986845</v>
      </c>
      <c r="AL5329">
        <v>79.070366086348898</v>
      </c>
      <c r="AM5329">
        <v>86.165946215336604</v>
      </c>
      <c r="AN5329">
        <v>1.00000002153997</v>
      </c>
    </row>
    <row r="5330" spans="1:40" x14ac:dyDescent="0.25">
      <c r="A5330" t="str">
        <f>"20190303162408743"</f>
        <v>20190303162408743</v>
      </c>
      <c r="B5330" t="str">
        <f>"1551601448730046"</f>
        <v>1551601448730046</v>
      </c>
      <c r="C5330" t="s">
        <v>40</v>
      </c>
      <c r="D5330">
        <v>5.815283</v>
      </c>
      <c r="E5330">
        <v>0.4607193</v>
      </c>
      <c r="F5330" t="s">
        <v>41</v>
      </c>
      <c r="G5330">
        <v>-324.74189999999999</v>
      </c>
      <c r="H5330" s="1">
        <v>-2.7026970000000001E-6</v>
      </c>
      <c r="I5330">
        <v>18.281970000000001</v>
      </c>
      <c r="J5330">
        <v>-343.40910000000002</v>
      </c>
      <c r="K5330">
        <v>1.1209089999999999</v>
      </c>
      <c r="L5330">
        <v>17.709959999999999</v>
      </c>
      <c r="M5330">
        <v>0.99990420000000002</v>
      </c>
      <c r="N5330">
        <v>-1.2079950000000001E-2</v>
      </c>
      <c r="O5330">
        <v>-6.7744390000000002E-3</v>
      </c>
      <c r="P5330">
        <v>0.98134589999999999</v>
      </c>
      <c r="Q5330">
        <v>0.17793889999999901</v>
      </c>
      <c r="R5330">
        <v>-7.2788480000000003E-2</v>
      </c>
      <c r="S5330">
        <v>3.097137</v>
      </c>
      <c r="T5330">
        <v>-0.18420539999999999</v>
      </c>
      <c r="U5330">
        <v>9.3811039999999998E-2</v>
      </c>
      <c r="V5330">
        <v>6.6100919999999994E-2</v>
      </c>
      <c r="W5330">
        <v>0.18979940000000001</v>
      </c>
      <c r="X5330">
        <v>0.9795952</v>
      </c>
      <c r="Y5330">
        <v>-3.6960699999999999E-2</v>
      </c>
      <c r="Z5330">
        <v>1.642171E-3</v>
      </c>
      <c r="AA5330">
        <v>0.99931539999999996</v>
      </c>
      <c r="AB5330">
        <v>29</v>
      </c>
      <c r="AC5330">
        <v>18.667200000000001</v>
      </c>
      <c r="AD5330">
        <v>-1.1209117026969999</v>
      </c>
      <c r="AE5330">
        <v>0.57201000000000202</v>
      </c>
      <c r="AF5330">
        <v>-0.69595885835147298</v>
      </c>
      <c r="AG5330">
        <v>-1.1209117026969999</v>
      </c>
      <c r="AH5330">
        <v>18.595908681557301</v>
      </c>
      <c r="AI5330">
        <v>93.447055469336405</v>
      </c>
      <c r="AJ5330">
        <v>92.143315730710299</v>
      </c>
      <c r="AK5330">
        <v>18.642655966105799</v>
      </c>
      <c r="AL5330">
        <v>79.0589217975146</v>
      </c>
      <c r="AM5330">
        <v>86.139659312642394</v>
      </c>
      <c r="AN5330">
        <v>0.999999949864122</v>
      </c>
    </row>
    <row r="5331" spans="1:40" x14ac:dyDescent="0.25">
      <c r="A5331" t="str">
        <f>"20190303162408755"</f>
        <v>20190303162408755</v>
      </c>
      <c r="B5331" t="str">
        <f>"1551601448750543"</f>
        <v>1551601448750543</v>
      </c>
      <c r="C5331" t="s">
        <v>40</v>
      </c>
      <c r="D5331">
        <v>5.7547819999999996</v>
      </c>
      <c r="E5331">
        <v>0.46051180000000003</v>
      </c>
      <c r="F5331" t="s">
        <v>41</v>
      </c>
      <c r="G5331">
        <v>-324.59039999999999</v>
      </c>
      <c r="H5331" s="1">
        <v>-2.7744040000000002E-6</v>
      </c>
      <c r="I5331">
        <v>18.281400000000001</v>
      </c>
      <c r="J5331">
        <v>-343.2509</v>
      </c>
      <c r="K5331">
        <v>1.1209100000000001</v>
      </c>
      <c r="L5331">
        <v>17.708950000000002</v>
      </c>
      <c r="M5331">
        <v>0.99990460000000003</v>
      </c>
      <c r="N5331">
        <v>-1.208034E-2</v>
      </c>
      <c r="O5331">
        <v>-6.7098319999999998E-3</v>
      </c>
      <c r="P5331">
        <v>0.9812765</v>
      </c>
      <c r="Q5331">
        <v>0.1782454</v>
      </c>
      <c r="R5331">
        <v>-7.2974769999999994E-2</v>
      </c>
      <c r="S5331">
        <v>3.0974430000000002</v>
      </c>
      <c r="T5331">
        <v>-0.1844951</v>
      </c>
      <c r="U5331">
        <v>9.4055180000000002E-2</v>
      </c>
      <c r="V5331">
        <v>6.6350950000000006E-2</v>
      </c>
      <c r="W5331">
        <v>0.1901052</v>
      </c>
      <c r="X5331">
        <v>0.97951909999999998</v>
      </c>
      <c r="Y5331">
        <v>-3.6971650000000002E-2</v>
      </c>
      <c r="Z5331">
        <v>1.6417109999999999E-3</v>
      </c>
      <c r="AA5331">
        <v>0.99931499999999995</v>
      </c>
      <c r="AB5331">
        <v>29</v>
      </c>
      <c r="AC5331">
        <v>18.660499999999999</v>
      </c>
      <c r="AD5331">
        <v>-1.1209127744039999</v>
      </c>
      <c r="AE5331">
        <v>0.57244999999999902</v>
      </c>
      <c r="AF5331">
        <v>-0.69514914212289503</v>
      </c>
      <c r="AG5331">
        <v>-1.1209127744039999</v>
      </c>
      <c r="AH5331">
        <v>18.589226959315202</v>
      </c>
      <c r="AI5331">
        <v>93.448298649637493</v>
      </c>
      <c r="AJ5331">
        <v>92.141593185482407</v>
      </c>
      <c r="AK5331">
        <v>18.635960847848601</v>
      </c>
      <c r="AL5331">
        <v>79.041076958396104</v>
      </c>
      <c r="AM5331">
        <v>86.124801654689705</v>
      </c>
      <c r="AN5331">
        <v>1.0000000514488701</v>
      </c>
    </row>
    <row r="5332" spans="1:40" x14ac:dyDescent="0.25">
      <c r="A5332" t="str">
        <f>"20190303162408773"</f>
        <v>20190303162408773</v>
      </c>
      <c r="B5332" t="str">
        <f>"1551601448760302"</f>
        <v>1551601448760302</v>
      </c>
      <c r="C5332" t="s">
        <v>40</v>
      </c>
      <c r="D5332">
        <v>5.7552320000000003</v>
      </c>
      <c r="E5332">
        <v>0.4603971</v>
      </c>
      <c r="F5332" t="s">
        <v>41</v>
      </c>
      <c r="G5332">
        <v>-324.31389999999999</v>
      </c>
      <c r="H5332" s="1">
        <v>-2.9032150000000002E-6</v>
      </c>
      <c r="I5332">
        <v>18.292159999999999</v>
      </c>
      <c r="J5332">
        <v>-343.01850000000002</v>
      </c>
      <c r="K5332">
        <v>1.1209150000000001</v>
      </c>
      <c r="L5332">
        <v>17.70749</v>
      </c>
      <c r="M5332">
        <v>0.99990520000000005</v>
      </c>
      <c r="N5332">
        <v>-1.2080850000000001E-2</v>
      </c>
      <c r="O5332">
        <v>-6.6148279999999997E-3</v>
      </c>
      <c r="P5332">
        <v>0.98112200000000005</v>
      </c>
      <c r="Q5332">
        <v>0.17884649999999999</v>
      </c>
      <c r="R5332">
        <v>-7.3578690000000002E-2</v>
      </c>
      <c r="S5332">
        <v>3.0976560000000002</v>
      </c>
      <c r="T5332">
        <v>-0.18335509999999999</v>
      </c>
      <c r="U5332">
        <v>9.5397949999999995E-2</v>
      </c>
      <c r="V5332">
        <v>6.7049339999999999E-2</v>
      </c>
      <c r="W5332">
        <v>0.19070480000000001</v>
      </c>
      <c r="X5332">
        <v>0.97935490000000003</v>
      </c>
      <c r="Y5332">
        <v>-3.7307809999999997E-2</v>
      </c>
      <c r="Z5332">
        <v>1.6398560000000001E-3</v>
      </c>
      <c r="AA5332">
        <v>0.99930240000000004</v>
      </c>
      <c r="AB5332">
        <v>29</v>
      </c>
      <c r="AC5332">
        <v>18.704599999999999</v>
      </c>
      <c r="AD5332">
        <v>-1.1209179032149901</v>
      </c>
      <c r="AE5332">
        <v>0.58466999999999902</v>
      </c>
      <c r="AF5332">
        <v>-0.70586146085095702</v>
      </c>
      <c r="AG5332">
        <v>-1.1209179032149901</v>
      </c>
      <c r="AH5332">
        <v>18.633470024929501</v>
      </c>
      <c r="AI5332">
        <v>93.440083743072407</v>
      </c>
      <c r="AJ5332">
        <v>92.169405593986596</v>
      </c>
      <c r="AK5332">
        <v>18.680495242835701</v>
      </c>
      <c r="AL5332">
        <v>79.006081379377207</v>
      </c>
      <c r="AM5332">
        <v>86.083484236208307</v>
      </c>
      <c r="AN5332">
        <v>0.99999997744574198</v>
      </c>
    </row>
    <row r="5333" spans="1:40" x14ac:dyDescent="0.25">
      <c r="A5333" t="str">
        <f>"20190303162408799"</f>
        <v>20190303162408799</v>
      </c>
      <c r="B5333" t="str">
        <f>"1551601448790560"</f>
        <v>1551601448790560</v>
      </c>
      <c r="C5333" t="s">
        <v>40</v>
      </c>
      <c r="D5333">
        <v>5.3432969999999997</v>
      </c>
      <c r="E5333">
        <v>0.46014630000000001</v>
      </c>
      <c r="F5333" t="s">
        <v>41</v>
      </c>
      <c r="G5333">
        <v>-323.9171</v>
      </c>
      <c r="H5333" s="1">
        <v>-3.091187E-6</v>
      </c>
      <c r="I5333">
        <v>18.290050000000001</v>
      </c>
      <c r="J5333">
        <v>-342.67349999999999</v>
      </c>
      <c r="K5333">
        <v>1.120916</v>
      </c>
      <c r="L5333">
        <v>17.705379999999899</v>
      </c>
      <c r="M5333">
        <v>0.99990610000000002</v>
      </c>
      <c r="N5333">
        <v>-1.208151E-2</v>
      </c>
      <c r="O5333">
        <v>-6.4735729999999998E-3</v>
      </c>
      <c r="P5333">
        <v>0.98104230000000003</v>
      </c>
      <c r="Q5333">
        <v>0.179231</v>
      </c>
      <c r="R5333">
        <v>-7.3706579999999994E-2</v>
      </c>
      <c r="S5333">
        <v>3.0979610000000002</v>
      </c>
      <c r="T5333">
        <v>-0.1817957</v>
      </c>
      <c r="U5333">
        <v>9.4482419999999998E-2</v>
      </c>
      <c r="V5333">
        <v>6.7315899999999998E-2</v>
      </c>
      <c r="W5333">
        <v>0.19108910000000001</v>
      </c>
      <c r="X5333">
        <v>0.97926179999999996</v>
      </c>
      <c r="Y5333">
        <v>-3.6871010000000003E-2</v>
      </c>
      <c r="Z5333">
        <v>1.605015E-3</v>
      </c>
      <c r="AA5333">
        <v>0.9993187</v>
      </c>
      <c r="AB5333">
        <v>29</v>
      </c>
      <c r="AC5333">
        <v>18.7563999999999</v>
      </c>
      <c r="AD5333">
        <v>-1.1209190911869999</v>
      </c>
      <c r="AE5333">
        <v>0.58467000000000202</v>
      </c>
      <c r="AF5333">
        <v>-0.703577149257822</v>
      </c>
      <c r="AG5333">
        <v>-1.1209190911869999</v>
      </c>
      <c r="AH5333">
        <v>18.685551249064499</v>
      </c>
      <c r="AI5333">
        <v>93.430551348467503</v>
      </c>
      <c r="AJ5333">
        <v>92.1563702115307</v>
      </c>
      <c r="AK5333">
        <v>18.732359859221202</v>
      </c>
      <c r="AL5333">
        <v>78.983651175318201</v>
      </c>
      <c r="AM5333">
        <v>86.067589908391199</v>
      </c>
      <c r="AN5333">
        <v>1.00000007373542</v>
      </c>
    </row>
    <row r="5334" spans="1:40" x14ac:dyDescent="0.25">
      <c r="A5334" t="str">
        <f>"20190303162408813"</f>
        <v>20190303162408813</v>
      </c>
      <c r="B5334" t="str">
        <f>"1551601448800319"</f>
        <v>1551601448800319</v>
      </c>
      <c r="C5334" t="s">
        <v>40</v>
      </c>
      <c r="D5334">
        <v>5.7592829999999999</v>
      </c>
      <c r="E5334">
        <v>0.46003559999999999</v>
      </c>
      <c r="F5334" t="s">
        <v>41</v>
      </c>
      <c r="G5334">
        <v>-323.59230000000002</v>
      </c>
      <c r="H5334" s="1">
        <v>-3.2427240000000001E-6</v>
      </c>
      <c r="I5334">
        <v>18.301130000000001</v>
      </c>
      <c r="J5334">
        <v>-342.5025</v>
      </c>
      <c r="K5334">
        <v>1.1209199999999999</v>
      </c>
      <c r="L5334">
        <v>17.704350000000002</v>
      </c>
      <c r="M5334">
        <v>0.99990650000000003</v>
      </c>
      <c r="N5334">
        <v>-1.20818E-2</v>
      </c>
      <c r="O5334">
        <v>-6.4037199999999999E-3</v>
      </c>
      <c r="P5334">
        <v>0.98104919999999995</v>
      </c>
      <c r="Q5334">
        <v>0.17912739999999999</v>
      </c>
      <c r="R5334">
        <v>-7.3864440000000003E-2</v>
      </c>
      <c r="S5334">
        <v>3.0985109999999998</v>
      </c>
      <c r="T5334">
        <v>-0.18202099999999999</v>
      </c>
      <c r="U5334">
        <v>9.6740720000000002E-2</v>
      </c>
      <c r="V5334">
        <v>6.7542610000000003E-2</v>
      </c>
      <c r="W5334">
        <v>0.19098560000000001</v>
      </c>
      <c r="X5334">
        <v>0.97926630000000003</v>
      </c>
      <c r="Y5334">
        <v>-3.7522E-2</v>
      </c>
      <c r="Z5334">
        <v>1.6263359999999999E-3</v>
      </c>
      <c r="AA5334">
        <v>0.99929449999999997</v>
      </c>
      <c r="AB5334">
        <v>29</v>
      </c>
      <c r="AC5334">
        <v>18.9101999999999</v>
      </c>
      <c r="AD5334">
        <v>-1.1209232427239999</v>
      </c>
      <c r="AE5334">
        <v>0.59677999999999898</v>
      </c>
      <c r="AF5334">
        <v>-0.71536119389688502</v>
      </c>
      <c r="AG5334">
        <v>-1.1209232427239999</v>
      </c>
      <c r="AH5334">
        <v>18.839859354919898</v>
      </c>
      <c r="AI5334">
        <v>93.402491591071794</v>
      </c>
      <c r="AJ5334">
        <v>92.174511788304599</v>
      </c>
      <c r="AK5334">
        <v>18.886728437370401</v>
      </c>
      <c r="AL5334">
        <v>78.989691675156493</v>
      </c>
      <c r="AM5334">
        <v>86.054405967002495</v>
      </c>
      <c r="AN5334">
        <v>0.99999999494433101</v>
      </c>
    </row>
    <row r="5335" spans="1:40" x14ac:dyDescent="0.25">
      <c r="A5335" t="str">
        <f>"20190303162408830"</f>
        <v>20190303162408830</v>
      </c>
      <c r="B5335" t="str">
        <f>"1551601448819839"</f>
        <v>1551601448819839</v>
      </c>
      <c r="C5335" t="s">
        <v>40</v>
      </c>
      <c r="D5335">
        <v>5.8777299999999997</v>
      </c>
      <c r="E5335">
        <v>0.45979989999999998</v>
      </c>
      <c r="F5335" t="s">
        <v>41</v>
      </c>
      <c r="G5335">
        <v>-323.51839999999999</v>
      </c>
      <c r="H5335" s="1">
        <v>-3.2774479999999998E-6</v>
      </c>
      <c r="I5335">
        <v>18.30227</v>
      </c>
      <c r="J5335">
        <v>-342.28910000000002</v>
      </c>
      <c r="K5335">
        <v>1.1209229999999999</v>
      </c>
      <c r="L5335">
        <v>17.70309</v>
      </c>
      <c r="M5335">
        <v>0.99990710000000005</v>
      </c>
      <c r="N5335">
        <v>-1.208214E-2</v>
      </c>
      <c r="O5335">
        <v>-6.3164629999999996E-3</v>
      </c>
      <c r="P5335">
        <v>0.98097069999999997</v>
      </c>
      <c r="Q5335">
        <v>0.17924289999999901</v>
      </c>
      <c r="R5335">
        <v>-7.4620809999999996E-2</v>
      </c>
      <c r="S5335">
        <v>3.0986630000000002</v>
      </c>
      <c r="T5335">
        <v>-0.18296229999999999</v>
      </c>
      <c r="U5335">
        <v>9.7595210000000002E-2</v>
      </c>
      <c r="V5335">
        <v>6.8385150000000006E-2</v>
      </c>
      <c r="W5335">
        <v>0.19110079999999999</v>
      </c>
      <c r="X5335">
        <v>0.97918530000000004</v>
      </c>
      <c r="Y5335">
        <v>-3.7707440000000002E-2</v>
      </c>
      <c r="Z5335">
        <v>1.636385E-3</v>
      </c>
      <c r="AA5335">
        <v>0.9992875</v>
      </c>
      <c r="AB5335">
        <v>29</v>
      </c>
      <c r="AC5335">
        <v>18.770700000000001</v>
      </c>
      <c r="AD5335">
        <v>-1.120926277448</v>
      </c>
      <c r="AE5335">
        <v>0.59918000000000005</v>
      </c>
      <c r="AF5335">
        <v>-0.71519327454681103</v>
      </c>
      <c r="AG5335">
        <v>-1.120926277448</v>
      </c>
      <c r="AH5335">
        <v>18.6999226539041</v>
      </c>
      <c r="AI5335">
        <v>93.427866338883902</v>
      </c>
      <c r="AJ5335">
        <v>92.190254719328706</v>
      </c>
      <c r="AK5335">
        <v>18.7471353652079</v>
      </c>
      <c r="AL5335">
        <v>78.982966827877107</v>
      </c>
      <c r="AM5335">
        <v>86.005016827644795</v>
      </c>
      <c r="AN5335">
        <v>0.99999994811862403</v>
      </c>
    </row>
    <row r="5336" spans="1:40" x14ac:dyDescent="0.25">
      <c r="A5336" t="str">
        <f>"20190303162408840"</f>
        <v>20190303162408840</v>
      </c>
      <c r="B5336" t="str">
        <f>"1551601448830106"</f>
        <v>1551601448830106</v>
      </c>
      <c r="C5336" t="s">
        <v>40</v>
      </c>
      <c r="D5336">
        <v>5.8817409999999999</v>
      </c>
      <c r="E5336">
        <v>0.45968740000000002</v>
      </c>
      <c r="F5336" t="s">
        <v>41</v>
      </c>
      <c r="G5336">
        <v>-323.39929999999998</v>
      </c>
      <c r="H5336" s="1">
        <v>-3.3345520000000002E-6</v>
      </c>
      <c r="I5336">
        <v>18.29795</v>
      </c>
      <c r="J5336">
        <v>-342.14030000000002</v>
      </c>
      <c r="K5336">
        <v>1.120922</v>
      </c>
      <c r="L5336">
        <v>17.702179999999998</v>
      </c>
      <c r="M5336">
        <v>0.9999074</v>
      </c>
      <c r="N5336">
        <v>-1.208236E-2</v>
      </c>
      <c r="O5336">
        <v>-6.2556699999999996E-3</v>
      </c>
      <c r="P5336">
        <v>0.98091879999999998</v>
      </c>
      <c r="Q5336">
        <v>0.17931159999999999</v>
      </c>
      <c r="R5336">
        <v>-7.5139929999999994E-2</v>
      </c>
      <c r="S5336">
        <v>3.0991819999999999</v>
      </c>
      <c r="T5336">
        <v>-0.18390629999999999</v>
      </c>
      <c r="U5336">
        <v>9.7595210000000002E-2</v>
      </c>
      <c r="V5336">
        <v>6.8963979999999994E-2</v>
      </c>
      <c r="W5336">
        <v>0.19116910000000001</v>
      </c>
      <c r="X5336">
        <v>0.97913139999999999</v>
      </c>
      <c r="Y5336">
        <v>-3.7640819999999998E-2</v>
      </c>
      <c r="Z5336">
        <v>1.6385410000000001E-3</v>
      </c>
      <c r="AA5336">
        <v>0.99929000000000001</v>
      </c>
      <c r="AB5336">
        <v>29</v>
      </c>
      <c r="AC5336">
        <v>18.741</v>
      </c>
      <c r="AD5336">
        <v>-1.1209253345520001</v>
      </c>
      <c r="AE5336">
        <v>0.59577000000000102</v>
      </c>
      <c r="AF5336">
        <v>-0.71046536019541195</v>
      </c>
      <c r="AG5336">
        <v>-1.1209253345520001</v>
      </c>
      <c r="AH5336">
        <v>18.670182695184302</v>
      </c>
      <c r="AI5336">
        <v>93.433335788289199</v>
      </c>
      <c r="AJ5336">
        <v>92.179252109436305</v>
      </c>
      <c r="AK5336">
        <v>18.7172903088358</v>
      </c>
      <c r="AL5336">
        <v>78.978980345450395</v>
      </c>
      <c r="AM5336">
        <v>85.971092067991194</v>
      </c>
      <c r="AN5336">
        <v>0.99999997689910503</v>
      </c>
    </row>
    <row r="5337" spans="1:40" x14ac:dyDescent="0.25">
      <c r="A5337" t="str">
        <f>"20190303162408853"</f>
        <v>20190303162408853</v>
      </c>
      <c r="B5337" t="str">
        <f>"1551601448840842"</f>
        <v>1551601448840842</v>
      </c>
      <c r="C5337" t="s">
        <v>40</v>
      </c>
      <c r="D5337">
        <v>5.7600569999999998</v>
      </c>
      <c r="E5337">
        <v>0.4596114</v>
      </c>
      <c r="F5337" t="s">
        <v>41</v>
      </c>
      <c r="G5337">
        <v>-323.25900000000001</v>
      </c>
      <c r="H5337" s="1">
        <v>-3.4015649999999998E-6</v>
      </c>
      <c r="I5337">
        <v>18.29393</v>
      </c>
      <c r="J5337">
        <v>-341.97719999999998</v>
      </c>
      <c r="K5337">
        <v>1.120924</v>
      </c>
      <c r="L5337">
        <v>17.701229999999999</v>
      </c>
      <c r="M5337">
        <v>0.99990800000000002</v>
      </c>
      <c r="N5337">
        <v>-1.2082590000000001E-2</v>
      </c>
      <c r="O5337">
        <v>-6.189155E-3</v>
      </c>
      <c r="P5337">
        <v>0.98081249999999998</v>
      </c>
      <c r="Q5337">
        <v>0.17966779999999999</v>
      </c>
      <c r="R5337">
        <v>-7.5674439999999996E-2</v>
      </c>
      <c r="S5337">
        <v>3.0994259999999998</v>
      </c>
      <c r="T5337">
        <v>-0.18400359999999999</v>
      </c>
      <c r="U5337">
        <v>9.713745E-2</v>
      </c>
      <c r="V5337">
        <v>6.9564409999999993E-2</v>
      </c>
      <c r="W5337">
        <v>0.1915248</v>
      </c>
      <c r="X5337">
        <v>0.97901950000000004</v>
      </c>
      <c r="Y5337">
        <v>-3.7424880000000001E-2</v>
      </c>
      <c r="Z5337">
        <v>1.628364E-3</v>
      </c>
      <c r="AA5337">
        <v>0.99929809999999997</v>
      </c>
      <c r="AB5337">
        <v>29</v>
      </c>
      <c r="AC5337">
        <v>18.7181999999999</v>
      </c>
      <c r="AD5337">
        <v>-1.1209274015649999</v>
      </c>
      <c r="AE5337">
        <v>0.5927</v>
      </c>
      <c r="AF5337">
        <v>-0.70601758786912705</v>
      </c>
      <c r="AG5337">
        <v>-1.1209274015649999</v>
      </c>
      <c r="AH5337">
        <v>18.647367834784301</v>
      </c>
      <c r="AI5337">
        <v>93.437557646993</v>
      </c>
      <c r="AJ5337">
        <v>92.168269315988894</v>
      </c>
      <c r="AK5337">
        <v>18.694364558329099</v>
      </c>
      <c r="AL5337">
        <v>78.958217599810297</v>
      </c>
      <c r="AM5337">
        <v>85.935668752537097</v>
      </c>
      <c r="AN5337">
        <v>1.0000000687669599</v>
      </c>
    </row>
    <row r="5338" spans="1:40" x14ac:dyDescent="0.25">
      <c r="A5338" t="str">
        <f>"20190303162408896"</f>
        <v>20190303162408896</v>
      </c>
      <c r="B5338" t="str">
        <f>"1551601448890617"</f>
        <v>1551601448890617</v>
      </c>
      <c r="C5338" t="s">
        <v>40</v>
      </c>
      <c r="D5338">
        <v>5.327388</v>
      </c>
      <c r="E5338">
        <v>0.45930969999999999</v>
      </c>
      <c r="F5338" t="s">
        <v>41</v>
      </c>
      <c r="G5338">
        <v>-323.07400000000001</v>
      </c>
      <c r="H5338" s="1">
        <v>-3.4901030000000001E-6</v>
      </c>
      <c r="I5338">
        <v>18.28764</v>
      </c>
      <c r="J5338">
        <v>-341.416</v>
      </c>
      <c r="K5338">
        <v>1.120922</v>
      </c>
      <c r="L5338">
        <v>17.698029999999999</v>
      </c>
      <c r="M5338">
        <v>0.9999093</v>
      </c>
      <c r="N5338">
        <v>-1.208322E-2</v>
      </c>
      <c r="O5338">
        <v>-5.9599249999999996E-3</v>
      </c>
      <c r="P5338">
        <v>0.98058120000000004</v>
      </c>
      <c r="Q5338">
        <v>0.1800205</v>
      </c>
      <c r="R5338">
        <v>-7.7802189999999993E-2</v>
      </c>
      <c r="S5338">
        <v>3.0998230000000002</v>
      </c>
      <c r="T5338">
        <v>-0.18381430000000001</v>
      </c>
      <c r="U5338">
        <v>9.6160889999999999E-2</v>
      </c>
      <c r="V5338">
        <v>7.1918460000000003E-2</v>
      </c>
      <c r="W5338">
        <v>0.1918753</v>
      </c>
      <c r="X5338">
        <v>0.97878069999999895</v>
      </c>
      <c r="Y5338">
        <v>-3.6878870000000001E-2</v>
      </c>
      <c r="Z5338">
        <v>1.5963869999999999E-3</v>
      </c>
      <c r="AA5338">
        <v>0.9993185</v>
      </c>
      <c r="AB5338">
        <v>29</v>
      </c>
      <c r="AC5338">
        <v>18.341999999999899</v>
      </c>
      <c r="AD5338">
        <v>-1.1209254901029999</v>
      </c>
      <c r="AE5338">
        <v>0.58960999999999997</v>
      </c>
      <c r="AF5338">
        <v>-0.69632653250154897</v>
      </c>
      <c r="AG5338">
        <v>-1.1209254901029999</v>
      </c>
      <c r="AH5338">
        <v>18.269996689673299</v>
      </c>
      <c r="AI5338">
        <v>93.508346290361004</v>
      </c>
      <c r="AJ5338">
        <v>92.182664338850401</v>
      </c>
      <c r="AK5338">
        <v>18.317590552114201</v>
      </c>
      <c r="AL5338">
        <v>78.937755473445193</v>
      </c>
      <c r="AM5338">
        <v>85.797595452790802</v>
      </c>
      <c r="AN5338">
        <v>1.0000000271656699</v>
      </c>
    </row>
    <row r="5339" spans="1:40" x14ac:dyDescent="0.25">
      <c r="A5339" t="str">
        <f>"20190303162408908"</f>
        <v>20190303162408908</v>
      </c>
      <c r="B5339" t="str">
        <f>"1551601448900379"</f>
        <v>1551601448900379</v>
      </c>
      <c r="C5339" t="s">
        <v>40</v>
      </c>
      <c r="D5339">
        <v>5.8654539999999997</v>
      </c>
      <c r="E5339">
        <v>0.45932020000000001</v>
      </c>
      <c r="F5339" t="s">
        <v>41</v>
      </c>
      <c r="G5339">
        <v>-322.47669999999999</v>
      </c>
      <c r="H5339" s="1">
        <v>-3.7759440000000001E-6</v>
      </c>
      <c r="I5339">
        <v>18.268090000000001</v>
      </c>
      <c r="J5339">
        <v>-341.26330000000002</v>
      </c>
      <c r="K5339">
        <v>1.1209169999999999</v>
      </c>
      <c r="L5339">
        <v>17.697199999999999</v>
      </c>
      <c r="M5339">
        <v>0.99990970000000001</v>
      </c>
      <c r="N5339">
        <v>-1.2083429999999999E-2</v>
      </c>
      <c r="O5339">
        <v>-5.897701E-3</v>
      </c>
      <c r="P5339">
        <v>0.98058440000000002</v>
      </c>
      <c r="Q5339">
        <v>0.17967320000000001</v>
      </c>
      <c r="R5339">
        <v>-7.8561599999999995E-2</v>
      </c>
      <c r="S5339">
        <v>3.1004939999999999</v>
      </c>
      <c r="T5339">
        <v>-0.18350369999999999</v>
      </c>
      <c r="U5339">
        <v>9.3322749999999996E-2</v>
      </c>
      <c r="V5339">
        <v>7.2738849999999994E-2</v>
      </c>
      <c r="W5339">
        <v>0.19152859999999999</v>
      </c>
      <c r="X5339">
        <v>0.97878799999999999</v>
      </c>
      <c r="Y5339">
        <v>-3.5898489999999998E-2</v>
      </c>
      <c r="Z5339">
        <v>1.5558169999999999E-3</v>
      </c>
      <c r="AA5339">
        <v>0.99935419999999997</v>
      </c>
      <c r="AB5339">
        <v>29</v>
      </c>
      <c r="AC5339">
        <v>18.7866</v>
      </c>
      <c r="AD5339">
        <v>-1.1209207759440001</v>
      </c>
      <c r="AE5339">
        <v>0.57089000000000201</v>
      </c>
      <c r="AF5339">
        <v>-0.67926990887553096</v>
      </c>
      <c r="AG5339">
        <v>-1.1209207759440001</v>
      </c>
      <c r="AH5339">
        <v>18.716336821851598</v>
      </c>
      <c r="AI5339">
        <v>93.425098843116402</v>
      </c>
      <c r="AJ5339">
        <v>92.078517017802596</v>
      </c>
      <c r="AK5339">
        <v>18.762172982467799</v>
      </c>
      <c r="AL5339">
        <v>78.957995525056305</v>
      </c>
      <c r="AM5339">
        <v>85.749863940431595</v>
      </c>
      <c r="AN5339">
        <v>1.00000004693064</v>
      </c>
    </row>
    <row r="5340" spans="1:40" x14ac:dyDescent="0.25">
      <c r="A5340" t="str">
        <f>"20190303162408920"</f>
        <v>20190303162408920</v>
      </c>
      <c r="B5340" t="str">
        <f>"1551601448910138"</f>
        <v>1551601448910138</v>
      </c>
      <c r="C5340" t="s">
        <v>40</v>
      </c>
      <c r="D5340">
        <v>5.8411239999999998</v>
      </c>
      <c r="E5340">
        <v>0.45932020000000001</v>
      </c>
      <c r="F5340" t="s">
        <v>41</v>
      </c>
      <c r="G5340">
        <v>-322.46519999999998</v>
      </c>
      <c r="H5340" s="1">
        <v>-3.784373E-6</v>
      </c>
      <c r="I5340">
        <v>18.251149999999999</v>
      </c>
      <c r="J5340">
        <v>-341.10050000000001</v>
      </c>
      <c r="K5340">
        <v>1.1209150000000001</v>
      </c>
      <c r="L5340">
        <v>17.696290000000001</v>
      </c>
      <c r="M5340">
        <v>0.99991010000000002</v>
      </c>
      <c r="N5340">
        <v>-1.2083689999999999E-2</v>
      </c>
      <c r="O5340">
        <v>-5.8310669999999997E-3</v>
      </c>
      <c r="P5340">
        <v>0.98053429999999997</v>
      </c>
      <c r="Q5340">
        <v>0.17949399999999999</v>
      </c>
      <c r="R5340">
        <v>-7.9589510000000002E-2</v>
      </c>
      <c r="S5340">
        <v>3.100616</v>
      </c>
      <c r="T5340">
        <v>-0.184888</v>
      </c>
      <c r="U5340">
        <v>9.1369629999999993E-2</v>
      </c>
      <c r="V5340">
        <v>7.3832499999999995E-2</v>
      </c>
      <c r="W5340">
        <v>0.19134979999999999</v>
      </c>
      <c r="X5340">
        <v>0.97874099999999997</v>
      </c>
      <c r="Y5340">
        <v>-3.520214E-2</v>
      </c>
      <c r="Z5340">
        <v>1.538279E-3</v>
      </c>
      <c r="AA5340">
        <v>0.99937900000000002</v>
      </c>
      <c r="AB5340">
        <v>29</v>
      </c>
      <c r="AC5340">
        <v>18.635300000000001</v>
      </c>
      <c r="AD5340">
        <v>-1.120918784373</v>
      </c>
      <c r="AE5340">
        <v>0.55485999999999702</v>
      </c>
      <c r="AF5340">
        <v>-0.66113227419949705</v>
      </c>
      <c r="AG5340">
        <v>-1.120918784373</v>
      </c>
      <c r="AH5340">
        <v>18.5646390309428</v>
      </c>
      <c r="AI5340">
        <v>93.453097050645098</v>
      </c>
      <c r="AJ5340">
        <v>92.039581128328294</v>
      </c>
      <c r="AK5340">
        <v>18.610195516285</v>
      </c>
      <c r="AL5340">
        <v>78.968432137401805</v>
      </c>
      <c r="AM5340">
        <v>85.685994964384705</v>
      </c>
      <c r="AN5340">
        <v>0.99999996454864404</v>
      </c>
    </row>
    <row r="5341" spans="1:40" x14ac:dyDescent="0.25">
      <c r="A5341" t="str">
        <f>"20190303162408939"</f>
        <v>20190303162408939</v>
      </c>
      <c r="B5341" t="str">
        <f>"1551601448930163"</f>
        <v>1551601448930163</v>
      </c>
      <c r="C5341" t="s">
        <v>40</v>
      </c>
      <c r="D5341">
        <v>5.6459530000000004</v>
      </c>
      <c r="E5341">
        <v>0.4608312</v>
      </c>
      <c r="F5341" t="s">
        <v>41</v>
      </c>
      <c r="G5341">
        <v>-322.34629999999999</v>
      </c>
      <c r="H5341" s="1">
        <v>-3.8441740000000001E-6</v>
      </c>
      <c r="I5341">
        <v>18.23085</v>
      </c>
      <c r="J5341">
        <v>-340.84989999999999</v>
      </c>
      <c r="K5341">
        <v>1.1209100000000001</v>
      </c>
      <c r="L5341">
        <v>17.69492</v>
      </c>
      <c r="M5341">
        <v>0.99991070000000004</v>
      </c>
      <c r="N5341">
        <v>-1.208393E-2</v>
      </c>
      <c r="O5341">
        <v>-5.7287889999999998E-3</v>
      </c>
      <c r="P5341">
        <v>0.98053840000000003</v>
      </c>
      <c r="Q5341">
        <v>0.17838870000000001</v>
      </c>
      <c r="R5341">
        <v>-8.1989989999999999E-2</v>
      </c>
      <c r="S5341">
        <v>3.1006469999999999</v>
      </c>
      <c r="T5341">
        <v>-0.1853224</v>
      </c>
      <c r="U5341">
        <v>8.8378910000000005E-2</v>
      </c>
      <c r="V5341">
        <v>7.6333310000000001E-2</v>
      </c>
      <c r="W5341">
        <v>0.19024460000000001</v>
      </c>
      <c r="X5341">
        <v>0.97876470000000004</v>
      </c>
      <c r="Y5341">
        <v>-3.4138500000000002E-2</v>
      </c>
      <c r="Z5341">
        <v>1.4985E-3</v>
      </c>
      <c r="AA5341">
        <v>0.99941599999999997</v>
      </c>
      <c r="AB5341">
        <v>29</v>
      </c>
      <c r="AC5341">
        <v>18.503599999999999</v>
      </c>
      <c r="AD5341">
        <v>-1.1209138441740001</v>
      </c>
      <c r="AE5341">
        <v>0.53593000000000002</v>
      </c>
      <c r="AF5341">
        <v>-0.63958701851699096</v>
      </c>
      <c r="AG5341">
        <v>-1.1209138441740001</v>
      </c>
      <c r="AH5341">
        <v>18.432640077611602</v>
      </c>
      <c r="AI5341">
        <v>93.477860756734302</v>
      </c>
      <c r="AJ5341">
        <v>91.987286694438396</v>
      </c>
      <c r="AK5341">
        <v>18.4777633828094</v>
      </c>
      <c r="AL5341">
        <v>79.03294155108</v>
      </c>
      <c r="AM5341">
        <v>85.540560966336798</v>
      </c>
      <c r="AN5341">
        <v>1.0000000600054</v>
      </c>
    </row>
    <row r="5342" spans="1:40" x14ac:dyDescent="0.25">
      <c r="A5342" t="str">
        <f>"20190303162408952"</f>
        <v>20190303162408952</v>
      </c>
      <c r="B5342" t="str">
        <f>"1551601448939924"</f>
        <v>1551601448939924</v>
      </c>
      <c r="C5342" t="s">
        <v>40</v>
      </c>
      <c r="D5342">
        <v>5.6554010000000003</v>
      </c>
      <c r="E5342">
        <v>0.52275499999999997</v>
      </c>
      <c r="F5342" t="s">
        <v>41</v>
      </c>
      <c r="G5342">
        <v>-323.26900000000001</v>
      </c>
      <c r="H5342" s="1">
        <v>-3.433085E-6</v>
      </c>
      <c r="I5342">
        <v>18.089700000000001</v>
      </c>
      <c r="J5342">
        <v>-340.68979999999999</v>
      </c>
      <c r="K5342">
        <v>1.12090499999999</v>
      </c>
      <c r="L5342">
        <v>17.69406</v>
      </c>
      <c r="M5342">
        <v>0.99991099999999999</v>
      </c>
      <c r="N5342">
        <v>-1.2083959999999999E-2</v>
      </c>
      <c r="O5342">
        <v>-5.6632269999999998E-3</v>
      </c>
      <c r="P5342">
        <v>0.98055610000000004</v>
      </c>
      <c r="Q5342">
        <v>0.17774709999999999</v>
      </c>
      <c r="R5342">
        <v>-8.3159700000000003E-2</v>
      </c>
      <c r="S5342">
        <v>3.1013489999999999</v>
      </c>
      <c r="T5342">
        <v>-0.19773299999999999</v>
      </c>
      <c r="U5342">
        <v>6.9641110000000006E-2</v>
      </c>
      <c r="V5342">
        <v>7.7567440000000001E-2</v>
      </c>
      <c r="W5342">
        <v>0.1896042</v>
      </c>
      <c r="X5342">
        <v>0.97879190000000005</v>
      </c>
      <c r="Y5342">
        <v>-2.8036040000000002E-2</v>
      </c>
      <c r="Z5342">
        <v>1.354648E-3</v>
      </c>
      <c r="AA5342">
        <v>0.99960599999999999</v>
      </c>
      <c r="AB5342">
        <v>29</v>
      </c>
      <c r="AC5342">
        <v>17.4207999999999</v>
      </c>
      <c r="AD5342">
        <v>-1.1209084330850001</v>
      </c>
      <c r="AE5342">
        <v>0.39563999999999999</v>
      </c>
      <c r="AF5342">
        <v>-0.49226186721867998</v>
      </c>
      <c r="AG5342">
        <v>-1.1209084330850001</v>
      </c>
      <c r="AH5342">
        <v>17.346501718944999</v>
      </c>
      <c r="AI5342">
        <v>93.695754903368197</v>
      </c>
      <c r="AJ5342">
        <v>91.625512757265497</v>
      </c>
      <c r="AK5342">
        <v>17.389648626313299</v>
      </c>
      <c r="AL5342">
        <v>79.070313572092502</v>
      </c>
      <c r="AM5342">
        <v>85.468885602669403</v>
      </c>
      <c r="AN5342">
        <v>1.0000000219556999</v>
      </c>
    </row>
    <row r="5343" spans="1:40" x14ac:dyDescent="0.25">
      <c r="A5343" t="str">
        <f>"20190303162408965"</f>
        <v>20190303162408965</v>
      </c>
      <c r="B5343" t="str">
        <f>"1551601448960421"</f>
        <v>1551601448960421</v>
      </c>
      <c r="C5343" t="s">
        <v>40</v>
      </c>
      <c r="D5343">
        <v>5.6560370000000004</v>
      </c>
      <c r="E5343">
        <v>0.52877839999999998</v>
      </c>
      <c r="F5343" t="s">
        <v>42</v>
      </c>
      <c r="G5343">
        <v>-339.85579999999999</v>
      </c>
      <c r="H5343">
        <v>0.99727449999999995</v>
      </c>
      <c r="I5343">
        <v>17.57996</v>
      </c>
      <c r="J5343">
        <v>-340.53730000000002</v>
      </c>
      <c r="K5343">
        <v>1.1209</v>
      </c>
      <c r="L5343">
        <v>17.693269999999998</v>
      </c>
      <c r="M5343">
        <v>0.99991129999999995</v>
      </c>
      <c r="N5343">
        <v>-1.2083959999999999E-2</v>
      </c>
      <c r="O5343">
        <v>-5.6007640000000003E-3</v>
      </c>
      <c r="P5343">
        <v>0.98060970000000003</v>
      </c>
      <c r="Q5343">
        <v>0.1768644</v>
      </c>
      <c r="R5343">
        <v>-8.4402229999999995E-2</v>
      </c>
      <c r="S5343">
        <v>3.106995</v>
      </c>
      <c r="T5343">
        <v>-0.46056589999999997</v>
      </c>
      <c r="U5343">
        <v>-0.42422490000000002</v>
      </c>
      <c r="V5343">
        <v>7.8871060000000007E-2</v>
      </c>
      <c r="W5343">
        <v>0.18872249999999999</v>
      </c>
      <c r="X5343">
        <v>0.97885809999999995</v>
      </c>
      <c r="Y5343">
        <v>0.12829109999999999</v>
      </c>
      <c r="Z5343">
        <v>-9.4423739999999999E-3</v>
      </c>
      <c r="AA5343">
        <v>0.99169160000000001</v>
      </c>
      <c r="AB5343">
        <v>29</v>
      </c>
      <c r="AC5343">
        <v>0.68150000000002797</v>
      </c>
      <c r="AD5343">
        <v>-0.123625499999999</v>
      </c>
      <c r="AE5343">
        <v>-0.11331000000000201</v>
      </c>
      <c r="AF5343">
        <v>0.106093742886518</v>
      </c>
      <c r="AG5343">
        <v>-0.123625499999999</v>
      </c>
      <c r="AH5343">
        <v>0.66095908041305995</v>
      </c>
      <c r="AI5343">
        <v>100.463246082675</v>
      </c>
      <c r="AJ5343">
        <v>80.880963379762093</v>
      </c>
      <c r="AK5343">
        <v>0.68073934256101198</v>
      </c>
      <c r="AL5343">
        <v>79.121759887568899</v>
      </c>
      <c r="AM5343">
        <v>85.393369763065905</v>
      </c>
      <c r="AN5343">
        <v>1.00000000302369</v>
      </c>
    </row>
    <row r="5344" spans="1:40" x14ac:dyDescent="0.25">
      <c r="A5344" t="str">
        <f>"20190303162408977"</f>
        <v>20190303162408977</v>
      </c>
      <c r="B5344" t="str">
        <f>"1551601448970179"</f>
        <v>1551601448970179</v>
      </c>
      <c r="C5344" t="s">
        <v>40</v>
      </c>
      <c r="D5344">
        <v>5.6233589999999998</v>
      </c>
      <c r="E5344">
        <v>0.5289431</v>
      </c>
      <c r="F5344" t="s">
        <v>42</v>
      </c>
      <c r="G5344">
        <v>-339.61450000000002</v>
      </c>
      <c r="H5344">
        <v>0.95872199999999996</v>
      </c>
      <c r="I5344">
        <v>17.552329999999898</v>
      </c>
      <c r="J5344">
        <v>-340.3673</v>
      </c>
      <c r="K5344">
        <v>1.1209</v>
      </c>
      <c r="L5344">
        <v>17.69238</v>
      </c>
      <c r="M5344">
        <v>0.99991169999999996</v>
      </c>
      <c r="N5344">
        <v>-1.208394E-2</v>
      </c>
      <c r="O5344">
        <v>-5.5312670000000003E-3</v>
      </c>
      <c r="P5344">
        <v>0.98071299999999995</v>
      </c>
      <c r="Q5344">
        <v>0.1756829</v>
      </c>
      <c r="R5344">
        <v>-8.5658680000000001E-2</v>
      </c>
      <c r="S5344">
        <v>3.1172789999999999</v>
      </c>
      <c r="T5344">
        <v>-0.54789659999999996</v>
      </c>
      <c r="U5344">
        <v>-0.47515869999999999</v>
      </c>
      <c r="V5344">
        <v>8.0195520000000006E-2</v>
      </c>
      <c r="W5344">
        <v>0.1875424</v>
      </c>
      <c r="X5344">
        <v>0.97897730000000005</v>
      </c>
      <c r="Y5344">
        <v>0.1429937</v>
      </c>
      <c r="Z5344">
        <v>-1.238335E-2</v>
      </c>
      <c r="AA5344">
        <v>0.98964609999999997</v>
      </c>
      <c r="AB5344">
        <v>29</v>
      </c>
      <c r="AC5344">
        <v>0.75279999999997904</v>
      </c>
      <c r="AD5344">
        <v>-0.16217799999999999</v>
      </c>
      <c r="AE5344">
        <v>-0.14005000000000201</v>
      </c>
      <c r="AF5344">
        <v>0.13004973818541801</v>
      </c>
      <c r="AG5344">
        <v>-0.16217799999999999</v>
      </c>
      <c r="AH5344">
        <v>0.72121054176973398</v>
      </c>
      <c r="AI5344">
        <v>102.47844782248301</v>
      </c>
      <c r="AJ5344">
        <v>79.778186977259793</v>
      </c>
      <c r="AK5344">
        <v>0.75057263715505196</v>
      </c>
      <c r="AL5344">
        <v>79.190604059092493</v>
      </c>
      <c r="AM5344">
        <v>85.3169209667399</v>
      </c>
      <c r="AN5344">
        <v>1.00000001357056</v>
      </c>
    </row>
    <row r="5345" spans="1:40" x14ac:dyDescent="0.25">
      <c r="A5345" t="str">
        <f>"20190303162408989"</f>
        <v>20190303162408989</v>
      </c>
      <c r="B5345" t="str">
        <f>"1551601448979940"</f>
        <v>1551601448979940</v>
      </c>
      <c r="C5345" t="s">
        <v>40</v>
      </c>
      <c r="D5345">
        <v>5.605931</v>
      </c>
      <c r="E5345">
        <v>0.52883819999999904</v>
      </c>
      <c r="F5345" t="s">
        <v>42</v>
      </c>
      <c r="G5345">
        <v>-339.60750000000002</v>
      </c>
      <c r="H5345">
        <v>0.97444889999999995</v>
      </c>
      <c r="I5345">
        <v>17.57545</v>
      </c>
      <c r="J5345">
        <v>-340.21</v>
      </c>
      <c r="K5345">
        <v>1.1208959999999999</v>
      </c>
      <c r="L5345">
        <v>17.691589999999898</v>
      </c>
      <c r="M5345">
        <v>0.99991220000000003</v>
      </c>
      <c r="N5345">
        <v>-1.208391E-2</v>
      </c>
      <c r="O5345">
        <v>-5.4671349999999997E-3</v>
      </c>
      <c r="P5345">
        <v>0.98071240000000004</v>
      </c>
      <c r="Q5345">
        <v>0.1752013</v>
      </c>
      <c r="R5345">
        <v>-8.6648199999999995E-2</v>
      </c>
      <c r="S5345">
        <v>3.125</v>
      </c>
      <c r="T5345">
        <v>-0.60239290000000001</v>
      </c>
      <c r="U5345">
        <v>-0.47979739999999999</v>
      </c>
      <c r="V5345">
        <v>8.1248020000000004E-2</v>
      </c>
      <c r="W5345">
        <v>0.1870608</v>
      </c>
      <c r="X5345">
        <v>0.97898260000000004</v>
      </c>
      <c r="Y5345">
        <v>0.14368449999999999</v>
      </c>
      <c r="Z5345">
        <v>-1.3552989999999999E-2</v>
      </c>
      <c r="AA5345">
        <v>0.98953069999999999</v>
      </c>
      <c r="AB5345">
        <v>29</v>
      </c>
      <c r="AC5345">
        <v>0.60249999999996295</v>
      </c>
      <c r="AD5345">
        <v>-0.146447099999999</v>
      </c>
      <c r="AE5345">
        <v>-0.116139999999997</v>
      </c>
      <c r="AF5345">
        <v>0.106762430039835</v>
      </c>
      <c r="AG5345">
        <v>-0.146447099999999</v>
      </c>
      <c r="AH5345">
        <v>0.57062097931328604</v>
      </c>
      <c r="AI5345">
        <v>104.158464092659</v>
      </c>
      <c r="AJ5345">
        <v>79.402559544565406</v>
      </c>
      <c r="AK5345">
        <v>0.598709672210893</v>
      </c>
      <c r="AL5345">
        <v>79.218694231299807</v>
      </c>
      <c r="AM5345">
        <v>85.255763732331701</v>
      </c>
      <c r="AN5345">
        <v>0.99999995737665903</v>
      </c>
    </row>
    <row r="5346" spans="1:40" x14ac:dyDescent="0.25">
      <c r="A5346" t="str">
        <f>"20190303162409008"</f>
        <v>20190303162409008</v>
      </c>
      <c r="B5346" t="str">
        <f>"1551601449000436"</f>
        <v>1551601449000436</v>
      </c>
      <c r="C5346" t="s">
        <v>40</v>
      </c>
      <c r="D5346">
        <v>5.6243210000000001</v>
      </c>
      <c r="E5346">
        <v>0.52802150000000003</v>
      </c>
      <c r="F5346" t="s">
        <v>42</v>
      </c>
      <c r="G5346">
        <v>-339.36169999999998</v>
      </c>
      <c r="H5346">
        <v>0.94547840000000005</v>
      </c>
      <c r="I5346">
        <v>17.56119</v>
      </c>
      <c r="J5346">
        <v>-339.96769999999998</v>
      </c>
      <c r="K5346">
        <v>1.120892</v>
      </c>
      <c r="L5346">
        <v>17.690339999999999</v>
      </c>
      <c r="M5346">
        <v>0.99991269999999999</v>
      </c>
      <c r="N5346">
        <v>-1.208388E-2</v>
      </c>
      <c r="O5346">
        <v>-5.3680749999999999E-3</v>
      </c>
      <c r="P5346">
        <v>0.98066070000000005</v>
      </c>
      <c r="Q5346">
        <v>0.1745892</v>
      </c>
      <c r="R5346">
        <v>-8.8448799999999994E-2</v>
      </c>
      <c r="S5346">
        <v>3.1322329999999998</v>
      </c>
      <c r="T5346">
        <v>-0.64778179999999996</v>
      </c>
      <c r="U5346">
        <v>-0.48132320000000001</v>
      </c>
      <c r="V5346">
        <v>8.3146269999999994E-2</v>
      </c>
      <c r="W5346">
        <v>0.18644859999999999</v>
      </c>
      <c r="X5346">
        <v>0.97894009999999998</v>
      </c>
      <c r="Y5346">
        <v>0.1435274</v>
      </c>
      <c r="Z5346">
        <v>-1.4456439999999999E-2</v>
      </c>
      <c r="AA5346">
        <v>0.9895408</v>
      </c>
      <c r="AB5346">
        <v>29</v>
      </c>
      <c r="AC5346">
        <v>0.60599999999999399</v>
      </c>
      <c r="AD5346">
        <v>-0.1754136</v>
      </c>
      <c r="AE5346">
        <v>-0.12914999999999899</v>
      </c>
      <c r="AF5346">
        <v>0.116553372988128</v>
      </c>
      <c r="AG5346">
        <v>-0.1754136</v>
      </c>
      <c r="AH5346">
        <v>0.56166823319751202</v>
      </c>
      <c r="AI5346">
        <v>107.003297986842</v>
      </c>
      <c r="AJ5346">
        <v>78.276773450051707</v>
      </c>
      <c r="AK5346">
        <v>0.59985483577536003</v>
      </c>
      <c r="AL5346">
        <v>79.254399894880194</v>
      </c>
      <c r="AM5346">
        <v>85.145235042023401</v>
      </c>
      <c r="AN5346">
        <v>1.0000000510224401</v>
      </c>
    </row>
    <row r="5347" spans="1:40" x14ac:dyDescent="0.25">
      <c r="A5347" t="str">
        <f>"20190303162409019"</f>
        <v>20190303162409019</v>
      </c>
      <c r="B5347" t="str">
        <f>"1551601449010195"</f>
        <v>1551601449010195</v>
      </c>
      <c r="C5347" t="s">
        <v>40</v>
      </c>
      <c r="D5347">
        <v>5.6434350000000002</v>
      </c>
      <c r="E5347">
        <v>0.52773700000000001</v>
      </c>
      <c r="F5347" t="s">
        <v>42</v>
      </c>
      <c r="G5347">
        <v>-339.1105</v>
      </c>
      <c r="H5347">
        <v>0.92813100000000004</v>
      </c>
      <c r="I5347">
        <v>17.559149999999999</v>
      </c>
      <c r="J5347">
        <v>-339.80840000000001</v>
      </c>
      <c r="K5347">
        <v>1.1208940000000001</v>
      </c>
      <c r="L5347">
        <v>17.689540000000001</v>
      </c>
      <c r="M5347">
        <v>0.99991300000000005</v>
      </c>
      <c r="N5347">
        <v>-1.208386E-2</v>
      </c>
      <c r="O5347">
        <v>-5.3027509999999996E-3</v>
      </c>
      <c r="P5347">
        <v>0.9805895</v>
      </c>
      <c r="Q5347">
        <v>0.1745651</v>
      </c>
      <c r="R5347">
        <v>-8.9282970000000003E-2</v>
      </c>
      <c r="S5347">
        <v>3.1416629999999999</v>
      </c>
      <c r="T5347">
        <v>-0.70642859999999996</v>
      </c>
      <c r="U5347">
        <v>-0.47955320000000001</v>
      </c>
      <c r="V5347">
        <v>8.40447E-2</v>
      </c>
      <c r="W5347">
        <v>0.1864237</v>
      </c>
      <c r="X5347">
        <v>0.97886810000000002</v>
      </c>
      <c r="Y5347">
        <v>0.1421046</v>
      </c>
      <c r="Z5347">
        <v>-1.545857E-2</v>
      </c>
      <c r="AA5347">
        <v>0.98973100000000003</v>
      </c>
      <c r="AB5347">
        <v>29</v>
      </c>
      <c r="AC5347">
        <v>0.69790000000000396</v>
      </c>
      <c r="AD5347">
        <v>-0.19276299999999999</v>
      </c>
      <c r="AE5347">
        <v>-0.130390000000002</v>
      </c>
      <c r="AF5347">
        <v>0.11798943320485</v>
      </c>
      <c r="AG5347">
        <v>-0.19276299999999999</v>
      </c>
      <c r="AH5347">
        <v>0.65062070326423704</v>
      </c>
      <c r="AI5347">
        <v>106.252493096672</v>
      </c>
      <c r="AJ5347">
        <v>79.721175943465695</v>
      </c>
      <c r="AK5347">
        <v>0.68875712702886205</v>
      </c>
      <c r="AL5347">
        <v>79.255851816794006</v>
      </c>
      <c r="AM5347">
        <v>85.092672895617397</v>
      </c>
      <c r="AN5347">
        <v>1.0000000323586899</v>
      </c>
    </row>
    <row r="5348" spans="1:40" x14ac:dyDescent="0.25">
      <c r="A5348" t="str">
        <f>"20190303162409033"</f>
        <v>20190303162409033</v>
      </c>
      <c r="B5348" t="str">
        <f>"1551601449019956"</f>
        <v>1551601449019956</v>
      </c>
      <c r="C5348" t="s">
        <v>40</v>
      </c>
      <c r="D5348">
        <v>5.6309879999999897</v>
      </c>
      <c r="E5348">
        <v>0.52787879999999998</v>
      </c>
      <c r="F5348" t="s">
        <v>42</v>
      </c>
      <c r="G5348">
        <v>-339.09699999999998</v>
      </c>
      <c r="H5348">
        <v>0.95786039999999995</v>
      </c>
      <c r="I5348">
        <v>17.580739999999999</v>
      </c>
      <c r="J5348">
        <v>-339.65679999999998</v>
      </c>
      <c r="K5348">
        <v>1.1208940000000001</v>
      </c>
      <c r="L5348">
        <v>17.688779999999898</v>
      </c>
      <c r="M5348">
        <v>0.99991339999999995</v>
      </c>
      <c r="N5348">
        <v>-1.208382E-2</v>
      </c>
      <c r="O5348">
        <v>-5.240883E-3</v>
      </c>
      <c r="P5348">
        <v>0.98055970000000003</v>
      </c>
      <c r="Q5348">
        <v>0.174376799999999</v>
      </c>
      <c r="R5348">
        <v>-8.9976470000000003E-2</v>
      </c>
      <c r="S5348">
        <v>3.144012</v>
      </c>
      <c r="T5348">
        <v>-0.72050999999999998</v>
      </c>
      <c r="U5348">
        <v>-0.47933959999999998</v>
      </c>
      <c r="V5348">
        <v>8.4799059999999996E-2</v>
      </c>
      <c r="W5348">
        <v>0.1862354</v>
      </c>
      <c r="X5348">
        <v>0.97883889999999996</v>
      </c>
      <c r="Y5348">
        <v>0.14186289999999999</v>
      </c>
      <c r="Z5348">
        <v>-1.5715159999999999E-2</v>
      </c>
      <c r="AA5348">
        <v>0.98976160000000002</v>
      </c>
      <c r="AB5348">
        <v>29</v>
      </c>
      <c r="AC5348">
        <v>0.55979999999999497</v>
      </c>
      <c r="AD5348">
        <v>-0.1630336</v>
      </c>
      <c r="AE5348">
        <v>-0.108039999999999</v>
      </c>
      <c r="AF5348">
        <v>9.7159506641510504E-2</v>
      </c>
      <c r="AG5348">
        <v>-0.1630336</v>
      </c>
      <c r="AH5348">
        <v>0.518000520708363</v>
      </c>
      <c r="AI5348">
        <v>107.189029058481</v>
      </c>
      <c r="AJ5348">
        <v>79.376668063910699</v>
      </c>
      <c r="AK5348">
        <v>0.55167423713086094</v>
      </c>
      <c r="AL5348">
        <v>79.266833095479001</v>
      </c>
      <c r="AM5348">
        <v>85.048697217515695</v>
      </c>
      <c r="AN5348">
        <v>1.0000000484716201</v>
      </c>
    </row>
    <row r="5349" spans="1:40" x14ac:dyDescent="0.25">
      <c r="A5349" t="str">
        <f>"20190303162409045"</f>
        <v>20190303162409045</v>
      </c>
      <c r="B5349" t="str">
        <f>"1551601449039984"</f>
        <v>1551601449039984</v>
      </c>
      <c r="C5349" t="s">
        <v>40</v>
      </c>
      <c r="D5349">
        <v>5.6113419999999996</v>
      </c>
      <c r="E5349">
        <v>0.52793219999999996</v>
      </c>
      <c r="F5349" t="s">
        <v>42</v>
      </c>
      <c r="G5349">
        <v>-338.84910000000002</v>
      </c>
      <c r="H5349">
        <v>0.93284180000000005</v>
      </c>
      <c r="I5349">
        <v>17.56484</v>
      </c>
      <c r="J5349">
        <v>-339.49099999999999</v>
      </c>
      <c r="K5349">
        <v>1.1208929999999999</v>
      </c>
      <c r="L5349">
        <v>17.688020000000002</v>
      </c>
      <c r="M5349">
        <v>0.99991370000000002</v>
      </c>
      <c r="N5349">
        <v>-1.2083770000000001E-2</v>
      </c>
      <c r="O5349">
        <v>-5.1731750000000003E-3</v>
      </c>
      <c r="P5349">
        <v>0.98055709999999996</v>
      </c>
      <c r="Q5349">
        <v>0.1741829</v>
      </c>
      <c r="R5349">
        <v>-9.0380929999999998E-2</v>
      </c>
      <c r="S5349">
        <v>3.1454770000000001</v>
      </c>
      <c r="T5349">
        <v>-0.73235229999999996</v>
      </c>
      <c r="U5349">
        <v>-0.48211670000000001</v>
      </c>
      <c r="V5349">
        <v>8.5269890000000001E-2</v>
      </c>
      <c r="W5349">
        <v>0.18604100000000001</v>
      </c>
      <c r="X5349">
        <v>0.97883489999999995</v>
      </c>
      <c r="Y5349">
        <v>0.14258080000000001</v>
      </c>
      <c r="Z5349">
        <v>-1.604566E-2</v>
      </c>
      <c r="AA5349">
        <v>0.98965309999999995</v>
      </c>
      <c r="AB5349">
        <v>29</v>
      </c>
      <c r="AC5349">
        <v>0.64189999999996405</v>
      </c>
      <c r="AD5349">
        <v>-0.1880512</v>
      </c>
      <c r="AE5349">
        <v>-0.123180000000001</v>
      </c>
      <c r="AF5349">
        <v>0.11069444719088301</v>
      </c>
      <c r="AG5349">
        <v>-0.1880512</v>
      </c>
      <c r="AH5349">
        <v>0.59340790990705305</v>
      </c>
      <c r="AI5349">
        <v>107.30320106670899</v>
      </c>
      <c r="AJ5349">
        <v>79.433477179957706</v>
      </c>
      <c r="AK5349">
        <v>0.63225743332964701</v>
      </c>
      <c r="AL5349">
        <v>79.278168822087693</v>
      </c>
      <c r="AM5349">
        <v>85.021323640617794</v>
      </c>
      <c r="AN5349">
        <v>0.99999998463980999</v>
      </c>
    </row>
    <row r="5350" spans="1:40" x14ac:dyDescent="0.25">
      <c r="A5350" t="str">
        <f>"20190303162409058"</f>
        <v>20190303162409058</v>
      </c>
      <c r="B5350" t="str">
        <f>"1551601449050719"</f>
        <v>1551601449050719</v>
      </c>
      <c r="C5350" t="s">
        <v>40</v>
      </c>
      <c r="D5350">
        <v>5.6477269999999997</v>
      </c>
      <c r="E5350">
        <v>0.52792600000000001</v>
      </c>
      <c r="F5350" t="s">
        <v>42</v>
      </c>
      <c r="G5350">
        <v>-338.59969999999998</v>
      </c>
      <c r="H5350">
        <v>0.90954360000000001</v>
      </c>
      <c r="I5350">
        <v>17.550999999999998</v>
      </c>
      <c r="J5350">
        <v>-339.32</v>
      </c>
      <c r="K5350">
        <v>1.120889</v>
      </c>
      <c r="L5350">
        <v>17.687190000000001</v>
      </c>
      <c r="M5350">
        <v>0.99991410000000003</v>
      </c>
      <c r="N5350">
        <v>-1.2083730000000001E-2</v>
      </c>
      <c r="O5350">
        <v>-5.1032009999999999E-3</v>
      </c>
      <c r="P5350">
        <v>0.98057680000000003</v>
      </c>
      <c r="Q5350">
        <v>0.17397290000000001</v>
      </c>
      <c r="R5350">
        <v>-9.0569620000000003E-2</v>
      </c>
      <c r="S5350">
        <v>3.1475219999999999</v>
      </c>
      <c r="T5350">
        <v>-0.74632049999999905</v>
      </c>
      <c r="U5350">
        <v>-0.48348999999999998</v>
      </c>
      <c r="V5350">
        <v>8.5527399999999906E-2</v>
      </c>
      <c r="W5350">
        <v>0.18583150000000001</v>
      </c>
      <c r="X5350">
        <v>0.97885219999999995</v>
      </c>
      <c r="Y5350">
        <v>0.14283119999999999</v>
      </c>
      <c r="Z5350">
        <v>-1.636259E-2</v>
      </c>
      <c r="AA5350">
        <v>0.98961180000000004</v>
      </c>
      <c r="AB5350">
        <v>29</v>
      </c>
      <c r="AC5350">
        <v>0.72030000000000804</v>
      </c>
      <c r="AD5350">
        <v>-0.21134539999999999</v>
      </c>
      <c r="AE5350">
        <v>-0.136190000000002</v>
      </c>
      <c r="AF5350">
        <v>0.122343002326707</v>
      </c>
      <c r="AG5350">
        <v>-0.21134539999999999</v>
      </c>
      <c r="AH5350">
        <v>0.66565647172009301</v>
      </c>
      <c r="AI5350">
        <v>107.341956026465</v>
      </c>
      <c r="AJ5350">
        <v>79.585663531010695</v>
      </c>
      <c r="AK5350">
        <v>0.70903683025800202</v>
      </c>
      <c r="AL5350">
        <v>79.2903850113413</v>
      </c>
      <c r="AM5350">
        <v>85.006452054282406</v>
      </c>
      <c r="AN5350">
        <v>0.99999995599392399</v>
      </c>
    </row>
    <row r="5351" spans="1:40" x14ac:dyDescent="0.25">
      <c r="A5351" t="str">
        <f>"20190303162409076"</f>
        <v>20190303162409076</v>
      </c>
      <c r="B5351" t="str">
        <f>"1551601449070239"</f>
        <v>1551601449070239</v>
      </c>
      <c r="C5351" t="s">
        <v>40</v>
      </c>
      <c r="D5351">
        <v>5.6584070000000004</v>
      </c>
      <c r="E5351">
        <v>0.52783579999999997</v>
      </c>
      <c r="F5351" t="s">
        <v>42</v>
      </c>
      <c r="G5351">
        <v>-338.58429999999998</v>
      </c>
      <c r="H5351">
        <v>0.94515729999999998</v>
      </c>
      <c r="I5351">
        <v>17.57403</v>
      </c>
      <c r="J5351">
        <v>-339.0967</v>
      </c>
      <c r="K5351">
        <v>1.1208910000000001</v>
      </c>
      <c r="L5351">
        <v>17.686160000000001</v>
      </c>
      <c r="M5351">
        <v>0.99991450000000004</v>
      </c>
      <c r="N5351">
        <v>-1.2083669999999999E-2</v>
      </c>
      <c r="O5351">
        <v>-5.0118899999999997E-3</v>
      </c>
      <c r="P5351">
        <v>0.98066350000000002</v>
      </c>
      <c r="Q5351">
        <v>0.17335619999999999</v>
      </c>
      <c r="R5351">
        <v>-9.0812669999999998E-2</v>
      </c>
      <c r="S5351">
        <v>3.1481319999999999</v>
      </c>
      <c r="T5351">
        <v>-0.75193690000000002</v>
      </c>
      <c r="U5351">
        <v>-0.48379519999999998</v>
      </c>
      <c r="V5351">
        <v>8.5859649999999996E-2</v>
      </c>
      <c r="W5351">
        <v>0.18521589999999999</v>
      </c>
      <c r="X5351">
        <v>0.97893980000000003</v>
      </c>
      <c r="Y5351">
        <v>0.14292569999999999</v>
      </c>
      <c r="Z5351">
        <v>-1.6504629999999999E-2</v>
      </c>
      <c r="AA5351">
        <v>0.98959580000000003</v>
      </c>
      <c r="AB5351">
        <v>29</v>
      </c>
      <c r="AC5351">
        <v>0.51240000000001296</v>
      </c>
      <c r="AD5351">
        <v>-0.17573369999999999</v>
      </c>
      <c r="AE5351">
        <v>-0.11212999999999999</v>
      </c>
      <c r="AF5351">
        <v>9.8503527380934999E-2</v>
      </c>
      <c r="AG5351">
        <v>-0.17573369999999999</v>
      </c>
      <c r="AH5351">
        <v>0.46118830795864302</v>
      </c>
      <c r="AI5351">
        <v>110.437429041301</v>
      </c>
      <c r="AJ5351">
        <v>77.943559828830303</v>
      </c>
      <c r="AK5351">
        <v>0.50326924565279396</v>
      </c>
      <c r="AL5351">
        <v>79.326279587484905</v>
      </c>
      <c r="AM5351">
        <v>84.987598457166399</v>
      </c>
      <c r="AN5351">
        <v>0.99999997056748502</v>
      </c>
    </row>
    <row r="5352" spans="1:40" x14ac:dyDescent="0.25">
      <c r="A5352" t="str">
        <f>"20190303162409090"</f>
        <v>20190303162409090</v>
      </c>
      <c r="B5352" t="str">
        <f>"1551601449080001"</f>
        <v>1551601449080001</v>
      </c>
      <c r="C5352" t="s">
        <v>40</v>
      </c>
      <c r="D5352">
        <v>5.6526519999999998</v>
      </c>
      <c r="E5352">
        <v>0.52775309999999998</v>
      </c>
      <c r="F5352" t="s">
        <v>42</v>
      </c>
      <c r="G5352">
        <v>-338.32920000000001</v>
      </c>
      <c r="H5352">
        <v>0.93579420000000002</v>
      </c>
      <c r="I5352">
        <v>17.568279999999898</v>
      </c>
      <c r="J5352">
        <v>-338.90300000000002</v>
      </c>
      <c r="K5352">
        <v>1.1208880000000001</v>
      </c>
      <c r="L5352">
        <v>17.685269999999999</v>
      </c>
      <c r="M5352">
        <v>0.99991479999999999</v>
      </c>
      <c r="N5352">
        <v>-1.208362E-2</v>
      </c>
      <c r="O5352">
        <v>-4.9326179999999997E-3</v>
      </c>
      <c r="P5352">
        <v>0.98068319999999998</v>
      </c>
      <c r="Q5352">
        <v>0.17330870000000001</v>
      </c>
      <c r="R5352">
        <v>-9.0689160000000005E-2</v>
      </c>
      <c r="S5352">
        <v>3.1486510000000001</v>
      </c>
      <c r="T5352">
        <v>-0.75927469999999997</v>
      </c>
      <c r="U5352">
        <v>-0.48315429999999998</v>
      </c>
      <c r="V5352">
        <v>8.5813760000000003E-2</v>
      </c>
      <c r="W5352">
        <v>0.18516850000000001</v>
      </c>
      <c r="X5352">
        <v>0.97895279999999996</v>
      </c>
      <c r="Y5352">
        <v>0.1427127</v>
      </c>
      <c r="Z5352">
        <v>-1.6641610000000001E-2</v>
      </c>
      <c r="AA5352">
        <v>0.98962430000000001</v>
      </c>
      <c r="AB5352">
        <v>29</v>
      </c>
      <c r="AC5352">
        <v>0.57380000000000497</v>
      </c>
      <c r="AD5352">
        <v>-0.1850938</v>
      </c>
      <c r="AE5352">
        <v>-0.11699000000000399</v>
      </c>
      <c r="AF5352">
        <v>0.10378927388301799</v>
      </c>
      <c r="AG5352">
        <v>-0.1850938</v>
      </c>
      <c r="AH5352">
        <v>0.52220116788196402</v>
      </c>
      <c r="AI5352">
        <v>109.169964028748</v>
      </c>
      <c r="AJ5352">
        <v>78.758760049055695</v>
      </c>
      <c r="AK5352">
        <v>0.56367187965064502</v>
      </c>
      <c r="AL5352">
        <v>79.329043310539504</v>
      </c>
      <c r="AM5352">
        <v>84.990330021249505</v>
      </c>
      <c r="AN5352">
        <v>0.99999997971271304</v>
      </c>
    </row>
    <row r="5353" spans="1:40" x14ac:dyDescent="0.25">
      <c r="A5353" t="str">
        <f>"20190303162409110"</f>
        <v>20190303162409110</v>
      </c>
      <c r="B5353" t="str">
        <f>"1551601449100497"</f>
        <v>1551601449100497</v>
      </c>
      <c r="C5353" t="s">
        <v>40</v>
      </c>
      <c r="D5353">
        <v>5.644609</v>
      </c>
      <c r="E5353">
        <v>0.52752399999999999</v>
      </c>
      <c r="F5353" t="s">
        <v>42</v>
      </c>
      <c r="G5353">
        <v>-338.07650000000001</v>
      </c>
      <c r="H5353">
        <v>0.92113080000000003</v>
      </c>
      <c r="I5353">
        <v>17.55857</v>
      </c>
      <c r="J5353">
        <v>-338.65879999999999</v>
      </c>
      <c r="K5353">
        <v>1.120886</v>
      </c>
      <c r="L5353">
        <v>17.684170000000002</v>
      </c>
      <c r="M5353">
        <v>0.99991540000000001</v>
      </c>
      <c r="N5353">
        <v>-1.2085190000000001E-2</v>
      </c>
      <c r="O5353">
        <v>-4.8321359999999999E-3</v>
      </c>
      <c r="P5353">
        <v>0.98070630000000003</v>
      </c>
      <c r="Q5353">
        <v>0.1731858</v>
      </c>
      <c r="R5353">
        <v>-9.0676370000000006E-2</v>
      </c>
      <c r="S5353">
        <v>3.148987</v>
      </c>
      <c r="T5353">
        <v>-0.76111819999999997</v>
      </c>
      <c r="U5353">
        <v>-0.48196410000000001</v>
      </c>
      <c r="V5353">
        <v>8.5899429999999999E-2</v>
      </c>
      <c r="W5353">
        <v>0.1850472</v>
      </c>
      <c r="X5353">
        <v>0.97896830000000001</v>
      </c>
      <c r="Y5353">
        <v>0.1424185</v>
      </c>
      <c r="Z5353">
        <v>-1.6663589999999999E-2</v>
      </c>
      <c r="AA5353">
        <v>0.9896663</v>
      </c>
      <c r="AB5353">
        <v>29</v>
      </c>
      <c r="AC5353">
        <v>0.58229999999997495</v>
      </c>
      <c r="AD5353">
        <v>-0.19975519999999899</v>
      </c>
      <c r="AE5353">
        <v>-0.12560000000000199</v>
      </c>
      <c r="AF5353">
        <v>0.110373283456706</v>
      </c>
      <c r="AG5353">
        <v>-0.19975519999999899</v>
      </c>
      <c r="AH5353">
        <v>0.52397953493218496</v>
      </c>
      <c r="AI5353">
        <v>110.45756887875</v>
      </c>
      <c r="AJ5353">
        <v>78.104870991652305</v>
      </c>
      <c r="AK5353">
        <v>0.57152336317582297</v>
      </c>
      <c r="AL5353">
        <v>79.336116325050398</v>
      </c>
      <c r="AM5353">
        <v>84.985433224306504</v>
      </c>
      <c r="AN5353">
        <v>1.00000005535352</v>
      </c>
    </row>
    <row r="5354" spans="1:40" x14ac:dyDescent="0.25">
      <c r="A5354" t="str">
        <f>"20190303162409122"</f>
        <v>20190303162409122</v>
      </c>
      <c r="B5354" t="str">
        <f>"1551601449110256"</f>
        <v>1551601449110256</v>
      </c>
      <c r="C5354" t="s">
        <v>40</v>
      </c>
      <c r="D5354">
        <v>5.670318</v>
      </c>
      <c r="E5354">
        <v>0.52745569999999997</v>
      </c>
      <c r="F5354" t="s">
        <v>42</v>
      </c>
      <c r="G5354">
        <v>-337.81909999999999</v>
      </c>
      <c r="H5354">
        <v>0.91647219999999996</v>
      </c>
      <c r="I5354">
        <v>17.555969999999999</v>
      </c>
      <c r="J5354">
        <v>-338.48700000000002</v>
      </c>
      <c r="K5354">
        <v>1.1208849999999999</v>
      </c>
      <c r="L5354">
        <v>17.683409999999999</v>
      </c>
      <c r="M5354">
        <v>0.99991560000000002</v>
      </c>
      <c r="N5354">
        <v>-1.2088379999999999E-2</v>
      </c>
      <c r="O5354">
        <v>-4.7605080000000001E-3</v>
      </c>
      <c r="P5354">
        <v>0.98071759999999997</v>
      </c>
      <c r="Q5354">
        <v>0.17304369999999999</v>
      </c>
      <c r="R5354">
        <v>-9.0824139999999998E-2</v>
      </c>
      <c r="S5354">
        <v>3.150055</v>
      </c>
      <c r="T5354">
        <v>-0.76683440000000003</v>
      </c>
      <c r="U5354">
        <v>-0.48016360000000002</v>
      </c>
      <c r="V5354">
        <v>8.611742E-2</v>
      </c>
      <c r="W5354">
        <v>0.1849085</v>
      </c>
      <c r="X5354">
        <v>0.97897529999999999</v>
      </c>
      <c r="Y5354">
        <v>0.14184459999999999</v>
      </c>
      <c r="Z5354">
        <v>-1.6718520000000001E-2</v>
      </c>
      <c r="AA5354">
        <v>0.98974779999999996</v>
      </c>
      <c r="AB5354">
        <v>29</v>
      </c>
      <c r="AC5354">
        <v>0.66789999999997396</v>
      </c>
      <c r="AD5354">
        <v>-0.20441280000000001</v>
      </c>
      <c r="AE5354">
        <v>-0.12744</v>
      </c>
      <c r="AF5354">
        <v>0.11395935897689401</v>
      </c>
      <c r="AG5354">
        <v>-0.20441280000000001</v>
      </c>
      <c r="AH5354">
        <v>0.61308935295832101</v>
      </c>
      <c r="AI5354">
        <v>108.14912611438299</v>
      </c>
      <c r="AJ5354">
        <v>79.470190442020893</v>
      </c>
      <c r="AK5354">
        <v>0.65623919649249696</v>
      </c>
      <c r="AL5354">
        <v>79.344202210892306</v>
      </c>
      <c r="AM5354">
        <v>84.972808474989193</v>
      </c>
      <c r="AN5354">
        <v>1.0000000007048899</v>
      </c>
    </row>
    <row r="5355" spans="1:40" x14ac:dyDescent="0.25">
      <c r="A5355" t="str">
        <f>"20190303162409136"</f>
        <v>20190303162409136</v>
      </c>
      <c r="B5355" t="str">
        <f>"1551601449130751"</f>
        <v>1551601449130751</v>
      </c>
      <c r="C5355" t="s">
        <v>40</v>
      </c>
      <c r="D5355">
        <v>5.6835230000000001</v>
      </c>
      <c r="E5355">
        <v>0.52709819999999996</v>
      </c>
      <c r="F5355" t="s">
        <v>42</v>
      </c>
      <c r="G5355">
        <v>-337.80239999999998</v>
      </c>
      <c r="H5355">
        <v>0.95370860000000002</v>
      </c>
      <c r="I5355">
        <v>17.578810000000001</v>
      </c>
      <c r="J5355">
        <v>-338.30739999999997</v>
      </c>
      <c r="K5355">
        <v>1.1208899999999999</v>
      </c>
      <c r="L5355">
        <v>17.682649999999999</v>
      </c>
      <c r="M5355">
        <v>0.99991580000000002</v>
      </c>
      <c r="N5355">
        <v>-1.2097470000000001E-2</v>
      </c>
      <c r="O5355">
        <v>-4.681976E-3</v>
      </c>
      <c r="P5355">
        <v>0.98076110000000005</v>
      </c>
      <c r="Q5355">
        <v>0.1728479</v>
      </c>
      <c r="R5355">
        <v>-9.0725470000000003E-2</v>
      </c>
      <c r="S5355">
        <v>3.1502379999999999</v>
      </c>
      <c r="T5355">
        <v>-0.76929639999999999</v>
      </c>
      <c r="U5355">
        <v>-0.48040769999999999</v>
      </c>
      <c r="V5355">
        <v>8.6094809999999994E-2</v>
      </c>
      <c r="W5355">
        <v>0.18472240000000001</v>
      </c>
      <c r="X5355">
        <v>0.9790124</v>
      </c>
      <c r="Y5355">
        <v>0.141958</v>
      </c>
      <c r="Z5355">
        <v>-1.6799720000000001E-2</v>
      </c>
      <c r="AA5355">
        <v>0.98973009999999995</v>
      </c>
      <c r="AB5355">
        <v>29</v>
      </c>
      <c r="AC5355">
        <v>0.50499999999999501</v>
      </c>
      <c r="AD5355">
        <v>-0.16718140000000001</v>
      </c>
      <c r="AE5355">
        <v>-0.103839999999998</v>
      </c>
      <c r="AF5355">
        <v>9.1819493032040997E-2</v>
      </c>
      <c r="AG5355">
        <v>-0.16718140000000001</v>
      </c>
      <c r="AH5355">
        <v>0.45738658658104198</v>
      </c>
      <c r="AI5355">
        <v>109.71588932760601</v>
      </c>
      <c r="AJ5355">
        <v>78.648858485529104</v>
      </c>
      <c r="AK5355">
        <v>0.49556324459233098</v>
      </c>
      <c r="AL5355">
        <v>79.355051640647702</v>
      </c>
      <c r="AM5355">
        <v>84.974311077530601</v>
      </c>
      <c r="AN5355">
        <v>0.99999998036222704</v>
      </c>
    </row>
    <row r="5356" spans="1:40" x14ac:dyDescent="0.25">
      <c r="A5356" t="str">
        <f>"20190303162409153"</f>
        <v>20190303162409153</v>
      </c>
      <c r="B5356" t="str">
        <f>"1551601449140513"</f>
        <v>1551601449140513</v>
      </c>
      <c r="C5356" t="s">
        <v>40</v>
      </c>
      <c r="D5356">
        <v>5.7005689999999998</v>
      </c>
      <c r="E5356">
        <v>0.51351599999999997</v>
      </c>
      <c r="F5356" t="s">
        <v>42</v>
      </c>
      <c r="G5356">
        <v>-337.55180000000001</v>
      </c>
      <c r="H5356">
        <v>0.93490989999999996</v>
      </c>
      <c r="I5356">
        <v>17.56803</v>
      </c>
      <c r="J5356">
        <v>-338.09280000000001</v>
      </c>
      <c r="K5356">
        <v>1.1208959999999999</v>
      </c>
      <c r="L5356">
        <v>17.681729999999899</v>
      </c>
      <c r="M5356">
        <v>0.99991609999999997</v>
      </c>
      <c r="N5356">
        <v>-1.2112950000000001E-2</v>
      </c>
      <c r="O5356">
        <v>-4.590612E-3</v>
      </c>
      <c r="P5356">
        <v>0.98071299999999995</v>
      </c>
      <c r="Q5356">
        <v>0.17314660000000001</v>
      </c>
      <c r="R5356">
        <v>-9.0677859999999999E-2</v>
      </c>
      <c r="S5356">
        <v>3.1514280000000001</v>
      </c>
      <c r="T5356">
        <v>-0.77568510000000002</v>
      </c>
      <c r="U5356">
        <v>-0.47717290000000001</v>
      </c>
      <c r="V5356">
        <v>8.6135980000000001E-2</v>
      </c>
      <c r="W5356">
        <v>0.18503639999999999</v>
      </c>
      <c r="X5356">
        <v>0.97894950000000003</v>
      </c>
      <c r="Y5356">
        <v>0.140963</v>
      </c>
      <c r="Z5356">
        <v>-1.6819230000000001E-2</v>
      </c>
      <c r="AA5356">
        <v>0.98987199999999997</v>
      </c>
      <c r="AB5356">
        <v>29</v>
      </c>
      <c r="AC5356">
        <v>0.54099999999999604</v>
      </c>
      <c r="AD5356">
        <v>-0.18598609999999899</v>
      </c>
      <c r="AE5356">
        <v>-0.113699999999997</v>
      </c>
      <c r="AF5356">
        <v>9.9906962284124004E-2</v>
      </c>
      <c r="AG5356">
        <v>-0.18598609999999899</v>
      </c>
      <c r="AH5356">
        <v>0.48645596021055998</v>
      </c>
      <c r="AI5356">
        <v>110.531523636957</v>
      </c>
      <c r="AJ5356">
        <v>78.394135044844305</v>
      </c>
      <c r="AK5356">
        <v>0.53029391070464804</v>
      </c>
      <c r="AL5356">
        <v>79.336745395836502</v>
      </c>
      <c r="AM5356">
        <v>84.971598730564295</v>
      </c>
      <c r="AN5356">
        <v>0.99999999996288502</v>
      </c>
    </row>
    <row r="5357" spans="1:40" x14ac:dyDescent="0.25">
      <c r="A5357" t="str">
        <f>"20190303162409164"</f>
        <v>20190303162409164</v>
      </c>
      <c r="B5357" t="str">
        <f>"1551601449160031"</f>
        <v>1551601449160031</v>
      </c>
      <c r="C5357" t="s">
        <v>40</v>
      </c>
      <c r="D5357">
        <v>5.6584240000000001</v>
      </c>
      <c r="E5357">
        <v>0.50963239999999999</v>
      </c>
      <c r="F5357" t="s">
        <v>42</v>
      </c>
      <c r="G5357">
        <v>-337.32709999999997</v>
      </c>
      <c r="H5357">
        <v>0.85652539999999999</v>
      </c>
      <c r="I5357">
        <v>17.594550000000002</v>
      </c>
      <c r="J5357">
        <v>-337.94150000000002</v>
      </c>
      <c r="K5357">
        <v>1.120903</v>
      </c>
      <c r="L5357">
        <v>17.68112</v>
      </c>
      <c r="M5357">
        <v>0.99991629999999998</v>
      </c>
      <c r="N5357">
        <v>-1.212618E-2</v>
      </c>
      <c r="O5357">
        <v>-4.5276190000000001E-3</v>
      </c>
      <c r="P5357">
        <v>0.98069419999999996</v>
      </c>
      <c r="Q5357">
        <v>0.17310739999999999</v>
      </c>
      <c r="R5357">
        <v>-9.0954209999999994E-2</v>
      </c>
      <c r="S5357">
        <v>3.2214659999999999</v>
      </c>
      <c r="T5357">
        <v>-1.1122369999999999</v>
      </c>
      <c r="U5357">
        <v>-0.36587520000000001</v>
      </c>
      <c r="V5357">
        <v>8.6473889999999998E-2</v>
      </c>
      <c r="W5357">
        <v>0.18501020000000001</v>
      </c>
      <c r="X5357">
        <v>0.97892469999999998</v>
      </c>
      <c r="Y5357">
        <v>0.10250629999999999</v>
      </c>
      <c r="Z5357">
        <v>-1.632691E-2</v>
      </c>
      <c r="AA5357">
        <v>0.99459839999999999</v>
      </c>
      <c r="AB5357">
        <v>29</v>
      </c>
      <c r="AC5357">
        <v>0.61440000000004602</v>
      </c>
      <c r="AD5357">
        <v>-0.26437759999999899</v>
      </c>
      <c r="AE5357">
        <v>-8.6569999999998204E-2</v>
      </c>
      <c r="AF5357">
        <v>7.0912577020566303E-2</v>
      </c>
      <c r="AG5357">
        <v>-0.26437759999999899</v>
      </c>
      <c r="AH5357">
        <v>0.52031896309724901</v>
      </c>
      <c r="AI5357">
        <v>116.72309356933501</v>
      </c>
      <c r="AJ5357">
        <v>82.239159239669206</v>
      </c>
      <c r="AK5357">
        <v>0.58792510774762297</v>
      </c>
      <c r="AL5357">
        <v>79.338273329702005</v>
      </c>
      <c r="AM5357">
        <v>84.951846898553796</v>
      </c>
      <c r="AN5357">
        <v>1.0000000380129299</v>
      </c>
    </row>
    <row r="5358" spans="1:40" x14ac:dyDescent="0.25">
      <c r="A5358" t="str">
        <f>"20190303162409176"</f>
        <v>20190303162409176</v>
      </c>
      <c r="B5358" t="str">
        <f>"1551601449170767"</f>
        <v>1551601449170767</v>
      </c>
      <c r="C5358" t="s">
        <v>40</v>
      </c>
      <c r="D5358">
        <v>5.8000350000000003</v>
      </c>
      <c r="E5358">
        <v>0.51065559999999999</v>
      </c>
      <c r="F5358" t="s">
        <v>42</v>
      </c>
      <c r="G5358">
        <v>-337.08319999999998</v>
      </c>
      <c r="H5358">
        <v>0.81829039999999997</v>
      </c>
      <c r="I5358">
        <v>17.591739999999898</v>
      </c>
      <c r="J5358">
        <v>-337.7878</v>
      </c>
      <c r="K5358">
        <v>1.1209100000000001</v>
      </c>
      <c r="L5358">
        <v>17.680479999999999</v>
      </c>
      <c r="M5358">
        <v>0.99991640000000004</v>
      </c>
      <c r="N5358">
        <v>-1.214136E-2</v>
      </c>
      <c r="O5358">
        <v>-4.4665479999999999E-3</v>
      </c>
      <c r="P5358">
        <v>0.98063279999999997</v>
      </c>
      <c r="Q5358">
        <v>0.17341679999999901</v>
      </c>
      <c r="R5358">
        <v>-9.1028059999999994E-2</v>
      </c>
      <c r="S5358">
        <v>3.2289119999999998</v>
      </c>
      <c r="T5358">
        <v>-1.1383749999999999</v>
      </c>
      <c r="U5358">
        <v>-0.3354492</v>
      </c>
      <c r="V5358">
        <v>8.6607589999999998E-2</v>
      </c>
      <c r="W5358">
        <v>0.18533350000000001</v>
      </c>
      <c r="X5358">
        <v>0.97885169999999999</v>
      </c>
      <c r="Y5358">
        <v>9.3359289999999998E-2</v>
      </c>
      <c r="Z5358">
        <v>-1.504922E-2</v>
      </c>
      <c r="AA5358">
        <v>0.99551869999999998</v>
      </c>
      <c r="AB5358">
        <v>29</v>
      </c>
      <c r="AC5358">
        <v>0.70460000000002698</v>
      </c>
      <c r="AD5358">
        <v>-0.30261959999999999</v>
      </c>
      <c r="AE5358">
        <v>-8.8740000000001304E-2</v>
      </c>
      <c r="AF5358">
        <v>7.2438232183753296E-2</v>
      </c>
      <c r="AG5358">
        <v>-0.30261959999999999</v>
      </c>
      <c r="AH5358">
        <v>0.59664840478061598</v>
      </c>
      <c r="AI5358">
        <v>116.72534448531999</v>
      </c>
      <c r="AJ5358">
        <v>83.077680190366806</v>
      </c>
      <c r="AK5358">
        <v>0.67291547664868101</v>
      </c>
      <c r="AL5358">
        <v>79.319423380082597</v>
      </c>
      <c r="AM5358">
        <v>84.943707112223706</v>
      </c>
      <c r="AN5358">
        <v>1.0000000157303699</v>
      </c>
    </row>
    <row r="5359" spans="1:40" x14ac:dyDescent="0.25">
      <c r="A5359" t="str">
        <f>"20190303162409188"</f>
        <v>20190303162409188</v>
      </c>
      <c r="B5359" t="str">
        <f>"1551601449180528"</f>
        <v>1551601449180528</v>
      </c>
      <c r="C5359" t="s">
        <v>40</v>
      </c>
      <c r="D5359">
        <v>5.6832469999999997</v>
      </c>
      <c r="E5359">
        <v>0.51120259999999995</v>
      </c>
      <c r="F5359" t="s">
        <v>42</v>
      </c>
      <c r="G5359">
        <v>-337.06470000000002</v>
      </c>
      <c r="H5359">
        <v>0.86481620000000003</v>
      </c>
      <c r="I5359">
        <v>17.603359999999999</v>
      </c>
      <c r="J5359">
        <v>-337.63670000000002</v>
      </c>
      <c r="K5359">
        <v>1.120914</v>
      </c>
      <c r="L5359">
        <v>17.679870000000001</v>
      </c>
      <c r="M5359">
        <v>0.99991649999999999</v>
      </c>
      <c r="N5359">
        <v>-1.2156159999999999E-2</v>
      </c>
      <c r="O5359">
        <v>-4.4067899999999998E-3</v>
      </c>
      <c r="P5359">
        <v>0.98056639999999995</v>
      </c>
      <c r="Q5359">
        <v>0.173541</v>
      </c>
      <c r="R5359">
        <v>-9.1507950000000005E-2</v>
      </c>
      <c r="S5359">
        <v>3.2296140000000002</v>
      </c>
      <c r="T5359">
        <v>-1.143777</v>
      </c>
      <c r="U5359">
        <v>-0.34350589999999998</v>
      </c>
      <c r="V5359">
        <v>8.7146109999999999E-2</v>
      </c>
      <c r="W5359">
        <v>0.18547169999999999</v>
      </c>
      <c r="X5359">
        <v>0.97877769999999997</v>
      </c>
      <c r="Y5359">
        <v>9.5659220000000003E-2</v>
      </c>
      <c r="Z5359">
        <v>-1.5538440000000001E-2</v>
      </c>
      <c r="AA5359">
        <v>0.99529279999999998</v>
      </c>
      <c r="AB5359">
        <v>29</v>
      </c>
      <c r="AC5359">
        <v>0.57200000000000195</v>
      </c>
      <c r="AD5359">
        <v>-0.25609779999999899</v>
      </c>
      <c r="AE5359">
        <v>-7.6509999999998898E-2</v>
      </c>
      <c r="AF5359">
        <v>6.1814985152919999E-2</v>
      </c>
      <c r="AG5359">
        <v>-0.25609779999999899</v>
      </c>
      <c r="AH5359">
        <v>0.478165193454127</v>
      </c>
      <c r="AI5359">
        <v>117.975645267193</v>
      </c>
      <c r="AJ5359">
        <v>82.633919554865201</v>
      </c>
      <c r="AK5359">
        <v>0.54593875827359795</v>
      </c>
      <c r="AL5359">
        <v>79.311365132003004</v>
      </c>
      <c r="AM5359">
        <v>84.912049300712695</v>
      </c>
      <c r="AN5359">
        <v>0.99999999100315595</v>
      </c>
    </row>
    <row r="5360" spans="1:40" x14ac:dyDescent="0.25">
      <c r="A5360" t="str">
        <f>"20190303162409200"</f>
        <v>20190303162409200</v>
      </c>
      <c r="B5360" t="str">
        <f>"1551601449190288"</f>
        <v>1551601449190288</v>
      </c>
      <c r="C5360" t="s">
        <v>40</v>
      </c>
      <c r="D5360">
        <v>5.6716119999999997</v>
      </c>
      <c r="E5360">
        <v>0.5116484</v>
      </c>
      <c r="F5360" t="s">
        <v>42</v>
      </c>
      <c r="G5360">
        <v>-336.8193</v>
      </c>
      <c r="H5360">
        <v>0.83035930000000002</v>
      </c>
      <c r="I5360">
        <v>17.591290000000001</v>
      </c>
      <c r="J5360">
        <v>-337.48450000000003</v>
      </c>
      <c r="K5360">
        <v>1.120919</v>
      </c>
      <c r="L5360">
        <v>17.679289999999899</v>
      </c>
      <c r="M5360">
        <v>0.99991649999999999</v>
      </c>
      <c r="N5360">
        <v>-1.217094E-2</v>
      </c>
      <c r="O5360">
        <v>-4.3471559999999996E-3</v>
      </c>
      <c r="P5360">
        <v>0.98054669999999999</v>
      </c>
      <c r="Q5360">
        <v>0.1735362</v>
      </c>
      <c r="R5360">
        <v>-9.1723730000000003E-2</v>
      </c>
      <c r="S5360">
        <v>3.2300719999999998</v>
      </c>
      <c r="T5360">
        <v>-1.1481159999999999</v>
      </c>
      <c r="U5360">
        <v>-0.34942630000000002</v>
      </c>
      <c r="V5360">
        <v>8.7420780000000003E-2</v>
      </c>
      <c r="W5360">
        <v>0.18548110000000001</v>
      </c>
      <c r="X5360">
        <v>0.97875140000000005</v>
      </c>
      <c r="Y5360">
        <v>9.7358059999999996E-2</v>
      </c>
      <c r="Z5360">
        <v>-1.5911979999999999E-2</v>
      </c>
      <c r="AA5360">
        <v>0.99512219999999996</v>
      </c>
      <c r="AB5360">
        <v>29</v>
      </c>
      <c r="AC5360">
        <v>0.66520000000002699</v>
      </c>
      <c r="AD5360">
        <v>-0.29055969999999998</v>
      </c>
      <c r="AE5360">
        <v>-8.79999999999974E-2</v>
      </c>
      <c r="AF5360">
        <v>7.1668456236308298E-2</v>
      </c>
      <c r="AG5360">
        <v>-0.29055969999999998</v>
      </c>
      <c r="AH5360">
        <v>0.56047914551106703</v>
      </c>
      <c r="AI5360">
        <v>117.21341043070299</v>
      </c>
      <c r="AJ5360">
        <v>82.7131334115671</v>
      </c>
      <c r="AK5360">
        <v>0.63537247299218302</v>
      </c>
      <c r="AL5360">
        <v>79.310816783277801</v>
      </c>
      <c r="AM5360">
        <v>84.895961074911597</v>
      </c>
      <c r="AN5360">
        <v>0.99999996711748795</v>
      </c>
    </row>
    <row r="5361" spans="1:40" x14ac:dyDescent="0.25">
      <c r="A5361" t="str">
        <f>"20190303162409212"</f>
        <v>20190303162409212</v>
      </c>
      <c r="B5361" t="str">
        <f>"1551601449200049"</f>
        <v>1551601449200049</v>
      </c>
      <c r="C5361" t="s">
        <v>40</v>
      </c>
      <c r="D5361">
        <v>5.6594419999999896</v>
      </c>
      <c r="E5361">
        <v>0.51213620000000004</v>
      </c>
      <c r="F5361" t="s">
        <v>42</v>
      </c>
      <c r="G5361">
        <v>-336.80059999999997</v>
      </c>
      <c r="H5361">
        <v>0.87724530000000001</v>
      </c>
      <c r="I5361">
        <v>17.604310000000002</v>
      </c>
      <c r="J5361">
        <v>-337.32749999999999</v>
      </c>
      <c r="K5361">
        <v>1.1209169999999999</v>
      </c>
      <c r="L5361">
        <v>17.67868</v>
      </c>
      <c r="M5361">
        <v>0.99991669999999999</v>
      </c>
      <c r="N5361">
        <v>-1.218553E-2</v>
      </c>
      <c r="O5361">
        <v>-4.2839590000000004E-3</v>
      </c>
      <c r="P5361">
        <v>0.98051370000000004</v>
      </c>
      <c r="Q5361">
        <v>0.17357520000000001</v>
      </c>
      <c r="R5361">
        <v>-9.2004279999999994E-2</v>
      </c>
      <c r="S5361">
        <v>3.230194</v>
      </c>
      <c r="T5361">
        <v>-1.151057</v>
      </c>
      <c r="U5361">
        <v>-0.353485099999999</v>
      </c>
      <c r="V5361">
        <v>8.7763789999999994E-2</v>
      </c>
      <c r="W5361">
        <v>0.18553359999999999</v>
      </c>
      <c r="X5361">
        <v>0.97871079999999999</v>
      </c>
      <c r="Y5361">
        <v>9.8546380000000003E-2</v>
      </c>
      <c r="Z5361">
        <v>-1.6181569999999999E-2</v>
      </c>
      <c r="AA5361">
        <v>0.99500089999999997</v>
      </c>
      <c r="AB5361">
        <v>29</v>
      </c>
      <c r="AC5361">
        <v>0.52690000000001103</v>
      </c>
      <c r="AD5361">
        <v>-0.24367169999999899</v>
      </c>
      <c r="AE5361">
        <v>-7.4369999999998201E-2</v>
      </c>
      <c r="AF5361">
        <v>5.9611696750301202E-2</v>
      </c>
      <c r="AG5361">
        <v>-0.24367169999999899</v>
      </c>
      <c r="AH5361">
        <v>0.435823966977543</v>
      </c>
      <c r="AI5361">
        <v>118.984173279472</v>
      </c>
      <c r="AJ5361">
        <v>82.2114543310378</v>
      </c>
      <c r="AK5361">
        <v>0.50286378072235605</v>
      </c>
      <c r="AL5361">
        <v>79.307756137632296</v>
      </c>
      <c r="AM5361">
        <v>84.875829501738906</v>
      </c>
      <c r="AN5361">
        <v>1.00000001480038</v>
      </c>
    </row>
    <row r="5362" spans="1:40" x14ac:dyDescent="0.25">
      <c r="A5362" t="str">
        <f>"20190303162409225"</f>
        <v>20190303162409225</v>
      </c>
      <c r="B5362" t="str">
        <f>"1551601449220543"</f>
        <v>1551601449220543</v>
      </c>
      <c r="C5362" t="s">
        <v>40</v>
      </c>
      <c r="D5362">
        <v>5.6705480000000001</v>
      </c>
      <c r="E5362">
        <v>0.51264149999999997</v>
      </c>
      <c r="F5362" t="s">
        <v>42</v>
      </c>
      <c r="G5362">
        <v>-336.55439999999999</v>
      </c>
      <c r="H5362">
        <v>0.84508709999999898</v>
      </c>
      <c r="I5362">
        <v>17.592669999999998</v>
      </c>
      <c r="J5362">
        <v>-337.16079999999999</v>
      </c>
      <c r="K5362">
        <v>1.1209180000000001</v>
      </c>
      <c r="L5362">
        <v>17.678039999999999</v>
      </c>
      <c r="M5362">
        <v>0.9999169</v>
      </c>
      <c r="N5362">
        <v>-1.220068E-2</v>
      </c>
      <c r="O5362">
        <v>-4.2160039999999998E-3</v>
      </c>
      <c r="P5362">
        <v>0.98049410000000004</v>
      </c>
      <c r="Q5362">
        <v>0.17367189999999999</v>
      </c>
      <c r="R5362">
        <v>-9.2032729999999993E-2</v>
      </c>
      <c r="S5362">
        <v>3.2300110000000002</v>
      </c>
      <c r="T5362">
        <v>-1.152304</v>
      </c>
      <c r="U5362">
        <v>-0.3582458</v>
      </c>
      <c r="V5362">
        <v>8.7859450000000006E-2</v>
      </c>
      <c r="W5362">
        <v>0.18564410000000001</v>
      </c>
      <c r="X5362">
        <v>0.97868129999999998</v>
      </c>
      <c r="Y5362">
        <v>9.9963270000000007E-2</v>
      </c>
      <c r="Z5362">
        <v>-1.647407E-2</v>
      </c>
      <c r="AA5362">
        <v>0.99485469999999998</v>
      </c>
      <c r="AB5362">
        <v>29</v>
      </c>
      <c r="AC5362">
        <v>0.60640000000000704</v>
      </c>
      <c r="AD5362">
        <v>-0.27583089999999999</v>
      </c>
      <c r="AE5362">
        <v>-8.5369999999997503E-2</v>
      </c>
      <c r="AF5362">
        <v>6.8845029182189196E-2</v>
      </c>
      <c r="AG5362">
        <v>-0.27583089999999999</v>
      </c>
      <c r="AH5362">
        <v>0.50441723193947396</v>
      </c>
      <c r="AI5362">
        <v>118.449177599805</v>
      </c>
      <c r="AJ5362">
        <v>82.228047188842794</v>
      </c>
      <c r="AK5362">
        <v>0.57901560196197499</v>
      </c>
      <c r="AL5362">
        <v>79.301313411673306</v>
      </c>
      <c r="AM5362">
        <v>84.870120287783195</v>
      </c>
      <c r="AN5362">
        <v>1.0000000508944</v>
      </c>
    </row>
    <row r="5363" spans="1:40" x14ac:dyDescent="0.25">
      <c r="A5363" t="str">
        <f>"20190303162409242"</f>
        <v>20190303162409242</v>
      </c>
      <c r="B5363" t="str">
        <f>"1551601449230303"</f>
        <v>1551601449230303</v>
      </c>
      <c r="C5363" t="s">
        <v>40</v>
      </c>
      <c r="D5363">
        <v>5.6527409999999998</v>
      </c>
      <c r="E5363">
        <v>0.5129667</v>
      </c>
      <c r="F5363" t="s">
        <v>42</v>
      </c>
      <c r="G5363">
        <v>-336.30720000000002</v>
      </c>
      <c r="H5363">
        <v>0.81537590000000004</v>
      </c>
      <c r="I5363">
        <v>17.5822</v>
      </c>
      <c r="J5363">
        <v>-336.93389999999999</v>
      </c>
      <c r="K5363">
        <v>1.120919</v>
      </c>
      <c r="L5363">
        <v>17.67719</v>
      </c>
      <c r="M5363">
        <v>0.9999169</v>
      </c>
      <c r="N5363">
        <v>-1.222035E-2</v>
      </c>
      <c r="O5363">
        <v>-4.1209150000000002E-3</v>
      </c>
      <c r="P5363">
        <v>0.98041469999999997</v>
      </c>
      <c r="Q5363">
        <v>0.17390559999999999</v>
      </c>
      <c r="R5363">
        <v>-9.2433009999999996E-2</v>
      </c>
      <c r="S5363">
        <v>3.2304689999999998</v>
      </c>
      <c r="T5363">
        <v>-1.1562699999999999</v>
      </c>
      <c r="U5363">
        <v>-0.36233520000000002</v>
      </c>
      <c r="V5363">
        <v>8.8354479999999999E-2</v>
      </c>
      <c r="W5363">
        <v>0.18589620000000001</v>
      </c>
      <c r="X5363">
        <v>0.97858880000000004</v>
      </c>
      <c r="Y5363">
        <v>0.1011664</v>
      </c>
      <c r="Z5363">
        <v>-1.6771029999999999E-2</v>
      </c>
      <c r="AA5363">
        <v>0.9947281</v>
      </c>
      <c r="AB5363">
        <v>29</v>
      </c>
      <c r="AC5363">
        <v>0.62669999999997095</v>
      </c>
      <c r="AD5363">
        <v>-0.30554310000000001</v>
      </c>
      <c r="AE5363">
        <v>-9.49899999999992E-2</v>
      </c>
      <c r="AF5363">
        <v>7.4983315509676393E-2</v>
      </c>
      <c r="AG5363">
        <v>-0.30554310000000001</v>
      </c>
      <c r="AH5363">
        <v>0.50884989618634502</v>
      </c>
      <c r="AI5363">
        <v>120.712140364169</v>
      </c>
      <c r="AJ5363">
        <v>81.617312491305498</v>
      </c>
      <c r="AK5363">
        <v>0.59825354191286495</v>
      </c>
      <c r="AL5363">
        <v>79.286612445876202</v>
      </c>
      <c r="AM5363">
        <v>84.840887334132304</v>
      </c>
      <c r="AN5363">
        <v>0.99999997539797403</v>
      </c>
    </row>
    <row r="5364" spans="1:40" x14ac:dyDescent="0.25">
      <c r="A5364" t="str">
        <f>"20190303162409253"</f>
        <v>20190303162409253</v>
      </c>
      <c r="B5364" t="str">
        <f>"1551601449249824"</f>
        <v>1551601449249824</v>
      </c>
      <c r="C5364" t="s">
        <v>40</v>
      </c>
      <c r="D5364">
        <v>5.6248129999999996</v>
      </c>
      <c r="E5364">
        <v>0.51326689999999997</v>
      </c>
      <c r="F5364" t="s">
        <v>42</v>
      </c>
      <c r="G5364">
        <v>-336.27879999999999</v>
      </c>
      <c r="H5364">
        <v>0.8864824</v>
      </c>
      <c r="I5364">
        <v>17.602820000000001</v>
      </c>
      <c r="J5364">
        <v>-336.78620000000001</v>
      </c>
      <c r="K5364">
        <v>1.1209209999999901</v>
      </c>
      <c r="L5364">
        <v>17.676670000000001</v>
      </c>
      <c r="M5364">
        <v>0.9999171</v>
      </c>
      <c r="N5364">
        <v>-1.223251E-2</v>
      </c>
      <c r="O5364">
        <v>-4.0590180000000002E-3</v>
      </c>
      <c r="P5364">
        <v>0.98029310000000003</v>
      </c>
      <c r="Q5364">
        <v>0.17428579999999999</v>
      </c>
      <c r="R5364">
        <v>-9.3005989999999997E-2</v>
      </c>
      <c r="S5364">
        <v>3.2304379999999999</v>
      </c>
      <c r="T5364">
        <v>-1.156202</v>
      </c>
      <c r="U5364">
        <v>-0.36630249999999998</v>
      </c>
      <c r="V5364">
        <v>8.8989180000000001E-2</v>
      </c>
      <c r="W5364">
        <v>0.18628639999999999</v>
      </c>
      <c r="X5364">
        <v>0.97845709999999997</v>
      </c>
      <c r="Y5364">
        <v>0.1023573</v>
      </c>
      <c r="Z5364">
        <v>-1.7004289999999998E-2</v>
      </c>
      <c r="AA5364">
        <v>0.9946024</v>
      </c>
      <c r="AB5364">
        <v>29</v>
      </c>
      <c r="AC5364">
        <v>0.50740000000001795</v>
      </c>
      <c r="AD5364">
        <v>-0.234438599999999</v>
      </c>
      <c r="AE5364">
        <v>-7.3850000000000193E-2</v>
      </c>
      <c r="AF5364">
        <v>5.9376864172123602E-2</v>
      </c>
      <c r="AG5364">
        <v>-0.234438599999999</v>
      </c>
      <c r="AH5364">
        <v>0.419912272226038</v>
      </c>
      <c r="AI5364">
        <v>118.93401502274</v>
      </c>
      <c r="AJ5364">
        <v>81.951562916748799</v>
      </c>
      <c r="AK5364">
        <v>0.48457546939038199</v>
      </c>
      <c r="AL5364">
        <v>79.263858402767298</v>
      </c>
      <c r="AM5364">
        <v>84.803333118035894</v>
      </c>
      <c r="AN5364">
        <v>0.99999999676122098</v>
      </c>
    </row>
    <row r="5365" spans="1:40" x14ac:dyDescent="0.25">
      <c r="A5365" t="str">
        <f>"20190303162409267"</f>
        <v>20190303162409267</v>
      </c>
      <c r="B5365" t="str">
        <f>"1551601449260560"</f>
        <v>1551601449260560</v>
      </c>
      <c r="C5365" t="s">
        <v>40</v>
      </c>
      <c r="D5365">
        <v>5.6182059999999998</v>
      </c>
      <c r="E5365">
        <v>0.51342349999999903</v>
      </c>
      <c r="F5365" t="s">
        <v>42</v>
      </c>
      <c r="G5365">
        <v>-336.03379999999999</v>
      </c>
      <c r="H5365">
        <v>0.85176929999999995</v>
      </c>
      <c r="I5365">
        <v>17.590129999999998</v>
      </c>
      <c r="J5365">
        <v>-336.62180000000001</v>
      </c>
      <c r="K5365">
        <v>1.120924</v>
      </c>
      <c r="L5365">
        <v>17.67606</v>
      </c>
      <c r="M5365">
        <v>0.99991699999999994</v>
      </c>
      <c r="N5365">
        <v>-1.224571E-2</v>
      </c>
      <c r="O5365">
        <v>-3.989973E-3</v>
      </c>
      <c r="P5365">
        <v>0.98020949999999996</v>
      </c>
      <c r="Q5365">
        <v>0.1745206</v>
      </c>
      <c r="R5365">
        <v>-9.3446420000000002E-2</v>
      </c>
      <c r="S5365">
        <v>3.230591</v>
      </c>
      <c r="T5365">
        <v>-1.155656</v>
      </c>
      <c r="U5365">
        <v>-0.37072749999999999</v>
      </c>
      <c r="V5365">
        <v>8.9497930000000003E-2</v>
      </c>
      <c r="W5365">
        <v>0.1865329</v>
      </c>
      <c r="X5365">
        <v>0.97836380000000001</v>
      </c>
      <c r="Y5365">
        <v>0.1036842</v>
      </c>
      <c r="Z5365">
        <v>-1.7256919999999999E-2</v>
      </c>
      <c r="AA5365">
        <v>0.99446049999999997</v>
      </c>
      <c r="AB5365">
        <v>29</v>
      </c>
      <c r="AC5365">
        <v>0.58800000000002195</v>
      </c>
      <c r="AD5365">
        <v>-0.26915470000000002</v>
      </c>
      <c r="AE5365">
        <v>-8.5930000000001103E-2</v>
      </c>
      <c r="AF5365">
        <v>6.9354873488378599E-2</v>
      </c>
      <c r="AG5365">
        <v>-0.26915470000000002</v>
      </c>
      <c r="AH5365">
        <v>0.48818664322507399</v>
      </c>
      <c r="AI5365">
        <v>118.628127491209</v>
      </c>
      <c r="AJ5365">
        <v>81.914307884439097</v>
      </c>
      <c r="AK5365">
        <v>0.56176556465490501</v>
      </c>
      <c r="AL5365">
        <v>79.249483751149896</v>
      </c>
      <c r="AM5365">
        <v>84.773292263623304</v>
      </c>
      <c r="AN5365">
        <v>1.00000006370356</v>
      </c>
    </row>
    <row r="5366" spans="1:40" x14ac:dyDescent="0.25">
      <c r="A5366" t="str">
        <f>"20190303162409288"</f>
        <v>20190303162409288</v>
      </c>
      <c r="B5366" t="str">
        <f>"1551601449280080"</f>
        <v>1551601449280080</v>
      </c>
      <c r="C5366" t="s">
        <v>40</v>
      </c>
      <c r="D5366">
        <v>5.6013760000000001</v>
      </c>
      <c r="E5366">
        <v>0.51367379999999996</v>
      </c>
      <c r="F5366" t="s">
        <v>42</v>
      </c>
      <c r="G5366">
        <v>-335.78660000000002</v>
      </c>
      <c r="H5366">
        <v>0.82230340000000002</v>
      </c>
      <c r="I5366">
        <v>17.579429999999999</v>
      </c>
      <c r="J5366">
        <v>-336.33949999999999</v>
      </c>
      <c r="K5366">
        <v>1.1209209999999901</v>
      </c>
      <c r="L5366">
        <v>17.675049999999999</v>
      </c>
      <c r="M5366">
        <v>0.99991719999999895</v>
      </c>
      <c r="N5366">
        <v>-1.2266630000000001E-2</v>
      </c>
      <c r="O5366">
        <v>-3.87376E-3</v>
      </c>
      <c r="P5366">
        <v>0.97990029999999995</v>
      </c>
      <c r="Q5366">
        <v>0.17548749999999999</v>
      </c>
      <c r="R5366">
        <v>-9.4865149999999995E-2</v>
      </c>
      <c r="S5366">
        <v>3.2306520000000001</v>
      </c>
      <c r="T5366">
        <v>-1.155133</v>
      </c>
      <c r="U5366">
        <v>-0.37316890000000003</v>
      </c>
      <c r="V5366">
        <v>9.1031860000000006E-2</v>
      </c>
      <c r="W5366">
        <v>0.18751660000000001</v>
      </c>
      <c r="X5366">
        <v>0.97803410000000002</v>
      </c>
      <c r="Y5366">
        <v>0.1044875</v>
      </c>
      <c r="Z5366">
        <v>-1.7432889999999999E-2</v>
      </c>
      <c r="AA5366">
        <v>0.99437339999999996</v>
      </c>
      <c r="AB5366">
        <v>29</v>
      </c>
      <c r="AC5366">
        <v>0.55289999999996498</v>
      </c>
      <c r="AD5366">
        <v>-0.29861759999999898</v>
      </c>
      <c r="AE5366">
        <v>-9.5620000000000205E-2</v>
      </c>
      <c r="AF5366">
        <v>7.2845355536020895E-2</v>
      </c>
      <c r="AG5366">
        <v>-0.29861759999999898</v>
      </c>
      <c r="AH5366">
        <v>0.43115142534458301</v>
      </c>
      <c r="AI5366">
        <v>124.330189945432</v>
      </c>
      <c r="AJ5366">
        <v>80.410135536475806</v>
      </c>
      <c r="AK5366">
        <v>0.5295002062602</v>
      </c>
      <c r="AL5366">
        <v>79.192108707169396</v>
      </c>
      <c r="AM5366">
        <v>84.682437452810404</v>
      </c>
      <c r="AN5366">
        <v>0.99999998778671395</v>
      </c>
    </row>
    <row r="5367" spans="1:40" x14ac:dyDescent="0.25">
      <c r="A5367" t="str">
        <f>"20190303162409310"</f>
        <v>20190303162409310</v>
      </c>
      <c r="B5367" t="str">
        <f>"1551601449300576"</f>
        <v>1551601449300576</v>
      </c>
      <c r="C5367" t="s">
        <v>40</v>
      </c>
      <c r="D5367">
        <v>5.5818490000000001</v>
      </c>
      <c r="E5367">
        <v>0.51389470000000004</v>
      </c>
      <c r="F5367" t="s">
        <v>42</v>
      </c>
      <c r="G5367">
        <v>-335.5247</v>
      </c>
      <c r="H5367">
        <v>0.83014690000000002</v>
      </c>
      <c r="I5367">
        <v>17.579139999999999</v>
      </c>
      <c r="J5367">
        <v>-336.05950000000001</v>
      </c>
      <c r="K5367">
        <v>1.1209290000000001</v>
      </c>
      <c r="L5367">
        <v>17.674099999999999</v>
      </c>
      <c r="M5367">
        <v>0.99991759999999996</v>
      </c>
      <c r="N5367">
        <v>-1.2283580000000001E-2</v>
      </c>
      <c r="O5367">
        <v>-3.7582169999999999E-3</v>
      </c>
      <c r="P5367">
        <v>0.97961869999999995</v>
      </c>
      <c r="Q5367">
        <v>0.17629220000000001</v>
      </c>
      <c r="R5367">
        <v>-9.6273330000000004E-2</v>
      </c>
      <c r="S5367">
        <v>3.2313230000000002</v>
      </c>
      <c r="T5367">
        <v>-1.15303</v>
      </c>
      <c r="U5367">
        <v>-0.37902829999999998</v>
      </c>
      <c r="V5367">
        <v>9.2553800000000006E-2</v>
      </c>
      <c r="W5367">
        <v>0.1883348</v>
      </c>
      <c r="X5367">
        <v>0.97773399999999999</v>
      </c>
      <c r="Y5367">
        <v>0.1062647</v>
      </c>
      <c r="Z5367">
        <v>-1.775672E-2</v>
      </c>
      <c r="AA5367">
        <v>0.99417929999999999</v>
      </c>
      <c r="AB5367">
        <v>29</v>
      </c>
      <c r="AC5367">
        <v>0.53480000000001804</v>
      </c>
      <c r="AD5367">
        <v>-0.29078209999999899</v>
      </c>
      <c r="AE5367">
        <v>-9.4960000000000294E-2</v>
      </c>
      <c r="AF5367">
        <v>7.2244294334764397E-2</v>
      </c>
      <c r="AG5367">
        <v>-0.29078209999999899</v>
      </c>
      <c r="AH5367">
        <v>0.41594468305028898</v>
      </c>
      <c r="AI5367">
        <v>124.558151111832</v>
      </c>
      <c r="AJ5367">
        <v>80.146749919634004</v>
      </c>
      <c r="AK5367">
        <v>0.51262407971352897</v>
      </c>
      <c r="AL5367">
        <v>79.144378919062106</v>
      </c>
      <c r="AM5367">
        <v>84.592407349520101</v>
      </c>
      <c r="AN5367">
        <v>0.99999998877074003</v>
      </c>
    </row>
    <row r="5368" spans="1:40" x14ac:dyDescent="0.25">
      <c r="A5368" t="str">
        <f>"20190303162409323"</f>
        <v>20190303162409323</v>
      </c>
      <c r="B5368" t="str">
        <f>"1551601449320096"</f>
        <v>1551601449320096</v>
      </c>
      <c r="C5368" t="s">
        <v>40</v>
      </c>
      <c r="D5368">
        <v>5.5813119999999996</v>
      </c>
      <c r="E5368">
        <v>0.51399490000000003</v>
      </c>
      <c r="F5368" t="s">
        <v>42</v>
      </c>
      <c r="G5368">
        <v>-335.26299999999998</v>
      </c>
      <c r="H5368">
        <v>0.83729580000000003</v>
      </c>
      <c r="I5368">
        <v>17.579049999999999</v>
      </c>
      <c r="J5368">
        <v>-335.89429999999999</v>
      </c>
      <c r="K5368">
        <v>1.1209340000000001</v>
      </c>
      <c r="L5368">
        <v>17.673549999999999</v>
      </c>
      <c r="M5368">
        <v>0.99991779999999997</v>
      </c>
      <c r="N5368">
        <v>-1.2290789999999999E-2</v>
      </c>
      <c r="O5368">
        <v>-3.6879069999999998E-3</v>
      </c>
      <c r="P5368">
        <v>0.97939719999999997</v>
      </c>
      <c r="Q5368">
        <v>0.17682030000000001</v>
      </c>
      <c r="R5368">
        <v>-9.754939E-2</v>
      </c>
      <c r="S5368">
        <v>3.2316590000000001</v>
      </c>
      <c r="T5368">
        <v>-1.1507000000000001</v>
      </c>
      <c r="U5368">
        <v>-0.3848877</v>
      </c>
      <c r="V5368">
        <v>9.3898590000000004E-2</v>
      </c>
      <c r="W5368">
        <v>0.1888677</v>
      </c>
      <c r="X5368">
        <v>0.97750289999999995</v>
      </c>
      <c r="Y5368">
        <v>0.1080139</v>
      </c>
      <c r="Z5368">
        <v>-1.8057009999999998E-2</v>
      </c>
      <c r="AA5368">
        <v>0.99398540000000002</v>
      </c>
      <c r="AB5368">
        <v>29</v>
      </c>
      <c r="AC5368">
        <v>0.63129999999995301</v>
      </c>
      <c r="AD5368">
        <v>-0.28363820000000001</v>
      </c>
      <c r="AE5368">
        <v>-9.4500000000000001E-2</v>
      </c>
      <c r="AF5368">
        <v>7.6973418870775898E-2</v>
      </c>
      <c r="AG5368">
        <v>-0.28363820000000001</v>
      </c>
      <c r="AH5368">
        <v>0.527495779234045</v>
      </c>
      <c r="AI5368">
        <v>118.01619693814</v>
      </c>
      <c r="AJ5368">
        <v>81.697861540841501</v>
      </c>
      <c r="AK5368">
        <v>0.60384379836314295</v>
      </c>
      <c r="AL5368">
        <v>79.113287455555295</v>
      </c>
      <c r="AM5368">
        <v>84.513022885042105</v>
      </c>
      <c r="AN5368">
        <v>0.99999993640784202</v>
      </c>
    </row>
    <row r="5369" spans="1:40" x14ac:dyDescent="0.25">
      <c r="A5369" t="str">
        <f>"20190303162409345"</f>
        <v>20190303162409345</v>
      </c>
      <c r="B5369" t="str">
        <f>"1551601449340594"</f>
        <v>1551601449340594</v>
      </c>
      <c r="C5369" t="s">
        <v>40</v>
      </c>
      <c r="D5369">
        <v>5.5480970000000003</v>
      </c>
      <c r="E5369">
        <v>0.51405730000000005</v>
      </c>
      <c r="F5369" t="s">
        <v>42</v>
      </c>
      <c r="G5369">
        <v>-335.01580000000001</v>
      </c>
      <c r="H5369">
        <v>0.80804549999999997</v>
      </c>
      <c r="I5369">
        <v>17.567299999999999</v>
      </c>
      <c r="J5369">
        <v>-335.63139999999999</v>
      </c>
      <c r="K5369">
        <v>1.1209420000000001</v>
      </c>
      <c r="L5369">
        <v>17.672699999999999</v>
      </c>
      <c r="M5369">
        <v>0.99991810000000003</v>
      </c>
      <c r="N5369">
        <v>-1.2292020000000001E-2</v>
      </c>
      <c r="O5369">
        <v>-3.578131E-3</v>
      </c>
      <c r="P5369">
        <v>0.9788097</v>
      </c>
      <c r="Q5369">
        <v>0.17831649999999999</v>
      </c>
      <c r="R5369">
        <v>-0.1006732</v>
      </c>
      <c r="S5369">
        <v>3.2321469999999999</v>
      </c>
      <c r="T5369">
        <v>-1.151132</v>
      </c>
      <c r="U5369">
        <v>-0.3894958</v>
      </c>
      <c r="V5369">
        <v>9.7131800000000004E-2</v>
      </c>
      <c r="W5369">
        <v>0.19035840000000001</v>
      </c>
      <c r="X5369">
        <v>0.97689769999999998</v>
      </c>
      <c r="Y5369">
        <v>0.1094069</v>
      </c>
      <c r="Z5369">
        <v>-1.834469E-2</v>
      </c>
      <c r="AA5369">
        <v>0.99382780000000004</v>
      </c>
      <c r="AB5369">
        <v>29</v>
      </c>
      <c r="AC5369">
        <v>0.61559999999997195</v>
      </c>
      <c r="AD5369">
        <v>-0.31289650000000002</v>
      </c>
      <c r="AE5369">
        <v>-0.10539999999999899</v>
      </c>
      <c r="AF5369">
        <v>8.2491849479222695E-2</v>
      </c>
      <c r="AG5369">
        <v>-0.31289650000000002</v>
      </c>
      <c r="AH5369">
        <v>0.49238868873256297</v>
      </c>
      <c r="AI5369">
        <v>122.076683997027</v>
      </c>
      <c r="AJ5369">
        <v>80.489332830921398</v>
      </c>
      <c r="AK5369">
        <v>0.58919924111842303</v>
      </c>
      <c r="AL5369">
        <v>79.026299383293704</v>
      </c>
      <c r="AM5369">
        <v>84.321810035154002</v>
      </c>
      <c r="AN5369">
        <v>1.0000000116435399</v>
      </c>
    </row>
    <row r="5370" spans="1:40" x14ac:dyDescent="0.25">
      <c r="A5370" t="str">
        <f>"20190303162409360"</f>
        <v>20190303162409360</v>
      </c>
      <c r="B5370" t="str">
        <f>"1551601449350353"</f>
        <v>1551601449350353</v>
      </c>
      <c r="C5370" t="s">
        <v>40</v>
      </c>
      <c r="D5370">
        <v>5.5199579999999999</v>
      </c>
      <c r="E5370">
        <v>0.51409499999999997</v>
      </c>
      <c r="F5370" t="s">
        <v>42</v>
      </c>
      <c r="G5370">
        <v>-334.75630000000001</v>
      </c>
      <c r="H5370">
        <v>0.80986709999999995</v>
      </c>
      <c r="I5370">
        <v>17.56418</v>
      </c>
      <c r="J5370">
        <v>-335.41239999999999</v>
      </c>
      <c r="K5370">
        <v>1.1209420000000001</v>
      </c>
      <c r="L5370">
        <v>17.672029999999999</v>
      </c>
      <c r="M5370">
        <v>0.99991850000000004</v>
      </c>
      <c r="N5370">
        <v>-1.228829E-2</v>
      </c>
      <c r="O5370">
        <v>-3.4865880000000001E-3</v>
      </c>
      <c r="P5370">
        <v>0.97850749999999997</v>
      </c>
      <c r="Q5370">
        <v>0.17889140000000001</v>
      </c>
      <c r="R5370">
        <v>-0.10257139999999999</v>
      </c>
      <c r="S5370">
        <v>3.2331539999999999</v>
      </c>
      <c r="T5370">
        <v>-1.1492719999999901</v>
      </c>
      <c r="U5370">
        <v>-0.40032960000000001</v>
      </c>
      <c r="V5370">
        <v>9.9121600000000004E-2</v>
      </c>
      <c r="W5370">
        <v>0.1909257</v>
      </c>
      <c r="X5370">
        <v>0.97658710000000004</v>
      </c>
      <c r="Y5370">
        <v>0.11256620000000001</v>
      </c>
      <c r="Z5370">
        <v>-1.8902680000000002E-2</v>
      </c>
      <c r="AA5370">
        <v>0.99346440000000003</v>
      </c>
      <c r="AB5370">
        <v>29</v>
      </c>
      <c r="AC5370">
        <v>0.65609999999998003</v>
      </c>
      <c r="AD5370">
        <v>-0.31107489999999999</v>
      </c>
      <c r="AE5370">
        <v>-0.107849999999999</v>
      </c>
      <c r="AF5370">
        <v>8.6605264963379502E-2</v>
      </c>
      <c r="AG5370">
        <v>-0.31107489999999999</v>
      </c>
      <c r="AH5370">
        <v>0.53858529878680494</v>
      </c>
      <c r="AI5370">
        <v>119.69404970151599</v>
      </c>
      <c r="AJ5370">
        <v>80.864958506357397</v>
      </c>
      <c r="AK5370">
        <v>0.62796671042234298</v>
      </c>
      <c r="AL5370">
        <v>78.993188523122299</v>
      </c>
      <c r="AM5370">
        <v>84.204442418175105</v>
      </c>
      <c r="AN5370">
        <v>1.0000000391967201</v>
      </c>
    </row>
    <row r="5371" spans="1:40" x14ac:dyDescent="0.25">
      <c r="A5371" t="str">
        <f>"20190303162409377"</f>
        <v>20190303162409377</v>
      </c>
      <c r="B5371" t="str">
        <f>"1551601449370849"</f>
        <v>1551601449370849</v>
      </c>
      <c r="C5371" t="s">
        <v>40</v>
      </c>
      <c r="D5371">
        <v>5.5131459999999999</v>
      </c>
      <c r="E5371">
        <v>0.52810900000000005</v>
      </c>
      <c r="F5371" t="s">
        <v>42</v>
      </c>
      <c r="G5371">
        <v>-334.72879999999998</v>
      </c>
      <c r="H5371">
        <v>0.87890040000000003</v>
      </c>
      <c r="I5371">
        <v>17.585819999999998</v>
      </c>
      <c r="J5371">
        <v>-335.19380000000001</v>
      </c>
      <c r="K5371">
        <v>1.120941</v>
      </c>
      <c r="L5371">
        <v>17.67136</v>
      </c>
      <c r="M5371">
        <v>0.99991890000000005</v>
      </c>
      <c r="N5371">
        <v>-1.228013E-2</v>
      </c>
      <c r="O5371">
        <v>-3.395262E-3</v>
      </c>
      <c r="P5371">
        <v>0.97790370000000004</v>
      </c>
      <c r="Q5371">
        <v>0.18024599999999999</v>
      </c>
      <c r="R5371">
        <v>-0.1059051</v>
      </c>
      <c r="S5371">
        <v>3.2324519999999999</v>
      </c>
      <c r="T5371">
        <v>-1.144336</v>
      </c>
      <c r="U5371">
        <v>-0.40686040000000001</v>
      </c>
      <c r="V5371">
        <v>0.1025475</v>
      </c>
      <c r="W5371">
        <v>0.1922652</v>
      </c>
      <c r="X5371">
        <v>0.97597029999999996</v>
      </c>
      <c r="Y5371">
        <v>0.1145843</v>
      </c>
      <c r="Z5371">
        <v>-1.9218610000000001E-2</v>
      </c>
      <c r="AA5371">
        <v>0.99322759999999999</v>
      </c>
      <c r="AB5371">
        <v>29</v>
      </c>
      <c r="AC5371">
        <v>0.465000000000031</v>
      </c>
      <c r="AD5371">
        <v>-0.242040599999999</v>
      </c>
      <c r="AE5371">
        <v>-8.5539999999998104E-2</v>
      </c>
      <c r="AF5371">
        <v>6.6526102524647204E-2</v>
      </c>
      <c r="AG5371">
        <v>-0.242040599999999</v>
      </c>
      <c r="AH5371">
        <v>0.36867036802932401</v>
      </c>
      <c r="AI5371">
        <v>122.8660352581</v>
      </c>
      <c r="AJ5371">
        <v>79.771124339890605</v>
      </c>
      <c r="AK5371">
        <v>0.44601257227611502</v>
      </c>
      <c r="AL5371">
        <v>78.914991285785106</v>
      </c>
      <c r="AM5371">
        <v>84.001806526871903</v>
      </c>
      <c r="AN5371">
        <v>0.99999996168468896</v>
      </c>
    </row>
    <row r="5372" spans="1:40" x14ac:dyDescent="0.25">
      <c r="A5372" t="str">
        <f>"20190303162409399"</f>
        <v>20190303162409399</v>
      </c>
      <c r="B5372" t="str">
        <f>"1551601449390368"</f>
        <v>1551601449390368</v>
      </c>
      <c r="C5372" t="s">
        <v>40</v>
      </c>
      <c r="D5372">
        <v>5.515326</v>
      </c>
      <c r="E5372">
        <v>0.54370280000000004</v>
      </c>
      <c r="F5372" t="s">
        <v>42</v>
      </c>
      <c r="G5372">
        <v>-334.43740000000003</v>
      </c>
      <c r="H5372">
        <v>0.94872400000000001</v>
      </c>
      <c r="I5372">
        <v>17.54308</v>
      </c>
      <c r="J5372">
        <v>-334.90980000000002</v>
      </c>
      <c r="K5372">
        <v>1.1209389999999999</v>
      </c>
      <c r="L5372">
        <v>17.670500000000001</v>
      </c>
      <c r="M5372">
        <v>0.99991940000000001</v>
      </c>
      <c r="N5372">
        <v>-1.226533E-2</v>
      </c>
      <c r="O5372">
        <v>-3.2768369999999999E-3</v>
      </c>
      <c r="P5372">
        <v>0.97736339999999999</v>
      </c>
      <c r="Q5372">
        <v>0.18094669999999999</v>
      </c>
      <c r="R5372">
        <v>-0.1096326</v>
      </c>
      <c r="S5372">
        <v>3.1421199999999998</v>
      </c>
      <c r="T5372">
        <v>-0.71542620000000001</v>
      </c>
      <c r="U5372">
        <v>-0.53121949999999996</v>
      </c>
      <c r="V5372">
        <v>0.1063936</v>
      </c>
      <c r="W5372">
        <v>0.19294500000000001</v>
      </c>
      <c r="X5372">
        <v>0.97542430000000002</v>
      </c>
      <c r="Y5372">
        <v>0.15934960000000001</v>
      </c>
      <c r="Z5372">
        <v>-1.8094969999999998E-2</v>
      </c>
      <c r="AA5372">
        <v>0.98705639999999994</v>
      </c>
      <c r="AB5372">
        <v>29</v>
      </c>
      <c r="AC5372">
        <v>0.47239999999999299</v>
      </c>
      <c r="AD5372">
        <v>-0.17221499999999901</v>
      </c>
      <c r="AE5372">
        <v>-0.12742000000000001</v>
      </c>
      <c r="AF5372">
        <v>0.111996434473389</v>
      </c>
      <c r="AG5372">
        <v>-0.17221499999999901</v>
      </c>
      <c r="AH5372">
        <v>0.42069661998753299</v>
      </c>
      <c r="AI5372">
        <v>111.582715000365</v>
      </c>
      <c r="AJ5372">
        <v>75.092659087263002</v>
      </c>
      <c r="AK5372">
        <v>0.46817395658952099</v>
      </c>
      <c r="AL5372">
        <v>78.875298489226296</v>
      </c>
      <c r="AM5372">
        <v>83.775118500127604</v>
      </c>
      <c r="AN5372">
        <v>0.999999968088224</v>
      </c>
    </row>
    <row r="5373" spans="1:40" x14ac:dyDescent="0.25">
      <c r="A5373" t="str">
        <f>"20190303162409412"</f>
        <v>20190303162409412</v>
      </c>
      <c r="B5373" t="str">
        <f>"1551601449400129"</f>
        <v>1551601449400129</v>
      </c>
      <c r="C5373" t="s">
        <v>40</v>
      </c>
      <c r="D5373">
        <v>5.504791</v>
      </c>
      <c r="E5373">
        <v>0.54452409999999996</v>
      </c>
      <c r="F5373" t="s">
        <v>41</v>
      </c>
      <c r="G5373">
        <v>-321.94740000000002</v>
      </c>
      <c r="H5373" s="1">
        <v>-4.637737E-6</v>
      </c>
      <c r="I5373">
        <v>14.820180000000001</v>
      </c>
      <c r="J5373">
        <v>-334.7405</v>
      </c>
      <c r="K5373">
        <v>1.1209370000000001</v>
      </c>
      <c r="L5373">
        <v>17.669979999999999</v>
      </c>
      <c r="M5373">
        <v>0.99991989999999997</v>
      </c>
      <c r="N5373">
        <v>-1.225539E-2</v>
      </c>
      <c r="O5373">
        <v>-3.2071690000000002E-3</v>
      </c>
      <c r="P5373">
        <v>0.97706870000000001</v>
      </c>
      <c r="Q5373">
        <v>0.1812318</v>
      </c>
      <c r="R5373">
        <v>-0.1117686</v>
      </c>
      <c r="S5373">
        <v>3.0431210000000002</v>
      </c>
      <c r="T5373">
        <v>-0.26315959999999899</v>
      </c>
      <c r="U5373">
        <v>-0.6691589</v>
      </c>
      <c r="V5373">
        <v>0.1085989</v>
      </c>
      <c r="W5373">
        <v>0.1932169</v>
      </c>
      <c r="X5373">
        <v>0.97512750000000004</v>
      </c>
      <c r="Y5373">
        <v>0.21077509999999999</v>
      </c>
      <c r="Z5373">
        <v>-1.006454E-2</v>
      </c>
      <c r="AA5373">
        <v>0.97748279999999999</v>
      </c>
      <c r="AB5373">
        <v>29</v>
      </c>
      <c r="AC5373">
        <v>12.7930999999999</v>
      </c>
      <c r="AD5373">
        <v>-1.1209416377370001</v>
      </c>
      <c r="AE5373">
        <v>-2.8498000000000001</v>
      </c>
      <c r="AF5373">
        <v>2.78835734676999</v>
      </c>
      <c r="AG5373">
        <v>-1.1209416377370001</v>
      </c>
      <c r="AH5373">
        <v>12.709213831164799</v>
      </c>
      <c r="AI5373">
        <v>94.923879185346806</v>
      </c>
      <c r="AJ5373">
        <v>77.625565982934404</v>
      </c>
      <c r="AK5373">
        <v>13.0596923032194</v>
      </c>
      <c r="AL5373">
        <v>78.859422105905395</v>
      </c>
      <c r="AM5373">
        <v>83.645217243600001</v>
      </c>
      <c r="AN5373">
        <v>1.0000000663915301</v>
      </c>
    </row>
    <row r="5374" spans="1:40" x14ac:dyDescent="0.25">
      <c r="A5374" t="str">
        <f>"20190303162409425"</f>
        <v>20190303162409425</v>
      </c>
      <c r="B5374" t="str">
        <f>"1551601449420624"</f>
        <v>1551601449420624</v>
      </c>
      <c r="C5374" t="s">
        <v>40</v>
      </c>
      <c r="D5374">
        <v>5.4779410000000004</v>
      </c>
      <c r="E5374">
        <v>0.54442040000000003</v>
      </c>
      <c r="F5374" t="s">
        <v>41</v>
      </c>
      <c r="G5374">
        <v>-319.99209999999999</v>
      </c>
      <c r="H5374" s="1">
        <v>-5.6444919999999997E-6</v>
      </c>
      <c r="I5374">
        <v>14.35525</v>
      </c>
      <c r="J5374">
        <v>-334.56389999999999</v>
      </c>
      <c r="K5374">
        <v>1.1209370000000001</v>
      </c>
      <c r="L5374">
        <v>17.66949</v>
      </c>
      <c r="M5374">
        <v>0.99992009999999998</v>
      </c>
      <c r="N5374">
        <v>-1.224485E-2</v>
      </c>
      <c r="O5374">
        <v>-3.1351059999999999E-3</v>
      </c>
      <c r="P5374">
        <v>0.97678089999999995</v>
      </c>
      <c r="Q5374">
        <v>0.18123020000000001</v>
      </c>
      <c r="R5374">
        <v>-0.1142586</v>
      </c>
      <c r="S5374">
        <v>3.0351560000000002</v>
      </c>
      <c r="T5374">
        <v>-0.23068569999999999</v>
      </c>
      <c r="U5374">
        <v>-0.68215939999999997</v>
      </c>
      <c r="V5374">
        <v>0.1111602</v>
      </c>
      <c r="W5374">
        <v>0.19320190000000001</v>
      </c>
      <c r="X5374">
        <v>0.97484179999999998</v>
      </c>
      <c r="Y5374">
        <v>0.21553729999999999</v>
      </c>
      <c r="Z5374">
        <v>-9.2196870000000007E-3</v>
      </c>
      <c r="AA5374">
        <v>0.97645210000000005</v>
      </c>
      <c r="AB5374">
        <v>29</v>
      </c>
      <c r="AC5374">
        <v>14.5717999999999</v>
      </c>
      <c r="AD5374">
        <v>-1.1209426444920001</v>
      </c>
      <c r="AE5374">
        <v>-3.3142399999999999</v>
      </c>
      <c r="AF5374">
        <v>3.2502487128586002</v>
      </c>
      <c r="AG5374">
        <v>-1.1209426444920001</v>
      </c>
      <c r="AH5374">
        <v>14.500532807261999</v>
      </c>
      <c r="AI5374">
        <v>94.313757519202696</v>
      </c>
      <c r="AJ5374">
        <v>77.366151638536195</v>
      </c>
      <c r="AK5374">
        <v>14.902552828363399</v>
      </c>
      <c r="AL5374">
        <v>78.860297858291602</v>
      </c>
      <c r="AM5374">
        <v>83.494719743818393</v>
      </c>
      <c r="AN5374">
        <v>1.0000000496274399</v>
      </c>
    </row>
    <row r="5375" spans="1:40" x14ac:dyDescent="0.25">
      <c r="A5375" t="str">
        <f>"20190303162409443"</f>
        <v>20190303162409443</v>
      </c>
      <c r="B5375" t="str">
        <f>"1551601449430384"</f>
        <v>1551601449430384</v>
      </c>
      <c r="C5375" t="s">
        <v>40</v>
      </c>
      <c r="D5375">
        <v>5.5289210000000004</v>
      </c>
      <c r="E5375">
        <v>0.54361309999999996</v>
      </c>
      <c r="F5375" t="s">
        <v>43</v>
      </c>
      <c r="G5375">
        <v>-318.3245</v>
      </c>
      <c r="H5375">
        <v>-0.05</v>
      </c>
      <c r="I5375">
        <v>13.978999999999999</v>
      </c>
      <c r="J5375">
        <v>-334.3426</v>
      </c>
      <c r="K5375">
        <v>1.1209279999999999</v>
      </c>
      <c r="L5375">
        <v>17.668849999999999</v>
      </c>
      <c r="M5375">
        <v>0.9999207</v>
      </c>
      <c r="N5375">
        <v>-1.2231809999999999E-2</v>
      </c>
      <c r="O5375">
        <v>-3.0456110000000002E-3</v>
      </c>
      <c r="P5375">
        <v>0.97610070000000004</v>
      </c>
      <c r="Q5375">
        <v>0.18195600000000001</v>
      </c>
      <c r="R5375">
        <v>-0.11882819999999999</v>
      </c>
      <c r="S5375">
        <v>3.0312809999999999</v>
      </c>
      <c r="T5375">
        <v>-0.21856880000000001</v>
      </c>
      <c r="U5375">
        <v>-0.68887330000000002</v>
      </c>
      <c r="V5375">
        <v>0.1158185</v>
      </c>
      <c r="W5375">
        <v>0.19390740000000001</v>
      </c>
      <c r="X5375">
        <v>0.97415909999999994</v>
      </c>
      <c r="Y5375">
        <v>0.21800520000000001</v>
      </c>
      <c r="Z5375">
        <v>-8.9232210000000003E-3</v>
      </c>
      <c r="AA5375">
        <v>0.97590679999999996</v>
      </c>
      <c r="AB5375">
        <v>29</v>
      </c>
      <c r="AC5375">
        <v>16.0181</v>
      </c>
      <c r="AD5375">
        <v>-1.170928</v>
      </c>
      <c r="AE5375">
        <v>-3.6898499999999901</v>
      </c>
      <c r="AF5375">
        <v>3.62266154254293</v>
      </c>
      <c r="AG5375">
        <v>-1.170928</v>
      </c>
      <c r="AH5375">
        <v>15.9483363069423</v>
      </c>
      <c r="AI5375">
        <v>94.095173797218493</v>
      </c>
      <c r="AJ5375">
        <v>77.202430914049103</v>
      </c>
      <c r="AK5375">
        <v>16.396468521981699</v>
      </c>
      <c r="AL5375">
        <v>78.819095742920595</v>
      </c>
      <c r="AM5375">
        <v>83.219888272109401</v>
      </c>
      <c r="AN5375">
        <v>0.99999997841490895</v>
      </c>
    </row>
    <row r="5376" spans="1:40" x14ac:dyDescent="0.25">
      <c r="A5376" t="str">
        <f>"20190303162409455"</f>
        <v>20190303162409455</v>
      </c>
      <c r="B5376" t="str">
        <f>"1551601449449904"</f>
        <v>1551601449449904</v>
      </c>
      <c r="C5376" t="s">
        <v>40</v>
      </c>
      <c r="D5376">
        <v>5.5251080000000004</v>
      </c>
      <c r="E5376">
        <v>0.54354399999999903</v>
      </c>
      <c r="F5376" t="s">
        <v>43</v>
      </c>
      <c r="G5376">
        <v>-318.3329</v>
      </c>
      <c r="H5376">
        <v>-0.05</v>
      </c>
      <c r="I5376">
        <v>13.989380000000001</v>
      </c>
      <c r="J5376">
        <v>-334.17739999999998</v>
      </c>
      <c r="K5376">
        <v>1.12093</v>
      </c>
      <c r="L5376">
        <v>17.668429999999901</v>
      </c>
      <c r="M5376">
        <v>0.99992099999999995</v>
      </c>
      <c r="N5376">
        <v>-1.222239E-2</v>
      </c>
      <c r="O5376">
        <v>-2.979621E-3</v>
      </c>
      <c r="P5376">
        <v>0.97580299999999998</v>
      </c>
      <c r="Q5376">
        <v>0.18203749999999999</v>
      </c>
      <c r="R5376">
        <v>-0.121124499999999</v>
      </c>
      <c r="S5376">
        <v>3.0299990000000001</v>
      </c>
      <c r="T5376">
        <v>-0.2216108</v>
      </c>
      <c r="U5376">
        <v>-0.69638059999999902</v>
      </c>
      <c r="V5376">
        <v>0.1181801</v>
      </c>
      <c r="W5376">
        <v>0.19397700000000001</v>
      </c>
      <c r="X5376">
        <v>0.97386159999999999</v>
      </c>
      <c r="Y5376">
        <v>0.2204324</v>
      </c>
      <c r="Z5376">
        <v>-9.134741E-3</v>
      </c>
      <c r="AA5376">
        <v>0.97535950000000005</v>
      </c>
      <c r="AB5376">
        <v>29</v>
      </c>
      <c r="AC5376">
        <v>15.844499999999901</v>
      </c>
      <c r="AD5376">
        <v>-1.17093</v>
      </c>
      <c r="AE5376">
        <v>-3.6790499999999899</v>
      </c>
      <c r="AF5376">
        <v>3.6130964081367001</v>
      </c>
      <c r="AG5376">
        <v>-1.17093</v>
      </c>
      <c r="AH5376">
        <v>15.7736532827599</v>
      </c>
      <c r="AI5376">
        <v>94.138667817548694</v>
      </c>
      <c r="AJ5376">
        <v>77.098455401573105</v>
      </c>
      <c r="AK5376">
        <v>16.224477822232501</v>
      </c>
      <c r="AL5376">
        <v>78.815031180950797</v>
      </c>
      <c r="AM5376">
        <v>83.080871863532096</v>
      </c>
      <c r="AN5376">
        <v>1.00000001425978</v>
      </c>
    </row>
    <row r="5377" spans="1:40" x14ac:dyDescent="0.25">
      <c r="A5377" t="str">
        <f>"20190303162409466"</f>
        <v>20190303162409466</v>
      </c>
      <c r="B5377" t="str">
        <f>"1551601449460640"</f>
        <v>1551601449460640</v>
      </c>
      <c r="C5377" t="s">
        <v>40</v>
      </c>
      <c r="D5377">
        <v>5.5227649999999997</v>
      </c>
      <c r="E5377">
        <v>0.54333240000000005</v>
      </c>
      <c r="F5377" t="s">
        <v>43</v>
      </c>
      <c r="G5377">
        <v>-318.90120000000002</v>
      </c>
      <c r="H5377">
        <v>-0.05</v>
      </c>
      <c r="I5377">
        <v>14.1252</v>
      </c>
      <c r="J5377">
        <v>-334.0421</v>
      </c>
      <c r="K5377">
        <v>1.1209290000000001</v>
      </c>
      <c r="L5377">
        <v>17.668060000000001</v>
      </c>
      <c r="M5377">
        <v>0.99992110000000001</v>
      </c>
      <c r="N5377">
        <v>-1.221477E-2</v>
      </c>
      <c r="O5377">
        <v>-2.925328E-3</v>
      </c>
      <c r="P5377">
        <v>0.97546829999999995</v>
      </c>
      <c r="Q5377">
        <v>0.1824334</v>
      </c>
      <c r="R5377">
        <v>-0.1232065</v>
      </c>
      <c r="S5377">
        <v>3.0305179999999998</v>
      </c>
      <c r="T5377">
        <v>-0.23229050000000001</v>
      </c>
      <c r="U5377">
        <v>-0.70291139999999996</v>
      </c>
      <c r="V5377">
        <v>0.12031559999999999</v>
      </c>
      <c r="W5377">
        <v>0.19436200000000001</v>
      </c>
      <c r="X5377">
        <v>0.97352329999999998</v>
      </c>
      <c r="Y5377">
        <v>0.22237899999999999</v>
      </c>
      <c r="Z5377">
        <v>-9.5917079999999991E-3</v>
      </c>
      <c r="AA5377">
        <v>0.97491309999999998</v>
      </c>
      <c r="AB5377">
        <v>29</v>
      </c>
      <c r="AC5377">
        <v>15.140899999999901</v>
      </c>
      <c r="AD5377">
        <v>-1.1709290000000001</v>
      </c>
      <c r="AE5377">
        <v>-3.5428600000000001</v>
      </c>
      <c r="AF5377">
        <v>3.4788234118049499</v>
      </c>
      <c r="AG5377">
        <v>-1.1709290000000001</v>
      </c>
      <c r="AH5377">
        <v>15.065772339816199</v>
      </c>
      <c r="AI5377">
        <v>94.330656065224801</v>
      </c>
      <c r="AJ5377">
        <v>76.997776600147802</v>
      </c>
      <c r="AK5377">
        <v>15.506475526332</v>
      </c>
      <c r="AL5377">
        <v>78.792544437115694</v>
      </c>
      <c r="AM5377">
        <v>82.954665899987603</v>
      </c>
      <c r="AN5377">
        <v>1.00000002314512</v>
      </c>
    </row>
    <row r="5378" spans="1:40" x14ac:dyDescent="0.25">
      <c r="A5378" t="str">
        <f>"20190303162409481"</f>
        <v>20190303162409481</v>
      </c>
      <c r="B5378" t="str">
        <f>"1551601449470400"</f>
        <v>1551601449470400</v>
      </c>
      <c r="C5378" t="s">
        <v>40</v>
      </c>
      <c r="D5378">
        <v>5.5286239999999998</v>
      </c>
      <c r="E5378">
        <v>0.54283319999999902</v>
      </c>
      <c r="F5378" t="s">
        <v>43</v>
      </c>
      <c r="G5378">
        <v>-318.84300000000002</v>
      </c>
      <c r="H5378">
        <v>-0.05</v>
      </c>
      <c r="I5378">
        <v>14.11781</v>
      </c>
      <c r="J5378">
        <v>-333.8408</v>
      </c>
      <c r="K5378">
        <v>1.12093</v>
      </c>
      <c r="L5378">
        <v>17.667570000000001</v>
      </c>
      <c r="M5378">
        <v>0.99992139999999996</v>
      </c>
      <c r="N5378">
        <v>-1.2203810000000001E-2</v>
      </c>
      <c r="O5378">
        <v>-2.8445480000000001E-3</v>
      </c>
      <c r="P5378">
        <v>0.97519719999999999</v>
      </c>
      <c r="Q5378">
        <v>0.18264150000000001</v>
      </c>
      <c r="R5378">
        <v>-0.12503010000000001</v>
      </c>
      <c r="S5378">
        <v>3.0297550000000002</v>
      </c>
      <c r="T5378">
        <v>-0.2334117</v>
      </c>
      <c r="U5378">
        <v>-0.70770259999999996</v>
      </c>
      <c r="V5378">
        <v>0.1222183</v>
      </c>
      <c r="W5378">
        <v>0.1945566</v>
      </c>
      <c r="X5378">
        <v>0.97324730000000004</v>
      </c>
      <c r="Y5378">
        <v>0.2239622</v>
      </c>
      <c r="Z5378">
        <v>-9.7056750000000004E-3</v>
      </c>
      <c r="AA5378">
        <v>0.97454949999999996</v>
      </c>
      <c r="AB5378">
        <v>29</v>
      </c>
      <c r="AC5378">
        <v>14.9977999999999</v>
      </c>
      <c r="AD5378">
        <v>-1.17093</v>
      </c>
      <c r="AE5378">
        <v>-3.54976</v>
      </c>
      <c r="AF5378">
        <v>3.4869534139918299</v>
      </c>
      <c r="AG5378">
        <v>-1.17093</v>
      </c>
      <c r="AH5378">
        <v>14.921707786566399</v>
      </c>
      <c r="AI5378">
        <v>94.369647353058397</v>
      </c>
      <c r="AJ5378">
        <v>76.846964716950197</v>
      </c>
      <c r="AK5378">
        <v>15.3683858763348</v>
      </c>
      <c r="AL5378">
        <v>78.781176808513607</v>
      </c>
      <c r="AM5378">
        <v>82.842387166264203</v>
      </c>
      <c r="AN5378">
        <v>0.99999994520786795</v>
      </c>
    </row>
    <row r="5379" spans="1:40" x14ac:dyDescent="0.25">
      <c r="A5379" t="str">
        <f>"20190303162409500"</f>
        <v>20190303162409500</v>
      </c>
      <c r="B5379" t="str">
        <f>"1551601449489920"</f>
        <v>1551601449489920</v>
      </c>
      <c r="C5379" t="s">
        <v>40</v>
      </c>
      <c r="D5379">
        <v>5.5396809999999999</v>
      </c>
      <c r="E5379">
        <v>0.5419446</v>
      </c>
      <c r="F5379" t="s">
        <v>43</v>
      </c>
      <c r="G5379">
        <v>-318.8519</v>
      </c>
      <c r="H5379">
        <v>-0.05</v>
      </c>
      <c r="I5379">
        <v>14.15936</v>
      </c>
      <c r="J5379">
        <v>-333.59890000000001</v>
      </c>
      <c r="K5379">
        <v>1.12093</v>
      </c>
      <c r="L5379">
        <v>17.66696</v>
      </c>
      <c r="M5379">
        <v>0.99992199999999998</v>
      </c>
      <c r="N5379">
        <v>-1.219142E-2</v>
      </c>
      <c r="O5379">
        <v>-2.746957E-3</v>
      </c>
      <c r="P5379">
        <v>0.97458809999999996</v>
      </c>
      <c r="Q5379">
        <v>0.18336930000000001</v>
      </c>
      <c r="R5379">
        <v>-0.128662</v>
      </c>
      <c r="S5379">
        <v>3.0296940000000001</v>
      </c>
      <c r="T5379">
        <v>-0.236678</v>
      </c>
      <c r="U5379">
        <v>-0.70910640000000003</v>
      </c>
      <c r="V5379">
        <v>0.1259468</v>
      </c>
      <c r="W5379">
        <v>0.1952661</v>
      </c>
      <c r="X5379">
        <v>0.97262969999999904</v>
      </c>
      <c r="Y5379">
        <v>0.2244691</v>
      </c>
      <c r="Z5379">
        <v>-9.8486589999999992E-3</v>
      </c>
      <c r="AA5379">
        <v>0.97443150000000001</v>
      </c>
      <c r="AB5379">
        <v>29</v>
      </c>
      <c r="AC5379">
        <v>14.747</v>
      </c>
      <c r="AD5379">
        <v>-1.17093</v>
      </c>
      <c r="AE5379">
        <v>-3.5075999999999898</v>
      </c>
      <c r="AF5379">
        <v>3.4465091206120202</v>
      </c>
      <c r="AG5379">
        <v>-1.17093</v>
      </c>
      <c r="AH5379">
        <v>14.6690503193163</v>
      </c>
      <c r="AI5379">
        <v>94.443364010054196</v>
      </c>
      <c r="AJ5379">
        <v>76.778105406263407</v>
      </c>
      <c r="AK5379">
        <v>15.113918732545701</v>
      </c>
      <c r="AL5379">
        <v>78.739731054570896</v>
      </c>
      <c r="AM5379">
        <v>82.6217681785689</v>
      </c>
      <c r="AN5379">
        <v>0.99999998978076898</v>
      </c>
    </row>
    <row r="5380" spans="1:40" x14ac:dyDescent="0.25">
      <c r="A5380" t="str">
        <f>"20190303162409521"</f>
        <v>20190303162409521</v>
      </c>
      <c r="B5380" t="str">
        <f>"1551601449510416"</f>
        <v>1551601449510416</v>
      </c>
      <c r="C5380" t="s">
        <v>40</v>
      </c>
      <c r="D5380">
        <v>5.5494700000000003</v>
      </c>
      <c r="E5380">
        <v>0.54140279999999996</v>
      </c>
      <c r="F5380" t="s">
        <v>43</v>
      </c>
      <c r="G5380">
        <v>-319.00209999999998</v>
      </c>
      <c r="H5380">
        <v>-0.05</v>
      </c>
      <c r="I5380">
        <v>14.232670000000001</v>
      </c>
      <c r="J5380">
        <v>-333.3306</v>
      </c>
      <c r="K5380">
        <v>1.1209279999999999</v>
      </c>
      <c r="L5380">
        <v>17.666350000000001</v>
      </c>
      <c r="M5380">
        <v>0.99992239999999999</v>
      </c>
      <c r="N5380">
        <v>-1.2178700000000001E-2</v>
      </c>
      <c r="O5380">
        <v>-2.637211E-3</v>
      </c>
      <c r="P5380">
        <v>0.97420850000000003</v>
      </c>
      <c r="Q5380">
        <v>0.1835377</v>
      </c>
      <c r="R5380">
        <v>-0.13127069999999999</v>
      </c>
      <c r="S5380">
        <v>3.029846</v>
      </c>
      <c r="T5380">
        <v>-0.2430496</v>
      </c>
      <c r="U5380">
        <v>-0.7128601</v>
      </c>
      <c r="V5380">
        <v>0.12866320000000001</v>
      </c>
      <c r="W5380">
        <v>0.1954176</v>
      </c>
      <c r="X5380">
        <v>0.97224370000000004</v>
      </c>
      <c r="Y5380">
        <v>0.22566729999999999</v>
      </c>
      <c r="Z5380">
        <v>-1.013411E-2</v>
      </c>
      <c r="AA5380">
        <v>0.97415169999999995</v>
      </c>
      <c r="AB5380">
        <v>29</v>
      </c>
      <c r="AC5380">
        <v>14.3285</v>
      </c>
      <c r="AD5380">
        <v>-1.170928</v>
      </c>
      <c r="AE5380">
        <v>-3.4336799999999998</v>
      </c>
      <c r="AF5380">
        <v>3.3745658747280598</v>
      </c>
      <c r="AG5380">
        <v>-1.170928</v>
      </c>
      <c r="AH5380">
        <v>14.2475257859052</v>
      </c>
      <c r="AI5380">
        <v>94.572331567591206</v>
      </c>
      <c r="AJ5380">
        <v>76.674890429708697</v>
      </c>
      <c r="AK5380">
        <v>14.6884566324749</v>
      </c>
      <c r="AL5380">
        <v>78.730880748779995</v>
      </c>
      <c r="AM5380">
        <v>82.461488091965094</v>
      </c>
      <c r="AN5380">
        <v>1.0000000348068401</v>
      </c>
    </row>
    <row r="5381" spans="1:40" x14ac:dyDescent="0.25">
      <c r="A5381" t="str">
        <f>"20190303162409532"</f>
        <v>20190303162409532</v>
      </c>
      <c r="B5381" t="str">
        <f>"1551601449520177"</f>
        <v>1551601449520177</v>
      </c>
      <c r="C5381" t="s">
        <v>40</v>
      </c>
      <c r="D5381">
        <v>5.5455059999999996</v>
      </c>
      <c r="E5381">
        <v>0.54102249999999996</v>
      </c>
      <c r="F5381" t="s">
        <v>43</v>
      </c>
      <c r="G5381">
        <v>-319.17110000000002</v>
      </c>
      <c r="H5381">
        <v>-0.05</v>
      </c>
      <c r="I5381">
        <v>14.321730000000001</v>
      </c>
      <c r="J5381">
        <v>-333.1866</v>
      </c>
      <c r="K5381">
        <v>1.1209260000000001</v>
      </c>
      <c r="L5381">
        <v>17.66602</v>
      </c>
      <c r="M5381">
        <v>0.99992270000000005</v>
      </c>
      <c r="N5381">
        <v>-1.217245E-2</v>
      </c>
      <c r="O5381">
        <v>-2.5782869999999999E-3</v>
      </c>
      <c r="P5381">
        <v>0.97409109999999999</v>
      </c>
      <c r="Q5381">
        <v>0.18343409999999999</v>
      </c>
      <c r="R5381">
        <v>-0.13228319999999999</v>
      </c>
      <c r="S5381">
        <v>3.0301819999999999</v>
      </c>
      <c r="T5381">
        <v>-0.25058219999999998</v>
      </c>
      <c r="U5381">
        <v>-0.71575929999999999</v>
      </c>
      <c r="V5381">
        <v>0.1297335</v>
      </c>
      <c r="W5381">
        <v>0.1953068</v>
      </c>
      <c r="X5381">
        <v>0.97212370000000004</v>
      </c>
      <c r="Y5381">
        <v>0.2265345</v>
      </c>
      <c r="Z5381">
        <v>-1.044548E-2</v>
      </c>
      <c r="AA5381">
        <v>0.97394709999999995</v>
      </c>
      <c r="AB5381">
        <v>29</v>
      </c>
      <c r="AC5381">
        <v>14.0154999999999</v>
      </c>
      <c r="AD5381">
        <v>-1.1709259999999999</v>
      </c>
      <c r="AE5381">
        <v>-3.34429</v>
      </c>
      <c r="AF5381">
        <v>3.28643730784197</v>
      </c>
      <c r="AG5381">
        <v>-1.1709259999999999</v>
      </c>
      <c r="AH5381">
        <v>13.9320721995259</v>
      </c>
      <c r="AI5381">
        <v>94.676400871306996</v>
      </c>
      <c r="AJ5381">
        <v>76.727130769709603</v>
      </c>
      <c r="AK5381">
        <v>14.3622551728012</v>
      </c>
      <c r="AL5381">
        <v>78.737353539924996</v>
      </c>
      <c r="AM5381">
        <v>82.398580966897896</v>
      </c>
      <c r="AN5381">
        <v>1.0000000076250899</v>
      </c>
    </row>
    <row r="5382" spans="1:40" x14ac:dyDescent="0.25">
      <c r="A5382" t="str">
        <f>"20190303162409544"</f>
        <v>20190303162409544</v>
      </c>
      <c r="B5382" t="str">
        <f>"1551601449529936"</f>
        <v>1551601449529936</v>
      </c>
      <c r="C5382" t="s">
        <v>40</v>
      </c>
      <c r="D5382">
        <v>5.5433979999999998</v>
      </c>
      <c r="E5382">
        <v>0.54073289999999996</v>
      </c>
      <c r="F5382" t="s">
        <v>43</v>
      </c>
      <c r="G5382">
        <v>-319.27480000000003</v>
      </c>
      <c r="H5382">
        <v>-0.05</v>
      </c>
      <c r="I5382">
        <v>14.38335</v>
      </c>
      <c r="J5382">
        <v>-333.03120000000001</v>
      </c>
      <c r="K5382">
        <v>1.1209309999999999</v>
      </c>
      <c r="L5382">
        <v>17.665649999999999</v>
      </c>
      <c r="M5382">
        <v>0.99992289999999995</v>
      </c>
      <c r="N5382">
        <v>-1.216588E-2</v>
      </c>
      <c r="O5382">
        <v>-2.5144730000000001E-3</v>
      </c>
      <c r="P5382">
        <v>0.97402200000000005</v>
      </c>
      <c r="Q5382">
        <v>0.18326529999999999</v>
      </c>
      <c r="R5382">
        <v>-0.133023</v>
      </c>
      <c r="S5382">
        <v>3.0307620000000002</v>
      </c>
      <c r="T5382">
        <v>-0.25509290000000001</v>
      </c>
      <c r="U5382">
        <v>-0.71514889999999998</v>
      </c>
      <c r="V5382">
        <v>0.1305356</v>
      </c>
      <c r="W5382">
        <v>0.19513050000000001</v>
      </c>
      <c r="X5382">
        <v>0.97205169999999996</v>
      </c>
      <c r="Y5382">
        <v>0.22634170000000001</v>
      </c>
      <c r="Z5382">
        <v>-1.060032E-2</v>
      </c>
      <c r="AA5382">
        <v>0.97399029999999998</v>
      </c>
      <c r="AB5382">
        <v>29</v>
      </c>
      <c r="AC5382">
        <v>13.7563999999999</v>
      </c>
      <c r="AD5382">
        <v>-1.1709309999999999</v>
      </c>
      <c r="AE5382">
        <v>-3.2823000000000002</v>
      </c>
      <c r="AF5382">
        <v>3.2255856283686</v>
      </c>
      <c r="AG5382">
        <v>-1.1709309999999999</v>
      </c>
      <c r="AH5382">
        <v>13.670896585547499</v>
      </c>
      <c r="AI5382">
        <v>94.765295112248893</v>
      </c>
      <c r="AJ5382">
        <v>76.724125192496302</v>
      </c>
      <c r="AK5382">
        <v>14.094995406364401</v>
      </c>
      <c r="AL5382">
        <v>78.747652647644202</v>
      </c>
      <c r="AM5382">
        <v>82.351578663758602</v>
      </c>
      <c r="AN5382">
        <v>0.99999998118524902</v>
      </c>
    </row>
    <row r="5383" spans="1:40" x14ac:dyDescent="0.25">
      <c r="A5383" t="str">
        <f>"20190303162409557"</f>
        <v>20190303162409557</v>
      </c>
      <c r="B5383" t="str">
        <f>"1551601449550432"</f>
        <v>1551601449550432</v>
      </c>
      <c r="C5383" t="s">
        <v>40</v>
      </c>
      <c r="D5383">
        <v>5.5098250000000002</v>
      </c>
      <c r="E5383">
        <v>0.54011609999999999</v>
      </c>
      <c r="F5383" t="s">
        <v>43</v>
      </c>
      <c r="G5383">
        <v>-319.32400000000001</v>
      </c>
      <c r="H5383">
        <v>-0.05</v>
      </c>
      <c r="I5383">
        <v>14.43431</v>
      </c>
      <c r="J5383">
        <v>-332.85939999999999</v>
      </c>
      <c r="K5383">
        <v>1.12093</v>
      </c>
      <c r="L5383">
        <v>17.665279999999999</v>
      </c>
      <c r="M5383">
        <v>0.99992309999999995</v>
      </c>
      <c r="N5383">
        <v>-1.215924E-2</v>
      </c>
      <c r="O5383">
        <v>-2.4438620000000002E-3</v>
      </c>
      <c r="P5383">
        <v>0.97399590000000003</v>
      </c>
      <c r="Q5383">
        <v>0.18283830000000001</v>
      </c>
      <c r="R5383">
        <v>-0.133799</v>
      </c>
      <c r="S5383">
        <v>3.031158</v>
      </c>
      <c r="T5383">
        <v>-0.25893640000000001</v>
      </c>
      <c r="U5383">
        <v>-0.71456909999999996</v>
      </c>
      <c r="V5383">
        <v>0.13138079999999999</v>
      </c>
      <c r="W5383">
        <v>0.19469690000000001</v>
      </c>
      <c r="X5383">
        <v>0.97202480000000002</v>
      </c>
      <c r="Y5383">
        <v>0.22618170000000001</v>
      </c>
      <c r="Z5383">
        <v>-1.0733690000000001E-2</v>
      </c>
      <c r="AA5383">
        <v>0.97402599999999995</v>
      </c>
      <c r="AB5383">
        <v>29</v>
      </c>
      <c r="AC5383">
        <v>13.5353999999999</v>
      </c>
      <c r="AD5383">
        <v>-1.17093</v>
      </c>
      <c r="AE5383">
        <v>-3.2309699999999899</v>
      </c>
      <c r="AF5383">
        <v>3.17539643471906</v>
      </c>
      <c r="AG5383">
        <v>-1.17093</v>
      </c>
      <c r="AH5383">
        <v>13.448039787377899</v>
      </c>
      <c r="AI5383">
        <v>94.843695527126201</v>
      </c>
      <c r="AJ5383">
        <v>76.714468383909207</v>
      </c>
      <c r="AK5383">
        <v>13.867371549988301</v>
      </c>
      <c r="AL5383">
        <v>78.772982170269898</v>
      </c>
      <c r="AM5383">
        <v>82.302437572008998</v>
      </c>
      <c r="AN5383">
        <v>1.00000000464664</v>
      </c>
    </row>
    <row r="5384" spans="1:40" x14ac:dyDescent="0.25">
      <c r="A5384" t="str">
        <f>"20190303162409577"</f>
        <v>20190303162409577</v>
      </c>
      <c r="B5384" t="str">
        <f>"1551601449569952"</f>
        <v>1551601449569952</v>
      </c>
      <c r="C5384" t="s">
        <v>40</v>
      </c>
      <c r="D5384">
        <v>5.5764430000000003</v>
      </c>
      <c r="E5384">
        <v>0.539846099999999</v>
      </c>
      <c r="F5384" t="s">
        <v>41</v>
      </c>
      <c r="G5384">
        <v>-320.09530000000001</v>
      </c>
      <c r="H5384" s="1">
        <v>-5.5400059999999899E-6</v>
      </c>
      <c r="I5384">
        <v>14.669230000000001</v>
      </c>
      <c r="J5384">
        <v>-332.59829999999999</v>
      </c>
      <c r="K5384">
        <v>1.1209260000000001</v>
      </c>
      <c r="L5384">
        <v>17.664760000000001</v>
      </c>
      <c r="M5384">
        <v>0.99992349999999997</v>
      </c>
      <c r="N5384">
        <v>-1.214991E-2</v>
      </c>
      <c r="O5384">
        <v>-2.3369950000000001E-3</v>
      </c>
      <c r="P5384">
        <v>0.97388869999999905</v>
      </c>
      <c r="Q5384">
        <v>0.1826508</v>
      </c>
      <c r="R5384">
        <v>-0.13483339999999999</v>
      </c>
      <c r="S5384">
        <v>3.0323180000000001</v>
      </c>
      <c r="T5384">
        <v>-0.26629700000000001</v>
      </c>
      <c r="U5384">
        <v>-0.71176149999999905</v>
      </c>
      <c r="V5384">
        <v>0.1325192</v>
      </c>
      <c r="W5384">
        <v>0.19449949999999999</v>
      </c>
      <c r="X5384">
        <v>0.97190980000000005</v>
      </c>
      <c r="Y5384">
        <v>0.225304</v>
      </c>
      <c r="Z5384">
        <v>-1.0958259999999999E-2</v>
      </c>
      <c r="AA5384">
        <v>0.97422690000000001</v>
      </c>
      <c r="AB5384">
        <v>29</v>
      </c>
      <c r="AC5384">
        <v>12.502999999999901</v>
      </c>
      <c r="AD5384">
        <v>-1.120931540006</v>
      </c>
      <c r="AE5384">
        <v>-2.99553</v>
      </c>
      <c r="AF5384">
        <v>2.9439224655396301</v>
      </c>
      <c r="AG5384">
        <v>-1.120931540006</v>
      </c>
      <c r="AH5384">
        <v>12.415591800406499</v>
      </c>
      <c r="AI5384">
        <v>95.020452963612101</v>
      </c>
      <c r="AJ5384">
        <v>76.660666967568901</v>
      </c>
      <c r="AK5384">
        <v>12.8089846106087</v>
      </c>
      <c r="AL5384">
        <v>78.784513036885102</v>
      </c>
      <c r="AM5384">
        <v>82.235641610087299</v>
      </c>
      <c r="AN5384">
        <v>1.00000002660246</v>
      </c>
    </row>
    <row r="5385" spans="1:40" x14ac:dyDescent="0.25">
      <c r="A5385" t="str">
        <f>"20190303162409589"</f>
        <v>20190303162409589</v>
      </c>
      <c r="B5385" t="str">
        <f>"1551601449580688"</f>
        <v>1551601449580688</v>
      </c>
      <c r="C5385" t="s">
        <v>40</v>
      </c>
      <c r="D5385">
        <v>5.1454690000000003</v>
      </c>
      <c r="E5385">
        <v>0.53953709999999999</v>
      </c>
      <c r="F5385" t="s">
        <v>41</v>
      </c>
      <c r="G5385">
        <v>-320.05470000000003</v>
      </c>
      <c r="H5385" s="1">
        <v>-5.5505630000000003E-6</v>
      </c>
      <c r="I5385">
        <v>14.717980000000001</v>
      </c>
      <c r="J5385">
        <v>-332.4504</v>
      </c>
      <c r="K5385">
        <v>1.1209279999999999</v>
      </c>
      <c r="L5385">
        <v>17.664490000000001</v>
      </c>
      <c r="M5385">
        <v>0.99992380000000003</v>
      </c>
      <c r="N5385">
        <v>-1.2143610000000001E-2</v>
      </c>
      <c r="O5385">
        <v>-2.276878E-3</v>
      </c>
      <c r="P5385">
        <v>0.97385730000000004</v>
      </c>
      <c r="Q5385">
        <v>0.182479</v>
      </c>
      <c r="R5385">
        <v>-0.13529160000000001</v>
      </c>
      <c r="S5385">
        <v>3.0326230000000001</v>
      </c>
      <c r="T5385">
        <v>-0.27100340000000001</v>
      </c>
      <c r="U5385">
        <v>-0.71243290000000004</v>
      </c>
      <c r="V5385">
        <v>0.1330363</v>
      </c>
      <c r="W5385">
        <v>0.19432079999999999</v>
      </c>
      <c r="X5385">
        <v>0.97187489999999999</v>
      </c>
      <c r="Y5385">
        <v>0.2255133</v>
      </c>
      <c r="Z5385">
        <v>-1.11395E-2</v>
      </c>
      <c r="AA5385">
        <v>0.97417640000000005</v>
      </c>
      <c r="AB5385">
        <v>29</v>
      </c>
      <c r="AC5385">
        <v>12.3956999999999</v>
      </c>
      <c r="AD5385">
        <v>-1.120933550563</v>
      </c>
      <c r="AE5385">
        <v>-2.94651</v>
      </c>
      <c r="AF5385">
        <v>2.8958625113868202</v>
      </c>
      <c r="AG5385">
        <v>-1.120933550563</v>
      </c>
      <c r="AH5385">
        <v>12.307118828359799</v>
      </c>
      <c r="AI5385">
        <v>95.066528720945897</v>
      </c>
      <c r="AJ5385">
        <v>76.759171975694997</v>
      </c>
      <c r="AK5385">
        <v>12.692820236850499</v>
      </c>
      <c r="AL5385">
        <v>78.794950935593803</v>
      </c>
      <c r="AM5385">
        <v>82.205439731363199</v>
      </c>
      <c r="AN5385">
        <v>1.00000002584016</v>
      </c>
    </row>
    <row r="5386" spans="1:40" x14ac:dyDescent="0.25">
      <c r="A5386" t="str">
        <f>"20190303162409601"</f>
        <v>20190303162409601</v>
      </c>
      <c r="B5386" t="str">
        <f>"1551601449590448"</f>
        <v>1551601449590448</v>
      </c>
      <c r="C5386" t="s">
        <v>40</v>
      </c>
      <c r="D5386">
        <v>5.5783849999999999</v>
      </c>
      <c r="E5386">
        <v>0.53929110000000002</v>
      </c>
      <c r="F5386" t="s">
        <v>41</v>
      </c>
      <c r="G5386">
        <v>-319.95850000000002</v>
      </c>
      <c r="H5386" s="1">
        <v>-5.592874E-6</v>
      </c>
      <c r="I5386">
        <v>14.73587</v>
      </c>
      <c r="J5386">
        <v>-332.28879999999998</v>
      </c>
      <c r="K5386">
        <v>1.120927</v>
      </c>
      <c r="L5386">
        <v>17.664179999999899</v>
      </c>
      <c r="M5386">
        <v>0.99992389999999998</v>
      </c>
      <c r="N5386">
        <v>-1.2135689999999999E-2</v>
      </c>
      <c r="O5386">
        <v>-2.2111489999999999E-3</v>
      </c>
      <c r="P5386">
        <v>0.97375659999999997</v>
      </c>
      <c r="Q5386">
        <v>0.18258669999999999</v>
      </c>
      <c r="R5386">
        <v>-0.1358684</v>
      </c>
      <c r="S5386">
        <v>3.0327449999999998</v>
      </c>
      <c r="T5386">
        <v>-0.27213619999999999</v>
      </c>
      <c r="U5386">
        <v>-0.71099849999999998</v>
      </c>
      <c r="V5386">
        <v>0.1336773</v>
      </c>
      <c r="W5386">
        <v>0.19442000000000001</v>
      </c>
      <c r="X5386">
        <v>0.97176709999999999</v>
      </c>
      <c r="Y5386">
        <v>0.22512589999999999</v>
      </c>
      <c r="Z5386">
        <v>-1.116466E-2</v>
      </c>
      <c r="AA5386">
        <v>0.97426570000000001</v>
      </c>
      <c r="AB5386">
        <v>29</v>
      </c>
      <c r="AC5386">
        <v>12.3302999999999</v>
      </c>
      <c r="AD5386">
        <v>-1.1209325928739999</v>
      </c>
      <c r="AE5386">
        <v>-2.92830999999999</v>
      </c>
      <c r="AF5386">
        <v>2.8785175623269699</v>
      </c>
      <c r="AG5386">
        <v>-1.1209325928739999</v>
      </c>
      <c r="AH5386">
        <v>12.2409819469691</v>
      </c>
      <c r="AI5386">
        <v>95.093919251020495</v>
      </c>
      <c r="AJ5386">
        <v>76.767079811747195</v>
      </c>
      <c r="AK5386">
        <v>12.6247373145113</v>
      </c>
      <c r="AL5386">
        <v>78.789156698494295</v>
      </c>
      <c r="AM5386">
        <v>82.1674906683551</v>
      </c>
      <c r="AN5386">
        <v>1.00000002678884</v>
      </c>
    </row>
    <row r="5387" spans="1:40" x14ac:dyDescent="0.25">
      <c r="A5387" t="str">
        <f>"20190303162409614"</f>
        <v>20190303162409614</v>
      </c>
      <c r="B5387" t="str">
        <f>"1551601449600209"</f>
        <v>1551601449600209</v>
      </c>
      <c r="C5387" t="s">
        <v>40</v>
      </c>
      <c r="D5387">
        <v>5.5573990000000002</v>
      </c>
      <c r="E5387">
        <v>0.53915930000000001</v>
      </c>
      <c r="F5387" t="s">
        <v>43</v>
      </c>
      <c r="G5387">
        <v>-319.25670000000002</v>
      </c>
      <c r="H5387">
        <v>-0.05</v>
      </c>
      <c r="I5387">
        <v>14.611599999999999</v>
      </c>
      <c r="J5387">
        <v>-332.1284</v>
      </c>
      <c r="K5387">
        <v>1.120927</v>
      </c>
      <c r="L5387">
        <v>17.663879999999999</v>
      </c>
      <c r="M5387">
        <v>0.99992429999999999</v>
      </c>
      <c r="N5387">
        <v>-1.212622E-2</v>
      </c>
      <c r="O5387">
        <v>-2.146486E-3</v>
      </c>
      <c r="P5387">
        <v>0.97366710000000001</v>
      </c>
      <c r="Q5387">
        <v>0.1824761</v>
      </c>
      <c r="R5387">
        <v>-0.13665829999999901</v>
      </c>
      <c r="S5387">
        <v>3.0328059999999999</v>
      </c>
      <c r="T5387">
        <v>-0.2724953</v>
      </c>
      <c r="U5387">
        <v>-0.71038819999999903</v>
      </c>
      <c r="V5387">
        <v>0.1345305</v>
      </c>
      <c r="W5387">
        <v>0.1942989</v>
      </c>
      <c r="X5387">
        <v>0.97167349999999997</v>
      </c>
      <c r="Y5387">
        <v>0.22499669999999999</v>
      </c>
      <c r="Z5387">
        <v>-1.117481E-2</v>
      </c>
      <c r="AA5387">
        <v>0.97429540000000003</v>
      </c>
      <c r="AB5387">
        <v>29</v>
      </c>
      <c r="AC5387">
        <v>12.871699999999899</v>
      </c>
      <c r="AD5387">
        <v>-1.1709270000000001</v>
      </c>
      <c r="AE5387">
        <v>-3.0522800000000001</v>
      </c>
      <c r="AF5387">
        <v>3.0011287214423499</v>
      </c>
      <c r="AG5387">
        <v>-1.1709270000000001</v>
      </c>
      <c r="AH5387">
        <v>12.778108360497299</v>
      </c>
      <c r="AI5387">
        <v>95.097747519739698</v>
      </c>
      <c r="AJ5387">
        <v>76.782786370643706</v>
      </c>
      <c r="AK5387">
        <v>13.1779321941876</v>
      </c>
      <c r="AL5387">
        <v>78.796229281580295</v>
      </c>
      <c r="AM5387">
        <v>82.117376055139502</v>
      </c>
      <c r="AN5387">
        <v>0.99999995428685295</v>
      </c>
    </row>
    <row r="5388" spans="1:40" x14ac:dyDescent="0.25">
      <c r="A5388" t="str">
        <f>"20190303162409626"</f>
        <v>20190303162409626</v>
      </c>
      <c r="B5388" t="str">
        <f>"1551601449620704"</f>
        <v>1551601449620704</v>
      </c>
      <c r="C5388" t="s">
        <v>40</v>
      </c>
      <c r="D5388">
        <v>5.5572549999999996</v>
      </c>
      <c r="E5388">
        <v>0.53895729999999997</v>
      </c>
      <c r="F5388" t="s">
        <v>43</v>
      </c>
      <c r="G5388">
        <v>-319.15379999999999</v>
      </c>
      <c r="H5388">
        <v>-0.05</v>
      </c>
      <c r="I5388">
        <v>14.621600000000001</v>
      </c>
      <c r="J5388">
        <v>-331.96429999999998</v>
      </c>
      <c r="K5388">
        <v>1.120927</v>
      </c>
      <c r="L5388">
        <v>17.663599999999999</v>
      </c>
      <c r="M5388">
        <v>0.99992449999999999</v>
      </c>
      <c r="N5388">
        <v>-1.211547E-2</v>
      </c>
      <c r="O5388">
        <v>-2.080148E-3</v>
      </c>
      <c r="P5388">
        <v>0.97356010000000004</v>
      </c>
      <c r="Q5388">
        <v>0.18224290000000001</v>
      </c>
      <c r="R5388">
        <v>-0.13772679999999901</v>
      </c>
      <c r="S5388">
        <v>3.0326230000000001</v>
      </c>
      <c r="T5388">
        <v>-0.27368710000000002</v>
      </c>
      <c r="U5388">
        <v>-0.71109009999999995</v>
      </c>
      <c r="V5388">
        <v>0.13566400000000001</v>
      </c>
      <c r="W5388">
        <v>0.19405420000000001</v>
      </c>
      <c r="X5388">
        <v>0.97156480000000001</v>
      </c>
      <c r="Y5388">
        <v>0.2252788</v>
      </c>
      <c r="Z5388">
        <v>-1.123585E-2</v>
      </c>
      <c r="AA5388">
        <v>0.97422960000000003</v>
      </c>
      <c r="AB5388">
        <v>29</v>
      </c>
      <c r="AC5388">
        <v>12.8104999999999</v>
      </c>
      <c r="AD5388">
        <v>-1.1709270000000001</v>
      </c>
      <c r="AE5388">
        <v>-3.04199999999999</v>
      </c>
      <c r="AF5388">
        <v>2.9916834580087301</v>
      </c>
      <c r="AG5388">
        <v>-1.1709270000000001</v>
      </c>
      <c r="AH5388">
        <v>12.716231936255999</v>
      </c>
      <c r="AI5388">
        <v>95.121967156489205</v>
      </c>
      <c r="AJ5388">
        <v>76.761064517509695</v>
      </c>
      <c r="AK5388">
        <v>13.1157841781919</v>
      </c>
      <c r="AL5388">
        <v>78.810521621728796</v>
      </c>
      <c r="AM5388">
        <v>82.050927657040603</v>
      </c>
      <c r="AN5388">
        <v>0.99999995701633904</v>
      </c>
    </row>
    <row r="5389" spans="1:40" x14ac:dyDescent="0.25">
      <c r="A5389" t="str">
        <f>"20190303162409638"</f>
        <v>20190303162409638</v>
      </c>
      <c r="B5389" t="str">
        <f>"1551601449630465"</f>
        <v>1551601449630465</v>
      </c>
      <c r="C5389" t="s">
        <v>40</v>
      </c>
      <c r="D5389">
        <v>5.5595699999999999</v>
      </c>
      <c r="E5389">
        <v>0.53892779999999996</v>
      </c>
      <c r="F5389" t="s">
        <v>43</v>
      </c>
      <c r="G5389">
        <v>-319.09679999999997</v>
      </c>
      <c r="H5389">
        <v>-0.05</v>
      </c>
      <c r="I5389">
        <v>14.642060000000001</v>
      </c>
      <c r="J5389">
        <v>-331.81079999999997</v>
      </c>
      <c r="K5389">
        <v>1.1209249999999999</v>
      </c>
      <c r="L5389">
        <v>17.663329999999998</v>
      </c>
      <c r="M5389">
        <v>0.99992479999999995</v>
      </c>
      <c r="N5389">
        <v>-1.2103579999999999E-2</v>
      </c>
      <c r="O5389">
        <v>-2.0180969999999999E-3</v>
      </c>
      <c r="P5389">
        <v>0.97348279999999998</v>
      </c>
      <c r="Q5389">
        <v>0.18211659999999999</v>
      </c>
      <c r="R5389">
        <v>-0.13843759999999999</v>
      </c>
      <c r="S5389">
        <v>3.0323790000000002</v>
      </c>
      <c r="T5389">
        <v>-0.27594419999999997</v>
      </c>
      <c r="U5389">
        <v>-0.71206669999999905</v>
      </c>
      <c r="V5389">
        <v>0.13643569999999999</v>
      </c>
      <c r="W5389">
        <v>0.19391530000000001</v>
      </c>
      <c r="X5389">
        <v>0.97148449999999997</v>
      </c>
      <c r="Y5389">
        <v>0.225637</v>
      </c>
      <c r="Z5389">
        <v>-1.133876E-2</v>
      </c>
      <c r="AA5389">
        <v>0.9741455</v>
      </c>
      <c r="AB5389">
        <v>29</v>
      </c>
      <c r="AC5389">
        <v>12.714</v>
      </c>
      <c r="AD5389">
        <v>-1.170925</v>
      </c>
      <c r="AE5389">
        <v>-3.0212699999999901</v>
      </c>
      <c r="AF5389">
        <v>2.97174510058082</v>
      </c>
      <c r="AG5389">
        <v>-1.170925</v>
      </c>
      <c r="AH5389">
        <v>12.6187614979647</v>
      </c>
      <c r="AI5389">
        <v>95.161037310819495</v>
      </c>
      <c r="AJ5389">
        <v>76.748188071239397</v>
      </c>
      <c r="AK5389">
        <v>13.0167383026997</v>
      </c>
      <c r="AL5389">
        <v>78.818634465878304</v>
      </c>
      <c r="AM5389">
        <v>82.0056414706563</v>
      </c>
      <c r="AN5389">
        <v>0.99999998877441398</v>
      </c>
    </row>
    <row r="5390" spans="1:40" x14ac:dyDescent="0.25">
      <c r="A5390" t="str">
        <f>"20190303162409649"</f>
        <v>20190303162409649</v>
      </c>
      <c r="B5390" t="str">
        <f>"1551601449640224"</f>
        <v>1551601449640224</v>
      </c>
      <c r="C5390" t="s">
        <v>40</v>
      </c>
      <c r="D5390">
        <v>5.589601</v>
      </c>
      <c r="E5390">
        <v>0.53878429999999999</v>
      </c>
      <c r="F5390" t="s">
        <v>43</v>
      </c>
      <c r="G5390">
        <v>-319.01139999999998</v>
      </c>
      <c r="H5390">
        <v>-0.05</v>
      </c>
      <c r="I5390">
        <v>14.65137</v>
      </c>
      <c r="J5390">
        <v>-331.66800000000001</v>
      </c>
      <c r="K5390">
        <v>1.1209209999999901</v>
      </c>
      <c r="L5390">
        <v>17.66309</v>
      </c>
      <c r="M5390">
        <v>0.99992499999999995</v>
      </c>
      <c r="N5390">
        <v>-1.209175E-2</v>
      </c>
      <c r="O5390">
        <v>-1.9600989999999999E-3</v>
      </c>
      <c r="P5390">
        <v>0.97332560000000001</v>
      </c>
      <c r="Q5390">
        <v>0.18207960000000001</v>
      </c>
      <c r="R5390">
        <v>-0.1395874</v>
      </c>
      <c r="S5390">
        <v>3.0321660000000001</v>
      </c>
      <c r="T5390">
        <v>-0.27739019999999998</v>
      </c>
      <c r="U5390">
        <v>-0.71353149999999999</v>
      </c>
      <c r="V5390">
        <v>0.137642299999999</v>
      </c>
      <c r="W5390">
        <v>0.1938648</v>
      </c>
      <c r="X5390">
        <v>0.97132439999999998</v>
      </c>
      <c r="Y5390">
        <v>0.2261425</v>
      </c>
      <c r="Z5390">
        <v>-1.1419840000000001E-2</v>
      </c>
      <c r="AA5390">
        <v>0.97402730000000004</v>
      </c>
      <c r="AB5390">
        <v>29</v>
      </c>
      <c r="AC5390">
        <v>12.656599999999999</v>
      </c>
      <c r="AD5390">
        <v>-1.1709210000000001</v>
      </c>
      <c r="AE5390">
        <v>-3.0117199999999902</v>
      </c>
      <c r="AF5390">
        <v>2.9629038129256302</v>
      </c>
      <c r="AG5390">
        <v>-1.1709210000000001</v>
      </c>
      <c r="AH5390">
        <v>12.5607337197528</v>
      </c>
      <c r="AI5390">
        <v>95.184290670513093</v>
      </c>
      <c r="AJ5390">
        <v>76.727339833491499</v>
      </c>
      <c r="AK5390">
        <v>12.958467755542101</v>
      </c>
      <c r="AL5390">
        <v>78.821584302660796</v>
      </c>
      <c r="AM5390">
        <v>81.934555852440297</v>
      </c>
      <c r="AN5390">
        <v>1.0000000267318401</v>
      </c>
    </row>
    <row r="5391" spans="1:40" x14ac:dyDescent="0.25">
      <c r="A5391" t="str">
        <f>"20190303162409661"</f>
        <v>20190303162409661</v>
      </c>
      <c r="B5391" t="str">
        <f>"1551601449649985"</f>
        <v>1551601449649985</v>
      </c>
      <c r="C5391" t="s">
        <v>40</v>
      </c>
      <c r="D5391">
        <v>5.5578289999999999</v>
      </c>
      <c r="E5391">
        <v>0.53861669999999995</v>
      </c>
      <c r="F5391" t="s">
        <v>43</v>
      </c>
      <c r="G5391">
        <v>-318.92829999999998</v>
      </c>
      <c r="H5391">
        <v>-0.05</v>
      </c>
      <c r="I5391">
        <v>14.655329999999999</v>
      </c>
      <c r="J5391">
        <v>-331.5043</v>
      </c>
      <c r="K5391">
        <v>1.1209180000000001</v>
      </c>
      <c r="L5391">
        <v>17.66281</v>
      </c>
      <c r="M5391">
        <v>0.99992530000000002</v>
      </c>
      <c r="N5391">
        <v>-1.207766E-2</v>
      </c>
      <c r="O5391">
        <v>-1.894101E-3</v>
      </c>
      <c r="P5391">
        <v>0.97322540000000002</v>
      </c>
      <c r="Q5391">
        <v>0.181724</v>
      </c>
      <c r="R5391">
        <v>-0.140744799999999</v>
      </c>
      <c r="S5391">
        <v>3.0316770000000002</v>
      </c>
      <c r="T5391">
        <v>-0.27864529999999998</v>
      </c>
      <c r="U5391">
        <v>-0.71575929999999999</v>
      </c>
      <c r="V5391">
        <v>0.1388644</v>
      </c>
      <c r="W5391">
        <v>0.19349469999999999</v>
      </c>
      <c r="X5391">
        <v>0.97122419999999998</v>
      </c>
      <c r="Y5391">
        <v>0.22690750000000001</v>
      </c>
      <c r="Z5391">
        <v>-1.150867E-2</v>
      </c>
      <c r="AA5391">
        <v>0.9738483</v>
      </c>
      <c r="AB5391">
        <v>29</v>
      </c>
      <c r="AC5391">
        <v>12.576000000000001</v>
      </c>
      <c r="AD5391">
        <v>-1.1709179999999999</v>
      </c>
      <c r="AE5391">
        <v>-3.0074800000000002</v>
      </c>
      <c r="AF5391">
        <v>2.9593856359014299</v>
      </c>
      <c r="AG5391">
        <v>-1.1709179999999999</v>
      </c>
      <c r="AH5391">
        <v>12.4793434742482</v>
      </c>
      <c r="AI5391">
        <v>95.216443027316899</v>
      </c>
      <c r="AJ5391">
        <v>76.659159943420207</v>
      </c>
      <c r="AK5391">
        <v>12.8787820019195</v>
      </c>
      <c r="AL5391">
        <v>78.843198256341395</v>
      </c>
      <c r="AM5391">
        <v>81.863070814412296</v>
      </c>
      <c r="AN5391">
        <v>0.99999998359054398</v>
      </c>
    </row>
    <row r="5392" spans="1:40" x14ac:dyDescent="0.25">
      <c r="A5392" t="str">
        <f>"20190303162409679"</f>
        <v>20190303162409679</v>
      </c>
      <c r="B5392" t="str">
        <f>"1551601449670480"</f>
        <v>1551601449670480</v>
      </c>
      <c r="C5392" t="s">
        <v>40</v>
      </c>
      <c r="D5392">
        <v>5.5537519999999896</v>
      </c>
      <c r="E5392">
        <v>0.53870459999999998</v>
      </c>
      <c r="F5392" t="s">
        <v>43</v>
      </c>
      <c r="G5392">
        <v>-318.90350000000001</v>
      </c>
      <c r="H5392">
        <v>-0.05</v>
      </c>
      <c r="I5392">
        <v>14.679869999999999</v>
      </c>
      <c r="J5392">
        <v>-331.28519999999997</v>
      </c>
      <c r="K5392">
        <v>1.120914</v>
      </c>
      <c r="L5392">
        <v>17.662510000000001</v>
      </c>
      <c r="M5392">
        <v>0.99992590000000003</v>
      </c>
      <c r="N5392">
        <v>-1.20553E-2</v>
      </c>
      <c r="O5392">
        <v>-1.8057609999999999E-3</v>
      </c>
      <c r="P5392">
        <v>0.97302909999999998</v>
      </c>
      <c r="Q5392">
        <v>0.18143400000000001</v>
      </c>
      <c r="R5392">
        <v>-0.14246529999999999</v>
      </c>
      <c r="S5392">
        <v>3.0313110000000001</v>
      </c>
      <c r="T5392">
        <v>-0.28168209999999999</v>
      </c>
      <c r="U5392">
        <v>-0.71759030000000001</v>
      </c>
      <c r="V5392">
        <v>0.1406715</v>
      </c>
      <c r="W5392">
        <v>0.19318080000000001</v>
      </c>
      <c r="X5392">
        <v>0.97102659999999996</v>
      </c>
      <c r="Y5392">
        <v>0.2275528</v>
      </c>
      <c r="Z5392">
        <v>-1.165676E-2</v>
      </c>
      <c r="AA5392">
        <v>0.97369600000000001</v>
      </c>
      <c r="AB5392">
        <v>29</v>
      </c>
      <c r="AC5392">
        <v>12.381699999999899</v>
      </c>
      <c r="AD5392">
        <v>-1.170914</v>
      </c>
      <c r="AE5392">
        <v>-2.98264</v>
      </c>
      <c r="AF5392">
        <v>2.9354627315543902</v>
      </c>
      <c r="AG5392">
        <v>-1.170914</v>
      </c>
      <c r="AH5392">
        <v>12.2832403941986</v>
      </c>
      <c r="AI5392">
        <v>95.297053694214299</v>
      </c>
      <c r="AJ5392">
        <v>76.559476764188005</v>
      </c>
      <c r="AK5392">
        <v>12.683295140672699</v>
      </c>
      <c r="AL5392">
        <v>78.861529171462905</v>
      </c>
      <c r="AM5392">
        <v>81.756972910439998</v>
      </c>
      <c r="AN5392">
        <v>0.99999997515422401</v>
      </c>
    </row>
    <row r="5393" spans="1:40" x14ac:dyDescent="0.25">
      <c r="A5393" t="str">
        <f>"20190303162409693"</f>
        <v>20190303162409693</v>
      </c>
      <c r="B5393" t="str">
        <f>"1551601449680241"</f>
        <v>1551601449680241</v>
      </c>
      <c r="C5393" t="s">
        <v>40</v>
      </c>
      <c r="D5393">
        <v>5.548254</v>
      </c>
      <c r="E5393">
        <v>0.53870649999999998</v>
      </c>
      <c r="F5393" t="s">
        <v>43</v>
      </c>
      <c r="G5393">
        <v>-318.78829999999999</v>
      </c>
      <c r="H5393">
        <v>-0.05</v>
      </c>
      <c r="I5393">
        <v>14.680079999999901</v>
      </c>
      <c r="J5393">
        <v>-331.10059999999999</v>
      </c>
      <c r="K5393">
        <v>1.1209089999999999</v>
      </c>
      <c r="L5393">
        <v>17.662229999999902</v>
      </c>
      <c r="M5393">
        <v>0.99992599999999998</v>
      </c>
      <c r="N5393">
        <v>-1.203542E-2</v>
      </c>
      <c r="O5393">
        <v>-1.73138E-3</v>
      </c>
      <c r="P5393">
        <v>0.9728369</v>
      </c>
      <c r="Q5393">
        <v>0.18139440000000001</v>
      </c>
      <c r="R5393">
        <v>-0.14382059999999999</v>
      </c>
      <c r="S5393">
        <v>3.030243</v>
      </c>
      <c r="T5393">
        <v>-0.28392240000000002</v>
      </c>
      <c r="U5393">
        <v>-0.72317500000000001</v>
      </c>
      <c r="V5393">
        <v>0.142099799999999</v>
      </c>
      <c r="W5393">
        <v>0.1931195</v>
      </c>
      <c r="X5393">
        <v>0.97083090000000005</v>
      </c>
      <c r="Y5393">
        <v>0.22937579999999999</v>
      </c>
      <c r="Z5393">
        <v>-1.1838420000000001E-2</v>
      </c>
      <c r="AA5393">
        <v>0.97326590000000002</v>
      </c>
      <c r="AB5393">
        <v>29</v>
      </c>
      <c r="AC5393">
        <v>12.312299999999899</v>
      </c>
      <c r="AD5393">
        <v>-1.170909</v>
      </c>
      <c r="AE5393">
        <v>-2.9821499999999901</v>
      </c>
      <c r="AF5393">
        <v>2.9357466955156499</v>
      </c>
      <c r="AG5393">
        <v>-1.170909</v>
      </c>
      <c r="AH5393">
        <v>12.2131088363394</v>
      </c>
      <c r="AI5393">
        <v>95.325598798089402</v>
      </c>
      <c r="AJ5393">
        <v>76.483861093444105</v>
      </c>
      <c r="AK5393">
        <v>12.6154533804689</v>
      </c>
      <c r="AL5393">
        <v>78.865109828182895</v>
      </c>
      <c r="AM5393">
        <v>81.672790465212699</v>
      </c>
      <c r="AN5393">
        <v>1.0000000654175401</v>
      </c>
    </row>
    <row r="5394" spans="1:40" x14ac:dyDescent="0.25">
      <c r="A5394" t="str">
        <f>"20190303162409708"</f>
        <v>20190303162409708</v>
      </c>
      <c r="B5394" t="str">
        <f>"1551601449700737"</f>
        <v>1551601449700737</v>
      </c>
      <c r="C5394" t="s">
        <v>40</v>
      </c>
      <c r="D5394">
        <v>5.5542059999999998</v>
      </c>
      <c r="E5394">
        <v>0.53882980000000003</v>
      </c>
      <c r="F5394" t="s">
        <v>43</v>
      </c>
      <c r="G5394">
        <v>-318.65429999999998</v>
      </c>
      <c r="H5394">
        <v>-0.05</v>
      </c>
      <c r="I5394">
        <v>14.674239999999999</v>
      </c>
      <c r="J5394">
        <v>-330.90480000000002</v>
      </c>
      <c r="K5394">
        <v>1.12090499999999</v>
      </c>
      <c r="L5394">
        <v>17.661929999999899</v>
      </c>
      <c r="M5394">
        <v>0.9999266</v>
      </c>
      <c r="N5394">
        <v>-1.2014199999999999E-2</v>
      </c>
      <c r="O5394">
        <v>-1.652817E-3</v>
      </c>
      <c r="P5394">
        <v>0.97276099999999999</v>
      </c>
      <c r="Q5394">
        <v>0.1811199</v>
      </c>
      <c r="R5394">
        <v>-0.144678</v>
      </c>
      <c r="S5394">
        <v>3.029388</v>
      </c>
      <c r="T5394">
        <v>-0.28499479999999999</v>
      </c>
      <c r="U5394">
        <v>-0.72726440000000003</v>
      </c>
      <c r="V5394">
        <v>0.14303360000000001</v>
      </c>
      <c r="W5394">
        <v>0.19282379999999999</v>
      </c>
      <c r="X5394">
        <v>0.97075250000000002</v>
      </c>
      <c r="Y5394">
        <v>0.23074220000000001</v>
      </c>
      <c r="Z5394">
        <v>-1.195449E-2</v>
      </c>
      <c r="AA5394">
        <v>0.97294150000000001</v>
      </c>
      <c r="AB5394">
        <v>29</v>
      </c>
      <c r="AC5394">
        <v>12.250500000000001</v>
      </c>
      <c r="AD5394">
        <v>-1.1709050000000001</v>
      </c>
      <c r="AE5394">
        <v>-2.98768999999999</v>
      </c>
      <c r="AF5394">
        <v>2.9420680506736998</v>
      </c>
      <c r="AG5394">
        <v>-1.1709050000000001</v>
      </c>
      <c r="AH5394">
        <v>12.150650294821499</v>
      </c>
      <c r="AI5394">
        <v>95.350667507426806</v>
      </c>
      <c r="AJ5394">
        <v>76.388790765534395</v>
      </c>
      <c r="AK5394">
        <v>12.5564758400145</v>
      </c>
      <c r="AL5394">
        <v>78.882376247919495</v>
      </c>
      <c r="AM5394">
        <v>81.618176252380096</v>
      </c>
      <c r="AN5394">
        <v>1.0000000224158201</v>
      </c>
    </row>
    <row r="5395" spans="1:40" x14ac:dyDescent="0.25">
      <c r="A5395" t="str">
        <f>"20190303162409724"</f>
        <v>20190303162409724</v>
      </c>
      <c r="B5395" t="str">
        <f>"1551601449710496"</f>
        <v>1551601449710496</v>
      </c>
      <c r="C5395" t="s">
        <v>40</v>
      </c>
      <c r="D5395">
        <v>5.556622</v>
      </c>
      <c r="E5395">
        <v>0.53875519999999999</v>
      </c>
      <c r="F5395" t="s">
        <v>43</v>
      </c>
      <c r="G5395">
        <v>-318.53359999999998</v>
      </c>
      <c r="H5395">
        <v>-0.05</v>
      </c>
      <c r="I5395">
        <v>14.677519999999999</v>
      </c>
      <c r="J5395">
        <v>-330.7081</v>
      </c>
      <c r="K5395">
        <v>1.120897</v>
      </c>
      <c r="L5395">
        <v>17.66168</v>
      </c>
      <c r="M5395">
        <v>0.99992689999999995</v>
      </c>
      <c r="N5395">
        <v>-1.199332E-2</v>
      </c>
      <c r="O5395">
        <v>-1.5738970000000001E-3</v>
      </c>
      <c r="P5395">
        <v>0.97252450000000001</v>
      </c>
      <c r="Q5395">
        <v>0.18013199999999999</v>
      </c>
      <c r="R5395">
        <v>-0.14747569999999999</v>
      </c>
      <c r="S5395">
        <v>3.0287480000000002</v>
      </c>
      <c r="T5395">
        <v>-0.28666540000000001</v>
      </c>
      <c r="U5395">
        <v>-0.73065190000000002</v>
      </c>
      <c r="V5395">
        <v>0.1459085</v>
      </c>
      <c r="W5395">
        <v>0.1918136</v>
      </c>
      <c r="X5395">
        <v>0.97052470000000002</v>
      </c>
      <c r="Y5395">
        <v>0.23187669999999999</v>
      </c>
      <c r="Z5395">
        <v>-1.208062E-2</v>
      </c>
      <c r="AA5395">
        <v>0.97267020000000004</v>
      </c>
      <c r="AB5395">
        <v>29</v>
      </c>
      <c r="AC5395">
        <v>12.1745</v>
      </c>
      <c r="AD5395">
        <v>-1.1708969999999901</v>
      </c>
      <c r="AE5395">
        <v>-2.9841599999999899</v>
      </c>
      <c r="AF5395">
        <v>2.9393459311005201</v>
      </c>
      <c r="AG5395">
        <v>-1.1708969999999901</v>
      </c>
      <c r="AH5395">
        <v>12.0738304811464</v>
      </c>
      <c r="AI5395">
        <v>95.382861363740005</v>
      </c>
      <c r="AJ5395">
        <v>76.317634751854399</v>
      </c>
      <c r="AK5395">
        <v>12.481511798446</v>
      </c>
      <c r="AL5395">
        <v>78.941356894387994</v>
      </c>
      <c r="AM5395">
        <v>81.450194031384996</v>
      </c>
      <c r="AN5395">
        <v>0.99999997041364896</v>
      </c>
    </row>
    <row r="5396" spans="1:40" x14ac:dyDescent="0.25">
      <c r="A5396" t="str">
        <f>"20190303162409745"</f>
        <v>20190303162409745</v>
      </c>
      <c r="B5396" t="str">
        <f>"1551601449740753"</f>
        <v>1551601449740753</v>
      </c>
      <c r="C5396" t="s">
        <v>40</v>
      </c>
      <c r="D5396">
        <v>5.5492999999999997</v>
      </c>
      <c r="E5396">
        <v>0.53877629999999999</v>
      </c>
      <c r="F5396" t="s">
        <v>43</v>
      </c>
      <c r="G5396">
        <v>-318.5197</v>
      </c>
      <c r="H5396">
        <v>-0.05</v>
      </c>
      <c r="I5396">
        <v>14.6913</v>
      </c>
      <c r="J5396">
        <v>-330.43259999999998</v>
      </c>
      <c r="K5396">
        <v>1.1208819999999999</v>
      </c>
      <c r="L5396">
        <v>17.661349999999999</v>
      </c>
      <c r="M5396">
        <v>0.99992729999999996</v>
      </c>
      <c r="N5396">
        <v>-1.196609E-2</v>
      </c>
      <c r="O5396">
        <v>-1.46322799999999E-3</v>
      </c>
      <c r="P5396">
        <v>0.97244450000000004</v>
      </c>
      <c r="Q5396">
        <v>0.1787494</v>
      </c>
      <c r="R5396">
        <v>-0.1496681</v>
      </c>
      <c r="S5396">
        <v>3.026764</v>
      </c>
      <c r="T5396">
        <v>-0.29077150000000002</v>
      </c>
      <c r="U5396">
        <v>-0.73764039999999997</v>
      </c>
      <c r="V5396">
        <v>0.14820899999999901</v>
      </c>
      <c r="W5396">
        <v>0.19040380000000001</v>
      </c>
      <c r="X5396">
        <v>0.97045369999999997</v>
      </c>
      <c r="Y5396">
        <v>0.2342079</v>
      </c>
      <c r="Z5396">
        <v>-1.236713E-2</v>
      </c>
      <c r="AA5396">
        <v>0.97210790000000002</v>
      </c>
      <c r="AB5396">
        <v>29</v>
      </c>
      <c r="AC5396">
        <v>11.912899999999899</v>
      </c>
      <c r="AD5396">
        <v>-1.170882</v>
      </c>
      <c r="AE5396">
        <v>-2.9700499999999899</v>
      </c>
      <c r="AF5396">
        <v>2.9260023097510102</v>
      </c>
      <c r="AG5396">
        <v>-1.170882</v>
      </c>
      <c r="AH5396">
        <v>11.8098231488711</v>
      </c>
      <c r="AI5396">
        <v>95.496934263232603</v>
      </c>
      <c r="AJ5396">
        <v>76.084610629898094</v>
      </c>
      <c r="AK5396">
        <v>12.2231083191717</v>
      </c>
      <c r="AL5396">
        <v>79.023648999870701</v>
      </c>
      <c r="AM5396">
        <v>81.316804729267304</v>
      </c>
      <c r="AN5396">
        <v>0.99999994928956304</v>
      </c>
    </row>
    <row r="5397" spans="1:40" x14ac:dyDescent="0.25">
      <c r="A5397" t="str">
        <f>"20190303162409756"</f>
        <v>20190303162409756</v>
      </c>
      <c r="B5397" t="str">
        <f>"1551601449750512"</f>
        <v>1551601449750512</v>
      </c>
      <c r="C5397" t="s">
        <v>40</v>
      </c>
      <c r="D5397">
        <v>5.5703290000000001</v>
      </c>
      <c r="E5397">
        <v>0.538794199999999</v>
      </c>
      <c r="F5397" t="s">
        <v>43</v>
      </c>
      <c r="G5397">
        <v>-318.50439999999998</v>
      </c>
      <c r="H5397">
        <v>-0.05</v>
      </c>
      <c r="I5397">
        <v>14.73184</v>
      </c>
      <c r="J5397">
        <v>-330.27859999999998</v>
      </c>
      <c r="K5397">
        <v>1.120879</v>
      </c>
      <c r="L5397">
        <v>17.661189999999898</v>
      </c>
      <c r="M5397">
        <v>0.99992760000000003</v>
      </c>
      <c r="N5397">
        <v>-1.195186E-2</v>
      </c>
      <c r="O5397">
        <v>-1.4015119999999999E-3</v>
      </c>
      <c r="P5397">
        <v>0.97236809999999996</v>
      </c>
      <c r="Q5397">
        <v>0.17808389999999999</v>
      </c>
      <c r="R5397">
        <v>-0.150952799999999</v>
      </c>
      <c r="S5397">
        <v>3.0252379999999999</v>
      </c>
      <c r="T5397">
        <v>-0.29695870000000002</v>
      </c>
      <c r="U5397">
        <v>-0.742981</v>
      </c>
      <c r="V5397">
        <v>0.14955370000000001</v>
      </c>
      <c r="W5397">
        <v>0.18972359999999999</v>
      </c>
      <c r="X5397">
        <v>0.97038069999999998</v>
      </c>
      <c r="Y5397">
        <v>0.2359436</v>
      </c>
      <c r="Z5397">
        <v>-1.269995E-2</v>
      </c>
      <c r="AA5397">
        <v>0.97168370000000004</v>
      </c>
      <c r="AB5397">
        <v>29</v>
      </c>
      <c r="AC5397">
        <v>11.7742</v>
      </c>
      <c r="AD5397">
        <v>-1.170879</v>
      </c>
      <c r="AE5397">
        <v>-2.9293499999999901</v>
      </c>
      <c r="AF5397">
        <v>2.8859679455721299</v>
      </c>
      <c r="AG5397">
        <v>-1.170879</v>
      </c>
      <c r="AH5397">
        <v>11.6696179403438</v>
      </c>
      <c r="AI5397">
        <v>95.563136780048197</v>
      </c>
      <c r="AJ5397">
        <v>76.109116970555206</v>
      </c>
      <c r="AK5397">
        <v>12.0780690298203</v>
      </c>
      <c r="AL5397">
        <v>79.063346057830799</v>
      </c>
      <c r="AM5397">
        <v>81.238590134896</v>
      </c>
      <c r="AN5397">
        <v>1.00000002825656</v>
      </c>
    </row>
    <row r="5398" spans="1:40" x14ac:dyDescent="0.25">
      <c r="A5398" t="str">
        <f>"20190303162409769"</f>
        <v>20190303162409769</v>
      </c>
      <c r="B5398" t="str">
        <f>"1551601449760272"</f>
        <v>1551601449760272</v>
      </c>
      <c r="C5398" t="s">
        <v>40</v>
      </c>
      <c r="D5398">
        <v>5.5479329999999996</v>
      </c>
      <c r="E5398">
        <v>0.53880660000000002</v>
      </c>
      <c r="F5398" t="s">
        <v>43</v>
      </c>
      <c r="G5398">
        <v>-318.4597</v>
      </c>
      <c r="H5398">
        <v>-0.05</v>
      </c>
      <c r="I5398">
        <v>14.74342</v>
      </c>
      <c r="J5398">
        <v>-330.12310000000002</v>
      </c>
      <c r="K5398">
        <v>1.1208750000000001</v>
      </c>
      <c r="L5398">
        <v>17.661010000000001</v>
      </c>
      <c r="M5398">
        <v>0.99992789999999998</v>
      </c>
      <c r="N5398">
        <v>-1.193807E-2</v>
      </c>
      <c r="O5398">
        <v>-1.3392040000000001E-3</v>
      </c>
      <c r="P5398">
        <v>0.9722866</v>
      </c>
      <c r="Q5398">
        <v>0.1775736</v>
      </c>
      <c r="R5398">
        <v>-0.15207490000000001</v>
      </c>
      <c r="S5398">
        <v>3.0242610000000001</v>
      </c>
      <c r="T5398">
        <v>-0.29960930000000002</v>
      </c>
      <c r="U5398">
        <v>-0.74661250000000001</v>
      </c>
      <c r="V5398">
        <v>0.1507365</v>
      </c>
      <c r="W5398">
        <v>0.1891997</v>
      </c>
      <c r="X5398">
        <v>0.97030000000000005</v>
      </c>
      <c r="Y5398">
        <v>0.23714979999999999</v>
      </c>
      <c r="Z5398">
        <v>-1.2871820000000001E-2</v>
      </c>
      <c r="AA5398">
        <v>0.97138780000000002</v>
      </c>
      <c r="AB5398">
        <v>29</v>
      </c>
      <c r="AC5398">
        <v>11.663399999999999</v>
      </c>
      <c r="AD5398">
        <v>-1.1708750000000001</v>
      </c>
      <c r="AE5398">
        <v>-2.9175900000000001</v>
      </c>
      <c r="AF5398">
        <v>2.8747016887863901</v>
      </c>
      <c r="AG5398">
        <v>-1.1708750000000001</v>
      </c>
      <c r="AH5398">
        <v>11.5576790542782</v>
      </c>
      <c r="AI5398">
        <v>95.614803324972797</v>
      </c>
      <c r="AJ5398">
        <v>76.032448191736606</v>
      </c>
      <c r="AK5398">
        <v>11.9672387452928</v>
      </c>
      <c r="AL5398">
        <v>79.093917302907698</v>
      </c>
      <c r="AM5398">
        <v>81.169662236961202</v>
      </c>
      <c r="AN5398">
        <v>1.00000005445616</v>
      </c>
    </row>
    <row r="5399" spans="1:40" x14ac:dyDescent="0.25">
      <c r="A5399" t="str">
        <f>"20190303162409779"</f>
        <v>20190303162409779</v>
      </c>
      <c r="B5399" t="str">
        <f>"1551601449770033"</f>
        <v>1551601449770033</v>
      </c>
      <c r="C5399" t="s">
        <v>40</v>
      </c>
      <c r="D5399">
        <v>5.5710879999999996</v>
      </c>
      <c r="E5399">
        <v>0.53880899999999998</v>
      </c>
      <c r="F5399" t="s">
        <v>43</v>
      </c>
      <c r="G5399">
        <v>-318.37849999999997</v>
      </c>
      <c r="H5399">
        <v>-0.05</v>
      </c>
      <c r="I5399">
        <v>14.74779</v>
      </c>
      <c r="J5399">
        <v>-329.97280000000001</v>
      </c>
      <c r="K5399">
        <v>1.1208640000000001</v>
      </c>
      <c r="L5399">
        <v>17.66086</v>
      </c>
      <c r="M5399">
        <v>0.99992820000000004</v>
      </c>
      <c r="N5399">
        <v>-1.192526E-2</v>
      </c>
      <c r="O5399">
        <v>-1.2789279999999999E-3</v>
      </c>
      <c r="P5399">
        <v>0.97224080000000002</v>
      </c>
      <c r="Q5399">
        <v>0.17706050000000001</v>
      </c>
      <c r="R5399">
        <v>-0.15296399999999999</v>
      </c>
      <c r="S5399">
        <v>3.0232540000000001</v>
      </c>
      <c r="T5399">
        <v>-0.30140109999999998</v>
      </c>
      <c r="U5399">
        <v>-0.74990840000000003</v>
      </c>
      <c r="V5399">
        <v>0.15168419999999999</v>
      </c>
      <c r="W5399">
        <v>0.18867339999999999</v>
      </c>
      <c r="X5399">
        <v>0.97025470000000003</v>
      </c>
      <c r="Y5399">
        <v>0.2382611</v>
      </c>
      <c r="Z5399">
        <v>-1.3007049999999999E-2</v>
      </c>
      <c r="AA5399">
        <v>0.97111400000000003</v>
      </c>
      <c r="AB5399">
        <v>29</v>
      </c>
      <c r="AC5399">
        <v>11.5943</v>
      </c>
      <c r="AD5399">
        <v>-1.1708639999999999</v>
      </c>
      <c r="AE5399">
        <v>-2.9130699999999901</v>
      </c>
      <c r="AF5399">
        <v>2.8707006483578299</v>
      </c>
      <c r="AG5399">
        <v>-1.1708639999999999</v>
      </c>
      <c r="AH5399">
        <v>11.487817713903301</v>
      </c>
      <c r="AI5399">
        <v>95.647142455929398</v>
      </c>
      <c r="AJ5399">
        <v>75.969642104223297</v>
      </c>
      <c r="AK5399">
        <v>11.8988150900351</v>
      </c>
      <c r="AL5399">
        <v>79.124624162350798</v>
      </c>
      <c r="AM5399">
        <v>81.114619607875298</v>
      </c>
      <c r="AN5399">
        <v>0.99999996563464399</v>
      </c>
    </row>
    <row r="5400" spans="1:40" x14ac:dyDescent="0.25">
      <c r="A5400" t="str">
        <f>"20190303162409792"</f>
        <v>20190303162409792</v>
      </c>
      <c r="B5400" t="str">
        <f>"1551601449780770"</f>
        <v>1551601449780770</v>
      </c>
      <c r="C5400" t="s">
        <v>40</v>
      </c>
      <c r="D5400">
        <v>5.553083</v>
      </c>
      <c r="E5400">
        <v>0.53882089999999905</v>
      </c>
      <c r="F5400" t="s">
        <v>43</v>
      </c>
      <c r="G5400">
        <v>-318.30009999999999</v>
      </c>
      <c r="H5400">
        <v>-0.05</v>
      </c>
      <c r="I5400">
        <v>14.75507</v>
      </c>
      <c r="J5400">
        <v>-329.82150000000001</v>
      </c>
      <c r="K5400">
        <v>1.12086</v>
      </c>
      <c r="L5400">
        <v>17.660740000000001</v>
      </c>
      <c r="M5400">
        <v>0.99992840000000005</v>
      </c>
      <c r="N5400">
        <v>-1.191335E-2</v>
      </c>
      <c r="O5400">
        <v>-1.220701E-3</v>
      </c>
      <c r="P5400">
        <v>0.97214160000000005</v>
      </c>
      <c r="Q5400">
        <v>0.17697280000000001</v>
      </c>
      <c r="R5400">
        <v>-0.15369349999999901</v>
      </c>
      <c r="S5400">
        <v>3.022491</v>
      </c>
      <c r="T5400">
        <v>-0.30317880000000003</v>
      </c>
      <c r="U5400">
        <v>-0.75241089999999999</v>
      </c>
      <c r="V5400">
        <v>0.1524713</v>
      </c>
      <c r="W5400">
        <v>0.18857270000000001</v>
      </c>
      <c r="X5400">
        <v>0.97015090000000004</v>
      </c>
      <c r="Y5400">
        <v>0.2391133</v>
      </c>
      <c r="Z5400">
        <v>-1.312747E-2</v>
      </c>
      <c r="AA5400">
        <v>0.97090290000000001</v>
      </c>
      <c r="AB5400">
        <v>29</v>
      </c>
      <c r="AC5400">
        <v>11.5214</v>
      </c>
      <c r="AD5400">
        <v>-1.17086</v>
      </c>
      <c r="AE5400">
        <v>-2.90566999999999</v>
      </c>
      <c r="AF5400">
        <v>2.8637951782865301</v>
      </c>
      <c r="AG5400">
        <v>-1.17086</v>
      </c>
      <c r="AH5400">
        <v>11.414107539445199</v>
      </c>
      <c r="AI5400">
        <v>95.682011523335603</v>
      </c>
      <c r="AJ5400">
        <v>75.915254718121702</v>
      </c>
      <c r="AK5400">
        <v>11.8259920042589</v>
      </c>
      <c r="AL5400">
        <v>79.130499298059505</v>
      </c>
      <c r="AM5400">
        <v>81.068313924857506</v>
      </c>
      <c r="AN5400">
        <v>0.99999996463989405</v>
      </c>
    </row>
    <row r="5401" spans="1:40" x14ac:dyDescent="0.25">
      <c r="A5401" t="str">
        <f>"20190303162409805"</f>
        <v>20190303162409805</v>
      </c>
      <c r="B5401" t="str">
        <f>"1551601449800288"</f>
        <v>1551601449800288</v>
      </c>
      <c r="C5401" t="s">
        <v>40</v>
      </c>
      <c r="D5401">
        <v>5.5774860000000004</v>
      </c>
      <c r="E5401">
        <v>0.53888319999999901</v>
      </c>
      <c r="F5401" t="s">
        <v>43</v>
      </c>
      <c r="G5401">
        <v>-318.16890000000001</v>
      </c>
      <c r="H5401">
        <v>-0.05</v>
      </c>
      <c r="I5401">
        <v>14.7494</v>
      </c>
      <c r="J5401">
        <v>-329.65679999999998</v>
      </c>
      <c r="K5401">
        <v>1.120857</v>
      </c>
      <c r="L5401">
        <v>17.66058</v>
      </c>
      <c r="M5401">
        <v>0.99992859999999995</v>
      </c>
      <c r="N5401">
        <v>-1.1900829999999999E-2</v>
      </c>
      <c r="O5401">
        <v>-1.1592670000000001E-3</v>
      </c>
      <c r="P5401">
        <v>0.97210909999999995</v>
      </c>
      <c r="Q5401">
        <v>0.1766655</v>
      </c>
      <c r="R5401">
        <v>-0.1542521</v>
      </c>
      <c r="S5401">
        <v>3.0219119999999999</v>
      </c>
      <c r="T5401">
        <v>-0.30364289999999999</v>
      </c>
      <c r="U5401">
        <v>-0.75500489999999998</v>
      </c>
      <c r="V5401">
        <v>0.15309039999999999</v>
      </c>
      <c r="W5401">
        <v>0.18825239999999999</v>
      </c>
      <c r="X5401">
        <v>0.97011570000000003</v>
      </c>
      <c r="Y5401">
        <v>0.2399925</v>
      </c>
      <c r="Z5401">
        <v>-1.3198909999999999E-2</v>
      </c>
      <c r="AA5401">
        <v>0.97068500000000002</v>
      </c>
      <c r="AB5401">
        <v>29</v>
      </c>
      <c r="AC5401">
        <v>11.4878999999999</v>
      </c>
      <c r="AD5401">
        <v>-1.170857</v>
      </c>
      <c r="AE5401">
        <v>-2.9111799999999999</v>
      </c>
      <c r="AF5401">
        <v>2.8698468856988999</v>
      </c>
      <c r="AG5401">
        <v>-1.170857</v>
      </c>
      <c r="AH5401">
        <v>11.380184982782501</v>
      </c>
      <c r="AI5401">
        <v>95.697109277912503</v>
      </c>
      <c r="AJ5401">
        <v>75.846298149832705</v>
      </c>
      <c r="AK5401">
        <v>11.7947249863722</v>
      </c>
      <c r="AL5401">
        <v>79.149186794771396</v>
      </c>
      <c r="AM5401">
        <v>81.032315481984099</v>
      </c>
      <c r="AN5401">
        <v>1.0000000540322</v>
      </c>
    </row>
    <row r="5402" spans="1:40" x14ac:dyDescent="0.25">
      <c r="A5402" t="str">
        <f>"20190303162409818"</f>
        <v>20190303162409818</v>
      </c>
      <c r="B5402" t="str">
        <f>"1551601449810049"</f>
        <v>1551601449810049</v>
      </c>
      <c r="C5402" t="s">
        <v>40</v>
      </c>
      <c r="D5402">
        <v>5.5699750000000003</v>
      </c>
      <c r="E5402">
        <v>0.53889719999999997</v>
      </c>
      <c r="F5402" t="s">
        <v>43</v>
      </c>
      <c r="G5402">
        <v>-318.01639999999998</v>
      </c>
      <c r="H5402">
        <v>-0.05</v>
      </c>
      <c r="I5402">
        <v>14.74301</v>
      </c>
      <c r="J5402">
        <v>-329.47379999999998</v>
      </c>
      <c r="K5402">
        <v>1.120852</v>
      </c>
      <c r="L5402">
        <v>17.660429999999899</v>
      </c>
      <c r="M5402">
        <v>0.9999287</v>
      </c>
      <c r="N5402">
        <v>-1.1887979999999999E-2</v>
      </c>
      <c r="O5402">
        <v>-1.100036E-3</v>
      </c>
      <c r="P5402">
        <v>0.97205469999999905</v>
      </c>
      <c r="Q5402">
        <v>0.17655799999999999</v>
      </c>
      <c r="R5402">
        <v>-0.15471550000000001</v>
      </c>
      <c r="S5402">
        <v>3.0211790000000001</v>
      </c>
      <c r="T5402">
        <v>-0.3038862</v>
      </c>
      <c r="U5402">
        <v>-0.75723269999999998</v>
      </c>
      <c r="V5402">
        <v>0.15361459999999999</v>
      </c>
      <c r="W5402">
        <v>0.1881292</v>
      </c>
      <c r="X5402">
        <v>0.97005669999999999</v>
      </c>
      <c r="Y5402">
        <v>0.2407724</v>
      </c>
      <c r="Z5402">
        <v>-1.325695E-2</v>
      </c>
      <c r="AA5402">
        <v>0.97049110000000005</v>
      </c>
      <c r="AB5402">
        <v>29</v>
      </c>
      <c r="AC5402">
        <v>11.4574</v>
      </c>
      <c r="AD5402">
        <v>-1.170852</v>
      </c>
      <c r="AE5402">
        <v>-2.9174199999999901</v>
      </c>
      <c r="AF5402">
        <v>2.8766021501395098</v>
      </c>
      <c r="AG5402">
        <v>-1.170852</v>
      </c>
      <c r="AH5402">
        <v>11.349296836048699</v>
      </c>
      <c r="AI5402">
        <v>95.710759949928701</v>
      </c>
      <c r="AJ5402">
        <v>75.777282477954003</v>
      </c>
      <c r="AK5402">
        <v>11.76657439567</v>
      </c>
      <c r="AL5402">
        <v>79.156373692732004</v>
      </c>
      <c r="AM5402">
        <v>81.001572284753607</v>
      </c>
      <c r="AN5402">
        <v>1.0000000212203399</v>
      </c>
    </row>
    <row r="5403" spans="1:40" x14ac:dyDescent="0.25">
      <c r="A5403" t="str">
        <f>"20190303162409836"</f>
        <v>20190303162409836</v>
      </c>
      <c r="B5403" t="str">
        <f>"1551601449830545"</f>
        <v>1551601449830545</v>
      </c>
      <c r="C5403" t="s">
        <v>40</v>
      </c>
      <c r="D5403">
        <v>5.5733189999999997</v>
      </c>
      <c r="E5403">
        <v>0.53893579999999996</v>
      </c>
      <c r="F5403" t="s">
        <v>43</v>
      </c>
      <c r="G5403">
        <v>-317.85270000000003</v>
      </c>
      <c r="H5403">
        <v>-0.05</v>
      </c>
      <c r="I5403">
        <v>14.742839999999999</v>
      </c>
      <c r="J5403">
        <v>-329.25189999999998</v>
      </c>
      <c r="K5403">
        <v>1.1208389999999999</v>
      </c>
      <c r="L5403">
        <v>17.660250000000001</v>
      </c>
      <c r="M5403">
        <v>0.99992899999999996</v>
      </c>
      <c r="N5403">
        <v>-1.187356E-2</v>
      </c>
      <c r="O5403">
        <v>-1.042072E-3</v>
      </c>
      <c r="P5403">
        <v>0.97178169999999997</v>
      </c>
      <c r="Q5403">
        <v>0.17689569999999999</v>
      </c>
      <c r="R5403">
        <v>-0.15603929999999999</v>
      </c>
      <c r="S5403">
        <v>3.0207519999999999</v>
      </c>
      <c r="T5403">
        <v>-0.30434860000000002</v>
      </c>
      <c r="U5403">
        <v>-0.75839230000000002</v>
      </c>
      <c r="V5403">
        <v>0.15500039999999901</v>
      </c>
      <c r="W5403">
        <v>0.18844530000000001</v>
      </c>
      <c r="X5403">
        <v>0.96977480000000005</v>
      </c>
      <c r="Y5403">
        <v>0.24120520000000001</v>
      </c>
      <c r="Z5403">
        <v>-1.3303260000000001E-2</v>
      </c>
      <c r="AA5403">
        <v>0.97038290000000005</v>
      </c>
      <c r="AB5403">
        <v>29</v>
      </c>
      <c r="AC5403">
        <v>11.399199999999899</v>
      </c>
      <c r="AD5403">
        <v>-1.170839</v>
      </c>
      <c r="AE5403">
        <v>-2.9174099999999998</v>
      </c>
      <c r="AF5403">
        <v>2.87704235578025</v>
      </c>
      <c r="AG5403">
        <v>-1.170839</v>
      </c>
      <c r="AH5403">
        <v>11.2904441930782</v>
      </c>
      <c r="AI5403">
        <v>95.738415141952899</v>
      </c>
      <c r="AJ5403">
        <v>75.704077972406694</v>
      </c>
      <c r="AK5403">
        <v>11.7099259928441</v>
      </c>
      <c r="AL5403">
        <v>79.1379319757513</v>
      </c>
      <c r="AM5403">
        <v>80.919145955542305</v>
      </c>
      <c r="AN5403">
        <v>0.99999995890364402</v>
      </c>
    </row>
    <row r="5404" spans="1:40" x14ac:dyDescent="0.25">
      <c r="A5404" t="str">
        <f>"20190303162409848"</f>
        <v>20190303162409848</v>
      </c>
      <c r="B5404" t="str">
        <f>"1551601449840304"</f>
        <v>1551601449840304</v>
      </c>
      <c r="C5404" t="s">
        <v>40</v>
      </c>
      <c r="D5404">
        <v>5.5886100000000001</v>
      </c>
      <c r="E5404">
        <v>0.53882769999999902</v>
      </c>
      <c r="F5404" t="s">
        <v>43</v>
      </c>
      <c r="G5404">
        <v>-317.59280000000001</v>
      </c>
      <c r="H5404">
        <v>-0.05</v>
      </c>
      <c r="I5404">
        <v>14.72104</v>
      </c>
      <c r="J5404">
        <v>-329.096</v>
      </c>
      <c r="K5404">
        <v>1.12083</v>
      </c>
      <c r="L5404">
        <v>17.660129999999999</v>
      </c>
      <c r="M5404">
        <v>0.99992910000000002</v>
      </c>
      <c r="N5404">
        <v>-1.186419E-2</v>
      </c>
      <c r="O5404">
        <v>-1.009624E-3</v>
      </c>
      <c r="P5404">
        <v>0.97169309999999998</v>
      </c>
      <c r="Q5404">
        <v>0.17701749999999999</v>
      </c>
      <c r="R5404">
        <v>-0.15645229999999999</v>
      </c>
      <c r="S5404">
        <v>3.0200809999999998</v>
      </c>
      <c r="T5404">
        <v>-0.30328519999999998</v>
      </c>
      <c r="U5404">
        <v>-0.76135249999999999</v>
      </c>
      <c r="V5404">
        <v>0.1554499</v>
      </c>
      <c r="W5404">
        <v>0.188553</v>
      </c>
      <c r="X5404">
        <v>0.96968200000000004</v>
      </c>
      <c r="Y5404">
        <v>0.24218509999999999</v>
      </c>
      <c r="Z5404">
        <v>-1.3319330000000001E-2</v>
      </c>
      <c r="AA5404">
        <v>0.97013859999999996</v>
      </c>
      <c r="AB5404">
        <v>29</v>
      </c>
      <c r="AC5404">
        <v>11.5031999999999</v>
      </c>
      <c r="AD5404">
        <v>-1.17083</v>
      </c>
      <c r="AE5404">
        <v>-2.9390900000000002</v>
      </c>
      <c r="AF5404">
        <v>2.8992785242181198</v>
      </c>
      <c r="AG5404">
        <v>-1.17083</v>
      </c>
      <c r="AH5404">
        <v>11.3953429167448</v>
      </c>
      <c r="AI5404">
        <v>95.686427757484495</v>
      </c>
      <c r="AJ5404">
        <v>75.725299121638002</v>
      </c>
      <c r="AK5404">
        <v>11.8165349845078</v>
      </c>
      <c r="AL5404">
        <v>79.131649506807406</v>
      </c>
      <c r="AM5404">
        <v>80.892395287711494</v>
      </c>
      <c r="AN5404">
        <v>1.0000000431714999</v>
      </c>
    </row>
    <row r="5405" spans="1:40" x14ac:dyDescent="0.25">
      <c r="A5405" t="str">
        <f>"20190303162409867"</f>
        <v>20190303162409867</v>
      </c>
      <c r="B5405" t="str">
        <f>"1551601449860800"</f>
        <v>1551601449860800</v>
      </c>
      <c r="C5405" t="s">
        <v>40</v>
      </c>
      <c r="D5405">
        <v>5.5789030000000004</v>
      </c>
      <c r="E5405">
        <v>0.53878590000000004</v>
      </c>
      <c r="F5405" t="s">
        <v>43</v>
      </c>
      <c r="G5405">
        <v>-317.45389999999998</v>
      </c>
      <c r="H5405">
        <v>-0.05</v>
      </c>
      <c r="I5405">
        <v>14.72377</v>
      </c>
      <c r="J5405">
        <v>-328.84309999999999</v>
      </c>
      <c r="K5405">
        <v>1.120817</v>
      </c>
      <c r="L5405">
        <v>17.65991</v>
      </c>
      <c r="M5405">
        <v>0.99992939999999997</v>
      </c>
      <c r="N5405">
        <v>-1.185042E-2</v>
      </c>
      <c r="O5405">
        <v>-9.7202289999999999E-4</v>
      </c>
      <c r="P5405">
        <v>0.97148690000000004</v>
      </c>
      <c r="Q5405">
        <v>0.17735000000000001</v>
      </c>
      <c r="R5405">
        <v>-0.15735469999999999</v>
      </c>
      <c r="S5405">
        <v>3.0200809999999998</v>
      </c>
      <c r="T5405">
        <v>-0.30372290000000002</v>
      </c>
      <c r="U5405">
        <v>-0.76171880000000003</v>
      </c>
      <c r="V5405">
        <v>0.1563976</v>
      </c>
      <c r="W5405">
        <v>0.18886249999999999</v>
      </c>
      <c r="X5405">
        <v>0.96946929999999998</v>
      </c>
      <c r="Y5405">
        <v>0.24232799999999999</v>
      </c>
      <c r="Z5405">
        <v>-1.334568E-2</v>
      </c>
      <c r="AA5405">
        <v>0.97010260000000004</v>
      </c>
      <c r="AB5405">
        <v>29</v>
      </c>
      <c r="AC5405">
        <v>11.389200000000001</v>
      </c>
      <c r="AD5405">
        <v>-1.170817</v>
      </c>
      <c r="AE5405">
        <v>-2.9361399999999902</v>
      </c>
      <c r="AF5405">
        <v>2.89636607272034</v>
      </c>
      <c r="AG5405">
        <v>-1.170817</v>
      </c>
      <c r="AH5405">
        <v>11.280268316497301</v>
      </c>
      <c r="AI5405">
        <v>95.740789345702893</v>
      </c>
      <c r="AJ5405">
        <v>75.599592885889194</v>
      </c>
      <c r="AK5405">
        <v>11.704879417015199</v>
      </c>
      <c r="AL5405">
        <v>79.1135914269843</v>
      </c>
      <c r="AM5405">
        <v>80.835833680011206</v>
      </c>
      <c r="AN5405">
        <v>0.99999998841724902</v>
      </c>
    </row>
    <row r="5406" spans="1:40" x14ac:dyDescent="0.25">
      <c r="A5406" t="str">
        <f>"20190303162409880"</f>
        <v>20190303162409880</v>
      </c>
      <c r="B5406" t="str">
        <f>"1551601449870561"</f>
        <v>1551601449870561</v>
      </c>
      <c r="C5406" t="s">
        <v>40</v>
      </c>
      <c r="D5406">
        <v>5.5568339999999896</v>
      </c>
      <c r="E5406">
        <v>0.53878919999999997</v>
      </c>
      <c r="F5406" t="s">
        <v>43</v>
      </c>
      <c r="G5406">
        <v>-317.14600000000002</v>
      </c>
      <c r="H5406">
        <v>-0.05</v>
      </c>
      <c r="I5406">
        <v>14.695270000000001</v>
      </c>
      <c r="J5406">
        <v>-328.68180000000001</v>
      </c>
      <c r="K5406">
        <v>1.1208100000000001</v>
      </c>
      <c r="L5406">
        <v>17.659759999999999</v>
      </c>
      <c r="M5406">
        <v>0.99992939999999997</v>
      </c>
      <c r="N5406">
        <v>-1.1842299999999899E-2</v>
      </c>
      <c r="O5406">
        <v>-9.5568889999999998E-4</v>
      </c>
      <c r="P5406">
        <v>0.97139129999999996</v>
      </c>
      <c r="Q5406">
        <v>0.17758699999999999</v>
      </c>
      <c r="R5406">
        <v>-0.15767799999999901</v>
      </c>
      <c r="S5406">
        <v>3.0192570000000001</v>
      </c>
      <c r="T5406">
        <v>-0.3022089</v>
      </c>
      <c r="U5406">
        <v>-0.76522829999999997</v>
      </c>
      <c r="V5406">
        <v>0.15674199999999999</v>
      </c>
      <c r="W5406">
        <v>0.1890859</v>
      </c>
      <c r="X5406">
        <v>0.96937010000000001</v>
      </c>
      <c r="Y5406">
        <v>0.2434721</v>
      </c>
      <c r="Z5406">
        <v>-1.335196E-2</v>
      </c>
      <c r="AA5406">
        <v>0.96981600000000001</v>
      </c>
      <c r="AB5406">
        <v>29</v>
      </c>
      <c r="AC5406">
        <v>11.5358</v>
      </c>
      <c r="AD5406">
        <v>-1.1708099999999999</v>
      </c>
      <c r="AE5406">
        <v>-2.9644900000000001</v>
      </c>
      <c r="AF5406">
        <v>2.9251975676005899</v>
      </c>
      <c r="AG5406">
        <v>-1.1708099999999999</v>
      </c>
      <c r="AH5406">
        <v>11.428199381716</v>
      </c>
      <c r="AI5406">
        <v>95.668016168688297</v>
      </c>
      <c r="AJ5406">
        <v>75.642646586993905</v>
      </c>
      <c r="AK5406">
        <v>11.8545905865134</v>
      </c>
      <c r="AL5406">
        <v>79.100556393027503</v>
      </c>
      <c r="AM5406">
        <v>80.815073156186898</v>
      </c>
      <c r="AN5406">
        <v>0.99999996145840897</v>
      </c>
    </row>
    <row r="5407" spans="1:40" x14ac:dyDescent="0.25">
      <c r="A5407" t="str">
        <f>"20190303162409893"</f>
        <v>20190303162409893</v>
      </c>
      <c r="B5407" t="str">
        <f>"1551601449880320"</f>
        <v>1551601449880320</v>
      </c>
      <c r="C5407" t="s">
        <v>40</v>
      </c>
      <c r="D5407">
        <v>5.6070379999999904</v>
      </c>
      <c r="E5407">
        <v>0.53879860000000002</v>
      </c>
      <c r="F5407" t="s">
        <v>43</v>
      </c>
      <c r="G5407">
        <v>-316.95350000000002</v>
      </c>
      <c r="H5407">
        <v>-0.05</v>
      </c>
      <c r="I5407">
        <v>14.68291</v>
      </c>
      <c r="J5407">
        <v>-328.51440000000002</v>
      </c>
      <c r="K5407">
        <v>1.1208</v>
      </c>
      <c r="L5407">
        <v>17.659610000000001</v>
      </c>
      <c r="M5407">
        <v>0.99992959999999997</v>
      </c>
      <c r="N5407">
        <v>-1.1834799999999999E-2</v>
      </c>
      <c r="O5407">
        <v>-9.4792650000000004E-4</v>
      </c>
      <c r="P5407">
        <v>0.97125819999999996</v>
      </c>
      <c r="Q5407">
        <v>0.17822399999999999</v>
      </c>
      <c r="R5407">
        <v>-0.157779</v>
      </c>
      <c r="S5407">
        <v>3.0190730000000001</v>
      </c>
      <c r="T5407">
        <v>-0.3013884</v>
      </c>
      <c r="U5407">
        <v>-0.76629639999999999</v>
      </c>
      <c r="V5407">
        <v>0.15685539999999901</v>
      </c>
      <c r="W5407">
        <v>0.18970999999999999</v>
      </c>
      <c r="X5407">
        <v>0.96922989999999998</v>
      </c>
      <c r="Y5407">
        <v>0.2438208</v>
      </c>
      <c r="Z5407">
        <v>-1.333903E-2</v>
      </c>
      <c r="AA5407">
        <v>0.96972860000000005</v>
      </c>
      <c r="AB5407">
        <v>29</v>
      </c>
      <c r="AC5407">
        <v>11.5609</v>
      </c>
      <c r="AD5407">
        <v>-1.1708000000000001</v>
      </c>
      <c r="AE5407">
        <v>-2.9766999999999899</v>
      </c>
      <c r="AF5407">
        <v>2.9374850054502799</v>
      </c>
      <c r="AG5407">
        <v>-1.1708000000000001</v>
      </c>
      <c r="AH5407">
        <v>11.453551461797099</v>
      </c>
      <c r="AI5407">
        <v>95.654819758145507</v>
      </c>
      <c r="AJ5407">
        <v>75.615428011147898</v>
      </c>
      <c r="AK5407">
        <v>11.882063452333499</v>
      </c>
      <c r="AL5407">
        <v>79.064139932595694</v>
      </c>
      <c r="AM5407">
        <v>80.807234556114395</v>
      </c>
      <c r="AN5407">
        <v>1.00000004983158</v>
      </c>
    </row>
    <row r="5408" spans="1:40" x14ac:dyDescent="0.25">
      <c r="A5408" t="str">
        <f>"20190303162409906"</f>
        <v>20190303162409906</v>
      </c>
      <c r="B5408" t="str">
        <f>"1551601449900817"</f>
        <v>1551601449900817</v>
      </c>
      <c r="C5408" t="s">
        <v>40</v>
      </c>
      <c r="D5408">
        <v>5.5917089999999998</v>
      </c>
      <c r="E5408">
        <v>0.538695699999999</v>
      </c>
      <c r="F5408" t="s">
        <v>43</v>
      </c>
      <c r="G5408">
        <v>-316.69720000000001</v>
      </c>
      <c r="H5408">
        <v>-0.05</v>
      </c>
      <c r="I5408">
        <v>14.65916</v>
      </c>
      <c r="J5408">
        <v>-328.33659999999998</v>
      </c>
      <c r="K5408">
        <v>1.1207879999999999</v>
      </c>
      <c r="L5408">
        <v>17.65945</v>
      </c>
      <c r="M5408">
        <v>0.99992970000000003</v>
      </c>
      <c r="N5408">
        <v>-1.1826390000000001E-2</v>
      </c>
      <c r="O5408">
        <v>-9.5031309999999997E-4</v>
      </c>
      <c r="P5408">
        <v>0.97113570000000005</v>
      </c>
      <c r="Q5408">
        <v>0.17848020000000001</v>
      </c>
      <c r="R5408">
        <v>-0.15824179999999999</v>
      </c>
      <c r="S5408">
        <v>3.0191349999999999</v>
      </c>
      <c r="T5408">
        <v>-0.29912329999999998</v>
      </c>
      <c r="U5408">
        <v>-0.766571</v>
      </c>
      <c r="V5408">
        <v>0.15732179999999901</v>
      </c>
      <c r="W5408">
        <v>0.18995200000000001</v>
      </c>
      <c r="X5408">
        <v>0.96910689999999999</v>
      </c>
      <c r="Y5408">
        <v>0.2439144</v>
      </c>
      <c r="Z5408">
        <v>-1.325379E-2</v>
      </c>
      <c r="AA5408">
        <v>0.96970619999999996</v>
      </c>
      <c r="AB5408">
        <v>29</v>
      </c>
      <c r="AC5408">
        <v>11.639399999999901</v>
      </c>
      <c r="AD5408">
        <v>-1.1707879999999999</v>
      </c>
      <c r="AE5408">
        <v>-3.0002900000000001</v>
      </c>
      <c r="AF5408">
        <v>2.9611327342098899</v>
      </c>
      <c r="AG5408">
        <v>-1.1707879999999999</v>
      </c>
      <c r="AH5408">
        <v>11.532827224413699</v>
      </c>
      <c r="AI5408">
        <v>95.615754858408195</v>
      </c>
      <c r="AJ5408">
        <v>75.599972075647699</v>
      </c>
      <c r="AK5408">
        <v>11.9643284558195</v>
      </c>
      <c r="AL5408">
        <v>79.050017536937702</v>
      </c>
      <c r="AM5408">
        <v>80.779219087689</v>
      </c>
      <c r="AN5408">
        <v>1.0000000473434201</v>
      </c>
    </row>
    <row r="5409" spans="1:40" x14ac:dyDescent="0.25">
      <c r="A5409" t="str">
        <f>"20190303162409924"</f>
        <v>20190303162409924</v>
      </c>
      <c r="B5409" t="str">
        <f>"1551601449910576"</f>
        <v>1551601449910576</v>
      </c>
      <c r="C5409" t="s">
        <v>40</v>
      </c>
      <c r="D5409">
        <v>5.6128439999999999</v>
      </c>
      <c r="E5409">
        <v>0.53865260000000004</v>
      </c>
      <c r="F5409" t="s">
        <v>43</v>
      </c>
      <c r="G5409">
        <v>-316.4984</v>
      </c>
      <c r="H5409">
        <v>-0.05</v>
      </c>
      <c r="I5409">
        <v>14.65207</v>
      </c>
      <c r="J5409">
        <v>-328.11419999999998</v>
      </c>
      <c r="K5409">
        <v>1.1207659999999999</v>
      </c>
      <c r="L5409">
        <v>17.659210000000002</v>
      </c>
      <c r="M5409">
        <v>0.99992979999999998</v>
      </c>
      <c r="N5409">
        <v>-1.181331E-2</v>
      </c>
      <c r="O5409">
        <v>-9.7948200000000005E-4</v>
      </c>
      <c r="P5409">
        <v>0.97082579999999996</v>
      </c>
      <c r="Q5409">
        <v>0.1783573</v>
      </c>
      <c r="R5409">
        <v>-0.16026960000000001</v>
      </c>
      <c r="S5409">
        <v>3.0190730000000001</v>
      </c>
      <c r="T5409">
        <v>-0.2985835</v>
      </c>
      <c r="U5409">
        <v>-0.76696779999999998</v>
      </c>
      <c r="V5409">
        <v>0.15933029999999901</v>
      </c>
      <c r="W5409">
        <v>0.18980549999999999</v>
      </c>
      <c r="X5409">
        <v>0.96880739999999999</v>
      </c>
      <c r="Y5409">
        <v>0.2440145</v>
      </c>
      <c r="Z5409">
        <v>-1.3234030000000001E-2</v>
      </c>
      <c r="AA5409">
        <v>0.96968129999999997</v>
      </c>
      <c r="AB5409">
        <v>29</v>
      </c>
      <c r="AC5409">
        <v>11.615799999999901</v>
      </c>
      <c r="AD5409">
        <v>-1.170766</v>
      </c>
      <c r="AE5409">
        <v>-3.0071400000000001</v>
      </c>
      <c r="AF5409">
        <v>2.9675075336210499</v>
      </c>
      <c r="AG5409">
        <v>-1.170766</v>
      </c>
      <c r="AH5409">
        <v>11.5091647118059</v>
      </c>
      <c r="AI5409">
        <v>95.625662223620097</v>
      </c>
      <c r="AJ5409">
        <v>75.541839509717207</v>
      </c>
      <c r="AK5409">
        <v>11.9431012033027</v>
      </c>
      <c r="AL5409">
        <v>79.058566658119602</v>
      </c>
      <c r="AM5409">
        <v>80.660723693496607</v>
      </c>
      <c r="AN5409">
        <v>1.00000002531154</v>
      </c>
    </row>
    <row r="5410" spans="1:40" x14ac:dyDescent="0.25">
      <c r="A5410" t="str">
        <f>"20190303162409936"</f>
        <v>20190303162409936</v>
      </c>
      <c r="B5410" t="str">
        <f>"1551601449930097"</f>
        <v>1551601449930097</v>
      </c>
      <c r="C5410" t="s">
        <v>40</v>
      </c>
      <c r="D5410">
        <v>5.5875139999999996</v>
      </c>
      <c r="E5410">
        <v>0.5385683</v>
      </c>
      <c r="F5410" t="s">
        <v>43</v>
      </c>
      <c r="G5410">
        <v>-316.30459999999999</v>
      </c>
      <c r="H5410">
        <v>-0.05</v>
      </c>
      <c r="I5410">
        <v>14.638400000000001</v>
      </c>
      <c r="J5410">
        <v>-327.93619999999999</v>
      </c>
      <c r="K5410">
        <v>1.1207419999999999</v>
      </c>
      <c r="L5410">
        <v>17.658999999999999</v>
      </c>
      <c r="M5410">
        <v>0.99992990000000004</v>
      </c>
      <c r="N5410">
        <v>-1.1798339999999999E-2</v>
      </c>
      <c r="O5410">
        <v>-1.0320349999999999E-3</v>
      </c>
      <c r="P5410">
        <v>0.97062809999999999</v>
      </c>
      <c r="Q5410">
        <v>0.17847279999999999</v>
      </c>
      <c r="R5410">
        <v>-0.16133400000000001</v>
      </c>
      <c r="S5410">
        <v>3.0177309999999999</v>
      </c>
      <c r="T5410">
        <v>-0.29916690000000001</v>
      </c>
      <c r="U5410">
        <v>-0.77191160000000003</v>
      </c>
      <c r="V5410">
        <v>0.16035369999999999</v>
      </c>
      <c r="W5410">
        <v>0.18989590000000001</v>
      </c>
      <c r="X5410">
        <v>0.96862079999999995</v>
      </c>
      <c r="Y5410">
        <v>0.24554519999999999</v>
      </c>
      <c r="Z5410">
        <v>-1.333724E-2</v>
      </c>
      <c r="AA5410">
        <v>0.96929339999999997</v>
      </c>
      <c r="AB5410">
        <v>29</v>
      </c>
      <c r="AC5410">
        <v>11.631599999999899</v>
      </c>
      <c r="AD5410">
        <v>-1.1707419999999999</v>
      </c>
      <c r="AE5410">
        <v>-3.0206</v>
      </c>
      <c r="AF5410">
        <v>2.9803079727719601</v>
      </c>
      <c r="AG5410">
        <v>-1.1707419999999999</v>
      </c>
      <c r="AH5410">
        <v>11.525327358737499</v>
      </c>
      <c r="AI5410">
        <v>95.616697071749201</v>
      </c>
      <c r="AJ5410">
        <v>75.501604548397495</v>
      </c>
      <c r="AK5410">
        <v>11.9618578477256</v>
      </c>
      <c r="AL5410">
        <v>79.053290983308202</v>
      </c>
      <c r="AM5410">
        <v>80.600024964031803</v>
      </c>
      <c r="AN5410">
        <v>1.0000000080665601</v>
      </c>
    </row>
    <row r="5411" spans="1:40" x14ac:dyDescent="0.25">
      <c r="A5411" t="str">
        <f>"20190303162409948"</f>
        <v>20190303162409948</v>
      </c>
      <c r="B5411" t="str">
        <f>"1551601449939856"</f>
        <v>1551601449939856</v>
      </c>
      <c r="C5411" t="s">
        <v>40</v>
      </c>
      <c r="D5411">
        <v>5.5799760000000003</v>
      </c>
      <c r="E5411">
        <v>0.53861490000000001</v>
      </c>
      <c r="F5411" t="s">
        <v>43</v>
      </c>
      <c r="G5411">
        <v>-316.13780000000003</v>
      </c>
      <c r="H5411">
        <v>-0.05</v>
      </c>
      <c r="I5411">
        <v>14.63326</v>
      </c>
      <c r="J5411">
        <v>-327.79480000000001</v>
      </c>
      <c r="K5411">
        <v>1.1207149999999999</v>
      </c>
      <c r="L5411">
        <v>17.65878</v>
      </c>
      <c r="M5411">
        <v>0.99992999999999999</v>
      </c>
      <c r="N5411">
        <v>-1.178423E-2</v>
      </c>
      <c r="O5411">
        <v>-1.08767E-3</v>
      </c>
      <c r="P5411">
        <v>0.97039819999999999</v>
      </c>
      <c r="Q5411">
        <v>0.17854890000000001</v>
      </c>
      <c r="R5411">
        <v>-0.1626281</v>
      </c>
      <c r="S5411">
        <v>3.0171809999999999</v>
      </c>
      <c r="T5411">
        <v>-0.29939250000000001</v>
      </c>
      <c r="U5411">
        <v>-0.77377320000000005</v>
      </c>
      <c r="V5411">
        <v>0.16160329999999901</v>
      </c>
      <c r="W5411">
        <v>0.1899478</v>
      </c>
      <c r="X5411">
        <v>0.96840289999999996</v>
      </c>
      <c r="Y5411">
        <v>0.24609039999999999</v>
      </c>
      <c r="Z5411">
        <v>-1.3370719999999999E-2</v>
      </c>
      <c r="AA5411">
        <v>0.96915469999999904</v>
      </c>
      <c r="AB5411">
        <v>29</v>
      </c>
      <c r="AC5411">
        <v>11.656999999999901</v>
      </c>
      <c r="AD5411">
        <v>-1.170715</v>
      </c>
      <c r="AE5411">
        <v>-3.0255200000000002</v>
      </c>
      <c r="AF5411">
        <v>2.9846345706267901</v>
      </c>
      <c r="AG5411">
        <v>-1.170715</v>
      </c>
      <c r="AH5411">
        <v>11.5511298180372</v>
      </c>
      <c r="AI5411">
        <v>95.604376230648896</v>
      </c>
      <c r="AJ5411">
        <v>75.512510489197396</v>
      </c>
      <c r="AK5411">
        <v>11.9877945096065</v>
      </c>
      <c r="AL5411">
        <v>79.050261950684401</v>
      </c>
      <c r="AM5411">
        <v>80.526002810150402</v>
      </c>
      <c r="AN5411">
        <v>0.99999998501206899</v>
      </c>
    </row>
    <row r="5412" spans="1:40" x14ac:dyDescent="0.25">
      <c r="A5412" t="str">
        <f>"20190303162409961"</f>
        <v>20190303162409961</v>
      </c>
      <c r="B5412" t="str">
        <f>"1551601449950592"</f>
        <v>1551601449950592</v>
      </c>
      <c r="C5412" t="s">
        <v>40</v>
      </c>
      <c r="D5412">
        <v>5.5706480000000003</v>
      </c>
      <c r="E5412">
        <v>0.53866930000000002</v>
      </c>
      <c r="F5412" t="s">
        <v>43</v>
      </c>
      <c r="G5412">
        <v>-315.99220000000003</v>
      </c>
      <c r="H5412">
        <v>-0.05</v>
      </c>
      <c r="I5412">
        <v>14.61467</v>
      </c>
      <c r="J5412">
        <v>-327.62</v>
      </c>
      <c r="K5412">
        <v>1.1206879999999999</v>
      </c>
      <c r="L5412">
        <v>17.658539999999999</v>
      </c>
      <c r="M5412">
        <v>0.99993030000000005</v>
      </c>
      <c r="N5412">
        <v>-1.176425E-2</v>
      </c>
      <c r="O5412">
        <v>-1.172949E-3</v>
      </c>
      <c r="P5412">
        <v>0.97017039999999999</v>
      </c>
      <c r="Q5412">
        <v>0.178703</v>
      </c>
      <c r="R5412">
        <v>-0.1638145</v>
      </c>
      <c r="S5412">
        <v>3.0161440000000002</v>
      </c>
      <c r="T5412">
        <v>-0.29917709999999997</v>
      </c>
      <c r="U5412">
        <v>-0.77792359999999905</v>
      </c>
      <c r="V5412">
        <v>0.16272010000000001</v>
      </c>
      <c r="W5412">
        <v>0.1900686</v>
      </c>
      <c r="X5412">
        <v>0.96819219999999895</v>
      </c>
      <c r="Y5412">
        <v>0.2473341</v>
      </c>
      <c r="Z5412">
        <v>-1.342256E-2</v>
      </c>
      <c r="AA5412">
        <v>0.96883730000000001</v>
      </c>
      <c r="AB5412">
        <v>29</v>
      </c>
      <c r="AC5412">
        <v>11.627799999999899</v>
      </c>
      <c r="AD5412">
        <v>-1.170688</v>
      </c>
      <c r="AE5412">
        <v>-3.0438699999999899</v>
      </c>
      <c r="AF5412">
        <v>3.0017522865528599</v>
      </c>
      <c r="AG5412">
        <v>-1.170688</v>
      </c>
      <c r="AH5412">
        <v>11.5220595366835</v>
      </c>
      <c r="AI5412">
        <v>95.615397083541694</v>
      </c>
      <c r="AJ5412">
        <v>75.397762083072806</v>
      </c>
      <c r="AK5412">
        <v>11.9640663300589</v>
      </c>
      <c r="AL5412">
        <v>79.043212578379098</v>
      </c>
      <c r="AM5412">
        <v>80.459691755902497</v>
      </c>
      <c r="AN5412">
        <v>1.0000000198954</v>
      </c>
    </row>
    <row r="5413" spans="1:40" x14ac:dyDescent="0.25">
      <c r="A5413" t="str">
        <f>"20190303162409973"</f>
        <v>20190303162409973</v>
      </c>
      <c r="B5413" t="str">
        <f>"1551601449960353"</f>
        <v>1551601449960353</v>
      </c>
      <c r="C5413" t="s">
        <v>40</v>
      </c>
      <c r="D5413">
        <v>5.5907359999999997</v>
      </c>
      <c r="E5413">
        <v>0.53871380000000002</v>
      </c>
      <c r="F5413" t="s">
        <v>43</v>
      </c>
      <c r="G5413">
        <v>-315.79750000000001</v>
      </c>
      <c r="H5413">
        <v>-0.05</v>
      </c>
      <c r="I5413">
        <v>14.592560000000001</v>
      </c>
      <c r="J5413">
        <v>-327.47489999999999</v>
      </c>
      <c r="K5413">
        <v>1.1206510000000001</v>
      </c>
      <c r="L5413">
        <v>17.658259999999999</v>
      </c>
      <c r="M5413">
        <v>0.99993019999999999</v>
      </c>
      <c r="N5413">
        <v>-1.1741629999999999E-2</v>
      </c>
      <c r="O5413">
        <v>-1.286913E-3</v>
      </c>
      <c r="P5413">
        <v>0.96994080000000005</v>
      </c>
      <c r="Q5413">
        <v>0.17878569999999999</v>
      </c>
      <c r="R5413">
        <v>-0.16507729999999901</v>
      </c>
      <c r="S5413">
        <v>3.0151979999999998</v>
      </c>
      <c r="T5413">
        <v>-0.29857230000000001</v>
      </c>
      <c r="U5413">
        <v>-0.78195190000000003</v>
      </c>
      <c r="V5413">
        <v>0.16388829999999999</v>
      </c>
      <c r="W5413">
        <v>0.19011310000000001</v>
      </c>
      <c r="X5413">
        <v>0.96798640000000002</v>
      </c>
      <c r="Y5413">
        <v>0.24850949999999999</v>
      </c>
      <c r="Z5413">
        <v>-1.3451960000000001E-2</v>
      </c>
      <c r="AA5413">
        <v>0.96853599999999995</v>
      </c>
      <c r="AB5413">
        <v>29</v>
      </c>
      <c r="AC5413">
        <v>11.677399999999899</v>
      </c>
      <c r="AD5413">
        <v>-1.1706510000000001</v>
      </c>
      <c r="AE5413">
        <v>-3.0657000000000001</v>
      </c>
      <c r="AF5413">
        <v>3.0222536777767699</v>
      </c>
      <c r="AG5413">
        <v>-1.1706510000000001</v>
      </c>
      <c r="AH5413">
        <v>11.572532017368401</v>
      </c>
      <c r="AI5413">
        <v>95.590024086475694</v>
      </c>
      <c r="AJ5413">
        <v>75.363680131541699</v>
      </c>
      <c r="AK5413">
        <v>12.0178175368764</v>
      </c>
      <c r="AL5413">
        <v>79.040615543961295</v>
      </c>
      <c r="AM5413">
        <v>80.390467714168096</v>
      </c>
      <c r="AN5413">
        <v>1.0000000181267299</v>
      </c>
    </row>
    <row r="5414" spans="1:40" x14ac:dyDescent="0.25">
      <c r="A5414" t="str">
        <f>"20190303162409989"</f>
        <v>20190303162409989</v>
      </c>
      <c r="B5414" t="str">
        <f>"1551601449979873"</f>
        <v>1551601449979873</v>
      </c>
      <c r="C5414" t="s">
        <v>40</v>
      </c>
      <c r="D5414">
        <v>5.5682679999999998</v>
      </c>
      <c r="E5414">
        <v>0.53866519999999996</v>
      </c>
      <c r="F5414" t="s">
        <v>43</v>
      </c>
      <c r="G5414">
        <v>-315.64479999999998</v>
      </c>
      <c r="H5414">
        <v>-0.05</v>
      </c>
      <c r="I5414">
        <v>14.571300000000001</v>
      </c>
      <c r="J5414">
        <v>-327.25560000000002</v>
      </c>
      <c r="K5414">
        <v>1.120573</v>
      </c>
      <c r="L5414">
        <v>17.657779999999999</v>
      </c>
      <c r="M5414">
        <v>0.99993050000000006</v>
      </c>
      <c r="N5414">
        <v>-1.1701400000000001E-2</v>
      </c>
      <c r="O5414">
        <v>-1.5102799999999999E-3</v>
      </c>
      <c r="P5414">
        <v>0.96966960000000002</v>
      </c>
      <c r="Q5414">
        <v>0.17826689999999901</v>
      </c>
      <c r="R5414">
        <v>-0.16721910000000001</v>
      </c>
      <c r="S5414">
        <v>3.0140989999999999</v>
      </c>
      <c r="T5414">
        <v>-0.29826069999999999</v>
      </c>
      <c r="U5414">
        <v>-0.78649899999999995</v>
      </c>
      <c r="V5414">
        <v>0.16584299999999999</v>
      </c>
      <c r="W5414">
        <v>0.18952649999999999</v>
      </c>
      <c r="X5414">
        <v>0.96776850000000003</v>
      </c>
      <c r="Y5414">
        <v>0.24974440000000001</v>
      </c>
      <c r="Z5414">
        <v>-1.348485E-2</v>
      </c>
      <c r="AA5414">
        <v>0.96821789999999996</v>
      </c>
      <c r="AB5414">
        <v>29</v>
      </c>
      <c r="AC5414">
        <v>11.610799999999999</v>
      </c>
      <c r="AD5414">
        <v>-1.1705729999999901</v>
      </c>
      <c r="AE5414">
        <v>-3.0864799999999901</v>
      </c>
      <c r="AF5414">
        <v>3.0400792035749999</v>
      </c>
      <c r="AG5414">
        <v>-1.1705729999999901</v>
      </c>
      <c r="AH5414">
        <v>11.506216055399401</v>
      </c>
      <c r="AI5414">
        <v>95.617473360162194</v>
      </c>
      <c r="AJ5414">
        <v>75.199973059013104</v>
      </c>
      <c r="AK5414">
        <v>11.958483625688901</v>
      </c>
      <c r="AL5414">
        <v>79.0748477793028</v>
      </c>
      <c r="AM5414">
        <v>80.27588217265</v>
      </c>
      <c r="AN5414">
        <v>1.0000000322217399</v>
      </c>
    </row>
    <row r="5415" spans="1:40" x14ac:dyDescent="0.25">
      <c r="A5415" t="str">
        <f>"20190303162410014"</f>
        <v>20190303162410014</v>
      </c>
      <c r="B5415" t="str">
        <f>"1551601450000368"</f>
        <v>1551601450000368</v>
      </c>
      <c r="C5415" t="s">
        <v>40</v>
      </c>
      <c r="D5415">
        <v>5.7460959999999996</v>
      </c>
      <c r="E5415">
        <v>0.53859579999999996</v>
      </c>
      <c r="F5415" t="s">
        <v>43</v>
      </c>
      <c r="G5415">
        <v>-315.51049999999998</v>
      </c>
      <c r="H5415">
        <v>-0.05</v>
      </c>
      <c r="I5415">
        <v>14.565720000000001</v>
      </c>
      <c r="J5415">
        <v>-326.95400000000001</v>
      </c>
      <c r="K5415">
        <v>1.1204419999999999</v>
      </c>
      <c r="L5415">
        <v>17.656949999999998</v>
      </c>
      <c r="M5415">
        <v>0.99993050000000006</v>
      </c>
      <c r="N5415">
        <v>-1.1630959999999999E-2</v>
      </c>
      <c r="O5415">
        <v>-1.9711569999999999E-3</v>
      </c>
      <c r="P5415">
        <v>0.96955979999999997</v>
      </c>
      <c r="Q5415">
        <v>0.17676129999999901</v>
      </c>
      <c r="R5415">
        <v>-0.1694387</v>
      </c>
      <c r="S5415">
        <v>3.0122990000000001</v>
      </c>
      <c r="T5415">
        <v>-0.3002205</v>
      </c>
      <c r="U5415">
        <v>-0.79302980000000001</v>
      </c>
      <c r="V5415">
        <v>0.16766919999999999</v>
      </c>
      <c r="W5415">
        <v>0.1879035</v>
      </c>
      <c r="X5415">
        <v>0.96777029999999997</v>
      </c>
      <c r="Y5415">
        <v>0.25138090000000002</v>
      </c>
      <c r="Z5415">
        <v>-1.3608179999999999E-2</v>
      </c>
      <c r="AA5415">
        <v>0.9677926</v>
      </c>
      <c r="AB5415">
        <v>29</v>
      </c>
      <c r="AC5415">
        <v>11.4435</v>
      </c>
      <c r="AD5415">
        <v>-1.170442</v>
      </c>
      <c r="AE5415">
        <v>-3.0912299999999902</v>
      </c>
      <c r="AF5415">
        <v>3.0390356321056</v>
      </c>
      <c r="AG5415">
        <v>-1.170442</v>
      </c>
      <c r="AH5415">
        <v>11.339018637620701</v>
      </c>
      <c r="AI5415">
        <v>95.693780132140802</v>
      </c>
      <c r="AJ5415">
        <v>74.996441820541094</v>
      </c>
      <c r="AK5415">
        <v>11.797415637031699</v>
      </c>
      <c r="AL5415">
        <v>79.169540145965399</v>
      </c>
      <c r="AM5415">
        <v>80.1708993029944</v>
      </c>
      <c r="AN5415">
        <v>1.00000001975148</v>
      </c>
    </row>
    <row r="5416" spans="1:40" x14ac:dyDescent="0.25">
      <c r="A5416" t="str">
        <f>"20190303162410026"</f>
        <v>20190303162410026</v>
      </c>
      <c r="B5416" t="str">
        <f>"1551601450010128"</f>
        <v>1551601450010128</v>
      </c>
      <c r="C5416" t="s">
        <v>40</v>
      </c>
      <c r="D5416">
        <v>5.9896240000000001</v>
      </c>
      <c r="E5416">
        <v>0.50986430000000005</v>
      </c>
      <c r="F5416" t="s">
        <v>43</v>
      </c>
      <c r="G5416">
        <v>-315.40820000000002</v>
      </c>
      <c r="H5416">
        <v>-0.05</v>
      </c>
      <c r="I5416">
        <v>14.589479999999901</v>
      </c>
      <c r="J5416">
        <v>-326.77670000000001</v>
      </c>
      <c r="K5416">
        <v>1.120349</v>
      </c>
      <c r="L5416">
        <v>17.656279999999999</v>
      </c>
      <c r="M5416">
        <v>0.99993030000000005</v>
      </c>
      <c r="N5416">
        <v>-1.1584540000000001E-2</v>
      </c>
      <c r="O5416">
        <v>-2.324479E-3</v>
      </c>
      <c r="P5416">
        <v>0.9693503</v>
      </c>
      <c r="Q5416">
        <v>0.17682829999999999</v>
      </c>
      <c r="R5416">
        <v>-0.1705632</v>
      </c>
      <c r="S5416">
        <v>3.0100709999999999</v>
      </c>
      <c r="T5416">
        <v>-0.30514190000000002</v>
      </c>
      <c r="U5416">
        <v>-0.79971309999999995</v>
      </c>
      <c r="V5416">
        <v>0.168489</v>
      </c>
      <c r="W5416">
        <v>0.1878899</v>
      </c>
      <c r="X5416">
        <v>0.96763049999999995</v>
      </c>
      <c r="Y5416">
        <v>0.25317410000000001</v>
      </c>
      <c r="Z5416">
        <v>-1.3873969999999999E-2</v>
      </c>
      <c r="AA5416">
        <v>0.96732130000000005</v>
      </c>
      <c r="AB5416">
        <v>29</v>
      </c>
      <c r="AC5416">
        <v>11.3684999999999</v>
      </c>
      <c r="AD5416">
        <v>-1.1703490000000001</v>
      </c>
      <c r="AE5416">
        <v>-3.0668000000000002</v>
      </c>
      <c r="AF5416">
        <v>3.0106218950757699</v>
      </c>
      <c r="AG5416">
        <v>-1.1703490000000001</v>
      </c>
      <c r="AH5416">
        <v>11.264317254513401</v>
      </c>
      <c r="AI5416">
        <v>95.731895957198105</v>
      </c>
      <c r="AJ5416">
        <v>75.036277083614706</v>
      </c>
      <c r="AK5416">
        <v>11.7182935697668</v>
      </c>
      <c r="AL5416">
        <v>79.170332965734801</v>
      </c>
      <c r="AM5416">
        <v>80.122386298976906</v>
      </c>
      <c r="AN5416">
        <v>0.99999997108662897</v>
      </c>
    </row>
    <row r="5417" spans="1:40" x14ac:dyDescent="0.25">
      <c r="A5417" t="str">
        <f>"20190303162410038"</f>
        <v>20190303162410038</v>
      </c>
      <c r="B5417" t="str">
        <f>"1551601450030624"</f>
        <v>1551601450030624</v>
      </c>
      <c r="C5417" t="s">
        <v>40</v>
      </c>
      <c r="D5417">
        <v>5.5347200000000001</v>
      </c>
      <c r="E5417">
        <v>0.50986430000000005</v>
      </c>
      <c r="F5417" t="s">
        <v>43</v>
      </c>
      <c r="G5417">
        <v>-313.2217</v>
      </c>
      <c r="H5417">
        <v>-0.05</v>
      </c>
      <c r="I5417">
        <v>15.08089</v>
      </c>
      <c r="J5417">
        <v>-326.61829999999998</v>
      </c>
      <c r="K5417">
        <v>1.120261</v>
      </c>
      <c r="L5417">
        <v>17.65558</v>
      </c>
      <c r="M5417">
        <v>0.99992979999999998</v>
      </c>
      <c r="N5417">
        <v>-1.154055E-2</v>
      </c>
      <c r="O5417">
        <v>-2.7086940000000002E-3</v>
      </c>
      <c r="P5417">
        <v>0.96912600000000004</v>
      </c>
      <c r="Q5417">
        <v>0.17725650000000001</v>
      </c>
      <c r="R5417">
        <v>-0.17139070000000001</v>
      </c>
      <c r="S5417">
        <v>3.0410460000000001</v>
      </c>
      <c r="T5417">
        <v>-0.26256689999999999</v>
      </c>
      <c r="U5417">
        <v>-0.57778929999999995</v>
      </c>
      <c r="V5417">
        <v>0.1689822</v>
      </c>
      <c r="W5417">
        <v>0.18823970000000001</v>
      </c>
      <c r="X5417">
        <v>0.96747649999999996</v>
      </c>
      <c r="Y5417">
        <v>0.18325430000000001</v>
      </c>
      <c r="Z5417">
        <v>-8.6954349999999996E-3</v>
      </c>
      <c r="AA5417">
        <v>0.98302710000000004</v>
      </c>
      <c r="AB5417">
        <v>29</v>
      </c>
      <c r="AC5417">
        <v>13.3965999999999</v>
      </c>
      <c r="AD5417">
        <v>-1.170261</v>
      </c>
      <c r="AE5417">
        <v>-2.5746899999999999</v>
      </c>
      <c r="AF5417">
        <v>2.5198470748420299</v>
      </c>
      <c r="AG5417">
        <v>-1.170261</v>
      </c>
      <c r="AH5417">
        <v>13.305608228963299</v>
      </c>
      <c r="AI5417">
        <v>94.939026099631803</v>
      </c>
      <c r="AJ5417">
        <v>79.2761936563587</v>
      </c>
      <c r="AK5417">
        <v>13.592584391180599</v>
      </c>
      <c r="AL5417">
        <v>79.149926810621096</v>
      </c>
      <c r="AM5417">
        <v>80.092498986287893</v>
      </c>
      <c r="AN5417">
        <v>0.99999997331258905</v>
      </c>
    </row>
    <row r="5418" spans="1:40" x14ac:dyDescent="0.25">
      <c r="A5418" t="str">
        <f>"20190303162410051"</f>
        <v>20190303162410051</v>
      </c>
      <c r="B5418" t="str">
        <f>"1551601450040385"</f>
        <v>1551601450040385</v>
      </c>
      <c r="C5418" t="s">
        <v>40</v>
      </c>
      <c r="D5418">
        <v>5.6772359999999997</v>
      </c>
      <c r="E5418">
        <v>0.45371709999999899</v>
      </c>
      <c r="F5418" t="s">
        <v>43</v>
      </c>
      <c r="G5418">
        <v>-312.99599999999998</v>
      </c>
      <c r="H5418">
        <v>-0.05</v>
      </c>
      <c r="I5418">
        <v>15.055770000000001</v>
      </c>
      <c r="J5418">
        <v>-326.46379999999999</v>
      </c>
      <c r="K5418">
        <v>1.1201719999999999</v>
      </c>
      <c r="L5418">
        <v>17.65475</v>
      </c>
      <c r="M5418">
        <v>0.99992890000000001</v>
      </c>
      <c r="N5418">
        <v>-1.149792E-2</v>
      </c>
      <c r="O5418">
        <v>-3.163375E-3</v>
      </c>
      <c r="P5418">
        <v>0.96874400000000005</v>
      </c>
      <c r="Q5418">
        <v>0.17843529999999999</v>
      </c>
      <c r="R5418">
        <v>-0.17232439999999999</v>
      </c>
      <c r="S5418">
        <v>3.0407410000000001</v>
      </c>
      <c r="T5418">
        <v>-0.2612218</v>
      </c>
      <c r="U5418">
        <v>-0.58032229999999996</v>
      </c>
      <c r="V5418">
        <v>0.1695181</v>
      </c>
      <c r="W5418">
        <v>0.18933639999999999</v>
      </c>
      <c r="X5418">
        <v>0.96716869999999999</v>
      </c>
      <c r="Y5418">
        <v>0.1836228</v>
      </c>
      <c r="Z5418">
        <v>-8.6371569999999995E-3</v>
      </c>
      <c r="AA5418">
        <v>0.98295889999999997</v>
      </c>
      <c r="AB5418">
        <v>29</v>
      </c>
      <c r="AC5418">
        <v>13.4678</v>
      </c>
      <c r="AD5418">
        <v>-1.170172</v>
      </c>
      <c r="AE5418">
        <v>-2.5989799999999899</v>
      </c>
      <c r="AF5418">
        <v>2.5378890953519999</v>
      </c>
      <c r="AG5418">
        <v>-1.170172</v>
      </c>
      <c r="AH5418">
        <v>13.378582086138801</v>
      </c>
      <c r="AI5418">
        <v>94.9115642443723</v>
      </c>
      <c r="AJ5418">
        <v>79.258739109061693</v>
      </c>
      <c r="AK5418">
        <v>13.667356811228901</v>
      </c>
      <c r="AL5418">
        <v>79.085939936545998</v>
      </c>
      <c r="AM5418">
        <v>80.058604656559893</v>
      </c>
      <c r="AN5418">
        <v>0.99999997642612903</v>
      </c>
    </row>
    <row r="5419" spans="1:40" x14ac:dyDescent="0.25">
      <c r="A5419" t="str">
        <f>"20190303162410060"</f>
        <v>20190303162410060</v>
      </c>
      <c r="B5419" t="str">
        <f>"1551601450050145"</f>
        <v>1551601450050145</v>
      </c>
      <c r="C5419" t="s">
        <v>40</v>
      </c>
      <c r="D5419">
        <v>5.7695790000000002</v>
      </c>
      <c r="E5419">
        <v>0.44732260000000001</v>
      </c>
      <c r="F5419" t="s">
        <v>43</v>
      </c>
      <c r="G5419">
        <v>-308.98259999999999</v>
      </c>
      <c r="H5419">
        <v>-0.05</v>
      </c>
      <c r="I5419">
        <v>16.849640000000001</v>
      </c>
      <c r="J5419">
        <v>-326.33030000000002</v>
      </c>
      <c r="K5419">
        <v>1.12009</v>
      </c>
      <c r="L5419">
        <v>17.653960000000001</v>
      </c>
      <c r="M5419">
        <v>0.99992800000000004</v>
      </c>
      <c r="N5419">
        <v>-1.146113E-2</v>
      </c>
      <c r="O5419">
        <v>-3.5906839999999998E-3</v>
      </c>
      <c r="P5419">
        <v>0.96834200000000004</v>
      </c>
      <c r="Q5419">
        <v>0.1800351</v>
      </c>
      <c r="R5419">
        <v>-0.17291989999999999</v>
      </c>
      <c r="S5419">
        <v>3.1096499999999998</v>
      </c>
      <c r="T5419">
        <v>-0.20815620000000001</v>
      </c>
      <c r="U5419">
        <v>-0.14321900000000001</v>
      </c>
      <c r="V5419">
        <v>0.16974049999999999</v>
      </c>
      <c r="W5419">
        <v>0.19086349999999999</v>
      </c>
      <c r="X5419">
        <v>0.96682950000000001</v>
      </c>
      <c r="Y5419">
        <v>4.2314900000000003E-2</v>
      </c>
      <c r="Z5419">
        <v>-1.4580070000000001E-3</v>
      </c>
      <c r="AA5419">
        <v>0.99910319999999997</v>
      </c>
      <c r="AB5419">
        <v>29</v>
      </c>
      <c r="AC5419">
        <v>17.3477</v>
      </c>
      <c r="AD5419">
        <v>-1.1700900000000001</v>
      </c>
      <c r="AE5419">
        <v>-0.80432000000000003</v>
      </c>
      <c r="AF5419">
        <v>0.73866733249870997</v>
      </c>
      <c r="AG5419">
        <v>-1.1700900000000001</v>
      </c>
      <c r="AH5419">
        <v>17.272067303111701</v>
      </c>
      <c r="AI5419">
        <v>93.872031968567995</v>
      </c>
      <c r="AJ5419">
        <v>87.551147422401996</v>
      </c>
      <c r="AK5419">
        <v>17.327407450609101</v>
      </c>
      <c r="AL5419">
        <v>78.996818620245406</v>
      </c>
      <c r="AM5419">
        <v>80.042400288376101</v>
      </c>
      <c r="AN5419">
        <v>0.99999999752137403</v>
      </c>
    </row>
    <row r="5420" spans="1:40" x14ac:dyDescent="0.25">
      <c r="A5420" t="str">
        <f>"20190303162410081"</f>
        <v>20190303162410081</v>
      </c>
      <c r="B5420" t="str">
        <f>"1551601450070641"</f>
        <v>1551601450070641</v>
      </c>
      <c r="C5420" t="s">
        <v>40</v>
      </c>
      <c r="D5420">
        <v>5.6541169999999896</v>
      </c>
      <c r="E5420">
        <v>0.44488919999999998</v>
      </c>
      <c r="F5420" t="s">
        <v>43</v>
      </c>
      <c r="G5420">
        <v>-309.56849999999997</v>
      </c>
      <c r="H5420">
        <v>-0.05</v>
      </c>
      <c r="I5420">
        <v>17.13908</v>
      </c>
      <c r="J5420">
        <v>-326.07659999999998</v>
      </c>
      <c r="K5420">
        <v>1.119907</v>
      </c>
      <c r="L5420">
        <v>17.652069999999998</v>
      </c>
      <c r="M5420">
        <v>0.99992440000000005</v>
      </c>
      <c r="N5420">
        <v>-1.13957E-2</v>
      </c>
      <c r="O5420">
        <v>-4.6245610000000001E-3</v>
      </c>
      <c r="P5420">
        <v>0.96750400000000003</v>
      </c>
      <c r="Q5420">
        <v>0.18272240000000001</v>
      </c>
      <c r="R5420">
        <v>-0.17478250000000001</v>
      </c>
      <c r="S5420">
        <v>3.1214599999999999</v>
      </c>
      <c r="T5420">
        <v>-0.21790000000000001</v>
      </c>
      <c r="U5420">
        <v>-9.5886230000000003E-2</v>
      </c>
      <c r="V5420">
        <v>0.17069489999999901</v>
      </c>
      <c r="W5420">
        <v>0.19340209999999999</v>
      </c>
      <c r="X5420">
        <v>0.96615680000000004</v>
      </c>
      <c r="Y5420">
        <v>2.6015170000000001E-2</v>
      </c>
      <c r="Z5420">
        <v>-7.8546910000000005E-4</v>
      </c>
      <c r="AA5420">
        <v>0.99966129999999997</v>
      </c>
      <c r="AB5420">
        <v>29</v>
      </c>
      <c r="AC5420">
        <v>16.508099999999999</v>
      </c>
      <c r="AD5420">
        <v>-1.169907</v>
      </c>
      <c r="AE5420">
        <v>-0.51299000000000206</v>
      </c>
      <c r="AF5420">
        <v>0.43445694539690699</v>
      </c>
      <c r="AG5420">
        <v>-1.169907</v>
      </c>
      <c r="AH5420">
        <v>16.4278687585774</v>
      </c>
      <c r="AI5420">
        <v>94.072010262373894</v>
      </c>
      <c r="AJ5420">
        <v>88.485089648819397</v>
      </c>
      <c r="AK5420">
        <v>16.4752027961751</v>
      </c>
      <c r="AL5420">
        <v>78.848606651434395</v>
      </c>
      <c r="AM5420">
        <v>79.9807114140838</v>
      </c>
      <c r="AN5420">
        <v>1.0000000416783199</v>
      </c>
    </row>
    <row r="5421" spans="1:40" x14ac:dyDescent="0.25">
      <c r="A5421" t="str">
        <f>"20190303162410095"</f>
        <v>20190303162410095</v>
      </c>
      <c r="B5421" t="str">
        <f>"1551601450080401"</f>
        <v>1551601450080401</v>
      </c>
      <c r="C5421" t="s">
        <v>40</v>
      </c>
      <c r="D5421">
        <v>5.6722130000000002</v>
      </c>
      <c r="E5421">
        <v>0.4449303</v>
      </c>
      <c r="F5421" t="s">
        <v>43</v>
      </c>
      <c r="G5421">
        <v>-308.1773</v>
      </c>
      <c r="H5421">
        <v>-0.05</v>
      </c>
      <c r="I5421">
        <v>17.162800000000001</v>
      </c>
      <c r="J5421">
        <v>-325.88479999999998</v>
      </c>
      <c r="K5421">
        <v>1.119739</v>
      </c>
      <c r="L5421">
        <v>17.650300000000001</v>
      </c>
      <c r="M5421">
        <v>0.99992009999999998</v>
      </c>
      <c r="N5421">
        <v>-1.135071E-2</v>
      </c>
      <c r="O5421">
        <v>-5.5961969999999998E-3</v>
      </c>
      <c r="P5421">
        <v>0.96705339999999995</v>
      </c>
      <c r="Q5421">
        <v>0.18338570000000001</v>
      </c>
      <c r="R5421">
        <v>-0.17657249999999999</v>
      </c>
      <c r="S5421">
        <v>3.123901</v>
      </c>
      <c r="T5421">
        <v>-0.20417940000000001</v>
      </c>
      <c r="U5421">
        <v>-8.5388179999999994E-2</v>
      </c>
      <c r="V5421">
        <v>0.1716242</v>
      </c>
      <c r="W5421">
        <v>0.19394990000000001</v>
      </c>
      <c r="X5421">
        <v>0.96588229999999997</v>
      </c>
      <c r="Y5421">
        <v>2.1682590000000002E-2</v>
      </c>
      <c r="Z5421">
        <v>-5.2909490000000001E-4</v>
      </c>
      <c r="AA5421">
        <v>0.99976469999999995</v>
      </c>
      <c r="AB5421">
        <v>29</v>
      </c>
      <c r="AC5421">
        <v>17.7074999999999</v>
      </c>
      <c r="AD5421">
        <v>-1.1697389999999901</v>
      </c>
      <c r="AE5421">
        <v>-0.48749999999999999</v>
      </c>
      <c r="AF5421">
        <v>0.38670512038063498</v>
      </c>
      <c r="AG5421">
        <v>-1.1697389999999901</v>
      </c>
      <c r="AH5421">
        <v>17.633062374162101</v>
      </c>
      <c r="AI5421">
        <v>93.794406841449202</v>
      </c>
      <c r="AJ5421">
        <v>88.743665747636697</v>
      </c>
      <c r="AK5421">
        <v>17.676049300376501</v>
      </c>
      <c r="AL5421">
        <v>78.816614061147703</v>
      </c>
      <c r="AM5421">
        <v>79.924474303884594</v>
      </c>
      <c r="AN5421">
        <v>1.0000000235944599</v>
      </c>
    </row>
    <row r="5422" spans="1:40" x14ac:dyDescent="0.25">
      <c r="A5422" t="str">
        <f>"20190303162410110"</f>
        <v>20190303162410110</v>
      </c>
      <c r="B5422" t="str">
        <f>"1551601450099921"</f>
        <v>1551601450099921</v>
      </c>
      <c r="C5422" t="s">
        <v>40</v>
      </c>
      <c r="D5422">
        <v>5.6593629999999999</v>
      </c>
      <c r="E5422">
        <v>0.44470140000000002</v>
      </c>
      <c r="F5422" t="s">
        <v>43</v>
      </c>
      <c r="G5422">
        <v>-308.04910000000001</v>
      </c>
      <c r="H5422">
        <v>-0.05</v>
      </c>
      <c r="I5422">
        <v>17.12257</v>
      </c>
      <c r="J5422">
        <v>-325.68860000000001</v>
      </c>
      <c r="K5422">
        <v>1.1195550000000001</v>
      </c>
      <c r="L5422">
        <v>17.648129999999998</v>
      </c>
      <c r="M5422">
        <v>0.99991359999999996</v>
      </c>
      <c r="N5422">
        <v>-1.130803E-2</v>
      </c>
      <c r="O5422">
        <v>-6.7324560000000004E-3</v>
      </c>
      <c r="P5422">
        <v>0.96673430000000005</v>
      </c>
      <c r="Q5422">
        <v>0.1831284</v>
      </c>
      <c r="R5422">
        <v>-0.1785755</v>
      </c>
      <c r="S5422">
        <v>3.1241759999999998</v>
      </c>
      <c r="T5422">
        <v>-0.20489560000000001</v>
      </c>
      <c r="U5422">
        <v>-9.2437740000000004E-2</v>
      </c>
      <c r="V5422">
        <v>0.1726124</v>
      </c>
      <c r="W5422">
        <v>0.19357289999999999</v>
      </c>
      <c r="X5422">
        <v>0.96578180000000002</v>
      </c>
      <c r="Y5422">
        <v>2.2796830000000001E-2</v>
      </c>
      <c r="Z5422">
        <v>-5.1076970000000002E-4</v>
      </c>
      <c r="AA5422">
        <v>0.99973999999999996</v>
      </c>
      <c r="AB5422">
        <v>29</v>
      </c>
      <c r="AC5422">
        <v>17.639499999999899</v>
      </c>
      <c r="AD5422">
        <v>-1.1695549999999999</v>
      </c>
      <c r="AE5422">
        <v>-0.52555999999999803</v>
      </c>
      <c r="AF5422">
        <v>0.40500449443160802</v>
      </c>
      <c r="AG5422">
        <v>-1.1695549999999999</v>
      </c>
      <c r="AH5422">
        <v>17.565487352600101</v>
      </c>
      <c r="AI5422">
        <v>93.808267641094005</v>
      </c>
      <c r="AJ5422">
        <v>88.679174850650199</v>
      </c>
      <c r="AK5422">
        <v>17.609038402845499</v>
      </c>
      <c r="AL5422">
        <v>78.838631531748206</v>
      </c>
      <c r="AM5422">
        <v>79.866626270239706</v>
      </c>
      <c r="AN5422">
        <v>0.99999999672970497</v>
      </c>
    </row>
    <row r="5423" spans="1:40" x14ac:dyDescent="0.25">
      <c r="A5423" t="str">
        <f>"20190303162410126"</f>
        <v>20190303162410126</v>
      </c>
      <c r="B5423" t="str">
        <f>"1551601450120416"</f>
        <v>1551601450120416</v>
      </c>
      <c r="C5423" t="s">
        <v>40</v>
      </c>
      <c r="D5423">
        <v>5.6629149999999999</v>
      </c>
      <c r="E5423">
        <v>0.44481870000000001</v>
      </c>
      <c r="F5423" t="s">
        <v>43</v>
      </c>
      <c r="G5423">
        <v>-308.21870000000001</v>
      </c>
      <c r="H5423">
        <v>-0.05</v>
      </c>
      <c r="I5423">
        <v>17.101469999999999</v>
      </c>
      <c r="J5423">
        <v>-325.48739999999998</v>
      </c>
      <c r="K5423">
        <v>1.1193489999999999</v>
      </c>
      <c r="L5423">
        <v>17.645569999999999</v>
      </c>
      <c r="M5423">
        <v>0.99990429999999997</v>
      </c>
      <c r="N5423">
        <v>-1.1267839999999999E-2</v>
      </c>
      <c r="O5423">
        <v>-8.051674E-3</v>
      </c>
      <c r="P5423">
        <v>0.96671770000000001</v>
      </c>
      <c r="Q5423">
        <v>0.1814306</v>
      </c>
      <c r="R5423">
        <v>-0.1803883</v>
      </c>
      <c r="S5423">
        <v>3.1247560000000001</v>
      </c>
      <c r="T5423">
        <v>-0.20919189999999999</v>
      </c>
      <c r="U5423">
        <v>-9.7778320000000002E-2</v>
      </c>
      <c r="V5423">
        <v>0.1732329</v>
      </c>
      <c r="W5423">
        <v>0.19175690000000001</v>
      </c>
      <c r="X5423">
        <v>0.96603289999999997</v>
      </c>
      <c r="Y5423">
        <v>2.3178810000000001E-2</v>
      </c>
      <c r="Z5423">
        <v>-4.5795710000000003E-4</v>
      </c>
      <c r="AA5423">
        <v>0.99973120000000004</v>
      </c>
      <c r="AB5423">
        <v>29</v>
      </c>
      <c r="AC5423">
        <v>17.2686999999999</v>
      </c>
      <c r="AD5423">
        <v>-1.169349</v>
      </c>
      <c r="AE5423">
        <v>-0.54410000000000003</v>
      </c>
      <c r="AF5423">
        <v>0.40318472357262197</v>
      </c>
      <c r="AG5423">
        <v>-1.169349</v>
      </c>
      <c r="AH5423">
        <v>17.1937607636536</v>
      </c>
      <c r="AI5423">
        <v>93.889633156071199</v>
      </c>
      <c r="AJ5423">
        <v>88.6566900322549</v>
      </c>
      <c r="AK5423">
        <v>17.2381943428793</v>
      </c>
      <c r="AL5423">
        <v>78.944666839861398</v>
      </c>
      <c r="AM5423">
        <v>79.833546177045903</v>
      </c>
      <c r="AN5423">
        <v>0.99999995511121298</v>
      </c>
    </row>
    <row r="5424" spans="1:40" x14ac:dyDescent="0.25">
      <c r="A5424" t="str">
        <f>"20190303162410138"</f>
        <v>20190303162410138</v>
      </c>
      <c r="B5424" t="str">
        <f>"1551601450130176"</f>
        <v>1551601450130176</v>
      </c>
      <c r="C5424" t="s">
        <v>40</v>
      </c>
      <c r="D5424">
        <v>5.5973920000000001</v>
      </c>
      <c r="E5424">
        <v>0.44468180000000002</v>
      </c>
      <c r="F5424" t="s">
        <v>43</v>
      </c>
      <c r="G5424">
        <v>-308.4837</v>
      </c>
      <c r="H5424">
        <v>-0.05</v>
      </c>
      <c r="I5424">
        <v>17.072979999999902</v>
      </c>
      <c r="J5424">
        <v>-325.30130000000003</v>
      </c>
      <c r="K5424">
        <v>1.119165</v>
      </c>
      <c r="L5424">
        <v>17.642759999999999</v>
      </c>
      <c r="M5424">
        <v>0.99989249999999996</v>
      </c>
      <c r="N5424">
        <v>-1.123447E-2</v>
      </c>
      <c r="O5424">
        <v>-9.4389769999999994E-3</v>
      </c>
      <c r="P5424">
        <v>0.96667829999999999</v>
      </c>
      <c r="Q5424">
        <v>0.18100369999999999</v>
      </c>
      <c r="R5424">
        <v>-0.18102760000000001</v>
      </c>
      <c r="S5424">
        <v>3.1239319999999999</v>
      </c>
      <c r="T5424">
        <v>-0.214833</v>
      </c>
      <c r="U5424">
        <v>-0.1051941</v>
      </c>
      <c r="V5424">
        <v>0.1726104</v>
      </c>
      <c r="W5424">
        <v>0.19122720000000001</v>
      </c>
      <c r="X5424">
        <v>0.96624929999999998</v>
      </c>
      <c r="Y5424">
        <v>2.416805E-2</v>
      </c>
      <c r="Z5424">
        <v>-4.235698E-4</v>
      </c>
      <c r="AA5424">
        <v>0.99970780000000004</v>
      </c>
      <c r="AB5424">
        <v>29</v>
      </c>
      <c r="AC5424">
        <v>16.817599999999999</v>
      </c>
      <c r="AD5424">
        <v>-1.169165</v>
      </c>
      <c r="AE5424">
        <v>-0.56978000000000095</v>
      </c>
      <c r="AF5424">
        <v>0.409029079504173</v>
      </c>
      <c r="AG5424">
        <v>-1.169165</v>
      </c>
      <c r="AH5424">
        <v>16.741409466061601</v>
      </c>
      <c r="AI5424">
        <v>93.9936748318583</v>
      </c>
      <c r="AJ5424">
        <v>88.600417813375799</v>
      </c>
      <c r="AK5424">
        <v>16.7871689839425</v>
      </c>
      <c r="AL5424">
        <v>78.975588603905805</v>
      </c>
      <c r="AM5424">
        <v>79.871542493120899</v>
      </c>
      <c r="AN5424">
        <v>0.99999995097924299</v>
      </c>
    </row>
    <row r="5425" spans="1:40" x14ac:dyDescent="0.25">
      <c r="A5425" t="str">
        <f>"20190303162410152"</f>
        <v>20190303162410152</v>
      </c>
      <c r="B5425" t="str">
        <f>"1551601450139936"</f>
        <v>1551601450139936</v>
      </c>
      <c r="C5425" t="s">
        <v>40</v>
      </c>
      <c r="D5425">
        <v>5.7250100000000002</v>
      </c>
      <c r="E5425">
        <v>0.44500529999999999</v>
      </c>
      <c r="F5425" t="s">
        <v>43</v>
      </c>
      <c r="G5425">
        <v>-308.5949</v>
      </c>
      <c r="H5425">
        <v>-0.05</v>
      </c>
      <c r="I5425">
        <v>17.073090000000001</v>
      </c>
      <c r="J5425">
        <v>-325.14679999999998</v>
      </c>
      <c r="K5425">
        <v>1.119016</v>
      </c>
      <c r="L5425">
        <v>17.640079999999902</v>
      </c>
      <c r="M5425">
        <v>0.99987999999999999</v>
      </c>
      <c r="N5425">
        <v>-1.1209139999999999E-2</v>
      </c>
      <c r="O5425">
        <v>-1.070894E-2</v>
      </c>
      <c r="P5425">
        <v>0.96664050000000001</v>
      </c>
      <c r="Q5425">
        <v>0.18072060000000001</v>
      </c>
      <c r="R5425">
        <v>-0.18151139999999999</v>
      </c>
      <c r="S5425">
        <v>3.12439</v>
      </c>
      <c r="T5425">
        <v>-0.21865499999999999</v>
      </c>
      <c r="U5425">
        <v>-0.1065369</v>
      </c>
      <c r="V5425">
        <v>0.17192969999999999</v>
      </c>
      <c r="W5425">
        <v>0.1908649</v>
      </c>
      <c r="X5425">
        <v>0.96644229999999998</v>
      </c>
      <c r="Y5425">
        <v>2.3325619999999998E-2</v>
      </c>
      <c r="Z5425">
        <v>-3.1754759999999999E-4</v>
      </c>
      <c r="AA5425">
        <v>0.99972780000000006</v>
      </c>
      <c r="AB5425">
        <v>29</v>
      </c>
      <c r="AC5425">
        <v>16.5518999999999</v>
      </c>
      <c r="AD5425">
        <v>-1.1690160000000001</v>
      </c>
      <c r="AE5425">
        <v>-0.566989999999997</v>
      </c>
      <c r="AF5425">
        <v>0.387761104159006</v>
      </c>
      <c r="AG5425">
        <v>-1.1690160000000001</v>
      </c>
      <c r="AH5425">
        <v>16.474938774232601</v>
      </c>
      <c r="AI5425">
        <v>94.057627047085006</v>
      </c>
      <c r="AJ5425">
        <v>88.651711310438202</v>
      </c>
      <c r="AK5425">
        <v>16.520912949860499</v>
      </c>
      <c r="AL5425">
        <v>78.996736658717595</v>
      </c>
      <c r="AM5425">
        <v>79.912636015352007</v>
      </c>
      <c r="AN5425">
        <v>0.99999997551169395</v>
      </c>
    </row>
    <row r="5426" spans="1:40" x14ac:dyDescent="0.25">
      <c r="A5426" t="str">
        <f>"20190303162410169"</f>
        <v>20190303162410169</v>
      </c>
      <c r="B5426" t="str">
        <f>"1551601450160433"</f>
        <v>1551601450160433</v>
      </c>
      <c r="C5426" t="s">
        <v>40</v>
      </c>
      <c r="D5426">
        <v>5.6702669999999999</v>
      </c>
      <c r="E5426">
        <v>0.44499529999999898</v>
      </c>
      <c r="F5426" t="s">
        <v>43</v>
      </c>
      <c r="G5426">
        <v>-308.63409999999999</v>
      </c>
      <c r="H5426">
        <v>-0.05</v>
      </c>
      <c r="I5426">
        <v>17.0565</v>
      </c>
      <c r="J5426">
        <v>-324.91730000000001</v>
      </c>
      <c r="K5426">
        <v>1.118803</v>
      </c>
      <c r="L5426">
        <v>17.635649999999998</v>
      </c>
      <c r="M5426">
        <v>0.99985619999999997</v>
      </c>
      <c r="N5426">
        <v>-1.117434E-2</v>
      </c>
      <c r="O5426">
        <v>-1.275021E-2</v>
      </c>
      <c r="P5426">
        <v>0.96638820000000003</v>
      </c>
      <c r="Q5426">
        <v>0.1812732</v>
      </c>
      <c r="R5426">
        <v>-0.1823014</v>
      </c>
      <c r="S5426">
        <v>3.1241759999999998</v>
      </c>
      <c r="T5426">
        <v>-0.22117590000000001</v>
      </c>
      <c r="U5426">
        <v>-0.1104126</v>
      </c>
      <c r="V5426">
        <v>0.17084440000000001</v>
      </c>
      <c r="W5426">
        <v>0.191303</v>
      </c>
      <c r="X5426">
        <v>0.96654819999999997</v>
      </c>
      <c r="Y5426">
        <v>2.253074E-2</v>
      </c>
      <c r="Z5426">
        <v>-1.635184E-4</v>
      </c>
      <c r="AA5426">
        <v>0.99974609999999997</v>
      </c>
      <c r="AB5426">
        <v>29</v>
      </c>
      <c r="AC5426">
        <v>16.283200000000001</v>
      </c>
      <c r="AD5426">
        <v>-1.168803</v>
      </c>
      <c r="AE5426">
        <v>-0.57914999999999806</v>
      </c>
      <c r="AF5426">
        <v>0.36957396004890603</v>
      </c>
      <c r="AG5426">
        <v>-1.168803</v>
      </c>
      <c r="AH5426">
        <v>16.205868581217299</v>
      </c>
      <c r="AI5426">
        <v>94.124086890524097</v>
      </c>
      <c r="AJ5426">
        <v>88.693599274445901</v>
      </c>
      <c r="AK5426">
        <v>16.252164835382398</v>
      </c>
      <c r="AL5426">
        <v>78.971164833324096</v>
      </c>
      <c r="AM5426">
        <v>79.976092618209506</v>
      </c>
      <c r="AN5426">
        <v>1.0000000348717899</v>
      </c>
    </row>
    <row r="5427" spans="1:40" x14ac:dyDescent="0.25">
      <c r="A5427" t="str">
        <f>"20190303162410179"</f>
        <v>20190303162410179</v>
      </c>
      <c r="B5427" t="str">
        <f>"1551601450170193"</f>
        <v>1551601450170193</v>
      </c>
      <c r="C5427" t="s">
        <v>40</v>
      </c>
      <c r="D5427">
        <v>5.686909</v>
      </c>
      <c r="E5427">
        <v>0.44495370000000001</v>
      </c>
      <c r="F5427" t="s">
        <v>43</v>
      </c>
      <c r="G5427">
        <v>-308.4135</v>
      </c>
      <c r="H5427">
        <v>-0.05</v>
      </c>
      <c r="I5427">
        <v>17.04524</v>
      </c>
      <c r="J5427">
        <v>-324.76010000000002</v>
      </c>
      <c r="K5427">
        <v>1.118654</v>
      </c>
      <c r="L5427">
        <v>17.632259999999999</v>
      </c>
      <c r="M5427">
        <v>0.99983599999999995</v>
      </c>
      <c r="N5427">
        <v>-1.115261E-2</v>
      </c>
      <c r="O5427">
        <v>-1.4266020000000001E-2</v>
      </c>
      <c r="P5427">
        <v>0.9661942</v>
      </c>
      <c r="Q5427">
        <v>0.18112529999999999</v>
      </c>
      <c r="R5427">
        <v>-0.1834742</v>
      </c>
      <c r="S5427">
        <v>3.1247250000000002</v>
      </c>
      <c r="T5427">
        <v>-0.22129399999999999</v>
      </c>
      <c r="U5427">
        <v>-0.11178589999999999</v>
      </c>
      <c r="V5427">
        <v>0.1706165</v>
      </c>
      <c r="W5427">
        <v>0.19107740000000001</v>
      </c>
      <c r="X5427">
        <v>0.96663299999999996</v>
      </c>
      <c r="Y5427">
        <v>2.145352E-2</v>
      </c>
      <c r="Z5427" s="1">
        <v>-2.858241E-5</v>
      </c>
      <c r="AA5427">
        <v>0.99976989999999999</v>
      </c>
      <c r="AB5427">
        <v>29</v>
      </c>
      <c r="AC5427">
        <v>16.346599999999999</v>
      </c>
      <c r="AD5427">
        <v>-1.1686540000000001</v>
      </c>
      <c r="AE5427">
        <v>-0.58702000000000198</v>
      </c>
      <c r="AF5427">
        <v>0.35194828226113301</v>
      </c>
      <c r="AG5427">
        <v>-1.1686540000000001</v>
      </c>
      <c r="AH5427">
        <v>16.2702589193966</v>
      </c>
      <c r="AI5427">
        <v>94.107406400071199</v>
      </c>
      <c r="AJ5427">
        <v>88.760806022956004</v>
      </c>
      <c r="AK5427">
        <v>16.3159720847183</v>
      </c>
      <c r="AL5427">
        <v>78.984332848899697</v>
      </c>
      <c r="AM5427">
        <v>79.990053939388801</v>
      </c>
      <c r="AN5427">
        <v>0.99999995977600398</v>
      </c>
    </row>
    <row r="5428" spans="1:40" x14ac:dyDescent="0.25">
      <c r="A5428" t="str">
        <f>"20190303162410192"</f>
        <v>20190303162410192</v>
      </c>
      <c r="B5428" t="str">
        <f>"1551601450179953"</f>
        <v>1551601450179953</v>
      </c>
      <c r="C5428" t="s">
        <v>40</v>
      </c>
      <c r="D5428">
        <v>5.7066059999999998</v>
      </c>
      <c r="E5428">
        <v>0.44495309999999999</v>
      </c>
      <c r="F5428" t="s">
        <v>43</v>
      </c>
      <c r="G5428">
        <v>-308.64490000000001</v>
      </c>
      <c r="H5428">
        <v>-0.05</v>
      </c>
      <c r="I5428">
        <v>17.03734</v>
      </c>
      <c r="J5428">
        <v>-324.61610000000002</v>
      </c>
      <c r="K5428">
        <v>1.1185229999999999</v>
      </c>
      <c r="L5428">
        <v>17.62875</v>
      </c>
      <c r="M5428">
        <v>0.99981359999999997</v>
      </c>
      <c r="N5428">
        <v>-1.1135620000000001E-2</v>
      </c>
      <c r="O5428">
        <v>-1.5779939999999999E-2</v>
      </c>
      <c r="P5428">
        <v>0.96604970000000001</v>
      </c>
      <c r="Q5428">
        <v>0.180588</v>
      </c>
      <c r="R5428">
        <v>-0.1847598</v>
      </c>
      <c r="S5428">
        <v>3.1255799999999998</v>
      </c>
      <c r="T5428">
        <v>-0.22666259999999999</v>
      </c>
      <c r="U5428">
        <v>-0.115387</v>
      </c>
      <c r="V5428">
        <v>0.1704936</v>
      </c>
      <c r="W5428">
        <v>0.19047349999999999</v>
      </c>
      <c r="X5428">
        <v>0.96677389999999996</v>
      </c>
      <c r="Y5428">
        <v>2.1082920000000002E-2</v>
      </c>
      <c r="Z5428" s="1">
        <v>8.6046759999999995E-5</v>
      </c>
      <c r="AA5428">
        <v>0.99977769999999999</v>
      </c>
      <c r="AB5428">
        <v>29</v>
      </c>
      <c r="AC5428">
        <v>15.9712</v>
      </c>
      <c r="AD5428">
        <v>-1.168523</v>
      </c>
      <c r="AE5428">
        <v>-0.59140999999999899</v>
      </c>
      <c r="AF5428">
        <v>0.33749204931321403</v>
      </c>
      <c r="AG5428">
        <v>-1.168523</v>
      </c>
      <c r="AH5428">
        <v>15.8935818832958</v>
      </c>
      <c r="AI5428">
        <v>94.203972668110495</v>
      </c>
      <c r="AJ5428">
        <v>88.783536359563797</v>
      </c>
      <c r="AK5428">
        <v>15.940053072869899</v>
      </c>
      <c r="AL5428">
        <v>79.019581575516199</v>
      </c>
      <c r="AM5428">
        <v>79.998547127837796</v>
      </c>
      <c r="AN5428">
        <v>0.99999999778220905</v>
      </c>
    </row>
    <row r="5429" spans="1:40" x14ac:dyDescent="0.25">
      <c r="A5429" t="str">
        <f>"20190303162410206"</f>
        <v>20190303162410206</v>
      </c>
      <c r="B5429" t="str">
        <f>"1551601450200450"</f>
        <v>1551601450200450</v>
      </c>
      <c r="C5429" t="s">
        <v>40</v>
      </c>
      <c r="D5429">
        <v>5.7455400000000001</v>
      </c>
      <c r="E5429">
        <v>0.44489879999999998</v>
      </c>
      <c r="F5429" t="s">
        <v>43</v>
      </c>
      <c r="G5429">
        <v>-309.03899999999999</v>
      </c>
      <c r="H5429">
        <v>-0.05</v>
      </c>
      <c r="I5429">
        <v>17.031489999999899</v>
      </c>
      <c r="J5429">
        <v>-324.43450000000001</v>
      </c>
      <c r="K5429">
        <v>1.118357</v>
      </c>
      <c r="L5429">
        <v>17.624079999999999</v>
      </c>
      <c r="M5429">
        <v>0.99978049999999996</v>
      </c>
      <c r="N5429">
        <v>-1.111549E-2</v>
      </c>
      <c r="O5429">
        <v>-1.776078E-2</v>
      </c>
      <c r="P5429">
        <v>0.96604449999999997</v>
      </c>
      <c r="Q5429">
        <v>0.1793737</v>
      </c>
      <c r="R5429">
        <v>-0.18596670000000001</v>
      </c>
      <c r="S5429">
        <v>3.1263730000000001</v>
      </c>
      <c r="T5429">
        <v>-0.23452619999999999</v>
      </c>
      <c r="U5429">
        <v>-0.11987299999999999</v>
      </c>
      <c r="V5429">
        <v>0.16984759999999999</v>
      </c>
      <c r="W5429">
        <v>0.18918090000000001</v>
      </c>
      <c r="X5429">
        <v>0.96714129999999998</v>
      </c>
      <c r="Y5429">
        <v>2.0529490000000001E-2</v>
      </c>
      <c r="Z5429">
        <v>2.496892E-4</v>
      </c>
      <c r="AA5429">
        <v>0.99978920000000004</v>
      </c>
      <c r="AB5429">
        <v>29</v>
      </c>
      <c r="AC5429">
        <v>15.3955</v>
      </c>
      <c r="AD5429">
        <v>-1.1683569999999901</v>
      </c>
      <c r="AE5429">
        <v>-0.59259000000000095</v>
      </c>
      <c r="AF5429">
        <v>0.31721930809665999</v>
      </c>
      <c r="AG5429">
        <v>-1.1683569999999901</v>
      </c>
      <c r="AH5429">
        <v>15.315521856506299</v>
      </c>
      <c r="AI5429">
        <v>94.361473880452195</v>
      </c>
      <c r="AJ5429">
        <v>88.813443687314404</v>
      </c>
      <c r="AK5429">
        <v>15.3632970389171</v>
      </c>
      <c r="AL5429">
        <v>79.095013200287198</v>
      </c>
      <c r="AM5429">
        <v>80.039391184831999</v>
      </c>
      <c r="AN5429">
        <v>0.99999995715812895</v>
      </c>
    </row>
    <row r="5430" spans="1:40" x14ac:dyDescent="0.25">
      <c r="A5430" t="str">
        <f>"20190303162410217"</f>
        <v>20190303162410217</v>
      </c>
      <c r="B5430" t="str">
        <f>"1551601450210209"</f>
        <v>1551601450210209</v>
      </c>
      <c r="C5430" t="s">
        <v>40</v>
      </c>
      <c r="D5430">
        <v>6.1014439999999999</v>
      </c>
      <c r="E5430">
        <v>0.44489879999999998</v>
      </c>
      <c r="F5430" t="s">
        <v>42</v>
      </c>
      <c r="G5430">
        <v>-323.47640000000001</v>
      </c>
      <c r="H5430">
        <v>1.0455209999999999</v>
      </c>
      <c r="I5430">
        <v>17.585920000000002</v>
      </c>
      <c r="J5430">
        <v>-324.27289999999999</v>
      </c>
      <c r="K5430">
        <v>1.1182080000000001</v>
      </c>
      <c r="L5430">
        <v>17.61938</v>
      </c>
      <c r="M5430">
        <v>0.99974510000000005</v>
      </c>
      <c r="N5430">
        <v>-1.1100469999999999E-2</v>
      </c>
      <c r="O5430">
        <v>-1.9660810000000001E-2</v>
      </c>
      <c r="P5430">
        <v>0.96607560000000003</v>
      </c>
      <c r="Q5430">
        <v>0.17815210000000001</v>
      </c>
      <c r="R5430">
        <v>-0.18697520000000001</v>
      </c>
      <c r="S5430">
        <v>3.1257630000000001</v>
      </c>
      <c r="T5430">
        <v>-0.2372898</v>
      </c>
      <c r="U5430">
        <v>-0.12350460000000001</v>
      </c>
      <c r="V5430">
        <v>0.16907259999999999</v>
      </c>
      <c r="W5430">
        <v>0.18789449999999999</v>
      </c>
      <c r="X5430">
        <v>0.96752780000000005</v>
      </c>
      <c r="Y5430">
        <v>1.9802630000000002E-2</v>
      </c>
      <c r="Z5430">
        <v>4.1124979999999998E-4</v>
      </c>
      <c r="AA5430">
        <v>0.99980380000000002</v>
      </c>
      <c r="AB5430">
        <v>29</v>
      </c>
      <c r="AC5430">
        <v>0.79649999999998</v>
      </c>
      <c r="AD5430">
        <v>-7.2687000000000099E-2</v>
      </c>
      <c r="AE5430">
        <v>-3.3459999999997998E-2</v>
      </c>
      <c r="AF5430">
        <v>1.76460341369668E-2</v>
      </c>
      <c r="AG5430">
        <v>-7.2687000000000099E-2</v>
      </c>
      <c r="AH5430">
        <v>0.79043276873131596</v>
      </c>
      <c r="AI5430">
        <v>95.252754810273899</v>
      </c>
      <c r="AJ5430">
        <v>88.721111511708301</v>
      </c>
      <c r="AK5430">
        <v>0.79396394400124803</v>
      </c>
      <c r="AL5430">
        <v>79.170064564539601</v>
      </c>
      <c r="AM5430">
        <v>80.087819063721994</v>
      </c>
      <c r="AN5430">
        <v>0.99999996548692405</v>
      </c>
    </row>
    <row r="5431" spans="1:40" x14ac:dyDescent="0.25">
      <c r="A5431" t="str">
        <f>"20190303162410228"</f>
        <v>20190303162410228</v>
      </c>
      <c r="B5431" t="str">
        <f>"1551601450219969"</f>
        <v>1551601450219969</v>
      </c>
      <c r="C5431" t="s">
        <v>40</v>
      </c>
      <c r="D5431">
        <v>5.4465680000000001</v>
      </c>
      <c r="E5431">
        <v>0.47819679999999998</v>
      </c>
      <c r="F5431" t="s">
        <v>43</v>
      </c>
      <c r="G5431">
        <v>-309.1388</v>
      </c>
      <c r="H5431">
        <v>-0.05</v>
      </c>
      <c r="I5431">
        <v>17.005800000000001</v>
      </c>
      <c r="J5431">
        <v>-324.12310000000002</v>
      </c>
      <c r="K5431">
        <v>1.118072</v>
      </c>
      <c r="L5431">
        <v>17.614750000000001</v>
      </c>
      <c r="M5431">
        <v>0.99970729999999997</v>
      </c>
      <c r="N5431">
        <v>-1.108833E-2</v>
      </c>
      <c r="O5431">
        <v>-2.15043E-2</v>
      </c>
      <c r="P5431">
        <v>0.96613380000000004</v>
      </c>
      <c r="Q5431">
        <v>0.1771065</v>
      </c>
      <c r="R5431">
        <v>-0.18766630000000001</v>
      </c>
      <c r="S5431">
        <v>3.125305</v>
      </c>
      <c r="T5431">
        <v>-0.24124280000000001</v>
      </c>
      <c r="U5431">
        <v>-0.12670899999999999</v>
      </c>
      <c r="V5431">
        <v>0.16802790000000001</v>
      </c>
      <c r="W5431">
        <v>0.1867943</v>
      </c>
      <c r="X5431">
        <v>0.96792279999999997</v>
      </c>
      <c r="Y5431">
        <v>1.899458E-2</v>
      </c>
      <c r="Z5431">
        <v>5.811646E-4</v>
      </c>
      <c r="AA5431">
        <v>0.99981940000000002</v>
      </c>
      <c r="AB5431">
        <v>29</v>
      </c>
      <c r="AC5431">
        <v>14.984299999999999</v>
      </c>
      <c r="AD5431">
        <v>-1.168072</v>
      </c>
      <c r="AE5431">
        <v>-0.60894999999999999</v>
      </c>
      <c r="AF5431">
        <v>0.28483449074025602</v>
      </c>
      <c r="AG5431">
        <v>-1.168072</v>
      </c>
      <c r="AH5431">
        <v>14.903515829187199</v>
      </c>
      <c r="AI5431">
        <v>94.4806151216047</v>
      </c>
      <c r="AJ5431">
        <v>88.905102139368793</v>
      </c>
      <c r="AK5431">
        <v>14.951933217986699</v>
      </c>
      <c r="AL5431">
        <v>79.234238169155304</v>
      </c>
      <c r="AM5431">
        <v>80.151804492666599</v>
      </c>
      <c r="AN5431">
        <v>1.0000000162253599</v>
      </c>
    </row>
    <row r="5432" spans="1:40" x14ac:dyDescent="0.25">
      <c r="A5432" t="str">
        <f>"20190303162410242"</f>
        <v>20190303162410242</v>
      </c>
      <c r="B5432" t="str">
        <f>"1551601450230706"</f>
        <v>1551601450230706</v>
      </c>
      <c r="C5432" t="s">
        <v>40</v>
      </c>
      <c r="D5432">
        <v>5.612514</v>
      </c>
      <c r="E5432">
        <v>0.47819679999999998</v>
      </c>
      <c r="F5432" t="s">
        <v>42</v>
      </c>
      <c r="G5432">
        <v>-323.21460000000002</v>
      </c>
      <c r="H5432">
        <v>1.0484450000000001</v>
      </c>
      <c r="I5432">
        <v>17.49933</v>
      </c>
      <c r="J5432">
        <v>-323.9545</v>
      </c>
      <c r="K5432">
        <v>1.1179220000000001</v>
      </c>
      <c r="L5432">
        <v>17.609189999999899</v>
      </c>
      <c r="M5432">
        <v>0.99965910000000002</v>
      </c>
      <c r="N5432">
        <v>-1.107592E-2</v>
      </c>
      <c r="O5432">
        <v>-2.364809E-2</v>
      </c>
      <c r="P5432">
        <v>0.96606619999999999</v>
      </c>
      <c r="Q5432">
        <v>0.176255299999999</v>
      </c>
      <c r="R5432">
        <v>-0.18881310000000001</v>
      </c>
      <c r="S5432">
        <v>3.0726010000000001</v>
      </c>
      <c r="T5432">
        <v>-0.23526330000000001</v>
      </c>
      <c r="U5432">
        <v>-0.38970949999999999</v>
      </c>
      <c r="V5432">
        <v>0.1671569</v>
      </c>
      <c r="W5432">
        <v>0.18587980000000001</v>
      </c>
      <c r="X5432">
        <v>0.96824960000000004</v>
      </c>
      <c r="Y5432">
        <v>0.1020418</v>
      </c>
      <c r="Z5432">
        <v>-2.914294E-3</v>
      </c>
      <c r="AA5432">
        <v>0.99477579999999999</v>
      </c>
      <c r="AB5432">
        <v>29</v>
      </c>
      <c r="AC5432">
        <v>0.73989999999997702</v>
      </c>
      <c r="AD5432">
        <v>-6.9476999999999706E-2</v>
      </c>
      <c r="AE5432">
        <v>-0.109859999999997</v>
      </c>
      <c r="AF5432">
        <v>9.1541243389316004E-2</v>
      </c>
      <c r="AG5432">
        <v>-6.9476999999999706E-2</v>
      </c>
      <c r="AH5432">
        <v>0.73594213917281803</v>
      </c>
      <c r="AI5432">
        <v>95.352051771123001</v>
      </c>
      <c r="AJ5432">
        <v>82.909598239200506</v>
      </c>
      <c r="AK5432">
        <v>0.74486084940781006</v>
      </c>
      <c r="AL5432">
        <v>79.287569124109993</v>
      </c>
      <c r="AM5432">
        <v>80.205105213035097</v>
      </c>
      <c r="AN5432">
        <v>1.0000000085828999</v>
      </c>
    </row>
    <row r="5433" spans="1:40" x14ac:dyDescent="0.25">
      <c r="A5433" t="str">
        <f>"20190303162410255"</f>
        <v>20190303162410255</v>
      </c>
      <c r="B5433" t="str">
        <f>"1551601450240464"</f>
        <v>1551601450240464</v>
      </c>
      <c r="C5433" t="s">
        <v>40</v>
      </c>
      <c r="D5433">
        <v>5.616765</v>
      </c>
      <c r="E5433">
        <v>0.53197119999999998</v>
      </c>
      <c r="F5433" t="s">
        <v>43</v>
      </c>
      <c r="G5433">
        <v>-308.87740000000002</v>
      </c>
      <c r="H5433">
        <v>-0.05</v>
      </c>
      <c r="I5433">
        <v>15.678789999999999</v>
      </c>
      <c r="J5433">
        <v>-323.7885</v>
      </c>
      <c r="K5433">
        <v>1.117772</v>
      </c>
      <c r="L5433">
        <v>17.602999999999899</v>
      </c>
      <c r="M5433">
        <v>0.99960309999999997</v>
      </c>
      <c r="N5433">
        <v>-1.106673E-2</v>
      </c>
      <c r="O5433">
        <v>-2.590862E-2</v>
      </c>
      <c r="P5433">
        <v>0.96583600000000003</v>
      </c>
      <c r="Q5433">
        <v>0.17614869999999999</v>
      </c>
      <c r="R5433">
        <v>-0.19008639999999999</v>
      </c>
      <c r="S5433">
        <v>3.0718990000000002</v>
      </c>
      <c r="T5433">
        <v>-0.2379599</v>
      </c>
      <c r="U5433">
        <v>-0.39331050000000001</v>
      </c>
      <c r="V5433">
        <v>0.1663058</v>
      </c>
      <c r="W5433">
        <v>0.18571399999999999</v>
      </c>
      <c r="X5433">
        <v>0.96842799999999996</v>
      </c>
      <c r="Y5433">
        <v>0.1009707</v>
      </c>
      <c r="Z5433">
        <v>-2.7415339999999999E-3</v>
      </c>
      <c r="AA5433">
        <v>0.99488560000000004</v>
      </c>
      <c r="AB5433">
        <v>29</v>
      </c>
      <c r="AC5433">
        <v>14.9110999999999</v>
      </c>
      <c r="AD5433">
        <v>-1.167772</v>
      </c>
      <c r="AE5433">
        <v>-1.92420999999999</v>
      </c>
      <c r="AF5433">
        <v>1.52799612176749</v>
      </c>
      <c r="AG5433">
        <v>-1.167772</v>
      </c>
      <c r="AH5433">
        <v>14.866264365445099</v>
      </c>
      <c r="AI5433">
        <v>94.468021716373897</v>
      </c>
      <c r="AJ5433">
        <v>84.131587282532394</v>
      </c>
      <c r="AK5433">
        <v>14.990139418144899</v>
      </c>
      <c r="AL5433">
        <v>79.297237550471905</v>
      </c>
      <c r="AM5433">
        <v>80.255779262739694</v>
      </c>
      <c r="AN5433">
        <v>1.00000005004681</v>
      </c>
    </row>
    <row r="5434" spans="1:40" x14ac:dyDescent="0.25">
      <c r="A5434" t="str">
        <f>"20190303162410269"</f>
        <v>20190303162410269</v>
      </c>
      <c r="B5434" t="str">
        <f>"1551601450259984"</f>
        <v>1551601450259984</v>
      </c>
      <c r="C5434" t="s">
        <v>40</v>
      </c>
      <c r="D5434">
        <v>5.5862089999999904</v>
      </c>
      <c r="E5434">
        <v>0.53616430000000004</v>
      </c>
      <c r="F5434" t="s">
        <v>43</v>
      </c>
      <c r="G5434">
        <v>-312.4282</v>
      </c>
      <c r="H5434">
        <v>-0.05</v>
      </c>
      <c r="I5434">
        <v>14.50554</v>
      </c>
      <c r="J5434">
        <v>-323.59370000000001</v>
      </c>
      <c r="K5434">
        <v>1.117607</v>
      </c>
      <c r="L5434">
        <v>17.59534</v>
      </c>
      <c r="M5434">
        <v>0.99952810000000003</v>
      </c>
      <c r="N5434">
        <v>-1.1057320000000001E-2</v>
      </c>
      <c r="O5434">
        <v>-2.8655900000000002E-2</v>
      </c>
      <c r="P5434">
        <v>0.9652925</v>
      </c>
      <c r="Q5434">
        <v>0.17686399999999999</v>
      </c>
      <c r="R5434">
        <v>-0.1921708</v>
      </c>
      <c r="S5434">
        <v>3.0013429999999999</v>
      </c>
      <c r="T5434">
        <v>-0.30851919999999999</v>
      </c>
      <c r="U5434">
        <v>-0.81832890000000003</v>
      </c>
      <c r="V5434">
        <v>0.1658192</v>
      </c>
      <c r="W5434">
        <v>0.18635489999999999</v>
      </c>
      <c r="X5434">
        <v>0.96838829999999998</v>
      </c>
      <c r="Y5434">
        <v>0.23412949999999999</v>
      </c>
      <c r="Z5434">
        <v>-1.053784E-2</v>
      </c>
      <c r="AA5434">
        <v>0.97214829999999997</v>
      </c>
      <c r="AB5434">
        <v>29</v>
      </c>
      <c r="AC5434">
        <v>11.1655</v>
      </c>
      <c r="AD5434">
        <v>-1.1676070000000001</v>
      </c>
      <c r="AE5434">
        <v>-3.0897999999999999</v>
      </c>
      <c r="AF5434">
        <v>2.7407148255203699</v>
      </c>
      <c r="AG5434">
        <v>-1.1676070000000001</v>
      </c>
      <c r="AH5434">
        <v>11.136341972334201</v>
      </c>
      <c r="AI5434">
        <v>95.813179463153205</v>
      </c>
      <c r="AJ5434">
        <v>76.173961726860199</v>
      </c>
      <c r="AK5434">
        <v>11.5279198637937</v>
      </c>
      <c r="AL5434">
        <v>79.259864026748701</v>
      </c>
      <c r="AM5434">
        <v>80.283355245519701</v>
      </c>
      <c r="AN5434">
        <v>1.00000002770976</v>
      </c>
    </row>
    <row r="5435" spans="1:40" x14ac:dyDescent="0.25">
      <c r="A5435" t="str">
        <f>"20190303162410284"</f>
        <v>20190303162410284</v>
      </c>
      <c r="B5435" t="str">
        <f>"1551601450270720"</f>
        <v>1551601450270720</v>
      </c>
      <c r="C5435" t="s">
        <v>40</v>
      </c>
      <c r="D5435">
        <v>5.5122609999999996</v>
      </c>
      <c r="E5435">
        <v>0.53699759999999996</v>
      </c>
      <c r="F5435" t="s">
        <v>43</v>
      </c>
      <c r="G5435">
        <v>-311.66609999999997</v>
      </c>
      <c r="H5435">
        <v>-0.05</v>
      </c>
      <c r="I5435">
        <v>14.176069999999999</v>
      </c>
      <c r="J5435">
        <v>-323.40190000000001</v>
      </c>
      <c r="K5435">
        <v>1.1174470000000001</v>
      </c>
      <c r="L5435">
        <v>17.587219999999999</v>
      </c>
      <c r="M5435">
        <v>0.99944339999999998</v>
      </c>
      <c r="N5435">
        <v>-1.104981E-2</v>
      </c>
      <c r="O5435">
        <v>-3.1475690000000001E-2</v>
      </c>
      <c r="P5435">
        <v>0.96457309999999996</v>
      </c>
      <c r="Q5435">
        <v>0.17767810000000001</v>
      </c>
      <c r="R5435">
        <v>-0.19501060000000001</v>
      </c>
      <c r="S5435">
        <v>2.9907840000000001</v>
      </c>
      <c r="T5435">
        <v>-0.29277049999999999</v>
      </c>
      <c r="U5435">
        <v>-0.85736080000000003</v>
      </c>
      <c r="V5435">
        <v>0.16602349999999999</v>
      </c>
      <c r="W5435">
        <v>0.18709219999999999</v>
      </c>
      <c r="X5435">
        <v>0.96821109999999999</v>
      </c>
      <c r="Y5435">
        <v>0.24407619999999999</v>
      </c>
      <c r="Z5435">
        <v>-1.0393579999999999E-2</v>
      </c>
      <c r="AA5435">
        <v>0.96970029999999996</v>
      </c>
      <c r="AB5435">
        <v>29</v>
      </c>
      <c r="AC5435">
        <v>11.735799999999999</v>
      </c>
      <c r="AD5435">
        <v>-1.1674469999999999</v>
      </c>
      <c r="AE5435">
        <v>-3.4111500000000001</v>
      </c>
      <c r="AF5435">
        <v>3.0125555468781799</v>
      </c>
      <c r="AG5435">
        <v>-1.1674469999999999</v>
      </c>
      <c r="AH5435">
        <v>11.7303218581664</v>
      </c>
      <c r="AI5435">
        <v>95.506055374496</v>
      </c>
      <c r="AJ5435">
        <v>75.596697101224294</v>
      </c>
      <c r="AK5435">
        <v>12.1671226802811</v>
      </c>
      <c r="AL5435">
        <v>79.216863428628301</v>
      </c>
      <c r="AM5435">
        <v>80.269865901480202</v>
      </c>
      <c r="AN5435">
        <v>1.00000001400814</v>
      </c>
    </row>
    <row r="5436" spans="1:40" x14ac:dyDescent="0.25">
      <c r="A5436" t="str">
        <f>"20190303162410305"</f>
        <v>20190303162410305</v>
      </c>
      <c r="B5436" t="str">
        <f>"1551601450290241"</f>
        <v>1551601450290241</v>
      </c>
      <c r="C5436" t="s">
        <v>40</v>
      </c>
      <c r="D5436">
        <v>5.4537060000000004</v>
      </c>
      <c r="E5436">
        <v>0.53716960000000002</v>
      </c>
      <c r="F5436" t="s">
        <v>43</v>
      </c>
      <c r="G5436">
        <v>-311.40210000000002</v>
      </c>
      <c r="H5436">
        <v>-0.05</v>
      </c>
      <c r="I5436">
        <v>14.08015</v>
      </c>
      <c r="J5436">
        <v>-323.12549999999999</v>
      </c>
      <c r="K5436">
        <v>1.1172299999999999</v>
      </c>
      <c r="L5436">
        <v>17.574100000000001</v>
      </c>
      <c r="M5436">
        <v>0.99929889999999999</v>
      </c>
      <c r="N5436">
        <v>-1.10431E-2</v>
      </c>
      <c r="O5436">
        <v>-3.5774930000000003E-2</v>
      </c>
      <c r="P5436">
        <v>0.96312640000000005</v>
      </c>
      <c r="Q5436">
        <v>0.17880860000000001</v>
      </c>
      <c r="R5436">
        <v>-0.20103489999999999</v>
      </c>
      <c r="S5436">
        <v>2.9872130000000001</v>
      </c>
      <c r="T5436">
        <v>-0.29062329999999997</v>
      </c>
      <c r="U5436">
        <v>-0.87304689999999996</v>
      </c>
      <c r="V5436">
        <v>0.168032399999999</v>
      </c>
      <c r="W5436">
        <v>0.18810299999999999</v>
      </c>
      <c r="X5436">
        <v>0.96766850000000004</v>
      </c>
      <c r="Y5436">
        <v>0.2449354</v>
      </c>
      <c r="Z5436">
        <v>-1.0018320000000001E-2</v>
      </c>
      <c r="AA5436">
        <v>0.9694876</v>
      </c>
      <c r="AB5436">
        <v>29</v>
      </c>
      <c r="AC5436">
        <v>11.7233999999999</v>
      </c>
      <c r="AD5436">
        <v>-1.16723</v>
      </c>
      <c r="AE5436">
        <v>-3.4939499999999999</v>
      </c>
      <c r="AF5436">
        <v>3.0445650328461298</v>
      </c>
      <c r="AG5436">
        <v>-1.16723</v>
      </c>
      <c r="AH5436">
        <v>11.734067133727599</v>
      </c>
      <c r="AI5436">
        <v>95.499790599131202</v>
      </c>
      <c r="AJ5436">
        <v>75.454567064500793</v>
      </c>
      <c r="AK5436">
        <v>12.1786753635589</v>
      </c>
      <c r="AL5436">
        <v>79.157901633125306</v>
      </c>
      <c r="AM5436">
        <v>80.149008467188693</v>
      </c>
      <c r="AN5436">
        <v>0.99999997597550405</v>
      </c>
    </row>
    <row r="5437" spans="1:40" x14ac:dyDescent="0.25">
      <c r="A5437" t="str">
        <f>"20190303162410319"</f>
        <v>20190303162410319</v>
      </c>
      <c r="B5437" t="str">
        <f>"1551601450310736"</f>
        <v>1551601450310736</v>
      </c>
      <c r="C5437" t="s">
        <v>40</v>
      </c>
      <c r="D5437">
        <v>5.4088250000000002</v>
      </c>
      <c r="E5437">
        <v>0.53642590000000001</v>
      </c>
      <c r="F5437" t="s">
        <v>43</v>
      </c>
      <c r="G5437">
        <v>-310.90789999999998</v>
      </c>
      <c r="H5437">
        <v>-0.05</v>
      </c>
      <c r="I5437">
        <v>13.911619999999999</v>
      </c>
      <c r="J5437">
        <v>-322.92419999999998</v>
      </c>
      <c r="K5437">
        <v>1.1170739999999999</v>
      </c>
      <c r="L5437">
        <v>17.56372</v>
      </c>
      <c r="M5437">
        <v>0.99917659999999997</v>
      </c>
      <c r="N5437">
        <v>-1.1040029999999999E-2</v>
      </c>
      <c r="O5437">
        <v>-3.9043649999999999E-2</v>
      </c>
      <c r="P5437">
        <v>0.96207109999999996</v>
      </c>
      <c r="Q5437">
        <v>0.17912359999999999</v>
      </c>
      <c r="R5437">
        <v>-0.20575309999999999</v>
      </c>
      <c r="S5437">
        <v>2.981201</v>
      </c>
      <c r="T5437">
        <v>-0.28481410000000001</v>
      </c>
      <c r="U5437">
        <v>-0.89367680000000005</v>
      </c>
      <c r="V5437">
        <v>0.1696868</v>
      </c>
      <c r="W5437">
        <v>0.18833569999999999</v>
      </c>
      <c r="X5437">
        <v>0.96733449999999999</v>
      </c>
      <c r="Y5437">
        <v>0.24848870000000001</v>
      </c>
      <c r="Z5437">
        <v>-9.7797630000000003E-3</v>
      </c>
      <c r="AA5437">
        <v>0.96858540000000004</v>
      </c>
      <c r="AB5437">
        <v>29</v>
      </c>
      <c r="AC5437">
        <v>12.016299999999999</v>
      </c>
      <c r="AD5437">
        <v>-1.1670739999999999</v>
      </c>
      <c r="AE5437">
        <v>-3.6520999999999901</v>
      </c>
      <c r="AF5437">
        <v>3.1528995195181602</v>
      </c>
      <c r="AG5437">
        <v>-1.1670739999999999</v>
      </c>
      <c r="AH5437">
        <v>12.0457164726404</v>
      </c>
      <c r="AI5437">
        <v>95.354662289316806</v>
      </c>
      <c r="AJ5437">
        <v>75.332202403865395</v>
      </c>
      <c r="AK5437">
        <v>12.5060834173172</v>
      </c>
      <c r="AL5437">
        <v>79.1443264315932</v>
      </c>
      <c r="AM5437">
        <v>80.050580421143906</v>
      </c>
      <c r="AN5437">
        <v>0.99999999043948895</v>
      </c>
    </row>
    <row r="5438" spans="1:40" x14ac:dyDescent="0.25">
      <c r="A5438" t="str">
        <f>"20190303162410338"</f>
        <v>20190303162410338</v>
      </c>
      <c r="B5438" t="str">
        <f>"1551601450330257"</f>
        <v>1551601450330257</v>
      </c>
      <c r="C5438" t="s">
        <v>40</v>
      </c>
      <c r="D5438">
        <v>5.3825089999999998</v>
      </c>
      <c r="E5438">
        <v>0.53641130000000004</v>
      </c>
      <c r="F5438" t="s">
        <v>43</v>
      </c>
      <c r="G5438">
        <v>-310.49209999999999</v>
      </c>
      <c r="H5438">
        <v>-0.05</v>
      </c>
      <c r="I5438">
        <v>13.7948</v>
      </c>
      <c r="J5438">
        <v>-322.68299999999999</v>
      </c>
      <c r="K5438">
        <v>1.116911</v>
      </c>
      <c r="L5438">
        <v>17.550139999999999</v>
      </c>
      <c r="M5438">
        <v>0.99900990000000001</v>
      </c>
      <c r="N5438">
        <v>-1.103731E-2</v>
      </c>
      <c r="O5438">
        <v>-4.3097950000000003E-2</v>
      </c>
      <c r="P5438">
        <v>0.96032450000000003</v>
      </c>
      <c r="Q5438">
        <v>0.17913560000000001</v>
      </c>
      <c r="R5438">
        <v>-0.21374650000000001</v>
      </c>
      <c r="S5438">
        <v>2.9772639999999999</v>
      </c>
      <c r="T5438">
        <v>-0.27949299999999999</v>
      </c>
      <c r="U5438">
        <v>-0.9025879</v>
      </c>
      <c r="V5438">
        <v>0.17388670000000001</v>
      </c>
      <c r="W5438">
        <v>0.1882327</v>
      </c>
      <c r="X5438">
        <v>0.96660849999999998</v>
      </c>
      <c r="Y5438">
        <v>0.24761929999999999</v>
      </c>
      <c r="Z5438">
        <v>-9.2673140000000005E-3</v>
      </c>
      <c r="AA5438">
        <v>0.96881309999999998</v>
      </c>
      <c r="AB5438">
        <v>29</v>
      </c>
      <c r="AC5438">
        <v>12.190899999999999</v>
      </c>
      <c r="AD5438">
        <v>-1.166911</v>
      </c>
      <c r="AE5438">
        <v>-3.7553399999999901</v>
      </c>
      <c r="AF5438">
        <v>3.19964023187937</v>
      </c>
      <c r="AG5438">
        <v>-1.166911</v>
      </c>
      <c r="AH5438">
        <v>12.239010099226901</v>
      </c>
      <c r="AI5438">
        <v>95.270246791530894</v>
      </c>
      <c r="AJ5438">
        <v>75.349083872269006</v>
      </c>
      <c r="AK5438">
        <v>12.7040445175684</v>
      </c>
      <c r="AL5438">
        <v>79.150336166407598</v>
      </c>
      <c r="AM5438">
        <v>79.801930353955299</v>
      </c>
      <c r="AN5438">
        <v>1.0000000630292101</v>
      </c>
    </row>
    <row r="5439" spans="1:40" x14ac:dyDescent="0.25">
      <c r="A5439" t="str">
        <f>"20190303162410353"</f>
        <v>20190303162410353</v>
      </c>
      <c r="B5439" t="str">
        <f>"1551601450340377"</f>
        <v>1551601450340377</v>
      </c>
      <c r="C5439" t="s">
        <v>40</v>
      </c>
      <c r="D5439">
        <v>5.3581510000000003</v>
      </c>
      <c r="E5439">
        <v>0.5360876</v>
      </c>
      <c r="F5439" t="s">
        <v>43</v>
      </c>
      <c r="G5439">
        <v>-310.07850000000002</v>
      </c>
      <c r="H5439">
        <v>-0.05</v>
      </c>
      <c r="I5439">
        <v>13.61754</v>
      </c>
      <c r="J5439">
        <v>-322.50580000000002</v>
      </c>
      <c r="K5439">
        <v>1.1167990000000001</v>
      </c>
      <c r="L5439">
        <v>17.539490000000001</v>
      </c>
      <c r="M5439">
        <v>0.99887269999999995</v>
      </c>
      <c r="N5439">
        <v>-1.10361E-2</v>
      </c>
      <c r="O5439">
        <v>-4.6170280000000001E-2</v>
      </c>
      <c r="P5439">
        <v>0.95925870000000002</v>
      </c>
      <c r="Q5439">
        <v>0.17867559999999999</v>
      </c>
      <c r="R5439">
        <v>-0.21885560000000001</v>
      </c>
      <c r="S5439">
        <v>2.9690249999999998</v>
      </c>
      <c r="T5439">
        <v>-0.27486870000000002</v>
      </c>
      <c r="U5439">
        <v>-0.9263306</v>
      </c>
      <c r="V5439">
        <v>0.17610519999999999</v>
      </c>
      <c r="W5439">
        <v>0.18770210000000001</v>
      </c>
      <c r="X5439">
        <v>0.96631</v>
      </c>
      <c r="Y5439">
        <v>0.25247520000000001</v>
      </c>
      <c r="Z5439">
        <v>-9.1609529999999995E-3</v>
      </c>
      <c r="AA5439">
        <v>0.96755999999999998</v>
      </c>
      <c r="AB5439">
        <v>29</v>
      </c>
      <c r="AC5439">
        <v>12.427300000000001</v>
      </c>
      <c r="AD5439">
        <v>-1.1667989999999999</v>
      </c>
      <c r="AE5439">
        <v>-3.9219499999999998</v>
      </c>
      <c r="AF5439">
        <v>3.3173653697013301</v>
      </c>
      <c r="AG5439">
        <v>-1.1667989999999999</v>
      </c>
      <c r="AH5439">
        <v>12.4949638144241</v>
      </c>
      <c r="AI5439">
        <v>95.157243398483601</v>
      </c>
      <c r="AJ5439">
        <v>75.1312117256942</v>
      </c>
      <c r="AK5439">
        <v>12.980387267961699</v>
      </c>
      <c r="AL5439">
        <v>79.181289085924206</v>
      </c>
      <c r="AM5439">
        <v>79.671481032409005</v>
      </c>
      <c r="AN5439">
        <v>1.0000000679557199</v>
      </c>
    </row>
    <row r="5440" spans="1:40" x14ac:dyDescent="0.25">
      <c r="A5440" t="str">
        <f>"20190303162410366"</f>
        <v>20190303162410366</v>
      </c>
      <c r="B5440" t="str">
        <f>"1551601450359896"</f>
        <v>1551601450359896</v>
      </c>
      <c r="C5440" t="s">
        <v>40</v>
      </c>
      <c r="D5440">
        <v>5.2927730000000004</v>
      </c>
      <c r="E5440">
        <v>0.53613379999999999</v>
      </c>
      <c r="F5440" t="s">
        <v>43</v>
      </c>
      <c r="G5440">
        <v>-309.91289999999998</v>
      </c>
      <c r="H5440">
        <v>-0.05</v>
      </c>
      <c r="I5440">
        <v>13.550369999999999</v>
      </c>
      <c r="J5440">
        <v>-322.31979999999999</v>
      </c>
      <c r="K5440">
        <v>1.1166830000000001</v>
      </c>
      <c r="L5440">
        <v>17.52777</v>
      </c>
      <c r="M5440">
        <v>0.99871549999999998</v>
      </c>
      <c r="N5440">
        <v>-1.103529E-2</v>
      </c>
      <c r="O5440">
        <v>-4.9456750000000001E-2</v>
      </c>
      <c r="P5440">
        <v>0.95815930000000005</v>
      </c>
      <c r="Q5440">
        <v>0.17816860000000001</v>
      </c>
      <c r="R5440">
        <v>-0.2240249</v>
      </c>
      <c r="S5440">
        <v>2.9643250000000001</v>
      </c>
      <c r="T5440">
        <v>-0.27466020000000002</v>
      </c>
      <c r="U5440">
        <v>-0.93902589999999997</v>
      </c>
      <c r="V5440">
        <v>0.17817949999999999</v>
      </c>
      <c r="W5440">
        <v>0.18712500000000001</v>
      </c>
      <c r="X5440">
        <v>0.96604159999999994</v>
      </c>
      <c r="Y5440">
        <v>0.25350420000000001</v>
      </c>
      <c r="Z5440">
        <v>-8.9549290000000004E-3</v>
      </c>
      <c r="AA5440">
        <v>0.96729279999999995</v>
      </c>
      <c r="AB5440">
        <v>29</v>
      </c>
      <c r="AC5440">
        <v>12.4069</v>
      </c>
      <c r="AD5440">
        <v>-1.1666829999999999</v>
      </c>
      <c r="AE5440">
        <v>-3.9773999999999998</v>
      </c>
      <c r="AF5440">
        <v>3.33217088755978</v>
      </c>
      <c r="AG5440">
        <v>-1.1666829999999999</v>
      </c>
      <c r="AH5440">
        <v>12.488299070585599</v>
      </c>
      <c r="AI5440">
        <v>95.157778046359894</v>
      </c>
      <c r="AJ5440">
        <v>75.060197173494601</v>
      </c>
      <c r="AK5440">
        <v>12.977755034010199</v>
      </c>
      <c r="AL5440">
        <v>79.214950584744997</v>
      </c>
      <c r="AM5440">
        <v>79.549648930918195</v>
      </c>
      <c r="AN5440">
        <v>1.0000000363879</v>
      </c>
    </row>
    <row r="5441" spans="1:40" x14ac:dyDescent="0.25">
      <c r="A5441" t="str">
        <f>"20190303162410381"</f>
        <v>20190303162410381</v>
      </c>
      <c r="B5441" t="str">
        <f>"1551601450370632"</f>
        <v>1551601450370632</v>
      </c>
      <c r="C5441" t="s">
        <v>40</v>
      </c>
      <c r="D5441">
        <v>5.2660859999999996</v>
      </c>
      <c r="E5441">
        <v>0.53584469999999995</v>
      </c>
      <c r="F5441" t="s">
        <v>43</v>
      </c>
      <c r="G5441">
        <v>-309.61590000000001</v>
      </c>
      <c r="H5441">
        <v>-0.05</v>
      </c>
      <c r="I5441">
        <v>13.42671</v>
      </c>
      <c r="J5441">
        <v>-322.11009999999999</v>
      </c>
      <c r="K5441">
        <v>1.1165590000000001</v>
      </c>
      <c r="L5441">
        <v>17.513670000000001</v>
      </c>
      <c r="M5441">
        <v>0.99852010000000002</v>
      </c>
      <c r="N5441">
        <v>-1.1035680000000001E-2</v>
      </c>
      <c r="O5441">
        <v>-5.3254679999999999E-2</v>
      </c>
      <c r="P5441">
        <v>0.95636410000000005</v>
      </c>
      <c r="Q5441">
        <v>0.177289</v>
      </c>
      <c r="R5441">
        <v>-0.23224310000000001</v>
      </c>
      <c r="S5441">
        <v>2.9582820000000001</v>
      </c>
      <c r="T5441">
        <v>-0.27167829999999998</v>
      </c>
      <c r="U5441">
        <v>-0.95498660000000002</v>
      </c>
      <c r="V5441">
        <v>0.18284110000000001</v>
      </c>
      <c r="W5441">
        <v>0.18614310000000001</v>
      </c>
      <c r="X5441">
        <v>0.96536</v>
      </c>
      <c r="Y5441">
        <v>0.25514979999999998</v>
      </c>
      <c r="Z5441">
        <v>-8.674312E-3</v>
      </c>
      <c r="AA5441">
        <v>0.96686260000000002</v>
      </c>
      <c r="AB5441">
        <v>29</v>
      </c>
      <c r="AC5441">
        <v>12.4941999999999</v>
      </c>
      <c r="AD5441">
        <v>-1.1665589999999999</v>
      </c>
      <c r="AE5441">
        <v>-4.0869600000000004</v>
      </c>
      <c r="AF5441">
        <v>3.3890559690523601</v>
      </c>
      <c r="AG5441">
        <v>-1.1665589999999999</v>
      </c>
      <c r="AH5441">
        <v>12.5949462653116</v>
      </c>
      <c r="AI5441">
        <v>95.110927054099193</v>
      </c>
      <c r="AJ5441">
        <v>74.9395335404066</v>
      </c>
      <c r="AK5441">
        <v>13.0950078918624</v>
      </c>
      <c r="AL5441">
        <v>79.272215366272604</v>
      </c>
      <c r="AM5441">
        <v>79.275106460411195</v>
      </c>
      <c r="AN5441">
        <v>1.0000000255634001</v>
      </c>
    </row>
    <row r="5442" spans="1:40" x14ac:dyDescent="0.25">
      <c r="A5442" t="str">
        <f>"20190303162410395"</f>
        <v>20190303162410395</v>
      </c>
      <c r="B5442" t="str">
        <f>"1551601450390152"</f>
        <v>1551601450390152</v>
      </c>
      <c r="C5442" t="s">
        <v>40</v>
      </c>
      <c r="D5442">
        <v>5.240901</v>
      </c>
      <c r="E5442">
        <v>0.53545520000000002</v>
      </c>
      <c r="F5442" t="s">
        <v>43</v>
      </c>
      <c r="G5442">
        <v>-309.5104</v>
      </c>
      <c r="H5442">
        <v>-0.05</v>
      </c>
      <c r="I5442">
        <v>13.345689999999999</v>
      </c>
      <c r="J5442">
        <v>-321.94229999999999</v>
      </c>
      <c r="K5442">
        <v>1.116471</v>
      </c>
      <c r="L5442">
        <v>17.501560000000001</v>
      </c>
      <c r="M5442">
        <v>0.99834940000000005</v>
      </c>
      <c r="N5442">
        <v>-1.1037099999999999E-2</v>
      </c>
      <c r="O5442">
        <v>-5.6363490000000002E-2</v>
      </c>
      <c r="P5442">
        <v>0.95518610000000004</v>
      </c>
      <c r="Q5442">
        <v>0.17651989999999901</v>
      </c>
      <c r="R5442">
        <v>-0.2376143</v>
      </c>
      <c r="S5442">
        <v>2.9504700000000001</v>
      </c>
      <c r="T5442">
        <v>-0.27317259999999999</v>
      </c>
      <c r="U5442">
        <v>-0.97601320000000003</v>
      </c>
      <c r="V5442">
        <v>0.1852857</v>
      </c>
      <c r="W5442">
        <v>0.1853119</v>
      </c>
      <c r="X5442">
        <v>0.96505370000000001</v>
      </c>
      <c r="Y5442">
        <v>0.25909090000000001</v>
      </c>
      <c r="Z5442">
        <v>-8.6768929999999998E-3</v>
      </c>
      <c r="AA5442">
        <v>0.9658139</v>
      </c>
      <c r="AB5442">
        <v>29</v>
      </c>
      <c r="AC5442">
        <v>12.431899999999899</v>
      </c>
      <c r="AD5442">
        <v>-1.16647099999999</v>
      </c>
      <c r="AE5442">
        <v>-4.1558700000000002</v>
      </c>
      <c r="AF5442">
        <v>3.42142084592441</v>
      </c>
      <c r="AG5442">
        <v>-1.16647099999999</v>
      </c>
      <c r="AH5442">
        <v>12.5470295304095</v>
      </c>
      <c r="AI5442">
        <v>95.125313790704197</v>
      </c>
      <c r="AJ5442">
        <v>74.746990756759899</v>
      </c>
      <c r="AK5442">
        <v>13.0573628744757</v>
      </c>
      <c r="AL5442">
        <v>79.320682262409804</v>
      </c>
      <c r="AM5442">
        <v>79.131738650360703</v>
      </c>
      <c r="AN5442">
        <v>0.99999996739489405</v>
      </c>
    </row>
    <row r="5443" spans="1:40" x14ac:dyDescent="0.25">
      <c r="A5443" t="str">
        <f>"20190303162410408"</f>
        <v>20190303162410408</v>
      </c>
      <c r="B5443" t="str">
        <f>"1551601450399912"</f>
        <v>1551601450399912</v>
      </c>
      <c r="C5443" t="s">
        <v>40</v>
      </c>
      <c r="D5443">
        <v>5.3166859999999998</v>
      </c>
      <c r="E5443">
        <v>0.5360355</v>
      </c>
      <c r="F5443" t="s">
        <v>43</v>
      </c>
      <c r="G5443">
        <v>-309.23399999999998</v>
      </c>
      <c r="H5443">
        <v>-0.05</v>
      </c>
      <c r="I5443">
        <v>13.234279999999901</v>
      </c>
      <c r="J5443">
        <v>-321.75700000000001</v>
      </c>
      <c r="K5443">
        <v>1.1163799999999999</v>
      </c>
      <c r="L5443">
        <v>17.487729999999999</v>
      </c>
      <c r="M5443">
        <v>0.99814749999999997</v>
      </c>
      <c r="N5443">
        <v>-1.10387E-2</v>
      </c>
      <c r="O5443">
        <v>-5.9831719999999998E-2</v>
      </c>
      <c r="P5443">
        <v>0.95388790000000001</v>
      </c>
      <c r="Q5443">
        <v>0.1755282</v>
      </c>
      <c r="R5443">
        <v>-0.2434914</v>
      </c>
      <c r="S5443">
        <v>2.9447329999999998</v>
      </c>
      <c r="T5443">
        <v>-0.27029130000000001</v>
      </c>
      <c r="U5443">
        <v>-0.98880000000000001</v>
      </c>
      <c r="V5443">
        <v>0.18789629999999999</v>
      </c>
      <c r="W5443">
        <v>0.18425420000000001</v>
      </c>
      <c r="X5443">
        <v>0.96475149999999998</v>
      </c>
      <c r="Y5443">
        <v>0.26009330000000003</v>
      </c>
      <c r="Z5443">
        <v>-8.3967E-3</v>
      </c>
      <c r="AA5443">
        <v>0.96554700000000004</v>
      </c>
      <c r="AB5443">
        <v>29</v>
      </c>
      <c r="AC5443">
        <v>12.5229999999999</v>
      </c>
      <c r="AD5443">
        <v>-1.16638</v>
      </c>
      <c r="AE5443">
        <v>-4.25345</v>
      </c>
      <c r="AF5443">
        <v>3.4695259975168899</v>
      </c>
      <c r="AG5443">
        <v>-1.16638</v>
      </c>
      <c r="AH5443">
        <v>12.6566301866252</v>
      </c>
      <c r="AI5443">
        <v>95.078919526250104</v>
      </c>
      <c r="AJ5443">
        <v>74.670253444277407</v>
      </c>
      <c r="AK5443">
        <v>13.1752928101366</v>
      </c>
      <c r="AL5443">
        <v>79.382346717349193</v>
      </c>
      <c r="AM5443">
        <v>78.978964591892094</v>
      </c>
      <c r="AN5443">
        <v>1.0000000432617799</v>
      </c>
    </row>
    <row r="5444" spans="1:40" x14ac:dyDescent="0.25">
      <c r="A5444" t="str">
        <f>"20190303162410421"</f>
        <v>20190303162410421</v>
      </c>
      <c r="B5444" t="str">
        <f>"1551601450410649"</f>
        <v>1551601450410649</v>
      </c>
      <c r="C5444" t="s">
        <v>40</v>
      </c>
      <c r="D5444">
        <v>5.1242070000000002</v>
      </c>
      <c r="E5444">
        <v>0.5360355</v>
      </c>
      <c r="F5444" t="s">
        <v>43</v>
      </c>
      <c r="G5444">
        <v>-309.11649999999997</v>
      </c>
      <c r="H5444">
        <v>-0.05</v>
      </c>
      <c r="I5444">
        <v>13.1368299999999</v>
      </c>
      <c r="J5444">
        <v>-321.5797</v>
      </c>
      <c r="K5444">
        <v>1.116298</v>
      </c>
      <c r="L5444">
        <v>17.47391</v>
      </c>
      <c r="M5444">
        <v>0.99794050000000001</v>
      </c>
      <c r="N5444">
        <v>-1.1040329999999999E-2</v>
      </c>
      <c r="O5444">
        <v>-6.3191849999999994E-2</v>
      </c>
      <c r="P5444">
        <v>0.95257769999999997</v>
      </c>
      <c r="Q5444">
        <v>0.17459379999999999</v>
      </c>
      <c r="R5444">
        <v>-0.24922540000000001</v>
      </c>
      <c r="S5444">
        <v>2.9368289999999999</v>
      </c>
      <c r="T5444">
        <v>-0.27099069999999997</v>
      </c>
      <c r="U5444">
        <v>-1.010864</v>
      </c>
      <c r="V5444">
        <v>0.19046930000000001</v>
      </c>
      <c r="W5444">
        <v>0.1832568</v>
      </c>
      <c r="X5444">
        <v>0.96443679999999998</v>
      </c>
      <c r="Y5444">
        <v>0.26411220000000002</v>
      </c>
      <c r="Z5444">
        <v>-8.3633100000000005E-3</v>
      </c>
      <c r="AA5444">
        <v>0.96445570000000003</v>
      </c>
      <c r="AB5444">
        <v>29</v>
      </c>
      <c r="AC5444">
        <v>12.463200000000001</v>
      </c>
      <c r="AD5444">
        <v>-1.1662980000000001</v>
      </c>
      <c r="AE5444">
        <v>-4.3370800000000003</v>
      </c>
      <c r="AF5444">
        <v>3.51334693892094</v>
      </c>
      <c r="AG5444">
        <v>-1.1662980000000001</v>
      </c>
      <c r="AH5444">
        <v>12.613843788476199</v>
      </c>
      <c r="AI5444">
        <v>95.089972764475306</v>
      </c>
      <c r="AJ5444">
        <v>74.4358300247481</v>
      </c>
      <c r="AK5444">
        <v>13.1458325281478</v>
      </c>
      <c r="AL5444">
        <v>79.440482753785503</v>
      </c>
      <c r="AM5444">
        <v>78.828262166279004</v>
      </c>
      <c r="AN5444">
        <v>0.99999997509148397</v>
      </c>
    </row>
    <row r="5445" spans="1:40" x14ac:dyDescent="0.25">
      <c r="A5445" t="str">
        <f>"20190303162410437"</f>
        <v>20190303162410437</v>
      </c>
      <c r="B5445" t="str">
        <f>"1551601450430169"</f>
        <v>1551601450430169</v>
      </c>
      <c r="C5445" t="s">
        <v>40</v>
      </c>
      <c r="D5445">
        <v>5.0418760000000002</v>
      </c>
      <c r="E5445">
        <v>0.57365169999999999</v>
      </c>
      <c r="F5445" t="s">
        <v>43</v>
      </c>
      <c r="G5445">
        <v>-309.1019</v>
      </c>
      <c r="H5445">
        <v>-0.05</v>
      </c>
      <c r="I5445">
        <v>13.09587</v>
      </c>
      <c r="J5445">
        <v>-321.37009999999998</v>
      </c>
      <c r="K5445">
        <v>1.1162000000000001</v>
      </c>
      <c r="L5445">
        <v>17.456510000000002</v>
      </c>
      <c r="M5445">
        <v>0.99767669999999997</v>
      </c>
      <c r="N5445">
        <v>-1.1042919999999999E-2</v>
      </c>
      <c r="O5445">
        <v>-6.7226800000000003E-2</v>
      </c>
      <c r="P5445">
        <v>0.95080730000000002</v>
      </c>
      <c r="Q5445">
        <v>0.1727216</v>
      </c>
      <c r="R5445">
        <v>-0.25716309999999998</v>
      </c>
      <c r="S5445">
        <v>2.930542</v>
      </c>
      <c r="T5445">
        <v>-0.27391710000000002</v>
      </c>
      <c r="U5445">
        <v>-1.0282290000000001</v>
      </c>
      <c r="V5445">
        <v>0.1946127</v>
      </c>
      <c r="W5445">
        <v>0.18130170000000001</v>
      </c>
      <c r="X5445">
        <v>0.96397900000000003</v>
      </c>
      <c r="Y5445">
        <v>0.26593129999999998</v>
      </c>
      <c r="Z5445">
        <v>-8.2115669999999995E-3</v>
      </c>
      <c r="AA5445">
        <v>0.96395699999999995</v>
      </c>
      <c r="AB5445">
        <v>29</v>
      </c>
      <c r="AC5445">
        <v>12.268199999999901</v>
      </c>
      <c r="AD5445">
        <v>-1.1661999999999999</v>
      </c>
      <c r="AE5445">
        <v>-4.3606400000000001</v>
      </c>
      <c r="AF5445">
        <v>3.4979094381919</v>
      </c>
      <c r="AG5445">
        <v>-1.1661999999999999</v>
      </c>
      <c r="AH5445">
        <v>12.4338603506566</v>
      </c>
      <c r="AI5445">
        <v>95.159106619146002</v>
      </c>
      <c r="AJ5445">
        <v>74.287577874596295</v>
      </c>
      <c r="AK5445">
        <v>12.9690507014747</v>
      </c>
      <c r="AL5445">
        <v>79.554410258465197</v>
      </c>
      <c r="AM5445">
        <v>78.586268116209595</v>
      </c>
      <c r="AN5445">
        <v>0.99999996093258903</v>
      </c>
    </row>
    <row r="5446" spans="1:40" x14ac:dyDescent="0.25">
      <c r="A5446" t="str">
        <f>"20190303162410449"</f>
        <v>20190303162410449</v>
      </c>
      <c r="B5446" t="str">
        <f>"1551601450440436"</f>
        <v>1551601450440436</v>
      </c>
      <c r="C5446" t="s">
        <v>40</v>
      </c>
      <c r="D5446">
        <v>5.0345680000000002</v>
      </c>
      <c r="E5446">
        <v>0.57442890000000002</v>
      </c>
      <c r="F5446" t="s">
        <v>43</v>
      </c>
      <c r="G5446">
        <v>-308.00459999999998</v>
      </c>
      <c r="H5446">
        <v>-0.05</v>
      </c>
      <c r="I5446">
        <v>11.13766</v>
      </c>
      <c r="J5446">
        <v>-321.21469999999999</v>
      </c>
      <c r="K5446">
        <v>1.1161299999999901</v>
      </c>
      <c r="L5446">
        <v>17.443179999999899</v>
      </c>
      <c r="M5446">
        <v>0.99744949999999999</v>
      </c>
      <c r="N5446">
        <v>-1.091145E-2</v>
      </c>
      <c r="O5446">
        <v>-7.0535990000000007E-2</v>
      </c>
      <c r="P5446">
        <v>0.94943529999999998</v>
      </c>
      <c r="Q5446">
        <v>0.17240929999999999</v>
      </c>
      <c r="R5446">
        <v>-0.26238810000000001</v>
      </c>
      <c r="S5446">
        <v>2.8373719999999998</v>
      </c>
      <c r="T5446">
        <v>-0.2475735</v>
      </c>
      <c r="U5446">
        <v>-1.341431</v>
      </c>
      <c r="V5446">
        <v>0.19672319999999999</v>
      </c>
      <c r="W5446">
        <v>0.1808234</v>
      </c>
      <c r="X5446">
        <v>0.96364050000000001</v>
      </c>
      <c r="Y5446">
        <v>0.36146339999999999</v>
      </c>
      <c r="Z5446">
        <v>-1.195076E-2</v>
      </c>
      <c r="AA5446">
        <v>0.93230970000000002</v>
      </c>
      <c r="AB5446">
        <v>29</v>
      </c>
      <c r="AC5446">
        <v>13.210100000000001</v>
      </c>
      <c r="AD5446">
        <v>-1.1661300000000001</v>
      </c>
      <c r="AE5446">
        <v>-6.3055199999999898</v>
      </c>
      <c r="AF5446">
        <v>5.3241792020624104</v>
      </c>
      <c r="AG5446">
        <v>-1.1661300000000001</v>
      </c>
      <c r="AH5446">
        <v>13.536077569248199</v>
      </c>
      <c r="AI5446">
        <v>94.583659386919805</v>
      </c>
      <c r="AJ5446">
        <v>68.528673129652404</v>
      </c>
      <c r="AK5446">
        <v>14.592194465305001</v>
      </c>
      <c r="AL5446">
        <v>79.582276508066897</v>
      </c>
      <c r="AM5446">
        <v>78.461847636142593</v>
      </c>
      <c r="AN5446">
        <v>1.00000006632302</v>
      </c>
    </row>
    <row r="5447" spans="1:40" x14ac:dyDescent="0.25">
      <c r="A5447" t="str">
        <f>"20190303162410460"</f>
        <v>20190303162410460</v>
      </c>
      <c r="B5447" t="str">
        <f>"1551601450450196"</f>
        <v>1551601450450196</v>
      </c>
      <c r="C5447" t="s">
        <v>40</v>
      </c>
      <c r="D5447">
        <v>4.9683070000000003</v>
      </c>
      <c r="E5447">
        <v>0.57451240000000003</v>
      </c>
      <c r="F5447" t="s">
        <v>43</v>
      </c>
      <c r="G5447">
        <v>-308.4443</v>
      </c>
      <c r="H5447">
        <v>-0.05</v>
      </c>
      <c r="I5447">
        <v>11.294919999999999</v>
      </c>
      <c r="J5447">
        <v>-321.05470000000003</v>
      </c>
      <c r="K5447">
        <v>1.1160570000000001</v>
      </c>
      <c r="L5447">
        <v>17.42914</v>
      </c>
      <c r="M5447">
        <v>0.99718580000000001</v>
      </c>
      <c r="N5447">
        <v>-1.066484E-2</v>
      </c>
      <c r="O5447">
        <v>-7.4208940000000001E-2</v>
      </c>
      <c r="P5447">
        <v>0.94793079999999996</v>
      </c>
      <c r="Q5447">
        <v>0.1721896</v>
      </c>
      <c r="R5447">
        <v>-0.26791429999999999</v>
      </c>
      <c r="S5447">
        <v>2.8300779999999999</v>
      </c>
      <c r="T5447">
        <v>-0.25842710000000002</v>
      </c>
      <c r="U5447">
        <v>-1.3625179999999999</v>
      </c>
      <c r="V5447">
        <v>0.1987845</v>
      </c>
      <c r="W5447">
        <v>0.1803389</v>
      </c>
      <c r="X5447">
        <v>0.96330819999999995</v>
      </c>
      <c r="Y5447">
        <v>0.36452620000000002</v>
      </c>
      <c r="Z5447">
        <v>-1.216982E-2</v>
      </c>
      <c r="AA5447">
        <v>0.93111359999999999</v>
      </c>
      <c r="AB5447">
        <v>30</v>
      </c>
      <c r="AC5447">
        <v>12.6104</v>
      </c>
      <c r="AD5447">
        <v>-1.1660569999999999</v>
      </c>
      <c r="AE5447">
        <v>-6.13422</v>
      </c>
      <c r="AF5447">
        <v>5.14586704927593</v>
      </c>
      <c r="AG5447">
        <v>-1.1660569999999999</v>
      </c>
      <c r="AH5447">
        <v>12.941385684951801</v>
      </c>
      <c r="AI5447">
        <v>94.786027917326095</v>
      </c>
      <c r="AJ5447">
        <v>68.315809004508495</v>
      </c>
      <c r="AK5447">
        <v>13.975660988402201</v>
      </c>
      <c r="AL5447">
        <v>79.610500055432695</v>
      </c>
      <c r="AM5447">
        <v>78.340329827538596</v>
      </c>
      <c r="AN5447">
        <v>1.0000000422403399</v>
      </c>
    </row>
    <row r="5448" spans="1:40" x14ac:dyDescent="0.25">
      <c r="A5448" t="str">
        <f>"20190303162410471"</f>
        <v>20190303162410471</v>
      </c>
      <c r="B5448" t="str">
        <f>"1551601450459956"</f>
        <v>1551601450459956</v>
      </c>
      <c r="C5448" t="s">
        <v>40</v>
      </c>
      <c r="D5448">
        <v>4.8847239999999896</v>
      </c>
      <c r="E5448">
        <v>0.57364059999999994</v>
      </c>
      <c r="F5448" t="s">
        <v>43</v>
      </c>
      <c r="G5448">
        <v>-308.47480000000002</v>
      </c>
      <c r="H5448">
        <v>-0.05</v>
      </c>
      <c r="I5448">
        <v>11.28252</v>
      </c>
      <c r="J5448">
        <v>-320.91239999999999</v>
      </c>
      <c r="K5448">
        <v>1.1158809999999999</v>
      </c>
      <c r="L5448">
        <v>17.41602</v>
      </c>
      <c r="M5448">
        <v>0.99694850000000002</v>
      </c>
      <c r="N5448">
        <v>-1.038064E-2</v>
      </c>
      <c r="O5448">
        <v>-7.7368290000000006E-2</v>
      </c>
      <c r="P5448">
        <v>0.94654329999999998</v>
      </c>
      <c r="Q5448">
        <v>0.17227110000000001</v>
      </c>
      <c r="R5448">
        <v>-0.27272390000000002</v>
      </c>
      <c r="S5448">
        <v>2.82254</v>
      </c>
      <c r="T5448">
        <v>-0.26162849999999999</v>
      </c>
      <c r="U5448">
        <v>-1.3791199999999999</v>
      </c>
      <c r="V5448">
        <v>0.200659</v>
      </c>
      <c r="W5448">
        <v>0.1800852</v>
      </c>
      <c r="X5448">
        <v>0.96296689999999996</v>
      </c>
      <c r="Y5448">
        <v>0.36695519999999998</v>
      </c>
      <c r="Z5448">
        <v>-1.210137E-2</v>
      </c>
      <c r="AA5448">
        <v>0.93015990000000004</v>
      </c>
      <c r="AB5448">
        <v>30</v>
      </c>
      <c r="AC5448">
        <v>12.4375999999999</v>
      </c>
      <c r="AD5448">
        <v>-1.1658809999999999</v>
      </c>
      <c r="AE5448">
        <v>-6.1334999999999997</v>
      </c>
      <c r="AF5448">
        <v>5.1166212005926699</v>
      </c>
      <c r="AG5448">
        <v>-1.1658809999999999</v>
      </c>
      <c r="AH5448">
        <v>12.784517961029501</v>
      </c>
      <c r="AI5448">
        <v>94.839450228939299</v>
      </c>
      <c r="AJ5448">
        <v>68.187719403183095</v>
      </c>
      <c r="AK5448">
        <v>13.819659565720199</v>
      </c>
      <c r="AL5448">
        <v>79.625277309128805</v>
      </c>
      <c r="AM5448">
        <v>78.229379035129298</v>
      </c>
      <c r="AN5448">
        <v>0.99999998201782403</v>
      </c>
    </row>
    <row r="5449" spans="1:40" x14ac:dyDescent="0.25">
      <c r="A5449" t="str">
        <f>"20190303162410484"</f>
        <v>20190303162410484</v>
      </c>
      <c r="B5449" t="str">
        <f>"1551601450470692"</f>
        <v>1551601450470692</v>
      </c>
      <c r="C5449" t="s">
        <v>40</v>
      </c>
      <c r="D5449">
        <v>4.9551129999999999</v>
      </c>
      <c r="E5449">
        <v>0.57347550000000003</v>
      </c>
      <c r="F5449" t="s">
        <v>43</v>
      </c>
      <c r="G5449">
        <v>-308.61079999999998</v>
      </c>
      <c r="H5449">
        <v>-0.05</v>
      </c>
      <c r="I5449">
        <v>11.364879999999999</v>
      </c>
      <c r="J5449">
        <v>-320.75400000000002</v>
      </c>
      <c r="K5449">
        <v>1.1156539999999999</v>
      </c>
      <c r="L5449">
        <v>17.401250000000001</v>
      </c>
      <c r="M5449">
        <v>0.99667570000000005</v>
      </c>
      <c r="N5449">
        <v>-1.006779E-2</v>
      </c>
      <c r="O5449">
        <v>-8.0848569999999995E-2</v>
      </c>
      <c r="P5449">
        <v>0.94509310000000002</v>
      </c>
      <c r="Q5449">
        <v>0.17207979999999901</v>
      </c>
      <c r="R5449">
        <v>-0.27782699999999999</v>
      </c>
      <c r="S5449">
        <v>2.8185730000000002</v>
      </c>
      <c r="T5449">
        <v>-0.2671287</v>
      </c>
      <c r="U5449">
        <v>-1.386444</v>
      </c>
      <c r="V5449">
        <v>0.20253309999999999</v>
      </c>
      <c r="W5449">
        <v>0.17951800000000001</v>
      </c>
      <c r="X5449">
        <v>0.96268050000000005</v>
      </c>
      <c r="Y5449">
        <v>0.36614590000000002</v>
      </c>
      <c r="Z5449">
        <v>-1.1906129999999999E-2</v>
      </c>
      <c r="AA5449">
        <v>0.93048129999999996</v>
      </c>
      <c r="AB5449">
        <v>30</v>
      </c>
      <c r="AC5449">
        <v>12.1432</v>
      </c>
      <c r="AD5449">
        <v>-1.165654</v>
      </c>
      <c r="AE5449">
        <v>-6.0363699999999998</v>
      </c>
      <c r="AF5449">
        <v>4.9978694888363</v>
      </c>
      <c r="AG5449">
        <v>-1.165654</v>
      </c>
      <c r="AH5449">
        <v>12.4991477850047</v>
      </c>
      <c r="AI5449">
        <v>94.949055815405004</v>
      </c>
      <c r="AJ5449">
        <v>68.205662929009605</v>
      </c>
      <c r="AK5449">
        <v>13.511703964583599</v>
      </c>
      <c r="AL5449">
        <v>79.658314660770301</v>
      </c>
      <c r="AM5449">
        <v>78.119120254883597</v>
      </c>
      <c r="AN5449">
        <v>1.0000000569999199</v>
      </c>
    </row>
    <row r="5450" spans="1:40" x14ac:dyDescent="0.25">
      <c r="A5450" t="str">
        <f>"20190303162410504"</f>
        <v>20190303162410504</v>
      </c>
      <c r="B5450" t="str">
        <f>"1551601450490212"</f>
        <v>1551601450490212</v>
      </c>
      <c r="C5450" t="s">
        <v>40</v>
      </c>
      <c r="D5450">
        <v>4.9098309999999996</v>
      </c>
      <c r="E5450">
        <v>0.57304100000000002</v>
      </c>
      <c r="F5450" t="s">
        <v>43</v>
      </c>
      <c r="G5450">
        <v>-308.4341</v>
      </c>
      <c r="H5450">
        <v>-0.05</v>
      </c>
      <c r="I5450">
        <v>11.264720000000001</v>
      </c>
      <c r="J5450">
        <v>-320.46839999999997</v>
      </c>
      <c r="K5450">
        <v>1.1150599999999999</v>
      </c>
      <c r="L5450">
        <v>17.372959999999999</v>
      </c>
      <c r="M5450">
        <v>0.99619040000000003</v>
      </c>
      <c r="N5450">
        <v>-9.9709910000000002E-3</v>
      </c>
      <c r="O5450">
        <v>-8.663303E-2</v>
      </c>
      <c r="P5450">
        <v>0.94276919999999997</v>
      </c>
      <c r="Q5450">
        <v>0.1714107</v>
      </c>
      <c r="R5450">
        <v>-0.2860163</v>
      </c>
      <c r="S5450">
        <v>2.811096</v>
      </c>
      <c r="T5450">
        <v>-0.2659744</v>
      </c>
      <c r="U5450">
        <v>-1.4002079999999999</v>
      </c>
      <c r="V5450">
        <v>0.20543020000000001</v>
      </c>
      <c r="W5450">
        <v>0.17854929999999999</v>
      </c>
      <c r="X5450">
        <v>0.96224670000000001</v>
      </c>
      <c r="Y5450">
        <v>0.36541299999999999</v>
      </c>
      <c r="Z5450">
        <v>-1.1363389999999999E-2</v>
      </c>
      <c r="AA5450">
        <v>0.93077619999999905</v>
      </c>
      <c r="AB5450">
        <v>30</v>
      </c>
      <c r="AC5450">
        <v>12.034299999999901</v>
      </c>
      <c r="AD5450">
        <v>-1.16506</v>
      </c>
      <c r="AE5450">
        <v>-6.1082399999999897</v>
      </c>
      <c r="AF5450">
        <v>5.0053503336598597</v>
      </c>
      <c r="AG5450">
        <v>-1.16506</v>
      </c>
      <c r="AH5450">
        <v>12.425649255498801</v>
      </c>
      <c r="AI5450">
        <v>94.970583908612795</v>
      </c>
      <c r="AJ5450">
        <v>68.059238526690507</v>
      </c>
      <c r="AK5450">
        <v>13.4464737454452</v>
      </c>
      <c r="AL5450">
        <v>79.714728653524205</v>
      </c>
      <c r="AM5450">
        <v>77.948830875883601</v>
      </c>
      <c r="AN5450">
        <v>1.0000000656317001</v>
      </c>
    </row>
    <row r="5451" spans="1:40" x14ac:dyDescent="0.25">
      <c r="A5451" t="str">
        <f>"20190303162410518"</f>
        <v>20190303162410518</v>
      </c>
      <c r="B5451" t="str">
        <f>"1551601450510707"</f>
        <v>1551601450510707</v>
      </c>
      <c r="C5451" t="s">
        <v>40</v>
      </c>
      <c r="D5451">
        <v>4.8623070000000004</v>
      </c>
      <c r="E5451">
        <v>0.57299949999999999</v>
      </c>
      <c r="F5451" t="s">
        <v>43</v>
      </c>
      <c r="G5451">
        <v>-308.1798</v>
      </c>
      <c r="H5451">
        <v>-0.05</v>
      </c>
      <c r="I5451">
        <v>11.131180000000001</v>
      </c>
      <c r="J5451">
        <v>-320.28480000000002</v>
      </c>
      <c r="K5451">
        <v>1.114608</v>
      </c>
      <c r="L5451">
        <v>17.353819999999999</v>
      </c>
      <c r="M5451">
        <v>0.99586830000000004</v>
      </c>
      <c r="N5451">
        <v>-1.018197E-2</v>
      </c>
      <c r="O5451">
        <v>-9.0237890000000001E-2</v>
      </c>
      <c r="P5451">
        <v>0.94145570000000001</v>
      </c>
      <c r="Q5451">
        <v>0.17108570000000001</v>
      </c>
      <c r="R5451">
        <v>-0.29050140000000002</v>
      </c>
      <c r="S5451">
        <v>2.799042</v>
      </c>
      <c r="T5451">
        <v>-0.26537189999999999</v>
      </c>
      <c r="U5451">
        <v>-1.4217219999999999</v>
      </c>
      <c r="V5451">
        <v>0.2066277</v>
      </c>
      <c r="W5451">
        <v>0.17829220000000001</v>
      </c>
      <c r="X5451">
        <v>0.9620379</v>
      </c>
      <c r="Y5451">
        <v>0.36933680000000002</v>
      </c>
      <c r="Z5451">
        <v>-1.1337720000000001E-2</v>
      </c>
      <c r="AA5451">
        <v>0.92922649999999996</v>
      </c>
      <c r="AB5451">
        <v>30</v>
      </c>
      <c r="AC5451">
        <v>12.105</v>
      </c>
      <c r="AD5451">
        <v>-1.1646080000000001</v>
      </c>
      <c r="AE5451">
        <v>-6.2226400000000002</v>
      </c>
      <c r="AF5451">
        <v>5.0677610571632998</v>
      </c>
      <c r="AG5451">
        <v>-1.1646080000000001</v>
      </c>
      <c r="AH5451">
        <v>12.5254520919374</v>
      </c>
      <c r="AI5451">
        <v>94.926252703359594</v>
      </c>
      <c r="AJ5451">
        <v>67.971889013326006</v>
      </c>
      <c r="AK5451">
        <v>13.561912255784</v>
      </c>
      <c r="AL5451">
        <v>79.729699122922597</v>
      </c>
      <c r="AM5451">
        <v>77.878100212560298</v>
      </c>
      <c r="AN5451">
        <v>1.0000000180122599</v>
      </c>
    </row>
    <row r="5452" spans="1:40" x14ac:dyDescent="0.25">
      <c r="A5452" t="str">
        <f>"20190303162410532"</f>
        <v>20190303162410532</v>
      </c>
      <c r="B5452" t="str">
        <f>"1551601450520468"</f>
        <v>1551601450520468</v>
      </c>
      <c r="C5452" t="s">
        <v>40</v>
      </c>
      <c r="D5452">
        <v>4.8592320000000004</v>
      </c>
      <c r="E5452">
        <v>0.5729206</v>
      </c>
      <c r="F5452" t="s">
        <v>43</v>
      </c>
      <c r="G5452">
        <v>-307.60419999999999</v>
      </c>
      <c r="H5452">
        <v>-0.05</v>
      </c>
      <c r="I5452">
        <v>10.832409999999999</v>
      </c>
      <c r="J5452">
        <v>-320.10939999999999</v>
      </c>
      <c r="K5452">
        <v>1.114101</v>
      </c>
      <c r="L5452">
        <v>17.334900000000001</v>
      </c>
      <c r="M5452">
        <v>0.99554260000000006</v>
      </c>
      <c r="N5452">
        <v>-1.050427E-2</v>
      </c>
      <c r="O5452">
        <v>-9.3726139999999999E-2</v>
      </c>
      <c r="P5452">
        <v>0.94021739999999998</v>
      </c>
      <c r="Q5452">
        <v>0.1711578</v>
      </c>
      <c r="R5452">
        <v>-0.29444300000000001</v>
      </c>
      <c r="S5452">
        <v>2.7903440000000002</v>
      </c>
      <c r="T5452">
        <v>-0.25627050000000001</v>
      </c>
      <c r="U5452">
        <v>-1.435028</v>
      </c>
      <c r="V5452">
        <v>0.20739289999999999</v>
      </c>
      <c r="W5452">
        <v>0.17854979999999901</v>
      </c>
      <c r="X5452">
        <v>0.96182540000000005</v>
      </c>
      <c r="Y5452">
        <v>0.37082979999999999</v>
      </c>
      <c r="Z5452">
        <v>-1.096564E-2</v>
      </c>
      <c r="AA5452">
        <v>0.92863609999999996</v>
      </c>
      <c r="AB5452">
        <v>30</v>
      </c>
      <c r="AC5452">
        <v>12.5052</v>
      </c>
      <c r="AD5452">
        <v>-1.1641010000000001</v>
      </c>
      <c r="AE5452">
        <v>-6.5024899999999999</v>
      </c>
      <c r="AF5452">
        <v>5.2658146096253597</v>
      </c>
      <c r="AG5452">
        <v>-1.1641010000000001</v>
      </c>
      <c r="AH5452">
        <v>12.9711533237992</v>
      </c>
      <c r="AI5452">
        <v>94.753459794390594</v>
      </c>
      <c r="AJ5452">
        <v>67.904643657674399</v>
      </c>
      <c r="AK5452">
        <v>14.047588874630801</v>
      </c>
      <c r="AL5452">
        <v>79.714698575365404</v>
      </c>
      <c r="AM5452">
        <v>77.831936494661306</v>
      </c>
      <c r="AN5452">
        <v>0.99999997306780397</v>
      </c>
    </row>
    <row r="5453" spans="1:40" x14ac:dyDescent="0.25">
      <c r="A5453" t="str">
        <f>"20190303162410545"</f>
        <v>20190303162410545</v>
      </c>
      <c r="B5453" t="str">
        <f>"1551601450540494"</f>
        <v>1551601450540494</v>
      </c>
      <c r="C5453" t="s">
        <v>40</v>
      </c>
      <c r="D5453">
        <v>4.8339359999999996</v>
      </c>
      <c r="E5453">
        <v>0.57250719999999899</v>
      </c>
      <c r="F5453" t="s">
        <v>43</v>
      </c>
      <c r="G5453">
        <v>-307.31220000000002</v>
      </c>
      <c r="H5453">
        <v>-0.05</v>
      </c>
      <c r="I5453">
        <v>10.68674</v>
      </c>
      <c r="J5453">
        <v>-319.9221</v>
      </c>
      <c r="K5453">
        <v>1.11348799999999</v>
      </c>
      <c r="L5453">
        <v>17.314060000000001</v>
      </c>
      <c r="M5453">
        <v>0.99518050000000002</v>
      </c>
      <c r="N5453">
        <v>-1.0966139999999999E-2</v>
      </c>
      <c r="O5453">
        <v>-9.7444950000000002E-2</v>
      </c>
      <c r="P5453">
        <v>0.93881650000000005</v>
      </c>
      <c r="Q5453">
        <v>0.17135159999999999</v>
      </c>
      <c r="R5453">
        <v>-0.29876799999999998</v>
      </c>
      <c r="S5453">
        <v>2.7839360000000002</v>
      </c>
      <c r="T5453">
        <v>-0.2532411</v>
      </c>
      <c r="U5453">
        <v>-1.446259</v>
      </c>
      <c r="V5453">
        <v>0.20834469999999999</v>
      </c>
      <c r="W5453">
        <v>0.17905270000000001</v>
      </c>
      <c r="X5453">
        <v>0.9615262</v>
      </c>
      <c r="Y5453">
        <v>0.37120550000000002</v>
      </c>
      <c r="Z5453">
        <v>-1.075868E-2</v>
      </c>
      <c r="AA5453">
        <v>0.92848839999999999</v>
      </c>
      <c r="AB5453">
        <v>30</v>
      </c>
      <c r="AC5453">
        <v>12.6098999999999</v>
      </c>
      <c r="AD5453">
        <v>-1.1634880000000001</v>
      </c>
      <c r="AE5453">
        <v>-6.6273200000000001</v>
      </c>
      <c r="AF5453">
        <v>5.3313669765573497</v>
      </c>
      <c r="AG5453">
        <v>-1.1634880000000001</v>
      </c>
      <c r="AH5453">
        <v>13.1082766855023</v>
      </c>
      <c r="AI5453">
        <v>94.700262251798506</v>
      </c>
      <c r="AJ5453">
        <v>67.867558640309696</v>
      </c>
      <c r="AK5453">
        <v>14.198735712328499</v>
      </c>
      <c r="AL5453">
        <v>79.685412957093106</v>
      </c>
      <c r="AM5453">
        <v>77.774079168196394</v>
      </c>
      <c r="AN5453">
        <v>1.00000000834091</v>
      </c>
    </row>
    <row r="5454" spans="1:40" x14ac:dyDescent="0.25">
      <c r="A5454" t="str">
        <f>"20190303162410559"</f>
        <v>20190303162410559</v>
      </c>
      <c r="B5454" t="str">
        <f>"1551601450550254"</f>
        <v>1551601450550254</v>
      </c>
      <c r="C5454" t="s">
        <v>40</v>
      </c>
      <c r="D5454">
        <v>4.7914870000000001</v>
      </c>
      <c r="E5454">
        <v>0.57225789999999999</v>
      </c>
      <c r="F5454" t="s">
        <v>43</v>
      </c>
      <c r="G5454">
        <v>-306.90539999999999</v>
      </c>
      <c r="H5454">
        <v>-0.05</v>
      </c>
      <c r="I5454">
        <v>10.4915</v>
      </c>
      <c r="J5454">
        <v>-319.73860000000002</v>
      </c>
      <c r="K5454">
        <v>1.1128020000000001</v>
      </c>
      <c r="L5454">
        <v>17.29279</v>
      </c>
      <c r="M5454">
        <v>0.99482289999999995</v>
      </c>
      <c r="N5454">
        <v>-1.163896E-2</v>
      </c>
      <c r="O5454">
        <v>-0.100955</v>
      </c>
      <c r="P5454">
        <v>0.93705369999999999</v>
      </c>
      <c r="Q5454">
        <v>0.1722746</v>
      </c>
      <c r="R5454">
        <v>-0.30372979999999999</v>
      </c>
      <c r="S5454">
        <v>2.7775270000000001</v>
      </c>
      <c r="T5454">
        <v>-0.24826790000000001</v>
      </c>
      <c r="U5454">
        <v>-1.455811</v>
      </c>
      <c r="V5454">
        <v>0.21018439999999999</v>
      </c>
      <c r="W5454">
        <v>0.18047070000000001</v>
      </c>
      <c r="X5454">
        <v>0.96086050000000001</v>
      </c>
      <c r="Y5454">
        <v>0.3713455</v>
      </c>
      <c r="Z5454">
        <v>-1.057195E-2</v>
      </c>
      <c r="AA5454">
        <v>0.9284346</v>
      </c>
      <c r="AB5454">
        <v>30</v>
      </c>
      <c r="AC5454">
        <v>12.8332</v>
      </c>
      <c r="AD5454">
        <v>-1.1628019999999999</v>
      </c>
      <c r="AE5454">
        <v>-6.8012899999999998</v>
      </c>
      <c r="AF5454">
        <v>5.4360308536686599</v>
      </c>
      <c r="AG5454">
        <v>-1.1628019999999999</v>
      </c>
      <c r="AH5454">
        <v>13.368608705200201</v>
      </c>
      <c r="AI5454">
        <v>94.606570429268899</v>
      </c>
      <c r="AJ5454">
        <v>67.872037037582501</v>
      </c>
      <c r="AK5454">
        <v>14.478336874309701</v>
      </c>
      <c r="AL5454">
        <v>79.602822352589101</v>
      </c>
      <c r="AM5454">
        <v>77.6611309230437</v>
      </c>
      <c r="AN5454">
        <v>1.0000000280110399</v>
      </c>
    </row>
    <row r="5455" spans="1:40" x14ac:dyDescent="0.25">
      <c r="A5455" t="str">
        <f>"20190303162410570"</f>
        <v>20190303162410570</v>
      </c>
      <c r="B5455" t="str">
        <f>"1551601450560015"</f>
        <v>1551601450560015</v>
      </c>
      <c r="C5455" t="s">
        <v>40</v>
      </c>
      <c r="D5455">
        <v>4.814559</v>
      </c>
      <c r="E5455">
        <v>0.57205299999999903</v>
      </c>
      <c r="F5455" t="s">
        <v>43</v>
      </c>
      <c r="G5455">
        <v>-306.53859999999997</v>
      </c>
      <c r="H5455">
        <v>-0.05</v>
      </c>
      <c r="I5455">
        <v>10.293469999999999</v>
      </c>
      <c r="J5455">
        <v>-319.58620000000002</v>
      </c>
      <c r="K5455">
        <v>1.112169</v>
      </c>
      <c r="L5455">
        <v>17.274480000000001</v>
      </c>
      <c r="M5455">
        <v>0.99452459999999998</v>
      </c>
      <c r="N5455">
        <v>-1.230591E-2</v>
      </c>
      <c r="O5455">
        <v>-0.1037754</v>
      </c>
      <c r="P5455">
        <v>0.93574429999999997</v>
      </c>
      <c r="Q5455">
        <v>0.17256250000000001</v>
      </c>
      <c r="R5455">
        <v>-0.307579299999999</v>
      </c>
      <c r="S5455">
        <v>2.7702640000000001</v>
      </c>
      <c r="T5455">
        <v>-0.24403520000000001</v>
      </c>
      <c r="U5455">
        <v>-1.468933</v>
      </c>
      <c r="V5455">
        <v>0.2115119</v>
      </c>
      <c r="W5455">
        <v>0.18128250000000001</v>
      </c>
      <c r="X5455">
        <v>0.9604163</v>
      </c>
      <c r="Y5455">
        <v>0.37316890000000003</v>
      </c>
      <c r="Z5455">
        <v>-1.054779E-2</v>
      </c>
      <c r="AA5455">
        <v>0.92770350000000001</v>
      </c>
      <c r="AB5455">
        <v>30</v>
      </c>
      <c r="AC5455">
        <v>13.047599999999999</v>
      </c>
      <c r="AD5455">
        <v>-1.162169</v>
      </c>
      <c r="AE5455">
        <v>-6.9810100000000004</v>
      </c>
      <c r="AF5455">
        <v>5.5549267661310298</v>
      </c>
      <c r="AG5455">
        <v>-1.162169</v>
      </c>
      <c r="AH5455">
        <v>13.617660214109399</v>
      </c>
      <c r="AI5455">
        <v>94.518187638779096</v>
      </c>
      <c r="AJ5455">
        <v>67.808431117522503</v>
      </c>
      <c r="AK5455">
        <v>14.752915571797301</v>
      </c>
      <c r="AL5455">
        <v>79.555529803619805</v>
      </c>
      <c r="AM5455">
        <v>77.580045521727698</v>
      </c>
      <c r="AN5455">
        <v>1.00000004897677</v>
      </c>
    </row>
    <row r="5456" spans="1:40" x14ac:dyDescent="0.25">
      <c r="A5456" t="str">
        <f>"20190303162410581"</f>
        <v>20190303162410581</v>
      </c>
      <c r="B5456" t="str">
        <f>"1551601450570751"</f>
        <v>1551601450570751</v>
      </c>
      <c r="C5456" t="s">
        <v>40</v>
      </c>
      <c r="D5456">
        <v>4.7682060000000002</v>
      </c>
      <c r="E5456">
        <v>0.57188909999999904</v>
      </c>
      <c r="F5456" t="s">
        <v>43</v>
      </c>
      <c r="G5456">
        <v>-306.31720000000001</v>
      </c>
      <c r="H5456">
        <v>-0.05</v>
      </c>
      <c r="I5456">
        <v>10.17273</v>
      </c>
      <c r="J5456">
        <v>-319.43610000000001</v>
      </c>
      <c r="K5456">
        <v>1.1115170000000001</v>
      </c>
      <c r="L5456">
        <v>17.256129999999999</v>
      </c>
      <c r="M5456">
        <v>0.99422619999999895</v>
      </c>
      <c r="N5456">
        <v>-1.3010280000000001E-2</v>
      </c>
      <c r="O5456">
        <v>-0.1065127</v>
      </c>
      <c r="P5456">
        <v>0.9344713</v>
      </c>
      <c r="Q5456">
        <v>0.17250850000000001</v>
      </c>
      <c r="R5456">
        <v>-0.31145469999999997</v>
      </c>
      <c r="S5456">
        <v>2.764313</v>
      </c>
      <c r="T5456">
        <v>-0.24211250000000001</v>
      </c>
      <c r="U5456">
        <v>-1.479492</v>
      </c>
      <c r="V5456">
        <v>0.21293719999999999</v>
      </c>
      <c r="W5456">
        <v>0.18178939999999999</v>
      </c>
      <c r="X5456">
        <v>0.96000540000000001</v>
      </c>
      <c r="Y5456">
        <v>0.37420059999999999</v>
      </c>
      <c r="Z5456">
        <v>-1.05743E-2</v>
      </c>
      <c r="AA5456">
        <v>0.92728750000000004</v>
      </c>
      <c r="AB5456">
        <v>30</v>
      </c>
      <c r="AC5456">
        <v>13.118899999999901</v>
      </c>
      <c r="AD5456">
        <v>-1.1615169999999999</v>
      </c>
      <c r="AE5456">
        <v>-7.0833999999999904</v>
      </c>
      <c r="AF5456">
        <v>5.6115909844402401</v>
      </c>
      <c r="AG5456">
        <v>-1.1615169999999999</v>
      </c>
      <c r="AH5456">
        <v>13.7155482559257</v>
      </c>
      <c r="AI5456">
        <v>94.481659964295403</v>
      </c>
      <c r="AJ5456">
        <v>67.748525513310895</v>
      </c>
      <c r="AK5456">
        <v>14.864566562082</v>
      </c>
      <c r="AL5456">
        <v>79.525995355368906</v>
      </c>
      <c r="AM5456">
        <v>77.493792272881507</v>
      </c>
      <c r="AN5456">
        <v>1.0000000025626701</v>
      </c>
    </row>
    <row r="5457" spans="1:40" x14ac:dyDescent="0.25">
      <c r="A5457" t="str">
        <f>"20190303162410594"</f>
        <v>20190303162410594</v>
      </c>
      <c r="B5457" t="str">
        <f>"1551601450580511"</f>
        <v>1551601450580511</v>
      </c>
      <c r="C5457" t="s">
        <v>40</v>
      </c>
      <c r="D5457">
        <v>4.7706739999999996</v>
      </c>
      <c r="E5457">
        <v>0.57193400000000005</v>
      </c>
      <c r="F5457" t="s">
        <v>43</v>
      </c>
      <c r="G5457">
        <v>-306.1019</v>
      </c>
      <c r="H5457">
        <v>-0.05</v>
      </c>
      <c r="I5457">
        <v>10.04936</v>
      </c>
      <c r="J5457">
        <v>-319.28070000000002</v>
      </c>
      <c r="K5457">
        <v>1.110784</v>
      </c>
      <c r="L5457">
        <v>17.23621</v>
      </c>
      <c r="M5457">
        <v>0.99390160000000005</v>
      </c>
      <c r="N5457">
        <v>-1.382948E-2</v>
      </c>
      <c r="O5457">
        <v>-0.1094</v>
      </c>
      <c r="P5457">
        <v>0.93303590000000003</v>
      </c>
      <c r="Q5457">
        <v>0.17278689999999999</v>
      </c>
      <c r="R5457">
        <v>-0.31557740000000001</v>
      </c>
      <c r="S5457">
        <v>2.7579039999999999</v>
      </c>
      <c r="T5457">
        <v>-0.24023559999999999</v>
      </c>
      <c r="U5457">
        <v>-1.49057</v>
      </c>
      <c r="V5457">
        <v>0.2144751</v>
      </c>
      <c r="W5457">
        <v>0.18275150000000001</v>
      </c>
      <c r="X5457">
        <v>0.95948020000000001</v>
      </c>
      <c r="Y5457">
        <v>0.3752878</v>
      </c>
      <c r="Z5457">
        <v>-1.0637300000000001E-2</v>
      </c>
      <c r="AA5457">
        <v>0.92684730000000004</v>
      </c>
      <c r="AB5457">
        <v>30</v>
      </c>
      <c r="AC5457">
        <v>13.178800000000001</v>
      </c>
      <c r="AD5457">
        <v>-1.160784</v>
      </c>
      <c r="AE5457">
        <v>-7.1868499999999997</v>
      </c>
      <c r="AF5457">
        <v>5.6679137237445403</v>
      </c>
      <c r="AG5457">
        <v>-1.160784</v>
      </c>
      <c r="AH5457">
        <v>13.803458902524101</v>
      </c>
      <c r="AI5457">
        <v>94.448140429808504</v>
      </c>
      <c r="AJ5457">
        <v>67.676188455991195</v>
      </c>
      <c r="AK5457">
        <v>14.966901588109</v>
      </c>
      <c r="AL5457">
        <v>79.469931551906797</v>
      </c>
      <c r="AM5457">
        <v>77.399666408097701</v>
      </c>
      <c r="AN5457">
        <v>0.99999996673214897</v>
      </c>
    </row>
    <row r="5458" spans="1:40" x14ac:dyDescent="0.25">
      <c r="A5458" t="str">
        <f>"20190303162410604"</f>
        <v>20190303162410604</v>
      </c>
      <c r="B5458" t="str">
        <f>"1551601450590270"</f>
        <v>1551601450590270</v>
      </c>
      <c r="C5458" t="s">
        <v>40</v>
      </c>
      <c r="D5458">
        <v>4.792503</v>
      </c>
      <c r="E5458">
        <v>0.57220859999999996</v>
      </c>
      <c r="F5458" t="s">
        <v>43</v>
      </c>
      <c r="G5458">
        <v>-305.65769999999998</v>
      </c>
      <c r="H5458">
        <v>-0.05</v>
      </c>
      <c r="I5458">
        <v>9.7842710000000004</v>
      </c>
      <c r="J5458">
        <v>-319.12889999999999</v>
      </c>
      <c r="K5458">
        <v>1.1100559999999999</v>
      </c>
      <c r="L5458">
        <v>17.21649</v>
      </c>
      <c r="M5458">
        <v>0.99356889999999998</v>
      </c>
      <c r="N5458">
        <v>-1.465135E-2</v>
      </c>
      <c r="O5458">
        <v>-0.1122784</v>
      </c>
      <c r="P5458">
        <v>0.93153949999999996</v>
      </c>
      <c r="Q5458">
        <v>0.17303789999999999</v>
      </c>
      <c r="R5458">
        <v>-0.31983240000000002</v>
      </c>
      <c r="S5458">
        <v>2.7499389999999999</v>
      </c>
      <c r="T5458">
        <v>-0.23431479999999999</v>
      </c>
      <c r="U5458">
        <v>-1.5042420000000001</v>
      </c>
      <c r="V5458">
        <v>0.21615490000000001</v>
      </c>
      <c r="W5458">
        <v>0.18369269999999999</v>
      </c>
      <c r="X5458">
        <v>0.95892330000000003</v>
      </c>
      <c r="Y5458">
        <v>0.3773029</v>
      </c>
      <c r="Z5458">
        <v>-1.0650919999999999E-2</v>
      </c>
      <c r="AA5458">
        <v>0.92602870000000004</v>
      </c>
      <c r="AB5458">
        <v>30</v>
      </c>
      <c r="AC5458">
        <v>13.4712</v>
      </c>
      <c r="AD5458">
        <v>-1.160056</v>
      </c>
      <c r="AE5458">
        <v>-7.4322189999999999</v>
      </c>
      <c r="AF5458">
        <v>5.8393291891560501</v>
      </c>
      <c r="AG5458">
        <v>-1.160056</v>
      </c>
      <c r="AH5458">
        <v>14.1401790164212</v>
      </c>
      <c r="AI5458">
        <v>94.336346396520696</v>
      </c>
      <c r="AJ5458">
        <v>67.561329649959504</v>
      </c>
      <c r="AK5458">
        <v>15.3423648085588</v>
      </c>
      <c r="AL5458">
        <v>79.415075664401002</v>
      </c>
      <c r="AM5458">
        <v>77.297031759779301</v>
      </c>
      <c r="AN5458">
        <v>0.99999992205509203</v>
      </c>
    </row>
    <row r="5459" spans="1:40" x14ac:dyDescent="0.25">
      <c r="A5459" t="str">
        <f>"20190303162410615"</f>
        <v>20190303162410615</v>
      </c>
      <c r="B5459" t="str">
        <f>"1551601450610766"</f>
        <v>1551601450610766</v>
      </c>
      <c r="C5459" t="s">
        <v>40</v>
      </c>
      <c r="D5459">
        <v>4.9347589999999997</v>
      </c>
      <c r="E5459">
        <v>0.59083140000000001</v>
      </c>
      <c r="F5459" t="s">
        <v>43</v>
      </c>
      <c r="G5459">
        <v>-305.202</v>
      </c>
      <c r="H5459">
        <v>-0.05</v>
      </c>
      <c r="I5459">
        <v>9.4945529999999998</v>
      </c>
      <c r="J5459">
        <v>-318.97879999999998</v>
      </c>
      <c r="K5459">
        <v>1.1093230000000001</v>
      </c>
      <c r="L5459">
        <v>17.196200000000001</v>
      </c>
      <c r="M5459">
        <v>0.99320200000000003</v>
      </c>
      <c r="N5459">
        <v>-1.5529579999999999E-2</v>
      </c>
      <c r="O5459">
        <v>-0.1153647</v>
      </c>
      <c r="P5459">
        <v>0.92975790000000003</v>
      </c>
      <c r="Q5459">
        <v>0.17344300000000001</v>
      </c>
      <c r="R5459">
        <v>-0.32475880000000001</v>
      </c>
      <c r="S5459">
        <v>2.7411189999999999</v>
      </c>
      <c r="T5459">
        <v>-0.2283232</v>
      </c>
      <c r="U5459">
        <v>-1.519836</v>
      </c>
      <c r="V5459">
        <v>0.21831629999999999</v>
      </c>
      <c r="W5459">
        <v>0.18485969999999999</v>
      </c>
      <c r="X5459">
        <v>0.95820919999999998</v>
      </c>
      <c r="Y5459">
        <v>0.37973950000000001</v>
      </c>
      <c r="Z5459">
        <v>-1.070133E-2</v>
      </c>
      <c r="AA5459">
        <v>0.92503159999999895</v>
      </c>
      <c r="AB5459">
        <v>30</v>
      </c>
      <c r="AC5459">
        <v>13.7767999999999</v>
      </c>
      <c r="AD5459">
        <v>-1.1593229999999899</v>
      </c>
      <c r="AE5459">
        <v>-7.7016470000000004</v>
      </c>
      <c r="AF5459">
        <v>6.0281414086368601</v>
      </c>
      <c r="AG5459">
        <v>-1.1593229999999899</v>
      </c>
      <c r="AH5459">
        <v>14.495193506281501</v>
      </c>
      <c r="AI5459">
        <v>94.223532285767305</v>
      </c>
      <c r="AJ5459">
        <v>67.418954165060697</v>
      </c>
      <c r="AK5459">
        <v>15.741446993380199</v>
      </c>
      <c r="AL5459">
        <v>79.347047212831498</v>
      </c>
      <c r="AM5459">
        <v>77.164950244643194</v>
      </c>
      <c r="AN5459">
        <v>0.99999999324720901</v>
      </c>
    </row>
    <row r="5460" spans="1:40" x14ac:dyDescent="0.25">
      <c r="A5460" t="str">
        <f>"20190303162410628"</f>
        <v>20190303162410628</v>
      </c>
      <c r="B5460" t="str">
        <f>"1551601450620526"</f>
        <v>1551601450620526</v>
      </c>
      <c r="C5460" t="s">
        <v>40</v>
      </c>
      <c r="D5460">
        <v>4.9840780000000002</v>
      </c>
      <c r="E5460">
        <v>0.594777</v>
      </c>
      <c r="F5460" t="s">
        <v>43</v>
      </c>
      <c r="G5460">
        <v>-306.91660000000002</v>
      </c>
      <c r="H5460">
        <v>-0.05</v>
      </c>
      <c r="I5460">
        <v>9.6794740000000008</v>
      </c>
      <c r="J5460">
        <v>-318.82170000000002</v>
      </c>
      <c r="K5460">
        <v>1.108549</v>
      </c>
      <c r="L5460">
        <v>17.174499999999998</v>
      </c>
      <c r="M5460">
        <v>0.992788</v>
      </c>
      <c r="N5460">
        <v>-1.6455899999999999E-2</v>
      </c>
      <c r="O5460">
        <v>-0.1187483</v>
      </c>
      <c r="P5460">
        <v>0.9277109</v>
      </c>
      <c r="Q5460">
        <v>0.17310039999999999</v>
      </c>
      <c r="R5460">
        <v>-0.33073999999999998</v>
      </c>
      <c r="S5460">
        <v>2.6894529999999999</v>
      </c>
      <c r="T5460">
        <v>-0.2584883</v>
      </c>
      <c r="U5460">
        <v>-1.675964</v>
      </c>
      <c r="V5460">
        <v>0.22125429999999999</v>
      </c>
      <c r="W5460">
        <v>0.1853185</v>
      </c>
      <c r="X5460">
        <v>0.95744640000000003</v>
      </c>
      <c r="Y5460">
        <v>0.42291069999999997</v>
      </c>
      <c r="Z5460">
        <v>-1.3857090000000001E-2</v>
      </c>
      <c r="AA5460">
        <v>0.90606540000000002</v>
      </c>
      <c r="AB5460">
        <v>30</v>
      </c>
      <c r="AC5460">
        <v>11.905099999999999</v>
      </c>
      <c r="AD5460">
        <v>-1.1585490000000001</v>
      </c>
      <c r="AE5460">
        <v>-7.4950259999999904</v>
      </c>
      <c r="AF5460">
        <v>5.9874698480984598</v>
      </c>
      <c r="AG5460">
        <v>-1.1585490000000001</v>
      </c>
      <c r="AH5460">
        <v>12.625356188659399</v>
      </c>
      <c r="AI5460">
        <v>94.739690032385695</v>
      </c>
      <c r="AJ5460">
        <v>64.627743456175196</v>
      </c>
      <c r="AK5460">
        <v>14.021114429952</v>
      </c>
      <c r="AL5460">
        <v>79.320297908385697</v>
      </c>
      <c r="AM5460">
        <v>76.988047941251693</v>
      </c>
      <c r="AN5460">
        <v>1.00000001029185</v>
      </c>
    </row>
    <row r="5461" spans="1:40" x14ac:dyDescent="0.25">
      <c r="A5461" t="str">
        <f>"20190303162410641"</f>
        <v>20190303162410641</v>
      </c>
      <c r="B5461" t="str">
        <f>"1551601450630286"</f>
        <v>1551601450630286</v>
      </c>
      <c r="C5461" t="s">
        <v>40</v>
      </c>
      <c r="D5461">
        <v>4.9370580000000004</v>
      </c>
      <c r="E5461">
        <v>0.59553299999999998</v>
      </c>
      <c r="F5461" t="s">
        <v>43</v>
      </c>
      <c r="G5461">
        <v>-308.90159999999997</v>
      </c>
      <c r="H5461">
        <v>-0.05</v>
      </c>
      <c r="I5461">
        <v>10.78769</v>
      </c>
      <c r="J5461">
        <v>-318.64550000000003</v>
      </c>
      <c r="K5461">
        <v>1.107666</v>
      </c>
      <c r="L5461">
        <v>17.149509999999999</v>
      </c>
      <c r="M5461">
        <v>0.9922803</v>
      </c>
      <c r="N5461">
        <v>-1.7506540000000001E-2</v>
      </c>
      <c r="O5461">
        <v>-0.1227729</v>
      </c>
      <c r="P5461">
        <v>0.92528330000000003</v>
      </c>
      <c r="Q5461">
        <v>0.1726308</v>
      </c>
      <c r="R5461">
        <v>-0.33771200000000001</v>
      </c>
      <c r="S5461">
        <v>2.677521</v>
      </c>
      <c r="T5461">
        <v>-0.31270100000000001</v>
      </c>
      <c r="U5461">
        <v>-1.723846</v>
      </c>
      <c r="V5461">
        <v>0.22459660000000001</v>
      </c>
      <c r="W5461">
        <v>0.18577060000000001</v>
      </c>
      <c r="X5461">
        <v>0.95658019999999999</v>
      </c>
      <c r="Y5461">
        <v>0.43195830000000002</v>
      </c>
      <c r="Z5461">
        <v>-1.616221E-2</v>
      </c>
      <c r="AA5461">
        <v>0.90174880000000002</v>
      </c>
      <c r="AB5461">
        <v>30</v>
      </c>
      <c r="AC5461">
        <v>9.7439000000000497</v>
      </c>
      <c r="AD5461">
        <v>-1.1576660000000001</v>
      </c>
      <c r="AE5461">
        <v>-6.3618199999999998</v>
      </c>
      <c r="AF5461">
        <v>5.0670586347111897</v>
      </c>
      <c r="AG5461">
        <v>-1.1576660000000001</v>
      </c>
      <c r="AH5461">
        <v>10.3489201748694</v>
      </c>
      <c r="AI5461">
        <v>95.737101305619902</v>
      </c>
      <c r="AJ5461">
        <v>63.912614766193002</v>
      </c>
      <c r="AK5461">
        <v>11.580821324974099</v>
      </c>
      <c r="AL5461">
        <v>79.293936785358497</v>
      </c>
      <c r="AM5461">
        <v>76.786787334550198</v>
      </c>
      <c r="AN5461">
        <v>1.00000001379398</v>
      </c>
    </row>
    <row r="5462" spans="1:40" x14ac:dyDescent="0.25">
      <c r="A5462" t="str">
        <f>"20190303162410653"</f>
        <v>20190303162410653</v>
      </c>
      <c r="B5462" t="str">
        <f>"1551601450650782"</f>
        <v>1551601450650782</v>
      </c>
      <c r="C5462" t="s">
        <v>40</v>
      </c>
      <c r="D5462">
        <v>4.9177819999999999</v>
      </c>
      <c r="E5462">
        <v>0.598306</v>
      </c>
      <c r="F5462" t="s">
        <v>43</v>
      </c>
      <c r="G5462">
        <v>-310.13010000000003</v>
      </c>
      <c r="H5462">
        <v>-0.05</v>
      </c>
      <c r="I5462">
        <v>11.571149999999999</v>
      </c>
      <c r="J5462">
        <v>-318.47379999999998</v>
      </c>
      <c r="K5462">
        <v>1.106759</v>
      </c>
      <c r="L5462">
        <v>17.12424</v>
      </c>
      <c r="M5462">
        <v>0.99170959999999997</v>
      </c>
      <c r="N5462">
        <v>-1.8275369999999999E-2</v>
      </c>
      <c r="O5462">
        <v>-0.12719369999999999</v>
      </c>
      <c r="P5462">
        <v>0.92258779999999996</v>
      </c>
      <c r="Q5462">
        <v>0.17159349999999901</v>
      </c>
      <c r="R5462">
        <v>-0.34552579999999999</v>
      </c>
      <c r="S5462">
        <v>2.6712950000000002</v>
      </c>
      <c r="T5462">
        <v>-0.36316189999999998</v>
      </c>
      <c r="U5462">
        <v>-1.7499389999999999</v>
      </c>
      <c r="V5462">
        <v>0.22839419999999999</v>
      </c>
      <c r="W5462">
        <v>0.18540519999999999</v>
      </c>
      <c r="X5462">
        <v>0.95575149999999998</v>
      </c>
      <c r="Y5462">
        <v>0.43446560000000001</v>
      </c>
      <c r="Z5462">
        <v>-1.7768829999999999E-2</v>
      </c>
      <c r="AA5462">
        <v>0.90051309999999996</v>
      </c>
      <c r="AB5462">
        <v>30</v>
      </c>
      <c r="AC5462">
        <v>8.3436999999999504</v>
      </c>
      <c r="AD5462">
        <v>-1.1567590000000001</v>
      </c>
      <c r="AE5462">
        <v>-5.5530900000000001</v>
      </c>
      <c r="AF5462">
        <v>4.3880778041309396</v>
      </c>
      <c r="AG5462">
        <v>-1.1567590000000001</v>
      </c>
      <c r="AH5462">
        <v>8.8642690815329708</v>
      </c>
      <c r="AI5462">
        <v>96.670524652423893</v>
      </c>
      <c r="AJ5462">
        <v>63.663216268238301</v>
      </c>
      <c r="AK5462">
        <v>9.9583424599181694</v>
      </c>
      <c r="AL5462">
        <v>79.3152422627725</v>
      </c>
      <c r="AM5462">
        <v>76.560178734798001</v>
      </c>
      <c r="AN5462">
        <v>0.99999996426646398</v>
      </c>
    </row>
    <row r="5463" spans="1:40" x14ac:dyDescent="0.25">
      <c r="A5463" t="str">
        <f>"20190303162410665"</f>
        <v>20190303162410665</v>
      </c>
      <c r="B5463" t="str">
        <f>"1551601450660542"</f>
        <v>1551601450660542</v>
      </c>
      <c r="C5463" t="s">
        <v>40</v>
      </c>
      <c r="D5463">
        <v>4.9516710000000002</v>
      </c>
      <c r="E5463">
        <v>0.59921469999999999</v>
      </c>
      <c r="F5463" t="s">
        <v>43</v>
      </c>
      <c r="G5463">
        <v>-310.65550000000002</v>
      </c>
      <c r="H5463">
        <v>-0.05</v>
      </c>
      <c r="I5463">
        <v>11.84198</v>
      </c>
      <c r="J5463">
        <v>-318.3211</v>
      </c>
      <c r="K5463">
        <v>1.1059139999999901</v>
      </c>
      <c r="L5463">
        <v>17.10144</v>
      </c>
      <c r="M5463">
        <v>0.99117379999999999</v>
      </c>
      <c r="N5463">
        <v>-1.8891459999999999E-2</v>
      </c>
      <c r="O5463">
        <v>-0.13121640000000001</v>
      </c>
      <c r="P5463">
        <v>0.91998469999999999</v>
      </c>
      <c r="Q5463">
        <v>0.1703847</v>
      </c>
      <c r="R5463">
        <v>-0.35298420000000003</v>
      </c>
      <c r="S5463">
        <v>2.6533509999999998</v>
      </c>
      <c r="T5463">
        <v>-0.3925807</v>
      </c>
      <c r="U5463">
        <v>-1.79269399999999</v>
      </c>
      <c r="V5463">
        <v>0.23221810000000001</v>
      </c>
      <c r="W5463">
        <v>0.18471770000000001</v>
      </c>
      <c r="X5463">
        <v>0.95496289999999995</v>
      </c>
      <c r="Y5463">
        <v>0.4431544</v>
      </c>
      <c r="Z5463">
        <v>-1.9145430000000001E-2</v>
      </c>
      <c r="AA5463">
        <v>0.89624090000000001</v>
      </c>
      <c r="AB5463">
        <v>30</v>
      </c>
      <c r="AC5463">
        <v>7.66559999999998</v>
      </c>
      <c r="AD5463">
        <v>-1.1559140000000001</v>
      </c>
      <c r="AE5463">
        <v>-5.2594599999999998</v>
      </c>
      <c r="AF5463">
        <v>4.1438713855504803</v>
      </c>
      <c r="AG5463">
        <v>-1.1559140000000001</v>
      </c>
      <c r="AH5463">
        <v>8.1633398035255702</v>
      </c>
      <c r="AI5463">
        <v>97.196205187353698</v>
      </c>
      <c r="AJ5463">
        <v>63.0867570591518</v>
      </c>
      <c r="AK5463">
        <v>9.2275632744080909</v>
      </c>
      <c r="AL5463">
        <v>79.355325938571696</v>
      </c>
      <c r="AM5463">
        <v>76.332667974438607</v>
      </c>
      <c r="AN5463">
        <v>1.0000000075186499</v>
      </c>
    </row>
    <row r="5464" spans="1:40" x14ac:dyDescent="0.25">
      <c r="A5464" t="str">
        <f>"20190303162410677"</f>
        <v>20190303162410677</v>
      </c>
      <c r="B5464" t="str">
        <f>"1551601450670302"</f>
        <v>1551601450670302</v>
      </c>
      <c r="C5464" t="s">
        <v>40</v>
      </c>
      <c r="D5464">
        <v>4.901529</v>
      </c>
      <c r="E5464">
        <v>0.5996804</v>
      </c>
      <c r="F5464" t="s">
        <v>43</v>
      </c>
      <c r="G5464">
        <v>-310.63479999999998</v>
      </c>
      <c r="H5464">
        <v>-0.05</v>
      </c>
      <c r="I5464">
        <v>11.797560000000001</v>
      </c>
      <c r="J5464">
        <v>-318.15309999999999</v>
      </c>
      <c r="K5464">
        <v>1.104878</v>
      </c>
      <c r="L5464">
        <v>17.07544</v>
      </c>
      <c r="M5464">
        <v>0.99055130000000002</v>
      </c>
      <c r="N5464">
        <v>-1.9441030000000002E-2</v>
      </c>
      <c r="O5464">
        <v>-0.1357585</v>
      </c>
      <c r="P5464">
        <v>0.91712009999999999</v>
      </c>
      <c r="Q5464">
        <v>0.16879839999999999</v>
      </c>
      <c r="R5464">
        <v>-0.36110690000000001</v>
      </c>
      <c r="S5464">
        <v>2.6363219999999998</v>
      </c>
      <c r="T5464">
        <v>-0.39646720000000002</v>
      </c>
      <c r="U5464">
        <v>-1.819183</v>
      </c>
      <c r="V5464">
        <v>0.23625099999999999</v>
      </c>
      <c r="W5464">
        <v>0.18356339999999999</v>
      </c>
      <c r="X5464">
        <v>0.95419600000000004</v>
      </c>
      <c r="Y5464">
        <v>0.4477527</v>
      </c>
      <c r="Z5464">
        <v>-1.935421E-2</v>
      </c>
      <c r="AA5464">
        <v>0.89394799999999996</v>
      </c>
      <c r="AB5464">
        <v>30</v>
      </c>
      <c r="AC5464">
        <v>7.5183000000000098</v>
      </c>
      <c r="AD5464">
        <v>-1.1548780000000001</v>
      </c>
      <c r="AE5464">
        <v>-5.2778799999999997</v>
      </c>
      <c r="AF5464">
        <v>4.1426529276639803</v>
      </c>
      <c r="AG5464">
        <v>-1.1548780000000001</v>
      </c>
      <c r="AH5464">
        <v>8.0382665944488494</v>
      </c>
      <c r="AI5464">
        <v>97.277849803947305</v>
      </c>
      <c r="AJ5464">
        <v>62.734940292374802</v>
      </c>
      <c r="AK5464">
        <v>9.1164163089121395</v>
      </c>
      <c r="AL5464">
        <v>79.422613333651299</v>
      </c>
      <c r="AM5464">
        <v>76.093699131217704</v>
      </c>
      <c r="AN5464">
        <v>1.00000003161827</v>
      </c>
    </row>
    <row r="5465" spans="1:40" x14ac:dyDescent="0.25">
      <c r="A5465" t="str">
        <f>"20190303162410694"</f>
        <v>20190303162410694</v>
      </c>
      <c r="B5465" t="str">
        <f>"1551601450690798"</f>
        <v>1551601450690798</v>
      </c>
      <c r="C5465" t="s">
        <v>40</v>
      </c>
      <c r="D5465">
        <v>4.9338949999999997</v>
      </c>
      <c r="E5465">
        <v>0.60067689999999996</v>
      </c>
      <c r="F5465" t="s">
        <v>43</v>
      </c>
      <c r="G5465">
        <v>-310.63630000000001</v>
      </c>
      <c r="H5465">
        <v>-0.05</v>
      </c>
      <c r="I5465">
        <v>11.784929999999999</v>
      </c>
      <c r="J5465">
        <v>-317.93509999999998</v>
      </c>
      <c r="K5465">
        <v>1.10337</v>
      </c>
      <c r="L5465">
        <v>17.040559999999999</v>
      </c>
      <c r="M5465">
        <v>0.98973299999999997</v>
      </c>
      <c r="N5465">
        <v>-2.010164E-2</v>
      </c>
      <c r="O5465">
        <v>-0.1415091</v>
      </c>
      <c r="P5465">
        <v>0.91248960000000001</v>
      </c>
      <c r="Q5465">
        <v>0.16514960000000001</v>
      </c>
      <c r="R5465">
        <v>-0.37428440000000002</v>
      </c>
      <c r="S5465">
        <v>2.6192929999999999</v>
      </c>
      <c r="T5465">
        <v>-0.40242899999999998</v>
      </c>
      <c r="U5465">
        <v>-1.8435360000000001</v>
      </c>
      <c r="V5465">
        <v>0.24438599999999999</v>
      </c>
      <c r="W5465">
        <v>0.180314</v>
      </c>
      <c r="X5465">
        <v>0.95276559999999999</v>
      </c>
      <c r="Y5465">
        <v>0.45074150000000002</v>
      </c>
      <c r="Z5465">
        <v>-1.940323E-2</v>
      </c>
      <c r="AA5465">
        <v>0.8924436</v>
      </c>
      <c r="AB5465">
        <v>30</v>
      </c>
      <c r="AC5465">
        <v>7.2987999999999698</v>
      </c>
      <c r="AD5465">
        <v>-1.15337</v>
      </c>
      <c r="AE5465">
        <v>-5.2556299999999903</v>
      </c>
      <c r="AF5465">
        <v>4.1022070061016498</v>
      </c>
      <c r="AG5465">
        <v>-1.15337</v>
      </c>
      <c r="AH5465">
        <v>7.8402625992629797</v>
      </c>
      <c r="AI5465">
        <v>97.426340324730702</v>
      </c>
      <c r="AJ5465">
        <v>62.3803936286089</v>
      </c>
      <c r="AK5465">
        <v>8.9234568583711695</v>
      </c>
      <c r="AL5465">
        <v>79.611949760593205</v>
      </c>
      <c r="AM5465">
        <v>75.613689181377495</v>
      </c>
      <c r="AN5465">
        <v>0.99999997206767899</v>
      </c>
    </row>
    <row r="5466" spans="1:40" x14ac:dyDescent="0.25">
      <c r="A5466" t="str">
        <f>"20190303162410707"</f>
        <v>20190303162410707</v>
      </c>
      <c r="B5466" t="str">
        <f>"1551601450700559"</f>
        <v>1551601450700559</v>
      </c>
      <c r="C5466" t="s">
        <v>40</v>
      </c>
      <c r="D5466">
        <v>4.948232</v>
      </c>
      <c r="E5466">
        <v>0.60088249999999999</v>
      </c>
      <c r="F5466" t="s">
        <v>43</v>
      </c>
      <c r="G5466">
        <v>-310.66730000000001</v>
      </c>
      <c r="H5466">
        <v>-0.05</v>
      </c>
      <c r="I5466">
        <v>11.753159999999999</v>
      </c>
      <c r="J5466">
        <v>-317.75990000000002</v>
      </c>
      <c r="K5466">
        <v>1.102052</v>
      </c>
      <c r="L5466">
        <v>17.011659999999999</v>
      </c>
      <c r="M5466">
        <v>0.98906579999999999</v>
      </c>
      <c r="N5466">
        <v>-2.0582380000000001E-2</v>
      </c>
      <c r="O5466">
        <v>-0.14603160000000001</v>
      </c>
      <c r="P5466">
        <v>0.90954480000000004</v>
      </c>
      <c r="Q5466">
        <v>0.16305320000000001</v>
      </c>
      <c r="R5466">
        <v>-0.38228519999999999</v>
      </c>
      <c r="S5466">
        <v>2.5893860000000002</v>
      </c>
      <c r="T5466">
        <v>-0.41092719999999999</v>
      </c>
      <c r="U5466">
        <v>-1.8838200000000001</v>
      </c>
      <c r="V5466">
        <v>0.24839269999999999</v>
      </c>
      <c r="W5466">
        <v>0.178508</v>
      </c>
      <c r="X5466">
        <v>0.95206930000000001</v>
      </c>
      <c r="Y5466">
        <v>0.46039049999999998</v>
      </c>
      <c r="Z5466">
        <v>-2.0171330000000001E-2</v>
      </c>
      <c r="AA5466">
        <v>0.88748729999999998</v>
      </c>
      <c r="AB5466">
        <v>30</v>
      </c>
      <c r="AC5466">
        <v>7.0926</v>
      </c>
      <c r="AD5466">
        <v>-1.1520520000000001</v>
      </c>
      <c r="AE5466">
        <v>-5.25849999999999</v>
      </c>
      <c r="AF5466">
        <v>4.09639960262502</v>
      </c>
      <c r="AG5466">
        <v>-1.1520520000000001</v>
      </c>
      <c r="AH5466">
        <v>7.6542890852893999</v>
      </c>
      <c r="AI5466">
        <v>97.559087496462894</v>
      </c>
      <c r="AJ5466">
        <v>61.845334006420501</v>
      </c>
      <c r="AK5466">
        <v>8.7576169656060507</v>
      </c>
      <c r="AL5466">
        <v>79.717132878791105</v>
      </c>
      <c r="AM5466">
        <v>75.377616200172596</v>
      </c>
      <c r="AN5466">
        <v>0.99999999573988996</v>
      </c>
    </row>
    <row r="5467" spans="1:40" x14ac:dyDescent="0.25">
      <c r="A5467" t="str">
        <f>"20190303162410720"</f>
        <v>20190303162410720</v>
      </c>
      <c r="B5467" t="str">
        <f>"1551601450710318"</f>
        <v>1551601450710318</v>
      </c>
      <c r="C5467" t="s">
        <v>40</v>
      </c>
      <c r="D5467">
        <v>4.9291850000000004</v>
      </c>
      <c r="E5467">
        <v>0.60085949999999999</v>
      </c>
      <c r="F5467" t="s">
        <v>43</v>
      </c>
      <c r="G5467">
        <v>-310.64940000000001</v>
      </c>
      <c r="H5467">
        <v>-0.05</v>
      </c>
      <c r="I5467">
        <v>11.74292</v>
      </c>
      <c r="J5467">
        <v>-317.58690000000001</v>
      </c>
      <c r="K5467">
        <v>1.100652</v>
      </c>
      <c r="L5467">
        <v>16.982240000000001</v>
      </c>
      <c r="M5467">
        <v>0.98840309999999998</v>
      </c>
      <c r="N5467">
        <v>-2.0993359999999999E-2</v>
      </c>
      <c r="O5467">
        <v>-0.15039569999999999</v>
      </c>
      <c r="P5467">
        <v>0.90658550000000004</v>
      </c>
      <c r="Q5467">
        <v>0.1609555</v>
      </c>
      <c r="R5467">
        <v>-0.39012340000000001</v>
      </c>
      <c r="S5467">
        <v>2.5720209999999999</v>
      </c>
      <c r="T5467">
        <v>-0.41672379999999998</v>
      </c>
      <c r="U5467">
        <v>-1.905823</v>
      </c>
      <c r="V5467">
        <v>0.25241560000000002</v>
      </c>
      <c r="W5467">
        <v>0.17660699999999999</v>
      </c>
      <c r="X5467">
        <v>0.95136549999999998</v>
      </c>
      <c r="Y5467">
        <v>0.46411279999999999</v>
      </c>
      <c r="Z5467">
        <v>-2.033886E-2</v>
      </c>
      <c r="AA5467">
        <v>0.88554259999999996</v>
      </c>
      <c r="AB5467">
        <v>30</v>
      </c>
      <c r="AC5467">
        <v>6.9375</v>
      </c>
      <c r="AD5467">
        <v>-1.150652</v>
      </c>
      <c r="AE5467">
        <v>-5.2393200000000002</v>
      </c>
      <c r="AF5467">
        <v>4.0648921207542204</v>
      </c>
      <c r="AG5467">
        <v>-1.150652</v>
      </c>
      <c r="AH5467">
        <v>7.5150531232683901</v>
      </c>
      <c r="AI5467">
        <v>97.670114689330006</v>
      </c>
      <c r="AJ5467">
        <v>61.591045119149399</v>
      </c>
      <c r="AK5467">
        <v>8.6211003603959799</v>
      </c>
      <c r="AL5467">
        <v>79.827810751627894</v>
      </c>
      <c r="AM5467">
        <v>75.140681789129403</v>
      </c>
      <c r="AN5467">
        <v>0.999999991081305</v>
      </c>
    </row>
    <row r="5468" spans="1:40" x14ac:dyDescent="0.25">
      <c r="A5468" t="str">
        <f>"20190303162410733"</f>
        <v>20190303162410733</v>
      </c>
      <c r="B5468" t="str">
        <f>"1551601450730815"</f>
        <v>1551601450730815</v>
      </c>
      <c r="C5468" t="s">
        <v>40</v>
      </c>
      <c r="D5468">
        <v>4.9755830000000003</v>
      </c>
      <c r="E5468">
        <v>0.60068299999999997</v>
      </c>
      <c r="F5468" t="s">
        <v>43</v>
      </c>
      <c r="G5468">
        <v>-310.62439999999998</v>
      </c>
      <c r="H5468">
        <v>-0.05</v>
      </c>
      <c r="I5468">
        <v>11.73593</v>
      </c>
      <c r="J5468">
        <v>-317.4058</v>
      </c>
      <c r="K5468">
        <v>1.0990879999999901</v>
      </c>
      <c r="L5468">
        <v>16.950289999999999</v>
      </c>
      <c r="M5468">
        <v>0.98769850000000003</v>
      </c>
      <c r="N5468">
        <v>-2.129822E-2</v>
      </c>
      <c r="O5468">
        <v>-0.1549131</v>
      </c>
      <c r="P5468">
        <v>0.90354970000000001</v>
      </c>
      <c r="Q5468">
        <v>0.15857789999999999</v>
      </c>
      <c r="R5468">
        <v>-0.3980591</v>
      </c>
      <c r="S5468">
        <v>2.5554809999999999</v>
      </c>
      <c r="T5468">
        <v>-0.42232700000000001</v>
      </c>
      <c r="U5468">
        <v>-1.9255679999999999</v>
      </c>
      <c r="V5468">
        <v>0.25640679999999999</v>
      </c>
      <c r="W5468">
        <v>0.17430909999999999</v>
      </c>
      <c r="X5468">
        <v>0.9507217</v>
      </c>
      <c r="Y5468">
        <v>0.46707100000000001</v>
      </c>
      <c r="Z5468">
        <v>-2.036955E-2</v>
      </c>
      <c r="AA5468">
        <v>0.88398519999999903</v>
      </c>
      <c r="AB5468">
        <v>30</v>
      </c>
      <c r="AC5468">
        <v>6.7814000000000103</v>
      </c>
      <c r="AD5468">
        <v>-1.1490880000000001</v>
      </c>
      <c r="AE5468">
        <v>-5.2143599999999903</v>
      </c>
      <c r="AF5468">
        <v>4.0279379539590598</v>
      </c>
      <c r="AG5468">
        <v>-1.1490880000000001</v>
      </c>
      <c r="AH5468">
        <v>7.3743908145033199</v>
      </c>
      <c r="AI5468">
        <v>97.786993121496593</v>
      </c>
      <c r="AJ5468">
        <v>61.356359521179897</v>
      </c>
      <c r="AK5468">
        <v>8.4809390563615494</v>
      </c>
      <c r="AL5468">
        <v>79.961544777005898</v>
      </c>
      <c r="AM5468">
        <v>74.906606592112993</v>
      </c>
      <c r="AN5468">
        <v>0.99999993013996702</v>
      </c>
    </row>
    <row r="5469" spans="1:40" x14ac:dyDescent="0.25">
      <c r="A5469" t="str">
        <f>"20190303162410748"</f>
        <v>20190303162410748</v>
      </c>
      <c r="B5469" t="str">
        <f>"1551601450740106"</f>
        <v>1551601450740106</v>
      </c>
      <c r="C5469" t="s">
        <v>40</v>
      </c>
      <c r="D5469">
        <v>4.9260060000000001</v>
      </c>
      <c r="E5469">
        <v>0.60006119999999996</v>
      </c>
      <c r="F5469" t="s">
        <v>43</v>
      </c>
      <c r="G5469">
        <v>-310.57400000000001</v>
      </c>
      <c r="H5469">
        <v>-0.05</v>
      </c>
      <c r="I5469">
        <v>11.719480000000001</v>
      </c>
      <c r="J5469">
        <v>-317.19740000000002</v>
      </c>
      <c r="K5469">
        <v>1.0972109999999999</v>
      </c>
      <c r="L5469">
        <v>16.912479999999999</v>
      </c>
      <c r="M5469">
        <v>0.98687199999999997</v>
      </c>
      <c r="N5469">
        <v>-2.1542539999999999E-2</v>
      </c>
      <c r="O5469">
        <v>-0.1600618</v>
      </c>
      <c r="P5469">
        <v>0.89882510000000004</v>
      </c>
      <c r="Q5469">
        <v>0.154863</v>
      </c>
      <c r="R5469">
        <v>-0.41003790000000001</v>
      </c>
      <c r="S5469">
        <v>2.5388489999999999</v>
      </c>
      <c r="T5469">
        <v>-0.42702499999999999</v>
      </c>
      <c r="U5469">
        <v>-1.943878</v>
      </c>
      <c r="V5469">
        <v>0.26404090000000002</v>
      </c>
      <c r="W5469">
        <v>0.170508299999999</v>
      </c>
      <c r="X5469">
        <v>0.94932039999999995</v>
      </c>
      <c r="Y5469">
        <v>0.4691919</v>
      </c>
      <c r="Z5469">
        <v>-2.0195149999999999E-2</v>
      </c>
      <c r="AA5469">
        <v>0.88286529999999996</v>
      </c>
      <c r="AB5469">
        <v>30</v>
      </c>
      <c r="AC5469">
        <v>6.6234000000000002</v>
      </c>
      <c r="AD5469">
        <v>-1.147211</v>
      </c>
      <c r="AE5469">
        <v>-5.1929999999999898</v>
      </c>
      <c r="AF5469">
        <v>3.9914577163534202</v>
      </c>
      <c r="AG5469">
        <v>-1.147211</v>
      </c>
      <c r="AH5469">
        <v>7.2349385546461198</v>
      </c>
      <c r="AI5469">
        <v>97.904314621133096</v>
      </c>
      <c r="AJ5469">
        <v>61.114829940405002</v>
      </c>
      <c r="AK5469">
        <v>8.3421917785114008</v>
      </c>
      <c r="AL5469">
        <v>80.182625501320899</v>
      </c>
      <c r="AM5469">
        <v>74.456795984014306</v>
      </c>
      <c r="AN5469">
        <v>0.99999994954892801</v>
      </c>
    </row>
    <row r="5470" spans="1:40" x14ac:dyDescent="0.25">
      <c r="A5470" t="str">
        <f>"20190303162410771"</f>
        <v>20190303162410771</v>
      </c>
      <c r="B5470" t="str">
        <f>"1551601450760602"</f>
        <v>1551601450760602</v>
      </c>
      <c r="C5470" t="s">
        <v>40</v>
      </c>
      <c r="D5470">
        <v>4.9698419999999999</v>
      </c>
      <c r="E5470">
        <v>0.59976940000000001</v>
      </c>
      <c r="F5470" t="s">
        <v>43</v>
      </c>
      <c r="G5470">
        <v>-310.71570000000003</v>
      </c>
      <c r="H5470">
        <v>-0.05</v>
      </c>
      <c r="I5470">
        <v>11.842969999999999</v>
      </c>
      <c r="J5470">
        <v>-316.90539999999999</v>
      </c>
      <c r="K5470">
        <v>1.094489</v>
      </c>
      <c r="L5470">
        <v>16.85736</v>
      </c>
      <c r="M5470">
        <v>0.98569649999999998</v>
      </c>
      <c r="N5470">
        <v>-2.1692019999999999E-2</v>
      </c>
      <c r="O5470">
        <v>-0.16712859999999999</v>
      </c>
      <c r="P5470">
        <v>0.8931888</v>
      </c>
      <c r="Q5470">
        <v>0.15288399999999999</v>
      </c>
      <c r="R5470">
        <v>-0.42289549999999998</v>
      </c>
      <c r="S5470">
        <v>2.5165410000000001</v>
      </c>
      <c r="T5470">
        <v>-0.44541160000000002</v>
      </c>
      <c r="U5470">
        <v>-1.968262</v>
      </c>
      <c r="V5470">
        <v>0.2709105</v>
      </c>
      <c r="W5470">
        <v>0.16831840000000001</v>
      </c>
      <c r="X5470">
        <v>0.94777449999999996</v>
      </c>
      <c r="Y5470">
        <v>0.47168719999999997</v>
      </c>
      <c r="Z5470">
        <v>-2.0117909999999999E-2</v>
      </c>
      <c r="AA5470">
        <v>0.8815364</v>
      </c>
      <c r="AB5470">
        <v>30</v>
      </c>
      <c r="AC5470">
        <v>6.1896999999999496</v>
      </c>
      <c r="AD5470">
        <v>-1.1444889999999901</v>
      </c>
      <c r="AE5470">
        <v>-5.0143899999999997</v>
      </c>
      <c r="AF5470">
        <v>3.8300513057263501</v>
      </c>
      <c r="AG5470">
        <v>-1.1444889999999901</v>
      </c>
      <c r="AH5470">
        <v>6.8004725587185497</v>
      </c>
      <c r="AI5470">
        <v>98.3422913236315</v>
      </c>
      <c r="AJ5470">
        <v>60.611627560429703</v>
      </c>
      <c r="AK5470">
        <v>7.8883189018637596</v>
      </c>
      <c r="AL5470">
        <v>80.309938765078101</v>
      </c>
      <c r="AM5470">
        <v>74.048021215346395</v>
      </c>
      <c r="AN5470">
        <v>1.0000000428195199</v>
      </c>
    </row>
    <row r="5471" spans="1:40" x14ac:dyDescent="0.25">
      <c r="A5471" t="str">
        <f>"20190303162410782"</f>
        <v>20190303162410782</v>
      </c>
      <c r="B5471" t="str">
        <f>"1551601450770362"</f>
        <v>1551601450770362</v>
      </c>
      <c r="C5471" t="s">
        <v>40</v>
      </c>
      <c r="D5471">
        <v>4.9766269999999997</v>
      </c>
      <c r="E5471">
        <v>0.5995703</v>
      </c>
      <c r="F5471" t="s">
        <v>43</v>
      </c>
      <c r="G5471">
        <v>-310.58409999999998</v>
      </c>
      <c r="H5471">
        <v>-0.05</v>
      </c>
      <c r="I5471">
        <v>11.78215</v>
      </c>
      <c r="J5471">
        <v>-316.75389999999999</v>
      </c>
      <c r="K5471">
        <v>1.0930709999999999</v>
      </c>
      <c r="L5471">
        <v>16.827999999999999</v>
      </c>
      <c r="M5471">
        <v>0.98507909999999999</v>
      </c>
      <c r="N5471">
        <v>-2.172313E-2</v>
      </c>
      <c r="O5471">
        <v>-0.17072679999999901</v>
      </c>
      <c r="P5471">
        <v>0.8902021</v>
      </c>
      <c r="Q5471">
        <v>0.1523929</v>
      </c>
      <c r="R5471">
        <v>-0.42932150000000002</v>
      </c>
      <c r="S5471">
        <v>2.4895320000000001</v>
      </c>
      <c r="T5471">
        <v>-0.45073750000000001</v>
      </c>
      <c r="U5471">
        <v>-1.9987790000000001</v>
      </c>
      <c r="V5471">
        <v>0.27432040000000002</v>
      </c>
      <c r="W5471">
        <v>0.16768569999999999</v>
      </c>
      <c r="X5471">
        <v>0.94690540000000001</v>
      </c>
      <c r="Y5471">
        <v>0.47951460000000001</v>
      </c>
      <c r="Z5471">
        <v>-2.0576000000000001E-2</v>
      </c>
      <c r="AA5471">
        <v>0.87729259999999998</v>
      </c>
      <c r="AB5471">
        <v>30</v>
      </c>
      <c r="AC5471">
        <v>6.1698000000000004</v>
      </c>
      <c r="AD5471">
        <v>-1.1430709999999999</v>
      </c>
      <c r="AE5471">
        <v>-5.0458499999999997</v>
      </c>
      <c r="AF5471">
        <v>3.8391717127838798</v>
      </c>
      <c r="AG5471">
        <v>-1.1430709999999999</v>
      </c>
      <c r="AH5471">
        <v>6.8009586872972596</v>
      </c>
      <c r="AI5471">
        <v>98.326943012349304</v>
      </c>
      <c r="AJ5471">
        <v>60.555076997459999</v>
      </c>
      <c r="AK5471">
        <v>7.8929645772425099</v>
      </c>
      <c r="AL5471">
        <v>80.346712124780197</v>
      </c>
      <c r="AM5471">
        <v>73.843591181047501</v>
      </c>
      <c r="AN5471">
        <v>1.0000000061948999</v>
      </c>
    </row>
    <row r="5472" spans="1:40" x14ac:dyDescent="0.25">
      <c r="A5472" t="str">
        <f>"20190303162410794"</f>
        <v>20190303162410794</v>
      </c>
      <c r="B5472" t="str">
        <f>"1551601450789882"</f>
        <v>1551601450789882</v>
      </c>
      <c r="C5472" t="s">
        <v>40</v>
      </c>
      <c r="D5472">
        <v>4.9716430000000003</v>
      </c>
      <c r="E5472">
        <v>0.59870400000000001</v>
      </c>
      <c r="F5472" t="s">
        <v>43</v>
      </c>
      <c r="G5472">
        <v>-310.44889999999998</v>
      </c>
      <c r="H5472">
        <v>-0.05</v>
      </c>
      <c r="I5472">
        <v>11.69655</v>
      </c>
      <c r="J5472">
        <v>-316.59120000000001</v>
      </c>
      <c r="K5472">
        <v>1.0915649999999999</v>
      </c>
      <c r="L5472">
        <v>16.79532</v>
      </c>
      <c r="M5472">
        <v>0.9844117</v>
      </c>
      <c r="N5472">
        <v>-2.166525E-2</v>
      </c>
      <c r="O5472">
        <v>-0.17453959999999999</v>
      </c>
      <c r="P5472">
        <v>0.88710299999999997</v>
      </c>
      <c r="Q5472">
        <v>0.1521824</v>
      </c>
      <c r="R5472">
        <v>-0.43576239999999999</v>
      </c>
      <c r="S5472">
        <v>2.475311</v>
      </c>
      <c r="T5472">
        <v>-0.44876379999999999</v>
      </c>
      <c r="U5472">
        <v>-2.0145870000000001</v>
      </c>
      <c r="V5472">
        <v>0.27754879999999998</v>
      </c>
      <c r="W5472">
        <v>0.16728380000000001</v>
      </c>
      <c r="X5472">
        <v>0.94603530000000002</v>
      </c>
      <c r="Y5472">
        <v>0.4819811</v>
      </c>
      <c r="Z5472">
        <v>-2.0265370000000001E-2</v>
      </c>
      <c r="AA5472">
        <v>0.87594719999999904</v>
      </c>
      <c r="AB5472">
        <v>30</v>
      </c>
      <c r="AC5472">
        <v>6.1423000000000298</v>
      </c>
      <c r="AD5472">
        <v>-1.1415649999999999</v>
      </c>
      <c r="AE5472">
        <v>-5.09877</v>
      </c>
      <c r="AF5472">
        <v>3.8690205076407</v>
      </c>
      <c r="AG5472">
        <v>-1.1415649999999999</v>
      </c>
      <c r="AH5472">
        <v>6.7990783993118296</v>
      </c>
      <c r="AI5472">
        <v>98.302412683095795</v>
      </c>
      <c r="AJ5472">
        <v>60.357928230097599</v>
      </c>
      <c r="AK5472">
        <v>7.9056914572830399</v>
      </c>
      <c r="AL5472">
        <v>80.370069140748797</v>
      </c>
      <c r="AM5472">
        <v>73.649312779698107</v>
      </c>
      <c r="AN5472">
        <v>0.99999999748498503</v>
      </c>
    </row>
    <row r="5473" spans="1:40" x14ac:dyDescent="0.25">
      <c r="A5473" t="str">
        <f>"20190303162410805"</f>
        <v>20190303162410805</v>
      </c>
      <c r="B5473" t="str">
        <f>"1551601450789882"</f>
        <v>1551601450789882</v>
      </c>
      <c r="C5473" t="s">
        <v>40</v>
      </c>
      <c r="D5473">
        <v>4.9716430000000003</v>
      </c>
      <c r="E5473">
        <v>0.59870400000000001</v>
      </c>
      <c r="F5473" t="s">
        <v>43</v>
      </c>
      <c r="G5473">
        <v>-310.36360000000002</v>
      </c>
      <c r="H5473">
        <v>-0.05</v>
      </c>
      <c r="I5473">
        <v>11.675090000000001</v>
      </c>
      <c r="J5473">
        <v>-316.44740000000002</v>
      </c>
      <c r="K5473">
        <v>1.0902459999999901</v>
      </c>
      <c r="L5473">
        <v>16.76614</v>
      </c>
      <c r="M5473">
        <v>0.98380959999999995</v>
      </c>
      <c r="N5473">
        <v>-2.1586910000000001E-2</v>
      </c>
      <c r="O5473">
        <v>-0.17791299999999999</v>
      </c>
      <c r="P5473">
        <v>0.88401450000000004</v>
      </c>
      <c r="Q5473">
        <v>0.1524914</v>
      </c>
      <c r="R5473">
        <v>-0.44188850000000002</v>
      </c>
      <c r="S5473">
        <v>2.4641109999999999</v>
      </c>
      <c r="T5473">
        <v>-0.45168819999999998</v>
      </c>
      <c r="U5473">
        <v>-2.0259399999999999</v>
      </c>
      <c r="V5473">
        <v>0.28089619999999998</v>
      </c>
      <c r="W5473">
        <v>0.16739379999999901</v>
      </c>
      <c r="X5473">
        <v>0.94502739999999996</v>
      </c>
      <c r="Y5473">
        <v>0.48330129999999999</v>
      </c>
      <c r="Z5473">
        <v>-2.00082E-2</v>
      </c>
      <c r="AA5473">
        <v>0.87522540000000004</v>
      </c>
      <c r="AB5473">
        <v>30</v>
      </c>
      <c r="AC5473">
        <v>6.0837999999999903</v>
      </c>
      <c r="AD5473">
        <v>-1.1402460000000001</v>
      </c>
      <c r="AE5473">
        <v>-5.0910500000000001</v>
      </c>
      <c r="AF5473">
        <v>3.8476586682016101</v>
      </c>
      <c r="AG5473">
        <v>-1.1402460000000001</v>
      </c>
      <c r="AH5473">
        <v>6.7531498879303697</v>
      </c>
      <c r="AI5473">
        <v>98.346060281952504</v>
      </c>
      <c r="AJ5473">
        <v>60.327342336782998</v>
      </c>
      <c r="AK5473">
        <v>7.85555036750175</v>
      </c>
      <c r="AL5473">
        <v>80.363677200353706</v>
      </c>
      <c r="AM5473">
        <v>73.446153555317096</v>
      </c>
      <c r="AN5473">
        <v>1.0000000731018099</v>
      </c>
    </row>
    <row r="5474" spans="1:40" x14ac:dyDescent="0.25">
      <c r="A5474" t="str">
        <f>"20190303162410827"</f>
        <v>20190303162410827</v>
      </c>
      <c r="B5474" t="str">
        <f>"1551601450820137"</f>
        <v>1551601450820137</v>
      </c>
      <c r="C5474" t="s">
        <v>40</v>
      </c>
      <c r="D5474">
        <v>5.033874</v>
      </c>
      <c r="E5474">
        <v>0.597661</v>
      </c>
      <c r="F5474" t="s">
        <v>43</v>
      </c>
      <c r="G5474">
        <v>-310.24880000000002</v>
      </c>
      <c r="H5474">
        <v>-0.05</v>
      </c>
      <c r="I5474">
        <v>11.5976</v>
      </c>
      <c r="J5474">
        <v>-316.15370000000001</v>
      </c>
      <c r="K5474">
        <v>1.08765</v>
      </c>
      <c r="L5474">
        <v>16.704499999999999</v>
      </c>
      <c r="M5474">
        <v>0.98253040000000003</v>
      </c>
      <c r="N5474">
        <v>-2.1248260000000001E-2</v>
      </c>
      <c r="O5474">
        <v>-0.18488550000000001</v>
      </c>
      <c r="P5474">
        <v>0.87741979999999997</v>
      </c>
      <c r="Q5474">
        <v>0.1541476</v>
      </c>
      <c r="R5474">
        <v>-0.4542831</v>
      </c>
      <c r="S5474">
        <v>2.4501040000000001</v>
      </c>
      <c r="T5474">
        <v>-0.4507042</v>
      </c>
      <c r="U5474">
        <v>-2.0429689999999998</v>
      </c>
      <c r="V5474">
        <v>0.28757630000000001</v>
      </c>
      <c r="W5474">
        <v>0.16856989999999999</v>
      </c>
      <c r="X5474">
        <v>0.94280649999999999</v>
      </c>
      <c r="Y5474">
        <v>0.48323709999999997</v>
      </c>
      <c r="Z5474">
        <v>-1.894411E-2</v>
      </c>
      <c r="AA5474">
        <v>0.87528459999999997</v>
      </c>
      <c r="AB5474">
        <v>30</v>
      </c>
      <c r="AC5474">
        <v>5.9048999999999898</v>
      </c>
      <c r="AD5474">
        <v>-1.1376500000000001</v>
      </c>
      <c r="AE5474">
        <v>-5.1069000000000004</v>
      </c>
      <c r="AF5474">
        <v>3.8451871876197399</v>
      </c>
      <c r="AG5474">
        <v>-1.1376500000000001</v>
      </c>
      <c r="AH5474">
        <v>6.6071543613814399</v>
      </c>
      <c r="AI5474">
        <v>98.464487706947395</v>
      </c>
      <c r="AJ5474">
        <v>59.801739117933998</v>
      </c>
      <c r="AK5474">
        <v>7.7287903830713898</v>
      </c>
      <c r="AL5474">
        <v>80.295319748951997</v>
      </c>
      <c r="AM5474">
        <v>73.037164479804105</v>
      </c>
      <c r="AN5474">
        <v>1.00000001797497</v>
      </c>
    </row>
    <row r="5475" spans="1:40" x14ac:dyDescent="0.25">
      <c r="A5475" t="str">
        <f>"20190303162410839"</f>
        <v>20190303162410839</v>
      </c>
      <c r="B5475" t="str">
        <f>"1551601450830874"</f>
        <v>1551601450830874</v>
      </c>
      <c r="C5475" t="s">
        <v>40</v>
      </c>
      <c r="D5475">
        <v>5.076092</v>
      </c>
      <c r="E5475">
        <v>0.59721420000000003</v>
      </c>
      <c r="F5475" t="s">
        <v>43</v>
      </c>
      <c r="G5475">
        <v>-309.96039999999999</v>
      </c>
      <c r="H5475">
        <v>-0.05</v>
      </c>
      <c r="I5475">
        <v>11.423249999999999</v>
      </c>
      <c r="J5475">
        <v>-315.9973</v>
      </c>
      <c r="K5475">
        <v>1.0863389999999999</v>
      </c>
      <c r="L5475">
        <v>16.670780000000001</v>
      </c>
      <c r="M5475">
        <v>0.98180849999999997</v>
      </c>
      <c r="N5475">
        <v>-2.1012690000000001E-2</v>
      </c>
      <c r="O5475">
        <v>-0.1887075</v>
      </c>
      <c r="P5475">
        <v>0.87377700000000003</v>
      </c>
      <c r="Q5475">
        <v>0.15500910000000001</v>
      </c>
      <c r="R5475">
        <v>-0.4609625</v>
      </c>
      <c r="S5475">
        <v>2.4262079999999999</v>
      </c>
      <c r="T5475">
        <v>-0.44567630000000003</v>
      </c>
      <c r="U5475">
        <v>-2.0689389999999999</v>
      </c>
      <c r="V5475">
        <v>0.29111740000000003</v>
      </c>
      <c r="W5475">
        <v>0.1691705</v>
      </c>
      <c r="X5475">
        <v>0.94161139999999999</v>
      </c>
      <c r="Y5475">
        <v>0.48952990000000002</v>
      </c>
      <c r="Z5475">
        <v>-1.8861920000000001E-2</v>
      </c>
      <c r="AA5475">
        <v>0.87178250000000002</v>
      </c>
      <c r="AB5475">
        <v>30</v>
      </c>
      <c r="AC5475">
        <v>6.0369000000000002</v>
      </c>
      <c r="AD5475">
        <v>-1.136339</v>
      </c>
      <c r="AE5475">
        <v>-5.2475300000000002</v>
      </c>
      <c r="AF5475">
        <v>3.9343441077160199</v>
      </c>
      <c r="AG5475">
        <v>-1.136339</v>
      </c>
      <c r="AH5475">
        <v>6.7819809752589402</v>
      </c>
      <c r="AI5475">
        <v>98.246510006330496</v>
      </c>
      <c r="AJ5475">
        <v>59.881240504776599</v>
      </c>
      <c r="AK5475">
        <v>7.9224740977560097</v>
      </c>
      <c r="AL5475">
        <v>80.260406447316299</v>
      </c>
      <c r="AM5475">
        <v>72.819993212505295</v>
      </c>
      <c r="AN5475">
        <v>1.0000000136314799</v>
      </c>
    </row>
    <row r="5476" spans="1:40" x14ac:dyDescent="0.25">
      <c r="A5476" t="str">
        <f>"20190303162410851"</f>
        <v>20190303162410851</v>
      </c>
      <c r="B5476" t="str">
        <f>"1551601450840166"</f>
        <v>1551601450840166</v>
      </c>
      <c r="C5476" t="s">
        <v>40</v>
      </c>
      <c r="D5476">
        <v>5.0549879999999998</v>
      </c>
      <c r="E5476">
        <v>0.59677809999999998</v>
      </c>
      <c r="F5476" t="s">
        <v>43</v>
      </c>
      <c r="G5476">
        <v>-309.83980000000003</v>
      </c>
      <c r="H5476">
        <v>-0.05</v>
      </c>
      <c r="I5476">
        <v>11.35446</v>
      </c>
      <c r="J5476">
        <v>-315.8313</v>
      </c>
      <c r="K5476">
        <v>1.085018</v>
      </c>
      <c r="L5476">
        <v>16.63419</v>
      </c>
      <c r="M5476">
        <v>0.98099720000000001</v>
      </c>
      <c r="N5476">
        <v>-2.073115E-2</v>
      </c>
      <c r="O5476">
        <v>-0.19291179999999999</v>
      </c>
      <c r="P5476">
        <v>0.86970569999999903</v>
      </c>
      <c r="Q5476">
        <v>0.15614449999999999</v>
      </c>
      <c r="R5476">
        <v>-0.4682212</v>
      </c>
      <c r="S5476">
        <v>2.4132389999999999</v>
      </c>
      <c r="T5476">
        <v>-0.44535029999999998</v>
      </c>
      <c r="U5476">
        <v>-2.0835569999999999</v>
      </c>
      <c r="V5476">
        <v>0.29493639999999999</v>
      </c>
      <c r="W5476">
        <v>0.17003099999999999</v>
      </c>
      <c r="X5476">
        <v>0.94026699999999996</v>
      </c>
      <c r="Y5476">
        <v>0.4911702</v>
      </c>
      <c r="Z5476">
        <v>-1.83555E-2</v>
      </c>
      <c r="AA5476">
        <v>0.87087019999999904</v>
      </c>
      <c r="AB5476">
        <v>30</v>
      </c>
      <c r="AC5476">
        <v>5.9914999999999701</v>
      </c>
      <c r="AD5476">
        <v>-1.1350180000000001</v>
      </c>
      <c r="AE5476">
        <v>-5.27972999999999</v>
      </c>
      <c r="AF5476">
        <v>3.9447474071544799</v>
      </c>
      <c r="AG5476">
        <v>-1.1350180000000001</v>
      </c>
      <c r="AH5476">
        <v>6.7610707443614197</v>
      </c>
      <c r="AI5476">
        <v>98.250383213558393</v>
      </c>
      <c r="AJ5476">
        <v>59.738571377401499</v>
      </c>
      <c r="AK5476">
        <v>7.9095749302245002</v>
      </c>
      <c r="AL5476">
        <v>80.210378792031605</v>
      </c>
      <c r="AM5476">
        <v>72.584765607072598</v>
      </c>
      <c r="AN5476">
        <v>1.00000002614747</v>
      </c>
    </row>
    <row r="5477" spans="1:40" x14ac:dyDescent="0.25">
      <c r="A5477" t="str">
        <f>"20190303162410864"</f>
        <v>20190303162410864</v>
      </c>
      <c r="B5477" t="str">
        <f>"1551601450860662"</f>
        <v>1551601450860662</v>
      </c>
      <c r="C5477" t="s">
        <v>40</v>
      </c>
      <c r="D5477">
        <v>4.9795769999999999</v>
      </c>
      <c r="E5477">
        <v>0.59601470000000001</v>
      </c>
      <c r="F5477" t="s">
        <v>43</v>
      </c>
      <c r="G5477">
        <v>-309.68150000000003</v>
      </c>
      <c r="H5477">
        <v>-0.05</v>
      </c>
      <c r="I5477">
        <v>11.24858</v>
      </c>
      <c r="J5477">
        <v>-315.6669</v>
      </c>
      <c r="K5477">
        <v>1.0837410000000001</v>
      </c>
      <c r="L5477">
        <v>16.5975</v>
      </c>
      <c r="M5477">
        <v>0.98016049999999999</v>
      </c>
      <c r="N5477">
        <v>-2.0437159999999999E-2</v>
      </c>
      <c r="O5477">
        <v>-0.19714970000000001</v>
      </c>
      <c r="P5477">
        <v>0.8655216</v>
      </c>
      <c r="Q5477">
        <v>0.1576678</v>
      </c>
      <c r="R5477">
        <v>-0.47540909999999897</v>
      </c>
      <c r="S5477">
        <v>2.398193</v>
      </c>
      <c r="T5477">
        <v>-0.4426138</v>
      </c>
      <c r="U5477">
        <v>-2.1001889999999999</v>
      </c>
      <c r="V5477">
        <v>0.29868939999999999</v>
      </c>
      <c r="W5477">
        <v>0.1712822</v>
      </c>
      <c r="X5477">
        <v>0.93885410000000002</v>
      </c>
      <c r="Y5477">
        <v>0.49359049999999999</v>
      </c>
      <c r="Z5477">
        <v>-1.7865329999999999E-2</v>
      </c>
      <c r="AA5477">
        <v>0.86951089999999998</v>
      </c>
      <c r="AB5477">
        <v>30</v>
      </c>
      <c r="AC5477">
        <v>5.9853999999999701</v>
      </c>
      <c r="AD5477">
        <v>-1.1337409999999899</v>
      </c>
      <c r="AE5477">
        <v>-5.3489199999999997</v>
      </c>
      <c r="AF5477">
        <v>3.9841525499286101</v>
      </c>
      <c r="AG5477">
        <v>-1.1337409999999899</v>
      </c>
      <c r="AH5477">
        <v>6.7872435493215599</v>
      </c>
      <c r="AI5477">
        <v>98.197339417762393</v>
      </c>
      <c r="AJ5477">
        <v>59.5868111537647</v>
      </c>
      <c r="AK5477">
        <v>7.9514473647249098</v>
      </c>
      <c r="AL5477">
        <v>80.137622617558506</v>
      </c>
      <c r="AM5477">
        <v>72.351920940920493</v>
      </c>
      <c r="AN5477">
        <v>0.99999998539800405</v>
      </c>
    </row>
    <row r="5478" spans="1:40" x14ac:dyDescent="0.25">
      <c r="A5478" t="str">
        <f>"20190303162410876"</f>
        <v>20190303162410876</v>
      </c>
      <c r="B5478" t="str">
        <f>"1551601450860662"</f>
        <v>1551601450860662</v>
      </c>
      <c r="C5478" t="s">
        <v>40</v>
      </c>
      <c r="D5478">
        <v>4.9795769999999999</v>
      </c>
      <c r="E5478">
        <v>0.59601470000000001</v>
      </c>
      <c r="F5478" t="s">
        <v>43</v>
      </c>
      <c r="G5478">
        <v>-309.48430000000002</v>
      </c>
      <c r="H5478">
        <v>-0.05</v>
      </c>
      <c r="I5478">
        <v>11.113490000000001</v>
      </c>
      <c r="J5478">
        <v>-315.50299999999999</v>
      </c>
      <c r="K5478">
        <v>1.082516</v>
      </c>
      <c r="L5478">
        <v>16.559909999999999</v>
      </c>
      <c r="M5478">
        <v>0.9792826</v>
      </c>
      <c r="N5478">
        <v>-2.011545E-2</v>
      </c>
      <c r="O5478">
        <v>-0.20149739999999999</v>
      </c>
      <c r="P5478">
        <v>0.86126329999999995</v>
      </c>
      <c r="Q5478">
        <v>0.1590492</v>
      </c>
      <c r="R5478">
        <v>-0.48262709999999998</v>
      </c>
      <c r="S5478">
        <v>2.3841549999999998</v>
      </c>
      <c r="T5478">
        <v>-0.4371989</v>
      </c>
      <c r="U5478">
        <v>-2.1147770000000001</v>
      </c>
      <c r="V5478">
        <v>0.30239090000000002</v>
      </c>
      <c r="W5478">
        <v>0.172372</v>
      </c>
      <c r="X5478">
        <v>0.93746879999999999</v>
      </c>
      <c r="Y5478">
        <v>0.49535879999999999</v>
      </c>
      <c r="Z5478">
        <v>-1.7240120000000001E-2</v>
      </c>
      <c r="AA5478">
        <v>0.86851739999999999</v>
      </c>
      <c r="AB5478">
        <v>30</v>
      </c>
      <c r="AC5478">
        <v>6.01869999999996</v>
      </c>
      <c r="AD5478">
        <v>-1.1325160000000001</v>
      </c>
      <c r="AE5478">
        <v>-5.4464199999999998</v>
      </c>
      <c r="AF5478">
        <v>4.0429643156672102</v>
      </c>
      <c r="AG5478">
        <v>-1.1325160000000001</v>
      </c>
      <c r="AH5478">
        <v>6.85933661271019</v>
      </c>
      <c r="AI5478">
        <v>98.095290010755093</v>
      </c>
      <c r="AJ5478">
        <v>59.484460415442598</v>
      </c>
      <c r="AK5478">
        <v>8.0423038810082801</v>
      </c>
      <c r="AL5478">
        <v>80.074239692192705</v>
      </c>
      <c r="AM5478">
        <v>72.122321446051302</v>
      </c>
      <c r="AN5478">
        <v>1.0000000568801199</v>
      </c>
    </row>
    <row r="5479" spans="1:40" x14ac:dyDescent="0.25">
      <c r="A5479" t="str">
        <f>"20190303162410887"</f>
        <v>20190303162410887</v>
      </c>
      <c r="B5479" t="str">
        <f>"1551601450880182"</f>
        <v>1551601450880182</v>
      </c>
      <c r="C5479" t="s">
        <v>40</v>
      </c>
      <c r="D5479">
        <v>5.187303</v>
      </c>
      <c r="E5479">
        <v>0.59579369999999998</v>
      </c>
      <c r="F5479" t="s">
        <v>43</v>
      </c>
      <c r="G5479">
        <v>-309.32040000000001</v>
      </c>
      <c r="H5479">
        <v>-0.05</v>
      </c>
      <c r="I5479">
        <v>10.985720000000001</v>
      </c>
      <c r="J5479">
        <v>-315.3544</v>
      </c>
      <c r="K5479">
        <v>1.0814220000000001</v>
      </c>
      <c r="L5479">
        <v>16.525389999999899</v>
      </c>
      <c r="M5479">
        <v>0.97846670000000002</v>
      </c>
      <c r="N5479">
        <v>-1.981289E-2</v>
      </c>
      <c r="O5479">
        <v>-0.20545169999999999</v>
      </c>
      <c r="P5479">
        <v>0.85710869999999995</v>
      </c>
      <c r="Q5479">
        <v>0.1605473</v>
      </c>
      <c r="R5479">
        <v>-0.48947889999999999</v>
      </c>
      <c r="S5479">
        <v>2.3672789999999999</v>
      </c>
      <c r="T5479">
        <v>-0.43363639999999998</v>
      </c>
      <c r="U5479">
        <v>-2.1343380000000001</v>
      </c>
      <c r="V5479">
        <v>0.30611860000000002</v>
      </c>
      <c r="W5479">
        <v>0.17357709999999901</v>
      </c>
      <c r="X5479">
        <v>0.93603550000000002</v>
      </c>
      <c r="Y5479">
        <v>0.49894270000000002</v>
      </c>
      <c r="Z5479">
        <v>-1.6879350000000001E-2</v>
      </c>
      <c r="AA5479">
        <v>0.86647059999999998</v>
      </c>
      <c r="AB5479">
        <v>30</v>
      </c>
      <c r="AC5479">
        <v>6.03399999999999</v>
      </c>
      <c r="AD5479">
        <v>-1.1314219999999999</v>
      </c>
      <c r="AE5479">
        <v>-5.5396699999999903</v>
      </c>
      <c r="AF5479">
        <v>4.1032242100985901</v>
      </c>
      <c r="AG5479">
        <v>-1.1314219999999999</v>
      </c>
      <c r="AH5479">
        <v>6.9117195568979399</v>
      </c>
      <c r="AI5479">
        <v>98.012334588007604</v>
      </c>
      <c r="AJ5479">
        <v>59.304011826200899</v>
      </c>
      <c r="AK5479">
        <v>8.11716895805605</v>
      </c>
      <c r="AL5479">
        <v>80.004135572148499</v>
      </c>
      <c r="AM5479">
        <v>71.890320314120601</v>
      </c>
      <c r="AN5479">
        <v>1.0000000320853</v>
      </c>
    </row>
    <row r="5480" spans="1:40" x14ac:dyDescent="0.25">
      <c r="A5480" t="str">
        <f>"20190303162410900"</f>
        <v>20190303162410900</v>
      </c>
      <c r="B5480" t="str">
        <f>"1551601450889943"</f>
        <v>1551601450889943</v>
      </c>
      <c r="C5480" t="s">
        <v>40</v>
      </c>
      <c r="D5480">
        <v>5.1992139999999996</v>
      </c>
      <c r="E5480">
        <v>0.59608369999999999</v>
      </c>
      <c r="F5480" t="s">
        <v>43</v>
      </c>
      <c r="G5480">
        <v>-309.08800000000002</v>
      </c>
      <c r="H5480">
        <v>-0.05</v>
      </c>
      <c r="I5480">
        <v>10.79224</v>
      </c>
      <c r="J5480">
        <v>-315.19150000000002</v>
      </c>
      <c r="K5480">
        <v>1.0802400000000001</v>
      </c>
      <c r="L5480">
        <v>16.486910000000002</v>
      </c>
      <c r="M5480">
        <v>0.97754960000000002</v>
      </c>
      <c r="N5480">
        <v>-1.946732E-2</v>
      </c>
      <c r="O5480">
        <v>-0.20980499999999999</v>
      </c>
      <c r="P5480">
        <v>0.85280529999999999</v>
      </c>
      <c r="Q5480">
        <v>0.1617198</v>
      </c>
      <c r="R5480">
        <v>-0.4965581</v>
      </c>
      <c r="S5480">
        <v>2.3511660000000001</v>
      </c>
      <c r="T5480">
        <v>-0.42451290000000003</v>
      </c>
      <c r="U5480">
        <v>-2.1510929999999999</v>
      </c>
      <c r="V5480">
        <v>0.30972680000000002</v>
      </c>
      <c r="W5480">
        <v>0.17441709999999999</v>
      </c>
      <c r="X5480">
        <v>0.93469139999999995</v>
      </c>
      <c r="Y5480">
        <v>0.50155369999999999</v>
      </c>
      <c r="Z5480">
        <v>-1.6269229999999999E-2</v>
      </c>
      <c r="AA5480">
        <v>0.86497349999999995</v>
      </c>
      <c r="AB5480">
        <v>30</v>
      </c>
      <c r="AC5480">
        <v>6.1035000000000501</v>
      </c>
      <c r="AD5480">
        <v>-1.1302399999999999</v>
      </c>
      <c r="AE5480">
        <v>-5.6946700000000003</v>
      </c>
      <c r="AF5480">
        <v>4.2099112234363698</v>
      </c>
      <c r="AG5480">
        <v>-1.1302399999999999</v>
      </c>
      <c r="AH5480">
        <v>7.0336561232719097</v>
      </c>
      <c r="AI5480">
        <v>97.850421518523703</v>
      </c>
      <c r="AJ5480">
        <v>59.097871633847802</v>
      </c>
      <c r="AK5480">
        <v>8.2748482419471596</v>
      </c>
      <c r="AL5480">
        <v>79.955261421592994</v>
      </c>
      <c r="AM5480">
        <v>71.6664567297139</v>
      </c>
      <c r="AN5480">
        <v>1.0000000143223</v>
      </c>
    </row>
    <row r="5481" spans="1:40" x14ac:dyDescent="0.25">
      <c r="A5481" t="str">
        <f>"20190303162410914"</f>
        <v>20190303162410914</v>
      </c>
      <c r="B5481" t="str">
        <f>"1551601450900679"</f>
        <v>1551601450900679</v>
      </c>
      <c r="C5481" t="s">
        <v>40</v>
      </c>
      <c r="D5481">
        <v>5.1336849999999998</v>
      </c>
      <c r="E5481">
        <v>0.59608369999999999</v>
      </c>
      <c r="F5481" t="s">
        <v>43</v>
      </c>
      <c r="G5481">
        <v>-308.91820000000001</v>
      </c>
      <c r="H5481">
        <v>-0.05</v>
      </c>
      <c r="I5481">
        <v>10.64526</v>
      </c>
      <c r="J5481">
        <v>-315.01530000000002</v>
      </c>
      <c r="K5481">
        <v>1.079</v>
      </c>
      <c r="L5481">
        <v>16.444210000000002</v>
      </c>
      <c r="M5481">
        <v>0.97654010000000002</v>
      </c>
      <c r="N5481">
        <v>-1.9077319999999998E-2</v>
      </c>
      <c r="O5481">
        <v>-0.2144894</v>
      </c>
      <c r="P5481">
        <v>0.84829429999999995</v>
      </c>
      <c r="Q5481">
        <v>0.1626379</v>
      </c>
      <c r="R5481">
        <v>-0.50393080000000001</v>
      </c>
      <c r="S5481">
        <v>2.332703</v>
      </c>
      <c r="T5481">
        <v>-0.42027249999999999</v>
      </c>
      <c r="U5481">
        <v>-2.17218</v>
      </c>
      <c r="V5481">
        <v>0.31337100000000001</v>
      </c>
      <c r="W5481">
        <v>0.1749397</v>
      </c>
      <c r="X5481">
        <v>0.93337809999999999</v>
      </c>
      <c r="Y5481">
        <v>0.50508439999999999</v>
      </c>
      <c r="Z5481">
        <v>-1.5767349999999999E-2</v>
      </c>
      <c r="AA5481">
        <v>0.86292590000000002</v>
      </c>
      <c r="AB5481">
        <v>30</v>
      </c>
      <c r="AC5481">
        <v>6.09710000000001</v>
      </c>
      <c r="AD5481">
        <v>-1.129</v>
      </c>
      <c r="AE5481">
        <v>-5.7989499999999996</v>
      </c>
      <c r="AF5481">
        <v>4.2789039855554902</v>
      </c>
      <c r="AG5481">
        <v>-1.129</v>
      </c>
      <c r="AH5481">
        <v>7.0718719867748403</v>
      </c>
      <c r="AI5481">
        <v>97.7778960652752</v>
      </c>
      <c r="AJ5481">
        <v>58.823562334561402</v>
      </c>
      <c r="AK5481">
        <v>8.3423637966066497</v>
      </c>
      <c r="AL5481">
        <v>79.924850754879998</v>
      </c>
      <c r="AM5481">
        <v>71.441113458525095</v>
      </c>
      <c r="AN5481">
        <v>0.99999997991834899</v>
      </c>
    </row>
    <row r="5482" spans="1:40" x14ac:dyDescent="0.25">
      <c r="A5482" t="str">
        <f>"20190303162410928"</f>
        <v>20190303162410928</v>
      </c>
      <c r="B5482" t="str">
        <f>"1551601450920198"</f>
        <v>1551601450920198</v>
      </c>
      <c r="C5482" t="s">
        <v>40</v>
      </c>
      <c r="D5482">
        <v>5.1745099999999997</v>
      </c>
      <c r="E5482">
        <v>0.62451069999999997</v>
      </c>
      <c r="F5482" t="s">
        <v>43</v>
      </c>
      <c r="G5482">
        <v>-308.7629</v>
      </c>
      <c r="H5482">
        <v>-0.05</v>
      </c>
      <c r="I5482">
        <v>10.522309999999999</v>
      </c>
      <c r="J5482">
        <v>-314.82279999999997</v>
      </c>
      <c r="K5482">
        <v>1.077674</v>
      </c>
      <c r="L5482">
        <v>16.39667</v>
      </c>
      <c r="M5482">
        <v>0.97541409999999995</v>
      </c>
      <c r="N5482">
        <v>-1.864472E-2</v>
      </c>
      <c r="O5482">
        <v>-0.21959010000000001</v>
      </c>
      <c r="P5482">
        <v>0.84159169999999905</v>
      </c>
      <c r="Q5482">
        <v>0.16413</v>
      </c>
      <c r="R5482">
        <v>-0.51457249999999999</v>
      </c>
      <c r="S5482">
        <v>2.3144230000000001</v>
      </c>
      <c r="T5482">
        <v>-0.41791499999999998</v>
      </c>
      <c r="U5482">
        <v>-2.192078</v>
      </c>
      <c r="V5482">
        <v>0.3203184</v>
      </c>
      <c r="W5482">
        <v>0.17590339999999999</v>
      </c>
      <c r="X5482">
        <v>0.93083519999999997</v>
      </c>
      <c r="Y5482">
        <v>0.50794919999999999</v>
      </c>
      <c r="Z5482">
        <v>-1.51643E-2</v>
      </c>
      <c r="AA5482">
        <v>0.86125359999999995</v>
      </c>
      <c r="AB5482">
        <v>30</v>
      </c>
      <c r="AC5482">
        <v>6.0598999999999696</v>
      </c>
      <c r="AD5482">
        <v>-1.1276740000000001</v>
      </c>
      <c r="AE5482">
        <v>-5.8743599999999896</v>
      </c>
      <c r="AF5482">
        <v>4.3228304294061397</v>
      </c>
      <c r="AG5482">
        <v>-1.1276740000000001</v>
      </c>
      <c r="AH5482">
        <v>7.0757935315297003</v>
      </c>
      <c r="AI5482">
        <v>97.744650083237104</v>
      </c>
      <c r="AJ5482">
        <v>58.577896631152299</v>
      </c>
      <c r="AK5482">
        <v>8.3681160169128397</v>
      </c>
      <c r="AL5482">
        <v>79.868765588950893</v>
      </c>
      <c r="AM5482">
        <v>71.010668718223698</v>
      </c>
      <c r="AN5482">
        <v>1.0000000265345701</v>
      </c>
    </row>
    <row r="5483" spans="1:40" x14ac:dyDescent="0.25">
      <c r="A5483" t="str">
        <f>"20190303162410943"</f>
        <v>20190303162410943</v>
      </c>
      <c r="B5483" t="str">
        <f>"1551601450929958"</f>
        <v>1551601450929958</v>
      </c>
      <c r="C5483" t="s">
        <v>40</v>
      </c>
      <c r="D5483">
        <v>5.1913919999999996</v>
      </c>
      <c r="E5483">
        <v>0.62365439999999905</v>
      </c>
      <c r="F5483" t="s">
        <v>43</v>
      </c>
      <c r="G5483">
        <v>-308.30959999999999</v>
      </c>
      <c r="H5483">
        <v>-0.05</v>
      </c>
      <c r="I5483">
        <v>9.1200709999999994</v>
      </c>
      <c r="J5483">
        <v>-314.63499999999999</v>
      </c>
      <c r="K5483">
        <v>1.0764210000000001</v>
      </c>
      <c r="L5483">
        <v>16.349489999999999</v>
      </c>
      <c r="M5483">
        <v>0.9742944</v>
      </c>
      <c r="N5483">
        <v>-1.8218709999999999E-2</v>
      </c>
      <c r="O5483">
        <v>-0.22454089999999999</v>
      </c>
      <c r="P5483">
        <v>0.83729929999999997</v>
      </c>
      <c r="Q5483">
        <v>0.16501779999999999</v>
      </c>
      <c r="R5483">
        <v>-0.52124769999999998</v>
      </c>
      <c r="S5483">
        <v>2.1612849999999999</v>
      </c>
      <c r="T5483">
        <v>-0.3741988</v>
      </c>
      <c r="U5483">
        <v>-2.414612</v>
      </c>
      <c r="V5483">
        <v>0.3230343</v>
      </c>
      <c r="W5483">
        <v>0.1763536</v>
      </c>
      <c r="X5483">
        <v>0.9298109</v>
      </c>
      <c r="Y5483">
        <v>0.57307430000000004</v>
      </c>
      <c r="Z5483">
        <v>-1.9188719999999999E-2</v>
      </c>
      <c r="AA5483">
        <v>0.81927879999999997</v>
      </c>
      <c r="AB5483">
        <v>30</v>
      </c>
      <c r="AC5483">
        <v>6.3254000000000001</v>
      </c>
      <c r="AD5483">
        <v>-1.1264209999999999</v>
      </c>
      <c r="AE5483">
        <v>-7.2294189999999903</v>
      </c>
      <c r="AF5483">
        <v>5.5479182784290799</v>
      </c>
      <c r="AG5483">
        <v>-1.1264209999999999</v>
      </c>
      <c r="AH5483">
        <v>7.6817664480589096</v>
      </c>
      <c r="AI5483">
        <v>96.779203737017298</v>
      </c>
      <c r="AJ5483">
        <v>54.162465456253003</v>
      </c>
      <c r="AK5483">
        <v>9.5424188367463803</v>
      </c>
      <c r="AL5483">
        <v>79.842561424482398</v>
      </c>
      <c r="AM5483">
        <v>70.841783689431693</v>
      </c>
      <c r="AN5483">
        <v>1.0000000304841199</v>
      </c>
    </row>
    <row r="5484" spans="1:40" x14ac:dyDescent="0.25">
      <c r="A5484" t="str">
        <f>"20190303162410957"</f>
        <v>20190303162410957</v>
      </c>
      <c r="B5484" t="str">
        <f>"1551601450950963"</f>
        <v>1551601450950963</v>
      </c>
      <c r="C5484" t="s">
        <v>40</v>
      </c>
      <c r="D5484">
        <v>5.2085689999999998</v>
      </c>
      <c r="E5484">
        <v>0.62246689999999905</v>
      </c>
      <c r="F5484" t="s">
        <v>43</v>
      </c>
      <c r="G5484">
        <v>-308.14139999999998</v>
      </c>
      <c r="H5484">
        <v>-0.05</v>
      </c>
      <c r="I5484">
        <v>9.0060880000000001</v>
      </c>
      <c r="J5484">
        <v>-314.42939999999999</v>
      </c>
      <c r="K5484">
        <v>1.075148</v>
      </c>
      <c r="L5484">
        <v>16.296199999999999</v>
      </c>
      <c r="M5484">
        <v>0.97303609999999896</v>
      </c>
      <c r="N5484">
        <v>-1.7758690000000001E-2</v>
      </c>
      <c r="O5484">
        <v>-0.2299687</v>
      </c>
      <c r="P5484">
        <v>0.83284509999999901</v>
      </c>
      <c r="Q5484">
        <v>0.1663685</v>
      </c>
      <c r="R5484">
        <v>-0.52791180000000004</v>
      </c>
      <c r="S5484">
        <v>2.1456909999999998</v>
      </c>
      <c r="T5484">
        <v>-0.37220500000000001</v>
      </c>
      <c r="U5484">
        <v>-2.4264830000000002</v>
      </c>
      <c r="V5484">
        <v>0.32534920000000001</v>
      </c>
      <c r="W5484">
        <v>0.17722929999999901</v>
      </c>
      <c r="X5484">
        <v>0.92883669999999996</v>
      </c>
      <c r="Y5484">
        <v>0.57352819999999904</v>
      </c>
      <c r="Z5484">
        <v>-1.8357450000000001E-2</v>
      </c>
      <c r="AA5484">
        <v>0.81898009999999999</v>
      </c>
      <c r="AB5484">
        <v>30</v>
      </c>
      <c r="AC5484">
        <v>6.28800000000001</v>
      </c>
      <c r="AD5484">
        <v>-1.125148</v>
      </c>
      <c r="AE5484">
        <v>-7.2901119999999899</v>
      </c>
      <c r="AF5484">
        <v>5.5722786323611997</v>
      </c>
      <c r="AG5484">
        <v>-1.125148</v>
      </c>
      <c r="AH5484">
        <v>7.69112587239107</v>
      </c>
      <c r="AI5484">
        <v>96.756171292057502</v>
      </c>
      <c r="AJ5484">
        <v>54.076387353796299</v>
      </c>
      <c r="AK5484">
        <v>9.5639774342862491</v>
      </c>
      <c r="AL5484">
        <v>79.791583925443604</v>
      </c>
      <c r="AM5484">
        <v>70.695867338296495</v>
      </c>
      <c r="AN5484">
        <v>0.99999997099300897</v>
      </c>
    </row>
    <row r="5485" spans="1:40" x14ac:dyDescent="0.25">
      <c r="A5485" t="str">
        <f>"20190303162410973"</f>
        <v>20190303162410973</v>
      </c>
      <c r="B5485" t="str">
        <f>"1551601450959747"</f>
        <v>1551601450959747</v>
      </c>
      <c r="C5485" t="s">
        <v>40</v>
      </c>
      <c r="D5485">
        <v>5.2017790000000002</v>
      </c>
      <c r="E5485">
        <v>0.62174739999999995</v>
      </c>
      <c r="F5485" t="s">
        <v>43</v>
      </c>
      <c r="G5485">
        <v>-307.84890000000001</v>
      </c>
      <c r="H5485">
        <v>-0.05</v>
      </c>
      <c r="I5485">
        <v>8.7695159999999994</v>
      </c>
      <c r="J5485">
        <v>-314.2518</v>
      </c>
      <c r="K5485">
        <v>1.074128</v>
      </c>
      <c r="L5485">
        <v>16.249179999999999</v>
      </c>
      <c r="M5485">
        <v>0.97191519999999998</v>
      </c>
      <c r="N5485">
        <v>-1.737184E-2</v>
      </c>
      <c r="O5485">
        <v>-0.2346895</v>
      </c>
      <c r="P5485">
        <v>0.82750970000000001</v>
      </c>
      <c r="Q5485">
        <v>0.1691291</v>
      </c>
      <c r="R5485">
        <v>-0.53537239999999997</v>
      </c>
      <c r="S5485">
        <v>2.1303709999999998</v>
      </c>
      <c r="T5485">
        <v>-0.36425750000000001</v>
      </c>
      <c r="U5485">
        <v>-2.4367070000000002</v>
      </c>
      <c r="V5485">
        <v>0.32936480000000001</v>
      </c>
      <c r="W5485">
        <v>0.1795331</v>
      </c>
      <c r="X5485">
        <v>0.92697719999999995</v>
      </c>
      <c r="Y5485">
        <v>0.57431849999999995</v>
      </c>
      <c r="Z5485">
        <v>-1.7540380000000001E-2</v>
      </c>
      <c r="AA5485">
        <v>0.81844399999999995</v>
      </c>
      <c r="AB5485">
        <v>30</v>
      </c>
      <c r="AC5485">
        <v>6.4028999999999803</v>
      </c>
      <c r="AD5485">
        <v>-1.124128</v>
      </c>
      <c r="AE5485">
        <v>-7.4796639999999899</v>
      </c>
      <c r="AF5485">
        <v>5.69355920148982</v>
      </c>
      <c r="AG5485">
        <v>-1.124128</v>
      </c>
      <c r="AH5485">
        <v>7.87700001634476</v>
      </c>
      <c r="AI5485">
        <v>96.597515182103706</v>
      </c>
      <c r="AJ5485">
        <v>54.140293072741002</v>
      </c>
      <c r="AK5485">
        <v>9.7840385014956297</v>
      </c>
      <c r="AL5485">
        <v>79.657434792226894</v>
      </c>
      <c r="AM5485">
        <v>70.439336271126393</v>
      </c>
      <c r="AN5485">
        <v>1.0000000173972401</v>
      </c>
    </row>
    <row r="5486" spans="1:40" x14ac:dyDescent="0.25">
      <c r="A5486" t="str">
        <f>"20190303162410985"</f>
        <v>20190303162410985</v>
      </c>
      <c r="B5486" t="str">
        <f>"1551601450980242"</f>
        <v>1551601450980242</v>
      </c>
      <c r="C5486" t="s">
        <v>40</v>
      </c>
      <c r="D5486">
        <v>5.3026879999999998</v>
      </c>
      <c r="E5486">
        <v>0.62098560000000003</v>
      </c>
      <c r="F5486" t="s">
        <v>43</v>
      </c>
      <c r="G5486">
        <v>-307.52</v>
      </c>
      <c r="H5486">
        <v>-0.05</v>
      </c>
      <c r="I5486">
        <v>8.4230499999999999</v>
      </c>
      <c r="J5486">
        <v>-314.08949999999999</v>
      </c>
      <c r="K5486">
        <v>1.073231</v>
      </c>
      <c r="L5486">
        <v>16.205629999999999</v>
      </c>
      <c r="M5486">
        <v>0.97086430000000001</v>
      </c>
      <c r="N5486">
        <v>-1.7025849999999999E-2</v>
      </c>
      <c r="O5486">
        <v>-0.2390243</v>
      </c>
      <c r="P5486">
        <v>0.82414430000000005</v>
      </c>
      <c r="Q5486">
        <v>0.17054530000000001</v>
      </c>
      <c r="R5486">
        <v>-0.54009309999999999</v>
      </c>
      <c r="S5486">
        <v>2.1101990000000002</v>
      </c>
      <c r="T5486">
        <v>-0.35237929999999901</v>
      </c>
      <c r="U5486">
        <v>-2.4532470000000002</v>
      </c>
      <c r="V5486">
        <v>0.33061829999999998</v>
      </c>
      <c r="W5486">
        <v>0.1805978</v>
      </c>
      <c r="X5486">
        <v>0.92632389999999998</v>
      </c>
      <c r="Y5486">
        <v>0.57743199999999995</v>
      </c>
      <c r="Z5486">
        <v>-1.6906669999999999E-2</v>
      </c>
      <c r="AA5486">
        <v>0.81626369999999904</v>
      </c>
      <c r="AB5486">
        <v>30</v>
      </c>
      <c r="AC5486">
        <v>6.5694999999999997</v>
      </c>
      <c r="AD5486">
        <v>-1.1232309999999901</v>
      </c>
      <c r="AE5486">
        <v>-7.7825799999999896</v>
      </c>
      <c r="AF5486">
        <v>5.9144877945362602</v>
      </c>
      <c r="AG5486">
        <v>-1.1232309999999901</v>
      </c>
      <c r="AH5486">
        <v>8.1404988530784603</v>
      </c>
      <c r="AI5486">
        <v>96.369456215035996</v>
      </c>
      <c r="AJ5486">
        <v>53.999681318472497</v>
      </c>
      <c r="AK5486">
        <v>10.124748655055599</v>
      </c>
      <c r="AL5486">
        <v>79.595418073124605</v>
      </c>
      <c r="AM5486">
        <v>70.357787822865006</v>
      </c>
      <c r="AN5486">
        <v>0.99999999668546902</v>
      </c>
    </row>
    <row r="5487" spans="1:40" x14ac:dyDescent="0.25">
      <c r="A5487" t="str">
        <f>"20190303162410996"</f>
        <v>20190303162410996</v>
      </c>
      <c r="B5487" t="str">
        <f>"1551601450990003"</f>
        <v>1551601450990003</v>
      </c>
      <c r="C5487" t="s">
        <v>40</v>
      </c>
      <c r="D5487">
        <v>5.2746050000000002</v>
      </c>
      <c r="E5487">
        <v>0.61994169999999904</v>
      </c>
      <c r="F5487" t="s">
        <v>43</v>
      </c>
      <c r="G5487">
        <v>-307.14620000000002</v>
      </c>
      <c r="H5487">
        <v>-0.05</v>
      </c>
      <c r="I5487">
        <v>8.0603940000000005</v>
      </c>
      <c r="J5487">
        <v>-313.92759999999998</v>
      </c>
      <c r="K5487">
        <v>1.0724070000000001</v>
      </c>
      <c r="L5487">
        <v>16.161069999999999</v>
      </c>
      <c r="M5487">
        <v>0.96977690000000005</v>
      </c>
      <c r="N5487">
        <v>-1.6698459999999998E-2</v>
      </c>
      <c r="O5487">
        <v>-0.24342159999999999</v>
      </c>
      <c r="P5487">
        <v>0.82070529999999997</v>
      </c>
      <c r="Q5487">
        <v>0.17180580000000001</v>
      </c>
      <c r="R5487">
        <v>-0.54490909999999904</v>
      </c>
      <c r="S5487">
        <v>2.0976870000000001</v>
      </c>
      <c r="T5487">
        <v>-0.33934819999999999</v>
      </c>
      <c r="U5487">
        <v>-2.4608150000000002</v>
      </c>
      <c r="V5487">
        <v>0.331932</v>
      </c>
      <c r="W5487">
        <v>0.18151510000000001</v>
      </c>
      <c r="X5487">
        <v>0.92567460000000001</v>
      </c>
      <c r="Y5487">
        <v>0.57757899999999995</v>
      </c>
      <c r="Z5487">
        <v>-1.6034940000000001E-2</v>
      </c>
      <c r="AA5487">
        <v>0.81617729999999999</v>
      </c>
      <c r="AB5487">
        <v>30</v>
      </c>
      <c r="AC5487">
        <v>6.7813999999999597</v>
      </c>
      <c r="AD5487">
        <v>-1.1224069999999999</v>
      </c>
      <c r="AE5487">
        <v>-8.100676</v>
      </c>
      <c r="AF5487">
        <v>6.1367049820310999</v>
      </c>
      <c r="AG5487">
        <v>-1.1224069999999999</v>
      </c>
      <c r="AH5487">
        <v>8.4540890718526391</v>
      </c>
      <c r="AI5487">
        <v>96.132485581113301</v>
      </c>
      <c r="AJ5487">
        <v>54.024627500597802</v>
      </c>
      <c r="AK5487">
        <v>10.506691560379601</v>
      </c>
      <c r="AL5487">
        <v>79.541977718332305</v>
      </c>
      <c r="AM5487">
        <v>70.272984173757195</v>
      </c>
      <c r="AN5487">
        <v>1.0000000246185801</v>
      </c>
    </row>
    <row r="5488" spans="1:40" x14ac:dyDescent="0.25">
      <c r="A5488" t="str">
        <f>"20190303162411008"</f>
        <v>20190303162411008</v>
      </c>
      <c r="B5488" t="str">
        <f>"1551601451000738"</f>
        <v>1551601451000738</v>
      </c>
      <c r="C5488" t="s">
        <v>40</v>
      </c>
      <c r="D5488">
        <v>7.1197339999999896</v>
      </c>
      <c r="E5488">
        <v>0.61941089999999999</v>
      </c>
      <c r="F5488" t="s">
        <v>43</v>
      </c>
      <c r="G5488">
        <v>-306.97089999999997</v>
      </c>
      <c r="H5488">
        <v>-0.05</v>
      </c>
      <c r="I5488">
        <v>7.939972</v>
      </c>
      <c r="J5488">
        <v>-313.77640000000002</v>
      </c>
      <c r="K5488">
        <v>1.0716749999999999</v>
      </c>
      <c r="L5488">
        <v>16.118839999999999</v>
      </c>
      <c r="M5488">
        <v>0.96872999999999998</v>
      </c>
      <c r="N5488">
        <v>-1.6404160000000001E-2</v>
      </c>
      <c r="O5488">
        <v>-0.24757419999999999</v>
      </c>
      <c r="P5488">
        <v>0.81624280000000005</v>
      </c>
      <c r="Q5488">
        <v>0.1734666</v>
      </c>
      <c r="R5488">
        <v>-0.5510505</v>
      </c>
      <c r="S5488">
        <v>2.087799</v>
      </c>
      <c r="T5488">
        <v>-0.33684829999999999</v>
      </c>
      <c r="U5488">
        <v>-2.4672550000000002</v>
      </c>
      <c r="V5488">
        <v>0.33503539999999998</v>
      </c>
      <c r="W5488">
        <v>0.18281710000000001</v>
      </c>
      <c r="X5488">
        <v>0.92429930000000005</v>
      </c>
      <c r="Y5488">
        <v>0.57710609999999996</v>
      </c>
      <c r="Z5488">
        <v>-1.5383529999999999E-2</v>
      </c>
      <c r="AA5488">
        <v>0.81652429999999998</v>
      </c>
      <c r="AB5488">
        <v>30</v>
      </c>
      <c r="AC5488">
        <v>6.8055000000000501</v>
      </c>
      <c r="AD5488">
        <v>-1.121675</v>
      </c>
      <c r="AE5488">
        <v>-8.1788679999999907</v>
      </c>
      <c r="AF5488">
        <v>6.1705119080506696</v>
      </c>
      <c r="AG5488">
        <v>-1.121675</v>
      </c>
      <c r="AH5488">
        <v>8.5239967129763698</v>
      </c>
      <c r="AI5488">
        <v>96.084332240245601</v>
      </c>
      <c r="AJ5488">
        <v>54.099261972512998</v>
      </c>
      <c r="AK5488">
        <v>10.5826221691909</v>
      </c>
      <c r="AL5488">
        <v>79.466108935810297</v>
      </c>
      <c r="AM5488">
        <v>70.075684766737893</v>
      </c>
      <c r="AN5488">
        <v>1.0000000036430301</v>
      </c>
    </row>
    <row r="5489" spans="1:40" x14ac:dyDescent="0.25">
      <c r="A5489" t="str">
        <f>"20190303162411020"</f>
        <v>20190303162411020</v>
      </c>
      <c r="B5489" t="str">
        <f>"1551601451010498"</f>
        <v>1551601451010498</v>
      </c>
      <c r="C5489" t="s">
        <v>40</v>
      </c>
      <c r="D5489">
        <v>5.3529499999999999</v>
      </c>
      <c r="E5489">
        <v>0.6187724</v>
      </c>
      <c r="F5489" t="s">
        <v>43</v>
      </c>
      <c r="G5489">
        <v>-306.74610000000001</v>
      </c>
      <c r="H5489">
        <v>-0.05</v>
      </c>
      <c r="I5489">
        <v>7.6913910000000003</v>
      </c>
      <c r="J5489">
        <v>-313.62369999999999</v>
      </c>
      <c r="K5489">
        <v>1.070972</v>
      </c>
      <c r="L5489">
        <v>16.075469999999999</v>
      </c>
      <c r="M5489">
        <v>0.96764099999999997</v>
      </c>
      <c r="N5489">
        <v>-1.6118569999999999E-2</v>
      </c>
      <c r="O5489">
        <v>-0.25181540000000002</v>
      </c>
      <c r="P5489">
        <v>0.81337230000000005</v>
      </c>
      <c r="Q5489">
        <v>0.17416110000000001</v>
      </c>
      <c r="R5489">
        <v>-0.55506180000000005</v>
      </c>
      <c r="S5489">
        <v>2.0701900000000002</v>
      </c>
      <c r="T5489">
        <v>-0.33029540000000002</v>
      </c>
      <c r="U5489">
        <v>-2.481598</v>
      </c>
      <c r="V5489">
        <v>0.33559149999999999</v>
      </c>
      <c r="W5489">
        <v>0.18321789999999999</v>
      </c>
      <c r="X5489">
        <v>0.92401809999999995</v>
      </c>
      <c r="Y5489">
        <v>0.57936259999999995</v>
      </c>
      <c r="Z5489">
        <v>-1.487232E-2</v>
      </c>
      <c r="AA5489">
        <v>0.81493419999999905</v>
      </c>
      <c r="AB5489">
        <v>30</v>
      </c>
      <c r="AC5489">
        <v>6.87759999999997</v>
      </c>
      <c r="AD5489">
        <v>-1.1209719999999901</v>
      </c>
      <c r="AE5489">
        <v>-8.3840789999999998</v>
      </c>
      <c r="AF5489">
        <v>6.3142500452219501</v>
      </c>
      <c r="AG5489">
        <v>-1.1209719999999901</v>
      </c>
      <c r="AH5489">
        <v>8.6747315995084797</v>
      </c>
      <c r="AI5489">
        <v>95.964415862974207</v>
      </c>
      <c r="AJ5489">
        <v>53.949502859143301</v>
      </c>
      <c r="AK5489">
        <v>10.787831115747</v>
      </c>
      <c r="AL5489">
        <v>79.442749693617401</v>
      </c>
      <c r="AM5489">
        <v>70.039628915102696</v>
      </c>
      <c r="AN5489">
        <v>0.99999995144013298</v>
      </c>
    </row>
    <row r="5490" spans="1:40" x14ac:dyDescent="0.25">
      <c r="A5490" t="str">
        <f>"20190303162411030"</f>
        <v>20190303162411030</v>
      </c>
      <c r="B5490" t="str">
        <f>"1551601451020258"</f>
        <v>1551601451020258</v>
      </c>
      <c r="C5490" t="s">
        <v>40</v>
      </c>
      <c r="D5490">
        <v>5.3511509999999998</v>
      </c>
      <c r="E5490">
        <v>0.61905379999999999</v>
      </c>
      <c r="F5490" t="s">
        <v>43</v>
      </c>
      <c r="G5490">
        <v>-306.57670000000002</v>
      </c>
      <c r="H5490">
        <v>-0.05</v>
      </c>
      <c r="I5490">
        <v>7.5593409999999999</v>
      </c>
      <c r="J5490">
        <v>-313.48610000000002</v>
      </c>
      <c r="K5490">
        <v>1.0703830000000001</v>
      </c>
      <c r="L5490">
        <v>16.035550000000001</v>
      </c>
      <c r="M5490">
        <v>0.96662289999999995</v>
      </c>
      <c r="N5490">
        <v>-1.587819E-2</v>
      </c>
      <c r="O5490">
        <v>-0.25571110000000002</v>
      </c>
      <c r="P5490">
        <v>0.81178939999999999</v>
      </c>
      <c r="Q5490">
        <v>0.17462839999999999</v>
      </c>
      <c r="R5490">
        <v>-0.55722799999999995</v>
      </c>
      <c r="S5490">
        <v>2.0598139999999998</v>
      </c>
      <c r="T5490">
        <v>-0.32765539999999999</v>
      </c>
      <c r="U5490">
        <v>-2.4892270000000001</v>
      </c>
      <c r="V5490">
        <v>0.33437220000000001</v>
      </c>
      <c r="W5490">
        <v>0.1834673</v>
      </c>
      <c r="X5490">
        <v>0.92441059999999997</v>
      </c>
      <c r="Y5490">
        <v>0.57938330000000005</v>
      </c>
      <c r="Z5490">
        <v>-1.432275E-2</v>
      </c>
      <c r="AA5490">
        <v>0.81492940000000003</v>
      </c>
      <c r="AB5490">
        <v>30</v>
      </c>
      <c r="AC5490">
        <v>6.9093999999999998</v>
      </c>
      <c r="AD5490">
        <v>-1.1203829999999999</v>
      </c>
      <c r="AE5490">
        <v>-8.4762089999999901</v>
      </c>
      <c r="AF5490">
        <v>6.3605327204529196</v>
      </c>
      <c r="AG5490">
        <v>-1.1203829999999999</v>
      </c>
      <c r="AH5490">
        <v>8.75545640809686</v>
      </c>
      <c r="AI5490">
        <v>95.910708535965696</v>
      </c>
      <c r="AJ5490">
        <v>54.002907105208998</v>
      </c>
      <c r="AK5490">
        <v>10.8797817748668</v>
      </c>
      <c r="AL5490">
        <v>79.428214116743106</v>
      </c>
      <c r="AM5490">
        <v>70.114236408205201</v>
      </c>
      <c r="AN5490">
        <v>0.99999998784724498</v>
      </c>
    </row>
    <row r="5491" spans="1:40" x14ac:dyDescent="0.25">
      <c r="A5491" t="str">
        <f>"20190303162411042"</f>
        <v>20190303162411042</v>
      </c>
      <c r="B5491" t="str">
        <f>"1551601451030019"</f>
        <v>1551601451030019</v>
      </c>
      <c r="C5491" t="s">
        <v>40</v>
      </c>
      <c r="D5491">
        <v>5.3503179999999997</v>
      </c>
      <c r="E5491">
        <v>0.61840680000000003</v>
      </c>
      <c r="F5491" t="s">
        <v>43</v>
      </c>
      <c r="G5491">
        <v>-306.21890000000002</v>
      </c>
      <c r="H5491">
        <v>-0.05</v>
      </c>
      <c r="I5491">
        <v>7.1693119999999997</v>
      </c>
      <c r="J5491">
        <v>-313.32819999999998</v>
      </c>
      <c r="K5491">
        <v>1.0697209999999999</v>
      </c>
      <c r="L5491">
        <v>15.98944</v>
      </c>
      <c r="M5491">
        <v>0.96542819999999996</v>
      </c>
      <c r="N5491">
        <v>-1.560872E-2</v>
      </c>
      <c r="O5491">
        <v>-0.26020199999999999</v>
      </c>
      <c r="P5491">
        <v>0.81022169999999905</v>
      </c>
      <c r="Q5491">
        <v>0.17545060000000001</v>
      </c>
      <c r="R5491">
        <v>-0.55924830000000003</v>
      </c>
      <c r="S5491">
        <v>2.048187</v>
      </c>
      <c r="T5491">
        <v>-0.31577</v>
      </c>
      <c r="U5491">
        <v>-2.4988709999999998</v>
      </c>
      <c r="V5491">
        <v>0.33244430000000003</v>
      </c>
      <c r="W5491">
        <v>0.1840532</v>
      </c>
      <c r="X5491">
        <v>0.92498930000000001</v>
      </c>
      <c r="Y5491">
        <v>0.57957700000000001</v>
      </c>
      <c r="Z5491">
        <v>-1.357911E-2</v>
      </c>
      <c r="AA5491">
        <v>0.81480430000000004</v>
      </c>
      <c r="AB5491">
        <v>30</v>
      </c>
      <c r="AC5491">
        <v>7.1092999999999602</v>
      </c>
      <c r="AD5491">
        <v>-1.119721</v>
      </c>
      <c r="AE5491">
        <v>-8.8201280000000004</v>
      </c>
      <c r="AF5491">
        <v>6.6016628758214901</v>
      </c>
      <c r="AG5491">
        <v>-1.119721</v>
      </c>
      <c r="AH5491">
        <v>9.0710294085560204</v>
      </c>
      <c r="AI5491">
        <v>95.699584641789201</v>
      </c>
      <c r="AJ5491">
        <v>53.953831599312501</v>
      </c>
      <c r="AK5491">
        <v>11.2747196140183</v>
      </c>
      <c r="AL5491">
        <v>79.394063082172096</v>
      </c>
      <c r="AM5491">
        <v>70.231390218796903</v>
      </c>
      <c r="AN5491">
        <v>0.99999999907360904</v>
      </c>
    </row>
    <row r="5492" spans="1:40" x14ac:dyDescent="0.25">
      <c r="A5492" t="str">
        <f>"20190303162411054"</f>
        <v>20190303162411054</v>
      </c>
      <c r="B5492" t="str">
        <f>"1551601451040754"</f>
        <v>1551601451040754</v>
      </c>
      <c r="C5492" t="s">
        <v>40</v>
      </c>
      <c r="D5492">
        <v>5.3622199999999998</v>
      </c>
      <c r="E5492">
        <v>0.61772700000000003</v>
      </c>
      <c r="F5492" t="s">
        <v>43</v>
      </c>
      <c r="G5492">
        <v>-305.97149999999999</v>
      </c>
      <c r="H5492">
        <v>-0.05</v>
      </c>
      <c r="I5492">
        <v>6.9741210000000002</v>
      </c>
      <c r="J5492">
        <v>-313.17829999999998</v>
      </c>
      <c r="K5492">
        <v>1.069145</v>
      </c>
      <c r="L5492">
        <v>15.94434</v>
      </c>
      <c r="M5492">
        <v>0.9642385</v>
      </c>
      <c r="N5492">
        <v>-1.5376900000000001E-2</v>
      </c>
      <c r="O5492">
        <v>-0.26458959999999998</v>
      </c>
      <c r="P5492">
        <v>0.80901460000000003</v>
      </c>
      <c r="Q5492">
        <v>0.1765369</v>
      </c>
      <c r="R5492">
        <v>-0.56065169999999998</v>
      </c>
      <c r="S5492">
        <v>2.0424190000000002</v>
      </c>
      <c r="T5492">
        <v>-0.3108609</v>
      </c>
      <c r="U5492">
        <v>-2.502869</v>
      </c>
      <c r="V5492">
        <v>0.32993660000000002</v>
      </c>
      <c r="W5492">
        <v>0.18493560000000001</v>
      </c>
      <c r="X5492">
        <v>0.9257109</v>
      </c>
      <c r="Y5492">
        <v>0.57773160000000001</v>
      </c>
      <c r="Z5492">
        <v>-1.2844100000000001E-2</v>
      </c>
      <c r="AA5492">
        <v>0.81612580000000001</v>
      </c>
      <c r="AB5492">
        <v>30</v>
      </c>
      <c r="AC5492">
        <v>7.2067999999999799</v>
      </c>
      <c r="AD5492">
        <v>-1.1191450000000001</v>
      </c>
      <c r="AE5492">
        <v>-8.9702189999999895</v>
      </c>
      <c r="AF5492">
        <v>6.6801911545013297</v>
      </c>
      <c r="AG5492">
        <v>-1.1191450000000001</v>
      </c>
      <c r="AH5492">
        <v>9.2362314509820607</v>
      </c>
      <c r="AI5492">
        <v>95.607376542841905</v>
      </c>
      <c r="AJ5492">
        <v>54.123311769405298</v>
      </c>
      <c r="AK5492">
        <v>11.453619987052599</v>
      </c>
      <c r="AL5492">
        <v>79.342622273602998</v>
      </c>
      <c r="AM5492">
        <v>70.383205777544802</v>
      </c>
      <c r="AN5492">
        <v>1.00000000327286</v>
      </c>
    </row>
    <row r="5493" spans="1:40" x14ac:dyDescent="0.25">
      <c r="A5493" t="str">
        <f>"20190303162411065"</f>
        <v>20190303162411065</v>
      </c>
      <c r="B5493" t="str">
        <f>"1551601451060275"</f>
        <v>1551601451060275</v>
      </c>
      <c r="C5493" t="s">
        <v>40</v>
      </c>
      <c r="D5493">
        <v>5.4319819999999996</v>
      </c>
      <c r="E5493">
        <v>0.61621999999999999</v>
      </c>
      <c r="F5493" t="s">
        <v>43</v>
      </c>
      <c r="G5493">
        <v>-305.69299999999998</v>
      </c>
      <c r="H5493">
        <v>-0.05</v>
      </c>
      <c r="I5493">
        <v>6.7425379999999997</v>
      </c>
      <c r="J5493">
        <v>-313.0453</v>
      </c>
      <c r="K5493">
        <v>1.0686439999999999</v>
      </c>
      <c r="L5493">
        <v>15.90405</v>
      </c>
      <c r="M5493">
        <v>0.96316080000000004</v>
      </c>
      <c r="N5493">
        <v>-1.517465E-2</v>
      </c>
      <c r="O5493">
        <v>-0.26849820000000002</v>
      </c>
      <c r="P5493">
        <v>0.80824759999999995</v>
      </c>
      <c r="Q5493">
        <v>0.17724400000000001</v>
      </c>
      <c r="R5493">
        <v>-0.56153450000000005</v>
      </c>
      <c r="S5493">
        <v>2.0382690000000001</v>
      </c>
      <c r="T5493">
        <v>-0.30474620000000002</v>
      </c>
      <c r="U5493">
        <v>-2.5056759999999998</v>
      </c>
      <c r="V5493">
        <v>0.3272584</v>
      </c>
      <c r="W5493">
        <v>0.185475</v>
      </c>
      <c r="X5493">
        <v>0.92655330000000002</v>
      </c>
      <c r="Y5493">
        <v>0.57578569999999996</v>
      </c>
      <c r="Z5493">
        <v>-1.2164370000000001E-2</v>
      </c>
      <c r="AA5493">
        <v>0.81751019999999996</v>
      </c>
      <c r="AB5493">
        <v>30</v>
      </c>
      <c r="AC5493">
        <v>7.3523000000000103</v>
      </c>
      <c r="AD5493">
        <v>-1.118644</v>
      </c>
      <c r="AE5493">
        <v>-9.1615119999999894</v>
      </c>
      <c r="AF5493">
        <v>6.7891500739885497</v>
      </c>
      <c r="AG5493">
        <v>-1.118644</v>
      </c>
      <c r="AH5493">
        <v>9.4566361361642404</v>
      </c>
      <c r="AI5493">
        <v>95.488840180748795</v>
      </c>
      <c r="AJ5493">
        <v>54.324510196649399</v>
      </c>
      <c r="AK5493">
        <v>11.694951480775</v>
      </c>
      <c r="AL5493">
        <v>79.311173105265397</v>
      </c>
      <c r="AM5493">
        <v>70.546791800167796</v>
      </c>
      <c r="AN5493">
        <v>1.0000000268682201</v>
      </c>
    </row>
    <row r="5494" spans="1:40" x14ac:dyDescent="0.25">
      <c r="A5494" t="str">
        <f>"20190303162411084"</f>
        <v>20190303162411084</v>
      </c>
      <c r="B5494" t="str">
        <f>"1551601451070036"</f>
        <v>1551601451070036</v>
      </c>
      <c r="C5494" t="s">
        <v>40</v>
      </c>
      <c r="D5494">
        <v>5.4476839999999997</v>
      </c>
      <c r="E5494">
        <v>0.61554140000000002</v>
      </c>
      <c r="F5494" t="s">
        <v>43</v>
      </c>
      <c r="G5494">
        <v>-305.52289999999999</v>
      </c>
      <c r="H5494">
        <v>-0.05</v>
      </c>
      <c r="I5494">
        <v>6.6775509999999896</v>
      </c>
      <c r="J5494">
        <v>-312.78980000000001</v>
      </c>
      <c r="K5494">
        <v>1.067758</v>
      </c>
      <c r="L5494">
        <v>15.82455</v>
      </c>
      <c r="M5494">
        <v>0.96099109999999999</v>
      </c>
      <c r="N5494">
        <v>-1.4821559999999999E-2</v>
      </c>
      <c r="O5494">
        <v>-0.27618239999999999</v>
      </c>
      <c r="P5494">
        <v>0.80573729999999999</v>
      </c>
      <c r="Q5494">
        <v>0.17907960000000001</v>
      </c>
      <c r="R5494">
        <v>-0.56455200000000005</v>
      </c>
      <c r="S5494">
        <v>2.0399479999999999</v>
      </c>
      <c r="T5494">
        <v>-0.30335770000000001</v>
      </c>
      <c r="U5494">
        <v>-2.502075</v>
      </c>
      <c r="V5494">
        <v>0.32350309999999999</v>
      </c>
      <c r="W5494">
        <v>0.18697040000000001</v>
      </c>
      <c r="X5494">
        <v>0.92757089999999998</v>
      </c>
      <c r="Y5494">
        <v>0.56843299999999997</v>
      </c>
      <c r="Z5494">
        <v>-1.075067E-2</v>
      </c>
      <c r="AA5494">
        <v>0.82265929999999998</v>
      </c>
      <c r="AB5494">
        <v>30</v>
      </c>
      <c r="AC5494">
        <v>7.2669000000000201</v>
      </c>
      <c r="AD5494">
        <v>-1.117758</v>
      </c>
      <c r="AE5494">
        <v>-9.1469989999999992</v>
      </c>
      <c r="AF5494">
        <v>6.7223978352404501</v>
      </c>
      <c r="AG5494">
        <v>-1.117758</v>
      </c>
      <c r="AH5494">
        <v>9.4244324295549298</v>
      </c>
      <c r="AI5494">
        <v>95.5151418351046</v>
      </c>
      <c r="AJ5494">
        <v>54.499937486553101</v>
      </c>
      <c r="AK5494">
        <v>11.630130791227399</v>
      </c>
      <c r="AL5494">
        <v>79.223967044710804</v>
      </c>
      <c r="AM5494">
        <v>70.773080311889203</v>
      </c>
      <c r="AN5494">
        <v>0.99999998035628901</v>
      </c>
    </row>
    <row r="5495" spans="1:40" x14ac:dyDescent="0.25">
      <c r="A5495" t="str">
        <f>"20190303162411095"</f>
        <v>20190303162411095</v>
      </c>
      <c r="B5495" t="str">
        <f>"1551601451090531"</f>
        <v>1551601451090531</v>
      </c>
      <c r="C5495" t="s">
        <v>40</v>
      </c>
      <c r="D5495">
        <v>5.4455859999999996</v>
      </c>
      <c r="E5495">
        <v>0.61383319999999997</v>
      </c>
      <c r="F5495" t="s">
        <v>43</v>
      </c>
      <c r="G5495">
        <v>-305.03390000000002</v>
      </c>
      <c r="H5495">
        <v>-0.05</v>
      </c>
      <c r="I5495">
        <v>6.2210539999999996</v>
      </c>
      <c r="J5495">
        <v>-312.6474</v>
      </c>
      <c r="K5495">
        <v>1.0672999999999999</v>
      </c>
      <c r="L5495">
        <v>15.779019999999999</v>
      </c>
      <c r="M5495">
        <v>0.95972069999999998</v>
      </c>
      <c r="N5495">
        <v>-1.4643649999999999E-2</v>
      </c>
      <c r="O5495">
        <v>-0.2805742</v>
      </c>
      <c r="P5495">
        <v>0.80395249999999996</v>
      </c>
      <c r="Q5495">
        <v>0.17973220000000001</v>
      </c>
      <c r="R5495">
        <v>-0.56688380000000005</v>
      </c>
      <c r="S5495">
        <v>2.0284420000000001</v>
      </c>
      <c r="T5495">
        <v>-0.29233350000000002</v>
      </c>
      <c r="U5495">
        <v>-2.5116580000000002</v>
      </c>
      <c r="V5495">
        <v>0.322030599999999</v>
      </c>
      <c r="W5495">
        <v>0.1874295</v>
      </c>
      <c r="X5495">
        <v>0.9279906</v>
      </c>
      <c r="Y5495">
        <v>0.5686213</v>
      </c>
      <c r="Z5495">
        <v>-1.020572E-2</v>
      </c>
      <c r="AA5495">
        <v>0.82253619999999905</v>
      </c>
      <c r="AB5495">
        <v>30</v>
      </c>
      <c r="AC5495">
        <v>7.6134999999999797</v>
      </c>
      <c r="AD5495">
        <v>-1.1173</v>
      </c>
      <c r="AE5495">
        <v>-9.5579660000000004</v>
      </c>
      <c r="AF5495">
        <v>6.9792318510409102</v>
      </c>
      <c r="AG5495">
        <v>-1.1173</v>
      </c>
      <c r="AH5495">
        <v>9.9067989295604004</v>
      </c>
      <c r="AI5495">
        <v>95.267723214716497</v>
      </c>
      <c r="AJ5495">
        <v>54.8357218492689</v>
      </c>
      <c r="AK5495">
        <v>12.169745336338099</v>
      </c>
      <c r="AL5495">
        <v>79.197189811524893</v>
      </c>
      <c r="AM5495">
        <v>70.862241525559895</v>
      </c>
      <c r="AN5495">
        <v>1.0000000392474799</v>
      </c>
    </row>
    <row r="5496" spans="1:40" x14ac:dyDescent="0.25">
      <c r="A5496" t="str">
        <f>"20190303162411107"</f>
        <v>20190303162411107</v>
      </c>
      <c r="B5496" t="str">
        <f>"1551601451100291"</f>
        <v>1551601451100291</v>
      </c>
      <c r="C5496" t="s">
        <v>40</v>
      </c>
      <c r="D5496">
        <v>5.3524159999999998</v>
      </c>
      <c r="E5496">
        <v>0.61376500000000001</v>
      </c>
      <c r="F5496" t="s">
        <v>43</v>
      </c>
      <c r="G5496">
        <v>-304.96780000000001</v>
      </c>
      <c r="H5496">
        <v>-0.05</v>
      </c>
      <c r="I5496">
        <v>6.2752840000000001</v>
      </c>
      <c r="J5496">
        <v>-312.49790000000002</v>
      </c>
      <c r="K5496">
        <v>1.0668359999999999</v>
      </c>
      <c r="L5496">
        <v>15.73062</v>
      </c>
      <c r="M5496">
        <v>0.9583507</v>
      </c>
      <c r="N5496">
        <v>-1.446335E-2</v>
      </c>
      <c r="O5496">
        <v>-0.28522740000000002</v>
      </c>
      <c r="P5496">
        <v>0.80174789999999996</v>
      </c>
      <c r="Q5496">
        <v>0.17979120000000001</v>
      </c>
      <c r="R5496">
        <v>-0.56997869999999995</v>
      </c>
      <c r="S5496">
        <v>2.0279240000000001</v>
      </c>
      <c r="T5496">
        <v>-0.295041099999999</v>
      </c>
      <c r="U5496">
        <v>-2.5096129999999999</v>
      </c>
      <c r="V5496">
        <v>0.32114389999999998</v>
      </c>
      <c r="W5496">
        <v>0.18727579999999999</v>
      </c>
      <c r="X5496">
        <v>0.92832879999999995</v>
      </c>
      <c r="Y5496">
        <v>0.564419</v>
      </c>
      <c r="Z5496">
        <v>-9.4312040000000003E-3</v>
      </c>
      <c r="AA5496">
        <v>0.82543459999999902</v>
      </c>
      <c r="AB5496">
        <v>30</v>
      </c>
      <c r="AC5496">
        <v>7.5301</v>
      </c>
      <c r="AD5496">
        <v>-1.1168359999999999</v>
      </c>
      <c r="AE5496">
        <v>-9.4553360000000009</v>
      </c>
      <c r="AF5496">
        <v>6.8559306443859702</v>
      </c>
      <c r="AG5496">
        <v>-1.1168359999999999</v>
      </c>
      <c r="AH5496">
        <v>9.8305106896983201</v>
      </c>
      <c r="AI5496">
        <v>95.323752503345801</v>
      </c>
      <c r="AJ5496">
        <v>55.107561667782299</v>
      </c>
      <c r="AK5496">
        <v>12.037028207651501</v>
      </c>
      <c r="AL5496">
        <v>79.206154440586602</v>
      </c>
      <c r="AM5496">
        <v>70.917569517305196</v>
      </c>
      <c r="AN5496">
        <v>0.99999999534114403</v>
      </c>
    </row>
    <row r="5497" spans="1:40" x14ac:dyDescent="0.25">
      <c r="A5497" t="str">
        <f>"20190303162411119"</f>
        <v>20190303162411119</v>
      </c>
      <c r="B5497" t="str">
        <f>"1551601451111030"</f>
        <v>1551601451111030</v>
      </c>
      <c r="C5497" t="s">
        <v>40</v>
      </c>
      <c r="D5497">
        <v>5.451676</v>
      </c>
      <c r="E5497">
        <v>0.61304369999999997</v>
      </c>
      <c r="F5497" t="s">
        <v>43</v>
      </c>
      <c r="G5497">
        <v>-304.74220000000003</v>
      </c>
      <c r="H5497">
        <v>-0.05</v>
      </c>
      <c r="I5497">
        <v>6.0420530000000001</v>
      </c>
      <c r="J5497">
        <v>-312.32220000000001</v>
      </c>
      <c r="K5497">
        <v>1.0663260000000001</v>
      </c>
      <c r="L5497">
        <v>15.672610000000001</v>
      </c>
      <c r="M5497">
        <v>0.95668169999999997</v>
      </c>
      <c r="N5497">
        <v>-1.4266600000000001E-2</v>
      </c>
      <c r="O5497">
        <v>-0.2907865</v>
      </c>
      <c r="P5497">
        <v>0.79925599999999997</v>
      </c>
      <c r="Q5497">
        <v>0.1797001</v>
      </c>
      <c r="R5497">
        <v>-0.57349629999999996</v>
      </c>
      <c r="S5497">
        <v>2.0162659999999999</v>
      </c>
      <c r="T5497">
        <v>-0.29034720000000003</v>
      </c>
      <c r="U5497">
        <v>-2.5187680000000001</v>
      </c>
      <c r="V5497">
        <v>0.31986700000000001</v>
      </c>
      <c r="W5497">
        <v>0.1869527</v>
      </c>
      <c r="X5497">
        <v>0.92883470000000001</v>
      </c>
      <c r="Y5497">
        <v>0.56349689999999997</v>
      </c>
      <c r="Z5497">
        <v>-8.7653139999999997E-3</v>
      </c>
      <c r="AA5497">
        <v>0.82607169999999897</v>
      </c>
      <c r="AB5497">
        <v>30</v>
      </c>
      <c r="AC5497">
        <v>7.5799999999999796</v>
      </c>
      <c r="AD5497">
        <v>-1.1163259999999999</v>
      </c>
      <c r="AE5497">
        <v>-9.6305569999999996</v>
      </c>
      <c r="AF5497">
        <v>6.9522486232879901</v>
      </c>
      <c r="AG5497">
        <v>-1.1163259999999999</v>
      </c>
      <c r="AH5497">
        <v>9.9703850190547403</v>
      </c>
      <c r="AI5497">
        <v>95.247404693115996</v>
      </c>
      <c r="AJ5497">
        <v>55.112326065467798</v>
      </c>
      <c r="AK5497">
        <v>12.206085453022</v>
      </c>
      <c r="AL5497">
        <v>79.225000195007894</v>
      </c>
      <c r="AM5497">
        <v>70.997597563733294</v>
      </c>
      <c r="AN5497">
        <v>1.00000005482518</v>
      </c>
    </row>
    <row r="5498" spans="1:40" x14ac:dyDescent="0.25">
      <c r="A5498" t="str">
        <f>"20190303162411141"</f>
        <v>20190303162411141</v>
      </c>
      <c r="B5498" t="str">
        <f>"1551601451130546"</f>
        <v>1551601451130546</v>
      </c>
      <c r="C5498" t="s">
        <v>40</v>
      </c>
      <c r="D5498">
        <v>5.5113729999999999</v>
      </c>
      <c r="E5498">
        <v>0.61194459999999995</v>
      </c>
      <c r="F5498" t="s">
        <v>43</v>
      </c>
      <c r="G5498">
        <v>-304.6508</v>
      </c>
      <c r="H5498">
        <v>-0.05</v>
      </c>
      <c r="I5498">
        <v>6.0257569999999996</v>
      </c>
      <c r="J5498">
        <v>-312.06349999999998</v>
      </c>
      <c r="K5498">
        <v>1.0656239999999999</v>
      </c>
      <c r="L5498">
        <v>15.58484</v>
      </c>
      <c r="M5498">
        <v>0.95409330000000003</v>
      </c>
      <c r="N5498">
        <v>-1.4005E-2</v>
      </c>
      <c r="O5498">
        <v>-0.2991819</v>
      </c>
      <c r="P5498">
        <v>0.79583769999999998</v>
      </c>
      <c r="Q5498">
        <v>0.1791682</v>
      </c>
      <c r="R5498">
        <v>-0.5783954</v>
      </c>
      <c r="S5498">
        <v>2.00766</v>
      </c>
      <c r="T5498">
        <v>-0.29214800000000002</v>
      </c>
      <c r="U5498">
        <v>-2.5246279999999999</v>
      </c>
      <c r="V5498">
        <v>0.31742969999999998</v>
      </c>
      <c r="W5498">
        <v>0.18611030000000001</v>
      </c>
      <c r="X5498">
        <v>0.92983939999999998</v>
      </c>
      <c r="Y5498">
        <v>0.55893649999999995</v>
      </c>
      <c r="Z5498">
        <v>-7.5883569999999996E-3</v>
      </c>
      <c r="AA5498">
        <v>0.82917569999999996</v>
      </c>
      <c r="AB5498">
        <v>30</v>
      </c>
      <c r="AC5498">
        <v>7.4126999999999699</v>
      </c>
      <c r="AD5498">
        <v>-1.1156239999999999</v>
      </c>
      <c r="AE5498">
        <v>-9.5590829999999993</v>
      </c>
      <c r="AF5498">
        <v>6.8449659894500696</v>
      </c>
      <c r="AG5498">
        <v>-1.1156239999999999</v>
      </c>
      <c r="AH5498">
        <v>9.8495075604501707</v>
      </c>
      <c r="AI5498">
        <v>95.313897044777605</v>
      </c>
      <c r="AJ5498">
        <v>55.202432336767302</v>
      </c>
      <c r="AK5498">
        <v>12.046201703834599</v>
      </c>
      <c r="AL5498">
        <v>79.274127640140193</v>
      </c>
      <c r="AM5498">
        <v>71.151059466233505</v>
      </c>
      <c r="AN5498">
        <v>0.99999998400026902</v>
      </c>
    </row>
    <row r="5499" spans="1:40" x14ac:dyDescent="0.25">
      <c r="A5499" t="str">
        <f>"20190303162411153"</f>
        <v>20190303162411153</v>
      </c>
      <c r="B5499" t="str">
        <f>"1551601451140307"</f>
        <v>1551601451140307</v>
      </c>
      <c r="C5499" t="s">
        <v>40</v>
      </c>
      <c r="D5499">
        <v>5.5036880000000004</v>
      </c>
      <c r="E5499">
        <v>0.61126919999999996</v>
      </c>
      <c r="F5499" t="s">
        <v>43</v>
      </c>
      <c r="G5499">
        <v>-304.5095</v>
      </c>
      <c r="H5499">
        <v>-0.05</v>
      </c>
      <c r="I5499">
        <v>5.9973599999999996</v>
      </c>
      <c r="J5499">
        <v>-311.88959999999997</v>
      </c>
      <c r="K5499">
        <v>1.0651919999999999</v>
      </c>
      <c r="L5499">
        <v>15.524139999999999</v>
      </c>
      <c r="M5499">
        <v>0.95225859999999996</v>
      </c>
      <c r="N5499">
        <v>-1.3849510000000001E-2</v>
      </c>
      <c r="O5499">
        <v>-0.30497839999999998</v>
      </c>
      <c r="P5499">
        <v>0.79293639999999999</v>
      </c>
      <c r="Q5499">
        <v>0.1791247</v>
      </c>
      <c r="R5499">
        <v>-0.58238029999999996</v>
      </c>
      <c r="S5499">
        <v>1.9953920000000001</v>
      </c>
      <c r="T5499">
        <v>-0.29469220000000002</v>
      </c>
      <c r="U5499">
        <v>-2.5325319999999998</v>
      </c>
      <c r="V5499">
        <v>0.31648530000000002</v>
      </c>
      <c r="W5499">
        <v>0.18585270000000001</v>
      </c>
      <c r="X5499">
        <v>0.93021279999999995</v>
      </c>
      <c r="Y5499">
        <v>0.55763830000000003</v>
      </c>
      <c r="Z5499">
        <v>-6.8966219999999998E-3</v>
      </c>
      <c r="AA5499">
        <v>0.8300554</v>
      </c>
      <c r="AB5499">
        <v>30</v>
      </c>
      <c r="AC5499">
        <v>7.3800999999999704</v>
      </c>
      <c r="AD5499">
        <v>-1.115192</v>
      </c>
      <c r="AE5499">
        <v>-9.5267800000000005</v>
      </c>
      <c r="AF5499">
        <v>6.7639175929253899</v>
      </c>
      <c r="AG5499">
        <v>-1.115192</v>
      </c>
      <c r="AH5499">
        <v>9.8498281760963504</v>
      </c>
      <c r="AI5499">
        <v>95.332096026047594</v>
      </c>
      <c r="AJ5499">
        <v>55.522453346227401</v>
      </c>
      <c r="AK5499">
        <v>12.0005562162497</v>
      </c>
      <c r="AL5499">
        <v>79.289149415242903</v>
      </c>
      <c r="AM5499">
        <v>71.210210358016198</v>
      </c>
      <c r="AN5499">
        <v>1.0000000122486099</v>
      </c>
    </row>
    <row r="5500" spans="1:40" x14ac:dyDescent="0.25">
      <c r="A5500" t="str">
        <f>"20190303162411166"</f>
        <v>20190303162411166</v>
      </c>
      <c r="B5500" t="str">
        <f>"1551601451160802"</f>
        <v>1551601451160802</v>
      </c>
      <c r="C5500" t="s">
        <v>40</v>
      </c>
      <c r="D5500">
        <v>5.5179109999999998</v>
      </c>
      <c r="E5500">
        <v>0.60992709999999895</v>
      </c>
      <c r="F5500" t="s">
        <v>43</v>
      </c>
      <c r="G5500">
        <v>-304.4461</v>
      </c>
      <c r="H5500">
        <v>-0.05</v>
      </c>
      <c r="I5500">
        <v>6.0039669999999896</v>
      </c>
      <c r="J5500">
        <v>-311.73270000000002</v>
      </c>
      <c r="K5500">
        <v>1.0648200000000001</v>
      </c>
      <c r="L5500">
        <v>15.46857</v>
      </c>
      <c r="M5500">
        <v>0.95054939999999999</v>
      </c>
      <c r="N5500">
        <v>-1.371677E-2</v>
      </c>
      <c r="O5500">
        <v>-0.31027070000000001</v>
      </c>
      <c r="P5500">
        <v>0.79036450000000003</v>
      </c>
      <c r="Q5500">
        <v>0.17931710000000001</v>
      </c>
      <c r="R5500">
        <v>-0.58580639999999995</v>
      </c>
      <c r="S5500">
        <v>1.9855039999999999</v>
      </c>
      <c r="T5500">
        <v>-0.29747190000000001</v>
      </c>
      <c r="U5500">
        <v>-2.5394589999999999</v>
      </c>
      <c r="V5500">
        <v>0.31540020000000002</v>
      </c>
      <c r="W5500">
        <v>0.18586250000000001</v>
      </c>
      <c r="X5500">
        <v>0.9305793</v>
      </c>
      <c r="Y5500">
        <v>0.55613179999999995</v>
      </c>
      <c r="Z5500">
        <v>-6.2345059999999999E-3</v>
      </c>
      <c r="AA5500">
        <v>0.83107070000000005</v>
      </c>
      <c r="AB5500">
        <v>30</v>
      </c>
      <c r="AC5500">
        <v>7.2866000000000204</v>
      </c>
      <c r="AD5500">
        <v>-1.1148199999999999</v>
      </c>
      <c r="AE5500">
        <v>-9.4646030000000003</v>
      </c>
      <c r="AF5500">
        <v>6.6782134626178902</v>
      </c>
      <c r="AG5500">
        <v>-1.1148199999999999</v>
      </c>
      <c r="AH5500">
        <v>9.7786079100469596</v>
      </c>
      <c r="AI5500">
        <v>95.378295348594506</v>
      </c>
      <c r="AJ5500">
        <v>55.669224332888497</v>
      </c>
      <c r="AK5500">
        <v>11.893802223978801</v>
      </c>
      <c r="AL5500">
        <v>79.288577765738793</v>
      </c>
      <c r="AM5500">
        <v>71.276996063089697</v>
      </c>
      <c r="AN5500">
        <v>0.99999999432738995</v>
      </c>
    </row>
    <row r="5501" spans="1:40" x14ac:dyDescent="0.25">
      <c r="A5501" t="str">
        <f>"20190303162411176"</f>
        <v>20190303162411176</v>
      </c>
      <c r="B5501" t="str">
        <f>"1551601451170562"</f>
        <v>1551601451170562</v>
      </c>
      <c r="C5501" t="s">
        <v>40</v>
      </c>
      <c r="D5501">
        <v>5.585585</v>
      </c>
      <c r="E5501">
        <v>0.60969039999999997</v>
      </c>
      <c r="F5501" t="s">
        <v>43</v>
      </c>
      <c r="G5501">
        <v>-304.46440000000001</v>
      </c>
      <c r="H5501">
        <v>-0.05</v>
      </c>
      <c r="I5501">
        <v>6.1446379999999996</v>
      </c>
      <c r="J5501">
        <v>-311.59390000000002</v>
      </c>
      <c r="K5501">
        <v>1.064514</v>
      </c>
      <c r="L5501">
        <v>15.4183</v>
      </c>
      <c r="M5501">
        <v>0.94897929999999997</v>
      </c>
      <c r="N5501">
        <v>-1.3610809999999999E-2</v>
      </c>
      <c r="O5501">
        <v>-0.31504500000000002</v>
      </c>
      <c r="P5501">
        <v>0.78794869999999995</v>
      </c>
      <c r="Q5501">
        <v>0.17969280000000001</v>
      </c>
      <c r="R5501">
        <v>-0.58893790000000001</v>
      </c>
      <c r="S5501">
        <v>1.9810490000000001</v>
      </c>
      <c r="T5501">
        <v>-0.30385770000000001</v>
      </c>
      <c r="U5501">
        <v>-2.5413510000000001</v>
      </c>
      <c r="V5501">
        <v>0.31449110000000002</v>
      </c>
      <c r="W5501">
        <v>0.18608359999999999</v>
      </c>
      <c r="X5501">
        <v>0.93084279999999997</v>
      </c>
      <c r="Y5501">
        <v>0.55313869999999998</v>
      </c>
      <c r="Z5501">
        <v>-5.4908919999999998E-3</v>
      </c>
      <c r="AA5501">
        <v>0.83307109999999995</v>
      </c>
      <c r="AB5501">
        <v>30</v>
      </c>
      <c r="AC5501">
        <v>7.1295000000000002</v>
      </c>
      <c r="AD5501">
        <v>-1.114514</v>
      </c>
      <c r="AE5501">
        <v>-9.2736619999999998</v>
      </c>
      <c r="AF5501">
        <v>6.4960354028043303</v>
      </c>
      <c r="AG5501">
        <v>-1.114514</v>
      </c>
      <c r="AH5501">
        <v>9.6011062756693395</v>
      </c>
      <c r="AI5501">
        <v>95.491721335385805</v>
      </c>
      <c r="AJ5501">
        <v>55.918017370217498</v>
      </c>
      <c r="AK5501">
        <v>11.6456798482261</v>
      </c>
      <c r="AL5501">
        <v>79.275685224611905</v>
      </c>
      <c r="AM5501">
        <v>71.332136527899493</v>
      </c>
      <c r="AN5501">
        <v>1.0000000382400001</v>
      </c>
    </row>
    <row r="5502" spans="1:40" x14ac:dyDescent="0.25">
      <c r="A5502" t="str">
        <f>"20190303162411188"</f>
        <v>20190303162411188</v>
      </c>
      <c r="B5502" t="str">
        <f>"1551601451180322"</f>
        <v>1551601451180322</v>
      </c>
      <c r="C5502" t="s">
        <v>40</v>
      </c>
      <c r="D5502">
        <v>5.5808650000000002</v>
      </c>
      <c r="E5502">
        <v>0.60946420000000001</v>
      </c>
      <c r="F5502" t="s">
        <v>43</v>
      </c>
      <c r="G5502">
        <v>-304.31790000000001</v>
      </c>
      <c r="H5502">
        <v>-0.05</v>
      </c>
      <c r="I5502">
        <v>6.013458</v>
      </c>
      <c r="J5502">
        <v>-311.45209999999997</v>
      </c>
      <c r="K5502">
        <v>1.0642180000000001</v>
      </c>
      <c r="L5502">
        <v>15.3661799999999</v>
      </c>
      <c r="M5502">
        <v>0.94733009999999995</v>
      </c>
      <c r="N5502">
        <v>-1.3508559999999999E-2</v>
      </c>
      <c r="O5502">
        <v>-0.31997389999999998</v>
      </c>
      <c r="P5502">
        <v>0.785520199999999</v>
      </c>
      <c r="Q5502">
        <v>0.1804076</v>
      </c>
      <c r="R5502">
        <v>-0.59195569999999997</v>
      </c>
      <c r="S5502">
        <v>1.9714970000000001</v>
      </c>
      <c r="T5502">
        <v>-0.3019887</v>
      </c>
      <c r="U5502">
        <v>-2.54834</v>
      </c>
      <c r="V5502">
        <v>0.31333139999999998</v>
      </c>
      <c r="W5502">
        <v>0.1866524</v>
      </c>
      <c r="X5502">
        <v>0.9311199</v>
      </c>
      <c r="Y5502">
        <v>0.55191210000000002</v>
      </c>
      <c r="Z5502">
        <v>-4.9160640000000004E-3</v>
      </c>
      <c r="AA5502">
        <v>0.83388779999999996</v>
      </c>
      <c r="AB5502">
        <v>30</v>
      </c>
      <c r="AC5502">
        <v>7.1341999999999599</v>
      </c>
      <c r="AD5502">
        <v>-1.1142179999999999</v>
      </c>
      <c r="AE5502">
        <v>-9.3527219999999893</v>
      </c>
      <c r="AF5502">
        <v>6.5194633942072597</v>
      </c>
      <c r="AG5502">
        <v>-1.1142179999999999</v>
      </c>
      <c r="AH5502">
        <v>9.6652404548262005</v>
      </c>
      <c r="AI5502">
        <v>95.459257961876204</v>
      </c>
      <c r="AJ5502">
        <v>55.999281330984502</v>
      </c>
      <c r="AK5502">
        <v>11.7116078208562</v>
      </c>
      <c r="AL5502">
        <v>79.242513557480905</v>
      </c>
      <c r="AM5502">
        <v>71.401385548014801</v>
      </c>
      <c r="AN5502">
        <v>0.99999997641386396</v>
      </c>
    </row>
    <row r="5503" spans="1:40" x14ac:dyDescent="0.25">
      <c r="A5503" t="str">
        <f>"20190303162411199"</f>
        <v>20190303162411199</v>
      </c>
      <c r="B5503" t="str">
        <f>"1551601451190082"</f>
        <v>1551601451190082</v>
      </c>
      <c r="C5503" t="s">
        <v>40</v>
      </c>
      <c r="D5503">
        <v>5.6014369999999998</v>
      </c>
      <c r="E5503">
        <v>0.60935799999999996</v>
      </c>
      <c r="F5503" t="s">
        <v>43</v>
      </c>
      <c r="G5503">
        <v>-304.15410000000003</v>
      </c>
      <c r="H5503">
        <v>-0.05</v>
      </c>
      <c r="I5503">
        <v>5.8665469999999997</v>
      </c>
      <c r="J5503">
        <v>-311.29739999999998</v>
      </c>
      <c r="K5503">
        <v>1.0639110000000001</v>
      </c>
      <c r="L5503">
        <v>15.308350000000001</v>
      </c>
      <c r="M5503">
        <v>0.94547490000000001</v>
      </c>
      <c r="N5503">
        <v>-1.3404360000000001E-2</v>
      </c>
      <c r="O5503">
        <v>-0.32541949999999997</v>
      </c>
      <c r="P5503">
        <v>0.78256490000000001</v>
      </c>
      <c r="Q5503">
        <v>0.18135100000000001</v>
      </c>
      <c r="R5503">
        <v>-0.59557090000000001</v>
      </c>
      <c r="S5503">
        <v>1.9627079999999999</v>
      </c>
      <c r="T5503">
        <v>-0.2996548</v>
      </c>
      <c r="U5503">
        <v>-2.5548099999999998</v>
      </c>
      <c r="V5503">
        <v>0.31240309999999999</v>
      </c>
      <c r="W5503">
        <v>0.18743560000000001</v>
      </c>
      <c r="X5503">
        <v>0.93127450000000001</v>
      </c>
      <c r="Y5503">
        <v>0.54999129999999996</v>
      </c>
      <c r="Z5503">
        <v>-4.2595419999999998E-3</v>
      </c>
      <c r="AA5503">
        <v>0.8351596</v>
      </c>
      <c r="AB5503">
        <v>30</v>
      </c>
      <c r="AC5503">
        <v>7.1432999999999502</v>
      </c>
      <c r="AD5503">
        <v>-1.1139110000000001</v>
      </c>
      <c r="AE5503">
        <v>-9.4418030000000002</v>
      </c>
      <c r="AF5503">
        <v>6.5450750301484302</v>
      </c>
      <c r="AG5503">
        <v>-1.1139110000000001</v>
      </c>
      <c r="AH5503">
        <v>9.7410133715219196</v>
      </c>
      <c r="AI5503">
        <v>95.422093852790198</v>
      </c>
      <c r="AJ5503">
        <v>56.102489349443999</v>
      </c>
      <c r="AK5503">
        <v>11.788390321429</v>
      </c>
      <c r="AL5503">
        <v>79.196833547121102</v>
      </c>
      <c r="AM5503">
        <v>71.455581192341299</v>
      </c>
      <c r="AN5503">
        <v>0.99999999769361003</v>
      </c>
    </row>
    <row r="5504" spans="1:40" x14ac:dyDescent="0.25">
      <c r="A5504" t="str">
        <f>"20190303162411214"</f>
        <v>20190303162411214</v>
      </c>
      <c r="B5504" t="str">
        <f>"1551601451210579"</f>
        <v>1551601451210579</v>
      </c>
      <c r="C5504" t="s">
        <v>40</v>
      </c>
      <c r="D5504">
        <v>5.5654070000000004</v>
      </c>
      <c r="E5504">
        <v>0.60930869999999904</v>
      </c>
      <c r="F5504" t="s">
        <v>43</v>
      </c>
      <c r="G5504">
        <v>-303.99860000000001</v>
      </c>
      <c r="H5504">
        <v>-0.05</v>
      </c>
      <c r="I5504">
        <v>5.7175750000000001</v>
      </c>
      <c r="J5504">
        <v>-311.10890000000001</v>
      </c>
      <c r="K5504">
        <v>1.063569</v>
      </c>
      <c r="L5504">
        <v>15.236179999999999</v>
      </c>
      <c r="M5504">
        <v>0.9431254</v>
      </c>
      <c r="N5504">
        <v>-1.3289779999999999E-2</v>
      </c>
      <c r="O5504">
        <v>-0.33217180000000002</v>
      </c>
      <c r="P5504">
        <v>0.77888269999999904</v>
      </c>
      <c r="Q5504">
        <v>0.18179870000000001</v>
      </c>
      <c r="R5504">
        <v>-0.60024290000000002</v>
      </c>
      <c r="S5504">
        <v>1.951233</v>
      </c>
      <c r="T5504">
        <v>-0.29778949999999998</v>
      </c>
      <c r="U5504">
        <v>-2.563965</v>
      </c>
      <c r="V5504">
        <v>0.31141619999999998</v>
      </c>
      <c r="W5504">
        <v>0.18770210000000001</v>
      </c>
      <c r="X5504">
        <v>0.93155129999999997</v>
      </c>
      <c r="Y5504">
        <v>0.54787819999999898</v>
      </c>
      <c r="Z5504">
        <v>-3.4693459999999999E-3</v>
      </c>
      <c r="AA5504">
        <v>0.83655100000000004</v>
      </c>
      <c r="AB5504">
        <v>30</v>
      </c>
      <c r="AC5504">
        <v>7.1102999999999899</v>
      </c>
      <c r="AD5504">
        <v>-1.113569</v>
      </c>
      <c r="AE5504">
        <v>-9.5186050000000009</v>
      </c>
      <c r="AF5504">
        <v>6.5583678352748702</v>
      </c>
      <c r="AG5504">
        <v>-1.113569</v>
      </c>
      <c r="AH5504">
        <v>9.7826503455990892</v>
      </c>
      <c r="AI5504">
        <v>95.401232954662603</v>
      </c>
      <c r="AJ5504">
        <v>56.161780578330003</v>
      </c>
      <c r="AK5504">
        <v>11.830150986558801</v>
      </c>
      <c r="AL5504">
        <v>79.181288081816703</v>
      </c>
      <c r="AM5504">
        <v>71.5152957426359</v>
      </c>
      <c r="AN5504">
        <v>0.99999997624926895</v>
      </c>
    </row>
    <row r="5505" spans="1:40" x14ac:dyDescent="0.25">
      <c r="A5505" t="str">
        <f>"20190303162411229"</f>
        <v>20190303162411229</v>
      </c>
      <c r="B5505" t="str">
        <f>"1551601451220338"</f>
        <v>1551601451220338</v>
      </c>
      <c r="C5505" t="s">
        <v>40</v>
      </c>
      <c r="D5505">
        <v>5.544384</v>
      </c>
      <c r="E5505">
        <v>0.60918819999999996</v>
      </c>
      <c r="F5505" t="s">
        <v>43</v>
      </c>
      <c r="G5505">
        <v>-303.9538</v>
      </c>
      <c r="H5505">
        <v>-0.05</v>
      </c>
      <c r="I5505">
        <v>5.7211460000000001</v>
      </c>
      <c r="J5505">
        <v>-310.92720000000003</v>
      </c>
      <c r="K5505">
        <v>1.063258</v>
      </c>
      <c r="L5505">
        <v>15.165190000000001</v>
      </c>
      <c r="M5505">
        <v>0.94077869999999997</v>
      </c>
      <c r="N5505">
        <v>-1.3187040000000001E-2</v>
      </c>
      <c r="O5505">
        <v>-0.33876450000000002</v>
      </c>
      <c r="P5505">
        <v>0.7750802</v>
      </c>
      <c r="Q5505">
        <v>0.18168319999999999</v>
      </c>
      <c r="R5505">
        <v>-0.60517909999999997</v>
      </c>
      <c r="S5505">
        <v>1.9369810000000001</v>
      </c>
      <c r="T5505">
        <v>-0.30145379999999999</v>
      </c>
      <c r="U5505">
        <v>-2.575806</v>
      </c>
      <c r="V5505">
        <v>0.31085629999999997</v>
      </c>
      <c r="W5505">
        <v>0.18741350000000001</v>
      </c>
      <c r="X5505">
        <v>0.93179639999999997</v>
      </c>
      <c r="Y5505">
        <v>0.54683300000000001</v>
      </c>
      <c r="Z5505">
        <v>-2.6784449999999998E-3</v>
      </c>
      <c r="AA5505">
        <v>0.83723740000000002</v>
      </c>
      <c r="AB5505">
        <v>30</v>
      </c>
      <c r="AC5505">
        <v>6.9734000000000202</v>
      </c>
      <c r="AD5505">
        <v>-1.1132580000000001</v>
      </c>
      <c r="AE5505">
        <v>-9.4440439999999892</v>
      </c>
      <c r="AF5505">
        <v>6.4648470386203796</v>
      </c>
      <c r="AG5505">
        <v>-1.1132580000000001</v>
      </c>
      <c r="AH5505">
        <v>9.67359183281852</v>
      </c>
      <c r="AI5505">
        <v>95.465538137754606</v>
      </c>
      <c r="AJ5505">
        <v>56.245251889961203</v>
      </c>
      <c r="AK5505">
        <v>11.688112317876399</v>
      </c>
      <c r="AL5505">
        <v>79.198122599756104</v>
      </c>
      <c r="AM5505">
        <v>71.550802145969101</v>
      </c>
      <c r="AN5505">
        <v>0.99999999514244897</v>
      </c>
    </row>
    <row r="5506" spans="1:40" x14ac:dyDescent="0.25">
      <c r="A5506" t="str">
        <f>"20190303162411241"</f>
        <v>20190303162411241</v>
      </c>
      <c r="B5506" t="str">
        <f>"1551601451230099"</f>
        <v>1551601451230099</v>
      </c>
      <c r="C5506" t="s">
        <v>40</v>
      </c>
      <c r="D5506">
        <v>5.5715789999999998</v>
      </c>
      <c r="E5506">
        <v>0.60911490000000001</v>
      </c>
      <c r="F5506" t="s">
        <v>43</v>
      </c>
      <c r="G5506">
        <v>-303.95</v>
      </c>
      <c r="H5506">
        <v>-0.05</v>
      </c>
      <c r="I5506">
        <v>5.779312</v>
      </c>
      <c r="J5506">
        <v>-310.75540000000001</v>
      </c>
      <c r="K5506">
        <v>1.0629839999999999</v>
      </c>
      <c r="L5506">
        <v>15.09695</v>
      </c>
      <c r="M5506">
        <v>0.93848759999999998</v>
      </c>
      <c r="N5506">
        <v>-1.3096170000000001E-2</v>
      </c>
      <c r="O5506">
        <v>-0.34506429999999999</v>
      </c>
      <c r="P5506">
        <v>0.77097799999999905</v>
      </c>
      <c r="Q5506">
        <v>0.1815359</v>
      </c>
      <c r="R5506">
        <v>-0.61044069999999995</v>
      </c>
      <c r="S5506">
        <v>1.922852</v>
      </c>
      <c r="T5506">
        <v>-0.3068012</v>
      </c>
      <c r="U5506">
        <v>-2.5866389999999999</v>
      </c>
      <c r="V5506">
        <v>0.31098629999999999</v>
      </c>
      <c r="W5506">
        <v>0.18709500000000001</v>
      </c>
      <c r="X5506">
        <v>0.93181709999999995</v>
      </c>
      <c r="Y5506">
        <v>0.54583499999999996</v>
      </c>
      <c r="Z5506">
        <v>-1.869891E-3</v>
      </c>
      <c r="AA5506">
        <v>0.83789059999999904</v>
      </c>
      <c r="AB5506">
        <v>30</v>
      </c>
      <c r="AC5506">
        <v>6.8054000000000103</v>
      </c>
      <c r="AD5506">
        <v>-1.112984</v>
      </c>
      <c r="AE5506">
        <v>-9.3176380000000005</v>
      </c>
      <c r="AF5506">
        <v>6.3377660413776402</v>
      </c>
      <c r="AG5506">
        <v>-1.112984</v>
      </c>
      <c r="AH5506">
        <v>9.5142658922052696</v>
      </c>
      <c r="AI5506">
        <v>95.560658933946101</v>
      </c>
      <c r="AJ5506">
        <v>56.331108111310598</v>
      </c>
      <c r="AK5506">
        <v>11.485959570147999</v>
      </c>
      <c r="AL5506">
        <v>79.216700649494598</v>
      </c>
      <c r="AM5506">
        <v>71.543991581964306</v>
      </c>
      <c r="AN5506">
        <v>1.0000000628325401</v>
      </c>
    </row>
    <row r="5507" spans="1:40" x14ac:dyDescent="0.25">
      <c r="A5507" t="str">
        <f>"20190303162411253"</f>
        <v>20190303162411253</v>
      </c>
      <c r="B5507" t="str">
        <f>"1551601451240834"</f>
        <v>1551601451240834</v>
      </c>
      <c r="C5507" t="s">
        <v>40</v>
      </c>
      <c r="D5507">
        <v>5.5650940000000002</v>
      </c>
      <c r="E5507">
        <v>0.60903039999999997</v>
      </c>
      <c r="F5507" t="s">
        <v>43</v>
      </c>
      <c r="G5507">
        <v>-303.9273</v>
      </c>
      <c r="H5507">
        <v>-0.05</v>
      </c>
      <c r="I5507">
        <v>5.7870939999999997</v>
      </c>
      <c r="J5507">
        <v>-310.61540000000002</v>
      </c>
      <c r="K5507">
        <v>1.0627819999999999</v>
      </c>
      <c r="L5507">
        <v>15.039669999999999</v>
      </c>
      <c r="M5507">
        <v>0.93654970000000004</v>
      </c>
      <c r="N5507">
        <v>-1.3031559999999999E-2</v>
      </c>
      <c r="O5507">
        <v>-0.35029280000000002</v>
      </c>
      <c r="P5507">
        <v>0.76718149999999996</v>
      </c>
      <c r="Q5507">
        <v>0.1808575</v>
      </c>
      <c r="R5507">
        <v>-0.61540519999999999</v>
      </c>
      <c r="S5507">
        <v>1.906342</v>
      </c>
      <c r="T5507">
        <v>-0.31073329999999999</v>
      </c>
      <c r="U5507">
        <v>-2.5992130000000002</v>
      </c>
      <c r="V5507">
        <v>0.31177339999999998</v>
      </c>
      <c r="W5507">
        <v>0.18627379999999999</v>
      </c>
      <c r="X5507">
        <v>0.93171850000000001</v>
      </c>
      <c r="Y5507">
        <v>0.54654409999999998</v>
      </c>
      <c r="Z5507">
        <v>-1.298925E-3</v>
      </c>
      <c r="AA5507">
        <v>0.83742929999999904</v>
      </c>
      <c r="AB5507">
        <v>30</v>
      </c>
      <c r="AC5507">
        <v>6.6881000000000101</v>
      </c>
      <c r="AD5507">
        <v>-1.1127819999999999</v>
      </c>
      <c r="AE5507">
        <v>-9.2525759999999995</v>
      </c>
      <c r="AF5507">
        <v>6.2637326192596197</v>
      </c>
      <c r="AG5507">
        <v>-1.1127819999999999</v>
      </c>
      <c r="AH5507">
        <v>9.41619779681076</v>
      </c>
      <c r="AI5507">
        <v>95.619571569246503</v>
      </c>
      <c r="AJ5507">
        <v>56.367820746341501</v>
      </c>
      <c r="AK5507">
        <v>11.363864265898499</v>
      </c>
      <c r="AL5507">
        <v>79.264592925953494</v>
      </c>
      <c r="AM5507">
        <v>71.498631209555697</v>
      </c>
      <c r="AN5507">
        <v>0.99999997237812399</v>
      </c>
    </row>
    <row r="5508" spans="1:40" x14ac:dyDescent="0.25">
      <c r="A5508" t="str">
        <f>"20190303162411265"</f>
        <v>20190303162411265</v>
      </c>
      <c r="B5508" t="str">
        <f>"1551601451250595"</f>
        <v>1551601451250595</v>
      </c>
      <c r="C5508" t="s">
        <v>40</v>
      </c>
      <c r="D5508">
        <v>5.5839280000000002</v>
      </c>
      <c r="E5508">
        <v>0.60898859999999999</v>
      </c>
      <c r="F5508" t="s">
        <v>43</v>
      </c>
      <c r="G5508">
        <v>-303.9554</v>
      </c>
      <c r="H5508">
        <v>-0.05</v>
      </c>
      <c r="I5508">
        <v>5.84314</v>
      </c>
      <c r="J5508">
        <v>-310.47410000000002</v>
      </c>
      <c r="K5508">
        <v>1.062581</v>
      </c>
      <c r="L5508">
        <v>14.981540000000001</v>
      </c>
      <c r="M5508">
        <v>0.93455699999999997</v>
      </c>
      <c r="N5508">
        <v>-1.29672E-2</v>
      </c>
      <c r="O5508">
        <v>-0.35557739999999999</v>
      </c>
      <c r="P5508">
        <v>0.7631135</v>
      </c>
      <c r="Q5508">
        <v>0.1796577</v>
      </c>
      <c r="R5508">
        <v>-0.62079139999999999</v>
      </c>
      <c r="S5508">
        <v>1.8906559999999999</v>
      </c>
      <c r="T5508">
        <v>-0.31590119999999999</v>
      </c>
      <c r="U5508">
        <v>-2.6107480000000001</v>
      </c>
      <c r="V5508">
        <v>0.3129827</v>
      </c>
      <c r="W5508">
        <v>0.18492249999999999</v>
      </c>
      <c r="X5508">
        <v>0.93158220000000003</v>
      </c>
      <c r="Y5508">
        <v>0.54685360000000005</v>
      </c>
      <c r="Z5508">
        <v>-6.510671E-4</v>
      </c>
      <c r="AA5508">
        <v>0.83722799999999997</v>
      </c>
      <c r="AB5508">
        <v>30</v>
      </c>
      <c r="AC5508">
        <v>6.5187000000000204</v>
      </c>
      <c r="AD5508">
        <v>-1.112581</v>
      </c>
      <c r="AE5508">
        <v>-9.1384000000000007</v>
      </c>
      <c r="AF5508">
        <v>6.16243724802895</v>
      </c>
      <c r="AG5508">
        <v>-1.112581</v>
      </c>
      <c r="AH5508">
        <v>9.2514056874370496</v>
      </c>
      <c r="AI5508">
        <v>95.715629683989803</v>
      </c>
      <c r="AJ5508">
        <v>56.332090246297902</v>
      </c>
      <c r="AK5508">
        <v>11.1714804977226</v>
      </c>
      <c r="AL5508">
        <v>79.343385430272093</v>
      </c>
      <c r="AM5508">
        <v>71.429249711996306</v>
      </c>
      <c r="AN5508">
        <v>0.999999948431188</v>
      </c>
    </row>
    <row r="5509" spans="1:40" x14ac:dyDescent="0.25">
      <c r="A5509" t="str">
        <f>"20190303162411277"</f>
        <v>20190303162411277</v>
      </c>
      <c r="B5509" t="str">
        <f>"1551601451270114"</f>
        <v>1551601451270114</v>
      </c>
      <c r="C5509" t="s">
        <v>40</v>
      </c>
      <c r="D5509">
        <v>5.5921890000000003</v>
      </c>
      <c r="E5509">
        <v>0.60881759999999996</v>
      </c>
      <c r="F5509" t="s">
        <v>43</v>
      </c>
      <c r="G5509">
        <v>-303.99900000000002</v>
      </c>
      <c r="H5509">
        <v>-0.05</v>
      </c>
      <c r="I5509">
        <v>5.9104919999999996</v>
      </c>
      <c r="J5509">
        <v>-310.30439999999999</v>
      </c>
      <c r="K5509">
        <v>1.0623689999999999</v>
      </c>
      <c r="L5509">
        <v>14.909940000000001</v>
      </c>
      <c r="M5509">
        <v>0.93208480000000005</v>
      </c>
      <c r="N5509">
        <v>-1.2898440000000001E-2</v>
      </c>
      <c r="O5509">
        <v>-0.36201090000000002</v>
      </c>
      <c r="P5509">
        <v>0.75843680000000002</v>
      </c>
      <c r="Q5509">
        <v>0.17877079999999901</v>
      </c>
      <c r="R5509">
        <v>-0.62674980000000002</v>
      </c>
      <c r="S5509">
        <v>1.8727419999999999</v>
      </c>
      <c r="T5509">
        <v>-0.3217816</v>
      </c>
      <c r="U5509">
        <v>-2.623535</v>
      </c>
      <c r="V5509">
        <v>0.31380649999999999</v>
      </c>
      <c r="W5509">
        <v>0.18388070000000001</v>
      </c>
      <c r="X5509">
        <v>0.93151130000000004</v>
      </c>
      <c r="Y5509">
        <v>0.54678269999999995</v>
      </c>
      <c r="Z5509">
        <v>1.7870779999999901E-4</v>
      </c>
      <c r="AA5509">
        <v>0.83727459999999898</v>
      </c>
      <c r="AB5509">
        <v>30</v>
      </c>
      <c r="AC5509">
        <v>6.3053999999999597</v>
      </c>
      <c r="AD5509">
        <v>-1.1123689999999999</v>
      </c>
      <c r="AE5509">
        <v>-8.9994479999999992</v>
      </c>
      <c r="AF5509">
        <v>6.04419429810791</v>
      </c>
      <c r="AG5509">
        <v>-1.1123689999999999</v>
      </c>
      <c r="AH5509">
        <v>9.0431546282826698</v>
      </c>
      <c r="AI5509">
        <v>95.839179929065395</v>
      </c>
      <c r="AJ5509">
        <v>56.242328493991202</v>
      </c>
      <c r="AK5509">
        <v>10.933814299523799</v>
      </c>
      <c r="AL5509">
        <v>79.404117873435197</v>
      </c>
      <c r="AM5509">
        <v>71.382414770908298</v>
      </c>
      <c r="AN5509">
        <v>0.99999996665121405</v>
      </c>
    </row>
    <row r="5510" spans="1:40" x14ac:dyDescent="0.25">
      <c r="A5510" t="str">
        <f>"20190303162411290"</f>
        <v>20190303162411290</v>
      </c>
      <c r="B5510" t="str">
        <f>"1551601451280852"</f>
        <v>1551601451280852</v>
      </c>
      <c r="C5510" t="s">
        <v>40</v>
      </c>
      <c r="D5510">
        <v>5.6261089999999996</v>
      </c>
      <c r="E5510">
        <v>0.60877720000000002</v>
      </c>
      <c r="F5510" t="s">
        <v>43</v>
      </c>
      <c r="G5510">
        <v>-304.04169999999999</v>
      </c>
      <c r="H5510">
        <v>-0.05</v>
      </c>
      <c r="I5510">
        <v>6.0012660000000002</v>
      </c>
      <c r="J5510">
        <v>-310.15170000000001</v>
      </c>
      <c r="K5510">
        <v>1.06219</v>
      </c>
      <c r="L5510">
        <v>14.844329999999999</v>
      </c>
      <c r="M5510">
        <v>0.92979750000000005</v>
      </c>
      <c r="N5510">
        <v>-1.284102E-2</v>
      </c>
      <c r="O5510">
        <v>-0.3678477</v>
      </c>
      <c r="P5510">
        <v>0.75387329999999997</v>
      </c>
      <c r="Q5510">
        <v>0.17758090000000001</v>
      </c>
      <c r="R5510">
        <v>-0.63256659999999998</v>
      </c>
      <c r="S5510">
        <v>1.853882</v>
      </c>
      <c r="T5510">
        <v>-0.3292795</v>
      </c>
      <c r="U5510">
        <v>-2.6371150000000001</v>
      </c>
      <c r="V5510">
        <v>0.31504080000000001</v>
      </c>
      <c r="W5510">
        <v>0.1825466</v>
      </c>
      <c r="X5510">
        <v>0.93135710000000005</v>
      </c>
      <c r="Y5510">
        <v>0.54753409999999902</v>
      </c>
      <c r="Z5510">
        <v>9.5648689999999997E-4</v>
      </c>
      <c r="AA5510">
        <v>0.83678280000000005</v>
      </c>
      <c r="AB5510">
        <v>30</v>
      </c>
      <c r="AC5510">
        <v>6.1100000000000101</v>
      </c>
      <c r="AD5510">
        <v>-1.11219</v>
      </c>
      <c r="AE5510">
        <v>-8.8430639999999894</v>
      </c>
      <c r="AF5510">
        <v>5.9119043088400298</v>
      </c>
      <c r="AG5510">
        <v>-1.11219</v>
      </c>
      <c r="AH5510">
        <v>8.84005130061092</v>
      </c>
      <c r="AI5510">
        <v>95.970352557246102</v>
      </c>
      <c r="AJ5510">
        <v>56.226836349007797</v>
      </c>
      <c r="AK5510">
        <v>10.6927118239674</v>
      </c>
      <c r="AL5510">
        <v>79.481872754441497</v>
      </c>
      <c r="AM5510">
        <v>71.311381185414007</v>
      </c>
      <c r="AN5510">
        <v>1.0000000072783</v>
      </c>
    </row>
    <row r="5511" spans="1:40" x14ac:dyDescent="0.25">
      <c r="A5511" t="str">
        <f>"20190303162411306"</f>
        <v>20190303162411306</v>
      </c>
      <c r="B5511" t="str">
        <f>"1551601451300371"</f>
        <v>1551601451300371</v>
      </c>
      <c r="C5511" t="s">
        <v>40</v>
      </c>
      <c r="D5511">
        <v>5.6288269999999896</v>
      </c>
      <c r="E5511">
        <v>0.60862660000000002</v>
      </c>
      <c r="F5511" t="s">
        <v>43</v>
      </c>
      <c r="G5511">
        <v>-304.05549999999999</v>
      </c>
      <c r="H5511">
        <v>-0.05</v>
      </c>
      <c r="I5511">
        <v>6.0312809999999999</v>
      </c>
      <c r="J5511">
        <v>-309.95589999999999</v>
      </c>
      <c r="K5511">
        <v>1.061974</v>
      </c>
      <c r="L5511">
        <v>14.758789999999999</v>
      </c>
      <c r="M5511">
        <v>0.92678190000000005</v>
      </c>
      <c r="N5511">
        <v>-1.277237E-2</v>
      </c>
      <c r="O5511">
        <v>-0.37538250000000001</v>
      </c>
      <c r="P5511">
        <v>0.74803999999999904</v>
      </c>
      <c r="Q5511">
        <v>0.177014</v>
      </c>
      <c r="R5511">
        <v>-0.63961140000000005</v>
      </c>
      <c r="S5511">
        <v>1.833801</v>
      </c>
      <c r="T5511">
        <v>-0.33455499999999999</v>
      </c>
      <c r="U5511">
        <v>-2.6510310000000001</v>
      </c>
      <c r="V5511">
        <v>0.31619999999999998</v>
      </c>
      <c r="W5511">
        <v>0.1818128</v>
      </c>
      <c r="X5511">
        <v>0.93110780000000004</v>
      </c>
      <c r="Y5511">
        <v>0.54708190000000001</v>
      </c>
      <c r="Z5511">
        <v>1.968727E-3</v>
      </c>
      <c r="AA5511">
        <v>0.83707679999999995</v>
      </c>
      <c r="AB5511">
        <v>30</v>
      </c>
      <c r="AC5511">
        <v>5.9003999999999897</v>
      </c>
      <c r="AD5511">
        <v>-1.111974</v>
      </c>
      <c r="AE5511">
        <v>-8.7275089999999995</v>
      </c>
      <c r="AF5511">
        <v>5.8093475081366801</v>
      </c>
      <c r="AG5511">
        <v>-1.111974</v>
      </c>
      <c r="AH5511">
        <v>8.6488938415894907</v>
      </c>
      <c r="AI5511">
        <v>96.091969057202107</v>
      </c>
      <c r="AJ5511">
        <v>56.111264885892503</v>
      </c>
      <c r="AK5511">
        <v>10.477994528059901</v>
      </c>
      <c r="AL5511">
        <v>79.524632253598298</v>
      </c>
      <c r="AM5511">
        <v>71.242744979656806</v>
      </c>
      <c r="AN5511">
        <v>1.0000000347323299</v>
      </c>
    </row>
    <row r="5512" spans="1:40" x14ac:dyDescent="0.25">
      <c r="A5512" t="str">
        <f>"20190303162411318"</f>
        <v>20190303162411318</v>
      </c>
      <c r="B5512" t="str">
        <f>"1551601451310130"</f>
        <v>1551601451310130</v>
      </c>
      <c r="C5512" t="s">
        <v>40</v>
      </c>
      <c r="D5512">
        <v>5.6368260000000001</v>
      </c>
      <c r="E5512">
        <v>0.60854799999999998</v>
      </c>
      <c r="F5512" t="s">
        <v>43</v>
      </c>
      <c r="G5512">
        <v>-304.03339999999997</v>
      </c>
      <c r="H5512">
        <v>-0.05</v>
      </c>
      <c r="I5512">
        <v>6.0314940000000004</v>
      </c>
      <c r="J5512">
        <v>-309.7842</v>
      </c>
      <c r="K5512">
        <v>1.0618050000000001</v>
      </c>
      <c r="L5512">
        <v>14.682040000000001</v>
      </c>
      <c r="M5512">
        <v>0.92405519999999997</v>
      </c>
      <c r="N5512">
        <v>-1.271836E-2</v>
      </c>
      <c r="O5512">
        <v>-0.38204749999999998</v>
      </c>
      <c r="P5512">
        <v>0.74134650000000002</v>
      </c>
      <c r="Q5512">
        <v>0.1762031</v>
      </c>
      <c r="R5512">
        <v>-0.64757849999999995</v>
      </c>
      <c r="S5512">
        <v>1.8101499999999999</v>
      </c>
      <c r="T5512">
        <v>-0.33986509999999998</v>
      </c>
      <c r="U5512">
        <v>-2.6674190000000002</v>
      </c>
      <c r="V5512">
        <v>0.31940359999999901</v>
      </c>
      <c r="W5512">
        <v>0.18080650000000001</v>
      </c>
      <c r="X5512">
        <v>0.93020979999999998</v>
      </c>
      <c r="Y5512">
        <v>0.54850679999999996</v>
      </c>
      <c r="Z5512">
        <v>2.7769880000000002E-3</v>
      </c>
      <c r="AA5512">
        <v>0.83614149999999998</v>
      </c>
      <c r="AB5512">
        <v>30</v>
      </c>
      <c r="AC5512">
        <v>5.7508000000000203</v>
      </c>
      <c r="AD5512">
        <v>-1.1118049999999999</v>
      </c>
      <c r="AE5512">
        <v>-8.6505459999999896</v>
      </c>
      <c r="AF5512">
        <v>5.7313157837377897</v>
      </c>
      <c r="AG5512">
        <v>-1.1118049999999999</v>
      </c>
      <c r="AH5512">
        <v>8.5220471238168507</v>
      </c>
      <c r="AI5512">
        <v>96.178627532125802</v>
      </c>
      <c r="AJ5512">
        <v>56.078061341698998</v>
      </c>
      <c r="AK5512">
        <v>10.3300231438028</v>
      </c>
      <c r="AL5512">
        <v>79.583259925915002</v>
      </c>
      <c r="AM5512">
        <v>71.049205919499002</v>
      </c>
      <c r="AN5512">
        <v>0.99999996107562406</v>
      </c>
    </row>
    <row r="5513" spans="1:40" x14ac:dyDescent="0.25">
      <c r="A5513" t="str">
        <f>"20190303162411335"</f>
        <v>20190303162411335</v>
      </c>
      <c r="B5513" t="str">
        <f>"1551601451330628"</f>
        <v>1551601451330628</v>
      </c>
      <c r="C5513" t="s">
        <v>40</v>
      </c>
      <c r="D5513">
        <v>5.6476559999999996</v>
      </c>
      <c r="E5513">
        <v>0.6083809</v>
      </c>
      <c r="F5513" t="s">
        <v>43</v>
      </c>
      <c r="G5513">
        <v>-304.03059999999999</v>
      </c>
      <c r="H5513">
        <v>-0.05</v>
      </c>
      <c r="I5513">
        <v>6.0145869999999997</v>
      </c>
      <c r="J5513">
        <v>-309.60019999999997</v>
      </c>
      <c r="K5513">
        <v>1.0616410000000001</v>
      </c>
      <c r="L5513">
        <v>14.59784</v>
      </c>
      <c r="M5513">
        <v>0.92104359999999996</v>
      </c>
      <c r="N5513">
        <v>-1.266603E-2</v>
      </c>
      <c r="O5513">
        <v>-0.38925379999999998</v>
      </c>
      <c r="P5513">
        <v>0.73491809999999902</v>
      </c>
      <c r="Q5513">
        <v>0.17606050000000001</v>
      </c>
      <c r="R5513">
        <v>-0.65490369999999998</v>
      </c>
      <c r="S5513">
        <v>1.782715</v>
      </c>
      <c r="T5513">
        <v>-0.34448440000000002</v>
      </c>
      <c r="U5513">
        <v>-2.6855470000000001</v>
      </c>
      <c r="V5513">
        <v>0.32138939999999999</v>
      </c>
      <c r="W5513">
        <v>0.1805012</v>
      </c>
      <c r="X5513">
        <v>0.92958490000000005</v>
      </c>
      <c r="Y5513">
        <v>0.55048999999999904</v>
      </c>
      <c r="Z5513">
        <v>3.6052969999999999E-3</v>
      </c>
      <c r="AA5513">
        <v>0.83483399999999996</v>
      </c>
      <c r="AB5513">
        <v>30</v>
      </c>
      <c r="AC5513">
        <v>5.5695999999999799</v>
      </c>
      <c r="AD5513">
        <v>-1.1116409999999901</v>
      </c>
      <c r="AE5513">
        <v>-8.5832529999999991</v>
      </c>
      <c r="AF5513">
        <v>5.67108287897865</v>
      </c>
      <c r="AG5513">
        <v>-1.1116409999999901</v>
      </c>
      <c r="AH5513">
        <v>8.3727584280893907</v>
      </c>
      <c r="AI5513">
        <v>96.273140510726193</v>
      </c>
      <c r="AJ5513">
        <v>55.889212786153202</v>
      </c>
      <c r="AK5513">
        <v>10.1734954872092</v>
      </c>
      <c r="AL5513">
        <v>79.601044917188801</v>
      </c>
      <c r="AM5513">
        <v>70.927976042199205</v>
      </c>
      <c r="AN5513">
        <v>0.99999995797090402</v>
      </c>
    </row>
    <row r="5514" spans="1:40" x14ac:dyDescent="0.25">
      <c r="A5514" t="str">
        <f>"20190303162411354"</f>
        <v>20190303162411354</v>
      </c>
      <c r="B5514" t="str">
        <f>"1551601451340387"</f>
        <v>1551601451340387</v>
      </c>
      <c r="C5514" t="s">
        <v>40</v>
      </c>
      <c r="D5514">
        <v>5.6382810000000001</v>
      </c>
      <c r="E5514">
        <v>0.6083385</v>
      </c>
      <c r="F5514" t="s">
        <v>43</v>
      </c>
      <c r="G5514">
        <v>-303.9837</v>
      </c>
      <c r="H5514">
        <v>-0.05</v>
      </c>
      <c r="I5514">
        <v>5.9571529999999999</v>
      </c>
      <c r="J5514">
        <v>-309.35750000000002</v>
      </c>
      <c r="K5514">
        <v>1.061439</v>
      </c>
      <c r="L5514">
        <v>14.484310000000001</v>
      </c>
      <c r="M5514">
        <v>0.91694180000000003</v>
      </c>
      <c r="N5514">
        <v>-1.260385E-2</v>
      </c>
      <c r="O5514">
        <v>-0.39882190000000001</v>
      </c>
      <c r="P5514">
        <v>0.72533289999999995</v>
      </c>
      <c r="Q5514">
        <v>0.1752727</v>
      </c>
      <c r="R5514">
        <v>-0.66571169999999902</v>
      </c>
      <c r="S5514">
        <v>1.7568360000000001</v>
      </c>
      <c r="T5514">
        <v>-0.34772259999999999</v>
      </c>
      <c r="U5514">
        <v>-2.70282</v>
      </c>
      <c r="V5514">
        <v>0.32542690000000002</v>
      </c>
      <c r="W5514">
        <v>0.1794702</v>
      </c>
      <c r="X5514">
        <v>0.92837910000000001</v>
      </c>
      <c r="Y5514">
        <v>0.54988239999999999</v>
      </c>
      <c r="Z5514">
        <v>4.8589039999999998E-3</v>
      </c>
      <c r="AA5514">
        <v>0.83522799999999997</v>
      </c>
      <c r="AB5514">
        <v>30</v>
      </c>
      <c r="AC5514">
        <v>5.3738000000000099</v>
      </c>
      <c r="AD5514">
        <v>-1.1114389999999901</v>
      </c>
      <c r="AE5514">
        <v>-8.5271570000000008</v>
      </c>
      <c r="AF5514">
        <v>5.60797751245945</v>
      </c>
      <c r="AG5514">
        <v>-1.1114389999999901</v>
      </c>
      <c r="AH5514">
        <v>8.2288802644447792</v>
      </c>
      <c r="AI5514">
        <v>96.368509658012002</v>
      </c>
      <c r="AJ5514">
        <v>55.7255907913028</v>
      </c>
      <c r="AK5514">
        <v>10.0199390635642</v>
      </c>
      <c r="AL5514">
        <v>79.661097877288896</v>
      </c>
      <c r="AM5514">
        <v>70.682785964203305</v>
      </c>
      <c r="AN5514">
        <v>0.99999998662422995</v>
      </c>
    </row>
    <row r="5515" spans="1:40" x14ac:dyDescent="0.25">
      <c r="A5515" t="str">
        <f>"20190303162411369"</f>
        <v>20190303162411369</v>
      </c>
      <c r="B5515" t="str">
        <f>"1551601451360883"</f>
        <v>1551601451360883</v>
      </c>
      <c r="C5515" t="s">
        <v>40</v>
      </c>
      <c r="D5515">
        <v>5.6754619999999996</v>
      </c>
      <c r="E5515">
        <v>0.60813479999999998</v>
      </c>
      <c r="F5515" t="s">
        <v>43</v>
      </c>
      <c r="G5515">
        <v>-303.90289999999999</v>
      </c>
      <c r="H5515">
        <v>-0.05</v>
      </c>
      <c r="I5515">
        <v>5.8089750000000002</v>
      </c>
      <c r="J5515">
        <v>-309.17169999999999</v>
      </c>
      <c r="K5515">
        <v>1.061294</v>
      </c>
      <c r="L5515">
        <v>14.395390000000001</v>
      </c>
      <c r="M5515">
        <v>0.91369789999999995</v>
      </c>
      <c r="N5515">
        <v>-1.256174E-2</v>
      </c>
      <c r="O5515">
        <v>-0.40620030000000001</v>
      </c>
      <c r="P5515">
        <v>0.71850630000000004</v>
      </c>
      <c r="Q5515">
        <v>0.1753807</v>
      </c>
      <c r="R5515">
        <v>-0.67304569999999997</v>
      </c>
      <c r="S5515">
        <v>1.71585099999999</v>
      </c>
      <c r="T5515">
        <v>-0.34962589999999999</v>
      </c>
      <c r="U5515">
        <v>-2.7290040000000002</v>
      </c>
      <c r="V5515">
        <v>0.32742259999999901</v>
      </c>
      <c r="W5515">
        <v>0.17942610000000001</v>
      </c>
      <c r="X5515">
        <v>0.92768569999999995</v>
      </c>
      <c r="Y5515">
        <v>0.55571969999999904</v>
      </c>
      <c r="Z5515">
        <v>5.3614099999999996E-3</v>
      </c>
      <c r="AA5515">
        <v>0.83135249999999905</v>
      </c>
      <c r="AB5515">
        <v>30</v>
      </c>
      <c r="AC5515">
        <v>5.2687999999999899</v>
      </c>
      <c r="AD5515">
        <v>-1.111294</v>
      </c>
      <c r="AE5515">
        <v>-8.5864149999999899</v>
      </c>
      <c r="AF5515">
        <v>5.6370541480605798</v>
      </c>
      <c r="AG5515">
        <v>-1.111294</v>
      </c>
      <c r="AH5515">
        <v>8.2027319732160393</v>
      </c>
      <c r="AI5515">
        <v>96.3709581607106</v>
      </c>
      <c r="AJ5515">
        <v>55.502501842333899</v>
      </c>
      <c r="AK5515">
        <v>10.014797334296</v>
      </c>
      <c r="AL5515">
        <v>79.663666674497605</v>
      </c>
      <c r="AM5515">
        <v>70.559739027982005</v>
      </c>
      <c r="AN5515">
        <v>1.0000000211682201</v>
      </c>
    </row>
    <row r="5516" spans="1:40" x14ac:dyDescent="0.25">
      <c r="A5516" t="str">
        <f>"20190303162411382"</f>
        <v>20190303162411382</v>
      </c>
      <c r="B5516" t="str">
        <f>"1551601451370643"</f>
        <v>1551601451370643</v>
      </c>
      <c r="C5516" t="s">
        <v>40</v>
      </c>
      <c r="D5516">
        <v>5.688104</v>
      </c>
      <c r="E5516">
        <v>0.6080217</v>
      </c>
      <c r="F5516" t="s">
        <v>43</v>
      </c>
      <c r="G5516">
        <v>-303.8152</v>
      </c>
      <c r="H5516">
        <v>-0.05</v>
      </c>
      <c r="I5516">
        <v>5.6817320000000002</v>
      </c>
      <c r="J5516">
        <v>-308.99939999999998</v>
      </c>
      <c r="K5516">
        <v>1.061169</v>
      </c>
      <c r="L5516">
        <v>14.31146</v>
      </c>
      <c r="M5516">
        <v>0.91060940000000001</v>
      </c>
      <c r="N5516">
        <v>-1.252613E-2</v>
      </c>
      <c r="O5516">
        <v>-0.413078</v>
      </c>
      <c r="P5516">
        <v>0.71242539999999999</v>
      </c>
      <c r="Q5516">
        <v>0.17489379999999999</v>
      </c>
      <c r="R5516">
        <v>-0.6796044</v>
      </c>
      <c r="S5516">
        <v>1.6882630000000001</v>
      </c>
      <c r="T5516">
        <v>-0.3502538</v>
      </c>
      <c r="U5516">
        <v>-2.7463380000000002</v>
      </c>
      <c r="V5516">
        <v>0.3289028</v>
      </c>
      <c r="W5516">
        <v>0.17881340000000001</v>
      </c>
      <c r="X5516">
        <v>0.92728029999999995</v>
      </c>
      <c r="Y5516">
        <v>0.55786550000000001</v>
      </c>
      <c r="Z5516">
        <v>6.027106E-3</v>
      </c>
      <c r="AA5516">
        <v>0.82990949999999997</v>
      </c>
      <c r="AB5516">
        <v>30</v>
      </c>
      <c r="AC5516">
        <v>5.1841999999999704</v>
      </c>
      <c r="AD5516">
        <v>-1.1111690000000001</v>
      </c>
      <c r="AE5516">
        <v>-8.6297280000000001</v>
      </c>
      <c r="AF5516">
        <v>5.6484678054029498</v>
      </c>
      <c r="AG5516">
        <v>-1.1111690000000001</v>
      </c>
      <c r="AH5516">
        <v>8.1864496122417005</v>
      </c>
      <c r="AI5516">
        <v>96.374654107305503</v>
      </c>
      <c r="AJ5516">
        <v>55.395189426245601</v>
      </c>
      <c r="AK5516">
        <v>10.007889005629799</v>
      </c>
      <c r="AL5516">
        <v>79.699348857489198</v>
      </c>
      <c r="AM5516">
        <v>70.470597407523798</v>
      </c>
      <c r="AN5516">
        <v>1.0000000193177401</v>
      </c>
    </row>
    <row r="5517" spans="1:40" x14ac:dyDescent="0.25">
      <c r="A5517" t="str">
        <f>"20190303162411396"</f>
        <v>20190303162411396</v>
      </c>
      <c r="B5517" t="str">
        <f>"1551601451390163"</f>
        <v>1551601451390163</v>
      </c>
      <c r="C5517" t="s">
        <v>40</v>
      </c>
      <c r="D5517">
        <v>5.6989289999999997</v>
      </c>
      <c r="E5517">
        <v>0.60771070000000005</v>
      </c>
      <c r="F5517" t="s">
        <v>43</v>
      </c>
      <c r="G5517">
        <v>-303.74579999999997</v>
      </c>
      <c r="H5517">
        <v>-0.05</v>
      </c>
      <c r="I5517">
        <v>5.5869289999999996</v>
      </c>
      <c r="J5517">
        <v>-308.82139999999998</v>
      </c>
      <c r="K5517">
        <v>1.061053</v>
      </c>
      <c r="L5517">
        <v>14.22232</v>
      </c>
      <c r="M5517">
        <v>0.90732089999999999</v>
      </c>
      <c r="N5517">
        <v>-1.2495630000000001E-2</v>
      </c>
      <c r="O5517">
        <v>-0.42025289999999998</v>
      </c>
      <c r="P5517">
        <v>0.70527680000000004</v>
      </c>
      <c r="Q5517">
        <v>0.1743162</v>
      </c>
      <c r="R5517">
        <v>-0.68716719999999998</v>
      </c>
      <c r="S5517">
        <v>1.662933</v>
      </c>
      <c r="T5517">
        <v>-0.35172120000000001</v>
      </c>
      <c r="U5517">
        <v>-2.7615970000000001</v>
      </c>
      <c r="V5517">
        <v>0.33143719999999999</v>
      </c>
      <c r="W5517">
        <v>0.17808289999999999</v>
      </c>
      <c r="X5517">
        <v>0.92651810000000001</v>
      </c>
      <c r="Y5517">
        <v>0.55894270000000001</v>
      </c>
      <c r="Z5517">
        <v>6.8444719999999999E-3</v>
      </c>
      <c r="AA5517">
        <v>0.82917799999999997</v>
      </c>
      <c r="AB5517">
        <v>30</v>
      </c>
      <c r="AC5517">
        <v>5.0755999999999997</v>
      </c>
      <c r="AD5517">
        <v>-1.1110530000000001</v>
      </c>
      <c r="AE5517">
        <v>-8.6353910000000003</v>
      </c>
      <c r="AF5517">
        <v>5.6331725611341801</v>
      </c>
      <c r="AG5517">
        <v>-1.1110530000000001</v>
      </c>
      <c r="AH5517">
        <v>8.1348024156669698</v>
      </c>
      <c r="AI5517">
        <v>96.406691064148504</v>
      </c>
      <c r="AJ5517">
        <v>55.298246580828597</v>
      </c>
      <c r="AK5517">
        <v>9.9570117110639806</v>
      </c>
      <c r="AL5517">
        <v>79.741885596035601</v>
      </c>
      <c r="AM5517">
        <v>70.316681724651204</v>
      </c>
      <c r="AN5517">
        <v>0.99999996322192897</v>
      </c>
    </row>
    <row r="5518" spans="1:40" x14ac:dyDescent="0.25">
      <c r="A5518" t="str">
        <f>"20190303162411419"</f>
        <v>20190303162411419</v>
      </c>
      <c r="B5518" t="str">
        <f>"1551601451410660"</f>
        <v>1551601451410660</v>
      </c>
      <c r="C5518" t="s">
        <v>40</v>
      </c>
      <c r="D5518">
        <v>5.7322850000000001</v>
      </c>
      <c r="E5518">
        <v>0.6073923</v>
      </c>
      <c r="F5518" t="s">
        <v>43</v>
      </c>
      <c r="G5518">
        <v>-303.6961</v>
      </c>
      <c r="H5518">
        <v>-0.05</v>
      </c>
      <c r="I5518">
        <v>5.5048519999999996</v>
      </c>
      <c r="J5518">
        <v>-308.55360000000002</v>
      </c>
      <c r="K5518">
        <v>1.060883</v>
      </c>
      <c r="L5518">
        <v>14.085419999999999</v>
      </c>
      <c r="M5518">
        <v>0.90221070000000003</v>
      </c>
      <c r="N5518">
        <v>-1.2456149999999999E-2</v>
      </c>
      <c r="O5518">
        <v>-0.43111549999999998</v>
      </c>
      <c r="P5518">
        <v>0.69490850000000004</v>
      </c>
      <c r="Q5518">
        <v>0.17496979999999901</v>
      </c>
      <c r="R5518">
        <v>-0.69748659999999996</v>
      </c>
      <c r="S5518">
        <v>1.633759</v>
      </c>
      <c r="T5518">
        <v>-0.354162799999999</v>
      </c>
      <c r="U5518">
        <v>-2.7788089999999999</v>
      </c>
      <c r="V5518">
        <v>0.33410620000000002</v>
      </c>
      <c r="W5518">
        <v>0.17853520000000001</v>
      </c>
      <c r="X5518">
        <v>0.92547190000000001</v>
      </c>
      <c r="Y5518">
        <v>0.55774219999999997</v>
      </c>
      <c r="Z5518">
        <v>8.3123740000000008E-3</v>
      </c>
      <c r="AA5518">
        <v>0.82997259999999995</v>
      </c>
      <c r="AB5518">
        <v>30</v>
      </c>
      <c r="AC5518">
        <v>4.8575000000000097</v>
      </c>
      <c r="AD5518">
        <v>-1.1108830000000001</v>
      </c>
      <c r="AE5518">
        <v>-8.5805679999999995</v>
      </c>
      <c r="AF5518">
        <v>5.5769848861618998</v>
      </c>
      <c r="AG5518">
        <v>-1.1108830000000001</v>
      </c>
      <c r="AH5518">
        <v>7.9810263108953201</v>
      </c>
      <c r="AI5518">
        <v>96.508994324465405</v>
      </c>
      <c r="AJ5518">
        <v>55.054904000200303</v>
      </c>
      <c r="AK5518">
        <v>9.79967358820541</v>
      </c>
      <c r="AL5518">
        <v>79.715549076931893</v>
      </c>
      <c r="AM5518">
        <v>70.149823684697097</v>
      </c>
      <c r="AN5518">
        <v>1.00000000410354</v>
      </c>
    </row>
    <row r="5519" spans="1:40" x14ac:dyDescent="0.25">
      <c r="A5519" t="str">
        <f>"20190303162411432"</f>
        <v>20190303162411432</v>
      </c>
      <c r="B5519" t="str">
        <f>"1551601451420419"</f>
        <v>1551601451420419</v>
      </c>
      <c r="C5519" t="s">
        <v>40</v>
      </c>
      <c r="D5519">
        <v>5.7239740000000001</v>
      </c>
      <c r="E5519">
        <v>0.60721309999999995</v>
      </c>
      <c r="F5519" t="s">
        <v>43</v>
      </c>
      <c r="G5519">
        <v>-303.54469999999998</v>
      </c>
      <c r="H5519">
        <v>-0.05</v>
      </c>
      <c r="I5519">
        <v>5.279388</v>
      </c>
      <c r="J5519">
        <v>-308.39870000000002</v>
      </c>
      <c r="K5519">
        <v>1.0607869999999999</v>
      </c>
      <c r="L5519">
        <v>14.00409</v>
      </c>
      <c r="M5519">
        <v>0.8991498</v>
      </c>
      <c r="N5519">
        <v>-1.2438279999999999E-2</v>
      </c>
      <c r="O5519">
        <v>-0.43746439999999998</v>
      </c>
      <c r="P5519">
        <v>0.68890719999999905</v>
      </c>
      <c r="Q5519">
        <v>0.17588489999999901</v>
      </c>
      <c r="R5519">
        <v>-0.70318669999999905</v>
      </c>
      <c r="S5519">
        <v>1.5937809999999999</v>
      </c>
      <c r="T5519">
        <v>-0.3534658</v>
      </c>
      <c r="U5519">
        <v>-2.8019409999999998</v>
      </c>
      <c r="V5519">
        <v>0.3353602</v>
      </c>
      <c r="W5519">
        <v>0.1793421</v>
      </c>
      <c r="X5519">
        <v>0.92486210000000002</v>
      </c>
      <c r="Y5519">
        <v>0.56376250000000006</v>
      </c>
      <c r="Z5519">
        <v>8.5848419999999901E-3</v>
      </c>
      <c r="AA5519">
        <v>0.82589230000000002</v>
      </c>
      <c r="AB5519">
        <v>30</v>
      </c>
      <c r="AC5519">
        <v>4.8540000000000401</v>
      </c>
      <c r="AD5519">
        <v>-1.110787</v>
      </c>
      <c r="AE5519">
        <v>-8.7247020000000006</v>
      </c>
      <c r="AF5519">
        <v>5.65184616552847</v>
      </c>
      <c r="AG5519">
        <v>-1.110787</v>
      </c>
      <c r="AH5519">
        <v>8.0818161935379997</v>
      </c>
      <c r="AI5519">
        <v>96.426311322617707</v>
      </c>
      <c r="AJ5519">
        <v>55.033801077257301</v>
      </c>
      <c r="AK5519">
        <v>9.9243622376604606</v>
      </c>
      <c r="AL5519">
        <v>79.668558427921198</v>
      </c>
      <c r="AM5519">
        <v>70.069070534784103</v>
      </c>
      <c r="AN5519">
        <v>0.99999997829642895</v>
      </c>
    </row>
    <row r="5520" spans="1:40" x14ac:dyDescent="0.25">
      <c r="A5520" t="str">
        <f>"20190303162411443"</f>
        <v>20190303162411443</v>
      </c>
      <c r="B5520" t="str">
        <f>"1551601451440915"</f>
        <v>1551601451440915</v>
      </c>
      <c r="C5520" t="s">
        <v>40</v>
      </c>
      <c r="D5520">
        <v>5.7413369999999997</v>
      </c>
      <c r="E5520">
        <v>0.60682780000000003</v>
      </c>
      <c r="F5520" t="s">
        <v>43</v>
      </c>
      <c r="G5520">
        <v>-303.43259999999998</v>
      </c>
      <c r="H5520">
        <v>-0.05</v>
      </c>
      <c r="I5520">
        <v>5.1119079999999997</v>
      </c>
      <c r="J5520">
        <v>-308.24709999999999</v>
      </c>
      <c r="K5520">
        <v>1.0606930000000001</v>
      </c>
      <c r="L5520">
        <v>13.92361</v>
      </c>
      <c r="M5520">
        <v>0.89609249999999996</v>
      </c>
      <c r="N5520">
        <v>-1.2422310000000001E-2</v>
      </c>
      <c r="O5520">
        <v>-0.44369370000000002</v>
      </c>
      <c r="P5520">
        <v>0.68278779999999994</v>
      </c>
      <c r="Q5520">
        <v>0.1764116</v>
      </c>
      <c r="R5520">
        <v>-0.70899959999999995</v>
      </c>
      <c r="S5520">
        <v>1.571777</v>
      </c>
      <c r="T5520">
        <v>-0.35156579999999998</v>
      </c>
      <c r="U5520">
        <v>-2.8143919999999998</v>
      </c>
      <c r="V5520">
        <v>0.33688400000000002</v>
      </c>
      <c r="W5520">
        <v>0.1797559</v>
      </c>
      <c r="X5520">
        <v>0.92422780000000004</v>
      </c>
      <c r="Y5520">
        <v>0.56454320000000002</v>
      </c>
      <c r="Z5520">
        <v>9.1607830000000005E-3</v>
      </c>
      <c r="AA5520">
        <v>0.82535270000000005</v>
      </c>
      <c r="AB5520">
        <v>30</v>
      </c>
      <c r="AC5520">
        <v>4.8144999999999998</v>
      </c>
      <c r="AD5520">
        <v>-1.1106929999999999</v>
      </c>
      <c r="AE5520">
        <v>-8.8117020000000004</v>
      </c>
      <c r="AF5520">
        <v>5.6907521532410303</v>
      </c>
      <c r="AG5520">
        <v>-1.1106929999999999</v>
      </c>
      <c r="AH5520">
        <v>8.1251534749316097</v>
      </c>
      <c r="AI5520">
        <v>96.388632505681002</v>
      </c>
      <c r="AJ5520">
        <v>54.993099630756703</v>
      </c>
      <c r="AK5520">
        <v>9.9818043459616899</v>
      </c>
      <c r="AL5520">
        <v>79.644458207812804</v>
      </c>
      <c r="AM5520">
        <v>69.973039533858596</v>
      </c>
      <c r="AN5520">
        <v>1.00000001966682</v>
      </c>
    </row>
    <row r="5521" spans="1:40" x14ac:dyDescent="0.25">
      <c r="A5521" t="str">
        <f>"20190303162411455"</f>
        <v>20190303162411455</v>
      </c>
      <c r="B5521" t="str">
        <f>"1551601451450674"</f>
        <v>1551601451450674</v>
      </c>
      <c r="C5521" t="s">
        <v>40</v>
      </c>
      <c r="D5521">
        <v>5.7394869999999996</v>
      </c>
      <c r="E5521">
        <v>0.60662380000000005</v>
      </c>
      <c r="F5521" t="s">
        <v>43</v>
      </c>
      <c r="G5521">
        <v>-303.35520000000002</v>
      </c>
      <c r="H5521">
        <v>-0.05</v>
      </c>
      <c r="I5521">
        <v>5.003876</v>
      </c>
      <c r="J5521">
        <v>-308.10210000000001</v>
      </c>
      <c r="K5521">
        <v>1.060602</v>
      </c>
      <c r="L5521">
        <v>13.844670000000001</v>
      </c>
      <c r="M5521">
        <v>0.89308410000000005</v>
      </c>
      <c r="N5521">
        <v>-1.241127E-2</v>
      </c>
      <c r="O5521">
        <v>-0.44971840000000002</v>
      </c>
      <c r="P5521">
        <v>0.67711199999999905</v>
      </c>
      <c r="Q5521">
        <v>0.17688180000000001</v>
      </c>
      <c r="R5521">
        <v>-0.71430579999999999</v>
      </c>
      <c r="S5521">
        <v>1.5499879999999999</v>
      </c>
      <c r="T5521">
        <v>-0.35192119999999999</v>
      </c>
      <c r="U5521">
        <v>-2.8262019999999999</v>
      </c>
      <c r="V5521">
        <v>0.33796920000000003</v>
      </c>
      <c r="W5521">
        <v>0.18012879999999901</v>
      </c>
      <c r="X5521">
        <v>0.92375890000000005</v>
      </c>
      <c r="Y5521">
        <v>0.56534890000000004</v>
      </c>
      <c r="Z5521">
        <v>9.8241439999999999E-3</v>
      </c>
      <c r="AA5521">
        <v>0.82479340000000001</v>
      </c>
      <c r="AB5521">
        <v>30</v>
      </c>
      <c r="AC5521">
        <v>4.7468999999999797</v>
      </c>
      <c r="AD5521">
        <v>-1.1106020000000001</v>
      </c>
      <c r="AE5521">
        <v>-8.8407940000000007</v>
      </c>
      <c r="AF5521">
        <v>5.6915298628261102</v>
      </c>
      <c r="AG5521">
        <v>-1.1106020000000001</v>
      </c>
      <c r="AH5521">
        <v>8.1164592185608395</v>
      </c>
      <c r="AI5521">
        <v>96.392378324598198</v>
      </c>
      <c r="AJ5521">
        <v>54.9605901824306</v>
      </c>
      <c r="AK5521">
        <v>9.9751621153947507</v>
      </c>
      <c r="AL5521">
        <v>79.622738238900197</v>
      </c>
      <c r="AM5521">
        <v>69.904296898608095</v>
      </c>
      <c r="AN5521">
        <v>1.00000003503364</v>
      </c>
    </row>
    <row r="5522" spans="1:40" x14ac:dyDescent="0.25">
      <c r="A5522" t="str">
        <f>"20190303162411468"</f>
        <v>20190303162411468</v>
      </c>
      <c r="B5522" t="str">
        <f>"1551601451460435"</f>
        <v>1551601451460435</v>
      </c>
      <c r="C5522" t="s">
        <v>40</v>
      </c>
      <c r="D5522">
        <v>5.7845339999999998</v>
      </c>
      <c r="E5522">
        <v>0.60648959999999996</v>
      </c>
      <c r="F5522" t="s">
        <v>43</v>
      </c>
      <c r="G5522">
        <v>-303.26850000000002</v>
      </c>
      <c r="H5522">
        <v>-0.05</v>
      </c>
      <c r="I5522">
        <v>4.8739619999999997</v>
      </c>
      <c r="J5522">
        <v>-307.96129999999999</v>
      </c>
      <c r="K5522">
        <v>1.0605150000000001</v>
      </c>
      <c r="L5522">
        <v>13.7671799999999</v>
      </c>
      <c r="M5522">
        <v>0.89010579999999995</v>
      </c>
      <c r="N5522">
        <v>-1.240176E-2</v>
      </c>
      <c r="O5522">
        <v>-0.45558520000000002</v>
      </c>
      <c r="P5522">
        <v>0.67111189999999998</v>
      </c>
      <c r="Q5522">
        <v>0.17683579999999999</v>
      </c>
      <c r="R5522">
        <v>-0.71995710000000002</v>
      </c>
      <c r="S5522">
        <v>1.528931</v>
      </c>
      <c r="T5522">
        <v>-0.35130240000000001</v>
      </c>
      <c r="U5522">
        <v>-2.8375849999999998</v>
      </c>
      <c r="V5522">
        <v>0.33966010000000002</v>
      </c>
      <c r="W5522">
        <v>0.17997170000000001</v>
      </c>
      <c r="X5522">
        <v>0.92316909999999996</v>
      </c>
      <c r="Y5522">
        <v>0.56607089999999904</v>
      </c>
      <c r="Z5522">
        <v>1.0423190000000001E-2</v>
      </c>
      <c r="AA5522">
        <v>0.82429059999999899</v>
      </c>
      <c r="AB5522">
        <v>30</v>
      </c>
      <c r="AC5522">
        <v>4.6927999999999699</v>
      </c>
      <c r="AD5522">
        <v>-1.1105149999999999</v>
      </c>
      <c r="AE5522">
        <v>-8.8932179999999903</v>
      </c>
      <c r="AF5522">
        <v>5.7087503080324096</v>
      </c>
      <c r="AG5522">
        <v>-1.1105149999999999</v>
      </c>
      <c r="AH5522">
        <v>8.1301773193990297</v>
      </c>
      <c r="AI5522">
        <v>96.378404408962993</v>
      </c>
      <c r="AJ5522">
        <v>54.924697592052198</v>
      </c>
      <c r="AK5522">
        <v>9.9961421003082709</v>
      </c>
      <c r="AL5522">
        <v>79.631888498275003</v>
      </c>
      <c r="AM5522">
        <v>69.799999629624907</v>
      </c>
      <c r="AN5522">
        <v>0.99999999176385401</v>
      </c>
    </row>
    <row r="5523" spans="1:40" x14ac:dyDescent="0.25">
      <c r="A5523" t="str">
        <f>"20190303162411479"</f>
        <v>20190303162411479</v>
      </c>
      <c r="B5523" t="str">
        <f>"1551601451470195"</f>
        <v>1551601451470195</v>
      </c>
      <c r="C5523" t="s">
        <v>40</v>
      </c>
      <c r="D5523">
        <v>5.7834190000000003</v>
      </c>
      <c r="E5523">
        <v>0.60647830000000003</v>
      </c>
      <c r="F5523" t="s">
        <v>43</v>
      </c>
      <c r="G5523">
        <v>-303.21269999999998</v>
      </c>
      <c r="H5523">
        <v>-0.05</v>
      </c>
      <c r="I5523">
        <v>4.7825620000000004</v>
      </c>
      <c r="J5523">
        <v>-307.81029999999998</v>
      </c>
      <c r="K5523">
        <v>1.060422</v>
      </c>
      <c r="L5523">
        <v>13.682740000000001</v>
      </c>
      <c r="M5523">
        <v>0.8868395</v>
      </c>
      <c r="N5523">
        <v>-1.239373E-2</v>
      </c>
      <c r="O5523">
        <v>-0.46191169999999998</v>
      </c>
      <c r="P5523">
        <v>0.66497700000000004</v>
      </c>
      <c r="Q5523">
        <v>0.17633360000000001</v>
      </c>
      <c r="R5523">
        <v>-0.72574989999999995</v>
      </c>
      <c r="S5523">
        <v>1.506073</v>
      </c>
      <c r="T5523">
        <v>-0.352213</v>
      </c>
      <c r="U5523">
        <v>-2.8495789999999999</v>
      </c>
      <c r="V5523">
        <v>0.34105180000000002</v>
      </c>
      <c r="W5523">
        <v>0.17936369999999999</v>
      </c>
      <c r="X5523">
        <v>0.92277430000000005</v>
      </c>
      <c r="Y5523">
        <v>0.56681890000000001</v>
      </c>
      <c r="Z5523">
        <v>1.1160689999999999E-2</v>
      </c>
      <c r="AA5523">
        <v>0.82376680000000002</v>
      </c>
      <c r="AB5523">
        <v>30</v>
      </c>
      <c r="AC5523">
        <v>4.5975999999999999</v>
      </c>
      <c r="AD5523">
        <v>-1.110422</v>
      </c>
      <c r="AE5523">
        <v>-8.9001779999999897</v>
      </c>
      <c r="AF5523">
        <v>5.6997522275069796</v>
      </c>
      <c r="AG5523">
        <v>-1.110422</v>
      </c>
      <c r="AH5523">
        <v>8.08965779034882</v>
      </c>
      <c r="AI5523">
        <v>96.402366359197998</v>
      </c>
      <c r="AJ5523">
        <v>54.832519835176697</v>
      </c>
      <c r="AK5523">
        <v>9.9580507951107702</v>
      </c>
      <c r="AL5523">
        <v>79.6673010637018</v>
      </c>
      <c r="AM5523">
        <v>69.715992409884805</v>
      </c>
      <c r="AN5523">
        <v>1.0000000379506999</v>
      </c>
    </row>
    <row r="5524" spans="1:40" x14ac:dyDescent="0.25">
      <c r="A5524" t="str">
        <f>"20190303162411493"</f>
        <v>20190303162411493</v>
      </c>
      <c r="B5524" t="str">
        <f>"1551601451490693"</f>
        <v>1551601451490693</v>
      </c>
      <c r="C5524" t="s">
        <v>40</v>
      </c>
      <c r="D5524">
        <v>5.7300120000000003</v>
      </c>
      <c r="E5524">
        <v>0.60650609999999905</v>
      </c>
      <c r="F5524" t="s">
        <v>43</v>
      </c>
      <c r="G5524">
        <v>-303.17250000000001</v>
      </c>
      <c r="H5524">
        <v>-0.05</v>
      </c>
      <c r="I5524">
        <v>4.7265779999999999</v>
      </c>
      <c r="J5524">
        <v>-307.64839999999998</v>
      </c>
      <c r="K5524">
        <v>1.0603209999999901</v>
      </c>
      <c r="L5524">
        <v>13.590120000000001</v>
      </c>
      <c r="M5524">
        <v>0.88323439999999998</v>
      </c>
      <c r="N5524">
        <v>-1.2388130000000001E-2</v>
      </c>
      <c r="O5524">
        <v>-0.46876820000000002</v>
      </c>
      <c r="P5524">
        <v>0.65866610000000003</v>
      </c>
      <c r="Q5524">
        <v>0.17565739999999999</v>
      </c>
      <c r="R5524">
        <v>-0.73164419999999897</v>
      </c>
      <c r="S5524">
        <v>1.4820249999999999</v>
      </c>
      <c r="T5524">
        <v>-0.35483490000000001</v>
      </c>
      <c r="U5524">
        <v>-2.8619379999999999</v>
      </c>
      <c r="V5524">
        <v>0.34205740000000001</v>
      </c>
      <c r="W5524">
        <v>0.17858969999999999</v>
      </c>
      <c r="X5524">
        <v>0.92255209999999999</v>
      </c>
      <c r="Y5524">
        <v>0.567357</v>
      </c>
      <c r="Z5524">
        <v>1.208209E-2</v>
      </c>
      <c r="AA5524">
        <v>0.82338330000000004</v>
      </c>
      <c r="AB5524">
        <v>30</v>
      </c>
      <c r="AC5524">
        <v>4.4758999999999602</v>
      </c>
      <c r="AD5524">
        <v>-1.1103209999999999</v>
      </c>
      <c r="AE5524">
        <v>-8.8635420000000007</v>
      </c>
      <c r="AF5524">
        <v>5.6600931542729196</v>
      </c>
      <c r="AG5524">
        <v>-1.1103209999999999</v>
      </c>
      <c r="AH5524">
        <v>8.0086991828757892</v>
      </c>
      <c r="AI5524">
        <v>96.459406330171504</v>
      </c>
      <c r="AJ5524">
        <v>54.749503024093897</v>
      </c>
      <c r="AK5524">
        <v>9.8695861027645808</v>
      </c>
      <c r="AL5524">
        <v>79.712375009534995</v>
      </c>
      <c r="AM5524">
        <v>69.656580133889506</v>
      </c>
      <c r="AN5524">
        <v>0.99999996152762904</v>
      </c>
    </row>
    <row r="5525" spans="1:40" x14ac:dyDescent="0.25">
      <c r="A5525" t="str">
        <f>"20190303162411508"</f>
        <v>20190303162411508</v>
      </c>
      <c r="B5525" t="str">
        <f>"1551601451500451"</f>
        <v>1551601451500451</v>
      </c>
      <c r="C5525" t="s">
        <v>40</v>
      </c>
      <c r="D5525">
        <v>5.7306339999999896</v>
      </c>
      <c r="E5525">
        <v>0.60651119999999903</v>
      </c>
      <c r="F5525" t="s">
        <v>43</v>
      </c>
      <c r="G5525">
        <v>-303.15609999999998</v>
      </c>
      <c r="H5525">
        <v>-0.05</v>
      </c>
      <c r="I5525">
        <v>4.7239839999999997</v>
      </c>
      <c r="J5525">
        <v>-307.47719999999998</v>
      </c>
      <c r="K5525">
        <v>1.0601989999999999</v>
      </c>
      <c r="L5525">
        <v>13.49072</v>
      </c>
      <c r="M5525">
        <v>0.87932909999999997</v>
      </c>
      <c r="N5525">
        <v>-1.2384030000000001E-2</v>
      </c>
      <c r="O5525">
        <v>-0.47605360000000002</v>
      </c>
      <c r="P5525">
        <v>0.65043809999999902</v>
      </c>
      <c r="Q5525">
        <v>0.1734522</v>
      </c>
      <c r="R5525">
        <v>-0.73948959999999997</v>
      </c>
      <c r="S5525">
        <v>1.4568479999999999</v>
      </c>
      <c r="T5525">
        <v>-0.36007519999999998</v>
      </c>
      <c r="U5525">
        <v>-2.8752749999999998</v>
      </c>
      <c r="V5525">
        <v>0.34519689999999997</v>
      </c>
      <c r="W5525">
        <v>0.17622260000000001</v>
      </c>
      <c r="X5525">
        <v>0.92183769999999998</v>
      </c>
      <c r="Y5525">
        <v>0.56782500000000002</v>
      </c>
      <c r="Z5525">
        <v>1.323246E-2</v>
      </c>
      <c r="AA5525">
        <v>0.82304290000000002</v>
      </c>
      <c r="AB5525">
        <v>30</v>
      </c>
      <c r="AC5525">
        <v>4.3211000000000004</v>
      </c>
      <c r="AD5525">
        <v>-1.1101989999999999</v>
      </c>
      <c r="AE5525">
        <v>-8.7667359999999999</v>
      </c>
      <c r="AF5525">
        <v>5.5802056822861603</v>
      </c>
      <c r="AG5525">
        <v>-1.1101989999999999</v>
      </c>
      <c r="AH5525">
        <v>7.8721462773151902</v>
      </c>
      <c r="AI5525">
        <v>96.563285723008804</v>
      </c>
      <c r="AJ5525">
        <v>54.668910418534701</v>
      </c>
      <c r="AK5525">
        <v>9.7129771073377498</v>
      </c>
      <c r="AL5525">
        <v>79.850186534078205</v>
      </c>
      <c r="AM5525">
        <v>69.470782032741198</v>
      </c>
      <c r="AN5525">
        <v>1.0000000248308201</v>
      </c>
    </row>
    <row r="5526" spans="1:40" x14ac:dyDescent="0.25">
      <c r="A5526" t="str">
        <f>"20190303162411531"</f>
        <v>20190303162411531</v>
      </c>
      <c r="B5526" t="str">
        <f>"1551601451520946"</f>
        <v>1551601451520946</v>
      </c>
      <c r="C5526" t="s">
        <v>40</v>
      </c>
      <c r="D5526">
        <v>5.7416689999999999</v>
      </c>
      <c r="E5526">
        <v>0.60643159999999996</v>
      </c>
      <c r="F5526" t="s">
        <v>43</v>
      </c>
      <c r="G5526">
        <v>-303.20190000000002</v>
      </c>
      <c r="H5526">
        <v>-0.05</v>
      </c>
      <c r="I5526">
        <v>4.815582</v>
      </c>
      <c r="J5526">
        <v>-307.19799999999998</v>
      </c>
      <c r="K5526">
        <v>1.060017</v>
      </c>
      <c r="L5526">
        <v>13.324070000000001</v>
      </c>
      <c r="M5526">
        <v>0.87270740000000002</v>
      </c>
      <c r="N5526">
        <v>-1.238389E-2</v>
      </c>
      <c r="O5526">
        <v>-0.48808629999999997</v>
      </c>
      <c r="P5526">
        <v>0.63711660000000003</v>
      </c>
      <c r="Q5526">
        <v>0.170533399999999</v>
      </c>
      <c r="R5526">
        <v>-0.75166540000000004</v>
      </c>
      <c r="S5526">
        <v>1.424561</v>
      </c>
      <c r="T5526">
        <v>-0.3699267</v>
      </c>
      <c r="U5526">
        <v>-2.890625</v>
      </c>
      <c r="V5526">
        <v>0.34958679999999998</v>
      </c>
      <c r="W5526">
        <v>0.17305860000000001</v>
      </c>
      <c r="X5526">
        <v>0.92078210000000005</v>
      </c>
      <c r="Y5526">
        <v>0.56565549999999998</v>
      </c>
      <c r="Z5526">
        <v>1.5498069999999999E-2</v>
      </c>
      <c r="AA5526">
        <v>0.82449599999999901</v>
      </c>
      <c r="AB5526">
        <v>30</v>
      </c>
      <c r="AC5526">
        <v>3.99609999999995</v>
      </c>
      <c r="AD5526">
        <v>-1.110017</v>
      </c>
      <c r="AE5526">
        <v>-8.5084879999999998</v>
      </c>
      <c r="AF5526">
        <v>5.4001000998238098</v>
      </c>
      <c r="AG5526">
        <v>-1.110017</v>
      </c>
      <c r="AH5526">
        <v>7.5358096896611801</v>
      </c>
      <c r="AI5526">
        <v>96.827599724862694</v>
      </c>
      <c r="AJ5526">
        <v>54.374923424286401</v>
      </c>
      <c r="AK5526">
        <v>9.3371112506597793</v>
      </c>
      <c r="AL5526">
        <v>80.034299042926804</v>
      </c>
      <c r="AM5526">
        <v>69.210088326177797</v>
      </c>
      <c r="AN5526">
        <v>0.99999994272430304</v>
      </c>
    </row>
    <row r="5527" spans="1:40" x14ac:dyDescent="0.25">
      <c r="A5527" t="str">
        <f>"20190303162411546"</f>
        <v>20190303162411546</v>
      </c>
      <c r="B5527" t="str">
        <f>"1551601451540467"</f>
        <v>1551601451540467</v>
      </c>
      <c r="C5527" t="s">
        <v>40</v>
      </c>
      <c r="D5527">
        <v>5.7516999999999996</v>
      </c>
      <c r="E5527">
        <v>0.6063326</v>
      </c>
      <c r="F5527" t="s">
        <v>43</v>
      </c>
      <c r="G5527">
        <v>-303.22449999999998</v>
      </c>
      <c r="H5527">
        <v>-0.05</v>
      </c>
      <c r="I5527">
        <v>4.8851319999999996</v>
      </c>
      <c r="J5527">
        <v>-307.0301</v>
      </c>
      <c r="K5527">
        <v>1.0599069999999999</v>
      </c>
      <c r="L5527">
        <v>13.22153</v>
      </c>
      <c r="M5527">
        <v>0.86858590000000002</v>
      </c>
      <c r="N5527">
        <v>-1.2386309999999999E-2</v>
      </c>
      <c r="O5527">
        <v>-0.49538379999999999</v>
      </c>
      <c r="P5527">
        <v>0.62888769999999905</v>
      </c>
      <c r="Q5527">
        <v>0.16935799999999901</v>
      </c>
      <c r="R5527">
        <v>-0.75882740000000004</v>
      </c>
      <c r="S5527">
        <v>1.3724369999999999</v>
      </c>
      <c r="T5527">
        <v>-0.38339810000000002</v>
      </c>
      <c r="U5527">
        <v>-2.9147949999999998</v>
      </c>
      <c r="V5527">
        <v>0.3521415</v>
      </c>
      <c r="W5527">
        <v>0.17173829999999901</v>
      </c>
      <c r="X5527">
        <v>0.92005559999999997</v>
      </c>
      <c r="Y5527">
        <v>0.57332169999999905</v>
      </c>
      <c r="Z5527">
        <v>1.6763139999999999E-2</v>
      </c>
      <c r="AA5527">
        <v>0.81915890000000002</v>
      </c>
      <c r="AB5527">
        <v>30</v>
      </c>
      <c r="AC5527">
        <v>3.8056000000000201</v>
      </c>
      <c r="AD5527">
        <v>-1.109907</v>
      </c>
      <c r="AE5527">
        <v>-8.3363979999999902</v>
      </c>
      <c r="AF5527">
        <v>5.2786227844307101</v>
      </c>
      <c r="AG5527">
        <v>-1.109907</v>
      </c>
      <c r="AH5527">
        <v>7.3282773480678198</v>
      </c>
      <c r="AI5527">
        <v>97.006134301649894</v>
      </c>
      <c r="AJ5527">
        <v>54.234461469260502</v>
      </c>
      <c r="AK5527">
        <v>9.0994176153841799</v>
      </c>
      <c r="AL5527">
        <v>80.111097043562495</v>
      </c>
      <c r="AM5527">
        <v>69.056184032199596</v>
      </c>
      <c r="AN5527">
        <v>0.99999999340025003</v>
      </c>
    </row>
    <row r="5528" spans="1:40" x14ac:dyDescent="0.25">
      <c r="A5528" t="str">
        <f>"20190303162411564"</f>
        <v>20190303162411564</v>
      </c>
      <c r="B5528" t="str">
        <f>"1551601451560962"</f>
        <v>1551601451560962</v>
      </c>
      <c r="C5528" t="s">
        <v>40</v>
      </c>
      <c r="D5528">
        <v>5.8073899999999998</v>
      </c>
      <c r="E5528">
        <v>0.60621819999999904</v>
      </c>
      <c r="F5528" t="s">
        <v>43</v>
      </c>
      <c r="G5528">
        <v>-303.214</v>
      </c>
      <c r="H5528">
        <v>-0.05</v>
      </c>
      <c r="I5528">
        <v>4.885345</v>
      </c>
      <c r="J5528">
        <v>-306.80700000000002</v>
      </c>
      <c r="K5528">
        <v>1.0597700000000001</v>
      </c>
      <c r="L5528">
        <v>13.081910000000001</v>
      </c>
      <c r="M5528">
        <v>0.86292309999999905</v>
      </c>
      <c r="N5528">
        <v>-1.2392769999999999E-2</v>
      </c>
      <c r="O5528">
        <v>-0.50518350000000001</v>
      </c>
      <c r="P5528">
        <v>0.616623699999999</v>
      </c>
      <c r="Q5528">
        <v>0.16785749999999999</v>
      </c>
      <c r="R5528">
        <v>-0.76915529999999999</v>
      </c>
      <c r="S5528">
        <v>1.3409420000000001</v>
      </c>
      <c r="T5528">
        <v>-0.3900073</v>
      </c>
      <c r="U5528">
        <v>-2.92923</v>
      </c>
      <c r="V5528">
        <v>0.3567961</v>
      </c>
      <c r="W5528">
        <v>0.1700065</v>
      </c>
      <c r="X5528">
        <v>0.91858280000000003</v>
      </c>
      <c r="Y5528">
        <v>0.57286919999999897</v>
      </c>
      <c r="Z5528">
        <v>1.8541330000000002E-2</v>
      </c>
      <c r="AA5528">
        <v>0.81943709999999903</v>
      </c>
      <c r="AB5528">
        <v>30</v>
      </c>
      <c r="AC5528">
        <v>3.5930000000000102</v>
      </c>
      <c r="AD5528">
        <v>-1.1097699999999999</v>
      </c>
      <c r="AE5528">
        <v>-8.1965649999999997</v>
      </c>
      <c r="AF5528">
        <v>5.1786523970330096</v>
      </c>
      <c r="AG5528">
        <v>-1.1097699999999999</v>
      </c>
      <c r="AH5528">
        <v>7.1321370278370502</v>
      </c>
      <c r="AI5528">
        <v>97.176378372534003</v>
      </c>
      <c r="AJ5528">
        <v>54.0165580375999</v>
      </c>
      <c r="AK5528">
        <v>8.8835470779435894</v>
      </c>
      <c r="AL5528">
        <v>80.211803155252298</v>
      </c>
      <c r="AM5528">
        <v>68.772825164123702</v>
      </c>
      <c r="AN5528">
        <v>1.00000001373665</v>
      </c>
    </row>
    <row r="5529" spans="1:40" x14ac:dyDescent="0.25">
      <c r="A5529" t="str">
        <f>"20190303162411577"</f>
        <v>20190303162411577</v>
      </c>
      <c r="B5529" t="str">
        <f>"1551601451570723"</f>
        <v>1551601451570723</v>
      </c>
      <c r="C5529" t="s">
        <v>40</v>
      </c>
      <c r="D5529">
        <v>5.7805739999999997</v>
      </c>
      <c r="E5529">
        <v>0.60617759999999998</v>
      </c>
      <c r="F5529" t="s">
        <v>43</v>
      </c>
      <c r="G5529">
        <v>-303.18579999999997</v>
      </c>
      <c r="H5529">
        <v>-0.05</v>
      </c>
      <c r="I5529">
        <v>4.8190309999999998</v>
      </c>
      <c r="J5529">
        <v>-306.65260000000001</v>
      </c>
      <c r="K5529">
        <v>1.059669</v>
      </c>
      <c r="L5529">
        <v>12.982939999999999</v>
      </c>
      <c r="M5529">
        <v>0.85887409999999997</v>
      </c>
      <c r="N5529">
        <v>-1.239938E-2</v>
      </c>
      <c r="O5529">
        <v>-0.51203659999999995</v>
      </c>
      <c r="P5529">
        <v>0.60921800000000004</v>
      </c>
      <c r="Q5529">
        <v>0.1673094</v>
      </c>
      <c r="R5529">
        <v>-0.77515259999999997</v>
      </c>
      <c r="S5529">
        <v>1.292969</v>
      </c>
      <c r="T5529">
        <v>-0.3962502</v>
      </c>
      <c r="U5529">
        <v>-2.9503170000000001</v>
      </c>
      <c r="V5529">
        <v>0.35841719999999999</v>
      </c>
      <c r="W5529">
        <v>0.16934769999999999</v>
      </c>
      <c r="X5529">
        <v>0.91807320000000003</v>
      </c>
      <c r="Y5529">
        <v>0.57960259999999997</v>
      </c>
      <c r="Z5529">
        <v>1.9388140000000002E-2</v>
      </c>
      <c r="AA5529">
        <v>0.81466859999999997</v>
      </c>
      <c r="AB5529">
        <v>30</v>
      </c>
      <c r="AC5529">
        <v>3.4668000000000299</v>
      </c>
      <c r="AD5529">
        <v>-1.109669</v>
      </c>
      <c r="AE5529">
        <v>-8.1639090000000003</v>
      </c>
      <c r="AF5529">
        <v>5.1563339094263503</v>
      </c>
      <c r="AG5529">
        <v>-1.109669</v>
      </c>
      <c r="AH5529">
        <v>7.0479955501590696</v>
      </c>
      <c r="AI5529">
        <v>97.241702513610306</v>
      </c>
      <c r="AJ5529">
        <v>53.810689774147001</v>
      </c>
      <c r="AK5529">
        <v>8.8030327700243802</v>
      </c>
      <c r="AL5529">
        <v>80.250104539333194</v>
      </c>
      <c r="AM5529">
        <v>68.674249387900701</v>
      </c>
      <c r="AN5529">
        <v>0.99999996665468405</v>
      </c>
    </row>
    <row r="5530" spans="1:40" x14ac:dyDescent="0.25">
      <c r="A5530" t="str">
        <f>"20190303162411598"</f>
        <v>20190303162411598</v>
      </c>
      <c r="B5530" t="str">
        <f>"1551601451590242"</f>
        <v>1551601451590242</v>
      </c>
      <c r="C5530" t="s">
        <v>40</v>
      </c>
      <c r="D5530">
        <v>5.8548770000000001</v>
      </c>
      <c r="E5530">
        <v>0.60605469999999995</v>
      </c>
      <c r="F5530" t="s">
        <v>43</v>
      </c>
      <c r="G5530">
        <v>-303.13459999999998</v>
      </c>
      <c r="H5530">
        <v>-0.05</v>
      </c>
      <c r="I5530">
        <v>4.7450869999999998</v>
      </c>
      <c r="J5530">
        <v>-306.42680000000001</v>
      </c>
      <c r="K5530">
        <v>1.0595330000000001</v>
      </c>
      <c r="L5530">
        <v>12.835140000000001</v>
      </c>
      <c r="M5530">
        <v>0.85276319999999906</v>
      </c>
      <c r="N5530">
        <v>-1.241131E-2</v>
      </c>
      <c r="O5530">
        <v>-0.52215029999999996</v>
      </c>
      <c r="P5530">
        <v>0.59759340000000005</v>
      </c>
      <c r="Q5530">
        <v>0.166777799999999</v>
      </c>
      <c r="R5530">
        <v>-0.78426240000000003</v>
      </c>
      <c r="S5530">
        <v>1.265015</v>
      </c>
      <c r="T5530">
        <v>-0.39900980000000003</v>
      </c>
      <c r="U5530">
        <v>-2.9621279999999999</v>
      </c>
      <c r="V5530">
        <v>0.36139100000000002</v>
      </c>
      <c r="W5530">
        <v>0.1686328</v>
      </c>
      <c r="X5530">
        <v>0.91703840000000003</v>
      </c>
      <c r="Y5530">
        <v>0.5776945</v>
      </c>
      <c r="Z5530">
        <v>2.1117899999999998E-2</v>
      </c>
      <c r="AA5530">
        <v>0.81597989999999998</v>
      </c>
      <c r="AB5530">
        <v>30</v>
      </c>
      <c r="AC5530">
        <v>3.29220000000003</v>
      </c>
      <c r="AD5530">
        <v>-1.1095330000000001</v>
      </c>
      <c r="AE5530">
        <v>-8.0900529999999993</v>
      </c>
      <c r="AF5530">
        <v>5.09800781596911</v>
      </c>
      <c r="AG5530">
        <v>-1.1095330000000001</v>
      </c>
      <c r="AH5530">
        <v>6.9205540504751699</v>
      </c>
      <c r="AI5530">
        <v>97.355183790392601</v>
      </c>
      <c r="AJ5530">
        <v>53.622880871192599</v>
      </c>
      <c r="AK5530">
        <v>8.6668803808128896</v>
      </c>
      <c r="AL5530">
        <v>80.291662852177296</v>
      </c>
      <c r="AM5530">
        <v>68.491348381186896</v>
      </c>
      <c r="AN5530">
        <v>0.99999995159569799</v>
      </c>
    </row>
    <row r="5531" spans="1:40" x14ac:dyDescent="0.25">
      <c r="A5531" t="str">
        <f>"20190303162411611"</f>
        <v>20190303162411611</v>
      </c>
      <c r="B5531" t="str">
        <f>"1551601451600980"</f>
        <v>1551601451600980</v>
      </c>
      <c r="C5531" t="s">
        <v>40</v>
      </c>
      <c r="D5531">
        <v>5.7827549999999999</v>
      </c>
      <c r="E5531">
        <v>0.60602939999999905</v>
      </c>
      <c r="F5531" t="s">
        <v>43</v>
      </c>
      <c r="G5531">
        <v>-303.05459999999999</v>
      </c>
      <c r="H5531">
        <v>-0.05</v>
      </c>
      <c r="I5531">
        <v>4.6031339999999998</v>
      </c>
      <c r="J5531">
        <v>-306.2704</v>
      </c>
      <c r="K5531">
        <v>1.059439</v>
      </c>
      <c r="L5531">
        <v>12.73044</v>
      </c>
      <c r="M5531">
        <v>0.84838910000000001</v>
      </c>
      <c r="N5531">
        <v>-1.2421949999999999E-2</v>
      </c>
      <c r="O5531">
        <v>-0.52922760000000002</v>
      </c>
      <c r="P5531">
        <v>0.58981289999999997</v>
      </c>
      <c r="Q5531">
        <v>0.16675279999999901</v>
      </c>
      <c r="R5531">
        <v>-0.79013559999999905</v>
      </c>
      <c r="S5531">
        <v>1.2208859999999999</v>
      </c>
      <c r="T5531">
        <v>-0.40170299999999998</v>
      </c>
      <c r="U5531">
        <v>-2.9803769999999998</v>
      </c>
      <c r="V5531">
        <v>0.36286570000000001</v>
      </c>
      <c r="W5531">
        <v>0.16849749999999999</v>
      </c>
      <c r="X5531">
        <v>0.91648079999999998</v>
      </c>
      <c r="Y5531">
        <v>0.58296879999999995</v>
      </c>
      <c r="Z5531">
        <v>2.18858E-2</v>
      </c>
      <c r="AA5531">
        <v>0.81219969999999997</v>
      </c>
      <c r="AB5531">
        <v>30</v>
      </c>
      <c r="AC5531">
        <v>3.2158000000000002</v>
      </c>
      <c r="AD5531">
        <v>-1.1094389999999901</v>
      </c>
      <c r="AE5531">
        <v>-8.1273059999999901</v>
      </c>
      <c r="AF5531">
        <v>5.11127582871333</v>
      </c>
      <c r="AG5531">
        <v>-1.1094389999999901</v>
      </c>
      <c r="AH5531">
        <v>6.9185159700598602</v>
      </c>
      <c r="AI5531">
        <v>97.349293550061404</v>
      </c>
      <c r="AJ5531">
        <v>53.543674273199599</v>
      </c>
      <c r="AK5531">
        <v>8.6730535983518298</v>
      </c>
      <c r="AL5531">
        <v>80.299527889401801</v>
      </c>
      <c r="AM5531">
        <v>68.399714547569005</v>
      </c>
      <c r="AN5531">
        <v>0.99999999025568997</v>
      </c>
    </row>
    <row r="5532" spans="1:40" x14ac:dyDescent="0.25">
      <c r="A5532" t="str">
        <f>"20190303162411624"</f>
        <v>20190303162411624</v>
      </c>
      <c r="B5532" t="str">
        <f>"1551601451620499"</f>
        <v>1551601451620499</v>
      </c>
      <c r="C5532" t="s">
        <v>40</v>
      </c>
      <c r="D5532">
        <v>5.8013139999999996</v>
      </c>
      <c r="E5532">
        <v>0.60589799999999905</v>
      </c>
      <c r="F5532" t="s">
        <v>43</v>
      </c>
      <c r="G5532">
        <v>-302.98239999999998</v>
      </c>
      <c r="H5532">
        <v>-0.05</v>
      </c>
      <c r="I5532">
        <v>4.4728389999999996</v>
      </c>
      <c r="J5532">
        <v>-306.12479999999999</v>
      </c>
      <c r="K5532">
        <v>1.05935</v>
      </c>
      <c r="L5532">
        <v>12.63162</v>
      </c>
      <c r="M5532">
        <v>0.84422249999999999</v>
      </c>
      <c r="N5532">
        <v>-1.243265E-2</v>
      </c>
      <c r="O5532">
        <v>-0.53584880000000001</v>
      </c>
      <c r="P5532">
        <v>0.58236149999999998</v>
      </c>
      <c r="Q5532">
        <v>0.166878</v>
      </c>
      <c r="R5532">
        <v>-0.79561729999999997</v>
      </c>
      <c r="S5532">
        <v>1.1914670000000001</v>
      </c>
      <c r="T5532">
        <v>-0.4020241</v>
      </c>
      <c r="U5532">
        <v>-2.9922789999999999</v>
      </c>
      <c r="V5532">
        <v>0.36432560000000003</v>
      </c>
      <c r="W5532">
        <v>0.16851389999999999</v>
      </c>
      <c r="X5532">
        <v>0.9158984</v>
      </c>
      <c r="Y5532">
        <v>0.58463199999999904</v>
      </c>
      <c r="Z5532">
        <v>2.2695179999999999E-2</v>
      </c>
      <c r="AA5532">
        <v>0.81098119999999996</v>
      </c>
      <c r="AB5532">
        <v>30</v>
      </c>
      <c r="AC5532">
        <v>3.1423999999999999</v>
      </c>
      <c r="AD5532">
        <v>-1.1093500000000001</v>
      </c>
      <c r="AE5532">
        <v>-8.1587809999999994</v>
      </c>
      <c r="AF5532">
        <v>5.1219164471875898</v>
      </c>
      <c r="AG5532">
        <v>-1.1093500000000001</v>
      </c>
      <c r="AH5532">
        <v>6.91398804329872</v>
      </c>
      <c r="AI5532">
        <v>97.346439594442401</v>
      </c>
      <c r="AJ5532">
        <v>53.4687698518415</v>
      </c>
      <c r="AK5532">
        <v>8.6757083962837491</v>
      </c>
      <c r="AL5532">
        <v>80.298574489386596</v>
      </c>
      <c r="AM5532">
        <v>68.308351797025693</v>
      </c>
      <c r="AN5532">
        <v>0.99999997821556397</v>
      </c>
    </row>
    <row r="5533" spans="1:40" x14ac:dyDescent="0.25">
      <c r="A5533" t="str">
        <f>"20190303162411636"</f>
        <v>20190303162411636</v>
      </c>
      <c r="B5533" t="str">
        <f>"1551601451630259"</f>
        <v>1551601451630259</v>
      </c>
      <c r="C5533" t="s">
        <v>40</v>
      </c>
      <c r="D5533">
        <v>5.7942080000000002</v>
      </c>
      <c r="E5533">
        <v>0.60580909999999999</v>
      </c>
      <c r="F5533" t="s">
        <v>43</v>
      </c>
      <c r="G5533">
        <v>-302.91669999999999</v>
      </c>
      <c r="H5533">
        <v>-0.05</v>
      </c>
      <c r="I5533">
        <v>4.3564610000000004</v>
      </c>
      <c r="J5533">
        <v>-305.97680000000003</v>
      </c>
      <c r="K5533">
        <v>1.0592520000000001</v>
      </c>
      <c r="L5533">
        <v>12.52866</v>
      </c>
      <c r="M5533">
        <v>0.83984749999999997</v>
      </c>
      <c r="N5533">
        <v>-1.2447359999999999E-2</v>
      </c>
      <c r="O5533">
        <v>-0.54267989999999999</v>
      </c>
      <c r="P5533">
        <v>0.57441909999999996</v>
      </c>
      <c r="Q5533">
        <v>0.167325799999999</v>
      </c>
      <c r="R5533">
        <v>-0.80127729999999997</v>
      </c>
      <c r="S5533">
        <v>1.164185</v>
      </c>
      <c r="T5533">
        <v>-0.4025705</v>
      </c>
      <c r="U5533">
        <v>-3.0029599999999999</v>
      </c>
      <c r="V5533">
        <v>0.365979</v>
      </c>
      <c r="W5533">
        <v>0.1688424</v>
      </c>
      <c r="X5533">
        <v>0.91517850000000001</v>
      </c>
      <c r="Y5533">
        <v>0.58545119999999995</v>
      </c>
      <c r="Z5533">
        <v>2.36215E-2</v>
      </c>
      <c r="AA5533">
        <v>0.81036339999999996</v>
      </c>
      <c r="AB5533">
        <v>30</v>
      </c>
      <c r="AC5533">
        <v>3.06010000000003</v>
      </c>
      <c r="AD5533">
        <v>-1.1092519999999999</v>
      </c>
      <c r="AE5533">
        <v>-8.1721989999999902</v>
      </c>
      <c r="AF5533">
        <v>5.1204114245993697</v>
      </c>
      <c r="AG5533">
        <v>-1.1092519999999999</v>
      </c>
      <c r="AH5533">
        <v>6.89405115147414</v>
      </c>
      <c r="AI5533">
        <v>97.360103354820694</v>
      </c>
      <c r="AJ5533">
        <v>53.397658244161299</v>
      </c>
      <c r="AK5533">
        <v>8.6589257091058194</v>
      </c>
      <c r="AL5533">
        <v>80.279479776492394</v>
      </c>
      <c r="AM5533">
        <v>68.203577588937506</v>
      </c>
      <c r="AN5533">
        <v>1.0000000356705001</v>
      </c>
    </row>
    <row r="5534" spans="1:40" x14ac:dyDescent="0.25">
      <c r="A5534" t="str">
        <f>"20190303162411649"</f>
        <v>20190303162411649</v>
      </c>
      <c r="B5534" t="str">
        <f>"1551601451641971"</f>
        <v>1551601451641971</v>
      </c>
      <c r="C5534" t="s">
        <v>40</v>
      </c>
      <c r="D5534">
        <v>5.7929259999999996</v>
      </c>
      <c r="E5534">
        <v>0.60572360000000003</v>
      </c>
      <c r="F5534" t="s">
        <v>43</v>
      </c>
      <c r="G5534">
        <v>-302.84350000000001</v>
      </c>
      <c r="H5534">
        <v>-0.05</v>
      </c>
      <c r="I5534">
        <v>4.2129209999999997</v>
      </c>
      <c r="J5534">
        <v>-305.83519999999999</v>
      </c>
      <c r="K5534">
        <v>1.059159</v>
      </c>
      <c r="L5534">
        <v>12.42868</v>
      </c>
      <c r="M5534">
        <v>0.83556299999999994</v>
      </c>
      <c r="N5534">
        <v>-1.246265E-2</v>
      </c>
      <c r="O5534">
        <v>-0.54925360000000001</v>
      </c>
      <c r="P5534">
        <v>0.56668319999999905</v>
      </c>
      <c r="Q5534">
        <v>0.16744589999999901</v>
      </c>
      <c r="R5534">
        <v>-0.80674209999999902</v>
      </c>
      <c r="S5534">
        <v>1.1355900000000001</v>
      </c>
      <c r="T5534">
        <v>-0.40202830000000001</v>
      </c>
      <c r="U5534">
        <v>-3.0138850000000001</v>
      </c>
      <c r="V5534">
        <v>0.36762420000000001</v>
      </c>
      <c r="W5534">
        <v>0.1688462</v>
      </c>
      <c r="X5534">
        <v>0.9145181</v>
      </c>
      <c r="Y5534">
        <v>0.58681450000000002</v>
      </c>
      <c r="Z5534">
        <v>2.4381739999999999E-2</v>
      </c>
      <c r="AA5534">
        <v>0.80935419999999902</v>
      </c>
      <c r="AB5534">
        <v>30</v>
      </c>
      <c r="AC5534">
        <v>2.9916999999999798</v>
      </c>
      <c r="AD5534">
        <v>-1.109159</v>
      </c>
      <c r="AE5534">
        <v>-8.2157590000000003</v>
      </c>
      <c r="AF5534">
        <v>5.1392843439540403</v>
      </c>
      <c r="AG5534">
        <v>-1.109159</v>
      </c>
      <c r="AH5534">
        <v>6.9017676212156296</v>
      </c>
      <c r="AI5534">
        <v>97.344728328822598</v>
      </c>
      <c r="AJ5534">
        <v>53.327411794128601</v>
      </c>
      <c r="AK5534">
        <v>8.6762246139984498</v>
      </c>
      <c r="AL5534">
        <v>80.279258270422005</v>
      </c>
      <c r="AM5534">
        <v>68.100524200928902</v>
      </c>
      <c r="AN5534">
        <v>0.99999997345384395</v>
      </c>
    </row>
    <row r="5535" spans="1:40" x14ac:dyDescent="0.25">
      <c r="A5535" t="str">
        <f>"20190303162411665"</f>
        <v>20190303162411665</v>
      </c>
      <c r="B5535" t="str">
        <f>"1551601451660515"</f>
        <v>1551601451660515</v>
      </c>
      <c r="C5535" t="s">
        <v>40</v>
      </c>
      <c r="D5535">
        <v>5.7968960000000003</v>
      </c>
      <c r="E5535">
        <v>0.60557059999999996</v>
      </c>
      <c r="F5535" t="s">
        <v>43</v>
      </c>
      <c r="G5535">
        <v>-302.78129999999999</v>
      </c>
      <c r="H5535">
        <v>-0.05</v>
      </c>
      <c r="I5535">
        <v>4.0877230000000004</v>
      </c>
      <c r="J5535">
        <v>-305.66140000000001</v>
      </c>
      <c r="K5535">
        <v>1.059048</v>
      </c>
      <c r="L5535">
        <v>12.30402</v>
      </c>
      <c r="M5535">
        <v>0.83016650000000003</v>
      </c>
      <c r="N5535">
        <v>-1.2483070000000001E-2</v>
      </c>
      <c r="O5535">
        <v>-0.55737579999999998</v>
      </c>
      <c r="P5535">
        <v>0.55640069999999997</v>
      </c>
      <c r="Q5535">
        <v>0.16773750000000001</v>
      </c>
      <c r="R5535">
        <v>-0.81380759999999996</v>
      </c>
      <c r="S5535">
        <v>1.1073</v>
      </c>
      <c r="T5535">
        <v>-0.40216259999999998</v>
      </c>
      <c r="U5535">
        <v>-3.024292</v>
      </c>
      <c r="V5535">
        <v>0.37031779999999997</v>
      </c>
      <c r="W5535">
        <v>0.16896989999999901</v>
      </c>
      <c r="X5535">
        <v>0.91340790000000005</v>
      </c>
      <c r="Y5535">
        <v>0.58653169999999899</v>
      </c>
      <c r="Z5535">
        <v>2.554623E-2</v>
      </c>
      <c r="AA5535">
        <v>0.80952329999999995</v>
      </c>
      <c r="AB5535">
        <v>30</v>
      </c>
      <c r="AC5535">
        <v>2.8801000000000201</v>
      </c>
      <c r="AD5535">
        <v>-1.109048</v>
      </c>
      <c r="AE5535">
        <v>-8.2162969999999902</v>
      </c>
      <c r="AF5535">
        <v>5.1327182608117097</v>
      </c>
      <c r="AG5535">
        <v>-1.109048</v>
      </c>
      <c r="AH5535">
        <v>6.8597627675633097</v>
      </c>
      <c r="AI5535">
        <v>97.375868579409698</v>
      </c>
      <c r="AJ5535">
        <v>53.194858885160997</v>
      </c>
      <c r="AK5535">
        <v>8.6389310356329307</v>
      </c>
      <c r="AL5535">
        <v>80.272068175458401</v>
      </c>
      <c r="AM5535">
        <v>67.931168436888498</v>
      </c>
      <c r="AN5535">
        <v>1.0000000459426199</v>
      </c>
    </row>
    <row r="5536" spans="1:40" x14ac:dyDescent="0.25">
      <c r="A5536" t="str">
        <f>"20190303162411676"</f>
        <v>20190303162411676</v>
      </c>
      <c r="B5536" t="str">
        <f>"1551601451670275"</f>
        <v>1551601451670275</v>
      </c>
      <c r="C5536" t="s">
        <v>40</v>
      </c>
      <c r="D5536">
        <v>5.8321350000000001</v>
      </c>
      <c r="E5536">
        <v>0.60548040000000003</v>
      </c>
      <c r="F5536" t="s">
        <v>43</v>
      </c>
      <c r="G5536">
        <v>-302.70209999999997</v>
      </c>
      <c r="H5536">
        <v>-0.05</v>
      </c>
      <c r="I5536">
        <v>3.8979490000000001</v>
      </c>
      <c r="J5536">
        <v>-305.52480000000003</v>
      </c>
      <c r="K5536">
        <v>1.058951</v>
      </c>
      <c r="L5536">
        <v>12.203580000000001</v>
      </c>
      <c r="M5536">
        <v>0.82578300000000004</v>
      </c>
      <c r="N5536">
        <v>-1.250133E-2</v>
      </c>
      <c r="O5536">
        <v>-0.56384969999999901</v>
      </c>
      <c r="P5536">
        <v>0.54913350000000005</v>
      </c>
      <c r="Q5536">
        <v>0.16850379999999901</v>
      </c>
      <c r="R5536">
        <v>-0.81857150000000001</v>
      </c>
      <c r="S5536">
        <v>1.069458</v>
      </c>
      <c r="T5536">
        <v>-0.40079130000000002</v>
      </c>
      <c r="U5536">
        <v>-3.037811</v>
      </c>
      <c r="V5536">
        <v>0.37123899999999999</v>
      </c>
      <c r="W5536">
        <v>0.1696405</v>
      </c>
      <c r="X5536">
        <v>0.91290939999999998</v>
      </c>
      <c r="Y5536">
        <v>0.59030249999999995</v>
      </c>
      <c r="Z5536">
        <v>2.6034700000000001E-2</v>
      </c>
      <c r="AA5536">
        <v>0.80676219999999998</v>
      </c>
      <c r="AB5536">
        <v>30</v>
      </c>
      <c r="AC5536">
        <v>2.8227000000000499</v>
      </c>
      <c r="AD5536">
        <v>-1.108951</v>
      </c>
      <c r="AE5536">
        <v>-8.305631</v>
      </c>
      <c r="AF5536">
        <v>5.1846245199166203</v>
      </c>
      <c r="AG5536">
        <v>-1.108951</v>
      </c>
      <c r="AH5536">
        <v>6.9042735741137502</v>
      </c>
      <c r="AI5536">
        <v>97.318835364861201</v>
      </c>
      <c r="AJ5536">
        <v>53.096023803144497</v>
      </c>
      <c r="AK5536">
        <v>8.7051190295783503</v>
      </c>
      <c r="AL5536">
        <v>80.233081712191805</v>
      </c>
      <c r="AM5536">
        <v>67.870646128302795</v>
      </c>
      <c r="AN5536">
        <v>0.99999993348480198</v>
      </c>
    </row>
    <row r="5537" spans="1:40" x14ac:dyDescent="0.25">
      <c r="A5537" t="str">
        <f>"20190303162411698"</f>
        <v>20190303162411698</v>
      </c>
      <c r="B5537" t="str">
        <f>"1551601451690771"</f>
        <v>1551601451690771</v>
      </c>
      <c r="C5537" t="s">
        <v>40</v>
      </c>
      <c r="D5537">
        <v>5.8830269999999896</v>
      </c>
      <c r="E5537">
        <v>0.60520569999999996</v>
      </c>
      <c r="F5537" t="s">
        <v>43</v>
      </c>
      <c r="G5537">
        <v>-302.61900000000003</v>
      </c>
      <c r="H5537">
        <v>-0.05</v>
      </c>
      <c r="I5537">
        <v>3.7131810000000001</v>
      </c>
      <c r="J5537">
        <v>-305.29039999999998</v>
      </c>
      <c r="K5537">
        <v>1.0587959999999901</v>
      </c>
      <c r="L5537">
        <v>12.02774</v>
      </c>
      <c r="M5537">
        <v>0.8180153</v>
      </c>
      <c r="N5537">
        <v>-1.253427E-2</v>
      </c>
      <c r="O5537">
        <v>-0.57506000000000002</v>
      </c>
      <c r="P5537">
        <v>0.53638479999999999</v>
      </c>
      <c r="Q5537">
        <v>0.1699156</v>
      </c>
      <c r="R5537">
        <v>-0.82669239999999999</v>
      </c>
      <c r="S5537">
        <v>1.0429079999999999</v>
      </c>
      <c r="T5537">
        <v>-0.398007</v>
      </c>
      <c r="U5537">
        <v>-3.0472410000000001</v>
      </c>
      <c r="V5537">
        <v>0.37280489999999999</v>
      </c>
      <c r="W5537">
        <v>0.1708856</v>
      </c>
      <c r="X5537">
        <v>0.91203869999999998</v>
      </c>
      <c r="Y5537">
        <v>0.58643350000000005</v>
      </c>
      <c r="Z5537">
        <v>2.762825E-2</v>
      </c>
      <c r="AA5537">
        <v>0.80952609999999903</v>
      </c>
      <c r="AB5537">
        <v>30</v>
      </c>
      <c r="AC5537">
        <v>2.6713999999999398</v>
      </c>
      <c r="AD5537">
        <v>-1.1087959999999999</v>
      </c>
      <c r="AE5537">
        <v>-8.3145589999999991</v>
      </c>
      <c r="AF5537">
        <v>5.1821000970308502</v>
      </c>
      <c r="AG5537">
        <v>-1.1087959999999999</v>
      </c>
      <c r="AH5537">
        <v>6.8566356595490197</v>
      </c>
      <c r="AI5537">
        <v>97.351145704597798</v>
      </c>
      <c r="AJ5537">
        <v>52.918783724791403</v>
      </c>
      <c r="AK5537">
        <v>8.6658549810773096</v>
      </c>
      <c r="AL5537">
        <v>80.160686168660703</v>
      </c>
      <c r="AM5537">
        <v>67.767221904794795</v>
      </c>
      <c r="AN5537">
        <v>0.99999998602453</v>
      </c>
    </row>
    <row r="5538" spans="1:40" x14ac:dyDescent="0.25">
      <c r="A5538" t="str">
        <f>"20190303162411714"</f>
        <v>20190303162411714</v>
      </c>
      <c r="B5538" t="str">
        <f>"1551601451710291"</f>
        <v>1551601451710291</v>
      </c>
      <c r="C5538" t="s">
        <v>40</v>
      </c>
      <c r="D5538">
        <v>5.8939890000000004</v>
      </c>
      <c r="E5538">
        <v>0.60491759999999895</v>
      </c>
      <c r="F5538" t="s">
        <v>43</v>
      </c>
      <c r="G5538">
        <v>-302.48649999999998</v>
      </c>
      <c r="H5538">
        <v>-0.05</v>
      </c>
      <c r="I5538">
        <v>3.4334410000000002</v>
      </c>
      <c r="J5538">
        <v>-305.11259999999999</v>
      </c>
      <c r="K5538">
        <v>1.058673</v>
      </c>
      <c r="L5538">
        <v>11.890779999999999</v>
      </c>
      <c r="M5538">
        <v>0.81188579999999999</v>
      </c>
      <c r="N5538">
        <v>-1.256199E-2</v>
      </c>
      <c r="O5538">
        <v>-0.58368100000000001</v>
      </c>
      <c r="P5538">
        <v>0.52671179999999995</v>
      </c>
      <c r="Q5538">
        <v>0.17052</v>
      </c>
      <c r="R5538">
        <v>-0.83276530000000004</v>
      </c>
      <c r="S5538">
        <v>0.99896240000000003</v>
      </c>
      <c r="T5538">
        <v>-0.39503480000000002</v>
      </c>
      <c r="U5538">
        <v>-3.0619200000000002</v>
      </c>
      <c r="V5538">
        <v>0.37375940000000002</v>
      </c>
      <c r="W5538">
        <v>0.17136999999999999</v>
      </c>
      <c r="X5538">
        <v>0.91155699999999995</v>
      </c>
      <c r="Y5538">
        <v>0.58953489999999997</v>
      </c>
      <c r="Z5538">
        <v>2.8301880000000001E-2</v>
      </c>
      <c r="AA5538">
        <v>0.80724689999999999</v>
      </c>
      <c r="AB5538">
        <v>30</v>
      </c>
      <c r="AC5538">
        <v>2.6261000000000001</v>
      </c>
      <c r="AD5538">
        <v>-1.108673</v>
      </c>
      <c r="AE5538">
        <v>-8.4573389999999993</v>
      </c>
      <c r="AF5538">
        <v>5.2516979724853696</v>
      </c>
      <c r="AG5538">
        <v>-1.108673</v>
      </c>
      <c r="AH5538">
        <v>6.9599534167847903</v>
      </c>
      <c r="AI5538">
        <v>97.2465968918562</v>
      </c>
      <c r="AJ5538">
        <v>52.963279505186698</v>
      </c>
      <c r="AK5538">
        <v>8.7892228882279593</v>
      </c>
      <c r="AL5538">
        <v>80.132516349563403</v>
      </c>
      <c r="AM5538">
        <v>67.705239236149595</v>
      </c>
      <c r="AN5538">
        <v>0.99999996511867895</v>
      </c>
    </row>
    <row r="5539" spans="1:40" x14ac:dyDescent="0.25">
      <c r="A5539" t="str">
        <f>"20190303162411733"</f>
        <v>20190303162411733</v>
      </c>
      <c r="B5539" t="str">
        <f>"1551601451721026"</f>
        <v>1551601451721026</v>
      </c>
      <c r="C5539" t="s">
        <v>40</v>
      </c>
      <c r="D5539">
        <v>5.8632650000000002</v>
      </c>
      <c r="E5539">
        <v>0.60476739999999996</v>
      </c>
      <c r="F5539" t="s">
        <v>43</v>
      </c>
      <c r="G5539">
        <v>-302.39670000000001</v>
      </c>
      <c r="H5539">
        <v>-0.05</v>
      </c>
      <c r="I5539">
        <v>3.2566069999999998</v>
      </c>
      <c r="J5539">
        <v>-304.928</v>
      </c>
      <c r="K5539">
        <v>1.05853</v>
      </c>
      <c r="L5539">
        <v>11.74527</v>
      </c>
      <c r="M5539">
        <v>0.80529709999999999</v>
      </c>
      <c r="N5539">
        <v>-1.2592799999999999E-2</v>
      </c>
      <c r="O5539">
        <v>-0.59273769999999903</v>
      </c>
      <c r="P5539">
        <v>0.51659960000000005</v>
      </c>
      <c r="Q5539">
        <v>0.17077519999999999</v>
      </c>
      <c r="R5539">
        <v>-0.83902379999999999</v>
      </c>
      <c r="S5539">
        <v>0.96630859999999996</v>
      </c>
      <c r="T5539">
        <v>-0.39446369999999997</v>
      </c>
      <c r="U5539">
        <v>-3.0720209999999999</v>
      </c>
      <c r="V5539">
        <v>0.37459989999999999</v>
      </c>
      <c r="W5539">
        <v>0.1715053</v>
      </c>
      <c r="X5539">
        <v>0.91118650000000001</v>
      </c>
      <c r="Y5539">
        <v>0.58909699999999998</v>
      </c>
      <c r="Z5539">
        <v>2.9534680000000001E-2</v>
      </c>
      <c r="AA5539">
        <v>0.80752250000000003</v>
      </c>
      <c r="AB5539">
        <v>30</v>
      </c>
      <c r="AC5539">
        <v>2.5312999999999799</v>
      </c>
      <c r="AD5539">
        <v>-1.10853</v>
      </c>
      <c r="AE5539">
        <v>-8.4886629999999901</v>
      </c>
      <c r="AF5539">
        <v>5.2536445646590204</v>
      </c>
      <c r="AG5539">
        <v>-1.10853</v>
      </c>
      <c r="AH5539">
        <v>6.9615352200150804</v>
      </c>
      <c r="AI5539">
        <v>97.243670514038399</v>
      </c>
      <c r="AJ5539">
        <v>52.959330538510798</v>
      </c>
      <c r="AK5539">
        <v>8.7916205896399795</v>
      </c>
      <c r="AL5539">
        <v>80.124648037239496</v>
      </c>
      <c r="AM5539">
        <v>67.651837563936596</v>
      </c>
      <c r="AN5539">
        <v>0.99999999539517404</v>
      </c>
    </row>
    <row r="5540" spans="1:40" x14ac:dyDescent="0.25">
      <c r="A5540" t="str">
        <f>"20190303162411748"</f>
        <v>20190303162411748</v>
      </c>
      <c r="B5540" t="str">
        <f>"1551601451740547"</f>
        <v>1551601451740547</v>
      </c>
      <c r="C5540" t="s">
        <v>40</v>
      </c>
      <c r="D5540">
        <v>5.9198599999999999</v>
      </c>
      <c r="E5540">
        <v>0.60449940000000002</v>
      </c>
      <c r="F5540" t="s">
        <v>43</v>
      </c>
      <c r="G5540">
        <v>-302.31189999999998</v>
      </c>
      <c r="H5540">
        <v>-0.05</v>
      </c>
      <c r="I5540">
        <v>3.0871119999999999</v>
      </c>
      <c r="J5540">
        <v>-304.74360000000001</v>
      </c>
      <c r="K5540">
        <v>1.058389</v>
      </c>
      <c r="L5540">
        <v>11.59656</v>
      </c>
      <c r="M5540">
        <v>0.7984831</v>
      </c>
      <c r="N5540">
        <v>-1.262573E-2</v>
      </c>
      <c r="O5540">
        <v>-0.6018848</v>
      </c>
      <c r="P5540">
        <v>0.50527670000000002</v>
      </c>
      <c r="Q5540">
        <v>0.16980020000000001</v>
      </c>
      <c r="R5540">
        <v>-0.84608709999999898</v>
      </c>
      <c r="S5540">
        <v>0.93136600000000003</v>
      </c>
      <c r="T5540">
        <v>-0.39465630000000002</v>
      </c>
      <c r="U5540">
        <v>-3.0824579999999999</v>
      </c>
      <c r="V5540">
        <v>0.376641</v>
      </c>
      <c r="W5540">
        <v>0.17036879999999999</v>
      </c>
      <c r="X5540">
        <v>0.91055799999999998</v>
      </c>
      <c r="Y5540">
        <v>0.58905969999999996</v>
      </c>
      <c r="Z5540">
        <v>3.0830920000000001E-2</v>
      </c>
      <c r="AA5540">
        <v>0.80750109999999997</v>
      </c>
      <c r="AB5540">
        <v>30</v>
      </c>
      <c r="AC5540">
        <v>2.4317000000000299</v>
      </c>
      <c r="AD5540">
        <v>-1.1083889999999901</v>
      </c>
      <c r="AE5540">
        <v>-8.5094479999999901</v>
      </c>
      <c r="AF5540">
        <v>5.2491383309568702</v>
      </c>
      <c r="AG5540">
        <v>-1.1083889999999901</v>
      </c>
      <c r="AH5540">
        <v>6.95485355138426</v>
      </c>
      <c r="AI5540">
        <v>97.249377317805695</v>
      </c>
      <c r="AJ5540">
        <v>52.956516167150802</v>
      </c>
      <c r="AK5540">
        <v>8.7836192605351506</v>
      </c>
      <c r="AL5540">
        <v>80.190736665637601</v>
      </c>
      <c r="AM5540">
        <v>67.528174563764907</v>
      </c>
      <c r="AN5540">
        <v>0.99999992112921599</v>
      </c>
    </row>
    <row r="5541" spans="1:40" x14ac:dyDescent="0.25">
      <c r="A5541" t="str">
        <f>"20190303162411766"</f>
        <v>20190303162411766</v>
      </c>
      <c r="B5541" t="str">
        <f>"1551601451761043"</f>
        <v>1551601451761043</v>
      </c>
      <c r="C5541" t="s">
        <v>40</v>
      </c>
      <c r="D5541">
        <v>5.901796</v>
      </c>
      <c r="E5541">
        <v>0.60447910000000005</v>
      </c>
      <c r="F5541" t="s">
        <v>43</v>
      </c>
      <c r="G5541">
        <v>-302.27109999999999</v>
      </c>
      <c r="H5541">
        <v>-0.05</v>
      </c>
      <c r="I5541">
        <v>3.0426790000000001</v>
      </c>
      <c r="J5541">
        <v>-304.54899999999998</v>
      </c>
      <c r="K5541">
        <v>1.0582370000000001</v>
      </c>
      <c r="L5541">
        <v>11.435700000000001</v>
      </c>
      <c r="M5541">
        <v>0.79102119999999998</v>
      </c>
      <c r="N5541">
        <v>-1.266279E-2</v>
      </c>
      <c r="O5541">
        <v>-0.61165800000000004</v>
      </c>
      <c r="P5541">
        <v>0.49308950000000001</v>
      </c>
      <c r="Q5541">
        <v>0.16861609999999999</v>
      </c>
      <c r="R5541">
        <v>-0.85348239999999997</v>
      </c>
      <c r="S5541">
        <v>0.89385990000000004</v>
      </c>
      <c r="T5541">
        <v>-0.40069870000000002</v>
      </c>
      <c r="U5541">
        <v>-3.092346</v>
      </c>
      <c r="V5541">
        <v>0.37871890000000002</v>
      </c>
      <c r="W5541">
        <v>0.1690178</v>
      </c>
      <c r="X5541">
        <v>0.90994779999999997</v>
      </c>
      <c r="Y5541">
        <v>0.58886079999999996</v>
      </c>
      <c r="Z5541">
        <v>3.2879029999999997E-2</v>
      </c>
      <c r="AA5541">
        <v>0.80756549999999905</v>
      </c>
      <c r="AB5541">
        <v>30</v>
      </c>
      <c r="AC5541">
        <v>2.2779000000000398</v>
      </c>
      <c r="AD5541">
        <v>-1.1082369999999999</v>
      </c>
      <c r="AE5541">
        <v>-8.3930209999999992</v>
      </c>
      <c r="AF5541">
        <v>5.1623494852969198</v>
      </c>
      <c r="AG5541">
        <v>-1.1082369999999999</v>
      </c>
      <c r="AH5541">
        <v>6.8252445757769804</v>
      </c>
      <c r="AI5541">
        <v>97.3788569327142</v>
      </c>
      <c r="AJ5541">
        <v>52.897556648650401</v>
      </c>
      <c r="AK5541">
        <v>8.6291369774553601</v>
      </c>
      <c r="AL5541">
        <v>80.269283308420697</v>
      </c>
      <c r="AM5541">
        <v>67.402995287480095</v>
      </c>
      <c r="AN5541">
        <v>1.00000001032944</v>
      </c>
    </row>
    <row r="5542" spans="1:40" x14ac:dyDescent="0.25">
      <c r="A5542" t="str">
        <f>"20190303162411787"</f>
        <v>20190303162411787</v>
      </c>
      <c r="B5542" t="str">
        <f>"1551601451780563"</f>
        <v>1551601451780563</v>
      </c>
      <c r="C5542" t="s">
        <v>40</v>
      </c>
      <c r="D5542">
        <v>5.9326910000000002</v>
      </c>
      <c r="E5542">
        <v>0.60448119999999905</v>
      </c>
      <c r="F5542" t="s">
        <v>43</v>
      </c>
      <c r="G5542">
        <v>-302.23140000000001</v>
      </c>
      <c r="H5542">
        <v>-0.05</v>
      </c>
      <c r="I5542">
        <v>2.9775849999999999</v>
      </c>
      <c r="J5542">
        <v>-304.32479999999998</v>
      </c>
      <c r="K5542">
        <v>1.0580609999999999</v>
      </c>
      <c r="L5542">
        <v>11.244809999999999</v>
      </c>
      <c r="M5542">
        <v>0.78205659999999999</v>
      </c>
      <c r="N5542">
        <v>-1.270725E-2</v>
      </c>
      <c r="O5542">
        <v>-0.62307809999999997</v>
      </c>
      <c r="P5542">
        <v>0.4781842</v>
      </c>
      <c r="Q5542">
        <v>0.16840160000000001</v>
      </c>
      <c r="R5542">
        <v>-0.86196349999999999</v>
      </c>
      <c r="S5542">
        <v>0.85052490000000003</v>
      </c>
      <c r="T5542">
        <v>-0.40670610000000001</v>
      </c>
      <c r="U5542">
        <v>-3.1040040000000002</v>
      </c>
      <c r="V5542">
        <v>0.38141799999999998</v>
      </c>
      <c r="W5542">
        <v>0.16859950000000001</v>
      </c>
      <c r="X5542">
        <v>0.90889750000000002</v>
      </c>
      <c r="Y5542">
        <v>0.58840780000000004</v>
      </c>
      <c r="Z5542">
        <v>3.522579E-2</v>
      </c>
      <c r="AA5542">
        <v>0.80779669999999903</v>
      </c>
      <c r="AB5542">
        <v>30</v>
      </c>
      <c r="AC5542">
        <v>2.0933999999999702</v>
      </c>
      <c r="AD5542">
        <v>-1.108061</v>
      </c>
      <c r="AE5542">
        <v>-8.2672249999999998</v>
      </c>
      <c r="AF5542">
        <v>5.0758134329775997</v>
      </c>
      <c r="AG5542">
        <v>-1.108061</v>
      </c>
      <c r="AH5542">
        <v>6.6761264156952604</v>
      </c>
      <c r="AI5542">
        <v>97.526512309082406</v>
      </c>
      <c r="AJ5542">
        <v>52.754519443952098</v>
      </c>
      <c r="AK5542">
        <v>8.4594530026746302</v>
      </c>
      <c r="AL5542">
        <v>80.293599714775198</v>
      </c>
      <c r="AM5542">
        <v>67.234687719113296</v>
      </c>
      <c r="AN5542">
        <v>1.0000000738152399</v>
      </c>
    </row>
    <row r="5543" spans="1:40" x14ac:dyDescent="0.25">
      <c r="A5543" t="str">
        <f>"20190303162411800"</f>
        <v>20190303162411800</v>
      </c>
      <c r="B5543" t="str">
        <f>"1551601451790325"</f>
        <v>1551601451790325</v>
      </c>
      <c r="C5543" t="s">
        <v>40</v>
      </c>
      <c r="D5543">
        <v>5.9213129999999996</v>
      </c>
      <c r="E5543">
        <v>0.60451219999999894</v>
      </c>
      <c r="F5543" t="s">
        <v>43</v>
      </c>
      <c r="G5543">
        <v>-302.16879999999998</v>
      </c>
      <c r="H5543">
        <v>-0.05</v>
      </c>
      <c r="I5543">
        <v>2.8191830000000002</v>
      </c>
      <c r="J5543">
        <v>-304.18770000000001</v>
      </c>
      <c r="K5543">
        <v>1.0579559999999999</v>
      </c>
      <c r="L5543">
        <v>11.12543</v>
      </c>
      <c r="M5543">
        <v>0.77638859999999998</v>
      </c>
      <c r="N5543">
        <v>-1.2734519999999999E-2</v>
      </c>
      <c r="O5543">
        <v>-0.63012579999999996</v>
      </c>
      <c r="P5543">
        <v>0.46891820000000001</v>
      </c>
      <c r="Q5543">
        <v>0.16821129999999901</v>
      </c>
      <c r="R5543">
        <v>-0.86707619999999896</v>
      </c>
      <c r="S5543">
        <v>0.797821</v>
      </c>
      <c r="T5543">
        <v>-0.41004040000000003</v>
      </c>
      <c r="U5543">
        <v>-3.1179199999999998</v>
      </c>
      <c r="V5543">
        <v>0.38300529999999999</v>
      </c>
      <c r="W5543">
        <v>0.1682874</v>
      </c>
      <c r="X5543">
        <v>0.90828759999999997</v>
      </c>
      <c r="Y5543">
        <v>0.59473160000000003</v>
      </c>
      <c r="Z5543">
        <v>3.6168819999999997E-2</v>
      </c>
      <c r="AA5543">
        <v>0.80311030000000005</v>
      </c>
      <c r="AB5543">
        <v>30</v>
      </c>
      <c r="AC5543">
        <v>2.0189000000000301</v>
      </c>
      <c r="AD5543">
        <v>-1.1079559999999999</v>
      </c>
      <c r="AE5543">
        <v>-8.3062469999999902</v>
      </c>
      <c r="AF5543">
        <v>5.0915959262870203</v>
      </c>
      <c r="AG5543">
        <v>-1.1079559999999999</v>
      </c>
      <c r="AH5543">
        <v>6.6895983553757299</v>
      </c>
      <c r="AI5543">
        <v>97.507862141801098</v>
      </c>
      <c r="AJ5543">
        <v>52.724463578169697</v>
      </c>
      <c r="AK5543">
        <v>8.4795425425410897</v>
      </c>
      <c r="AL5543">
        <v>80.3117405761557</v>
      </c>
      <c r="AM5543">
        <v>67.135895883650406</v>
      </c>
      <c r="AN5543">
        <v>1.0000000365702999</v>
      </c>
    </row>
    <row r="5544" spans="1:40" x14ac:dyDescent="0.25">
      <c r="A5544" t="str">
        <f>"20190303162411816"</f>
        <v>20190303162411816</v>
      </c>
      <c r="B5544" t="str">
        <f>"1551601451810819"</f>
        <v>1551601451810819</v>
      </c>
      <c r="C5544" t="s">
        <v>40</v>
      </c>
      <c r="D5544">
        <v>6.0225200000000001</v>
      </c>
      <c r="E5544">
        <v>0.60422330000000002</v>
      </c>
      <c r="F5544" t="s">
        <v>43</v>
      </c>
      <c r="G5544">
        <v>-302.12889999999999</v>
      </c>
      <c r="H5544">
        <v>-0.05</v>
      </c>
      <c r="I5544">
        <v>2.714035</v>
      </c>
      <c r="J5544">
        <v>-304.02999999999997</v>
      </c>
      <c r="K5544">
        <v>1.057841</v>
      </c>
      <c r="L5544">
        <v>10.984859999999999</v>
      </c>
      <c r="M5544">
        <v>0.76966040000000002</v>
      </c>
      <c r="N5544">
        <v>-1.2766390000000001E-2</v>
      </c>
      <c r="O5544">
        <v>-0.63832619999999995</v>
      </c>
      <c r="P5544">
        <v>0.45862449999999999</v>
      </c>
      <c r="Q5544">
        <v>0.16771159999999999</v>
      </c>
      <c r="R5544">
        <v>-0.87266100000000002</v>
      </c>
      <c r="S5544">
        <v>0.76510619999999996</v>
      </c>
      <c r="T5544">
        <v>-0.41176099999999999</v>
      </c>
      <c r="U5544">
        <v>-3.126007</v>
      </c>
      <c r="V5544">
        <v>0.3842257</v>
      </c>
      <c r="W5544">
        <v>0.16767209999999999</v>
      </c>
      <c r="X5544">
        <v>0.90788579999999997</v>
      </c>
      <c r="Y5544">
        <v>0.59463889999999997</v>
      </c>
      <c r="Z5544">
        <v>3.7594049999999997E-2</v>
      </c>
      <c r="AA5544">
        <v>0.80311350000000004</v>
      </c>
      <c r="AB5544">
        <v>30</v>
      </c>
      <c r="AC5544">
        <v>1.90109999999998</v>
      </c>
      <c r="AD5544">
        <v>-1.1078410000000001</v>
      </c>
      <c r="AE5544">
        <v>-8.2708250000000003</v>
      </c>
      <c r="AF5544">
        <v>5.0662882144030901</v>
      </c>
      <c r="AG5544">
        <v>-1.1078410000000001</v>
      </c>
      <c r="AH5544">
        <v>6.6302470589255398</v>
      </c>
      <c r="AI5544">
        <v>97.562708325729304</v>
      </c>
      <c r="AJ5544">
        <v>52.6159194954597</v>
      </c>
      <c r="AK5544">
        <v>8.4175271912285208</v>
      </c>
      <c r="AL5544">
        <v>80.347502222148506</v>
      </c>
      <c r="AM5544">
        <v>67.061467467628205</v>
      </c>
      <c r="AN5544">
        <v>0.99999997375026894</v>
      </c>
    </row>
    <row r="5545" spans="1:40" x14ac:dyDescent="0.25">
      <c r="A5545" t="str">
        <f>"20190303162411832"</f>
        <v>20190303162411832</v>
      </c>
      <c r="B5545" t="str">
        <f>"1551601451820579"</f>
        <v>1551601451820579</v>
      </c>
      <c r="C5545" t="s">
        <v>40</v>
      </c>
      <c r="D5545">
        <v>5.9922029999999999</v>
      </c>
      <c r="E5545">
        <v>0.60421329999999995</v>
      </c>
      <c r="F5545" t="s">
        <v>43</v>
      </c>
      <c r="G5545">
        <v>-302.08620000000002</v>
      </c>
      <c r="H5545">
        <v>-0.05</v>
      </c>
      <c r="I5545">
        <v>2.6543580000000002</v>
      </c>
      <c r="J5545">
        <v>-303.8605</v>
      </c>
      <c r="K5545">
        <v>1.057707</v>
      </c>
      <c r="L5545">
        <v>10.83051</v>
      </c>
      <c r="M5545">
        <v>0.76219820000000005</v>
      </c>
      <c r="N5545">
        <v>-1.2801119999999999E-2</v>
      </c>
      <c r="O5545">
        <v>-0.6472173</v>
      </c>
      <c r="P5545">
        <v>0.44754519999999998</v>
      </c>
      <c r="Q5545">
        <v>0.16474610000000001</v>
      </c>
      <c r="R5545">
        <v>-0.87895540000000005</v>
      </c>
      <c r="S5545">
        <v>0.73117069999999995</v>
      </c>
      <c r="T5545">
        <v>-0.4167264</v>
      </c>
      <c r="U5545">
        <v>-3.1336059999999999</v>
      </c>
      <c r="V5545">
        <v>0.38556269999999998</v>
      </c>
      <c r="W5545">
        <v>0.16458420000000001</v>
      </c>
      <c r="X5545">
        <v>0.90788409999999997</v>
      </c>
      <c r="Y5545">
        <v>0.59400280000000005</v>
      </c>
      <c r="Z5545">
        <v>3.9580230000000001E-2</v>
      </c>
      <c r="AA5545">
        <v>0.80348869999999994</v>
      </c>
      <c r="AB5545">
        <v>30</v>
      </c>
      <c r="AC5545">
        <v>1.77429999999998</v>
      </c>
      <c r="AD5545">
        <v>-1.107707</v>
      </c>
      <c r="AE5545">
        <v>-8.1761520000000001</v>
      </c>
      <c r="AF5545">
        <v>4.9963242585709597</v>
      </c>
      <c r="AG5545">
        <v>-1.107707</v>
      </c>
      <c r="AH5545">
        <v>6.5301888933489902</v>
      </c>
      <c r="AI5545">
        <v>97.672660165712898</v>
      </c>
      <c r="AJ5545">
        <v>52.579972512782</v>
      </c>
      <c r="AK5545">
        <v>8.2966039966634693</v>
      </c>
      <c r="AL5545">
        <v>80.526919787028007</v>
      </c>
      <c r="AM5545">
        <v>66.989906774919007</v>
      </c>
      <c r="AN5545">
        <v>1.0000000467768599</v>
      </c>
    </row>
    <row r="5546" spans="1:40" x14ac:dyDescent="0.25">
      <c r="A5546" t="str">
        <f>"20190303162411855"</f>
        <v>20190303162411855</v>
      </c>
      <c r="B5546" t="str">
        <f>"1551601451850835"</f>
        <v>1551601451850835</v>
      </c>
      <c r="C5546" t="s">
        <v>40</v>
      </c>
      <c r="D5546">
        <v>5.7315899999999997</v>
      </c>
      <c r="E5546">
        <v>0.60421139999999995</v>
      </c>
      <c r="F5546" t="s">
        <v>43</v>
      </c>
      <c r="G5546">
        <v>-302.06709999999998</v>
      </c>
      <c r="H5546">
        <v>-0.05</v>
      </c>
      <c r="I5546">
        <v>2.6663969999999999</v>
      </c>
      <c r="J5546">
        <v>-303.62580000000003</v>
      </c>
      <c r="K5546">
        <v>1.057517</v>
      </c>
      <c r="L5546">
        <v>10.6106</v>
      </c>
      <c r="M5546">
        <v>0.75143649999999995</v>
      </c>
      <c r="N5546">
        <v>-1.285146E-2</v>
      </c>
      <c r="O5546">
        <v>-0.65968009999999999</v>
      </c>
      <c r="P5546">
        <v>0.43281429999999999</v>
      </c>
      <c r="Q5546">
        <v>0.16247739999999999</v>
      </c>
      <c r="R5546">
        <v>-0.88672039999999996</v>
      </c>
      <c r="S5546">
        <v>0.69012450000000003</v>
      </c>
      <c r="T5546">
        <v>-0.42626170000000002</v>
      </c>
      <c r="U5546">
        <v>-3.1416629999999999</v>
      </c>
      <c r="V5546">
        <v>0.3860768</v>
      </c>
      <c r="W5546">
        <v>0.1621911</v>
      </c>
      <c r="X5546">
        <v>0.90809629999999997</v>
      </c>
      <c r="Y5546">
        <v>0.59122399999999997</v>
      </c>
      <c r="Z5546">
        <v>4.290865E-2</v>
      </c>
      <c r="AA5546">
        <v>0.80536509999999994</v>
      </c>
      <c r="AB5546">
        <v>30</v>
      </c>
      <c r="AC5546">
        <v>1.5587000000000399</v>
      </c>
      <c r="AD5546">
        <v>-1.1075170000000001</v>
      </c>
      <c r="AE5546">
        <v>-7.9442029999999999</v>
      </c>
      <c r="AF5546">
        <v>4.8509428336220601</v>
      </c>
      <c r="AG5546">
        <v>-1.1075170000000001</v>
      </c>
      <c r="AH5546">
        <v>6.2946216371913897</v>
      </c>
      <c r="AI5546">
        <v>97.933861950302799</v>
      </c>
      <c r="AJ5546">
        <v>52.380397903926401</v>
      </c>
      <c r="AK5546">
        <v>8.0237461223393893</v>
      </c>
      <c r="AL5546">
        <v>80.665902208638101</v>
      </c>
      <c r="AM5546">
        <v>66.967247150515504</v>
      </c>
      <c r="AN5546">
        <v>1.00000006924556</v>
      </c>
    </row>
    <row r="5547" spans="1:40" x14ac:dyDescent="0.25">
      <c r="A5547" t="str">
        <f>"20190303162411888"</f>
        <v>20190303162411888</v>
      </c>
      <c r="B5547" t="str">
        <f>"1551601451880114"</f>
        <v>1551601451880114</v>
      </c>
      <c r="C5547" t="s">
        <v>40</v>
      </c>
      <c r="D5547">
        <v>5.9204730000000003</v>
      </c>
      <c r="E5547">
        <v>0.60381169999999995</v>
      </c>
      <c r="F5547" t="s">
        <v>43</v>
      </c>
      <c r="G5547">
        <v>-302.00189999999998</v>
      </c>
      <c r="H5547">
        <v>-0.05</v>
      </c>
      <c r="I5547">
        <v>2.547501</v>
      </c>
      <c r="J5547">
        <v>-303.2987</v>
      </c>
      <c r="K5547">
        <v>1.0572589999999999</v>
      </c>
      <c r="L5547">
        <v>10.291410000000001</v>
      </c>
      <c r="M5547">
        <v>0.73555819999999905</v>
      </c>
      <c r="N5547">
        <v>-1.292607E-2</v>
      </c>
      <c r="O5547">
        <v>-0.67733829999999995</v>
      </c>
      <c r="P5547">
        <v>0.41208359999999999</v>
      </c>
      <c r="Q5547">
        <v>0.16140399999999999</v>
      </c>
      <c r="R5547">
        <v>-0.89673649999999905</v>
      </c>
      <c r="S5547">
        <v>0.63491819999999999</v>
      </c>
      <c r="T5547">
        <v>-0.43304009999999998</v>
      </c>
      <c r="U5547">
        <v>-3.152679</v>
      </c>
      <c r="V5547">
        <v>0.38582509999999998</v>
      </c>
      <c r="W5547">
        <v>0.1609785</v>
      </c>
      <c r="X5547">
        <v>0.90841890000000003</v>
      </c>
      <c r="Y5547">
        <v>0.58622940000000001</v>
      </c>
      <c r="Z5547">
        <v>4.6969219999999999E-2</v>
      </c>
      <c r="AA5547">
        <v>0.80878249999999996</v>
      </c>
      <c r="AB5547">
        <v>30</v>
      </c>
      <c r="AC5547">
        <v>1.2968000000000099</v>
      </c>
      <c r="AD5547">
        <v>-1.107259</v>
      </c>
      <c r="AE5547">
        <v>-7.7439089999999897</v>
      </c>
      <c r="AF5547">
        <v>4.7241765645630398</v>
      </c>
      <c r="AG5547">
        <v>-1.107259</v>
      </c>
      <c r="AH5547">
        <v>6.0787482680969198</v>
      </c>
      <c r="AI5547">
        <v>98.184457605138505</v>
      </c>
      <c r="AJ5547">
        <v>52.146980104406303</v>
      </c>
      <c r="AK5547">
        <v>7.7778562093380899</v>
      </c>
      <c r="AL5547">
        <v>80.736303509640607</v>
      </c>
      <c r="AM5547">
        <v>66.988021641132406</v>
      </c>
      <c r="AN5547">
        <v>0.99999999156473496</v>
      </c>
    </row>
    <row r="5548" spans="1:40" x14ac:dyDescent="0.25">
      <c r="A5548" t="str">
        <f>"20190303162411910"</f>
        <v>20190303162411910</v>
      </c>
      <c r="B5548" t="str">
        <f>"1551601451900611"</f>
        <v>1551601451900611</v>
      </c>
      <c r="C5548" t="s">
        <v>40</v>
      </c>
      <c r="D5548">
        <v>6.0430409999999997</v>
      </c>
      <c r="E5548">
        <v>0.60361609999999999</v>
      </c>
      <c r="F5548" t="s">
        <v>43</v>
      </c>
      <c r="G5548">
        <v>-301.87270000000001</v>
      </c>
      <c r="H5548">
        <v>-0.05</v>
      </c>
      <c r="I5548">
        <v>2.2579500000000001</v>
      </c>
      <c r="J5548">
        <v>-303.08370000000002</v>
      </c>
      <c r="K5548">
        <v>1.0570839999999999</v>
      </c>
      <c r="L5548">
        <v>10.07278</v>
      </c>
      <c r="M5548">
        <v>0.72451759999999998</v>
      </c>
      <c r="N5548">
        <v>-1.2976710000000001E-2</v>
      </c>
      <c r="O5548">
        <v>-0.68913440000000004</v>
      </c>
      <c r="P5548">
        <v>0.39586189999999999</v>
      </c>
      <c r="Q5548">
        <v>0.1592509</v>
      </c>
      <c r="R5548">
        <v>-0.90439639999999999</v>
      </c>
      <c r="S5548">
        <v>0.56192019999999998</v>
      </c>
      <c r="T5548">
        <v>-0.43633640000000001</v>
      </c>
      <c r="U5548">
        <v>-3.1657410000000001</v>
      </c>
      <c r="V5548">
        <v>0.38778439999999997</v>
      </c>
      <c r="W5548">
        <v>0.158658299999999</v>
      </c>
      <c r="X5548">
        <v>0.90799269999999999</v>
      </c>
      <c r="Y5548">
        <v>0.59177419999999903</v>
      </c>
      <c r="Z5548">
        <v>4.8935369999999999E-2</v>
      </c>
      <c r="AA5548">
        <v>0.80461709999999997</v>
      </c>
      <c r="AB5548">
        <v>30</v>
      </c>
      <c r="AC5548">
        <v>1.2110000000000101</v>
      </c>
      <c r="AD5548">
        <v>-1.107084</v>
      </c>
      <c r="AE5548">
        <v>-7.8148299999999997</v>
      </c>
      <c r="AF5548">
        <v>4.7350472569975102</v>
      </c>
      <c r="AG5548">
        <v>-1.107084</v>
      </c>
      <c r="AH5548">
        <v>6.14299351023889</v>
      </c>
      <c r="AI5548">
        <v>98.123370513832896</v>
      </c>
      <c r="AJ5548">
        <v>52.374801397539798</v>
      </c>
      <c r="AK5548">
        <v>7.8347097442019402</v>
      </c>
      <c r="AL5548">
        <v>80.870971987148906</v>
      </c>
      <c r="AM5548">
        <v>66.873701030605901</v>
      </c>
      <c r="AN5548">
        <v>0.99999997014776898</v>
      </c>
    </row>
    <row r="5549" spans="1:40" x14ac:dyDescent="0.25">
      <c r="A5549" t="str">
        <f>"20190303162411933"</f>
        <v>20190303162411933</v>
      </c>
      <c r="B5549" t="str">
        <f>"1551601451920130"</f>
        <v>1551601451920130</v>
      </c>
      <c r="C5549" t="s">
        <v>40</v>
      </c>
      <c r="D5549">
        <v>5.9278230000000001</v>
      </c>
      <c r="E5549">
        <v>0.60349589999999997</v>
      </c>
      <c r="F5549" t="s">
        <v>43</v>
      </c>
      <c r="G5549">
        <v>-301.82380000000001</v>
      </c>
      <c r="H5549">
        <v>-0.05</v>
      </c>
      <c r="I5549">
        <v>2.1211700000000002</v>
      </c>
      <c r="J5549">
        <v>-302.86320000000001</v>
      </c>
      <c r="K5549">
        <v>1.0569120000000001</v>
      </c>
      <c r="L5549">
        <v>9.8406979999999997</v>
      </c>
      <c r="M5549">
        <v>0.71266560000000001</v>
      </c>
      <c r="N5549">
        <v>-1.302859E-2</v>
      </c>
      <c r="O5549">
        <v>-0.70138299999999998</v>
      </c>
      <c r="P5549">
        <v>0.37884230000000002</v>
      </c>
      <c r="Q5549">
        <v>0.156723</v>
      </c>
      <c r="R5549">
        <v>-0.91209490000000004</v>
      </c>
      <c r="S5549">
        <v>0.50305180000000005</v>
      </c>
      <c r="T5549">
        <v>-0.44201679999999999</v>
      </c>
      <c r="U5549">
        <v>-3.1747740000000002</v>
      </c>
      <c r="V5549">
        <v>0.38961859999999998</v>
      </c>
      <c r="W5549">
        <v>0.15596849999999901</v>
      </c>
      <c r="X5549">
        <v>0.90767350000000002</v>
      </c>
      <c r="Y5549">
        <v>0.59295529999999996</v>
      </c>
      <c r="Z5549">
        <v>5.1690760000000002E-2</v>
      </c>
      <c r="AA5549">
        <v>0.80357460000000003</v>
      </c>
      <c r="AB5549">
        <v>30</v>
      </c>
      <c r="AC5549">
        <v>1.0394000000000001</v>
      </c>
      <c r="AD5549">
        <v>-1.1069119999999999</v>
      </c>
      <c r="AE5549">
        <v>-7.7195279999999897</v>
      </c>
      <c r="AF5549">
        <v>4.6783505655181603</v>
      </c>
      <c r="AG5549">
        <v>-1.1069119999999999</v>
      </c>
      <c r="AH5549">
        <v>6.0337612362274298</v>
      </c>
      <c r="AI5549">
        <v>98.249188249300502</v>
      </c>
      <c r="AJ5549">
        <v>52.211351637797598</v>
      </c>
      <c r="AK5549">
        <v>7.7148229302705902</v>
      </c>
      <c r="AL5549">
        <v>81.027029654195701</v>
      </c>
      <c r="AM5549">
        <v>66.768584589527293</v>
      </c>
      <c r="AN5549">
        <v>1.00000000453023</v>
      </c>
    </row>
    <row r="5550" spans="1:40" x14ac:dyDescent="0.25">
      <c r="A5550" t="str">
        <f>"20190303162411956"</f>
        <v>20190303162411956</v>
      </c>
      <c r="B5550" t="str">
        <f>"1551601451950388"</f>
        <v>1551601451950388</v>
      </c>
      <c r="C5550" t="s">
        <v>40</v>
      </c>
      <c r="D5550">
        <v>5.9373300000000002</v>
      </c>
      <c r="E5550">
        <v>0.60322919999999902</v>
      </c>
      <c r="F5550" t="s">
        <v>43</v>
      </c>
      <c r="G5550">
        <v>-301.77199999999999</v>
      </c>
      <c r="H5550">
        <v>-0.05</v>
      </c>
      <c r="I5550">
        <v>1.975403</v>
      </c>
      <c r="J5550">
        <v>-302.64659999999998</v>
      </c>
      <c r="K5550">
        <v>1.0567500000000001</v>
      </c>
      <c r="L5550">
        <v>9.6049799999999994</v>
      </c>
      <c r="M5550">
        <v>0.70047789999999999</v>
      </c>
      <c r="N5550">
        <v>-1.308027E-2</v>
      </c>
      <c r="O5550">
        <v>-0.71355440000000003</v>
      </c>
      <c r="P5550">
        <v>0.36202250000000002</v>
      </c>
      <c r="Q5550">
        <v>0.15540079999999901</v>
      </c>
      <c r="R5550">
        <v>-0.91912510000000003</v>
      </c>
      <c r="S5550">
        <v>0.44152829999999899</v>
      </c>
      <c r="T5550">
        <v>-0.44791399999999998</v>
      </c>
      <c r="U5550">
        <v>-3.182709</v>
      </c>
      <c r="V5550">
        <v>0.3908335</v>
      </c>
      <c r="W5550">
        <v>0.154505</v>
      </c>
      <c r="X5550">
        <v>0.90740140000000002</v>
      </c>
      <c r="Y5550">
        <v>0.594603199999999</v>
      </c>
      <c r="Z5550">
        <v>5.4514390000000003E-2</v>
      </c>
      <c r="AA5550">
        <v>0.80216909999999997</v>
      </c>
      <c r="AB5550">
        <v>31</v>
      </c>
      <c r="AC5550">
        <v>0.87459999999998606</v>
      </c>
      <c r="AD5550">
        <v>-1.1067499999999999</v>
      </c>
      <c r="AE5550">
        <v>-7.6295769999999896</v>
      </c>
      <c r="AF5550">
        <v>4.6246269232038397</v>
      </c>
      <c r="AG5550">
        <v>-1.1067499999999999</v>
      </c>
      <c r="AH5550">
        <v>5.9340261916460797</v>
      </c>
      <c r="AI5550">
        <v>98.368751089790806</v>
      </c>
      <c r="AJ5550">
        <v>52.069270000369102</v>
      </c>
      <c r="AK5550">
        <v>7.6042577931356004</v>
      </c>
      <c r="AL5550">
        <v>81.111910630248701</v>
      </c>
      <c r="AM5550">
        <v>66.697618204744202</v>
      </c>
      <c r="AN5550">
        <v>0.99999996023460402</v>
      </c>
    </row>
    <row r="5551" spans="1:40" x14ac:dyDescent="0.25">
      <c r="A5551" t="str">
        <f>"20190303162411977"</f>
        <v>20190303162411977</v>
      </c>
      <c r="B5551" t="str">
        <f>"1551601451970882"</f>
        <v>1551601451970882</v>
      </c>
      <c r="C5551" t="s">
        <v>40</v>
      </c>
      <c r="D5551">
        <v>5.9488070000000004</v>
      </c>
      <c r="E5551">
        <v>0.60300830000000005</v>
      </c>
      <c r="F5551" t="s">
        <v>43</v>
      </c>
      <c r="G5551">
        <v>-301.70409999999998</v>
      </c>
      <c r="H5551">
        <v>-0.05</v>
      </c>
      <c r="I5551">
        <v>1.7928770000000001</v>
      </c>
      <c r="J5551">
        <v>-302.44630000000001</v>
      </c>
      <c r="K5551">
        <v>1.0565929999999999</v>
      </c>
      <c r="L5551">
        <v>9.3792419999999996</v>
      </c>
      <c r="M5551">
        <v>0.68866930000000004</v>
      </c>
      <c r="N5551">
        <v>-1.3130609999999999E-2</v>
      </c>
      <c r="O5551">
        <v>-0.72495679999999996</v>
      </c>
      <c r="P5551">
        <v>0.34523179999999998</v>
      </c>
      <c r="Q5551">
        <v>0.15570989999999901</v>
      </c>
      <c r="R5551">
        <v>-0.92551059999999996</v>
      </c>
      <c r="S5551">
        <v>0.38470460000000001</v>
      </c>
      <c r="T5551">
        <v>-0.45176709999999898</v>
      </c>
      <c r="U5551">
        <v>-3.1888429999999999</v>
      </c>
      <c r="V5551">
        <v>0.3924879</v>
      </c>
      <c r="W5551">
        <v>0.15465809999999999</v>
      </c>
      <c r="X5551">
        <v>0.90666100000000005</v>
      </c>
      <c r="Y5551">
        <v>0.59569030000000001</v>
      </c>
      <c r="Z5551">
        <v>5.7013090000000002E-2</v>
      </c>
      <c r="AA5551">
        <v>0.80118819999999902</v>
      </c>
      <c r="AB5551">
        <v>31</v>
      </c>
      <c r="AC5551">
        <v>0.74220000000002495</v>
      </c>
      <c r="AD5551">
        <v>-1.1065929999999999</v>
      </c>
      <c r="AE5551">
        <v>-7.5863649999999998</v>
      </c>
      <c r="AF5551">
        <v>4.59010017145531</v>
      </c>
      <c r="AG5551">
        <v>-1.1065929999999999</v>
      </c>
      <c r="AH5551">
        <v>5.8873578163034503</v>
      </c>
      <c r="AI5551">
        <v>98.431697359742302</v>
      </c>
      <c r="AJ5551">
        <v>52.058108193567399</v>
      </c>
      <c r="AK5551">
        <v>7.5468238159395504</v>
      </c>
      <c r="AL5551">
        <v>81.103032498279603</v>
      </c>
      <c r="AM5551">
        <v>66.592514071514202</v>
      </c>
      <c r="AN5551">
        <v>1.0000000242315099</v>
      </c>
    </row>
    <row r="5552" spans="1:40" x14ac:dyDescent="0.25">
      <c r="A5552" t="str">
        <f>"20190303162411999"</f>
        <v>20190303162411999</v>
      </c>
      <c r="B5552" t="str">
        <f>"1551601451990403"</f>
        <v>1551601451990403</v>
      </c>
      <c r="C5552" t="s">
        <v>40</v>
      </c>
      <c r="D5552">
        <v>5.9758990000000001</v>
      </c>
      <c r="E5552">
        <v>0.60277380000000003</v>
      </c>
      <c r="F5552" t="s">
        <v>43</v>
      </c>
      <c r="G5552">
        <v>-301.6379</v>
      </c>
      <c r="H5552">
        <v>-0.05</v>
      </c>
      <c r="I5552">
        <v>1.553177</v>
      </c>
      <c r="J5552">
        <v>-302.24689999999998</v>
      </c>
      <c r="K5552">
        <v>1.05644</v>
      </c>
      <c r="L5552">
        <v>9.1469419999999992</v>
      </c>
      <c r="M5552">
        <v>0.67637219999999998</v>
      </c>
      <c r="N5552">
        <v>-1.3183749999999999E-2</v>
      </c>
      <c r="O5552">
        <v>-0.73644200000000004</v>
      </c>
      <c r="P5552">
        <v>0.32826729999999998</v>
      </c>
      <c r="Q5552">
        <v>0.15698860000000001</v>
      </c>
      <c r="R5552">
        <v>-0.93144800000000005</v>
      </c>
      <c r="S5552">
        <v>0.32995609999999997</v>
      </c>
      <c r="T5552">
        <v>-0.45167800000000002</v>
      </c>
      <c r="U5552">
        <v>-3.194366</v>
      </c>
      <c r="V5552">
        <v>0.39375199999999999</v>
      </c>
      <c r="W5552">
        <v>0.1557915</v>
      </c>
      <c r="X5552">
        <v>0.90591849999999996</v>
      </c>
      <c r="Y5552">
        <v>0.59593759999999996</v>
      </c>
      <c r="Z5552">
        <v>5.9012040000000002E-2</v>
      </c>
      <c r="AA5552">
        <v>0.80085949999999995</v>
      </c>
      <c r="AB5552">
        <v>31</v>
      </c>
      <c r="AC5552">
        <v>0.60899999999998</v>
      </c>
      <c r="AD5552">
        <v>-1.1064399999999901</v>
      </c>
      <c r="AE5552">
        <v>-7.5937649999999897</v>
      </c>
      <c r="AF5552">
        <v>4.5912778255641102</v>
      </c>
      <c r="AG5552">
        <v>-1.1064399999999901</v>
      </c>
      <c r="AH5552">
        <v>5.8807520037997003</v>
      </c>
      <c r="AI5552">
        <v>98.435542083286293</v>
      </c>
      <c r="AJ5552">
        <v>52.019783862579601</v>
      </c>
      <c r="AK5552">
        <v>7.5423660528584104</v>
      </c>
      <c r="AL5552">
        <v>81.037296276746801</v>
      </c>
      <c r="AM5552">
        <v>66.508115920677</v>
      </c>
      <c r="AN5552">
        <v>0.99999997880924896</v>
      </c>
    </row>
    <row r="5553" spans="1:40" x14ac:dyDescent="0.25">
      <c r="A5553" t="str">
        <f>"20190303162412022"</f>
        <v>20190303162412022</v>
      </c>
      <c r="B5553" t="str">
        <f>"1551601452010898"</f>
        <v>1551601452010898</v>
      </c>
      <c r="C5553" t="s">
        <v>40</v>
      </c>
      <c r="D5553">
        <v>6.0041129999999896</v>
      </c>
      <c r="E5553">
        <v>0.60250800000000004</v>
      </c>
      <c r="F5553" t="s">
        <v>43</v>
      </c>
      <c r="G5553">
        <v>-301.56970000000001</v>
      </c>
      <c r="H5553">
        <v>-0.05</v>
      </c>
      <c r="I5553">
        <v>1.2248079999999999</v>
      </c>
      <c r="J5553">
        <v>-302.04300000000001</v>
      </c>
      <c r="K5553">
        <v>1.056284</v>
      </c>
      <c r="L5553">
        <v>8.9007570000000005</v>
      </c>
      <c r="M5553">
        <v>0.66318449999999995</v>
      </c>
      <c r="N5553">
        <v>-1.324114E-2</v>
      </c>
      <c r="O5553">
        <v>-0.74833909999999904</v>
      </c>
      <c r="P5553">
        <v>0.3108881</v>
      </c>
      <c r="Q5553">
        <v>0.15829969999999999</v>
      </c>
      <c r="R5553">
        <v>-0.9371718</v>
      </c>
      <c r="S5553">
        <v>0.27352910000000002</v>
      </c>
      <c r="T5553">
        <v>-0.44688430000000001</v>
      </c>
      <c r="U5553">
        <v>-3.1997070000000001</v>
      </c>
      <c r="V5553">
        <v>0.39447090000000001</v>
      </c>
      <c r="W5553">
        <v>0.1569731</v>
      </c>
      <c r="X5553">
        <v>0.90540160000000003</v>
      </c>
      <c r="Y5553">
        <v>0.59586419999999996</v>
      </c>
      <c r="Z5553">
        <v>6.0352160000000002E-2</v>
      </c>
      <c r="AA5553">
        <v>0.80081420000000003</v>
      </c>
      <c r="AB5553">
        <v>31</v>
      </c>
      <c r="AC5553">
        <v>0.473299999999994</v>
      </c>
      <c r="AD5553">
        <v>-1.106284</v>
      </c>
      <c r="AE5553">
        <v>-7.6759490000000001</v>
      </c>
      <c r="AF5553">
        <v>4.6407649605095704</v>
      </c>
      <c r="AG5553">
        <v>-1.106284</v>
      </c>
      <c r="AH5553">
        <v>5.9357990607206199</v>
      </c>
      <c r="AI5553">
        <v>98.352878492235405</v>
      </c>
      <c r="AJ5553">
        <v>51.980761875593203</v>
      </c>
      <c r="AK5553">
        <v>7.61539717917596</v>
      </c>
      <c r="AL5553">
        <v>80.968752001770298</v>
      </c>
      <c r="AM5553">
        <v>66.457911975370905</v>
      </c>
      <c r="AN5553">
        <v>0.99999995117648799</v>
      </c>
    </row>
    <row r="5554" spans="1:40" x14ac:dyDescent="0.25">
      <c r="A5554" t="str">
        <f>"20190303162412045"</f>
        <v>20190303162412045</v>
      </c>
      <c r="B5554" t="str">
        <f>"1551601452040179"</f>
        <v>1551601452040179</v>
      </c>
      <c r="C5554" t="s">
        <v>40</v>
      </c>
      <c r="D5554">
        <v>6.0198150000000004</v>
      </c>
      <c r="E5554">
        <v>0.60203269999999998</v>
      </c>
      <c r="F5554" t="s">
        <v>43</v>
      </c>
      <c r="G5554">
        <v>-301.50279999999998</v>
      </c>
      <c r="H5554">
        <v>-0.05</v>
      </c>
      <c r="I5554">
        <v>0.85913090000000003</v>
      </c>
      <c r="J5554">
        <v>-301.84930000000003</v>
      </c>
      <c r="K5554">
        <v>1.056127</v>
      </c>
      <c r="L5554">
        <v>8.6577149999999996</v>
      </c>
      <c r="M5554">
        <v>0.65000899999999995</v>
      </c>
      <c r="N5554">
        <v>-1.3299399999999999E-2</v>
      </c>
      <c r="O5554">
        <v>-0.75981030000000005</v>
      </c>
      <c r="P5554">
        <v>0.29337750000000001</v>
      </c>
      <c r="Q5554">
        <v>0.1598157</v>
      </c>
      <c r="R5554">
        <v>-0.94254400000000005</v>
      </c>
      <c r="S5554">
        <v>0.2152405</v>
      </c>
      <c r="T5554">
        <v>-0.44079489999999999</v>
      </c>
      <c r="U5554">
        <v>-3.2041629999999999</v>
      </c>
      <c r="V5554">
        <v>0.39546779999999998</v>
      </c>
      <c r="W5554">
        <v>0.158349499999999</v>
      </c>
      <c r="X5554">
        <v>0.9047269</v>
      </c>
      <c r="Y5554">
        <v>0.59646399999999999</v>
      </c>
      <c r="Z5554">
        <v>6.1329040000000001E-2</v>
      </c>
      <c r="AA5554">
        <v>0.80029329999999999</v>
      </c>
      <c r="AB5554">
        <v>31</v>
      </c>
      <c r="AC5554">
        <v>0.34650000000004799</v>
      </c>
      <c r="AD5554">
        <v>-1.1061270000000001</v>
      </c>
      <c r="AE5554">
        <v>-7.7985840999999896</v>
      </c>
      <c r="AF5554">
        <v>4.7116982118126298</v>
      </c>
      <c r="AG5554">
        <v>-1.1061270000000001</v>
      </c>
      <c r="AH5554">
        <v>6.0301422272735303</v>
      </c>
      <c r="AI5554">
        <v>98.224690643541905</v>
      </c>
      <c r="AJ5554">
        <v>51.997434939560101</v>
      </c>
      <c r="AK5554">
        <v>7.7321557317784801</v>
      </c>
      <c r="AL5554">
        <v>80.888892229229597</v>
      </c>
      <c r="AM5554">
        <v>66.389240841482206</v>
      </c>
      <c r="AN5554">
        <v>1.00000005428534</v>
      </c>
    </row>
    <row r="5555" spans="1:40" x14ac:dyDescent="0.25">
      <c r="A5555" t="str">
        <f>"20190303162412066"</f>
        <v>20190303162412066</v>
      </c>
      <c r="B5555" t="str">
        <f>"1551601452060675"</f>
        <v>1551601452060675</v>
      </c>
      <c r="C5555" t="s">
        <v>40</v>
      </c>
      <c r="D5555">
        <v>6.0059149999999999</v>
      </c>
      <c r="E5555">
        <v>0.60166850000000005</v>
      </c>
      <c r="F5555" t="s">
        <v>43</v>
      </c>
      <c r="G5555">
        <v>-301.44380000000001</v>
      </c>
      <c r="H5555">
        <v>-0.05</v>
      </c>
      <c r="I5555">
        <v>0.49040220000000001</v>
      </c>
      <c r="J5555">
        <v>-301.65949999999998</v>
      </c>
      <c r="K5555">
        <v>1.0559670000000001</v>
      </c>
      <c r="L5555">
        <v>8.4105530000000002</v>
      </c>
      <c r="M5555">
        <v>0.6364533</v>
      </c>
      <c r="N5555">
        <v>-1.335926E-2</v>
      </c>
      <c r="O5555">
        <v>-0.77119979999999999</v>
      </c>
      <c r="P5555">
        <v>0.27575309999999997</v>
      </c>
      <c r="Q5555">
        <v>0.16075619999999999</v>
      </c>
      <c r="R5555">
        <v>-0.94769099999999995</v>
      </c>
      <c r="S5555">
        <v>0.1592102</v>
      </c>
      <c r="T5555">
        <v>-0.43433110000000003</v>
      </c>
      <c r="U5555">
        <v>-3.2069700000000001</v>
      </c>
      <c r="V5555">
        <v>0.39631280000000002</v>
      </c>
      <c r="W5555">
        <v>0.159158299999999</v>
      </c>
      <c r="X5555">
        <v>0.90421499999999999</v>
      </c>
      <c r="Y5555">
        <v>0.59628809999999999</v>
      </c>
      <c r="Z5555">
        <v>6.2252700000000001E-2</v>
      </c>
      <c r="AA5555">
        <v>0.80035310000000004</v>
      </c>
      <c r="AB5555">
        <v>31</v>
      </c>
      <c r="AC5555">
        <v>0.215699999999969</v>
      </c>
      <c r="AD5555">
        <v>-1.1059669999999999</v>
      </c>
      <c r="AE5555">
        <v>-7.9201508</v>
      </c>
      <c r="AF5555">
        <v>4.7817215826766297</v>
      </c>
      <c r="AG5555">
        <v>-1.1059669999999999</v>
      </c>
      <c r="AH5555">
        <v>6.1264846147741903</v>
      </c>
      <c r="AI5555">
        <v>98.099250006336106</v>
      </c>
      <c r="AJ5555">
        <v>52.027960041210299</v>
      </c>
      <c r="AK5555">
        <v>7.8499578364720799</v>
      </c>
      <c r="AL5555">
        <v>80.841955511675593</v>
      </c>
      <c r="AM5555">
        <v>66.332407209466197</v>
      </c>
      <c r="AN5555">
        <v>0.99999998306386395</v>
      </c>
    </row>
    <row r="5556" spans="1:40" x14ac:dyDescent="0.25">
      <c r="A5556" t="str">
        <f>"20190303162412088"</f>
        <v>20190303162412088</v>
      </c>
      <c r="B5556" t="str">
        <f>"1551601452080195"</f>
        <v>1551601452080195</v>
      </c>
      <c r="C5556" t="s">
        <v>40</v>
      </c>
      <c r="D5556">
        <v>5.6782700000000004</v>
      </c>
      <c r="E5556">
        <v>0.60152269999999997</v>
      </c>
      <c r="F5556" t="s">
        <v>43</v>
      </c>
      <c r="G5556">
        <v>-301.39600000000002</v>
      </c>
      <c r="H5556">
        <v>-0.05</v>
      </c>
      <c r="I5556">
        <v>0.17112729999999901</v>
      </c>
      <c r="J5556">
        <v>-301.47750000000002</v>
      </c>
      <c r="K5556">
        <v>1.055814</v>
      </c>
      <c r="L5556">
        <v>8.1646729999999899</v>
      </c>
      <c r="M5556">
        <v>0.6228281</v>
      </c>
      <c r="N5556">
        <v>-1.341735E-2</v>
      </c>
      <c r="O5556">
        <v>-0.78224380000000004</v>
      </c>
      <c r="P5556">
        <v>0.25918819999999998</v>
      </c>
      <c r="Q5556">
        <v>0.1614545</v>
      </c>
      <c r="R5556">
        <v>-0.95223650000000004</v>
      </c>
      <c r="S5556">
        <v>0.1026306</v>
      </c>
      <c r="T5556">
        <v>-0.43071310000000002</v>
      </c>
      <c r="U5556">
        <v>-3.2088009999999998</v>
      </c>
      <c r="V5556">
        <v>0.39622780000000002</v>
      </c>
      <c r="W5556">
        <v>0.1597712</v>
      </c>
      <c r="X5556">
        <v>0.90414419999999995</v>
      </c>
      <c r="Y5556">
        <v>0.59635850000000001</v>
      </c>
      <c r="Z5556">
        <v>6.3561809999999996E-2</v>
      </c>
      <c r="AA5556">
        <v>0.80019779999999996</v>
      </c>
      <c r="AB5556">
        <v>31</v>
      </c>
      <c r="AC5556">
        <v>8.15000000000623E-2</v>
      </c>
      <c r="AD5556">
        <v>-1.1058139999999901</v>
      </c>
      <c r="AE5556">
        <v>-7.9935456999999897</v>
      </c>
      <c r="AF5556">
        <v>4.82300326435732</v>
      </c>
      <c r="AG5556">
        <v>-1.1058139999999901</v>
      </c>
      <c r="AH5556">
        <v>6.1858592275856603</v>
      </c>
      <c r="AI5556">
        <v>98.024572761951006</v>
      </c>
      <c r="AJ5556">
        <v>52.057097956072298</v>
      </c>
      <c r="AK5556">
        <v>7.9214291307884599</v>
      </c>
      <c r="AL5556">
        <v>80.806384080978603</v>
      </c>
      <c r="AM5556">
        <v>66.335276159881502</v>
      </c>
      <c r="AN5556">
        <v>1.00000002011795</v>
      </c>
    </row>
    <row r="5557" spans="1:40" x14ac:dyDescent="0.25">
      <c r="A5557" t="str">
        <f>"20190303162412111"</f>
        <v>20190303162412111</v>
      </c>
      <c r="B5557" t="str">
        <f>"1551601452100692"</f>
        <v>1551601452100692</v>
      </c>
      <c r="C5557" t="s">
        <v>40</v>
      </c>
      <c r="D5557">
        <v>6.0175839999999896</v>
      </c>
      <c r="E5557">
        <v>0.60097659999999997</v>
      </c>
      <c r="F5557" t="s">
        <v>43</v>
      </c>
      <c r="G5557">
        <v>-301.35050000000001</v>
      </c>
      <c r="H5557">
        <v>-0.05</v>
      </c>
      <c r="I5557">
        <v>-0.17369079999999901</v>
      </c>
      <c r="J5557">
        <v>-301.2955</v>
      </c>
      <c r="K5557">
        <v>1.0556730000000001</v>
      </c>
      <c r="L5557">
        <v>7.9091800000000001</v>
      </c>
      <c r="M5557">
        <v>0.60852379999999995</v>
      </c>
      <c r="N5557">
        <v>-1.347489E-2</v>
      </c>
      <c r="O5557">
        <v>-0.79342119999999905</v>
      </c>
      <c r="P5557">
        <v>0.24359169999999999</v>
      </c>
      <c r="Q5557">
        <v>0.1626582</v>
      </c>
      <c r="R5557">
        <v>-0.95614100000000002</v>
      </c>
      <c r="S5557">
        <v>4.8889160000000001E-2</v>
      </c>
      <c r="T5557">
        <v>-0.42561290000000002</v>
      </c>
      <c r="U5557">
        <v>-3.20932</v>
      </c>
      <c r="V5557">
        <v>0.39456259999999999</v>
      </c>
      <c r="W5557">
        <v>0.1609573</v>
      </c>
      <c r="X5557">
        <v>0.90466190000000002</v>
      </c>
      <c r="Y5557">
        <v>0.59523000000000004</v>
      </c>
      <c r="Z5557">
        <v>6.4696710000000004E-2</v>
      </c>
      <c r="AA5557">
        <v>0.80094670000000001</v>
      </c>
      <c r="AB5557">
        <v>31</v>
      </c>
      <c r="AC5557">
        <v>-5.50000000000068E-2</v>
      </c>
      <c r="AD5557">
        <v>-1.1056729999999999</v>
      </c>
      <c r="AE5557">
        <v>-8.0828708000000002</v>
      </c>
      <c r="AF5557">
        <v>4.8715552889320204</v>
      </c>
      <c r="AG5557">
        <v>-1.1056729999999999</v>
      </c>
      <c r="AH5557">
        <v>6.2630423984263999</v>
      </c>
      <c r="AI5557">
        <v>97.932992947169893</v>
      </c>
      <c r="AJ5557">
        <v>52.123305858616</v>
      </c>
      <c r="AK5557">
        <v>8.0112585653277506</v>
      </c>
      <c r="AL5557">
        <v>80.737534546542406</v>
      </c>
      <c r="AM5557">
        <v>66.435879786932105</v>
      </c>
      <c r="AN5557">
        <v>1.00000002552682</v>
      </c>
    </row>
    <row r="5558" spans="1:40" x14ac:dyDescent="0.25">
      <c r="A5558" t="str">
        <f>"20190303162412134"</f>
        <v>20190303162412134</v>
      </c>
      <c r="B5558" t="str">
        <f>"1551601452130947"</f>
        <v>1551601452130947</v>
      </c>
      <c r="C5558" t="s">
        <v>40</v>
      </c>
      <c r="D5558">
        <v>5.9342040000000003</v>
      </c>
      <c r="E5558">
        <v>0.60042589999999996</v>
      </c>
      <c r="F5558" t="s">
        <v>43</v>
      </c>
      <c r="G5558">
        <v>-301.29820000000001</v>
      </c>
      <c r="H5558">
        <v>-0.05</v>
      </c>
      <c r="I5558">
        <v>-0.5025482</v>
      </c>
      <c r="J5558">
        <v>-301.11219999999997</v>
      </c>
      <c r="K5558">
        <v>1.0555369999999999</v>
      </c>
      <c r="L5558">
        <v>7.6415709999999999</v>
      </c>
      <c r="M5558">
        <v>0.59338780000000002</v>
      </c>
      <c r="N5558">
        <v>-1.353475E-2</v>
      </c>
      <c r="O5558">
        <v>-0.80480299999999905</v>
      </c>
      <c r="P5558">
        <v>0.22693540000000001</v>
      </c>
      <c r="Q5558">
        <v>0.16558819999999999</v>
      </c>
      <c r="R5558">
        <v>-0.95973019999999998</v>
      </c>
      <c r="S5558">
        <v>-1.00708E-3</v>
      </c>
      <c r="T5558">
        <v>-0.4218906</v>
      </c>
      <c r="U5558">
        <v>-3.2096559999999998</v>
      </c>
      <c r="V5558">
        <v>0.39301710000000001</v>
      </c>
      <c r="W5558">
        <v>0.16386500000000001</v>
      </c>
      <c r="X5558">
        <v>0.90481259999999997</v>
      </c>
      <c r="Y5558">
        <v>0.59250829999999999</v>
      </c>
      <c r="Z5558">
        <v>6.6170359999999998E-2</v>
      </c>
      <c r="AA5558">
        <v>0.802842099999999</v>
      </c>
      <c r="AB5558">
        <v>31</v>
      </c>
      <c r="AC5558">
        <v>-0.186000000000035</v>
      </c>
      <c r="AD5558">
        <v>-1.105537</v>
      </c>
      <c r="AE5558">
        <v>-8.1441191999999898</v>
      </c>
      <c r="AF5558">
        <v>4.8926596002629497</v>
      </c>
      <c r="AG5558">
        <v>-1.105537</v>
      </c>
      <c r="AH5558">
        <v>6.3280835125517099</v>
      </c>
      <c r="AI5558">
        <v>97.869039602491299</v>
      </c>
      <c r="AJ5558">
        <v>52.290020351787803</v>
      </c>
      <c r="AK5558">
        <v>8.0749595023283494</v>
      </c>
      <c r="AL5558">
        <v>80.568693732506205</v>
      </c>
      <c r="AM5558">
        <v>66.5216578254458</v>
      </c>
      <c r="AN5558">
        <v>1.0000000101180799</v>
      </c>
    </row>
    <row r="5559" spans="1:40" x14ac:dyDescent="0.25">
      <c r="A5559" t="str">
        <f>"20190303162412158"</f>
        <v>20190303162412158</v>
      </c>
      <c r="B5559" t="str">
        <f>"1551601452150468"</f>
        <v>1551601452150468</v>
      </c>
      <c r="C5559" t="s">
        <v>40</v>
      </c>
      <c r="D5559">
        <v>5.7241169999999997</v>
      </c>
      <c r="E5559">
        <v>0.60013799999999995</v>
      </c>
      <c r="F5559" t="s">
        <v>41</v>
      </c>
      <c r="G5559">
        <v>-301.24810000000002</v>
      </c>
      <c r="H5559" s="1">
        <v>-4.4182630000000002E-6</v>
      </c>
      <c r="I5559">
        <v>-0.62087539999999997</v>
      </c>
      <c r="J5559">
        <v>-300.93259999999998</v>
      </c>
      <c r="K5559">
        <v>1.055412</v>
      </c>
      <c r="L5559">
        <v>7.3683170000000002</v>
      </c>
      <c r="M5559">
        <v>0.57777449999999997</v>
      </c>
      <c r="N5559">
        <v>-1.3598799999999999E-2</v>
      </c>
      <c r="O5559">
        <v>-0.81608319999999901</v>
      </c>
      <c r="P5559">
        <v>0.20866170000000001</v>
      </c>
      <c r="Q5559">
        <v>0.1684542</v>
      </c>
      <c r="R5559">
        <v>-0.96337090000000003</v>
      </c>
      <c r="S5559">
        <v>-5.2795410000000001E-2</v>
      </c>
      <c r="T5559">
        <v>-0.40996890000000002</v>
      </c>
      <c r="U5559">
        <v>-3.2091059999999998</v>
      </c>
      <c r="V5559">
        <v>0.39265109999999998</v>
      </c>
      <c r="W5559">
        <v>0.16666879999999901</v>
      </c>
      <c r="X5559">
        <v>0.90445929999999997</v>
      </c>
      <c r="Y5559">
        <v>0.59002080000000001</v>
      </c>
      <c r="Z5559">
        <v>6.6017190000000003E-2</v>
      </c>
      <c r="AA5559">
        <v>0.80468450000000002</v>
      </c>
      <c r="AB5559">
        <v>31</v>
      </c>
      <c r="AC5559">
        <v>-0.31550000000004202</v>
      </c>
      <c r="AD5559">
        <v>-1.0554164182629999</v>
      </c>
      <c r="AE5559">
        <v>-7.9891924000000003</v>
      </c>
      <c r="AF5559">
        <v>4.79040501072416</v>
      </c>
      <c r="AG5559">
        <v>-1.0554164182629999</v>
      </c>
      <c r="AH5559">
        <v>6.2295948506693302</v>
      </c>
      <c r="AI5559">
        <v>97.649208866302402</v>
      </c>
      <c r="AJ5559">
        <v>52.440602484550098</v>
      </c>
      <c r="AK5559">
        <v>7.9290438254682503</v>
      </c>
      <c r="AL5559">
        <v>80.405807811075107</v>
      </c>
      <c r="AM5559">
        <v>66.532985712887196</v>
      </c>
      <c r="AN5559">
        <v>1.00000000029057</v>
      </c>
    </row>
    <row r="5560" spans="1:40" x14ac:dyDescent="0.25">
      <c r="A5560" t="str">
        <f>"20190303162412194"</f>
        <v>20190303162412194</v>
      </c>
      <c r="B5560" t="str">
        <f>"1551601452180724"</f>
        <v>1551601452180724</v>
      </c>
      <c r="C5560" t="s">
        <v>40</v>
      </c>
      <c r="D5560">
        <v>5.7471719999999999</v>
      </c>
      <c r="E5560">
        <v>0.59964280000000003</v>
      </c>
      <c r="F5560" t="s">
        <v>41</v>
      </c>
      <c r="G5560">
        <v>-301.21550000000002</v>
      </c>
      <c r="H5560" s="1">
        <v>-4.239483E-6</v>
      </c>
      <c r="I5560">
        <v>-1.0713539999999999</v>
      </c>
      <c r="J5560">
        <v>-300.66699999999997</v>
      </c>
      <c r="K5560">
        <v>1.055207</v>
      </c>
      <c r="L5560">
        <v>6.9411929999999904</v>
      </c>
      <c r="M5560">
        <v>0.55306829999999996</v>
      </c>
      <c r="N5560">
        <v>-1.370131E-2</v>
      </c>
      <c r="O5560">
        <v>-0.83302330000000002</v>
      </c>
      <c r="P5560">
        <v>0.17985709999999999</v>
      </c>
      <c r="Q5560">
        <v>0.16898820000000001</v>
      </c>
      <c r="R5560">
        <v>-0.96906910000000002</v>
      </c>
      <c r="S5560">
        <v>-0.1075134</v>
      </c>
      <c r="T5560">
        <v>-0.40110980000000002</v>
      </c>
      <c r="U5560">
        <v>-3.2074889999999998</v>
      </c>
      <c r="V5560">
        <v>0.39256770000000002</v>
      </c>
      <c r="W5560">
        <v>0.16710649999999999</v>
      </c>
      <c r="X5560">
        <v>0.90441479999999996</v>
      </c>
      <c r="Y5560">
        <v>0.57960559999999905</v>
      </c>
      <c r="Z5560">
        <v>6.7736359999999995E-2</v>
      </c>
      <c r="AA5560">
        <v>0.81207700000000005</v>
      </c>
      <c r="AB5560">
        <v>31</v>
      </c>
      <c r="AC5560">
        <v>-0.54849999999999</v>
      </c>
      <c r="AD5560">
        <v>-1.055211239483</v>
      </c>
      <c r="AE5560">
        <v>-8.0125469999999996</v>
      </c>
      <c r="AF5560">
        <v>4.8058952702461903</v>
      </c>
      <c r="AG5560">
        <v>-1.055211239483</v>
      </c>
      <c r="AH5560">
        <v>6.2637493527077899</v>
      </c>
      <c r="AI5560">
        <v>97.612776901611696</v>
      </c>
      <c r="AJ5560">
        <v>52.502583141281299</v>
      </c>
      <c r="AK5560">
        <v>7.96521538076989</v>
      </c>
      <c r="AL5560">
        <v>80.380373285164396</v>
      </c>
      <c r="AM5560">
        <v>66.536401654084202</v>
      </c>
      <c r="AN5560">
        <v>1.0000000559422799</v>
      </c>
    </row>
    <row r="5561" spans="1:40" x14ac:dyDescent="0.25">
      <c r="A5561" t="str">
        <f>"20190303162412210"</f>
        <v>20190303162412210</v>
      </c>
      <c r="B5561" t="str">
        <f>"1551601452200243"</f>
        <v>1551601452200243</v>
      </c>
      <c r="C5561" t="s">
        <v>40</v>
      </c>
      <c r="D5561">
        <v>5.7501709999999999</v>
      </c>
      <c r="E5561">
        <v>0.59926869999999999</v>
      </c>
      <c r="F5561" t="s">
        <v>41</v>
      </c>
      <c r="G5561">
        <v>-301.1909</v>
      </c>
      <c r="H5561" s="1">
        <v>-4.0448050000000001E-6</v>
      </c>
      <c r="I5561">
        <v>-1.5669820000000001</v>
      </c>
      <c r="J5561">
        <v>-300.54739999999998</v>
      </c>
      <c r="K5561">
        <v>1.05511</v>
      </c>
      <c r="L5561">
        <v>6.7389830000000002</v>
      </c>
      <c r="M5561">
        <v>0.54125639999999997</v>
      </c>
      <c r="N5561">
        <v>-1.3748099999999999E-2</v>
      </c>
      <c r="O5561">
        <v>-0.84074530000000003</v>
      </c>
      <c r="P5561">
        <v>0.16822690000000001</v>
      </c>
      <c r="Q5561">
        <v>0.1670654</v>
      </c>
      <c r="R5561">
        <v>-0.97148809999999997</v>
      </c>
      <c r="S5561">
        <v>-0.1971436</v>
      </c>
      <c r="T5561">
        <v>-0.3970689</v>
      </c>
      <c r="U5561">
        <v>-3.2015690000000001</v>
      </c>
      <c r="V5561">
        <v>0.39078829999999998</v>
      </c>
      <c r="W5561">
        <v>0.1652219</v>
      </c>
      <c r="X5561">
        <v>0.90553090000000003</v>
      </c>
      <c r="Y5561">
        <v>0.59077380000000002</v>
      </c>
      <c r="Z5561">
        <v>6.7712579999999994E-2</v>
      </c>
      <c r="AA5561">
        <v>0.80399080000000001</v>
      </c>
      <c r="AB5561">
        <v>31</v>
      </c>
      <c r="AC5561">
        <v>-0.64350000000001695</v>
      </c>
      <c r="AD5561">
        <v>-1.055114044805</v>
      </c>
      <c r="AE5561">
        <v>-8.3059649999999898</v>
      </c>
      <c r="AF5561">
        <v>4.9576288062496801</v>
      </c>
      <c r="AG5561">
        <v>-1.055114044805</v>
      </c>
      <c r="AH5561">
        <v>6.5307718648968196</v>
      </c>
      <c r="AI5561">
        <v>97.332690058669897</v>
      </c>
      <c r="AJ5561">
        <v>52.797199421804997</v>
      </c>
      <c r="AK5561">
        <v>8.2669420089552599</v>
      </c>
      <c r="AL5561">
        <v>80.489874586977095</v>
      </c>
      <c r="AM5561">
        <v>66.657043685743005</v>
      </c>
      <c r="AN5561">
        <v>0.99999999125565497</v>
      </c>
    </row>
    <row r="5562" spans="1:40" x14ac:dyDescent="0.25">
      <c r="A5562" t="str">
        <f>"20190303162412224"</f>
        <v>20190303162412224</v>
      </c>
      <c r="B5562" t="str">
        <f>"1551601452210980"</f>
        <v>1551601452210980</v>
      </c>
      <c r="C5562" t="s">
        <v>40</v>
      </c>
      <c r="D5562">
        <v>5.7621599999999997</v>
      </c>
      <c r="E5562">
        <v>0.59907569999999999</v>
      </c>
      <c r="F5562" t="s">
        <v>41</v>
      </c>
      <c r="G5562">
        <v>-301.15989999999999</v>
      </c>
      <c r="H5562" s="1">
        <v>-3.9926950000000004E-6</v>
      </c>
      <c r="I5562">
        <v>-1.6691199999999999</v>
      </c>
      <c r="J5562">
        <v>-300.44979999999998</v>
      </c>
      <c r="K5562">
        <v>1.055037</v>
      </c>
      <c r="L5562">
        <v>6.569763</v>
      </c>
      <c r="M5562">
        <v>0.53131680000000003</v>
      </c>
      <c r="N5562">
        <v>-1.3785479999999999E-2</v>
      </c>
      <c r="O5562">
        <v>-0.84706109999999901</v>
      </c>
      <c r="P5562">
        <v>0.15910550000000001</v>
      </c>
      <c r="Q5562">
        <v>0.16578109999999999</v>
      </c>
      <c r="R5562">
        <v>-0.97324310000000003</v>
      </c>
      <c r="S5562">
        <v>-0.2329407</v>
      </c>
      <c r="T5562">
        <v>-0.40123320000000001</v>
      </c>
      <c r="U5562">
        <v>-3.1973880000000001</v>
      </c>
      <c r="V5562">
        <v>0.38871240000000001</v>
      </c>
      <c r="W5562">
        <v>0.1639977</v>
      </c>
      <c r="X5562">
        <v>0.90664630000000002</v>
      </c>
      <c r="Y5562">
        <v>0.59028539999999996</v>
      </c>
      <c r="Z5562">
        <v>6.9734589999999999E-2</v>
      </c>
      <c r="AA5562">
        <v>0.80417669999999997</v>
      </c>
      <c r="AB5562">
        <v>31</v>
      </c>
      <c r="AC5562">
        <v>-0.71010000000001094</v>
      </c>
      <c r="AD5562">
        <v>-1.055040992695</v>
      </c>
      <c r="AE5562">
        <v>-8.2388829999999995</v>
      </c>
      <c r="AF5562">
        <v>4.8996735386841204</v>
      </c>
      <c r="AG5562">
        <v>-1.055040992695</v>
      </c>
      <c r="AH5562">
        <v>6.4964306491515602</v>
      </c>
      <c r="AI5562">
        <v>97.387757371502403</v>
      </c>
      <c r="AJ5562">
        <v>52.976033060769097</v>
      </c>
      <c r="AK5562">
        <v>8.2050913133970607</v>
      </c>
      <c r="AL5562">
        <v>80.560986641414601</v>
      </c>
      <c r="AM5562">
        <v>66.793417611759693</v>
      </c>
      <c r="AN5562">
        <v>1.0000000444113599</v>
      </c>
    </row>
    <row r="5563" spans="1:40" x14ac:dyDescent="0.25">
      <c r="A5563" t="str">
        <f>"20190303162412246"</f>
        <v>20190303162412246</v>
      </c>
      <c r="B5563" t="str">
        <f>"1551601452240259"</f>
        <v>1551601452240259</v>
      </c>
      <c r="C5563" t="s">
        <v>40</v>
      </c>
      <c r="D5563">
        <v>5.6929080000000001</v>
      </c>
      <c r="E5563">
        <v>0.59854759999999996</v>
      </c>
      <c r="F5563" t="s">
        <v>41</v>
      </c>
      <c r="G5563">
        <v>-301.13569999999999</v>
      </c>
      <c r="H5563" s="1">
        <v>-3.9329330000000003E-6</v>
      </c>
      <c r="I5563">
        <v>-1.78190299999999</v>
      </c>
      <c r="J5563">
        <v>-300.30430000000001</v>
      </c>
      <c r="K5563">
        <v>1.054916</v>
      </c>
      <c r="L5563">
        <v>6.3070680000000001</v>
      </c>
      <c r="M5563">
        <v>0.51581179999999904</v>
      </c>
      <c r="N5563">
        <v>-1.3839250000000001E-2</v>
      </c>
      <c r="O5563">
        <v>-0.85659030000000003</v>
      </c>
      <c r="P5563">
        <v>0.1432764</v>
      </c>
      <c r="Q5563">
        <v>0.16436539999999999</v>
      </c>
      <c r="R5563">
        <v>-0.97593869999999905</v>
      </c>
      <c r="S5563">
        <v>-0.26232909999999998</v>
      </c>
      <c r="T5563">
        <v>-0.40349980000000002</v>
      </c>
      <c r="U5563">
        <v>-3.1940919999999999</v>
      </c>
      <c r="V5563">
        <v>0.38704529999999998</v>
      </c>
      <c r="W5563">
        <v>0.1626136</v>
      </c>
      <c r="X5563">
        <v>0.90760830000000003</v>
      </c>
      <c r="Y5563">
        <v>0.58300600000000002</v>
      </c>
      <c r="Z5563">
        <v>7.2287749999999998E-2</v>
      </c>
      <c r="AA5563">
        <v>0.80924560000000001</v>
      </c>
      <c r="AB5563">
        <v>31</v>
      </c>
      <c r="AC5563">
        <v>-0.83139999999997305</v>
      </c>
      <c r="AD5563">
        <v>-1.0549199329329999</v>
      </c>
      <c r="AE5563">
        <v>-8.0889710000000008</v>
      </c>
      <c r="AF5563">
        <v>4.8041680312873298</v>
      </c>
      <c r="AG5563">
        <v>-1.0549199329329999</v>
      </c>
      <c r="AH5563">
        <v>6.3931126212747698</v>
      </c>
      <c r="AI5563">
        <v>97.514758299330097</v>
      </c>
      <c r="AJ5563">
        <v>53.076604857258502</v>
      </c>
      <c r="AK5563">
        <v>8.0662739555537897</v>
      </c>
      <c r="AL5563">
        <v>80.6413687490233</v>
      </c>
      <c r="AM5563">
        <v>66.904403699443293</v>
      </c>
      <c r="AN5563">
        <v>1.00000003669296</v>
      </c>
    </row>
    <row r="5564" spans="1:40" x14ac:dyDescent="0.25">
      <c r="A5564" t="str">
        <f>"20190303162412268"</f>
        <v>20190303162412268</v>
      </c>
      <c r="B5564" t="str">
        <f>"1551601452260680"</f>
        <v>1551601452260680</v>
      </c>
      <c r="C5564" t="s">
        <v>40</v>
      </c>
      <c r="D5564">
        <v>5.6992260000000003</v>
      </c>
      <c r="E5564">
        <v>0.598159</v>
      </c>
      <c r="F5564" t="s">
        <v>41</v>
      </c>
      <c r="G5564">
        <v>-301.1096</v>
      </c>
      <c r="H5564" s="1">
        <v>-3.8230859999999999E-6</v>
      </c>
      <c r="I5564">
        <v>-1.9996179999999999</v>
      </c>
      <c r="J5564">
        <v>-300.15559999999999</v>
      </c>
      <c r="K5564">
        <v>1.0548029999999999</v>
      </c>
      <c r="L5564">
        <v>6.0260309999999997</v>
      </c>
      <c r="M5564">
        <v>0.49912879999999898</v>
      </c>
      <c r="N5564">
        <v>-1.3890639999999999E-2</v>
      </c>
      <c r="O5564">
        <v>-0.86641669999999904</v>
      </c>
      <c r="P5564">
        <v>0.12651969999999901</v>
      </c>
      <c r="Q5564">
        <v>0.16177250000000001</v>
      </c>
      <c r="R5564">
        <v>-0.97868429999999995</v>
      </c>
      <c r="S5564">
        <v>-0.30902099999999999</v>
      </c>
      <c r="T5564">
        <v>-0.40480139999999998</v>
      </c>
      <c r="U5564">
        <v>-3.1875</v>
      </c>
      <c r="V5564">
        <v>0.38518720000000001</v>
      </c>
      <c r="W5564">
        <v>0.16006819999999999</v>
      </c>
      <c r="X5564">
        <v>0.90885039999999995</v>
      </c>
      <c r="Y5564">
        <v>0.57917640000000004</v>
      </c>
      <c r="Z5564">
        <v>7.4595540000000002E-2</v>
      </c>
      <c r="AA5564">
        <v>0.81178209999999995</v>
      </c>
      <c r="AB5564">
        <v>31</v>
      </c>
      <c r="AC5564">
        <v>-0.95400000000000695</v>
      </c>
      <c r="AD5564">
        <v>-1.0548068230859999</v>
      </c>
      <c r="AE5564">
        <v>-8.0256489999999996</v>
      </c>
      <c r="AF5564">
        <v>4.7519197693584996</v>
      </c>
      <c r="AG5564">
        <v>-1.0548068230859999</v>
      </c>
      <c r="AH5564">
        <v>6.3695188992619203</v>
      </c>
      <c r="AI5564">
        <v>97.560881817831998</v>
      </c>
      <c r="AJ5564">
        <v>53.275566528176597</v>
      </c>
      <c r="AK5564">
        <v>8.01649112370891</v>
      </c>
      <c r="AL5564">
        <v>80.789145452190198</v>
      </c>
      <c r="AM5564">
        <v>67.031892698068901</v>
      </c>
      <c r="AN5564">
        <v>1.0000000286376101</v>
      </c>
    </row>
    <row r="5565" spans="1:40" x14ac:dyDescent="0.25">
      <c r="A5565" t="str">
        <f>"20190303162412289"</f>
        <v>20190303162412289</v>
      </c>
      <c r="B5565" t="str">
        <f>"1551601452280201"</f>
        <v>1551601452280201</v>
      </c>
      <c r="C5565" t="s">
        <v>40</v>
      </c>
      <c r="D5565">
        <v>5.7074400000000001</v>
      </c>
      <c r="E5565">
        <v>0.59777990000000003</v>
      </c>
      <c r="F5565" t="s">
        <v>41</v>
      </c>
      <c r="G5565">
        <v>-301.08690000000001</v>
      </c>
      <c r="H5565" s="1">
        <v>-3.739518E-6</v>
      </c>
      <c r="I5565">
        <v>-2.1635960000000001</v>
      </c>
      <c r="J5565">
        <v>-300.01870000000002</v>
      </c>
      <c r="K5565">
        <v>1.054711</v>
      </c>
      <c r="L5565">
        <v>5.7550350000000003</v>
      </c>
      <c r="M5565">
        <v>0.48295969999999999</v>
      </c>
      <c r="N5565">
        <v>-1.393456E-2</v>
      </c>
      <c r="O5565">
        <v>-0.87553189999999903</v>
      </c>
      <c r="P5565">
        <v>0.1118514</v>
      </c>
      <c r="Q5565">
        <v>0.159409299999999</v>
      </c>
      <c r="R5565">
        <v>-0.9808559</v>
      </c>
      <c r="S5565">
        <v>-0.36157230000000001</v>
      </c>
      <c r="T5565">
        <v>-0.4095491</v>
      </c>
      <c r="U5565">
        <v>-3.1797789999999999</v>
      </c>
      <c r="V5565">
        <v>0.382046</v>
      </c>
      <c r="W5565">
        <v>0.1578146</v>
      </c>
      <c r="X5565">
        <v>0.91056870000000001</v>
      </c>
      <c r="Y5565">
        <v>0.57748659999999996</v>
      </c>
      <c r="Z5565">
        <v>7.7470209999999998E-2</v>
      </c>
      <c r="AA5565">
        <v>0.81271610000000005</v>
      </c>
      <c r="AB5565">
        <v>31</v>
      </c>
      <c r="AC5565">
        <v>-1.06819999999999</v>
      </c>
      <c r="AD5565">
        <v>-1.0547147395180001</v>
      </c>
      <c r="AE5565">
        <v>-7.9186309999999898</v>
      </c>
      <c r="AF5565">
        <v>4.6785666721216002</v>
      </c>
      <c r="AG5565">
        <v>-1.0547147395180001</v>
      </c>
      <c r="AH5565">
        <v>6.3078332975412597</v>
      </c>
      <c r="AI5565">
        <v>97.648963605452707</v>
      </c>
      <c r="AJ5565">
        <v>53.435398300795399</v>
      </c>
      <c r="AK5565">
        <v>7.9240248735610299</v>
      </c>
      <c r="AL5565">
        <v>80.919929290976995</v>
      </c>
      <c r="AM5565">
        <v>67.2386104098386</v>
      </c>
      <c r="AN5565">
        <v>0.99999997575442401</v>
      </c>
    </row>
    <row r="5566" spans="1:40" x14ac:dyDescent="0.25">
      <c r="A5566" t="str">
        <f>"20190303162412313"</f>
        <v>20190303162412313</v>
      </c>
      <c r="B5566" t="str">
        <f>"1551601452300697"</f>
        <v>1551601452300697</v>
      </c>
      <c r="C5566" t="s">
        <v>40</v>
      </c>
      <c r="D5566">
        <v>5.6577789999999997</v>
      </c>
      <c r="E5566">
        <v>0.59740099999999996</v>
      </c>
      <c r="F5566" t="s">
        <v>41</v>
      </c>
      <c r="G5566">
        <v>-301.06959999999998</v>
      </c>
      <c r="H5566" s="1">
        <v>-3.6346030000000002E-6</v>
      </c>
      <c r="I5566">
        <v>-2.3758430000000001</v>
      </c>
      <c r="J5566">
        <v>-299.88010000000003</v>
      </c>
      <c r="K5566">
        <v>1.0546249999999999</v>
      </c>
      <c r="L5566">
        <v>5.4672549999999998</v>
      </c>
      <c r="M5566">
        <v>0.46570889999999998</v>
      </c>
      <c r="N5566">
        <v>-1.397556E-2</v>
      </c>
      <c r="O5566">
        <v>-0.88482759999999905</v>
      </c>
      <c r="P5566">
        <v>9.5618729999999999E-2</v>
      </c>
      <c r="Q5566">
        <v>0.15889320000000001</v>
      </c>
      <c r="R5566">
        <v>-0.98265480000000005</v>
      </c>
      <c r="S5566">
        <v>-0.41000370000000003</v>
      </c>
      <c r="T5566">
        <v>-0.41148630000000003</v>
      </c>
      <c r="U5566">
        <v>-3.17218</v>
      </c>
      <c r="V5566">
        <v>0.37929780000000002</v>
      </c>
      <c r="W5566">
        <v>0.1573937</v>
      </c>
      <c r="X5566">
        <v>0.91178970000000004</v>
      </c>
      <c r="Y5566">
        <v>0.57393229999999995</v>
      </c>
      <c r="Z5566">
        <v>7.9891820000000002E-2</v>
      </c>
      <c r="AA5566">
        <v>0.81499639999999995</v>
      </c>
      <c r="AB5566">
        <v>31</v>
      </c>
      <c r="AC5566">
        <v>-1.18949999999995</v>
      </c>
      <c r="AD5566">
        <v>-1.0546286346029901</v>
      </c>
      <c r="AE5566">
        <v>-7.8430980000000003</v>
      </c>
      <c r="AF5566">
        <v>4.6238384600971596</v>
      </c>
      <c r="AG5566">
        <v>-1.0546286346029901</v>
      </c>
      <c r="AH5566">
        <v>6.2755355576448197</v>
      </c>
      <c r="AI5566">
        <v>97.705063752686399</v>
      </c>
      <c r="AJ5566">
        <v>53.6170705633794</v>
      </c>
      <c r="AK5566">
        <v>7.8660326847314099</v>
      </c>
      <c r="AL5566">
        <v>80.944350762088405</v>
      </c>
      <c r="AM5566">
        <v>67.413049192532796</v>
      </c>
      <c r="AN5566">
        <v>1.0000000274553</v>
      </c>
    </row>
    <row r="5567" spans="1:40" x14ac:dyDescent="0.25">
      <c r="A5567" t="str">
        <f>"20190303162412335"</f>
        <v>20190303162412335</v>
      </c>
      <c r="B5567" t="str">
        <f>"1551601452329977"</f>
        <v>1551601452329977</v>
      </c>
      <c r="C5567" t="s">
        <v>40</v>
      </c>
      <c r="D5567">
        <v>5.738753</v>
      </c>
      <c r="E5567">
        <v>0.59679380000000004</v>
      </c>
      <c r="F5567" t="s">
        <v>41</v>
      </c>
      <c r="G5567">
        <v>-301.06939999999997</v>
      </c>
      <c r="H5567" s="1">
        <v>-3.4841140000000002E-6</v>
      </c>
      <c r="I5567">
        <v>-2.69408</v>
      </c>
      <c r="J5567">
        <v>-299.74650000000003</v>
      </c>
      <c r="K5567">
        <v>1.0545469999999999</v>
      </c>
      <c r="L5567">
        <v>5.1756589999999996</v>
      </c>
      <c r="M5567">
        <v>0.44816010000000001</v>
      </c>
      <c r="N5567">
        <v>-1.4011900000000001E-2</v>
      </c>
      <c r="O5567">
        <v>-0.89384349999999901</v>
      </c>
      <c r="P5567">
        <v>7.8654500000000002E-2</v>
      </c>
      <c r="Q5567">
        <v>0.1585963</v>
      </c>
      <c r="R5567">
        <v>-0.98420580000000002</v>
      </c>
      <c r="S5567">
        <v>-0.4610901</v>
      </c>
      <c r="T5567">
        <v>-0.40885260000000001</v>
      </c>
      <c r="U5567">
        <v>-3.1639400000000002</v>
      </c>
      <c r="V5567">
        <v>0.37706509999999999</v>
      </c>
      <c r="W5567">
        <v>0.15717239999999999</v>
      </c>
      <c r="X5567">
        <v>0.91275340000000005</v>
      </c>
      <c r="Y5567">
        <v>0.57098340000000003</v>
      </c>
      <c r="Z5567">
        <v>8.1212599999999996E-2</v>
      </c>
      <c r="AA5567">
        <v>0.81693479999999996</v>
      </c>
      <c r="AB5567">
        <v>31</v>
      </c>
      <c r="AC5567">
        <v>-1.32289999999994</v>
      </c>
      <c r="AD5567">
        <v>-1.0545504841140001</v>
      </c>
      <c r="AE5567">
        <v>-7.8697389999999903</v>
      </c>
      <c r="AF5567">
        <v>4.6289960066163296</v>
      </c>
      <c r="AG5567">
        <v>-1.0545504841140001</v>
      </c>
      <c r="AH5567">
        <v>6.33151096207368</v>
      </c>
      <c r="AI5567">
        <v>97.657737538015496</v>
      </c>
      <c r="AJ5567">
        <v>53.829295137223802</v>
      </c>
      <c r="AK5567">
        <v>7.9137672328464497</v>
      </c>
      <c r="AL5567">
        <v>80.9571899727664</v>
      </c>
      <c r="AM5567">
        <v>67.554122526909495</v>
      </c>
      <c r="AN5567">
        <v>1.0000000110856599</v>
      </c>
    </row>
    <row r="5568" spans="1:40" x14ac:dyDescent="0.25">
      <c r="A5568" t="str">
        <f>"20190303162412360"</f>
        <v>20190303162412360</v>
      </c>
      <c r="B5568" t="str">
        <f>"1551601452350472"</f>
        <v>1551601452350472</v>
      </c>
      <c r="C5568" t="s">
        <v>40</v>
      </c>
      <c r="D5568">
        <v>5.7199090000000004</v>
      </c>
      <c r="E5568">
        <v>0.59634830000000005</v>
      </c>
      <c r="F5568" t="s">
        <v>41</v>
      </c>
      <c r="G5568">
        <v>-301.07819999999998</v>
      </c>
      <c r="H5568" s="1">
        <v>-3.3244669999999998E-6</v>
      </c>
      <c r="I5568">
        <v>-3.036775</v>
      </c>
      <c r="J5568">
        <v>-299.61250000000001</v>
      </c>
      <c r="K5568">
        <v>1.0544830000000001</v>
      </c>
      <c r="L5568">
        <v>4.8673710000000003</v>
      </c>
      <c r="M5568">
        <v>0.42953439999999998</v>
      </c>
      <c r="N5568">
        <v>-1.4045739999999999E-2</v>
      </c>
      <c r="O5568">
        <v>-0.90294129999999995</v>
      </c>
      <c r="P5568">
        <v>6.2928590000000006E-2</v>
      </c>
      <c r="Q5568">
        <v>0.1586842</v>
      </c>
      <c r="R5568">
        <v>-0.98532200000000003</v>
      </c>
      <c r="S5568">
        <v>-0.51150509999999905</v>
      </c>
      <c r="T5568">
        <v>-0.40504010000000001</v>
      </c>
      <c r="U5568">
        <v>-3.1542970000000001</v>
      </c>
      <c r="V5568">
        <v>0.37272690000000003</v>
      </c>
      <c r="W5568">
        <v>0.15743080000000001</v>
      </c>
      <c r="X5568">
        <v>0.914489</v>
      </c>
      <c r="Y5568">
        <v>0.56710459999999996</v>
      </c>
      <c r="Z5568">
        <v>8.2336660000000006E-2</v>
      </c>
      <c r="AA5568">
        <v>0.81952000000000003</v>
      </c>
      <c r="AB5568">
        <v>31</v>
      </c>
      <c r="AC5568">
        <v>-1.46569999999996</v>
      </c>
      <c r="AD5568">
        <v>-1.054486324467</v>
      </c>
      <c r="AE5568">
        <v>-7.9041459999999999</v>
      </c>
      <c r="AF5568">
        <v>4.6391854401341597</v>
      </c>
      <c r="AG5568">
        <v>-1.054486324467</v>
      </c>
      <c r="AH5568">
        <v>6.3979672167024901</v>
      </c>
      <c r="AI5568">
        <v>97.6000901979519</v>
      </c>
      <c r="AJ5568">
        <v>54.054018813980903</v>
      </c>
      <c r="AK5568">
        <v>7.9729522425786898</v>
      </c>
      <c r="AL5568">
        <v>80.942197682399794</v>
      </c>
      <c r="AM5568">
        <v>67.825201860130903</v>
      </c>
      <c r="AN5568">
        <v>0.99999996494662402</v>
      </c>
    </row>
    <row r="5569" spans="1:40" x14ac:dyDescent="0.25">
      <c r="A5569" t="str">
        <f>"20190303162412382"</f>
        <v>20190303162412382</v>
      </c>
      <c r="B5569" t="str">
        <f>"1551601452370970"</f>
        <v>1551601452370970</v>
      </c>
      <c r="C5569" t="s">
        <v>40</v>
      </c>
      <c r="D5569">
        <v>5.7394129999999999</v>
      </c>
      <c r="E5569">
        <v>0.59587639999999997</v>
      </c>
      <c r="F5569" t="s">
        <v>41</v>
      </c>
      <c r="G5569">
        <v>-301.08800000000002</v>
      </c>
      <c r="H5569" s="1">
        <v>-3.1489609999999998E-6</v>
      </c>
      <c r="I5569">
        <v>-3.4135</v>
      </c>
      <c r="J5569">
        <v>-299.49470000000002</v>
      </c>
      <c r="K5569">
        <v>1.0544480000000001</v>
      </c>
      <c r="L5569">
        <v>4.5806579999999997</v>
      </c>
      <c r="M5569">
        <v>0.41215560000000001</v>
      </c>
      <c r="N5569">
        <v>-1.407391E-2</v>
      </c>
      <c r="O5569">
        <v>-0.91100479999999995</v>
      </c>
      <c r="P5569">
        <v>5.0409229999999999E-2</v>
      </c>
      <c r="Q5569">
        <v>0.1610723</v>
      </c>
      <c r="R5569">
        <v>-0.98565480000000005</v>
      </c>
      <c r="S5569">
        <v>-0.56033330000000003</v>
      </c>
      <c r="T5569">
        <v>-0.40047909999999998</v>
      </c>
      <c r="U5569">
        <v>-3.1449579999999999</v>
      </c>
      <c r="V5569">
        <v>0.36675360000000001</v>
      </c>
      <c r="W5569">
        <v>0.16006119999999999</v>
      </c>
      <c r="X5569">
        <v>0.91644539999999997</v>
      </c>
      <c r="Y5569">
        <v>0.5641081</v>
      </c>
      <c r="Z5569">
        <v>8.3009819999999998E-2</v>
      </c>
      <c r="AA5569">
        <v>0.82151779999999996</v>
      </c>
      <c r="AB5569">
        <v>31</v>
      </c>
      <c r="AC5569">
        <v>-1.59329999999994</v>
      </c>
      <c r="AD5569">
        <v>-1.054451148961</v>
      </c>
      <c r="AE5569">
        <v>-7.9941579999999997</v>
      </c>
      <c r="AF5569">
        <v>4.6686869630182901</v>
      </c>
      <c r="AG5569">
        <v>-1.054451148961</v>
      </c>
      <c r="AH5569">
        <v>6.5176216089015702</v>
      </c>
      <c r="AI5569">
        <v>97.492710674509397</v>
      </c>
      <c r="AJ5569">
        <v>54.385308970528499</v>
      </c>
      <c r="AK5569">
        <v>8.0862782923309595</v>
      </c>
      <c r="AL5569">
        <v>80.789551318973295</v>
      </c>
      <c r="AM5569">
        <v>68.189135590688906</v>
      </c>
      <c r="AN5569">
        <v>0.99999998101977905</v>
      </c>
    </row>
    <row r="5570" spans="1:40" x14ac:dyDescent="0.25">
      <c r="A5570" t="str">
        <f>"20190303162412425"</f>
        <v>20190303162412425</v>
      </c>
      <c r="B5570" t="str">
        <f>"1551601452420745"</f>
        <v>1551601452420745</v>
      </c>
      <c r="C5570" t="s">
        <v>40</v>
      </c>
      <c r="D5570">
        <v>5.7532259999999997</v>
      </c>
      <c r="E5570">
        <v>0.59487509999999999</v>
      </c>
      <c r="F5570" t="s">
        <v>41</v>
      </c>
      <c r="G5570">
        <v>-301.11959999999999</v>
      </c>
      <c r="H5570" s="1">
        <v>-2.9098519999999998E-6</v>
      </c>
      <c r="I5570">
        <v>-3.93716</v>
      </c>
      <c r="J5570">
        <v>-299.28219999999999</v>
      </c>
      <c r="K5570">
        <v>1.05437</v>
      </c>
      <c r="L5570">
        <v>4.017639</v>
      </c>
      <c r="M5570">
        <v>0.37788870000000002</v>
      </c>
      <c r="N5570">
        <v>-1.412223E-2</v>
      </c>
      <c r="O5570">
        <v>-0.92574350000000005</v>
      </c>
      <c r="P5570">
        <v>2.4105359999999999E-2</v>
      </c>
      <c r="Q5570">
        <v>0.16556679999999999</v>
      </c>
      <c r="R5570">
        <v>-0.98590420000000001</v>
      </c>
      <c r="S5570">
        <v>-0.59857179999999999</v>
      </c>
      <c r="T5570">
        <v>-0.3884339</v>
      </c>
      <c r="U5570">
        <v>-3.137756</v>
      </c>
      <c r="V5570">
        <v>0.35689569999999998</v>
      </c>
      <c r="W5570">
        <v>0.1649534</v>
      </c>
      <c r="X5570">
        <v>0.91946499999999998</v>
      </c>
      <c r="Y5570">
        <v>0.54325970000000001</v>
      </c>
      <c r="Z5570">
        <v>8.3755700000000002E-2</v>
      </c>
      <c r="AA5570">
        <v>0.83537640000000002</v>
      </c>
      <c r="AB5570">
        <v>31</v>
      </c>
      <c r="AC5570">
        <v>-1.8373999999999999</v>
      </c>
      <c r="AD5570">
        <v>-1.0543729098520001</v>
      </c>
      <c r="AE5570">
        <v>-7.9547989999999897</v>
      </c>
      <c r="AF5570">
        <v>4.6302331391750799</v>
      </c>
      <c r="AG5570">
        <v>-1.0543729098520001</v>
      </c>
      <c r="AH5570">
        <v>6.5610071891442097</v>
      </c>
      <c r="AI5570">
        <v>97.480099169879097</v>
      </c>
      <c r="AJ5570">
        <v>54.788621073646802</v>
      </c>
      <c r="AK5570">
        <v>8.0992330804926809</v>
      </c>
      <c r="AL5570">
        <v>80.505472853339995</v>
      </c>
      <c r="AM5570">
        <v>68.785987136174398</v>
      </c>
      <c r="AN5570">
        <v>1.0000000255375201</v>
      </c>
    </row>
    <row r="5571" spans="1:40" x14ac:dyDescent="0.25">
      <c r="A5571" t="str">
        <f>"20190303162412447"</f>
        <v>20190303162412447</v>
      </c>
      <c r="B5571" t="str">
        <f>"1551601452440266"</f>
        <v>1551601452440266</v>
      </c>
      <c r="C5571" t="s">
        <v>40</v>
      </c>
      <c r="D5571">
        <v>5.7695030000000003</v>
      </c>
      <c r="E5571">
        <v>0.55628049999999996</v>
      </c>
      <c r="F5571" t="s">
        <v>41</v>
      </c>
      <c r="G5571">
        <v>-301.17970000000003</v>
      </c>
      <c r="H5571" s="1">
        <v>-2.5089429999999999E-6</v>
      </c>
      <c r="I5571">
        <v>-4.8190770000000001</v>
      </c>
      <c r="J5571">
        <v>-299.18169999999998</v>
      </c>
      <c r="K5571">
        <v>1.054343</v>
      </c>
      <c r="L5571">
        <v>3.7266849999999998</v>
      </c>
      <c r="M5571">
        <v>0.36011710000000002</v>
      </c>
      <c r="N5571">
        <v>-1.414406E-2</v>
      </c>
      <c r="O5571">
        <v>-0.93279990000000002</v>
      </c>
      <c r="P5571">
        <v>1.0252539999999999E-2</v>
      </c>
      <c r="Q5571">
        <v>0.16690089999999999</v>
      </c>
      <c r="R5571">
        <v>-0.98592049999999998</v>
      </c>
      <c r="S5571">
        <v>-0.67034910000000003</v>
      </c>
      <c r="T5571">
        <v>-0.37248769999999998</v>
      </c>
      <c r="U5571">
        <v>-3.121826</v>
      </c>
      <c r="V5571">
        <v>0.35220410000000002</v>
      </c>
      <c r="W5571">
        <v>0.16647890000000001</v>
      </c>
      <c r="X5571">
        <v>0.92099790000000004</v>
      </c>
      <c r="Y5571">
        <v>0.54653680000000004</v>
      </c>
      <c r="Z5571">
        <v>8.1080609999999997E-2</v>
      </c>
      <c r="AA5571">
        <v>0.83350069999999998</v>
      </c>
      <c r="AB5571">
        <v>31</v>
      </c>
      <c r="AC5571">
        <v>-1.99800000000004</v>
      </c>
      <c r="AD5571">
        <v>-1.0543455089430001</v>
      </c>
      <c r="AE5571">
        <v>-8.5457619999999999</v>
      </c>
      <c r="AF5571">
        <v>4.8713955611066302</v>
      </c>
      <c r="AG5571">
        <v>-1.0543455089430001</v>
      </c>
      <c r="AH5571">
        <v>7.1495098553598897</v>
      </c>
      <c r="AI5571">
        <v>96.948401940130793</v>
      </c>
      <c r="AJ5571">
        <v>55.731017491810903</v>
      </c>
      <c r="AK5571">
        <v>8.7153674814597402</v>
      </c>
      <c r="AL5571">
        <v>80.416842848197803</v>
      </c>
      <c r="AM5571">
        <v>69.072358787158393</v>
      </c>
      <c r="AN5571">
        <v>1.00000004200321</v>
      </c>
    </row>
    <row r="5572" spans="1:40" x14ac:dyDescent="0.25">
      <c r="A5572" t="str">
        <f>"20190303162412468"</f>
        <v>20190303162412468</v>
      </c>
      <c r="B5572" t="str">
        <f>"1551601452460761"</f>
        <v>1551601452460761</v>
      </c>
      <c r="C5572" t="s">
        <v>40</v>
      </c>
      <c r="D5572">
        <v>5.7853120000000002</v>
      </c>
      <c r="E5572">
        <v>0.55539700000000003</v>
      </c>
      <c r="F5572" t="s">
        <v>41</v>
      </c>
      <c r="G5572">
        <v>-301.32679999999999</v>
      </c>
      <c r="H5572" s="1">
        <v>-3.7734740000000001E-6</v>
      </c>
      <c r="I5572">
        <v>-12.437720000000001</v>
      </c>
      <c r="J5572">
        <v>-299.08659999999998</v>
      </c>
      <c r="K5572">
        <v>1.0543229999999999</v>
      </c>
      <c r="L5572">
        <v>3.433319</v>
      </c>
      <c r="M5572">
        <v>0.34216029999999997</v>
      </c>
      <c r="N5572">
        <v>-1.4163729999999999E-2</v>
      </c>
      <c r="O5572">
        <v>-0.93953500000000001</v>
      </c>
      <c r="P5572">
        <v>-1.9202869999999999E-3</v>
      </c>
      <c r="Q5572">
        <v>0.1693886</v>
      </c>
      <c r="R5572">
        <v>-0.98554799999999998</v>
      </c>
      <c r="S5572">
        <v>-0.40887449999999997</v>
      </c>
      <c r="T5572">
        <v>-0.20097019999999999</v>
      </c>
      <c r="U5572">
        <v>-3.0811160000000002</v>
      </c>
      <c r="V5572">
        <v>0.34585660000000001</v>
      </c>
      <c r="W5572">
        <v>0.16922970000000001</v>
      </c>
      <c r="X5572">
        <v>0.92290000000000005</v>
      </c>
      <c r="Y5572">
        <v>0.46241009999999999</v>
      </c>
      <c r="Z5572">
        <v>4.0748760000000002E-2</v>
      </c>
      <c r="AA5572">
        <v>0.8857294</v>
      </c>
      <c r="AB5572">
        <v>31</v>
      </c>
      <c r="AC5572">
        <v>-2.24020000000001</v>
      </c>
      <c r="AD5572">
        <v>-1.0543267734739901</v>
      </c>
      <c r="AE5572">
        <v>-15.871039</v>
      </c>
      <c r="AF5572">
        <v>7.5034741486682401</v>
      </c>
      <c r="AG5572">
        <v>-1.0543267734739901</v>
      </c>
      <c r="AH5572">
        <v>14.0853607425798</v>
      </c>
      <c r="AI5572">
        <v>93.779664004934006</v>
      </c>
      <c r="AJ5572">
        <v>61.955130294255397</v>
      </c>
      <c r="AK5572">
        <v>15.9940963012483</v>
      </c>
      <c r="AL5572">
        <v>80.256964236756005</v>
      </c>
      <c r="AM5572">
        <v>69.456523318059993</v>
      </c>
      <c r="AN5572">
        <v>0.99999994456282304</v>
      </c>
    </row>
    <row r="5573" spans="1:40" x14ac:dyDescent="0.25">
      <c r="A5573" t="str">
        <f>"20190303162412491"</f>
        <v>20190303162412491</v>
      </c>
      <c r="B5573" t="str">
        <f>"1551601452480281"</f>
        <v>1551601452480281</v>
      </c>
      <c r="C5573" t="s">
        <v>40</v>
      </c>
      <c r="D5573">
        <v>5.8057309999999998</v>
      </c>
      <c r="E5573">
        <v>0.55445119999999903</v>
      </c>
      <c r="F5573" t="s">
        <v>41</v>
      </c>
      <c r="G5573">
        <v>-301.41829999999999</v>
      </c>
      <c r="H5573" s="1">
        <v>-3.6149170000000002E-6</v>
      </c>
      <c r="I5573">
        <v>-12.864089999999999</v>
      </c>
      <c r="J5573">
        <v>-298.9948</v>
      </c>
      <c r="K5573">
        <v>1.0543</v>
      </c>
      <c r="L5573">
        <v>3.1301570000000001</v>
      </c>
      <c r="M5573">
        <v>0.32356299999999999</v>
      </c>
      <c r="N5573">
        <v>-1.4181650000000001E-2</v>
      </c>
      <c r="O5573">
        <v>-0.94610039999999995</v>
      </c>
      <c r="P5573">
        <v>-1.398333E-2</v>
      </c>
      <c r="Q5573">
        <v>0.1724234</v>
      </c>
      <c r="R5573">
        <v>-0.98492400000000002</v>
      </c>
      <c r="S5573">
        <v>-0.44027709999999998</v>
      </c>
      <c r="T5573">
        <v>-0.19908339999999999</v>
      </c>
      <c r="U5573">
        <v>-3.0773619999999999</v>
      </c>
      <c r="V5573">
        <v>0.3388892</v>
      </c>
      <c r="W5573">
        <v>0.1725556</v>
      </c>
      <c r="X5573">
        <v>0.92486690000000005</v>
      </c>
      <c r="Y5573">
        <v>0.4539242</v>
      </c>
      <c r="Z5573">
        <v>4.1013460000000002E-2</v>
      </c>
      <c r="AA5573">
        <v>0.89009590000000005</v>
      </c>
      <c r="AB5573">
        <v>31</v>
      </c>
      <c r="AC5573">
        <v>-2.42349999999999</v>
      </c>
      <c r="AD5573">
        <v>-1.054303614917</v>
      </c>
      <c r="AE5573">
        <v>-15.994247</v>
      </c>
      <c r="AF5573">
        <v>7.4371812741317598</v>
      </c>
      <c r="AG5573">
        <v>-1.054303614917</v>
      </c>
      <c r="AH5573">
        <v>14.288757693328501</v>
      </c>
      <c r="AI5573">
        <v>93.744701218148506</v>
      </c>
      <c r="AJ5573">
        <v>62.503392175249601</v>
      </c>
      <c r="AK5573">
        <v>16.142856557479998</v>
      </c>
      <c r="AL5573">
        <v>80.063560133596894</v>
      </c>
      <c r="AM5573">
        <v>69.876184528687901</v>
      </c>
      <c r="AN5573">
        <v>1.0000000538417999</v>
      </c>
    </row>
    <row r="5574" spans="1:40" x14ac:dyDescent="0.25">
      <c r="A5574" t="str">
        <f>"20190303162412514"</f>
        <v>20190303162412514</v>
      </c>
      <c r="B5574" t="str">
        <f>"1551601452500778"</f>
        <v>1551601452500778</v>
      </c>
      <c r="C5574" t="s">
        <v>40</v>
      </c>
      <c r="D5574">
        <v>5.8738020000000004</v>
      </c>
      <c r="E5574">
        <v>0.55351450000000002</v>
      </c>
      <c r="F5574" t="s">
        <v>41</v>
      </c>
      <c r="G5574">
        <v>-301.54950000000002</v>
      </c>
      <c r="H5574" s="1">
        <v>-3.3536130000000001E-6</v>
      </c>
      <c r="I5574">
        <v>-13.554550000000001</v>
      </c>
      <c r="J5574">
        <v>-298.90890000000002</v>
      </c>
      <c r="K5574">
        <v>1.054281</v>
      </c>
      <c r="L5574">
        <v>2.8249819999999999</v>
      </c>
      <c r="M5574">
        <v>0.30480570000000001</v>
      </c>
      <c r="N5574">
        <v>-1.4197799999999899E-2</v>
      </c>
      <c r="O5574">
        <v>-0.95230870000000001</v>
      </c>
      <c r="P5574">
        <v>-2.4530590000000001E-2</v>
      </c>
      <c r="Q5574">
        <v>0.17456669999999999</v>
      </c>
      <c r="R5574">
        <v>-0.98433999999999999</v>
      </c>
      <c r="S5574">
        <v>-0.47055049999999998</v>
      </c>
      <c r="T5574">
        <v>-0.1941975</v>
      </c>
      <c r="U5574">
        <v>-3.073242</v>
      </c>
      <c r="V5574">
        <v>0.33047110000000002</v>
      </c>
      <c r="W5574">
        <v>0.17505519999999999</v>
      </c>
      <c r="X5574">
        <v>0.92743980000000004</v>
      </c>
      <c r="Y5574">
        <v>0.44506479999999998</v>
      </c>
      <c r="Z5574">
        <v>4.0397809999999999E-2</v>
      </c>
      <c r="AA5574">
        <v>0.89458669999999996</v>
      </c>
      <c r="AB5574">
        <v>31</v>
      </c>
      <c r="AC5574">
        <v>-2.6406000000000001</v>
      </c>
      <c r="AD5574">
        <v>-1.054284353613</v>
      </c>
      <c r="AE5574">
        <v>-16.379532000000001</v>
      </c>
      <c r="AF5574">
        <v>7.4778024199700299</v>
      </c>
      <c r="AG5574">
        <v>-1.054284353613</v>
      </c>
      <c r="AH5574">
        <v>14.7354901423921</v>
      </c>
      <c r="AI5574">
        <v>93.650642423848495</v>
      </c>
      <c r="AJ5574">
        <v>63.093625156339598</v>
      </c>
      <c r="AK5574">
        <v>16.5578897890679</v>
      </c>
      <c r="AL5574">
        <v>79.918129851437797</v>
      </c>
      <c r="AM5574">
        <v>70.387684560414002</v>
      </c>
      <c r="AN5574">
        <v>1.0000000268031399</v>
      </c>
    </row>
    <row r="5575" spans="1:40" x14ac:dyDescent="0.25">
      <c r="A5575" t="str">
        <f>"20190303162412536"</f>
        <v>20190303162412536</v>
      </c>
      <c r="B5575" t="str">
        <f>"1551601452530057"</f>
        <v>1551601452530057</v>
      </c>
      <c r="C5575" t="s">
        <v>40</v>
      </c>
      <c r="D5575">
        <v>5.8200129999999897</v>
      </c>
      <c r="E5575">
        <v>0.52031280000000002</v>
      </c>
      <c r="F5575" t="s">
        <v>41</v>
      </c>
      <c r="G5575">
        <v>-301.61149999999998</v>
      </c>
      <c r="H5575" s="1">
        <v>-3.2166339999999999E-6</v>
      </c>
      <c r="I5575">
        <v>-13.91231</v>
      </c>
      <c r="J5575">
        <v>-298.8297</v>
      </c>
      <c r="K5575">
        <v>1.0542640000000001</v>
      </c>
      <c r="L5575">
        <v>2.5217900000000002</v>
      </c>
      <c r="M5575">
        <v>0.28613559999999999</v>
      </c>
      <c r="N5575">
        <v>-1.4212229999999999E-2</v>
      </c>
      <c r="O5575">
        <v>-0.95808369999999998</v>
      </c>
      <c r="P5575">
        <v>-3.2423189999999998E-2</v>
      </c>
      <c r="Q5575">
        <v>0.17456450000000001</v>
      </c>
      <c r="R5575">
        <v>-0.98411179999999998</v>
      </c>
      <c r="S5575">
        <v>-0.49566650000000001</v>
      </c>
      <c r="T5575">
        <v>-0.193359</v>
      </c>
      <c r="U5575">
        <v>-3.0696720000000002</v>
      </c>
      <c r="V5575">
        <v>0.31975219999999999</v>
      </c>
      <c r="W5575">
        <v>0.17551520000000001</v>
      </c>
      <c r="X5575">
        <v>0.93110309999999996</v>
      </c>
      <c r="Y5575">
        <v>0.43484250000000002</v>
      </c>
      <c r="Z5575">
        <v>4.088145E-2</v>
      </c>
      <c r="AA5575">
        <v>0.89957799999999999</v>
      </c>
      <c r="AB5575">
        <v>31</v>
      </c>
      <c r="AC5575">
        <v>-2.7817999999999699</v>
      </c>
      <c r="AD5575">
        <v>-1.0542672166339999</v>
      </c>
      <c r="AE5575">
        <v>-16.434100000000001</v>
      </c>
      <c r="AF5575">
        <v>7.3389613766968198</v>
      </c>
      <c r="AG5575">
        <v>-1.0542672166339999</v>
      </c>
      <c r="AH5575">
        <v>14.8912058163464</v>
      </c>
      <c r="AI5575">
        <v>93.633660469219706</v>
      </c>
      <c r="AJ5575">
        <v>63.764141519520599</v>
      </c>
      <c r="AK5575">
        <v>16.634898380137599</v>
      </c>
      <c r="AL5575">
        <v>79.891359242533696</v>
      </c>
      <c r="AM5575">
        <v>71.046901197089795</v>
      </c>
      <c r="AN5575">
        <v>1.00000001883274</v>
      </c>
    </row>
    <row r="5576" spans="1:40" x14ac:dyDescent="0.25">
      <c r="A5576" t="str">
        <f>"20190303162412560"</f>
        <v>20190303162412560</v>
      </c>
      <c r="B5576" t="str">
        <f>"1551601452550085"</f>
        <v>1551601452550085</v>
      </c>
      <c r="C5576" t="s">
        <v>40</v>
      </c>
      <c r="D5576">
        <v>5.7679999999999998</v>
      </c>
      <c r="E5576">
        <v>0.51584609999999997</v>
      </c>
      <c r="F5576" t="s">
        <v>41</v>
      </c>
      <c r="G5576">
        <v>-300.18209999999999</v>
      </c>
      <c r="H5576" s="1">
        <v>-2.9286359999999999E-6</v>
      </c>
      <c r="I5576">
        <v>-13.69711</v>
      </c>
      <c r="J5576">
        <v>-298.74919999999997</v>
      </c>
      <c r="K5576">
        <v>1.0542309999999999</v>
      </c>
      <c r="L5576">
        <v>2.1858219999999999</v>
      </c>
      <c r="M5576">
        <v>0.26541039999999999</v>
      </c>
      <c r="N5576">
        <v>-1.422648E-2</v>
      </c>
      <c r="O5576">
        <v>-0.96403059999999996</v>
      </c>
      <c r="P5576">
        <v>-4.1946579999999997E-2</v>
      </c>
      <c r="Q5576">
        <v>0.1744503</v>
      </c>
      <c r="R5576">
        <v>-0.98377219999999999</v>
      </c>
      <c r="S5576">
        <v>-0.25643919999999998</v>
      </c>
      <c r="T5576">
        <v>-0.1999109</v>
      </c>
      <c r="U5576">
        <v>-3.0754389999999998</v>
      </c>
      <c r="V5576">
        <v>0.30865609999999999</v>
      </c>
      <c r="W5576">
        <v>0.17587949999999999</v>
      </c>
      <c r="X5576">
        <v>0.93477149999999998</v>
      </c>
      <c r="Y5576">
        <v>0.34433340000000001</v>
      </c>
      <c r="Z5576">
        <v>4.4915070000000001E-2</v>
      </c>
      <c r="AA5576">
        <v>0.93777250000000001</v>
      </c>
      <c r="AB5576">
        <v>31</v>
      </c>
      <c r="AC5576">
        <v>-1.4329000000000101</v>
      </c>
      <c r="AD5576">
        <v>-1.0542339286360001</v>
      </c>
      <c r="AE5576">
        <v>-15.882932</v>
      </c>
      <c r="AF5576">
        <v>5.5730661474785803</v>
      </c>
      <c r="AG5576">
        <v>-1.0542339286360001</v>
      </c>
      <c r="AH5576">
        <v>14.867862428239</v>
      </c>
      <c r="AI5576">
        <v>93.798617415030293</v>
      </c>
      <c r="AJ5576">
        <v>69.452003815376202</v>
      </c>
      <c r="AK5576">
        <v>15.9130075298637</v>
      </c>
      <c r="AL5576">
        <v>79.870156085930901</v>
      </c>
      <c r="AM5576">
        <v>71.727078040318503</v>
      </c>
      <c r="AN5576">
        <v>0.99999997189985401</v>
      </c>
    </row>
    <row r="5577" spans="1:40" x14ac:dyDescent="0.25">
      <c r="A5577" t="str">
        <f>"20190303162412626"</f>
        <v>20190303162412626</v>
      </c>
      <c r="B5577" t="str">
        <f>"1551601452610597"</f>
        <v>1551601452610597</v>
      </c>
      <c r="C5577" t="s">
        <v>40</v>
      </c>
      <c r="D5577">
        <v>5.7419609999999999</v>
      </c>
      <c r="E5577">
        <v>0.51101370000000002</v>
      </c>
      <c r="F5577" t="s">
        <v>41</v>
      </c>
      <c r="G5577">
        <v>-300.17439999999999</v>
      </c>
      <c r="H5577" s="1">
        <v>-2.3325340000000002E-6</v>
      </c>
      <c r="I5577">
        <v>-15.081860000000001</v>
      </c>
      <c r="J5577">
        <v>-298.57299999999998</v>
      </c>
      <c r="K5577">
        <v>1.0541769999999999</v>
      </c>
      <c r="L5577">
        <v>1.294891</v>
      </c>
      <c r="M5577">
        <v>0.21030309999999999</v>
      </c>
      <c r="N5577">
        <v>-1.4256420000000001E-2</v>
      </c>
      <c r="O5577">
        <v>-0.97753239999999997</v>
      </c>
      <c r="P5577">
        <v>-6.5320310000000006E-2</v>
      </c>
      <c r="Q5577">
        <v>0.17464939999999901</v>
      </c>
      <c r="R5577">
        <v>-0.98246199999999995</v>
      </c>
      <c r="S5577">
        <v>-0.25353999999999999</v>
      </c>
      <c r="T5577">
        <v>-0.18754860000000001</v>
      </c>
      <c r="U5577">
        <v>-3.07193</v>
      </c>
      <c r="V5577">
        <v>0.27763890000000002</v>
      </c>
      <c r="W5577">
        <v>0.17741609999999999</v>
      </c>
      <c r="X5577">
        <v>0.94416109999999998</v>
      </c>
      <c r="Y5577">
        <v>0.28978389999999998</v>
      </c>
      <c r="Z5577">
        <v>4.3123429999999997E-2</v>
      </c>
      <c r="AA5577">
        <v>0.95612010000000003</v>
      </c>
      <c r="AB5577">
        <v>31</v>
      </c>
      <c r="AC5577">
        <v>-1.6014000000000099</v>
      </c>
      <c r="AD5577">
        <v>-1.0541793325339901</v>
      </c>
      <c r="AE5577">
        <v>-16.376750999999999</v>
      </c>
      <c r="AF5577">
        <v>4.9895318590709197</v>
      </c>
      <c r="AG5577">
        <v>-1.0541793325339901</v>
      </c>
      <c r="AH5577">
        <v>15.609549890149999</v>
      </c>
      <c r="AI5577">
        <v>93.680643587712197</v>
      </c>
      <c r="AJ5577">
        <v>72.273723368269401</v>
      </c>
      <c r="AK5577">
        <v>16.421472833181198</v>
      </c>
      <c r="AL5577">
        <v>79.780709104075697</v>
      </c>
      <c r="AM5577">
        <v>73.613561843967901</v>
      </c>
      <c r="AN5577">
        <v>1.0000000070428099</v>
      </c>
    </row>
    <row r="5578" spans="1:40" x14ac:dyDescent="0.25">
      <c r="A5578" t="str">
        <f>"20190303162412647"</f>
        <v>20190303162412647</v>
      </c>
      <c r="B5578" t="str">
        <f>"1551601452640853"</f>
        <v>1551601452640853</v>
      </c>
      <c r="C5578" t="s">
        <v>40</v>
      </c>
      <c r="D5578">
        <v>5.7647969999999997</v>
      </c>
      <c r="E5578">
        <v>0.50924809999999998</v>
      </c>
      <c r="F5578" t="s">
        <v>41</v>
      </c>
      <c r="G5578">
        <v>-300.02390000000003</v>
      </c>
      <c r="H5578" s="1">
        <v>-2.6942750000000001E-6</v>
      </c>
      <c r="I5578">
        <v>-14.14526</v>
      </c>
      <c r="J5578">
        <v>-298.52499999999998</v>
      </c>
      <c r="K5578">
        <v>1.054249</v>
      </c>
      <c r="L5578">
        <v>0.99243159999999997</v>
      </c>
      <c r="M5578">
        <v>0.1914498</v>
      </c>
      <c r="N5578">
        <v>-1.4349290000000001E-2</v>
      </c>
      <c r="O5578">
        <v>-0.98139759999999998</v>
      </c>
      <c r="P5578">
        <v>-7.4695479999999995E-2</v>
      </c>
      <c r="Q5578">
        <v>0.17259849999999999</v>
      </c>
      <c r="R5578">
        <v>-0.98215589999999997</v>
      </c>
      <c r="S5578">
        <v>-0.28863529999999998</v>
      </c>
      <c r="T5578">
        <v>-0.20971790000000001</v>
      </c>
      <c r="U5578">
        <v>-3.0716549999999998</v>
      </c>
      <c r="V5578">
        <v>0.2684183</v>
      </c>
      <c r="W5578">
        <v>0.175890299999999</v>
      </c>
      <c r="X5578">
        <v>0.94710830000000001</v>
      </c>
      <c r="Y5578">
        <v>0.2821574</v>
      </c>
      <c r="Z5578">
        <v>5.0242870000000002E-2</v>
      </c>
      <c r="AA5578">
        <v>0.9580516</v>
      </c>
      <c r="AB5578">
        <v>31</v>
      </c>
      <c r="AC5578">
        <v>-1.4989000000000401</v>
      </c>
      <c r="AD5578">
        <v>-1.054251694275</v>
      </c>
      <c r="AE5578">
        <v>-15.1376916</v>
      </c>
      <c r="AF5578">
        <v>4.3486867039292996</v>
      </c>
      <c r="AG5578">
        <v>-1.054251694275</v>
      </c>
      <c r="AH5578">
        <v>14.500977638168401</v>
      </c>
      <c r="AI5578">
        <v>93.983539132304898</v>
      </c>
      <c r="AJ5578">
        <v>73.306579700516494</v>
      </c>
      <c r="AK5578">
        <v>15.1756672059739</v>
      </c>
      <c r="AL5578">
        <v>79.869527336257207</v>
      </c>
      <c r="AM5578">
        <v>74.176833028286197</v>
      </c>
      <c r="AN5578">
        <v>0.99999995666893404</v>
      </c>
    </row>
    <row r="5579" spans="1:40" x14ac:dyDescent="0.25">
      <c r="A5579" t="str">
        <f>"20190303162412670"</f>
        <v>20190303162412670</v>
      </c>
      <c r="B5579" t="str">
        <f>"1551601452660805"</f>
        <v>1551601452660805</v>
      </c>
      <c r="C5579" t="s">
        <v>40</v>
      </c>
      <c r="D5579">
        <v>5.7433829999999997</v>
      </c>
      <c r="E5579">
        <v>0.50843320000000003</v>
      </c>
      <c r="F5579" t="s">
        <v>41</v>
      </c>
      <c r="G5579">
        <v>-299.8766</v>
      </c>
      <c r="H5579" s="1">
        <v>-3.322125E-6</v>
      </c>
      <c r="I5579">
        <v>-12.67426</v>
      </c>
      <c r="J5579">
        <v>-298.48070000000001</v>
      </c>
      <c r="K5579">
        <v>1.0548879999999901</v>
      </c>
      <c r="L5579">
        <v>0.67706299999999997</v>
      </c>
      <c r="M5579">
        <v>0.171814299999999</v>
      </c>
      <c r="N5579">
        <v>-1.498913E-2</v>
      </c>
      <c r="O5579">
        <v>-0.98501539999999999</v>
      </c>
      <c r="P5579">
        <v>-8.5553870000000004E-2</v>
      </c>
      <c r="Q5579">
        <v>0.1696047</v>
      </c>
      <c r="R5579">
        <v>-0.98179190000000005</v>
      </c>
      <c r="S5579">
        <v>-0.30392459999999999</v>
      </c>
      <c r="T5579">
        <v>-0.23705660000000001</v>
      </c>
      <c r="U5579">
        <v>-3.0730590000000002</v>
      </c>
      <c r="V5579">
        <v>0.2597816</v>
      </c>
      <c r="W5579">
        <v>0.17412929999999999</v>
      </c>
      <c r="X5579">
        <v>0.94983819999999997</v>
      </c>
      <c r="Y5579">
        <v>0.26758999999999999</v>
      </c>
      <c r="Z5579">
        <v>5.8529850000000001E-2</v>
      </c>
      <c r="AA5579">
        <v>0.96175350000000004</v>
      </c>
      <c r="AB5579">
        <v>30</v>
      </c>
      <c r="AC5579">
        <v>-1.3958999999999799</v>
      </c>
      <c r="AD5579">
        <v>-1.05489132212499</v>
      </c>
      <c r="AE5579">
        <v>-13.351323000000001</v>
      </c>
      <c r="AF5579">
        <v>3.64682356505927</v>
      </c>
      <c r="AG5579">
        <v>-1.05489132212499</v>
      </c>
      <c r="AH5579">
        <v>12.8336236366547</v>
      </c>
      <c r="AI5579">
        <v>94.520810398906804</v>
      </c>
      <c r="AJ5579">
        <v>74.136883764293302</v>
      </c>
      <c r="AK5579">
        <v>13.3833483651688</v>
      </c>
      <c r="AL5579">
        <v>79.972007761232007</v>
      </c>
      <c r="AM5579">
        <v>74.703632664153702</v>
      </c>
      <c r="AN5579">
        <v>1.00000004949814</v>
      </c>
    </row>
    <row r="5580" spans="1:40" x14ac:dyDescent="0.25">
      <c r="A5580" t="str">
        <f>"20190303162412694"</f>
        <v>20190303162412694</v>
      </c>
      <c r="B5580" t="str">
        <f>"1551601452680325"</f>
        <v>1551601452680325</v>
      </c>
      <c r="C5580" t="s">
        <v>40</v>
      </c>
      <c r="D5580">
        <v>6.0021839999999997</v>
      </c>
      <c r="E5580">
        <v>0.5076832</v>
      </c>
      <c r="F5580" t="s">
        <v>41</v>
      </c>
      <c r="G5580">
        <v>-299.82170000000002</v>
      </c>
      <c r="H5580" s="1">
        <v>-3.739263E-6</v>
      </c>
      <c r="I5580">
        <v>-11.724600000000001</v>
      </c>
      <c r="J5580">
        <v>-298.43920000000003</v>
      </c>
      <c r="K5580">
        <v>1.0557540000000001</v>
      </c>
      <c r="L5580">
        <v>0.3407288</v>
      </c>
      <c r="M5580">
        <v>0.1519654</v>
      </c>
      <c r="N5580">
        <v>-1.5851730000000001E-2</v>
      </c>
      <c r="O5580">
        <v>-0.98825879999999999</v>
      </c>
      <c r="P5580">
        <v>-9.3937359999999998E-2</v>
      </c>
      <c r="Q5580">
        <v>0.1682109</v>
      </c>
      <c r="R5580">
        <v>-0.9812649</v>
      </c>
      <c r="S5580">
        <v>-0.33218379999999997</v>
      </c>
      <c r="T5580">
        <v>-0.26129200000000002</v>
      </c>
      <c r="U5580">
        <v>-3.0718380000000001</v>
      </c>
      <c r="V5580">
        <v>0.24866389999999999</v>
      </c>
      <c r="W5580">
        <v>0.17416870000000001</v>
      </c>
      <c r="X5580">
        <v>0.95280189999999998</v>
      </c>
      <c r="Y5580">
        <v>0.25691760000000002</v>
      </c>
      <c r="Z5580">
        <v>6.5679929999999997E-2</v>
      </c>
      <c r="AA5580">
        <v>0.96419889999999997</v>
      </c>
      <c r="AB5580">
        <v>30</v>
      </c>
      <c r="AC5580">
        <v>-1.3824999999999901</v>
      </c>
      <c r="AD5580">
        <v>-1.055757739263</v>
      </c>
      <c r="AE5580">
        <v>-12.0653288</v>
      </c>
      <c r="AF5580">
        <v>3.1761777014747601</v>
      </c>
      <c r="AG5580">
        <v>-1.055757739263</v>
      </c>
      <c r="AH5580">
        <v>11.627172105049199</v>
      </c>
      <c r="AI5580">
        <v>95.005853438689499</v>
      </c>
      <c r="AJ5580">
        <v>74.721351190250601</v>
      </c>
      <c r="AK5580">
        <v>12.0993330541726</v>
      </c>
      <c r="AL5580">
        <v>79.9697144300508</v>
      </c>
      <c r="AM5580">
        <v>75.373108424247604</v>
      </c>
      <c r="AN5580">
        <v>0.99999996593325402</v>
      </c>
    </row>
    <row r="5581" spans="1:40" x14ac:dyDescent="0.25">
      <c r="A5581" t="str">
        <f>"20190303162412716"</f>
        <v>20190303162412716</v>
      </c>
      <c r="B5581" t="str">
        <f>"1551601452710581"</f>
        <v>1551601452710581</v>
      </c>
      <c r="C5581" t="s">
        <v>40</v>
      </c>
      <c r="D5581">
        <v>5.7934640000000002</v>
      </c>
      <c r="E5581">
        <v>0.50712409999999997</v>
      </c>
      <c r="F5581" t="s">
        <v>41</v>
      </c>
      <c r="G5581">
        <v>-299.84120000000001</v>
      </c>
      <c r="H5581" s="1">
        <v>-3.6734490000000001E-6</v>
      </c>
      <c r="I5581">
        <v>-11.869960000000001</v>
      </c>
      <c r="J5581">
        <v>-298.40989999999999</v>
      </c>
      <c r="K5581">
        <v>1.056095</v>
      </c>
      <c r="L5581">
        <v>5.6274409999999997E-2</v>
      </c>
      <c r="M5581">
        <v>0.1349561</v>
      </c>
      <c r="N5581">
        <v>-1.556658E-2</v>
      </c>
      <c r="O5581">
        <v>-0.99072950000000004</v>
      </c>
      <c r="P5581">
        <v>-9.6998619999999994E-2</v>
      </c>
      <c r="Q5581">
        <v>0.16906350000000001</v>
      </c>
      <c r="R5581">
        <v>-0.98082100000000005</v>
      </c>
      <c r="S5581">
        <v>-0.35238649999999999</v>
      </c>
      <c r="T5581">
        <v>-0.26535379999999997</v>
      </c>
      <c r="U5581">
        <v>-3.0690309999999998</v>
      </c>
      <c r="V5581">
        <v>0.2353393</v>
      </c>
      <c r="W5581">
        <v>0.17512649999999999</v>
      </c>
      <c r="X5581">
        <v>0.95600529999999995</v>
      </c>
      <c r="Y5581">
        <v>0.2466516</v>
      </c>
      <c r="Z5581">
        <v>6.7713339999999997E-2</v>
      </c>
      <c r="AA5581">
        <v>0.96673569999999998</v>
      </c>
      <c r="AB5581">
        <v>30</v>
      </c>
      <c r="AC5581">
        <v>-1.43130000000002</v>
      </c>
      <c r="AD5581">
        <v>-1.0560986734489901</v>
      </c>
      <c r="AE5581">
        <v>-11.926234409999999</v>
      </c>
      <c r="AF5581">
        <v>3.0046885801341898</v>
      </c>
      <c r="AG5581">
        <v>-1.0560986734489901</v>
      </c>
      <c r="AH5581">
        <v>11.5347495047415</v>
      </c>
      <c r="AI5581">
        <v>95.063259790532797</v>
      </c>
      <c r="AJ5581">
        <v>75.399481880601499</v>
      </c>
      <c r="AK5581">
        <v>11.966367201819599</v>
      </c>
      <c r="AL5581">
        <v>79.913980347106701</v>
      </c>
      <c r="AM5581">
        <v>76.170506010263097</v>
      </c>
      <c r="AN5581">
        <v>1.0000000053774101</v>
      </c>
    </row>
    <row r="5582" spans="1:40" x14ac:dyDescent="0.25">
      <c r="A5582" t="str">
        <f>"20190303162412737"</f>
        <v>20190303162412737</v>
      </c>
      <c r="B5582" t="str">
        <f>"1551601452730102"</f>
        <v>1551601452730102</v>
      </c>
      <c r="C5582" t="s">
        <v>40</v>
      </c>
      <c r="D5582">
        <v>5.8453670000000004</v>
      </c>
      <c r="E5582">
        <v>0.5063936</v>
      </c>
      <c r="F5582" t="s">
        <v>41</v>
      </c>
      <c r="G5582">
        <v>-299.86630000000002</v>
      </c>
      <c r="H5582" s="1">
        <v>-3.4240880000000001E-6</v>
      </c>
      <c r="I5582">
        <v>-12.440860000000001</v>
      </c>
      <c r="J5582">
        <v>-298.38560000000001</v>
      </c>
      <c r="K5582">
        <v>1.056473</v>
      </c>
      <c r="L5582">
        <v>-0.23831179999999999</v>
      </c>
      <c r="M5582">
        <v>0.116978399999999</v>
      </c>
      <c r="N5582">
        <v>-1.4231890000000001E-2</v>
      </c>
      <c r="O5582">
        <v>-0.99303260000000004</v>
      </c>
      <c r="P5582">
        <v>-0.10030749999999999</v>
      </c>
      <c r="Q5582">
        <v>0.16880049999999999</v>
      </c>
      <c r="R5582">
        <v>-0.98053310000000005</v>
      </c>
      <c r="S5582">
        <v>-0.35754390000000003</v>
      </c>
      <c r="T5582">
        <v>-0.25926769999999999</v>
      </c>
      <c r="U5582">
        <v>-3.067993</v>
      </c>
      <c r="V5582">
        <v>0.22130420000000001</v>
      </c>
      <c r="W5582">
        <v>0.1739532</v>
      </c>
      <c r="X5582">
        <v>0.95956490000000005</v>
      </c>
      <c r="Y5582">
        <v>0.23073199999999999</v>
      </c>
      <c r="Z5582">
        <v>6.7639989999999997E-2</v>
      </c>
      <c r="AA5582">
        <v>0.97066350000000001</v>
      </c>
      <c r="AB5582">
        <v>30</v>
      </c>
      <c r="AC5582">
        <v>-1.4807000000000099</v>
      </c>
      <c r="AD5582">
        <v>-1.056476424088</v>
      </c>
      <c r="AE5582">
        <v>-12.202548199999899</v>
      </c>
      <c r="AF5582">
        <v>2.8768596269298699</v>
      </c>
      <c r="AG5582">
        <v>-1.056476424088</v>
      </c>
      <c r="AH5582">
        <v>11.857931626414601</v>
      </c>
      <c r="AI5582">
        <v>94.948487977997999</v>
      </c>
      <c r="AJ5582">
        <v>76.362922024455102</v>
      </c>
      <c r="AK5582">
        <v>12.247571441083201</v>
      </c>
      <c r="AL5582">
        <v>79.982253733651802</v>
      </c>
      <c r="AM5582">
        <v>77.012971763449599</v>
      </c>
      <c r="AN5582">
        <v>1.00000003101994</v>
      </c>
    </row>
    <row r="5583" spans="1:40" x14ac:dyDescent="0.25">
      <c r="A5583" t="str">
        <f>"20190303162412761"</f>
        <v>20190303162412761</v>
      </c>
      <c r="B5583" t="str">
        <f>"1551601452750128"</f>
        <v>1551601452750128</v>
      </c>
      <c r="C5583" t="s">
        <v>40</v>
      </c>
      <c r="D5583">
        <v>5.8218880000000004</v>
      </c>
      <c r="E5583">
        <v>0.50567129999999905</v>
      </c>
      <c r="F5583" t="s">
        <v>41</v>
      </c>
      <c r="G5583">
        <v>-299.87049999999999</v>
      </c>
      <c r="H5583" s="1">
        <v>-3.2714799999999998E-6</v>
      </c>
      <c r="I5583">
        <v>-12.794840000000001</v>
      </c>
      <c r="J5583">
        <v>-298.36520000000002</v>
      </c>
      <c r="K5583">
        <v>1.057364</v>
      </c>
      <c r="L5583">
        <v>-0.57330319999999901</v>
      </c>
      <c r="M5583">
        <v>9.6502069999999995E-2</v>
      </c>
      <c r="N5583">
        <v>-1.216327E-2</v>
      </c>
      <c r="O5583">
        <v>-0.99525859999999999</v>
      </c>
      <c r="P5583">
        <v>-0.1066957</v>
      </c>
      <c r="Q5583">
        <v>0.1695352</v>
      </c>
      <c r="R5583">
        <v>-0.97973180000000004</v>
      </c>
      <c r="S5583">
        <v>-0.36270140000000001</v>
      </c>
      <c r="T5583">
        <v>-0.25803880000000001</v>
      </c>
      <c r="U5583">
        <v>-3.0668639999999998</v>
      </c>
      <c r="V5583">
        <v>0.20780589999999999</v>
      </c>
      <c r="W5583">
        <v>0.1731248</v>
      </c>
      <c r="X5583">
        <v>0.96272769999999996</v>
      </c>
      <c r="Y5583">
        <v>0.21232409999999999</v>
      </c>
      <c r="Z5583">
        <v>6.9817829999999997E-2</v>
      </c>
      <c r="AA5583">
        <v>0.97470199999999996</v>
      </c>
      <c r="AB5583">
        <v>30</v>
      </c>
      <c r="AC5583">
        <v>-1.5052999999999701</v>
      </c>
      <c r="AD5583">
        <v>-1.05736727147999</v>
      </c>
      <c r="AE5583">
        <v>-12.221536800000001</v>
      </c>
      <c r="AF5583">
        <v>2.6581646769618201</v>
      </c>
      <c r="AG5583">
        <v>-1.05736727147999</v>
      </c>
      <c r="AH5583">
        <v>11.9312400430958</v>
      </c>
      <c r="AI5583">
        <v>94.943834885022795</v>
      </c>
      <c r="AJ5583">
        <v>77.440178670412806</v>
      </c>
      <c r="AK5583">
        <v>12.2694072376223</v>
      </c>
      <c r="AL5583">
        <v>80.030449077188393</v>
      </c>
      <c r="AM5583">
        <v>77.819514287501406</v>
      </c>
      <c r="AN5583">
        <v>1.00000005639856</v>
      </c>
    </row>
    <row r="5584" spans="1:40" x14ac:dyDescent="0.25">
      <c r="A5584" t="str">
        <f>"20190303162412871"</f>
        <v>20190303162412871</v>
      </c>
      <c r="B5584" t="str">
        <f>"1551601452860924"</f>
        <v>1551601452860924</v>
      </c>
      <c r="C5584" t="s">
        <v>40</v>
      </c>
      <c r="D5584">
        <v>6.0150249999999996</v>
      </c>
      <c r="E5584">
        <v>0.50356699999999999</v>
      </c>
      <c r="F5584" t="s">
        <v>41</v>
      </c>
      <c r="G5584">
        <v>-299.95229999999998</v>
      </c>
      <c r="H5584" s="1">
        <v>-3.001056E-6</v>
      </c>
      <c r="I5584">
        <v>-13.39141</v>
      </c>
      <c r="J5584">
        <v>-298.36439999999999</v>
      </c>
      <c r="K5584">
        <v>1.067558</v>
      </c>
      <c r="L5584">
        <v>-2.0965880000000001</v>
      </c>
      <c r="M5584">
        <v>4.27229E-4</v>
      </c>
      <c r="N5584">
        <v>-4.873825E-3</v>
      </c>
      <c r="O5584">
        <v>-0.99998810000000005</v>
      </c>
      <c r="P5584">
        <v>-0.1135023</v>
      </c>
      <c r="Q5584">
        <v>0.17938809999999999</v>
      </c>
      <c r="R5584">
        <v>-0.9772092</v>
      </c>
      <c r="S5584">
        <v>-0.37942500000000001</v>
      </c>
      <c r="T5584">
        <v>-0.25278970000000001</v>
      </c>
      <c r="U5584">
        <v>-3.0644840000000002</v>
      </c>
      <c r="V5584">
        <v>0.12027060000000001</v>
      </c>
      <c r="W5584">
        <v>0.180065</v>
      </c>
      <c r="X5584">
        <v>0.97627439999999999</v>
      </c>
      <c r="Y5584">
        <v>0.1229113</v>
      </c>
      <c r="Z5584">
        <v>7.6731350000000004E-2</v>
      </c>
      <c r="AA5584">
        <v>0.98944690000000002</v>
      </c>
      <c r="AB5584">
        <v>30</v>
      </c>
      <c r="AC5584">
        <v>-1.5878999999999901</v>
      </c>
      <c r="AD5584">
        <v>-1.0675610010559999</v>
      </c>
      <c r="AE5584">
        <v>-11.294822</v>
      </c>
      <c r="AF5584">
        <v>1.57889356052392</v>
      </c>
      <c r="AG5584">
        <v>-1.0675610010559999</v>
      </c>
      <c r="AH5584">
        <v>11.196059977105399</v>
      </c>
      <c r="AI5584">
        <v>95.393720834734694</v>
      </c>
      <c r="AJ5584">
        <v>81.972953035417206</v>
      </c>
      <c r="AK5584">
        <v>11.3571277344838</v>
      </c>
      <c r="AL5584">
        <v>79.626454765068104</v>
      </c>
      <c r="AM5584">
        <v>82.976922137185696</v>
      </c>
      <c r="AN5584">
        <v>1.00000006277235</v>
      </c>
    </row>
    <row r="5585" spans="1:40" x14ac:dyDescent="0.25">
      <c r="A5585" t="str">
        <f>"20190303162412894"</f>
        <v>20190303162412894</v>
      </c>
      <c r="B5585" t="str">
        <f>"1551601452880444"</f>
        <v>1551601452880444</v>
      </c>
      <c r="C5585" t="s">
        <v>40</v>
      </c>
      <c r="D5585">
        <v>5.9536910000000001</v>
      </c>
      <c r="E5585">
        <v>0.50320329999999902</v>
      </c>
      <c r="F5585" t="s">
        <v>42</v>
      </c>
      <c r="G5585">
        <v>-298.47699999999998</v>
      </c>
      <c r="H5585">
        <v>1.0058049999999901</v>
      </c>
      <c r="I5585">
        <v>-2.9872109999999998</v>
      </c>
      <c r="J5585">
        <v>-298.38010000000003</v>
      </c>
      <c r="K5585">
        <v>1.070408</v>
      </c>
      <c r="L5585">
        <v>-2.407715</v>
      </c>
      <c r="M5585">
        <v>-2.059826E-2</v>
      </c>
      <c r="N5585">
        <v>-5.0769359999999998E-3</v>
      </c>
      <c r="O5585">
        <v>-0.99977510000000003</v>
      </c>
      <c r="P5585">
        <v>-0.11430360000000001</v>
      </c>
      <c r="Q5585">
        <v>0.1821979</v>
      </c>
      <c r="R5585">
        <v>-0.97659580000000001</v>
      </c>
      <c r="S5585">
        <v>-0.38772580000000001</v>
      </c>
      <c r="T5585">
        <v>-0.21232529999999999</v>
      </c>
      <c r="U5585">
        <v>-3.063904</v>
      </c>
      <c r="V5585">
        <v>0.10046529999999999</v>
      </c>
      <c r="W5585">
        <v>0.1838582</v>
      </c>
      <c r="X5585">
        <v>0.97780509999999998</v>
      </c>
      <c r="Y5585">
        <v>0.10480929999999999</v>
      </c>
      <c r="Z5585">
        <v>6.3589290000000007E-2</v>
      </c>
      <c r="AA5585">
        <v>0.99245729999999999</v>
      </c>
      <c r="AB5585">
        <v>30</v>
      </c>
      <c r="AC5585">
        <v>-9.6900000000005093E-2</v>
      </c>
      <c r="AD5585">
        <v>-6.4603000000000105E-2</v>
      </c>
      <c r="AE5585">
        <v>-0.57949599999999901</v>
      </c>
      <c r="AF5585">
        <v>8.39279859376173E-2</v>
      </c>
      <c r="AG5585">
        <v>-6.4603000000000105E-2</v>
      </c>
      <c r="AH5585">
        <v>0.57442422765349799</v>
      </c>
      <c r="AI5585">
        <v>96.349982841172803</v>
      </c>
      <c r="AJ5585">
        <v>81.687445051073993</v>
      </c>
      <c r="AK5585">
        <v>0.58410670921319097</v>
      </c>
      <c r="AL5585">
        <v>79.405429359477196</v>
      </c>
      <c r="AM5585">
        <v>84.133688379620594</v>
      </c>
      <c r="AN5585">
        <v>0.99999996389866896</v>
      </c>
    </row>
    <row r="5586" spans="1:40" x14ac:dyDescent="0.25">
      <c r="A5586" t="str">
        <f>"20190303162412916"</f>
        <v>20190303162412916</v>
      </c>
      <c r="B5586" t="str">
        <f>"1551601452910700"</f>
        <v>1551601452910700</v>
      </c>
      <c r="C5586" t="s">
        <v>40</v>
      </c>
      <c r="D5586">
        <v>5.7521319999999996</v>
      </c>
      <c r="E5586">
        <v>0.50294079999999997</v>
      </c>
      <c r="F5586" t="s">
        <v>42</v>
      </c>
      <c r="G5586">
        <v>-298.48919999999998</v>
      </c>
      <c r="H5586">
        <v>1.0141020000000001</v>
      </c>
      <c r="I5586">
        <v>-3.2645219999999999</v>
      </c>
      <c r="J5586">
        <v>-298.40179999999998</v>
      </c>
      <c r="K5586">
        <v>1.0730900000000001</v>
      </c>
      <c r="L5586">
        <v>-2.7195130000000001</v>
      </c>
      <c r="M5586">
        <v>-4.1663930000000002E-2</v>
      </c>
      <c r="N5586">
        <v>-5.1930580000000004E-3</v>
      </c>
      <c r="O5586">
        <v>-0.99911830000000001</v>
      </c>
      <c r="P5586">
        <v>-0.1146098</v>
      </c>
      <c r="Q5586">
        <v>0.1855928</v>
      </c>
      <c r="R5586">
        <v>-0.97592029999999996</v>
      </c>
      <c r="S5586">
        <v>-0.39038089999999998</v>
      </c>
      <c r="T5586">
        <v>-0.2006916</v>
      </c>
      <c r="U5586">
        <v>-3.06366</v>
      </c>
      <c r="V5586">
        <v>8.0299259999999997E-2</v>
      </c>
      <c r="W5586">
        <v>0.18805330000000001</v>
      </c>
      <c r="X5586">
        <v>0.97887069999999998</v>
      </c>
      <c r="Y5586">
        <v>8.4719790000000003E-2</v>
      </c>
      <c r="Z5586">
        <v>5.9734200000000001E-2</v>
      </c>
      <c r="AA5586">
        <v>0.99461270000000002</v>
      </c>
      <c r="AB5586">
        <v>30</v>
      </c>
      <c r="AC5586">
        <v>-8.7400000000002295E-2</v>
      </c>
      <c r="AD5586">
        <v>-5.8987999999999798E-2</v>
      </c>
      <c r="AE5586">
        <v>-0.54500899999999897</v>
      </c>
      <c r="AF5586">
        <v>6.3886953056739498E-2</v>
      </c>
      <c r="AG5586">
        <v>-5.8987999999999798E-2</v>
      </c>
      <c r="AH5586">
        <v>0.54198734948607696</v>
      </c>
      <c r="AI5586">
        <v>96.169045253805194</v>
      </c>
      <c r="AJ5586">
        <v>83.277261508103294</v>
      </c>
      <c r="AK5586">
        <v>0.548918403697505</v>
      </c>
      <c r="AL5586">
        <v>79.160800482137304</v>
      </c>
      <c r="AM5586">
        <v>85.310381615157695</v>
      </c>
      <c r="AN5586">
        <v>0.99999993105796103</v>
      </c>
    </row>
    <row r="5587" spans="1:40" x14ac:dyDescent="0.25">
      <c r="A5587" t="str">
        <f>"20190303162412950"</f>
        <v>20190303162412950</v>
      </c>
      <c r="B5587" t="str">
        <f>"1551601452940955"</f>
        <v>1551601452940955</v>
      </c>
      <c r="C5587" t="s">
        <v>40</v>
      </c>
      <c r="D5587">
        <v>5.746766</v>
      </c>
      <c r="E5587">
        <v>0.50296179999999902</v>
      </c>
      <c r="F5587" t="s">
        <v>42</v>
      </c>
      <c r="G5587">
        <v>-298.50740000000002</v>
      </c>
      <c r="H5587">
        <v>1.022659</v>
      </c>
      <c r="I5587">
        <v>-3.5457550000000002</v>
      </c>
      <c r="J5587">
        <v>-298.4461</v>
      </c>
      <c r="K5587">
        <v>1.077232</v>
      </c>
      <c r="L5587">
        <v>-3.1860659999999998</v>
      </c>
      <c r="M5587">
        <v>-7.2269780000000006E-2</v>
      </c>
      <c r="N5587">
        <v>-5.224266E-3</v>
      </c>
      <c r="O5587">
        <v>-0.99737160000000002</v>
      </c>
      <c r="P5587">
        <v>-0.11470420000000001</v>
      </c>
      <c r="Q5587">
        <v>0.18725420000000001</v>
      </c>
      <c r="R5587">
        <v>-0.97559169999999995</v>
      </c>
      <c r="S5587">
        <v>-0.3914185</v>
      </c>
      <c r="T5587">
        <v>-0.1863996</v>
      </c>
      <c r="U5587">
        <v>-3.063507</v>
      </c>
      <c r="V5587">
        <v>5.0491889999999998E-2</v>
      </c>
      <c r="W5587">
        <v>0.19075349999999999</v>
      </c>
      <c r="X5587">
        <v>0.98033859999999995</v>
      </c>
      <c r="Y5587">
        <v>5.4516729999999999E-2</v>
      </c>
      <c r="Z5587">
        <v>5.5014819999999999E-2</v>
      </c>
      <c r="AA5587">
        <v>0.9969962</v>
      </c>
      <c r="AB5587">
        <v>30</v>
      </c>
      <c r="AC5587">
        <v>-6.1300000000017001E-2</v>
      </c>
      <c r="AD5587">
        <v>-5.4572999999999899E-2</v>
      </c>
      <c r="AE5587">
        <v>-0.35968899999999998</v>
      </c>
      <c r="AF5587">
        <v>3.4375721238289303E-2</v>
      </c>
      <c r="AG5587">
        <v>-5.4572999999999899E-2</v>
      </c>
      <c r="AH5587">
        <v>0.355232066562439</v>
      </c>
      <c r="AI5587">
        <v>98.6938715378311</v>
      </c>
      <c r="AJ5587">
        <v>84.472711608982905</v>
      </c>
      <c r="AK5587">
        <v>0.36103978126222203</v>
      </c>
      <c r="AL5587">
        <v>79.003239698789898</v>
      </c>
      <c r="AM5587">
        <v>87.051612391004596</v>
      </c>
      <c r="AN5587">
        <v>1.00000004968398</v>
      </c>
    </row>
    <row r="5588" spans="1:40" x14ac:dyDescent="0.25">
      <c r="A5588" t="str">
        <f>"20190303162412998"</f>
        <v>20190303162412998</v>
      </c>
      <c r="B5588" t="str">
        <f>"1551601452990732"</f>
        <v>1551601452990732</v>
      </c>
      <c r="C5588" t="s">
        <v>40</v>
      </c>
      <c r="D5588">
        <v>5.7390040000000004</v>
      </c>
      <c r="E5588">
        <v>0.50303299999999995</v>
      </c>
      <c r="F5588" t="s">
        <v>42</v>
      </c>
      <c r="G5588">
        <v>-298.56299999999999</v>
      </c>
      <c r="H5588">
        <v>1.0239849999999999</v>
      </c>
      <c r="I5588">
        <v>-4.0971380000000002</v>
      </c>
      <c r="J5588">
        <v>-298.5326</v>
      </c>
      <c r="K5588">
        <v>1.083507</v>
      </c>
      <c r="L5588">
        <v>-3.8506469999999999</v>
      </c>
      <c r="M5588">
        <v>-0.1129906</v>
      </c>
      <c r="N5588">
        <v>-5.7634390000000004E-3</v>
      </c>
      <c r="O5588">
        <v>-0.9935794</v>
      </c>
      <c r="P5588">
        <v>-0.1307942</v>
      </c>
      <c r="Q5588">
        <v>0.180503</v>
      </c>
      <c r="R5588">
        <v>-0.97483940000000002</v>
      </c>
      <c r="S5588">
        <v>-0.39288329999999999</v>
      </c>
      <c r="T5588">
        <v>-0.17845899999999901</v>
      </c>
      <c r="U5588">
        <v>-3.06311</v>
      </c>
      <c r="V5588">
        <v>2.6180160000000001E-2</v>
      </c>
      <c r="W5588">
        <v>0.18537890000000001</v>
      </c>
      <c r="X5588">
        <v>0.98231829999999998</v>
      </c>
      <c r="Y5588">
        <v>1.415803E-2</v>
      </c>
      <c r="Z5588">
        <v>5.1655020000000003E-2</v>
      </c>
      <c r="AA5588">
        <v>0.99856460000000002</v>
      </c>
      <c r="AB5588">
        <v>30</v>
      </c>
      <c r="AC5588">
        <v>-3.03999999999859E-2</v>
      </c>
      <c r="AD5588">
        <v>-5.9521999999999797E-2</v>
      </c>
      <c r="AE5588">
        <v>-0.24649099999999999</v>
      </c>
      <c r="AF5588">
        <v>2.2258396955009102E-3</v>
      </c>
      <c r="AG5588">
        <v>-5.9521999999999797E-2</v>
      </c>
      <c r="AH5588">
        <v>0.23485772508382199</v>
      </c>
      <c r="AI5588">
        <v>104.220905198636</v>
      </c>
      <c r="AJ5588">
        <v>89.457001457983495</v>
      </c>
      <c r="AK5588">
        <v>0.24229315689449099</v>
      </c>
      <c r="AL5588">
        <v>79.316776002333</v>
      </c>
      <c r="AM5588">
        <v>88.473348532099394</v>
      </c>
      <c r="AN5588">
        <v>0.99999998992886197</v>
      </c>
    </row>
    <row r="5589" spans="1:40" x14ac:dyDescent="0.25">
      <c r="A5589" t="str">
        <f>"20190303162413038"</f>
        <v>20190303162413038</v>
      </c>
      <c r="B5589" t="str">
        <f>"1551601453030748"</f>
        <v>1551601453030748</v>
      </c>
      <c r="C5589" t="s">
        <v>40</v>
      </c>
      <c r="D5589">
        <v>5.701765</v>
      </c>
      <c r="E5589">
        <v>0.50513850000000005</v>
      </c>
      <c r="F5589" t="s">
        <v>41</v>
      </c>
      <c r="G5589">
        <v>-300.90530000000001</v>
      </c>
      <c r="H5589" s="1">
        <v>-4.4491100000000002E-6</v>
      </c>
      <c r="I5589">
        <v>-20.411190000000001</v>
      </c>
      <c r="J5589">
        <v>-298.62580000000003</v>
      </c>
      <c r="K5589">
        <v>1.08882099999999</v>
      </c>
      <c r="L5589">
        <v>-4.4109189999999998</v>
      </c>
      <c r="M5589">
        <v>-0.14450560000000001</v>
      </c>
      <c r="N5589">
        <v>-6.5548289999999999E-3</v>
      </c>
      <c r="O5589">
        <v>-0.98948239999999998</v>
      </c>
      <c r="P5589">
        <v>-0.14693589999999901</v>
      </c>
      <c r="Q5589">
        <v>0.16341639999999999</v>
      </c>
      <c r="R5589">
        <v>-0.97555409999999998</v>
      </c>
      <c r="S5589">
        <v>-0.43780520000000001</v>
      </c>
      <c r="T5589">
        <v>-0.19992570000000001</v>
      </c>
      <c r="U5589">
        <v>-3.0556950000000001</v>
      </c>
      <c r="V5589">
        <v>1.0025910000000001E-2</v>
      </c>
      <c r="W5589">
        <v>0.16964089999999901</v>
      </c>
      <c r="X5589">
        <v>0.98545490000000002</v>
      </c>
      <c r="Y5589">
        <v>-2.9459500000000001E-3</v>
      </c>
      <c r="Z5589">
        <v>5.7464309999999998E-2</v>
      </c>
      <c r="AA5589">
        <v>0.99834319999999999</v>
      </c>
      <c r="AB5589">
        <v>30</v>
      </c>
      <c r="AC5589">
        <v>-2.2794999999999801</v>
      </c>
      <c r="AD5589">
        <v>-1.08882544910999</v>
      </c>
      <c r="AE5589">
        <v>-16.000270999999898</v>
      </c>
      <c r="AF5589">
        <v>-5.6349085179587803E-2</v>
      </c>
      <c r="AG5589">
        <v>-1.08882544910999</v>
      </c>
      <c r="AH5589">
        <v>16.088709731882901</v>
      </c>
      <c r="AI5589">
        <v>93.871642956295403</v>
      </c>
      <c r="AJ5589">
        <v>90.200671875664796</v>
      </c>
      <c r="AK5589">
        <v>16.1256099703178</v>
      </c>
      <c r="AL5589">
        <v>80.233058687544201</v>
      </c>
      <c r="AM5589">
        <v>89.417099138470505</v>
      </c>
      <c r="AN5589">
        <v>0.99999995687907295</v>
      </c>
    </row>
    <row r="5590" spans="1:40" x14ac:dyDescent="0.25">
      <c r="A5590" t="str">
        <f>"20190303162413061"</f>
        <v>20190303162413061</v>
      </c>
      <c r="B5590" t="str">
        <f>"1551601453050268"</f>
        <v>1551601453050268</v>
      </c>
      <c r="C5590" t="s">
        <v>40</v>
      </c>
      <c r="D5590">
        <v>5.8092199999999998</v>
      </c>
      <c r="E5590">
        <v>0.50440959999999901</v>
      </c>
      <c r="F5590" t="s">
        <v>42</v>
      </c>
      <c r="G5590">
        <v>-298.7516</v>
      </c>
      <c r="H5590">
        <v>0.98579539999999999</v>
      </c>
      <c r="I5590">
        <v>-5.170966</v>
      </c>
      <c r="J5590">
        <v>-298.6816</v>
      </c>
      <c r="K5590">
        <v>1.09165499999999</v>
      </c>
      <c r="L5590">
        <v>-4.7085879999999998</v>
      </c>
      <c r="M5590">
        <v>-0.15982689999999999</v>
      </c>
      <c r="N5590">
        <v>-6.9822499999999997E-3</v>
      </c>
      <c r="O5590">
        <v>-0.98712060000000001</v>
      </c>
      <c r="P5590">
        <v>-0.15663659999999999</v>
      </c>
      <c r="Q5590">
        <v>0.15918599999999999</v>
      </c>
      <c r="R5590">
        <v>-0.97474360000000004</v>
      </c>
      <c r="S5590">
        <v>-0.50772090000000003</v>
      </c>
      <c r="T5590">
        <v>-0.41574610000000001</v>
      </c>
      <c r="U5590">
        <v>-3.0683590000000001</v>
      </c>
      <c r="V5590">
        <v>4.0889819999999997E-3</v>
      </c>
      <c r="W5590">
        <v>0.16602890000000001</v>
      </c>
      <c r="X5590">
        <v>0.9861124</v>
      </c>
      <c r="Y5590">
        <v>2.1866590000000001E-3</v>
      </c>
      <c r="Z5590">
        <v>0.123998499999999</v>
      </c>
      <c r="AA5590">
        <v>0.99228000000000005</v>
      </c>
      <c r="AB5590">
        <v>30</v>
      </c>
      <c r="AC5590">
        <v>-6.9999999999993096E-2</v>
      </c>
      <c r="AD5590">
        <v>-0.105859599999999</v>
      </c>
      <c r="AE5590">
        <v>-0.46237800000000001</v>
      </c>
      <c r="AF5590">
        <v>-4.5680414124736699E-3</v>
      </c>
      <c r="AG5590">
        <v>-0.105859599999999</v>
      </c>
      <c r="AH5590">
        <v>0.44482820156819203</v>
      </c>
      <c r="AI5590">
        <v>103.385493761023</v>
      </c>
      <c r="AJ5590">
        <v>90.588362637153395</v>
      </c>
      <c r="AK5590">
        <v>0.45727371543190398</v>
      </c>
      <c r="AL5590">
        <v>80.4429893387086</v>
      </c>
      <c r="AM5590">
        <v>89.762420522881598</v>
      </c>
      <c r="AN5590">
        <v>0.99999999042138299</v>
      </c>
    </row>
    <row r="5591" spans="1:40" x14ac:dyDescent="0.25">
      <c r="A5591" t="str">
        <f>"20190303162413084"</f>
        <v>20190303162413084</v>
      </c>
      <c r="B5591" t="str">
        <f>"1551601453070764"</f>
        <v>1551601453070764</v>
      </c>
      <c r="C5591" t="s">
        <v>40</v>
      </c>
      <c r="D5591">
        <v>5.7734269999999999</v>
      </c>
      <c r="E5591">
        <v>0.50417500000000004</v>
      </c>
      <c r="F5591" t="s">
        <v>42</v>
      </c>
      <c r="G5591">
        <v>-298.80799999999999</v>
      </c>
      <c r="H5591">
        <v>0.9868865</v>
      </c>
      <c r="I5591">
        <v>-5.4441220000000001</v>
      </c>
      <c r="J5591">
        <v>-298.74579999999997</v>
      </c>
      <c r="K5591">
        <v>1.0947150000000001</v>
      </c>
      <c r="L5591">
        <v>-5.0279540000000003</v>
      </c>
      <c r="M5591">
        <v>-0.17486689999999999</v>
      </c>
      <c r="N5591">
        <v>-7.4119609999999999E-3</v>
      </c>
      <c r="O5591">
        <v>-0.9845642</v>
      </c>
      <c r="P5591">
        <v>-0.17183280000000001</v>
      </c>
      <c r="Q5591">
        <v>0.1593685</v>
      </c>
      <c r="R5591">
        <v>-0.97215010000000002</v>
      </c>
      <c r="S5591">
        <v>-0.52612300000000001</v>
      </c>
      <c r="T5591">
        <v>-0.43592110000000001</v>
      </c>
      <c r="U5591">
        <v>-3.0643919999999998</v>
      </c>
      <c r="V5591">
        <v>4.1274980000000003E-3</v>
      </c>
      <c r="W5591">
        <v>0.16663210000000001</v>
      </c>
      <c r="X5591">
        <v>0.98601050000000001</v>
      </c>
      <c r="Y5591">
        <v>-7.1859389999999997E-3</v>
      </c>
      <c r="Z5591">
        <v>0.12940099999999999</v>
      </c>
      <c r="AA5591">
        <v>0.99156630000000001</v>
      </c>
      <c r="AB5591">
        <v>31</v>
      </c>
      <c r="AC5591">
        <v>-6.22000000000184E-2</v>
      </c>
      <c r="AD5591">
        <v>-0.10782849999999899</v>
      </c>
      <c r="AE5591">
        <v>-0.41616799999999898</v>
      </c>
      <c r="AF5591">
        <v>-1.0823691563475899E-2</v>
      </c>
      <c r="AG5591">
        <v>-0.10782849999999899</v>
      </c>
      <c r="AH5591">
        <v>0.394713444791367</v>
      </c>
      <c r="AI5591">
        <v>105.27387831852199</v>
      </c>
      <c r="AJ5591">
        <v>91.570750840294906</v>
      </c>
      <c r="AK5591">
        <v>0.40931997411606802</v>
      </c>
      <c r="AL5591">
        <v>80.407940380889102</v>
      </c>
      <c r="AM5591">
        <v>89.760157894841299</v>
      </c>
      <c r="AN5591">
        <v>0.99999999955019903</v>
      </c>
    </row>
    <row r="5592" spans="1:40" x14ac:dyDescent="0.25">
      <c r="A5592" t="str">
        <f>"20190303162413105"</f>
        <v>20190303162413105</v>
      </c>
      <c r="B5592" t="str">
        <f>"1551601453100044"</f>
        <v>1551601453100044</v>
      </c>
      <c r="C5592" t="s">
        <v>40</v>
      </c>
      <c r="D5592">
        <v>5.7481150000000003</v>
      </c>
      <c r="E5592">
        <v>0.50408770000000003</v>
      </c>
      <c r="F5592" t="s">
        <v>42</v>
      </c>
      <c r="G5592">
        <v>-298.91860000000003</v>
      </c>
      <c r="H5592">
        <v>0.95865290000000003</v>
      </c>
      <c r="I5592">
        <v>-5.976458</v>
      </c>
      <c r="J5592">
        <v>-298.80930000000001</v>
      </c>
      <c r="K5592">
        <v>1.0974870000000001</v>
      </c>
      <c r="L5592">
        <v>-5.3263239999999996</v>
      </c>
      <c r="M5592">
        <v>-0.18744759999999999</v>
      </c>
      <c r="N5592">
        <v>-7.7853319999999998E-3</v>
      </c>
      <c r="O5592">
        <v>-0.9822438</v>
      </c>
      <c r="P5592">
        <v>-0.1826217</v>
      </c>
      <c r="Q5592">
        <v>0.15722459999999999</v>
      </c>
      <c r="R5592">
        <v>-0.97053069999999997</v>
      </c>
      <c r="S5592">
        <v>-0.55725100000000005</v>
      </c>
      <c r="T5592">
        <v>-0.43854359999999998</v>
      </c>
      <c r="U5592">
        <v>-3.059326</v>
      </c>
      <c r="V5592">
        <v>1.9743690000000001E-3</v>
      </c>
      <c r="W5592">
        <v>0.16491620000000001</v>
      </c>
      <c r="X5592">
        <v>0.9863056</v>
      </c>
      <c r="Y5592">
        <v>-9.9267609999999992E-3</v>
      </c>
      <c r="Z5592">
        <v>0.12947690000000001</v>
      </c>
      <c r="AA5592">
        <v>0.99153270000000004</v>
      </c>
      <c r="AB5592">
        <v>31</v>
      </c>
      <c r="AC5592">
        <v>-0.10930000000001799</v>
      </c>
      <c r="AD5592">
        <v>-0.13883409999999999</v>
      </c>
      <c r="AE5592">
        <v>-0.65013399999999999</v>
      </c>
      <c r="AF5592">
        <v>-1.38911918894572E-2</v>
      </c>
      <c r="AG5592">
        <v>-0.13883409999999999</v>
      </c>
      <c r="AH5592">
        <v>0.63110912321777002</v>
      </c>
      <c r="AI5592">
        <v>102.403649386143</v>
      </c>
      <c r="AJ5592">
        <v>91.260920091037207</v>
      </c>
      <c r="AK5592">
        <v>0.64634866592546003</v>
      </c>
      <c r="AL5592">
        <v>80.507633548955397</v>
      </c>
      <c r="AM5592">
        <v>89.885306481274895</v>
      </c>
      <c r="AN5592">
        <v>0.99999999387337402</v>
      </c>
    </row>
    <row r="5593" spans="1:40" x14ac:dyDescent="0.25">
      <c r="A5593" t="str">
        <f>"20190303162413163"</f>
        <v>20190303162413163</v>
      </c>
      <c r="B5593" t="str">
        <f>"1551601453150796"</f>
        <v>1551601453150796</v>
      </c>
      <c r="C5593" t="s">
        <v>40</v>
      </c>
      <c r="D5593">
        <v>5.7525810000000002</v>
      </c>
      <c r="E5593">
        <v>0.50399110000000003</v>
      </c>
      <c r="F5593" t="s">
        <v>42</v>
      </c>
      <c r="G5593">
        <v>-298.9862</v>
      </c>
      <c r="H5593">
        <v>0.96032240000000002</v>
      </c>
      <c r="I5593">
        <v>-6.247001</v>
      </c>
      <c r="J5593">
        <v>-298.98520000000002</v>
      </c>
      <c r="K5593">
        <v>1.1035469999999901</v>
      </c>
      <c r="L5593">
        <v>-6.09436</v>
      </c>
      <c r="M5593">
        <v>-0.21446589999999999</v>
      </c>
      <c r="N5593">
        <v>-8.6759960000000001E-3</v>
      </c>
      <c r="O5593">
        <v>-0.97669289999999997</v>
      </c>
      <c r="P5593">
        <v>-0.18258289999999999</v>
      </c>
      <c r="Q5593">
        <v>0.15496289999999999</v>
      </c>
      <c r="R5593">
        <v>-0.97090169999999998</v>
      </c>
      <c r="S5593">
        <v>-0.5864258</v>
      </c>
      <c r="T5593">
        <v>-0.4547117</v>
      </c>
      <c r="U5593">
        <v>-3.0544129999999998</v>
      </c>
      <c r="V5593">
        <v>-2.62645E-2</v>
      </c>
      <c r="W5593">
        <v>0.16414719999999999</v>
      </c>
      <c r="X5593">
        <v>0.98608609999999997</v>
      </c>
      <c r="Y5593">
        <v>-2.8148989999999999E-2</v>
      </c>
      <c r="Z5593">
        <v>0.13247310000000001</v>
      </c>
      <c r="AA5593">
        <v>0.99078679999999997</v>
      </c>
      <c r="AB5593">
        <v>31</v>
      </c>
      <c r="AC5593">
        <v>-9.9999999997635292E-4</v>
      </c>
      <c r="AD5593">
        <v>-0.14322459999999901</v>
      </c>
      <c r="AE5593">
        <v>-0.152641</v>
      </c>
      <c r="AF5593">
        <v>-1.6890551641343999E-2</v>
      </c>
      <c r="AG5593">
        <v>-0.14322459999999901</v>
      </c>
      <c r="AH5593">
        <v>7.9400347193139806E-2</v>
      </c>
      <c r="AI5593">
        <v>150.45625296350499</v>
      </c>
      <c r="AJ5593">
        <v>102.009311173729</v>
      </c>
      <c r="AK5593">
        <v>0.16462986337326499</v>
      </c>
      <c r="AL5593">
        <v>80.552302461451006</v>
      </c>
      <c r="AM5593">
        <v>91.525717979866599</v>
      </c>
      <c r="AN5593">
        <v>0.99999996192064899</v>
      </c>
    </row>
    <row r="5594" spans="1:40" x14ac:dyDescent="0.25">
      <c r="A5594" t="str">
        <f>"20190303162413206"</f>
        <v>20190303162413206</v>
      </c>
      <c r="B5594" t="str">
        <f>"1551601453200572"</f>
        <v>1551601453200572</v>
      </c>
      <c r="C5594" t="s">
        <v>40</v>
      </c>
      <c r="D5594">
        <v>5.9647079999999999</v>
      </c>
      <c r="E5594">
        <v>0.5020192</v>
      </c>
      <c r="F5594" t="s">
        <v>42</v>
      </c>
      <c r="G5594">
        <v>-299.12729999999999</v>
      </c>
      <c r="H5594">
        <v>1.000254</v>
      </c>
      <c r="I5594">
        <v>-6.8030689999999998</v>
      </c>
      <c r="J5594">
        <v>-299.13249999999999</v>
      </c>
      <c r="K5594">
        <v>1.1073649999999999</v>
      </c>
      <c r="L5594">
        <v>-6.690582</v>
      </c>
      <c r="M5594">
        <v>-0.22953989999999999</v>
      </c>
      <c r="N5594">
        <v>-9.2117439999999991E-3</v>
      </c>
      <c r="O5594">
        <v>-0.97325569999999895</v>
      </c>
      <c r="P5594">
        <v>-0.16803979999999999</v>
      </c>
      <c r="Q5594">
        <v>0.16010949999999999</v>
      </c>
      <c r="R5594">
        <v>-0.97269119999999998</v>
      </c>
      <c r="S5594">
        <v>-0.61026000000000002</v>
      </c>
      <c r="T5594">
        <v>-0.44386759999999997</v>
      </c>
      <c r="U5594">
        <v>-3.0459900000000002</v>
      </c>
      <c r="V5594">
        <v>-5.6604670000000003E-2</v>
      </c>
      <c r="W5594">
        <v>0.17024990000000001</v>
      </c>
      <c r="X5594">
        <v>0.98377380000000003</v>
      </c>
      <c r="Y5594">
        <v>-3.5519210000000002E-2</v>
      </c>
      <c r="Z5594">
        <v>0.12820490000000001</v>
      </c>
      <c r="AA5594">
        <v>0.99111150000000003</v>
      </c>
      <c r="AB5594">
        <v>31</v>
      </c>
      <c r="AC5594">
        <v>5.2000000000020901E-3</v>
      </c>
      <c r="AD5594">
        <v>-0.107110999999999</v>
      </c>
      <c r="AE5594">
        <v>-0.11248699999999801</v>
      </c>
      <c r="AF5594">
        <v>-1.6213272160216299E-2</v>
      </c>
      <c r="AG5594">
        <v>-0.107110999999999</v>
      </c>
      <c r="AH5594">
        <v>5.6851908892771703E-2</v>
      </c>
      <c r="AI5594">
        <v>151.104034918221</v>
      </c>
      <c r="AJ5594">
        <v>105.91731809439599</v>
      </c>
      <c r="AK5594">
        <v>0.122342862725592</v>
      </c>
      <c r="AL5594">
        <v>80.197650949536495</v>
      </c>
      <c r="AM5594">
        <v>93.293070759982498</v>
      </c>
      <c r="AN5594">
        <v>1.00000000334112</v>
      </c>
    </row>
    <row r="5595" spans="1:40" x14ac:dyDescent="0.25">
      <c r="A5595" t="str">
        <f>"20190303162413228"</f>
        <v>20190303162413228</v>
      </c>
      <c r="B5595" t="str">
        <f>"1551601453220092"</f>
        <v>1551601453220092</v>
      </c>
      <c r="C5595" t="s">
        <v>40</v>
      </c>
      <c r="D5595">
        <v>5.4492919999999998</v>
      </c>
      <c r="E5595">
        <v>0.50213039999999998</v>
      </c>
      <c r="F5595" t="s">
        <v>41</v>
      </c>
      <c r="G5595">
        <v>-301.32339999999999</v>
      </c>
      <c r="H5595" s="1">
        <v>-1.028745E-6</v>
      </c>
      <c r="I5595">
        <v>-18.833629999999999</v>
      </c>
      <c r="J5595">
        <v>-299.21039999999999</v>
      </c>
      <c r="K5595">
        <v>1.109081</v>
      </c>
      <c r="L5595">
        <v>-6.9948430000000004</v>
      </c>
      <c r="M5595">
        <v>-0.23553250000000001</v>
      </c>
      <c r="N5595">
        <v>-9.4373479999999999E-3</v>
      </c>
      <c r="O5595">
        <v>-0.97182080000000004</v>
      </c>
      <c r="P5595">
        <v>-0.1597799</v>
      </c>
      <c r="Q5595">
        <v>0.16001589999999999</v>
      </c>
      <c r="R5595">
        <v>-0.9740972</v>
      </c>
      <c r="S5595">
        <v>-0.54760739999999997</v>
      </c>
      <c r="T5595">
        <v>-0.27678909999999901</v>
      </c>
      <c r="U5595">
        <v>-3.0351870000000001</v>
      </c>
      <c r="V5595">
        <v>-7.1360510000000002E-2</v>
      </c>
      <c r="W5595">
        <v>0.17049619999999999</v>
      </c>
      <c r="X5595">
        <v>0.98277099999999995</v>
      </c>
      <c r="Y5595">
        <v>-5.975743E-2</v>
      </c>
      <c r="Z5595">
        <v>7.7042910000000006E-2</v>
      </c>
      <c r="AA5595">
        <v>0.99523539999999999</v>
      </c>
      <c r="AB5595">
        <v>31</v>
      </c>
      <c r="AC5595">
        <v>-2.1129999999999902</v>
      </c>
      <c r="AD5595">
        <v>-1.1090820287450001</v>
      </c>
      <c r="AE5595">
        <v>-11.838787</v>
      </c>
      <c r="AF5595">
        <v>-0.72879568493913005</v>
      </c>
      <c r="AG5595">
        <v>-1.1090820287450001</v>
      </c>
      <c r="AH5595">
        <v>11.9021599668342</v>
      </c>
      <c r="AI5595">
        <v>95.3137390915157</v>
      </c>
      <c r="AJ5595">
        <v>93.503972934000103</v>
      </c>
      <c r="AK5595">
        <v>11.975918251766</v>
      </c>
      <c r="AL5595">
        <v>80.183330153053603</v>
      </c>
      <c r="AM5595">
        <v>94.153045795143299</v>
      </c>
      <c r="AN5595">
        <v>1.0000000575214401</v>
      </c>
    </row>
    <row r="5596" spans="1:40" x14ac:dyDescent="0.25">
      <c r="A5596" t="str">
        <f>"20190303162413250"</f>
        <v>20190303162413250</v>
      </c>
      <c r="B5596" t="str">
        <f>"1551601453240589"</f>
        <v>1551601453240589</v>
      </c>
      <c r="C5596" t="s">
        <v>40</v>
      </c>
      <c r="D5596">
        <v>5.7664330000000001</v>
      </c>
      <c r="E5596">
        <v>0.50241219999999998</v>
      </c>
      <c r="F5596" t="s">
        <v>41</v>
      </c>
      <c r="G5596">
        <v>-301.2987</v>
      </c>
      <c r="H5596" s="1">
        <v>-9.2616439999999995E-7</v>
      </c>
      <c r="I5596">
        <v>-19.057459999999999</v>
      </c>
      <c r="J5596">
        <v>-299.28480000000002</v>
      </c>
      <c r="K5596">
        <v>1.1105590000000001</v>
      </c>
      <c r="L5596">
        <v>-7.2810969999999999</v>
      </c>
      <c r="M5596">
        <v>-0.24030170000000001</v>
      </c>
      <c r="N5596">
        <v>-9.6295719999999994E-3</v>
      </c>
      <c r="O5596">
        <v>-0.97065069999999998</v>
      </c>
      <c r="P5596">
        <v>-0.15394459999999999</v>
      </c>
      <c r="Q5596">
        <v>0.1615104</v>
      </c>
      <c r="R5596">
        <v>-0.9747905</v>
      </c>
      <c r="S5596">
        <v>-0.52618409999999904</v>
      </c>
      <c r="T5596">
        <v>-0.2794509</v>
      </c>
      <c r="U5596">
        <v>-3.0393680000000001</v>
      </c>
      <c r="V5596">
        <v>-8.2310019999999998E-2</v>
      </c>
      <c r="W5596">
        <v>0.17219389999999901</v>
      </c>
      <c r="X5596">
        <v>0.9816182</v>
      </c>
      <c r="Y5596">
        <v>-7.1695690000000006E-2</v>
      </c>
      <c r="Z5596">
        <v>7.7416020000000002E-2</v>
      </c>
      <c r="AA5596">
        <v>0.99441769999999996</v>
      </c>
      <c r="AB5596">
        <v>31</v>
      </c>
      <c r="AC5596">
        <v>-2.0138999999999698</v>
      </c>
      <c r="AD5596">
        <v>-1.1105599261643999</v>
      </c>
      <c r="AE5596">
        <v>-11.776363</v>
      </c>
      <c r="AF5596">
        <v>-0.86763017065306303</v>
      </c>
      <c r="AG5596">
        <v>-1.1105599261643999</v>
      </c>
      <c r="AH5596">
        <v>11.813156052410999</v>
      </c>
      <c r="AI5596">
        <v>95.356273369788497</v>
      </c>
      <c r="AJ5596">
        <v>94.200608891204197</v>
      </c>
      <c r="AK5596">
        <v>11.896923189684101</v>
      </c>
      <c r="AL5596">
        <v>80.084598242831603</v>
      </c>
      <c r="AM5596">
        <v>94.793116409350603</v>
      </c>
      <c r="AN5596">
        <v>0.99999998458042505</v>
      </c>
    </row>
    <row r="5597" spans="1:40" x14ac:dyDescent="0.25">
      <c r="A5597" t="str">
        <f>"20190303162413272"</f>
        <v>20190303162413272</v>
      </c>
      <c r="B5597" t="str">
        <f>"1551601453261083"</f>
        <v>1551601453261083</v>
      </c>
      <c r="C5597" t="s">
        <v>40</v>
      </c>
      <c r="D5597">
        <v>5.8286189999999998</v>
      </c>
      <c r="E5597">
        <v>0.50243640000000001</v>
      </c>
      <c r="F5597" t="s">
        <v>41</v>
      </c>
      <c r="G5597">
        <v>-301.27319999999997</v>
      </c>
      <c r="H5597" s="1">
        <v>-8.6034340000000004E-7</v>
      </c>
      <c r="I5597">
        <v>-19.195060000000002</v>
      </c>
      <c r="J5597">
        <v>-299.36410000000001</v>
      </c>
      <c r="K5597">
        <v>1.112015</v>
      </c>
      <c r="L5597">
        <v>-7.5821229999999904</v>
      </c>
      <c r="M5597">
        <v>-0.24438460000000001</v>
      </c>
      <c r="N5597">
        <v>-9.8098230000000005E-3</v>
      </c>
      <c r="O5597">
        <v>-0.96962879999999996</v>
      </c>
      <c r="P5597">
        <v>-0.14843680000000001</v>
      </c>
      <c r="Q5597">
        <v>0.15986979999999901</v>
      </c>
      <c r="R5597">
        <v>-0.97591419999999995</v>
      </c>
      <c r="S5597">
        <v>-0.50808719999999996</v>
      </c>
      <c r="T5597">
        <v>-0.28378109999999901</v>
      </c>
      <c r="U5597">
        <v>-3.0443730000000002</v>
      </c>
      <c r="V5597">
        <v>-9.2424599999999996E-2</v>
      </c>
      <c r="W5597">
        <v>0.17068269999999999</v>
      </c>
      <c r="X5597">
        <v>0.98098169999999996</v>
      </c>
      <c r="Y5597">
        <v>-8.1915589999999996E-2</v>
      </c>
      <c r="Z5597">
        <v>7.829622E-2</v>
      </c>
      <c r="AA5597">
        <v>0.99355899999999997</v>
      </c>
      <c r="AB5597">
        <v>31</v>
      </c>
      <c r="AC5597">
        <v>-1.9090999999999601</v>
      </c>
      <c r="AD5597">
        <v>-1.1120158603433901</v>
      </c>
      <c r="AE5597">
        <v>-11.612937000000001</v>
      </c>
      <c r="AF5597">
        <v>-0.97821849053332499</v>
      </c>
      <c r="AG5597">
        <v>-1.1120158603433901</v>
      </c>
      <c r="AH5597">
        <v>11.6235807486343</v>
      </c>
      <c r="AI5597">
        <v>95.445661437070399</v>
      </c>
      <c r="AJ5597">
        <v>94.810568320843998</v>
      </c>
      <c r="AK5597">
        <v>11.7175560638257</v>
      </c>
      <c r="AL5597">
        <v>80.172484894546798</v>
      </c>
      <c r="AM5597">
        <v>95.382315893001206</v>
      </c>
      <c r="AN5597">
        <v>0.99999999324966904</v>
      </c>
    </row>
    <row r="5598" spans="1:40" x14ac:dyDescent="0.25">
      <c r="A5598" t="str">
        <f>"20190303162413317"</f>
        <v>20190303162413317</v>
      </c>
      <c r="B5598" t="str">
        <f>"1551601453309884"</f>
        <v>1551601453309884</v>
      </c>
      <c r="C5598" t="s">
        <v>40</v>
      </c>
      <c r="D5598">
        <v>5.8437789999999996</v>
      </c>
      <c r="E5598">
        <v>0.50217800000000001</v>
      </c>
      <c r="F5598" t="s">
        <v>41</v>
      </c>
      <c r="G5598">
        <v>-301.17290000000003</v>
      </c>
      <c r="H5598" s="1">
        <v>-9.4161900000000001E-7</v>
      </c>
      <c r="I5598">
        <v>-18.94341</v>
      </c>
      <c r="J5598">
        <v>-299.52379999999999</v>
      </c>
      <c r="K5598">
        <v>1.1148309999999999</v>
      </c>
      <c r="L5598">
        <v>-8.1846309999999995</v>
      </c>
      <c r="M5598">
        <v>-0.24958929999999999</v>
      </c>
      <c r="N5598">
        <v>-1.011214E-2</v>
      </c>
      <c r="O5598">
        <v>-0.96829909999999997</v>
      </c>
      <c r="P5598">
        <v>-0.13322529999999999</v>
      </c>
      <c r="Q5598">
        <v>0.14779439999999999</v>
      </c>
      <c r="R5598">
        <v>-0.98000430000000005</v>
      </c>
      <c r="S5598">
        <v>-0.48544310000000002</v>
      </c>
      <c r="T5598">
        <v>-0.29843579999999997</v>
      </c>
      <c r="U5598">
        <v>-3.0490719999999998</v>
      </c>
      <c r="V5598">
        <v>-0.11431620000000001</v>
      </c>
      <c r="W5598">
        <v>0.15865409999999999</v>
      </c>
      <c r="X5598">
        <v>0.98069399999999995</v>
      </c>
      <c r="Y5598">
        <v>-9.4739400000000001E-2</v>
      </c>
      <c r="Z5598">
        <v>8.2165370000000001E-2</v>
      </c>
      <c r="AA5598">
        <v>0.99210549999999997</v>
      </c>
      <c r="AB5598">
        <v>31</v>
      </c>
      <c r="AC5598">
        <v>-1.64910000000003</v>
      </c>
      <c r="AD5598">
        <v>-1.114831941619</v>
      </c>
      <c r="AE5598">
        <v>-10.758778999999899</v>
      </c>
      <c r="AF5598">
        <v>-1.07720885957666</v>
      </c>
      <c r="AG5598">
        <v>-1.114831941619</v>
      </c>
      <c r="AH5598">
        <v>10.717432166820799</v>
      </c>
      <c r="AI5598">
        <v>95.909014388019799</v>
      </c>
      <c r="AJ5598">
        <v>95.739521896478607</v>
      </c>
      <c r="AK5598">
        <v>10.8289695463423</v>
      </c>
      <c r="AL5598">
        <v>80.871216169369703</v>
      </c>
      <c r="AM5598">
        <v>96.648770577912501</v>
      </c>
      <c r="AN5598">
        <v>1.0000000193326199</v>
      </c>
    </row>
    <row r="5599" spans="1:40" x14ac:dyDescent="0.25">
      <c r="A5599" t="str">
        <f>"20190303162413341"</f>
        <v>20190303162413341</v>
      </c>
      <c r="B5599" t="str">
        <f>"1551601453330380"</f>
        <v>1551601453330380</v>
      </c>
      <c r="C5599" t="s">
        <v>40</v>
      </c>
      <c r="D5599">
        <v>5.8636619999999997</v>
      </c>
      <c r="E5599">
        <v>0.50217719999999999</v>
      </c>
      <c r="F5599" t="s">
        <v>41</v>
      </c>
      <c r="G5599">
        <v>-300.92059999999998</v>
      </c>
      <c r="H5599" s="1">
        <v>-1.316079E-6</v>
      </c>
      <c r="I5599">
        <v>-17.914059999999999</v>
      </c>
      <c r="J5599">
        <v>-299.60329999999999</v>
      </c>
      <c r="K5599">
        <v>1.1162459999999901</v>
      </c>
      <c r="L5599">
        <v>-8.4855350000000005</v>
      </c>
      <c r="M5599">
        <v>-0.25060700000000002</v>
      </c>
      <c r="N5599">
        <v>-1.0245010000000001E-2</v>
      </c>
      <c r="O5599">
        <v>-0.96803459999999997</v>
      </c>
      <c r="P5599">
        <v>-0.12636729999999999</v>
      </c>
      <c r="Q5599">
        <v>0.14524379999999901</v>
      </c>
      <c r="R5599">
        <v>-0.98129279999999997</v>
      </c>
      <c r="S5599">
        <v>-0.43850709999999998</v>
      </c>
      <c r="T5599">
        <v>-0.34998190000000001</v>
      </c>
      <c r="U5599">
        <v>-3.0543819999999999</v>
      </c>
      <c r="V5599">
        <v>-0.1227256</v>
      </c>
      <c r="W5599">
        <v>0.15598319999999999</v>
      </c>
      <c r="X5599">
        <v>0.98010589999999997</v>
      </c>
      <c r="Y5599">
        <v>-0.111127</v>
      </c>
      <c r="Z5599">
        <v>9.7539769999999998E-2</v>
      </c>
      <c r="AA5599">
        <v>0.98900790000000005</v>
      </c>
      <c r="AB5599">
        <v>31</v>
      </c>
      <c r="AC5599">
        <v>-1.3172999999999799</v>
      </c>
      <c r="AD5599">
        <v>-1.1162473160790001</v>
      </c>
      <c r="AE5599">
        <v>-9.4285250000000005</v>
      </c>
      <c r="AF5599">
        <v>-1.0729684680552201</v>
      </c>
      <c r="AG5599">
        <v>-1.1162473160790001</v>
      </c>
      <c r="AH5599">
        <v>9.3294988894943494</v>
      </c>
      <c r="AI5599">
        <v>96.778576322445204</v>
      </c>
      <c r="AJ5599">
        <v>96.560657631576703</v>
      </c>
      <c r="AK5599">
        <v>9.4571041515450496</v>
      </c>
      <c r="AL5599">
        <v>81.026176507471703</v>
      </c>
      <c r="AM5599">
        <v>97.137239480501407</v>
      </c>
      <c r="AN5599">
        <v>0.99999995339620396</v>
      </c>
    </row>
    <row r="5600" spans="1:40" x14ac:dyDescent="0.25">
      <c r="A5600" t="str">
        <f>"20190303162413414"</f>
        <v>20190303162413414</v>
      </c>
      <c r="B5600" t="str">
        <f>"1551601453400653"</f>
        <v>1551601453400653</v>
      </c>
      <c r="C5600" t="s">
        <v>40</v>
      </c>
      <c r="D5600">
        <v>5.8937249999999999</v>
      </c>
      <c r="E5600">
        <v>0.50395219999999996</v>
      </c>
      <c r="F5600" t="s">
        <v>41</v>
      </c>
      <c r="G5600">
        <v>-300.57979999999998</v>
      </c>
      <c r="H5600" s="1">
        <v>-2.1429280000000002E-6</v>
      </c>
      <c r="I5600">
        <v>-15.77528</v>
      </c>
      <c r="J5600">
        <v>-299.8526</v>
      </c>
      <c r="K5600">
        <v>1.12059</v>
      </c>
      <c r="L5600">
        <v>-9.4630130000000001</v>
      </c>
      <c r="M5600">
        <v>-0.24591189999999999</v>
      </c>
      <c r="N5600">
        <v>-1.0649499999999999E-2</v>
      </c>
      <c r="O5600">
        <v>-0.96923380000000003</v>
      </c>
      <c r="P5600">
        <v>-0.1160851</v>
      </c>
      <c r="Q5600">
        <v>0.14822879999999899</v>
      </c>
      <c r="R5600">
        <v>-0.9821164</v>
      </c>
      <c r="S5600">
        <v>-0.41177370000000002</v>
      </c>
      <c r="T5600">
        <v>-0.47068169999999998</v>
      </c>
      <c r="U5600">
        <v>-3.0738219999999998</v>
      </c>
      <c r="V5600">
        <v>-0.1294275</v>
      </c>
      <c r="W5600">
        <v>0.1583203</v>
      </c>
      <c r="X5600">
        <v>0.97886830000000002</v>
      </c>
      <c r="Y5600">
        <v>-0.11615780000000001</v>
      </c>
      <c r="Z5600">
        <v>0.1329639</v>
      </c>
      <c r="AA5600">
        <v>0.98429060000000002</v>
      </c>
      <c r="AB5600">
        <v>31</v>
      </c>
      <c r="AC5600">
        <v>-0.72719999999998197</v>
      </c>
      <c r="AD5600">
        <v>-1.1205921429279999</v>
      </c>
      <c r="AE5600">
        <v>-6.3122669999999896</v>
      </c>
      <c r="AF5600">
        <v>-0.82191880107177695</v>
      </c>
      <c r="AG5600">
        <v>-1.1205921429279999</v>
      </c>
      <c r="AH5600">
        <v>6.1072926169072597</v>
      </c>
      <c r="AI5600">
        <v>100.30632818657899</v>
      </c>
      <c r="AJ5600">
        <v>97.664807057372499</v>
      </c>
      <c r="AK5600">
        <v>6.2634096445049101</v>
      </c>
      <c r="AL5600">
        <v>80.8905858836589</v>
      </c>
      <c r="AM5600">
        <v>97.532047383780196</v>
      </c>
      <c r="AN5600">
        <v>0.99999997194661405</v>
      </c>
    </row>
    <row r="5601" spans="1:40" x14ac:dyDescent="0.25">
      <c r="A5601" t="str">
        <f>"20190303162413452"</f>
        <v>20190303162413452</v>
      </c>
      <c r="B5601" t="str">
        <f>"1551601453440668"</f>
        <v>1551601453440668</v>
      </c>
      <c r="C5601" t="s">
        <v>40</v>
      </c>
      <c r="D5601">
        <v>5.9117829999999998</v>
      </c>
      <c r="E5601">
        <v>0.50437129999999997</v>
      </c>
      <c r="F5601" t="s">
        <v>41</v>
      </c>
      <c r="G5601">
        <v>-300.7799</v>
      </c>
      <c r="H5601" s="1">
        <v>-1.731076E-6</v>
      </c>
      <c r="I5601">
        <v>-16.859400000000001</v>
      </c>
      <c r="J5601">
        <v>-299.97379999999998</v>
      </c>
      <c r="K5601">
        <v>1.12222</v>
      </c>
      <c r="L5601">
        <v>-9.9661869999999997</v>
      </c>
      <c r="M5601">
        <v>-0.23965980000000001</v>
      </c>
      <c r="N5601">
        <v>-1.0803170000000001E-2</v>
      </c>
      <c r="O5601">
        <v>-0.97079700000000002</v>
      </c>
      <c r="P5601">
        <v>-0.11511299999999999</v>
      </c>
      <c r="Q5601">
        <v>0.14976449999999999</v>
      </c>
      <c r="R5601">
        <v>-0.98199800000000004</v>
      </c>
      <c r="S5601">
        <v>-0.38604739999999999</v>
      </c>
      <c r="T5601">
        <v>-0.46654669999999998</v>
      </c>
      <c r="U5601">
        <v>-3.0794069999999998</v>
      </c>
      <c r="V5601">
        <v>-0.1245353</v>
      </c>
      <c r="W5601">
        <v>0.15962899999999999</v>
      </c>
      <c r="X5601">
        <v>0.97929029999999995</v>
      </c>
      <c r="Y5601">
        <v>-0.11805209999999999</v>
      </c>
      <c r="Z5601">
        <v>0.13171559999999999</v>
      </c>
      <c r="AA5601">
        <v>0.98423309999999997</v>
      </c>
      <c r="AB5601">
        <v>31</v>
      </c>
      <c r="AC5601">
        <v>-0.80610000000001403</v>
      </c>
      <c r="AD5601">
        <v>-1.1222217310760001</v>
      </c>
      <c r="AE5601">
        <v>-6.8932130000000003</v>
      </c>
      <c r="AF5601">
        <v>-0.84736156087470305</v>
      </c>
      <c r="AG5601">
        <v>-1.1222217310760001</v>
      </c>
      <c r="AH5601">
        <v>6.7100557898664697</v>
      </c>
      <c r="AI5601">
        <v>99.421080904983896</v>
      </c>
      <c r="AJ5601">
        <v>97.197347335225899</v>
      </c>
      <c r="AK5601">
        <v>6.8558188374305598</v>
      </c>
      <c r="AL5601">
        <v>80.814637051317405</v>
      </c>
      <c r="AM5601">
        <v>97.2473422117979</v>
      </c>
      <c r="AN5601">
        <v>0.99999997513058902</v>
      </c>
    </row>
    <row r="5602" spans="1:40" x14ac:dyDescent="0.25">
      <c r="A5602" t="str">
        <f>"20190303162413474"</f>
        <v>20190303162413474</v>
      </c>
      <c r="B5602" t="str">
        <f>"1551601453461164"</f>
        <v>1551601453461164</v>
      </c>
      <c r="C5602" t="s">
        <v>40</v>
      </c>
      <c r="D5602">
        <v>5.8841390000000002</v>
      </c>
      <c r="E5602">
        <v>0.50488060000000001</v>
      </c>
      <c r="F5602" t="s">
        <v>41</v>
      </c>
      <c r="G5602">
        <v>-300.92759999999998</v>
      </c>
      <c r="H5602" s="1">
        <v>-1.441089E-6</v>
      </c>
      <c r="I5602">
        <v>-17.626950000000001</v>
      </c>
      <c r="J5602">
        <v>-300.0455</v>
      </c>
      <c r="K5602">
        <v>1.123113</v>
      </c>
      <c r="L5602">
        <v>-10.276149999999999</v>
      </c>
      <c r="M5602">
        <v>-0.2346221</v>
      </c>
      <c r="N5602">
        <v>-1.0895E-2</v>
      </c>
      <c r="O5602">
        <v>-0.97202580000000005</v>
      </c>
      <c r="P5602">
        <v>-0.1124045</v>
      </c>
      <c r="Q5602">
        <v>0.15364349999999999</v>
      </c>
      <c r="R5602">
        <v>-0.98171249999999999</v>
      </c>
      <c r="S5602">
        <v>-0.3833008</v>
      </c>
      <c r="T5602">
        <v>-0.45102039999999999</v>
      </c>
      <c r="U5602">
        <v>-3.0788570000000002</v>
      </c>
      <c r="V5602">
        <v>-0.1223341</v>
      </c>
      <c r="W5602">
        <v>0.16338620000000001</v>
      </c>
      <c r="X5602">
        <v>0.97894809999999999</v>
      </c>
      <c r="Y5602">
        <v>-0.1136765</v>
      </c>
      <c r="Z5602">
        <v>0.1273097</v>
      </c>
      <c r="AA5602">
        <v>0.98532730000000002</v>
      </c>
      <c r="AB5602">
        <v>31</v>
      </c>
      <c r="AC5602">
        <v>-0.88209999999997901</v>
      </c>
      <c r="AD5602">
        <v>-1.1231144410889999</v>
      </c>
      <c r="AE5602">
        <v>-7.3507999999999996</v>
      </c>
      <c r="AF5602">
        <v>-0.847777740450119</v>
      </c>
      <c r="AG5602">
        <v>-1.1231144410889999</v>
      </c>
      <c r="AH5602">
        <v>7.1871655521612903</v>
      </c>
      <c r="AI5602">
        <v>98.821405302788506</v>
      </c>
      <c r="AJ5602">
        <v>96.727361919188496</v>
      </c>
      <c r="AK5602">
        <v>7.3236235443364599</v>
      </c>
      <c r="AL5602">
        <v>80.596501945545498</v>
      </c>
      <c r="AM5602">
        <v>97.123033234880594</v>
      </c>
      <c r="AN5602">
        <v>1.0000000324334199</v>
      </c>
    </row>
    <row r="5603" spans="1:40" x14ac:dyDescent="0.25">
      <c r="A5603" t="str">
        <f>"20190303162413496"</f>
        <v>20190303162413496</v>
      </c>
      <c r="B5603" t="str">
        <f>"1551601453490444"</f>
        <v>1551601453490444</v>
      </c>
      <c r="C5603" t="s">
        <v>40</v>
      </c>
      <c r="D5603">
        <v>5.8738460000000003</v>
      </c>
      <c r="E5603">
        <v>0.50515350000000003</v>
      </c>
      <c r="F5603" t="s">
        <v>41</v>
      </c>
      <c r="G5603">
        <v>-300.99990000000003</v>
      </c>
      <c r="H5603" s="1">
        <v>-1.2867290000000001E-6</v>
      </c>
      <c r="I5603">
        <v>-18.03163</v>
      </c>
      <c r="J5603">
        <v>-300.11160000000001</v>
      </c>
      <c r="K5603">
        <v>1.123869</v>
      </c>
      <c r="L5603">
        <v>-10.57175</v>
      </c>
      <c r="M5603">
        <v>-0.2291694</v>
      </c>
      <c r="N5603">
        <v>-1.0982820000000001E-2</v>
      </c>
      <c r="O5603">
        <v>-0.97332479999999999</v>
      </c>
      <c r="P5603">
        <v>-0.1113508</v>
      </c>
      <c r="Q5603">
        <v>0.15645010000000001</v>
      </c>
      <c r="R5603">
        <v>-0.98138939999999997</v>
      </c>
      <c r="S5603">
        <v>-0.379303</v>
      </c>
      <c r="T5603">
        <v>-0.44636569999999998</v>
      </c>
      <c r="U5603">
        <v>-3.082306</v>
      </c>
      <c r="V5603">
        <v>-0.1180765</v>
      </c>
      <c r="W5603">
        <v>0.16612479999999999</v>
      </c>
      <c r="X5603">
        <v>0.97900989999999999</v>
      </c>
      <c r="Y5603">
        <v>-0.1094817</v>
      </c>
      <c r="Z5603">
        <v>0.12599160000000001</v>
      </c>
      <c r="AA5603">
        <v>0.9859715</v>
      </c>
      <c r="AB5603">
        <v>31</v>
      </c>
      <c r="AC5603">
        <v>-0.88830000000001497</v>
      </c>
      <c r="AD5603">
        <v>-1.123870286729</v>
      </c>
      <c r="AE5603">
        <v>-7.4598800000000001</v>
      </c>
      <c r="AF5603">
        <v>-0.82652522654794602</v>
      </c>
      <c r="AG5603">
        <v>-1.123870286729</v>
      </c>
      <c r="AH5603">
        <v>7.3015008369566798</v>
      </c>
      <c r="AI5603">
        <v>98.695793794089298</v>
      </c>
      <c r="AJ5603">
        <v>96.458353260701301</v>
      </c>
      <c r="AK5603">
        <v>7.4335821004137399</v>
      </c>
      <c r="AL5603">
        <v>80.437416870985302</v>
      </c>
      <c r="AM5603">
        <v>96.877116525263304</v>
      </c>
      <c r="AN5603">
        <v>0.99999994666264802</v>
      </c>
    </row>
    <row r="5604" spans="1:40" x14ac:dyDescent="0.25">
      <c r="A5604" t="str">
        <f>"20190303162413519"</f>
        <v>20190303162413519</v>
      </c>
      <c r="B5604" t="str">
        <f>"1551601453510941"</f>
        <v>1551601453510941</v>
      </c>
      <c r="C5604" t="s">
        <v>40</v>
      </c>
      <c r="D5604">
        <v>6.1669549999999997</v>
      </c>
      <c r="E5604">
        <v>0.50522040000000001</v>
      </c>
      <c r="F5604" t="s">
        <v>41</v>
      </c>
      <c r="G5604">
        <v>-301.1318</v>
      </c>
      <c r="H5604" s="1">
        <v>-9.763254000000001E-7</v>
      </c>
      <c r="I5604">
        <v>-18.837019999999999</v>
      </c>
      <c r="J5604">
        <v>-300.178</v>
      </c>
      <c r="K5604">
        <v>1.1245459999999901</v>
      </c>
      <c r="L5604">
        <v>-10.88043</v>
      </c>
      <c r="M5604">
        <v>-0.22292709999999999</v>
      </c>
      <c r="N5604">
        <v>-1.106531E-2</v>
      </c>
      <c r="O5604">
        <v>-0.97477239999999998</v>
      </c>
      <c r="P5604">
        <v>-0.1102081</v>
      </c>
      <c r="Q5604">
        <v>0.15513850000000001</v>
      </c>
      <c r="R5604">
        <v>-0.98172630000000005</v>
      </c>
      <c r="S5604">
        <v>-0.380249</v>
      </c>
      <c r="T5604">
        <v>-0.4188714</v>
      </c>
      <c r="U5604">
        <v>-3.080505</v>
      </c>
      <c r="V5604">
        <v>-0.1132104</v>
      </c>
      <c r="W5604">
        <v>0.1647827</v>
      </c>
      <c r="X5604">
        <v>0.97981130000000005</v>
      </c>
      <c r="Y5604">
        <v>-0.102628</v>
      </c>
      <c r="Z5604">
        <v>0.1180354</v>
      </c>
      <c r="AA5604">
        <v>0.98769180000000001</v>
      </c>
      <c r="AB5604">
        <v>31</v>
      </c>
      <c r="AC5604">
        <v>-0.95380000000000098</v>
      </c>
      <c r="AD5604">
        <v>-1.1245469763253999</v>
      </c>
      <c r="AE5604">
        <v>-7.9565900000000003</v>
      </c>
      <c r="AF5604">
        <v>-0.82775255975940298</v>
      </c>
      <c r="AG5604">
        <v>-1.1245469763253999</v>
      </c>
      <c r="AH5604">
        <v>7.8150795712295098</v>
      </c>
      <c r="AI5604">
        <v>98.143406473685801</v>
      </c>
      <c r="AJ5604">
        <v>96.0460754088502</v>
      </c>
      <c r="AK5604">
        <v>7.9388443054892903</v>
      </c>
      <c r="AL5604">
        <v>80.515389251117497</v>
      </c>
      <c r="AM5604">
        <v>96.590903666444603</v>
      </c>
      <c r="AN5604">
        <v>1.0000000582475601</v>
      </c>
    </row>
    <row r="5605" spans="1:40" x14ac:dyDescent="0.25">
      <c r="A5605" t="str">
        <f>"20190303162413540"</f>
        <v>20190303162413540</v>
      </c>
      <c r="B5605" t="str">
        <f>"1551601453530460"</f>
        <v>1551601453530460</v>
      </c>
      <c r="C5605" t="s">
        <v>40</v>
      </c>
      <c r="D5605">
        <v>6.09579</v>
      </c>
      <c r="E5605">
        <v>0.50535350000000001</v>
      </c>
      <c r="F5605" t="s">
        <v>41</v>
      </c>
      <c r="G5605">
        <v>-301.19929999999999</v>
      </c>
      <c r="H5605" s="1">
        <v>-8.2803809999999999E-7</v>
      </c>
      <c r="I5605">
        <v>-19.224540000000001</v>
      </c>
      <c r="J5605">
        <v>-300.2362</v>
      </c>
      <c r="K5605">
        <v>1.1249979999999999</v>
      </c>
      <c r="L5605">
        <v>-11.1615</v>
      </c>
      <c r="M5605">
        <v>-0.21685889999999999</v>
      </c>
      <c r="N5605">
        <v>-1.1128040000000001E-2</v>
      </c>
      <c r="O5605">
        <v>-0.97613970000000005</v>
      </c>
      <c r="P5605">
        <v>-0.1077693</v>
      </c>
      <c r="Q5605">
        <v>0.14953060000000001</v>
      </c>
      <c r="R5605">
        <v>-0.98286640000000003</v>
      </c>
      <c r="S5605">
        <v>-0.37686160000000002</v>
      </c>
      <c r="T5605">
        <v>-0.41497460000000003</v>
      </c>
      <c r="U5605">
        <v>-3.0791019999999998</v>
      </c>
      <c r="V5605">
        <v>-0.1098441</v>
      </c>
      <c r="W5605">
        <v>0.15916959999999999</v>
      </c>
      <c r="X5605">
        <v>0.98112149999999998</v>
      </c>
      <c r="Y5605">
        <v>-9.7444890000000006E-2</v>
      </c>
      <c r="Z5605">
        <v>0.1171589</v>
      </c>
      <c r="AA5605">
        <v>0.98832089999999995</v>
      </c>
      <c r="AB5605">
        <v>31</v>
      </c>
      <c r="AC5605">
        <v>-0.96309999999999696</v>
      </c>
      <c r="AD5605">
        <v>-1.1249988280381</v>
      </c>
      <c r="AE5605">
        <v>-8.0630399999999902</v>
      </c>
      <c r="AF5605">
        <v>-0.79324659242370599</v>
      </c>
      <c r="AG5605">
        <v>-1.1249988280381</v>
      </c>
      <c r="AH5605">
        <v>7.9278461563781297</v>
      </c>
      <c r="AI5605">
        <v>98.0370136152968</v>
      </c>
      <c r="AJ5605">
        <v>95.713898839431593</v>
      </c>
      <c r="AK5605">
        <v>8.0464655096929594</v>
      </c>
      <c r="AL5605">
        <v>80.841300261252698</v>
      </c>
      <c r="AM5605">
        <v>96.388101338740597</v>
      </c>
      <c r="AN5605">
        <v>1.0000000428156</v>
      </c>
    </row>
    <row r="5606" spans="1:40" x14ac:dyDescent="0.25">
      <c r="A5606" t="str">
        <f>"20190303162413589"</f>
        <v>20190303162413589</v>
      </c>
      <c r="B5606" t="str">
        <f>"1551601453580235"</f>
        <v>1551601453580235</v>
      </c>
      <c r="C5606" t="s">
        <v>40</v>
      </c>
      <c r="D5606">
        <v>5.907953</v>
      </c>
      <c r="E5606">
        <v>0.50522040000000001</v>
      </c>
      <c r="F5606" t="s">
        <v>41</v>
      </c>
      <c r="G5606">
        <v>-301.20890000000003</v>
      </c>
      <c r="H5606" s="1">
        <v>-8.1911740000000004E-7</v>
      </c>
      <c r="I5606">
        <v>-19.251259999999998</v>
      </c>
      <c r="J5606">
        <v>-300.36349999999999</v>
      </c>
      <c r="K5606">
        <v>1.125626</v>
      </c>
      <c r="L5606">
        <v>-11.817080000000001</v>
      </c>
      <c r="M5606">
        <v>-0.2019493</v>
      </c>
      <c r="N5606">
        <v>-1.122807E-2</v>
      </c>
      <c r="O5606">
        <v>-0.97933190000000003</v>
      </c>
      <c r="P5606">
        <v>-9.4564289999999995E-2</v>
      </c>
      <c r="Q5606">
        <v>0.14266429999999999</v>
      </c>
      <c r="R5606">
        <v>-0.98524369999999994</v>
      </c>
      <c r="S5606">
        <v>-0.36993409999999999</v>
      </c>
      <c r="T5606">
        <v>-0.42787969999999997</v>
      </c>
      <c r="U5606">
        <v>-3.0768430000000002</v>
      </c>
      <c r="V5606">
        <v>-0.1083906</v>
      </c>
      <c r="W5606">
        <v>0.15228329999999901</v>
      </c>
      <c r="X5606">
        <v>0.98237529999999995</v>
      </c>
      <c r="Y5606">
        <v>-8.4439840000000002E-2</v>
      </c>
      <c r="Z5606">
        <v>0.12180779999999999</v>
      </c>
      <c r="AA5606">
        <v>0.98895540000000004</v>
      </c>
      <c r="AB5606">
        <v>31</v>
      </c>
      <c r="AC5606">
        <v>-0.84540000000004001</v>
      </c>
      <c r="AD5606">
        <v>-1.1256268191173999</v>
      </c>
      <c r="AE5606">
        <v>-7.4341799999999996</v>
      </c>
      <c r="AF5606">
        <v>-0.65853782177956999</v>
      </c>
      <c r="AG5606">
        <v>-1.1256268191173999</v>
      </c>
      <c r="AH5606">
        <v>7.28680284948297</v>
      </c>
      <c r="AI5606">
        <v>98.746250091661494</v>
      </c>
      <c r="AJ5606">
        <v>95.164022639574299</v>
      </c>
      <c r="AK5606">
        <v>7.4025808719570003</v>
      </c>
      <c r="AL5606">
        <v>81.240729410442299</v>
      </c>
      <c r="AM5606">
        <v>96.296275163073901</v>
      </c>
      <c r="AN5606">
        <v>0.99999997783866901</v>
      </c>
    </row>
    <row r="5607" spans="1:40" x14ac:dyDescent="0.25">
      <c r="A5607" t="str">
        <f>"20190303162413611"</f>
        <v>20190303162413611</v>
      </c>
      <c r="B5607" t="str">
        <f>"1551601453600733"</f>
        <v>1551601453600733</v>
      </c>
      <c r="C5607" t="s">
        <v>40</v>
      </c>
      <c r="D5607">
        <v>5.8860029999999997</v>
      </c>
      <c r="E5607">
        <v>0.50504570000000004</v>
      </c>
      <c r="F5607" t="s">
        <v>41</v>
      </c>
      <c r="G5607">
        <v>-301.20150000000001</v>
      </c>
      <c r="H5607" s="1">
        <v>-6.6306259999999896E-7</v>
      </c>
      <c r="I5607">
        <v>-19.61046</v>
      </c>
      <c r="J5607">
        <v>-300.41820000000001</v>
      </c>
      <c r="K5607">
        <v>1.1257440000000001</v>
      </c>
      <c r="L5607">
        <v>-12.11716</v>
      </c>
      <c r="M5607">
        <v>-0.195024</v>
      </c>
      <c r="N5607">
        <v>-1.125874E-2</v>
      </c>
      <c r="O5607">
        <v>-0.98073379999999999</v>
      </c>
      <c r="P5607">
        <v>-9.2545379999999997E-2</v>
      </c>
      <c r="Q5607">
        <v>0.1396898</v>
      </c>
      <c r="R5607">
        <v>-0.98586110000000005</v>
      </c>
      <c r="S5607">
        <v>-0.33090209999999998</v>
      </c>
      <c r="T5607">
        <v>-0.44450129999999999</v>
      </c>
      <c r="U5607">
        <v>-3.0775450000000002</v>
      </c>
      <c r="V5607">
        <v>-0.1035296</v>
      </c>
      <c r="W5607">
        <v>0.14939179999999999</v>
      </c>
      <c r="X5607">
        <v>0.98334310000000003</v>
      </c>
      <c r="Y5607">
        <v>-8.9869470000000007E-2</v>
      </c>
      <c r="Z5607">
        <v>0.12715170000000001</v>
      </c>
      <c r="AA5607">
        <v>0.9878036</v>
      </c>
      <c r="AB5607">
        <v>31</v>
      </c>
      <c r="AC5607">
        <v>-0.783299999999997</v>
      </c>
      <c r="AD5607">
        <v>-1.1257446630626</v>
      </c>
      <c r="AE5607">
        <v>-7.4932999999999996</v>
      </c>
      <c r="AF5607">
        <v>-0.67806984011861504</v>
      </c>
      <c r="AG5607">
        <v>-1.1257446630626</v>
      </c>
      <c r="AH5607">
        <v>7.3383340548789198</v>
      </c>
      <c r="AI5607">
        <v>98.685096224677295</v>
      </c>
      <c r="AJ5607">
        <v>95.279200249504797</v>
      </c>
      <c r="AK5607">
        <v>7.4550805800801498</v>
      </c>
      <c r="AL5607">
        <v>81.408317607765895</v>
      </c>
      <c r="AM5607">
        <v>96.0101469851611</v>
      </c>
      <c r="AN5607">
        <v>0.99999997015050401</v>
      </c>
    </row>
    <row r="5608" spans="1:40" x14ac:dyDescent="0.25">
      <c r="A5608" t="str">
        <f>"20190303162413630"</f>
        <v>20190303162413630</v>
      </c>
      <c r="B5608" t="str">
        <f>"1551601453620252"</f>
        <v>1551601453620252</v>
      </c>
      <c r="C5608" t="s">
        <v>40</v>
      </c>
      <c r="D5608">
        <v>5.8653529999999998</v>
      </c>
      <c r="E5608">
        <v>0.50492519999999996</v>
      </c>
      <c r="F5608" t="s">
        <v>41</v>
      </c>
      <c r="G5608">
        <v>-301.20460000000003</v>
      </c>
      <c r="H5608" s="1">
        <v>-6.2014509999999896E-7</v>
      </c>
      <c r="I5608">
        <v>-19.712440000000001</v>
      </c>
      <c r="J5608">
        <v>-300.46379999999999</v>
      </c>
      <c r="K5608">
        <v>1.1257649999999999</v>
      </c>
      <c r="L5608">
        <v>-12.37607</v>
      </c>
      <c r="M5608">
        <v>-0.18911819999999999</v>
      </c>
      <c r="N5608">
        <v>-1.128053E-2</v>
      </c>
      <c r="O5608">
        <v>-0.98188960000000003</v>
      </c>
      <c r="P5608">
        <v>-9.1381359999999995E-2</v>
      </c>
      <c r="Q5608">
        <v>0.1353731</v>
      </c>
      <c r="R5608">
        <v>-0.98657169999999905</v>
      </c>
      <c r="S5608">
        <v>-0.31866460000000002</v>
      </c>
      <c r="T5608">
        <v>-0.45617390000000002</v>
      </c>
      <c r="U5608">
        <v>-3.0777589999999999</v>
      </c>
      <c r="V5608">
        <v>-9.8824899999999993E-2</v>
      </c>
      <c r="W5608">
        <v>0.14516879999999999</v>
      </c>
      <c r="X5608">
        <v>0.98445899999999997</v>
      </c>
      <c r="Y5608">
        <v>-8.7817539999999999E-2</v>
      </c>
      <c r="Z5608">
        <v>0.13096479999999999</v>
      </c>
      <c r="AA5608">
        <v>0.98748990000000003</v>
      </c>
      <c r="AB5608">
        <v>31</v>
      </c>
      <c r="AC5608">
        <v>-0.74080000000003499</v>
      </c>
      <c r="AD5608">
        <v>-1.1257656201450901</v>
      </c>
      <c r="AE5608">
        <v>-7.3363699999999996</v>
      </c>
      <c r="AF5608">
        <v>-0.64506330695165603</v>
      </c>
      <c r="AG5608">
        <v>-1.1257656201450901</v>
      </c>
      <c r="AH5608">
        <v>7.1767856836986903</v>
      </c>
      <c r="AI5608">
        <v>98.879668088001196</v>
      </c>
      <c r="AJ5608">
        <v>95.136053601380397</v>
      </c>
      <c r="AK5608">
        <v>7.2931274259550998</v>
      </c>
      <c r="AL5608">
        <v>81.6529452859738</v>
      </c>
      <c r="AM5608">
        <v>95.732431811237205</v>
      </c>
      <c r="AN5608">
        <v>0.99999993201722204</v>
      </c>
    </row>
    <row r="5609" spans="1:40" x14ac:dyDescent="0.25">
      <c r="A5609" t="str">
        <f>"20190303162413653"</f>
        <v>20190303162413653</v>
      </c>
      <c r="B5609" t="str">
        <f>"1551601453640749"</f>
        <v>1551601453640749</v>
      </c>
      <c r="C5609" t="s">
        <v>40</v>
      </c>
      <c r="D5609">
        <v>6.0571010000000003</v>
      </c>
      <c r="E5609">
        <v>0.50471929999999998</v>
      </c>
      <c r="F5609" t="s">
        <v>42</v>
      </c>
      <c r="G5609">
        <v>-300.55200000000002</v>
      </c>
      <c r="H5609">
        <v>0.99296700000000004</v>
      </c>
      <c r="I5609">
        <v>-13.247669999999999</v>
      </c>
      <c r="J5609">
        <v>-300.5147</v>
      </c>
      <c r="K5609">
        <v>1.12574</v>
      </c>
      <c r="L5609">
        <v>-12.67657</v>
      </c>
      <c r="M5609">
        <v>-0.1824308</v>
      </c>
      <c r="N5609">
        <v>-1.1300030000000001E-2</v>
      </c>
      <c r="O5609">
        <v>-0.98315399999999997</v>
      </c>
      <c r="P5609">
        <v>-8.6504719999999993E-2</v>
      </c>
      <c r="Q5609">
        <v>0.13390089999999999</v>
      </c>
      <c r="R5609">
        <v>-0.98721210000000004</v>
      </c>
      <c r="S5609">
        <v>-0.31088259999999901</v>
      </c>
      <c r="T5609">
        <v>-0.46895769999999998</v>
      </c>
      <c r="U5609">
        <v>-3.0763850000000001</v>
      </c>
      <c r="V5609">
        <v>-9.6986020000000006E-2</v>
      </c>
      <c r="W5609">
        <v>0.1437561</v>
      </c>
      <c r="X5609">
        <v>0.98484919999999998</v>
      </c>
      <c r="Y5609">
        <v>-8.3522739999999998E-2</v>
      </c>
      <c r="Z5609">
        <v>0.13522989999999999</v>
      </c>
      <c r="AA5609">
        <v>0.98728760000000004</v>
      </c>
      <c r="AB5609">
        <v>31</v>
      </c>
      <c r="AC5609">
        <v>-3.7300000000016098E-2</v>
      </c>
      <c r="AD5609">
        <v>-0.132772999999999</v>
      </c>
      <c r="AE5609">
        <v>-0.57110000000000105</v>
      </c>
      <c r="AF5609">
        <v>-6.4070579106648401E-2</v>
      </c>
      <c r="AG5609">
        <v>-0.132772999999999</v>
      </c>
      <c r="AH5609">
        <v>0.53929501857887596</v>
      </c>
      <c r="AI5609">
        <v>103.73808510548</v>
      </c>
      <c r="AJ5609">
        <v>96.775229095186901</v>
      </c>
      <c r="AK5609">
        <v>0.55908212786678402</v>
      </c>
      <c r="AL5609">
        <v>81.7347458820404</v>
      </c>
      <c r="AM5609">
        <v>95.624241753768899</v>
      </c>
      <c r="AN5609">
        <v>1.0000000255516399</v>
      </c>
    </row>
    <row r="5610" spans="1:40" x14ac:dyDescent="0.25">
      <c r="A5610" t="str">
        <f>"20190303162413675"</f>
        <v>20190303162413675</v>
      </c>
      <c r="B5610" t="str">
        <f>"1551601453671004"</f>
        <v>1551601453671004</v>
      </c>
      <c r="C5610" t="s">
        <v>40</v>
      </c>
      <c r="D5610">
        <v>5.8518359999999996</v>
      </c>
      <c r="E5610">
        <v>0.5046564</v>
      </c>
      <c r="F5610" t="s">
        <v>42</v>
      </c>
      <c r="G5610">
        <v>-300.5967</v>
      </c>
      <c r="H5610">
        <v>0.9972607</v>
      </c>
      <c r="I5610">
        <v>-13.5205</v>
      </c>
      <c r="J5610">
        <v>-300.56580000000002</v>
      </c>
      <c r="K5610">
        <v>1.125672</v>
      </c>
      <c r="L5610">
        <v>-12.98926</v>
      </c>
      <c r="M5610">
        <v>-0.17570959999999999</v>
      </c>
      <c r="N5610">
        <v>-1.131448E-2</v>
      </c>
      <c r="O5610">
        <v>-0.98437699999999995</v>
      </c>
      <c r="P5610">
        <v>-8.0384629999999999E-2</v>
      </c>
      <c r="Q5610">
        <v>0.1359649</v>
      </c>
      <c r="R5610">
        <v>-0.98744730000000003</v>
      </c>
      <c r="S5610">
        <v>-0.29803469999999999</v>
      </c>
      <c r="T5610">
        <v>-0.46866540000000001</v>
      </c>
      <c r="U5610">
        <v>-3.0763240000000001</v>
      </c>
      <c r="V5610">
        <v>-9.6301780000000003E-2</v>
      </c>
      <c r="W5610">
        <v>0.14586470000000001</v>
      </c>
      <c r="X5610">
        <v>0.98460630000000005</v>
      </c>
      <c r="Y5610">
        <v>-8.0799609999999994E-2</v>
      </c>
      <c r="Z5610">
        <v>0.13544020000000001</v>
      </c>
      <c r="AA5610">
        <v>0.98748530000000001</v>
      </c>
      <c r="AB5610">
        <v>31</v>
      </c>
      <c r="AC5610">
        <v>-3.0899999999974101E-2</v>
      </c>
      <c r="AD5610">
        <v>-0.12841130000000001</v>
      </c>
      <c r="AE5610">
        <v>-0.53124000000000005</v>
      </c>
      <c r="AF5610">
        <v>-5.9467845339118197E-2</v>
      </c>
      <c r="AG5610">
        <v>-0.12841130000000001</v>
      </c>
      <c r="AH5610">
        <v>0.499327123015259</v>
      </c>
      <c r="AI5610">
        <v>104.325134613587</v>
      </c>
      <c r="AJ5610">
        <v>96.791705843233103</v>
      </c>
      <c r="AK5610">
        <v>0.51899273826871894</v>
      </c>
      <c r="AL5610">
        <v>81.612645212786305</v>
      </c>
      <c r="AM5610">
        <v>95.586183299455598</v>
      </c>
      <c r="AN5610">
        <v>1.00000005476847</v>
      </c>
    </row>
    <row r="5611" spans="1:40" x14ac:dyDescent="0.25">
      <c r="A5611" t="str">
        <f>"20190303162413697"</f>
        <v>20190303162413697</v>
      </c>
      <c r="B5611" t="str">
        <f>"1551601453690525"</f>
        <v>1551601453690525</v>
      </c>
      <c r="C5611" t="s">
        <v>40</v>
      </c>
      <c r="D5611">
        <v>5.8885509999999996</v>
      </c>
      <c r="E5611">
        <v>0.50470109999999901</v>
      </c>
      <c r="F5611" t="s">
        <v>41</v>
      </c>
      <c r="G5611">
        <v>-301.27269999999999</v>
      </c>
      <c r="H5611" s="1">
        <v>-4.4250960000000001E-6</v>
      </c>
      <c r="I5611">
        <v>-20.67324</v>
      </c>
      <c r="J5611">
        <v>-300.61200000000002</v>
      </c>
      <c r="K5611">
        <v>1.1255820000000001</v>
      </c>
      <c r="L5611">
        <v>-13.282959999999999</v>
      </c>
      <c r="M5611">
        <v>-0.16963979999999901</v>
      </c>
      <c r="N5611">
        <v>-1.1324529999999999E-2</v>
      </c>
      <c r="O5611">
        <v>-0.98544120000000002</v>
      </c>
      <c r="P5611">
        <v>-7.5686569999999995E-2</v>
      </c>
      <c r="Q5611">
        <v>0.13976720000000001</v>
      </c>
      <c r="R5611">
        <v>-0.98728769999999999</v>
      </c>
      <c r="S5611">
        <v>-0.28308109999999997</v>
      </c>
      <c r="T5611">
        <v>-0.45079160000000001</v>
      </c>
      <c r="U5611">
        <v>-3.0771480000000002</v>
      </c>
      <c r="V5611">
        <v>-9.4829460000000004E-2</v>
      </c>
      <c r="W5611">
        <v>0.14972050000000001</v>
      </c>
      <c r="X5611">
        <v>0.98417030000000005</v>
      </c>
      <c r="Y5611">
        <v>-7.9375710000000002E-2</v>
      </c>
      <c r="Z5611">
        <v>0.13017380000000001</v>
      </c>
      <c r="AA5611">
        <v>0.98830879999999999</v>
      </c>
      <c r="AB5611">
        <v>31</v>
      </c>
      <c r="AC5611">
        <v>-0.66069999999996298</v>
      </c>
      <c r="AD5611">
        <v>-1.1255864250959999</v>
      </c>
      <c r="AE5611">
        <v>-7.39027999999999</v>
      </c>
      <c r="AF5611">
        <v>-0.589086373281834</v>
      </c>
      <c r="AG5611">
        <v>-1.1255864250959999</v>
      </c>
      <c r="AH5611">
        <v>7.2288803744780097</v>
      </c>
      <c r="AI5611">
        <v>98.821499946669704</v>
      </c>
      <c r="AJ5611">
        <v>94.658777637466997</v>
      </c>
      <c r="AK5611">
        <v>7.3396647760003297</v>
      </c>
      <c r="AL5611">
        <v>81.389270669849196</v>
      </c>
      <c r="AM5611">
        <v>95.503728491935505</v>
      </c>
      <c r="AN5611">
        <v>1.00000001700311</v>
      </c>
    </row>
    <row r="5612" spans="1:40" x14ac:dyDescent="0.25">
      <c r="A5612" t="str">
        <f>"20190303162413720"</f>
        <v>20190303162413720</v>
      </c>
      <c r="B5612" t="str">
        <f>"1551601453711021"</f>
        <v>1551601453711021</v>
      </c>
      <c r="C5612" t="s">
        <v>40</v>
      </c>
      <c r="D5612">
        <v>5.8309160000000002</v>
      </c>
      <c r="E5612">
        <v>0.50462969999999996</v>
      </c>
      <c r="F5612" t="s">
        <v>41</v>
      </c>
      <c r="G5612">
        <v>-301.31740000000002</v>
      </c>
      <c r="H5612" s="1">
        <v>-4.2122939999999997E-6</v>
      </c>
      <c r="I5612">
        <v>-21.321899999999999</v>
      </c>
      <c r="J5612">
        <v>-300.65899999999999</v>
      </c>
      <c r="K5612">
        <v>1.1254580000000001</v>
      </c>
      <c r="L5612">
        <v>-13.592739999999999</v>
      </c>
      <c r="M5612">
        <v>-0.1634951</v>
      </c>
      <c r="N5612">
        <v>-1.133281E-2</v>
      </c>
      <c r="O5612">
        <v>-0.9864792</v>
      </c>
      <c r="P5612">
        <v>-7.1280109999999994E-2</v>
      </c>
      <c r="Q5612">
        <v>0.1409667</v>
      </c>
      <c r="R5612">
        <v>-0.98744529999999997</v>
      </c>
      <c r="S5612">
        <v>-0.27017210000000003</v>
      </c>
      <c r="T5612">
        <v>-0.4311045</v>
      </c>
      <c r="U5612">
        <v>-3.0789490000000002</v>
      </c>
      <c r="V5612">
        <v>-9.3019519999999994E-2</v>
      </c>
      <c r="W5612">
        <v>0.1509829</v>
      </c>
      <c r="X5612">
        <v>0.98415019999999998</v>
      </c>
      <c r="Y5612">
        <v>-7.7262899999999995E-2</v>
      </c>
      <c r="Z5612">
        <v>0.12427000000000001</v>
      </c>
      <c r="AA5612">
        <v>0.9892358</v>
      </c>
      <c r="AB5612">
        <v>31</v>
      </c>
      <c r="AC5612">
        <v>-0.65840000000002796</v>
      </c>
      <c r="AD5612">
        <v>-1.1254622122939999</v>
      </c>
      <c r="AE5612">
        <v>-7.7291600000000003</v>
      </c>
      <c r="AF5612">
        <v>-0.601558284296698</v>
      </c>
      <c r="AG5612">
        <v>-1.1254622122939999</v>
      </c>
      <c r="AH5612">
        <v>7.5733747750985101</v>
      </c>
      <c r="AI5612">
        <v>98.4265772215998</v>
      </c>
      <c r="AJ5612">
        <v>94.541507420990698</v>
      </c>
      <c r="AK5612">
        <v>7.6801395198789297</v>
      </c>
      <c r="AL5612">
        <v>81.316109027704101</v>
      </c>
      <c r="AM5612">
        <v>95.399419279461895</v>
      </c>
      <c r="AN5612">
        <v>1.0000000416767301</v>
      </c>
    </row>
    <row r="5613" spans="1:40" x14ac:dyDescent="0.25">
      <c r="A5613" t="str">
        <f>"20190303162413811"</f>
        <v>20190303162413811</v>
      </c>
      <c r="B5613" t="str">
        <f>"1551601453800344"</f>
        <v>1551601453800344</v>
      </c>
      <c r="C5613" t="s">
        <v>40</v>
      </c>
      <c r="D5613">
        <v>6.1062629999999896</v>
      </c>
      <c r="E5613">
        <v>0.45272030000000002</v>
      </c>
      <c r="F5613" t="s">
        <v>41</v>
      </c>
      <c r="G5613">
        <v>-301.33850000000001</v>
      </c>
      <c r="H5613" s="1">
        <v>-4.0359919999999998E-6</v>
      </c>
      <c r="I5613">
        <v>-21.83305</v>
      </c>
      <c r="J5613">
        <v>-300.83</v>
      </c>
      <c r="K5613">
        <v>1.1250560000000001</v>
      </c>
      <c r="L5613">
        <v>-14.83466</v>
      </c>
      <c r="M5613">
        <v>-0.14091239999999999</v>
      </c>
      <c r="N5613">
        <v>-1.1356120000000001E-2</v>
      </c>
      <c r="O5613">
        <v>-0.98995699999999998</v>
      </c>
      <c r="P5613">
        <v>-3.8298989999999998E-2</v>
      </c>
      <c r="Q5613">
        <v>0.1432745</v>
      </c>
      <c r="R5613">
        <v>-0.98894159999999998</v>
      </c>
      <c r="S5613">
        <v>-0.25396729999999901</v>
      </c>
      <c r="T5613">
        <v>-0.42064800000000002</v>
      </c>
      <c r="U5613">
        <v>-3.0798649999999999</v>
      </c>
      <c r="V5613">
        <v>-0.10319970000000001</v>
      </c>
      <c r="W5613">
        <v>0.15327950000000001</v>
      </c>
      <c r="X5613">
        <v>0.98277930000000002</v>
      </c>
      <c r="Y5613">
        <v>-5.965061E-2</v>
      </c>
      <c r="Z5613">
        <v>0.1217737</v>
      </c>
      <c r="AA5613">
        <v>0.99076379999999997</v>
      </c>
      <c r="AB5613">
        <v>31</v>
      </c>
      <c r="AC5613">
        <v>-0.50850000000002604</v>
      </c>
      <c r="AD5613">
        <v>-1.125060035992</v>
      </c>
      <c r="AE5613">
        <v>-6.9983899999999899</v>
      </c>
      <c r="AF5613">
        <v>-0.47069721293752698</v>
      </c>
      <c r="AG5613">
        <v>-1.125060035992</v>
      </c>
      <c r="AH5613">
        <v>6.8247591483890604</v>
      </c>
      <c r="AI5613">
        <v>99.339212510218005</v>
      </c>
      <c r="AJ5613">
        <v>93.945388167557397</v>
      </c>
      <c r="AK5613">
        <v>6.9328676162446401</v>
      </c>
      <c r="AL5613">
        <v>81.182973205948002</v>
      </c>
      <c r="AM5613">
        <v>95.994546966205704</v>
      </c>
      <c r="AN5613">
        <v>0.99999996785441403</v>
      </c>
    </row>
    <row r="5614" spans="1:40" x14ac:dyDescent="0.25">
      <c r="A5614" t="str">
        <f>"20190303162413834"</f>
        <v>20190303162413834</v>
      </c>
      <c r="B5614" t="str">
        <f>"1551601453821816"</f>
        <v>1551601453821816</v>
      </c>
      <c r="C5614" t="s">
        <v>40</v>
      </c>
      <c r="D5614">
        <v>5.8905250000000002</v>
      </c>
      <c r="E5614">
        <v>0.45514090000000001</v>
      </c>
      <c r="F5614" t="s">
        <v>41</v>
      </c>
      <c r="G5614">
        <v>-299.61959999999999</v>
      </c>
      <c r="H5614" s="1">
        <v>-5.7905850000000001E-7</v>
      </c>
      <c r="I5614">
        <v>-29.174700000000001</v>
      </c>
      <c r="J5614">
        <v>-300.86810000000003</v>
      </c>
      <c r="K5614">
        <v>1.125008</v>
      </c>
      <c r="L5614">
        <v>-15.14142</v>
      </c>
      <c r="M5614">
        <v>-0.13560079999999999</v>
      </c>
      <c r="N5614">
        <v>-1.1361929999999999E-2</v>
      </c>
      <c r="O5614">
        <v>-0.99069830000000003</v>
      </c>
      <c r="P5614">
        <v>-3.26971E-2</v>
      </c>
      <c r="Q5614">
        <v>0.1426106</v>
      </c>
      <c r="R5614">
        <v>-0.98923870000000003</v>
      </c>
      <c r="S5614">
        <v>0.25985720000000001</v>
      </c>
      <c r="T5614">
        <v>-0.24153440000000001</v>
      </c>
      <c r="U5614">
        <v>-3.0786129999999998</v>
      </c>
      <c r="V5614">
        <v>-0.10348250000000001</v>
      </c>
      <c r="W5614">
        <v>0.15263109999999999</v>
      </c>
      <c r="X5614">
        <v>0.98285049999999996</v>
      </c>
      <c r="Y5614">
        <v>-0.21816650000000001</v>
      </c>
      <c r="Z5614">
        <v>6.4656290000000005E-2</v>
      </c>
      <c r="AA5614">
        <v>0.97376739999999995</v>
      </c>
      <c r="AB5614">
        <v>31</v>
      </c>
      <c r="AC5614">
        <v>1.2485000000000299</v>
      </c>
      <c r="AD5614">
        <v>-1.1250085790584901</v>
      </c>
      <c r="AE5614">
        <v>-14.03328</v>
      </c>
      <c r="AF5614">
        <v>-3.1201189917593002</v>
      </c>
      <c r="AG5614">
        <v>-1.1250085790584901</v>
      </c>
      <c r="AH5614">
        <v>13.647317498045799</v>
      </c>
      <c r="AI5614">
        <v>94.594470075053707</v>
      </c>
      <c r="AJ5614">
        <v>102.87792264769899</v>
      </c>
      <c r="AK5614">
        <v>14.0445741024127</v>
      </c>
      <c r="AL5614">
        <v>81.220566365163805</v>
      </c>
      <c r="AM5614">
        <v>96.010421576629696</v>
      </c>
      <c r="AN5614">
        <v>0.99999999292185404</v>
      </c>
    </row>
    <row r="5615" spans="1:40" x14ac:dyDescent="0.25">
      <c r="A5615" t="str">
        <f>"20190303162413876"</f>
        <v>20190303162413876</v>
      </c>
      <c r="B5615" t="str">
        <f>"1551601453870616"</f>
        <v>1551601453870616</v>
      </c>
      <c r="C5615" t="s">
        <v>40</v>
      </c>
      <c r="D5615">
        <v>6.0907770000000001</v>
      </c>
      <c r="E5615">
        <v>0.45787549999999999</v>
      </c>
      <c r="F5615" t="s">
        <v>41</v>
      </c>
      <c r="G5615">
        <v>-299.66129999999998</v>
      </c>
      <c r="H5615" s="1">
        <v>-4.6945530000000002E-7</v>
      </c>
      <c r="I5615">
        <v>-29.412949999999999</v>
      </c>
      <c r="J5615">
        <v>-300.93720000000002</v>
      </c>
      <c r="K5615">
        <v>1.1249659999999999</v>
      </c>
      <c r="L5615">
        <v>-15.734310000000001</v>
      </c>
      <c r="M5615">
        <v>-0.12540670000000001</v>
      </c>
      <c r="N5615">
        <v>-1.137268E-2</v>
      </c>
      <c r="O5615">
        <v>-0.99204040000000004</v>
      </c>
      <c r="P5615">
        <v>-2.1352300000000001E-2</v>
      </c>
      <c r="Q5615">
        <v>0.14049809999999999</v>
      </c>
      <c r="R5615">
        <v>-0.98985080000000003</v>
      </c>
      <c r="S5615">
        <v>0.26013180000000002</v>
      </c>
      <c r="T5615">
        <v>-0.2424934</v>
      </c>
      <c r="U5615">
        <v>-3.0762019999999999</v>
      </c>
      <c r="V5615">
        <v>-0.10463980000000001</v>
      </c>
      <c r="W5615">
        <v>0.15053279999999999</v>
      </c>
      <c r="X5615">
        <v>0.98305160000000003</v>
      </c>
      <c r="Y5615">
        <v>-0.2082736</v>
      </c>
      <c r="Z5615">
        <v>6.5252640000000001E-2</v>
      </c>
      <c r="AA5615">
        <v>0.97589150000000002</v>
      </c>
      <c r="AB5615">
        <v>31</v>
      </c>
      <c r="AC5615">
        <v>1.27590000000003</v>
      </c>
      <c r="AD5615">
        <v>-1.1249664694553001</v>
      </c>
      <c r="AE5615">
        <v>-13.6786399999999</v>
      </c>
      <c r="AF5615">
        <v>-2.96147161502194</v>
      </c>
      <c r="AG5615">
        <v>-1.1249664694553001</v>
      </c>
      <c r="AH5615">
        <v>13.321296202570601</v>
      </c>
      <c r="AI5615">
        <v>94.712590486381899</v>
      </c>
      <c r="AJ5615">
        <v>102.533658672789</v>
      </c>
      <c r="AK5615">
        <v>13.6928008895405</v>
      </c>
      <c r="AL5615">
        <v>81.342195910242907</v>
      </c>
      <c r="AM5615">
        <v>96.075905192820201</v>
      </c>
      <c r="AN5615">
        <v>1.00000002994121</v>
      </c>
    </row>
    <row r="5616" spans="1:40" x14ac:dyDescent="0.25">
      <c r="A5616" t="str">
        <f>"20190303162413920"</f>
        <v>20190303162413920</v>
      </c>
      <c r="B5616" t="str">
        <f>"1551601453910632"</f>
        <v>1551601453910632</v>
      </c>
      <c r="C5616" t="s">
        <v>40</v>
      </c>
      <c r="D5616">
        <v>6.1637060000000004</v>
      </c>
      <c r="E5616">
        <v>0.45970030000000001</v>
      </c>
      <c r="F5616" t="s">
        <v>41</v>
      </c>
      <c r="G5616">
        <v>-299.69889999999998</v>
      </c>
      <c r="H5616" s="1">
        <v>-3.4928730000000003E-7</v>
      </c>
      <c r="I5616">
        <v>-29.677510000000002</v>
      </c>
      <c r="J5616">
        <v>-301.0016</v>
      </c>
      <c r="K5616">
        <v>1.124932</v>
      </c>
      <c r="L5616">
        <v>-16.342379999999999</v>
      </c>
      <c r="M5616">
        <v>-0.1149891</v>
      </c>
      <c r="N5616">
        <v>-1.138199E-2</v>
      </c>
      <c r="O5616">
        <v>-0.99330149999999995</v>
      </c>
      <c r="P5616">
        <v>-1.1378259999999999E-2</v>
      </c>
      <c r="Q5616">
        <v>0.14532719999999999</v>
      </c>
      <c r="R5616">
        <v>-0.98931840000000004</v>
      </c>
      <c r="S5616">
        <v>0.2727966</v>
      </c>
      <c r="T5616">
        <v>-0.2478398</v>
      </c>
      <c r="U5616">
        <v>-3.0718079999999999</v>
      </c>
      <c r="V5616">
        <v>-0.104182399999999</v>
      </c>
      <c r="W5616">
        <v>0.15538070000000001</v>
      </c>
      <c r="X5616">
        <v>0.98234560000000004</v>
      </c>
      <c r="Y5616">
        <v>-0.20210639999999999</v>
      </c>
      <c r="Z5616">
        <v>6.7227519999999999E-2</v>
      </c>
      <c r="AA5616">
        <v>0.97705350000000002</v>
      </c>
      <c r="AB5616">
        <v>31</v>
      </c>
      <c r="AC5616">
        <v>1.30270000000001</v>
      </c>
      <c r="AD5616">
        <v>-1.1249323492873</v>
      </c>
      <c r="AE5616">
        <v>-13.335129999999999</v>
      </c>
      <c r="AF5616">
        <v>-2.80775957933812</v>
      </c>
      <c r="AG5616">
        <v>-1.1249323492873</v>
      </c>
      <c r="AH5616">
        <v>13.0051825039008</v>
      </c>
      <c r="AI5616">
        <v>94.832905088536094</v>
      </c>
      <c r="AJ5616">
        <v>102.182909198619</v>
      </c>
      <c r="AK5616">
        <v>13.3522941326802</v>
      </c>
      <c r="AL5616">
        <v>81.061123790279694</v>
      </c>
      <c r="AM5616">
        <v>96.053859116918701</v>
      </c>
      <c r="AN5616">
        <v>1.0000000061208001</v>
      </c>
    </row>
    <row r="5617" spans="1:40" x14ac:dyDescent="0.25">
      <c r="A5617" t="str">
        <f>"20190303162413944"</f>
        <v>20190303162413944</v>
      </c>
      <c r="B5617" t="str">
        <f>"1551601453930151"</f>
        <v>1551601453930151</v>
      </c>
      <c r="C5617" t="s">
        <v>40</v>
      </c>
      <c r="D5617">
        <v>5.8693580000000001</v>
      </c>
      <c r="E5617">
        <v>0.46110430000000002</v>
      </c>
      <c r="F5617" t="s">
        <v>41</v>
      </c>
      <c r="G5617">
        <v>-299.54700000000003</v>
      </c>
      <c r="H5617" s="1">
        <v>-3.8183829999999999E-6</v>
      </c>
      <c r="I5617">
        <v>-31.6538</v>
      </c>
      <c r="J5617">
        <v>-301.03300000000002</v>
      </c>
      <c r="K5617">
        <v>1.1249</v>
      </c>
      <c r="L5617">
        <v>-16.662019999999998</v>
      </c>
      <c r="M5617">
        <v>-0.10956490000000001</v>
      </c>
      <c r="N5617">
        <v>-1.1384740000000001E-2</v>
      </c>
      <c r="O5617">
        <v>-0.99391470000000004</v>
      </c>
      <c r="P5617">
        <v>-4.8225469999999999E-3</v>
      </c>
      <c r="Q5617">
        <v>0.14628099999999999</v>
      </c>
      <c r="R5617">
        <v>-0.98923159999999999</v>
      </c>
      <c r="S5617">
        <v>0.29156490000000002</v>
      </c>
      <c r="T5617">
        <v>-0.22547159999999999</v>
      </c>
      <c r="U5617">
        <v>-3.0688780000000002</v>
      </c>
      <c r="V5617">
        <v>-0.10531069999999999</v>
      </c>
      <c r="W5617">
        <v>0.15633259999999999</v>
      </c>
      <c r="X5617">
        <v>0.98207420000000001</v>
      </c>
      <c r="Y5617">
        <v>-0.20281879999999999</v>
      </c>
      <c r="Z5617">
        <v>6.0270070000000002E-2</v>
      </c>
      <c r="AA5617">
        <v>0.97735970000000005</v>
      </c>
      <c r="AB5617">
        <v>31</v>
      </c>
      <c r="AC5617">
        <v>1.48599999999998</v>
      </c>
      <c r="AD5617">
        <v>-1.124903818383</v>
      </c>
      <c r="AE5617">
        <v>-14.99178</v>
      </c>
      <c r="AF5617">
        <v>-3.10243410817136</v>
      </c>
      <c r="AG5617">
        <v>-1.124903818383</v>
      </c>
      <c r="AH5617">
        <v>14.656969615329601</v>
      </c>
      <c r="AI5617">
        <v>94.294002164068502</v>
      </c>
      <c r="AJ5617">
        <v>101.951365906452</v>
      </c>
      <c r="AK5617">
        <v>15.023889785966</v>
      </c>
      <c r="AL5617">
        <v>81.005908957650504</v>
      </c>
      <c r="AM5617">
        <v>96.120606090049804</v>
      </c>
      <c r="AN5617">
        <v>0.99999997983144395</v>
      </c>
    </row>
    <row r="5618" spans="1:40" x14ac:dyDescent="0.25">
      <c r="A5618" t="str">
        <f>"20190303162413966"</f>
        <v>20190303162413966</v>
      </c>
      <c r="B5618" t="str">
        <f>"1551601453960408"</f>
        <v>1551601453960408</v>
      </c>
      <c r="C5618" t="s">
        <v>40</v>
      </c>
      <c r="D5618">
        <v>6.2168970000000003</v>
      </c>
      <c r="E5618">
        <v>0.4624183</v>
      </c>
      <c r="F5618" t="s">
        <v>41</v>
      </c>
      <c r="G5618">
        <v>-299.52229999999997</v>
      </c>
      <c r="H5618" s="1">
        <v>-3.6299670000000001E-6</v>
      </c>
      <c r="I5618">
        <v>-32.103189999999998</v>
      </c>
      <c r="J5618">
        <v>-301.06119999999999</v>
      </c>
      <c r="K5618">
        <v>1.124843</v>
      </c>
      <c r="L5618">
        <v>-16.966339999999999</v>
      </c>
      <c r="M5618">
        <v>-0.1044823</v>
      </c>
      <c r="N5618">
        <v>-1.1384979999999999E-2</v>
      </c>
      <c r="O5618">
        <v>-0.99446159999999995</v>
      </c>
      <c r="P5618">
        <v>1.6074380000000001E-3</v>
      </c>
      <c r="Q5618">
        <v>0.14690780000000001</v>
      </c>
      <c r="R5618">
        <v>-0.98914899999999994</v>
      </c>
      <c r="S5618">
        <v>0.30007929999999999</v>
      </c>
      <c r="T5618">
        <v>-0.22344610000000001</v>
      </c>
      <c r="U5618">
        <v>-3.0671689999999998</v>
      </c>
      <c r="V5618">
        <v>-0.10664899999999999</v>
      </c>
      <c r="W5618">
        <v>0.15695809999999999</v>
      </c>
      <c r="X5618">
        <v>0.98182999999999998</v>
      </c>
      <c r="Y5618">
        <v>-0.20055719999999999</v>
      </c>
      <c r="Z5618">
        <v>5.9736079999999997E-2</v>
      </c>
      <c r="AA5618">
        <v>0.97785909999999998</v>
      </c>
      <c r="AB5618">
        <v>31</v>
      </c>
      <c r="AC5618">
        <v>1.5389000000000099</v>
      </c>
      <c r="AD5618">
        <v>-1.1248466299669999</v>
      </c>
      <c r="AE5618">
        <v>-15.136850000000001</v>
      </c>
      <c r="AF5618">
        <v>-3.09519393363263</v>
      </c>
      <c r="AG5618">
        <v>-1.1248466299669999</v>
      </c>
      <c r="AH5618">
        <v>14.8122332112913</v>
      </c>
      <c r="AI5618">
        <v>94.251251572622294</v>
      </c>
      <c r="AJ5618">
        <v>101.802806420423</v>
      </c>
      <c r="AK5618">
        <v>15.1739170332984</v>
      </c>
      <c r="AL5618">
        <v>80.969622685150199</v>
      </c>
      <c r="AM5618">
        <v>96.199315351795406</v>
      </c>
      <c r="AN5618">
        <v>1.0000000016282999</v>
      </c>
    </row>
    <row r="5619" spans="1:40" x14ac:dyDescent="0.25">
      <c r="A5619" t="str">
        <f>"20190303162414013"</f>
        <v>20190303162414013</v>
      </c>
      <c r="B5619" t="str">
        <f>"1551601454000424"</f>
        <v>1551601454000424</v>
      </c>
      <c r="C5619" t="s">
        <v>40</v>
      </c>
      <c r="D5619">
        <v>6.2130559999999999</v>
      </c>
      <c r="E5619">
        <v>0.46443659999999998</v>
      </c>
      <c r="F5619" t="s">
        <v>41</v>
      </c>
      <c r="G5619">
        <v>-299.47579999999999</v>
      </c>
      <c r="H5619" s="1">
        <v>-3.3707219999999999E-6</v>
      </c>
      <c r="I5619">
        <v>-32.726739999999999</v>
      </c>
      <c r="J5619">
        <v>-301.11689999999999</v>
      </c>
      <c r="K5619">
        <v>1.1246799999999999</v>
      </c>
      <c r="L5619">
        <v>-17.61844</v>
      </c>
      <c r="M5619">
        <v>-9.3918669999999996E-2</v>
      </c>
      <c r="N5619">
        <v>-1.138052E-2</v>
      </c>
      <c r="O5619">
        <v>-0.99551480000000003</v>
      </c>
      <c r="P5619">
        <v>8.8097430000000001E-3</v>
      </c>
      <c r="Q5619">
        <v>0.15145710000000001</v>
      </c>
      <c r="R5619">
        <v>-0.98842450000000004</v>
      </c>
      <c r="S5619">
        <v>0.30831910000000001</v>
      </c>
      <c r="T5619">
        <v>-0.218748</v>
      </c>
      <c r="U5619">
        <v>-3.0649109999999999</v>
      </c>
      <c r="V5619">
        <v>-0.103281</v>
      </c>
      <c r="W5619">
        <v>0.1615799</v>
      </c>
      <c r="X5619">
        <v>0.98144019999999998</v>
      </c>
      <c r="Y5619">
        <v>-0.19283739999999999</v>
      </c>
      <c r="Z5619">
        <v>5.8464420000000003E-2</v>
      </c>
      <c r="AA5619">
        <v>0.97948740000000001</v>
      </c>
      <c r="AB5619">
        <v>31</v>
      </c>
      <c r="AC5619">
        <v>1.64109999999999</v>
      </c>
      <c r="AD5619">
        <v>-1.1246833707220001</v>
      </c>
      <c r="AE5619">
        <v>-15.1083</v>
      </c>
      <c r="AF5619">
        <v>-3.0362592602593499</v>
      </c>
      <c r="AG5619">
        <v>-1.1246833707220001</v>
      </c>
      <c r="AH5619">
        <v>14.806278233051501</v>
      </c>
      <c r="AI5619">
        <v>94.2556182697747</v>
      </c>
      <c r="AJ5619">
        <v>101.588736652428</v>
      </c>
      <c r="AK5619">
        <v>15.1561755761282</v>
      </c>
      <c r="AL5619">
        <v>80.701388339256894</v>
      </c>
      <c r="AM5619">
        <v>96.007360680253598</v>
      </c>
      <c r="AN5619">
        <v>0.99999994761052302</v>
      </c>
    </row>
    <row r="5620" spans="1:40" x14ac:dyDescent="0.25">
      <c r="A5620" t="str">
        <f>"20190303162414034"</f>
        <v>20190303162414034</v>
      </c>
      <c r="B5620" t="str">
        <f>"1551601454020920"</f>
        <v>1551601454020920</v>
      </c>
      <c r="C5620" t="s">
        <v>40</v>
      </c>
      <c r="D5620">
        <v>6.1431570000000004</v>
      </c>
      <c r="E5620">
        <v>0.47940379999999999</v>
      </c>
      <c r="F5620" t="s">
        <v>41</v>
      </c>
      <c r="G5620">
        <v>-299.38670000000002</v>
      </c>
      <c r="H5620" s="1">
        <v>-2.6286510000000001E-6</v>
      </c>
      <c r="I5620">
        <v>-34.493369999999999</v>
      </c>
      <c r="J5620">
        <v>-301.14</v>
      </c>
      <c r="K5620">
        <v>1.124568</v>
      </c>
      <c r="L5620">
        <v>-17.9133</v>
      </c>
      <c r="M5620">
        <v>-8.9387709999999995E-2</v>
      </c>
      <c r="N5620">
        <v>-1.13758E-2</v>
      </c>
      <c r="O5620">
        <v>-0.99593189999999998</v>
      </c>
      <c r="P5620">
        <v>1.421935E-2</v>
      </c>
      <c r="Q5620">
        <v>0.15176990000000001</v>
      </c>
      <c r="R5620">
        <v>-0.98831340000000001</v>
      </c>
      <c r="S5620">
        <v>0.31411739999999999</v>
      </c>
      <c r="T5620">
        <v>-0.20418520000000001</v>
      </c>
      <c r="U5620">
        <v>-3.0636290000000002</v>
      </c>
      <c r="V5620">
        <v>-0.1041387</v>
      </c>
      <c r="W5620">
        <v>0.16190789999999999</v>
      </c>
      <c r="X5620">
        <v>0.98129560000000005</v>
      </c>
      <c r="Y5620">
        <v>-0.1902807</v>
      </c>
      <c r="Z5620">
        <v>5.3915749999999998E-2</v>
      </c>
      <c r="AA5620">
        <v>0.98024809999999996</v>
      </c>
      <c r="AB5620">
        <v>31</v>
      </c>
      <c r="AC5620">
        <v>1.7532999999999599</v>
      </c>
      <c r="AD5620">
        <v>-1.124570628651</v>
      </c>
      <c r="AE5620">
        <v>-16.580069999999999</v>
      </c>
      <c r="AF5620">
        <v>-3.21380943774275</v>
      </c>
      <c r="AG5620">
        <v>-1.124570628651</v>
      </c>
      <c r="AH5620">
        <v>16.282875964623202</v>
      </c>
      <c r="AI5620">
        <v>93.876290358535996</v>
      </c>
      <c r="AJ5620">
        <v>101.165164395754</v>
      </c>
      <c r="AK5620">
        <v>16.635061763644099</v>
      </c>
      <c r="AL5620">
        <v>80.682345491290405</v>
      </c>
      <c r="AM5620">
        <v>96.057765527453398</v>
      </c>
      <c r="AN5620">
        <v>1.00000004574972</v>
      </c>
    </row>
    <row r="5621" spans="1:40" x14ac:dyDescent="0.25">
      <c r="A5621" t="str">
        <f>"20190303162414056"</f>
        <v>20190303162414056</v>
      </c>
      <c r="B5621" t="str">
        <f>"1551601454051176"</f>
        <v>1551601454051176</v>
      </c>
      <c r="C5621" t="s">
        <v>40</v>
      </c>
      <c r="D5621">
        <v>6.2034019999999996</v>
      </c>
      <c r="E5621">
        <v>0.4796011</v>
      </c>
      <c r="F5621" t="s">
        <v>41</v>
      </c>
      <c r="G5621">
        <v>-300.06720000000001</v>
      </c>
      <c r="H5621" s="1">
        <v>-2.8954030000000001E-6</v>
      </c>
      <c r="I5621">
        <v>-33.703299999999999</v>
      </c>
      <c r="J5621">
        <v>-301.16199999999998</v>
      </c>
      <c r="K5621">
        <v>1.124422</v>
      </c>
      <c r="L5621">
        <v>-18.20776</v>
      </c>
      <c r="M5621">
        <v>-8.5079959999999996E-2</v>
      </c>
      <c r="N5621">
        <v>-1.1368619999999999E-2</v>
      </c>
      <c r="O5621">
        <v>-0.99630929999999995</v>
      </c>
      <c r="P5621">
        <v>2.0979859999999999E-2</v>
      </c>
      <c r="Q5621">
        <v>0.1514142</v>
      </c>
      <c r="R5621">
        <v>-0.9882476</v>
      </c>
      <c r="S5621">
        <v>0.208313</v>
      </c>
      <c r="T5621">
        <v>-0.21836259999999999</v>
      </c>
      <c r="U5621">
        <v>-3.0660099999999999</v>
      </c>
      <c r="V5621">
        <v>-0.1065511</v>
      </c>
      <c r="W5621">
        <v>0.16155919999999999</v>
      </c>
      <c r="X5621">
        <v>0.98109409999999997</v>
      </c>
      <c r="Y5621">
        <v>-0.15224019999999999</v>
      </c>
      <c r="Z5621">
        <v>5.8782050000000002E-2</v>
      </c>
      <c r="AA5621">
        <v>0.98659399999999997</v>
      </c>
      <c r="AB5621">
        <v>31</v>
      </c>
      <c r="AC5621">
        <v>1.09480000000002</v>
      </c>
      <c r="AD5621">
        <v>-1.1244248954030001</v>
      </c>
      <c r="AE5621">
        <v>-15.495539999999901</v>
      </c>
      <c r="AF5621">
        <v>-2.39671750392433</v>
      </c>
      <c r="AG5621">
        <v>-1.1244248954030001</v>
      </c>
      <c r="AH5621">
        <v>15.266209899223</v>
      </c>
      <c r="AI5621">
        <v>94.161691946486997</v>
      </c>
      <c r="AJ5621">
        <v>98.922318378329905</v>
      </c>
      <c r="AK5621">
        <v>15.494055338295199</v>
      </c>
      <c r="AL5621">
        <v>80.702591323962693</v>
      </c>
      <c r="AM5621">
        <v>96.198278454948806</v>
      </c>
      <c r="AN5621">
        <v>1.00000007253532</v>
      </c>
    </row>
    <row r="5622" spans="1:40" x14ac:dyDescent="0.25">
      <c r="A5622" t="str">
        <f>"20190303162414099"</f>
        <v>20190303162414099</v>
      </c>
      <c r="B5622" t="str">
        <f>"1551601454090217"</f>
        <v>1551601454090217</v>
      </c>
      <c r="C5622" t="s">
        <v>40</v>
      </c>
      <c r="D5622">
        <v>6.0827330000000002</v>
      </c>
      <c r="E5622">
        <v>0.52046320000000001</v>
      </c>
      <c r="F5622" t="s">
        <v>41</v>
      </c>
      <c r="G5622">
        <v>-300.06290000000001</v>
      </c>
      <c r="H5622" s="1">
        <v>-3.140398E-6</v>
      </c>
      <c r="I5622">
        <v>-33.129519999999999</v>
      </c>
      <c r="J5622">
        <v>-301.2047</v>
      </c>
      <c r="K5622">
        <v>1.124012</v>
      </c>
      <c r="L5622">
        <v>-18.821840000000002</v>
      </c>
      <c r="M5622">
        <v>-7.6926389999999997E-2</v>
      </c>
      <c r="N5622">
        <v>-1.134864E-2</v>
      </c>
      <c r="O5622">
        <v>-0.99697219999999998</v>
      </c>
      <c r="P5622">
        <v>3.0705590000000001E-2</v>
      </c>
      <c r="Q5622">
        <v>0.15601760000000001</v>
      </c>
      <c r="R5622">
        <v>-0.98727690000000001</v>
      </c>
      <c r="S5622">
        <v>0.22586059999999999</v>
      </c>
      <c r="T5622">
        <v>-0.23105899999999999</v>
      </c>
      <c r="U5622">
        <v>-3.066284</v>
      </c>
      <c r="V5622">
        <v>-0.107998499999999</v>
      </c>
      <c r="W5622">
        <v>0.16623060000000001</v>
      </c>
      <c r="X5622">
        <v>0.98015490000000005</v>
      </c>
      <c r="Y5622">
        <v>-0.1497454</v>
      </c>
      <c r="Z5622">
        <v>6.2930260000000002E-2</v>
      </c>
      <c r="AA5622">
        <v>0.98671980000000004</v>
      </c>
      <c r="AB5622">
        <v>31</v>
      </c>
      <c r="AC5622">
        <v>1.1417999999999799</v>
      </c>
      <c r="AD5622">
        <v>-1.1240151403980001</v>
      </c>
      <c r="AE5622">
        <v>-14.30768</v>
      </c>
      <c r="AF5622">
        <v>-2.2254771001064002</v>
      </c>
      <c r="AG5622">
        <v>-1.1240151403980001</v>
      </c>
      <c r="AH5622">
        <v>14.091022013968599</v>
      </c>
      <c r="AI5622">
        <v>94.505116052563906</v>
      </c>
      <c r="AJ5622">
        <v>98.974923170398895</v>
      </c>
      <c r="AK5622">
        <v>14.3098937716913</v>
      </c>
      <c r="AL5622">
        <v>80.431269614388896</v>
      </c>
      <c r="AM5622">
        <v>96.287778918319901</v>
      </c>
      <c r="AN5622">
        <v>0.99999995818630905</v>
      </c>
    </row>
    <row r="5623" spans="1:40" x14ac:dyDescent="0.25">
      <c r="A5623" t="str">
        <f>"20190303162414121"</f>
        <v>20190303162414121</v>
      </c>
      <c r="B5623" t="str">
        <f>"1551601454110712"</f>
        <v>1551601454110712</v>
      </c>
      <c r="C5623" t="s">
        <v>40</v>
      </c>
      <c r="D5623">
        <v>5.9058580000000003</v>
      </c>
      <c r="E5623">
        <v>0.5385643</v>
      </c>
      <c r="F5623" t="s">
        <v>41</v>
      </c>
      <c r="G5623">
        <v>-301.64429999999999</v>
      </c>
      <c r="H5623" s="1">
        <v>-1.3808490000000001E-6</v>
      </c>
      <c r="I5623">
        <v>-38.211910000000003</v>
      </c>
      <c r="J5623">
        <v>-301.22469999999998</v>
      </c>
      <c r="K5623">
        <v>1.1237870000000001</v>
      </c>
      <c r="L5623">
        <v>-19.130279999999999</v>
      </c>
      <c r="M5623">
        <v>-7.3290389999999997E-2</v>
      </c>
      <c r="N5623">
        <v>-1.133808E-2</v>
      </c>
      <c r="O5623">
        <v>-0.99724630000000003</v>
      </c>
      <c r="P5623">
        <v>3.3144229999999997E-2</v>
      </c>
      <c r="Q5623">
        <v>0.1589285</v>
      </c>
      <c r="R5623">
        <v>-0.98673359999999999</v>
      </c>
      <c r="S5623">
        <v>-6.9580080000000002E-2</v>
      </c>
      <c r="T5623">
        <v>-0.1779017</v>
      </c>
      <c r="U5623">
        <v>-3.0689389999999999</v>
      </c>
      <c r="V5623">
        <v>-0.1067342</v>
      </c>
      <c r="W5623">
        <v>0.16920060000000001</v>
      </c>
      <c r="X5623">
        <v>0.97978509999999996</v>
      </c>
      <c r="Y5623">
        <v>-5.0675060000000001E-2</v>
      </c>
      <c r="Z5623">
        <v>4.6280130000000003E-2</v>
      </c>
      <c r="AA5623">
        <v>0.99764229999999998</v>
      </c>
      <c r="AB5623">
        <v>31</v>
      </c>
      <c r="AC5623">
        <v>-0.41960000000000203</v>
      </c>
      <c r="AD5623">
        <v>-1.1237883808489999</v>
      </c>
      <c r="AE5623">
        <v>-19.081630000000001</v>
      </c>
      <c r="AF5623">
        <v>-0.97673232036349</v>
      </c>
      <c r="AG5623">
        <v>-1.1237883808489999</v>
      </c>
      <c r="AH5623">
        <v>18.995208215234399</v>
      </c>
      <c r="AI5623">
        <v>93.381311151809598</v>
      </c>
      <c r="AJ5623">
        <v>92.943552669630407</v>
      </c>
      <c r="AK5623">
        <v>19.053473213319499</v>
      </c>
      <c r="AL5623">
        <v>80.258655868770404</v>
      </c>
      <c r="AM5623">
        <v>96.217076757444104</v>
      </c>
      <c r="AN5623">
        <v>0.99999993733600301</v>
      </c>
    </row>
    <row r="5624" spans="1:40" x14ac:dyDescent="0.25">
      <c r="A5624" t="str">
        <f>"20190303162414145"</f>
        <v>20190303162414145</v>
      </c>
      <c r="B5624" t="str">
        <f>"1551601454140969"</f>
        <v>1551601454140969</v>
      </c>
      <c r="C5624" t="s">
        <v>40</v>
      </c>
      <c r="D5624">
        <v>5.8813219999999999</v>
      </c>
      <c r="E5624">
        <v>0.54546830000000002</v>
      </c>
      <c r="F5624" t="s">
        <v>41</v>
      </c>
      <c r="G5624">
        <v>-302.64060000000001</v>
      </c>
      <c r="H5624" s="1">
        <v>-7.7690029999999995E-7</v>
      </c>
      <c r="I5624">
        <v>-40.237659999999998</v>
      </c>
      <c r="J5624">
        <v>-301.2448</v>
      </c>
      <c r="K5624">
        <v>1.123534</v>
      </c>
      <c r="L5624">
        <v>-19.452449999999999</v>
      </c>
      <c r="M5624">
        <v>-6.9844039999999996E-2</v>
      </c>
      <c r="N5624">
        <v>-1.132697E-2</v>
      </c>
      <c r="O5624">
        <v>-0.99749379999999999</v>
      </c>
      <c r="P5624">
        <v>3.5118179999999999E-2</v>
      </c>
      <c r="Q5624">
        <v>0.15915480000000001</v>
      </c>
      <c r="R5624">
        <v>-0.98662919999999998</v>
      </c>
      <c r="S5624">
        <v>-0.20617679999999999</v>
      </c>
      <c r="T5624">
        <v>-0.16364339999999999</v>
      </c>
      <c r="U5624">
        <v>-3.0736080000000001</v>
      </c>
      <c r="V5624">
        <v>-0.1052014</v>
      </c>
      <c r="W5624">
        <v>0.169492899999999</v>
      </c>
      <c r="X5624">
        <v>0.9799004</v>
      </c>
      <c r="Y5624">
        <v>-2.9831480000000001E-3</v>
      </c>
      <c r="Z5624">
        <v>4.1624349999999997E-2</v>
      </c>
      <c r="AA5624">
        <v>0.99912889999999999</v>
      </c>
      <c r="AB5624">
        <v>31</v>
      </c>
      <c r="AC5624">
        <v>-1.3957999999999999</v>
      </c>
      <c r="AD5624">
        <v>-1.1235347769002999</v>
      </c>
      <c r="AE5624">
        <v>-20.785209999999999</v>
      </c>
      <c r="AF5624">
        <v>-5.9252641224544801E-2</v>
      </c>
      <c r="AG5624">
        <v>-1.1235347769002999</v>
      </c>
      <c r="AH5624">
        <v>20.771519291000299</v>
      </c>
      <c r="AI5624">
        <v>93.096108105219997</v>
      </c>
      <c r="AJ5624">
        <v>90.163440960248096</v>
      </c>
      <c r="AK5624">
        <v>20.801967573448302</v>
      </c>
      <c r="AL5624">
        <v>80.241663351206995</v>
      </c>
      <c r="AM5624">
        <v>96.127762586808302</v>
      </c>
      <c r="AN5624">
        <v>0.99999998581626404</v>
      </c>
    </row>
    <row r="5625" spans="1:40" x14ac:dyDescent="0.25">
      <c r="A5625" t="str">
        <f>"20190303162414167"</f>
        <v>20190303162414167</v>
      </c>
      <c r="B5625" t="str">
        <f>"1551601454160488"</f>
        <v>1551601454160488</v>
      </c>
      <c r="C5625" t="s">
        <v>40</v>
      </c>
      <c r="D5625">
        <v>5.9759399999999996</v>
      </c>
      <c r="E5625">
        <v>0.5479271</v>
      </c>
      <c r="F5625" t="s">
        <v>41</v>
      </c>
      <c r="G5625">
        <v>-302.82889999999998</v>
      </c>
      <c r="H5625" s="1">
        <v>-1.5244819999999999E-6</v>
      </c>
      <c r="I5625">
        <v>-38.611870000000003</v>
      </c>
      <c r="J5625">
        <v>-301.26310000000001</v>
      </c>
      <c r="K5625">
        <v>1.123302</v>
      </c>
      <c r="L5625">
        <v>-19.759830000000001</v>
      </c>
      <c r="M5625">
        <v>-6.6854899999999995E-2</v>
      </c>
      <c r="N5625">
        <v>-1.131703E-2</v>
      </c>
      <c r="O5625">
        <v>-0.9976988</v>
      </c>
      <c r="P5625">
        <v>3.7093199999999903E-2</v>
      </c>
      <c r="Q5625">
        <v>0.15752729999999901</v>
      </c>
      <c r="R5625">
        <v>-0.98681799999999997</v>
      </c>
      <c r="S5625">
        <v>-0.25457760000000001</v>
      </c>
      <c r="T5625">
        <v>-0.1805485</v>
      </c>
      <c r="U5625">
        <v>-3.0788570000000002</v>
      </c>
      <c r="V5625">
        <v>-0.1041391</v>
      </c>
      <c r="W5625">
        <v>0.1679235</v>
      </c>
      <c r="X5625">
        <v>0.98028400000000004</v>
      </c>
      <c r="Y5625">
        <v>1.5491080000000001E-2</v>
      </c>
      <c r="Z5625">
        <v>4.6971949999999998E-2</v>
      </c>
      <c r="AA5625">
        <v>0.99877609999999994</v>
      </c>
      <c r="AB5625">
        <v>31</v>
      </c>
      <c r="AC5625">
        <v>-1.5657999999999599</v>
      </c>
      <c r="AD5625">
        <v>-1.123303524482</v>
      </c>
      <c r="AE5625">
        <v>-18.852039999999999</v>
      </c>
      <c r="AF5625">
        <v>0.30080412198284501</v>
      </c>
      <c r="AG5625">
        <v>-1.123303524482</v>
      </c>
      <c r="AH5625">
        <v>18.848085375312198</v>
      </c>
      <c r="AI5625">
        <v>93.410232146245406</v>
      </c>
      <c r="AJ5625">
        <v>89.085671394142295</v>
      </c>
      <c r="AK5625">
        <v>18.883924810350599</v>
      </c>
      <c r="AL5625">
        <v>80.332891027594002</v>
      </c>
      <c r="AM5625">
        <v>96.063993378226797</v>
      </c>
      <c r="AN5625">
        <v>0.99999998732853002</v>
      </c>
    </row>
    <row r="5626" spans="1:40" x14ac:dyDescent="0.25">
      <c r="A5626" t="str">
        <f>"20190303162414189"</f>
        <v>20190303162414189</v>
      </c>
      <c r="B5626" t="str">
        <f>"1551601454180984"</f>
        <v>1551601454180984</v>
      </c>
      <c r="C5626" t="s">
        <v>40</v>
      </c>
      <c r="D5626">
        <v>5.8805680000000002</v>
      </c>
      <c r="E5626">
        <v>0.54948680000000005</v>
      </c>
      <c r="F5626" t="s">
        <v>41</v>
      </c>
      <c r="G5626">
        <v>-302.87060000000002</v>
      </c>
      <c r="H5626" s="1">
        <v>-1.7030250000000001E-6</v>
      </c>
      <c r="I5626">
        <v>-38.221519999999998</v>
      </c>
      <c r="J5626">
        <v>-301.28160000000003</v>
      </c>
      <c r="K5626">
        <v>1.1231040000000001</v>
      </c>
      <c r="L5626">
        <v>-20.081910000000001</v>
      </c>
      <c r="M5626">
        <v>-6.3955659999999998E-2</v>
      </c>
      <c r="N5626">
        <v>-1.130777E-2</v>
      </c>
      <c r="O5626">
        <v>-0.99788860000000001</v>
      </c>
      <c r="P5626">
        <v>3.904204E-2</v>
      </c>
      <c r="Q5626">
        <v>0.1559092</v>
      </c>
      <c r="R5626">
        <v>-0.98699939999999997</v>
      </c>
      <c r="S5626">
        <v>-0.2681885</v>
      </c>
      <c r="T5626">
        <v>-0.18740770000000001</v>
      </c>
      <c r="U5626">
        <v>-3.0800779999999999</v>
      </c>
      <c r="V5626">
        <v>-0.1031512</v>
      </c>
      <c r="W5626">
        <v>0.1663557</v>
      </c>
      <c r="X5626">
        <v>0.98065570000000002</v>
      </c>
      <c r="Y5626">
        <v>2.2733099999999999E-2</v>
      </c>
      <c r="Z5626">
        <v>4.9165449999999999E-2</v>
      </c>
      <c r="AA5626">
        <v>0.99853190000000003</v>
      </c>
      <c r="AB5626">
        <v>31</v>
      </c>
      <c r="AC5626">
        <v>-1.58899999999999</v>
      </c>
      <c r="AD5626">
        <v>-1.123105703025</v>
      </c>
      <c r="AE5626">
        <v>-18.139610000000001</v>
      </c>
      <c r="AF5626">
        <v>0.42392877649358501</v>
      </c>
      <c r="AG5626">
        <v>-1.123105703025</v>
      </c>
      <c r="AH5626">
        <v>18.135110872973399</v>
      </c>
      <c r="AI5626">
        <v>93.542830933173605</v>
      </c>
      <c r="AJ5626">
        <v>88.660890077953198</v>
      </c>
      <c r="AK5626">
        <v>18.174799267192601</v>
      </c>
      <c r="AL5626">
        <v>80.424001062670698</v>
      </c>
      <c r="AM5626">
        <v>96.004630632091704</v>
      </c>
      <c r="AN5626">
        <v>0.99999999546320995</v>
      </c>
    </row>
    <row r="5627" spans="1:40" x14ac:dyDescent="0.25">
      <c r="A5627" t="str">
        <f>"20190303162414215"</f>
        <v>20190303162414215</v>
      </c>
      <c r="B5627" t="str">
        <f>"1551601454200504"</f>
        <v>1551601454200504</v>
      </c>
      <c r="C5627" t="s">
        <v>40</v>
      </c>
      <c r="D5627">
        <v>5.88896</v>
      </c>
      <c r="E5627">
        <v>0.55054360000000002</v>
      </c>
      <c r="F5627" t="s">
        <v>41</v>
      </c>
      <c r="G5627">
        <v>-302.84550000000002</v>
      </c>
      <c r="H5627" s="1">
        <v>-1.9387639999999998E-6</v>
      </c>
      <c r="I5627">
        <v>-37.656399999999998</v>
      </c>
      <c r="J5627">
        <v>-301.3005</v>
      </c>
      <c r="K5627">
        <v>1.1229359999999999</v>
      </c>
      <c r="L5627">
        <v>-20.42557</v>
      </c>
      <c r="M5627">
        <v>-6.1078819999999999E-2</v>
      </c>
      <c r="N5627">
        <v>-1.1299109999999999E-2</v>
      </c>
      <c r="O5627">
        <v>-0.99806910000000004</v>
      </c>
      <c r="P5627">
        <v>4.1013649999999999E-2</v>
      </c>
      <c r="Q5627">
        <v>0.1543127</v>
      </c>
      <c r="R5627">
        <v>-0.98717060000000001</v>
      </c>
      <c r="S5627">
        <v>-0.27420040000000001</v>
      </c>
      <c r="T5627">
        <v>-0.1969235</v>
      </c>
      <c r="U5627">
        <v>-3.0814819999999998</v>
      </c>
      <c r="V5627">
        <v>-0.1022195</v>
      </c>
      <c r="W5627">
        <v>0.16480239999999999</v>
      </c>
      <c r="X5627">
        <v>0.98101539999999998</v>
      </c>
      <c r="Y5627">
        <v>2.7492510000000001E-2</v>
      </c>
      <c r="Z5627">
        <v>5.221054E-2</v>
      </c>
      <c r="AA5627">
        <v>0.99825759999999997</v>
      </c>
      <c r="AB5627">
        <v>31</v>
      </c>
      <c r="AC5627">
        <v>-1.5450000000000099</v>
      </c>
      <c r="AD5627">
        <v>-1.1229379387639999</v>
      </c>
      <c r="AE5627">
        <v>-17.230829999999902</v>
      </c>
      <c r="AF5627">
        <v>0.48755498570601302</v>
      </c>
      <c r="AG5627">
        <v>-1.1229379387639999</v>
      </c>
      <c r="AH5627">
        <v>17.220472934096399</v>
      </c>
      <c r="AI5627">
        <v>93.729454904937995</v>
      </c>
      <c r="AJ5627">
        <v>88.378245331733595</v>
      </c>
      <c r="AK5627">
        <v>17.263933142605399</v>
      </c>
      <c r="AL5627">
        <v>80.514243709691996</v>
      </c>
      <c r="AM5627">
        <v>95.948619247861501</v>
      </c>
      <c r="AN5627">
        <v>0.999999936131583</v>
      </c>
    </row>
    <row r="5628" spans="1:40" x14ac:dyDescent="0.25">
      <c r="A5628" t="str">
        <f>"20190303162414235"</f>
        <v>20190303162414235</v>
      </c>
      <c r="B5628" t="str">
        <f>"1551601454230760"</f>
        <v>1551601454230760</v>
      </c>
      <c r="C5628" t="s">
        <v>40</v>
      </c>
      <c r="D5628">
        <v>5.8820009999999998</v>
      </c>
      <c r="E5628">
        <v>0.55206290000000002</v>
      </c>
      <c r="F5628" t="s">
        <v>41</v>
      </c>
      <c r="G5628">
        <v>-302.80410000000001</v>
      </c>
      <c r="H5628" s="1">
        <v>-2.0915499999999999E-6</v>
      </c>
      <c r="I5628">
        <v>-37.274619999999999</v>
      </c>
      <c r="J5628">
        <v>-301.31560000000002</v>
      </c>
      <c r="K5628">
        <v>1.122808</v>
      </c>
      <c r="L5628">
        <v>-20.71048</v>
      </c>
      <c r="M5628">
        <v>-5.8833080000000003E-2</v>
      </c>
      <c r="N5628">
        <v>-1.129262E-2</v>
      </c>
      <c r="O5628">
        <v>-0.99820399999999998</v>
      </c>
      <c r="P5628">
        <v>4.1752869999999997E-2</v>
      </c>
      <c r="Q5628">
        <v>0.15122079999999999</v>
      </c>
      <c r="R5628">
        <v>-0.987618</v>
      </c>
      <c r="S5628">
        <v>-0.27508539999999998</v>
      </c>
      <c r="T5628">
        <v>-0.2054405</v>
      </c>
      <c r="U5628">
        <v>-3.0825200000000001</v>
      </c>
      <c r="V5628">
        <v>-0.10070759999999999</v>
      </c>
      <c r="W5628">
        <v>0.161748799999999</v>
      </c>
      <c r="X5628">
        <v>0.98167990000000005</v>
      </c>
      <c r="Y5628">
        <v>2.998166E-2</v>
      </c>
      <c r="Z5628">
        <v>5.4938750000000001E-2</v>
      </c>
      <c r="AA5628">
        <v>0.99803949999999997</v>
      </c>
      <c r="AB5628">
        <v>31</v>
      </c>
      <c r="AC5628">
        <v>-1.48849999999998</v>
      </c>
      <c r="AD5628">
        <v>-1.1228100915499999</v>
      </c>
      <c r="AE5628">
        <v>-16.564139999999998</v>
      </c>
      <c r="AF5628">
        <v>0.50901971259902101</v>
      </c>
      <c r="AG5628">
        <v>-1.1228100915499999</v>
      </c>
      <c r="AH5628">
        <v>16.547597864553399</v>
      </c>
      <c r="AI5628">
        <v>93.879931437126004</v>
      </c>
      <c r="AJ5628">
        <v>88.238083388780296</v>
      </c>
      <c r="AK5628">
        <v>16.593456501177599</v>
      </c>
      <c r="AL5628">
        <v>80.691583148663796</v>
      </c>
      <c r="AM5628">
        <v>95.857312088570396</v>
      </c>
      <c r="AN5628">
        <v>1.0000000605316</v>
      </c>
    </row>
    <row r="5629" spans="1:40" x14ac:dyDescent="0.25">
      <c r="A5629" t="str">
        <f>"20190303162414259"</f>
        <v>20190303162414259</v>
      </c>
      <c r="B5629" t="str">
        <f>"1551601454250280"</f>
        <v>1551601454250280</v>
      </c>
      <c r="C5629" t="s">
        <v>40</v>
      </c>
      <c r="D5629">
        <v>6.0427549999999997</v>
      </c>
      <c r="E5629">
        <v>0.5522939</v>
      </c>
      <c r="F5629" t="s">
        <v>41</v>
      </c>
      <c r="G5629">
        <v>-302.7921</v>
      </c>
      <c r="H5629" s="1">
        <v>-2.3223280000000001E-6</v>
      </c>
      <c r="I5629">
        <v>-36.729199999999999</v>
      </c>
      <c r="J5629">
        <v>-301.33269999999999</v>
      </c>
      <c r="K5629">
        <v>1.1226689999999999</v>
      </c>
      <c r="L5629">
        <v>-21.047329999999999</v>
      </c>
      <c r="M5629">
        <v>-5.6296970000000002E-2</v>
      </c>
      <c r="N5629">
        <v>-1.1289260000000001E-2</v>
      </c>
      <c r="O5629">
        <v>-0.99835050000000003</v>
      </c>
      <c r="P5629">
        <v>4.204745E-2</v>
      </c>
      <c r="Q5629">
        <v>0.14640600000000001</v>
      </c>
      <c r="R5629">
        <v>-0.98833079999999995</v>
      </c>
      <c r="S5629">
        <v>-0.28414919999999999</v>
      </c>
      <c r="T5629">
        <v>-0.21607779999999999</v>
      </c>
      <c r="U5629">
        <v>-3.082703</v>
      </c>
      <c r="V5629">
        <v>-9.8469769999999998E-2</v>
      </c>
      <c r="W5629">
        <v>0.1569825</v>
      </c>
      <c r="X5629">
        <v>0.98268009999999995</v>
      </c>
      <c r="Y5629">
        <v>3.5404949999999998E-2</v>
      </c>
      <c r="Z5629">
        <v>5.8350440000000003E-2</v>
      </c>
      <c r="AA5629">
        <v>0.99766809999999995</v>
      </c>
      <c r="AB5629">
        <v>31</v>
      </c>
      <c r="AC5629">
        <v>-1.45940000000001</v>
      </c>
      <c r="AD5629">
        <v>-1.122671322328</v>
      </c>
      <c r="AE5629">
        <v>-15.68187</v>
      </c>
      <c r="AF5629">
        <v>0.57128459774846896</v>
      </c>
      <c r="AG5629">
        <v>-1.122671322328</v>
      </c>
      <c r="AH5629">
        <v>15.6595922884286</v>
      </c>
      <c r="AI5629">
        <v>94.097930420223506</v>
      </c>
      <c r="AJ5629">
        <v>87.910693568278106</v>
      </c>
      <c r="AK5629">
        <v>15.710174653052499</v>
      </c>
      <c r="AL5629">
        <v>80.968207013223406</v>
      </c>
      <c r="AM5629">
        <v>95.722240171200994</v>
      </c>
      <c r="AN5629">
        <v>0.99999998992305605</v>
      </c>
    </row>
    <row r="5630" spans="1:40" x14ac:dyDescent="0.25">
      <c r="A5630" t="str">
        <f>"20190303162414301"</f>
        <v>20190303162414301</v>
      </c>
      <c r="B5630" t="str">
        <f>"1551601454290296"</f>
        <v>1551601454290296</v>
      </c>
      <c r="C5630" t="s">
        <v>40</v>
      </c>
      <c r="D5630">
        <v>5.941516</v>
      </c>
      <c r="E5630">
        <v>0.54663850000000003</v>
      </c>
      <c r="F5630" t="s">
        <v>41</v>
      </c>
      <c r="G5630">
        <v>-302.70229999999998</v>
      </c>
      <c r="H5630" s="1">
        <v>-2.6778649999999999E-6</v>
      </c>
      <c r="I5630">
        <v>-35.844729999999998</v>
      </c>
      <c r="J5630">
        <v>-301.36110000000002</v>
      </c>
      <c r="K5630">
        <v>1.1224860000000001</v>
      </c>
      <c r="L5630">
        <v>-21.643830000000001</v>
      </c>
      <c r="M5630">
        <v>-5.2006419999999998E-2</v>
      </c>
      <c r="N5630">
        <v>-1.129583E-2</v>
      </c>
      <c r="O5630">
        <v>-0.99858290000000005</v>
      </c>
      <c r="P5630">
        <v>4.1539609999999998E-2</v>
      </c>
      <c r="Q5630">
        <v>0.141371</v>
      </c>
      <c r="R5630">
        <v>-0.98908479999999999</v>
      </c>
      <c r="S5630">
        <v>-0.28527829999999998</v>
      </c>
      <c r="T5630">
        <v>-0.23384379999999999</v>
      </c>
      <c r="U5630">
        <v>-3.0821839999999998</v>
      </c>
      <c r="V5630">
        <v>-9.3682829999999995E-2</v>
      </c>
      <c r="W5630">
        <v>0.15203069999999999</v>
      </c>
      <c r="X5630">
        <v>0.98392590000000002</v>
      </c>
      <c r="Y5630">
        <v>4.0040930000000002E-2</v>
      </c>
      <c r="Z5630">
        <v>6.4067269999999996E-2</v>
      </c>
      <c r="AA5630">
        <v>0.99714199999999997</v>
      </c>
      <c r="AB5630">
        <v>31</v>
      </c>
      <c r="AC5630">
        <v>-1.34119999999995</v>
      </c>
      <c r="AD5630">
        <v>-1.1224886778650001</v>
      </c>
      <c r="AE5630">
        <v>-14.200900000000001</v>
      </c>
      <c r="AF5630">
        <v>0.59710208925825503</v>
      </c>
      <c r="AG5630">
        <v>-1.1224886778650001</v>
      </c>
      <c r="AH5630">
        <v>14.163724852574299</v>
      </c>
      <c r="AI5630">
        <v>94.527269898935003</v>
      </c>
      <c r="AJ5630">
        <v>87.586003366624695</v>
      </c>
      <c r="AK5630">
        <v>14.220675561883899</v>
      </c>
      <c r="AL5630">
        <v>81.255372948453896</v>
      </c>
      <c r="AM5630">
        <v>95.438924025888795</v>
      </c>
      <c r="AN5630">
        <v>0.99999999153505403</v>
      </c>
    </row>
    <row r="5631" spans="1:40" x14ac:dyDescent="0.25">
      <c r="A5631" t="str">
        <f>"20190303162414323"</f>
        <v>20190303162414323</v>
      </c>
      <c r="B5631" t="str">
        <f>"1551601454310792"</f>
        <v>1551601454310792</v>
      </c>
      <c r="C5631" t="s">
        <v>40</v>
      </c>
      <c r="D5631">
        <v>5.9411949999999996</v>
      </c>
      <c r="E5631">
        <v>0.5328794</v>
      </c>
      <c r="F5631" t="s">
        <v>42</v>
      </c>
      <c r="G5631">
        <v>-301.41800000000001</v>
      </c>
      <c r="H5631">
        <v>0.99655119999999997</v>
      </c>
      <c r="I5631">
        <v>-22.368870000000001</v>
      </c>
      <c r="J5631">
        <v>-301.37479999999999</v>
      </c>
      <c r="K5631">
        <v>1.1224379999999901</v>
      </c>
      <c r="L5631">
        <v>-21.95065</v>
      </c>
      <c r="M5631">
        <v>-4.986256E-2</v>
      </c>
      <c r="N5631">
        <v>-1.130544E-2</v>
      </c>
      <c r="O5631">
        <v>-0.99869249999999998</v>
      </c>
      <c r="P5631">
        <v>4.2401969999999997E-2</v>
      </c>
      <c r="Q5631">
        <v>0.1440369</v>
      </c>
      <c r="R5631">
        <v>-0.98866410000000005</v>
      </c>
      <c r="S5631">
        <v>-0.24404909999999999</v>
      </c>
      <c r="T5631">
        <v>-0.54216969999999898</v>
      </c>
      <c r="U5631">
        <v>-3.1208499999999999</v>
      </c>
      <c r="V5631">
        <v>-9.2397090000000001E-2</v>
      </c>
      <c r="W5631">
        <v>0.1547231</v>
      </c>
      <c r="X5631">
        <v>0.98362769999999999</v>
      </c>
      <c r="Y5631">
        <v>2.712314E-2</v>
      </c>
      <c r="Z5631">
        <v>0.159433399999999</v>
      </c>
      <c r="AA5631">
        <v>0.98683600000000005</v>
      </c>
      <c r="AB5631">
        <v>32</v>
      </c>
      <c r="AC5631">
        <v>-4.3200000000012999E-2</v>
      </c>
      <c r="AD5631">
        <v>-0.12588679999999899</v>
      </c>
      <c r="AE5631">
        <v>-0.41822000000000098</v>
      </c>
      <c r="AF5631">
        <v>2.04574396096311E-2</v>
      </c>
      <c r="AG5631">
        <v>-0.12588679999999899</v>
      </c>
      <c r="AH5631">
        <v>0.38531143510164101</v>
      </c>
      <c r="AI5631">
        <v>108.069169081713</v>
      </c>
      <c r="AJ5631">
        <v>86.960833922205794</v>
      </c>
      <c r="AK5631">
        <v>0.40587054003673101</v>
      </c>
      <c r="AL5631">
        <v>81.099262286188207</v>
      </c>
      <c r="AM5631">
        <v>95.366333501683798</v>
      </c>
      <c r="AN5631">
        <v>0.99999995606068304</v>
      </c>
    </row>
    <row r="5632" spans="1:40" x14ac:dyDescent="0.25">
      <c r="A5632" t="str">
        <f>"20190303162414346"</f>
        <v>20190303162414346</v>
      </c>
      <c r="B5632" t="str">
        <f>"1551601454341048"</f>
        <v>1551601454341048</v>
      </c>
      <c r="C5632" t="s">
        <v>40</v>
      </c>
      <c r="D5632">
        <v>5.9661289999999996</v>
      </c>
      <c r="E5632">
        <v>0.53393239999999997</v>
      </c>
      <c r="F5632" t="s">
        <v>42</v>
      </c>
      <c r="G5632">
        <v>-301.41210000000001</v>
      </c>
      <c r="H5632">
        <v>0.81187449999999906</v>
      </c>
      <c r="I5632">
        <v>-22.851310000000002</v>
      </c>
      <c r="J5632">
        <v>-301.38850000000002</v>
      </c>
      <c r="K5632">
        <v>1.1224019999999999</v>
      </c>
      <c r="L5632">
        <v>-22.27524</v>
      </c>
      <c r="M5632">
        <v>-4.7636940000000003E-2</v>
      </c>
      <c r="N5632">
        <v>-1.132581E-2</v>
      </c>
      <c r="O5632">
        <v>-0.99880069999999999</v>
      </c>
      <c r="P5632">
        <v>4.3652370000000003E-2</v>
      </c>
      <c r="Q5632">
        <v>0.14746790000000001</v>
      </c>
      <c r="R5632">
        <v>-0.98810310000000001</v>
      </c>
      <c r="S5632">
        <v>-0.1318665</v>
      </c>
      <c r="T5632">
        <v>-1.1037950000000001</v>
      </c>
      <c r="U5632">
        <v>-3.2008670000000001</v>
      </c>
      <c r="V5632">
        <v>-9.1419470000000003E-2</v>
      </c>
      <c r="W5632">
        <v>0.1581861</v>
      </c>
      <c r="X5632">
        <v>0.98316820000000005</v>
      </c>
      <c r="Y5632">
        <v>-8.5642269999999902E-3</v>
      </c>
      <c r="Z5632">
        <v>0.31461919999999999</v>
      </c>
      <c r="AA5632">
        <v>0.94917940000000001</v>
      </c>
      <c r="AB5632">
        <v>32</v>
      </c>
      <c r="AC5632">
        <v>-2.35999999999876E-2</v>
      </c>
      <c r="AD5632">
        <v>-0.31052750000000001</v>
      </c>
      <c r="AE5632">
        <v>-0.57607000000000097</v>
      </c>
      <c r="AF5632">
        <v>-3.00039988915038E-3</v>
      </c>
      <c r="AG5632">
        <v>-0.31052750000000001</v>
      </c>
      <c r="AH5632">
        <v>0.44690186305587998</v>
      </c>
      <c r="AI5632">
        <v>124.792704491753</v>
      </c>
      <c r="AJ5632">
        <v>90.384665363561695</v>
      </c>
      <c r="AK5632">
        <v>0.54420364373877705</v>
      </c>
      <c r="AL5632">
        <v>80.898373692062506</v>
      </c>
      <c r="AM5632">
        <v>95.312348010343797</v>
      </c>
      <c r="AN5632">
        <v>1.00000003560976</v>
      </c>
    </row>
    <row r="5633" spans="1:40" x14ac:dyDescent="0.25">
      <c r="A5633" t="str">
        <f>"20190303162414372"</f>
        <v>20190303162414372</v>
      </c>
      <c r="B5633" t="str">
        <f>"1551601454360568"</f>
        <v>1551601454360568</v>
      </c>
      <c r="C5633" t="s">
        <v>40</v>
      </c>
      <c r="D5633">
        <v>5.9619780000000002</v>
      </c>
      <c r="E5633">
        <v>0.53416529999999995</v>
      </c>
      <c r="F5633" t="s">
        <v>42</v>
      </c>
      <c r="G5633">
        <v>-301.42630000000003</v>
      </c>
      <c r="H5633">
        <v>0.83888639999999903</v>
      </c>
      <c r="I5633">
        <v>-23.143470000000001</v>
      </c>
      <c r="J5633">
        <v>-301.40280000000001</v>
      </c>
      <c r="K5633">
        <v>1.122371</v>
      </c>
      <c r="L5633">
        <v>-22.630099999999999</v>
      </c>
      <c r="M5633">
        <v>-4.5238720000000003E-2</v>
      </c>
      <c r="N5633">
        <v>-1.1356369999999999E-2</v>
      </c>
      <c r="O5633">
        <v>-0.99891200000000002</v>
      </c>
      <c r="P5633">
        <v>4.4846209999999997E-2</v>
      </c>
      <c r="Q5633">
        <v>0.1482144</v>
      </c>
      <c r="R5633">
        <v>-0.98793830000000005</v>
      </c>
      <c r="S5633">
        <v>-0.13867189999999999</v>
      </c>
      <c r="T5633">
        <v>-1.0443709999999999</v>
      </c>
      <c r="U5633">
        <v>-3.1981199999999999</v>
      </c>
      <c r="V5633">
        <v>-9.0224960000000007E-2</v>
      </c>
      <c r="W5633">
        <v>0.15897849999999999</v>
      </c>
      <c r="X5633">
        <v>0.98315070000000004</v>
      </c>
      <c r="Y5633">
        <v>-3.904402E-3</v>
      </c>
      <c r="Z5633">
        <v>0.2990255</v>
      </c>
      <c r="AA5633">
        <v>0.95423720000000001</v>
      </c>
      <c r="AB5633">
        <v>32</v>
      </c>
      <c r="AC5633">
        <v>-2.3500000000012702E-2</v>
      </c>
      <c r="AD5633">
        <v>-0.28348459999999998</v>
      </c>
      <c r="AE5633">
        <v>-0.51337000000000099</v>
      </c>
      <c r="AF5633">
        <v>1.9186392765231999E-4</v>
      </c>
      <c r="AG5633">
        <v>-0.28348459999999998</v>
      </c>
      <c r="AH5633">
        <v>0.39401298197426798</v>
      </c>
      <c r="AI5633">
        <v>125.734270741434</v>
      </c>
      <c r="AJ5633">
        <v>89.972099923278293</v>
      </c>
      <c r="AK5633">
        <v>0.48539652369293101</v>
      </c>
      <c r="AL5633">
        <v>80.852390334320006</v>
      </c>
      <c r="AM5633">
        <v>95.243417761007805</v>
      </c>
      <c r="AN5633">
        <v>1.0000000028898699</v>
      </c>
    </row>
    <row r="5634" spans="1:40" x14ac:dyDescent="0.25">
      <c r="A5634" t="str">
        <f>"20190303162414395"</f>
        <v>20190303162414395</v>
      </c>
      <c r="B5634" t="str">
        <f>"1551601454390825"</f>
        <v>1551601454390825</v>
      </c>
      <c r="C5634" t="s">
        <v>40</v>
      </c>
      <c r="D5634">
        <v>5.9214820000000001</v>
      </c>
      <c r="E5634">
        <v>0.53442179999999995</v>
      </c>
      <c r="F5634" t="s">
        <v>42</v>
      </c>
      <c r="G5634">
        <v>-301.43830000000003</v>
      </c>
      <c r="H5634">
        <v>0.864100599999999</v>
      </c>
      <c r="I5634">
        <v>-23.435220000000001</v>
      </c>
      <c r="J5634">
        <v>-301.4153</v>
      </c>
      <c r="K5634">
        <v>1.122333</v>
      </c>
      <c r="L5634">
        <v>-22.957550000000001</v>
      </c>
      <c r="M5634">
        <v>-4.3067769999999998E-2</v>
      </c>
      <c r="N5634">
        <v>-1.1400530000000001E-2</v>
      </c>
      <c r="O5634">
        <v>-0.99900730000000004</v>
      </c>
      <c r="P5634">
        <v>4.553314E-2</v>
      </c>
      <c r="Q5634">
        <v>0.1461596</v>
      </c>
      <c r="R5634">
        <v>-0.9882128</v>
      </c>
      <c r="S5634">
        <v>-0.14056399999999999</v>
      </c>
      <c r="T5634">
        <v>-1.025536</v>
      </c>
      <c r="U5634">
        <v>-3.196869</v>
      </c>
      <c r="V5634">
        <v>-8.8756570000000007E-2</v>
      </c>
      <c r="W5634">
        <v>0.15698870000000001</v>
      </c>
      <c r="X5634">
        <v>0.98360400000000003</v>
      </c>
      <c r="Y5634">
        <v>-1.088402E-3</v>
      </c>
      <c r="Z5634">
        <v>0.29405019999999998</v>
      </c>
      <c r="AA5634">
        <v>0.95578940000000001</v>
      </c>
      <c r="AB5634">
        <v>32</v>
      </c>
      <c r="AC5634">
        <v>-2.3000000000024501E-2</v>
      </c>
      <c r="AD5634">
        <v>-0.25823239999999997</v>
      </c>
      <c r="AE5634">
        <v>-0.47766999999999898</v>
      </c>
      <c r="AF5634">
        <v>1.8621683929219901E-3</v>
      </c>
      <c r="AG5634">
        <v>-0.25823239999999997</v>
      </c>
      <c r="AH5634">
        <v>0.37025724024078899</v>
      </c>
      <c r="AI5634">
        <v>124.893140505004</v>
      </c>
      <c r="AJ5634">
        <v>89.711839557822202</v>
      </c>
      <c r="AK5634">
        <v>0.45141761599610702</v>
      </c>
      <c r="AL5634">
        <v>80.967847454371395</v>
      </c>
      <c r="AM5634">
        <v>95.156182023426993</v>
      </c>
      <c r="AN5634">
        <v>1.0000000047309201</v>
      </c>
    </row>
    <row r="5635" spans="1:40" x14ac:dyDescent="0.25">
      <c r="A5635" t="str">
        <f>"20190303162414420"</f>
        <v>20190303162414420</v>
      </c>
      <c r="B5635" t="str">
        <f>"1551601454410344"</f>
        <v>1551601454410344</v>
      </c>
      <c r="C5635" t="s">
        <v>40</v>
      </c>
      <c r="D5635">
        <v>6.0708010000000003</v>
      </c>
      <c r="E5635">
        <v>0.53459969999999901</v>
      </c>
      <c r="F5635" t="s">
        <v>42</v>
      </c>
      <c r="G5635">
        <v>-301.44929999999999</v>
      </c>
      <c r="H5635">
        <v>0.87820450000000005</v>
      </c>
      <c r="I5635">
        <v>-23.722349999999999</v>
      </c>
      <c r="J5635">
        <v>-301.42790000000002</v>
      </c>
      <c r="K5635">
        <v>1.1222840000000001</v>
      </c>
      <c r="L5635">
        <v>-23.305420000000002</v>
      </c>
      <c r="M5635">
        <v>-4.0823859999999997E-2</v>
      </c>
      <c r="N5635">
        <v>-1.146581E-2</v>
      </c>
      <c r="O5635">
        <v>-0.99910069999999995</v>
      </c>
      <c r="P5635">
        <v>4.6668340000000003E-2</v>
      </c>
      <c r="Q5635">
        <v>0.1435111</v>
      </c>
      <c r="R5635">
        <v>-0.98854799999999998</v>
      </c>
      <c r="S5635">
        <v>-0.14184569999999999</v>
      </c>
      <c r="T5635">
        <v>-1.019269</v>
      </c>
      <c r="U5635">
        <v>-3.193085</v>
      </c>
      <c r="V5635">
        <v>-8.7659210000000001E-2</v>
      </c>
      <c r="W5635">
        <v>0.154425799999999</v>
      </c>
      <c r="X5635">
        <v>0.98410799999999998</v>
      </c>
      <c r="Y5635">
        <v>1.6044189999999999E-3</v>
      </c>
      <c r="Z5635">
        <v>0.29265669999999999</v>
      </c>
      <c r="AA5635">
        <v>0.95621619999999996</v>
      </c>
      <c r="AB5635">
        <v>32</v>
      </c>
      <c r="AC5635">
        <v>-2.13999999999714E-2</v>
      </c>
      <c r="AD5635">
        <v>-0.2440795</v>
      </c>
      <c r="AE5635">
        <v>-0.41692999999999703</v>
      </c>
      <c r="AF5635">
        <v>3.24958549945879E-3</v>
      </c>
      <c r="AG5635">
        <v>-0.2440795</v>
      </c>
      <c r="AH5635">
        <v>0.31111252152226698</v>
      </c>
      <c r="AI5635">
        <v>128.11400332254101</v>
      </c>
      <c r="AJ5635">
        <v>89.4015645437307</v>
      </c>
      <c r="AK5635">
        <v>0.39544451339487702</v>
      </c>
      <c r="AL5635">
        <v>81.116504027602502</v>
      </c>
      <c r="AM5635">
        <v>95.090175338100295</v>
      </c>
      <c r="AN5635">
        <v>1.0000000102337301</v>
      </c>
    </row>
    <row r="5636" spans="1:40" x14ac:dyDescent="0.25">
      <c r="A5636" t="str">
        <f>"20190303162414502"</f>
        <v>20190303162414502</v>
      </c>
      <c r="B5636" t="str">
        <f>"1551601454490884"</f>
        <v>1551601454490884</v>
      </c>
      <c r="C5636" t="s">
        <v>40</v>
      </c>
      <c r="D5636">
        <v>5.8495229999999996</v>
      </c>
      <c r="E5636">
        <v>0.53640180000000004</v>
      </c>
      <c r="F5636" t="s">
        <v>42</v>
      </c>
      <c r="G5636">
        <v>-301.48809999999997</v>
      </c>
      <c r="H5636">
        <v>0.88956380000000002</v>
      </c>
      <c r="I5636">
        <v>-24.852160000000001</v>
      </c>
      <c r="J5636">
        <v>-301.46550000000002</v>
      </c>
      <c r="K5636">
        <v>1.1220129999999999</v>
      </c>
      <c r="L5636">
        <v>-24.4772</v>
      </c>
      <c r="M5636">
        <v>-3.407077E-2</v>
      </c>
      <c r="N5636">
        <v>-1.1743699999999999E-2</v>
      </c>
      <c r="O5636">
        <v>-0.99935070000000004</v>
      </c>
      <c r="P5636">
        <v>4.886045E-2</v>
      </c>
      <c r="Q5636">
        <v>0.13955229999999999</v>
      </c>
      <c r="R5636">
        <v>-0.98900889999999997</v>
      </c>
      <c r="S5636">
        <v>-0.14608759999999901</v>
      </c>
      <c r="T5636">
        <v>-1.0481309999999999</v>
      </c>
      <c r="U5636">
        <v>-3.189362</v>
      </c>
      <c r="V5636">
        <v>-8.30766E-2</v>
      </c>
      <c r="W5636">
        <v>0.15083160000000001</v>
      </c>
      <c r="X5636">
        <v>0.98506249999999995</v>
      </c>
      <c r="Y5636">
        <v>9.5521979999999996E-3</v>
      </c>
      <c r="Z5636">
        <v>0.300620099999999</v>
      </c>
      <c r="AA5636">
        <v>0.95369610000000005</v>
      </c>
      <c r="AB5636">
        <v>32</v>
      </c>
      <c r="AC5636">
        <v>-2.25999999999544E-2</v>
      </c>
      <c r="AD5636">
        <v>-0.232449199999999</v>
      </c>
      <c r="AE5636">
        <v>-0.37496000000000101</v>
      </c>
      <c r="AF5636">
        <v>7.0942664832618603E-3</v>
      </c>
      <c r="AG5636">
        <v>-0.232449199999999</v>
      </c>
      <c r="AH5636">
        <v>0.27153525557756197</v>
      </c>
      <c r="AI5636">
        <v>130.555697720344</v>
      </c>
      <c r="AJ5636">
        <v>88.503402144956993</v>
      </c>
      <c r="AK5636">
        <v>0.357511334392558</v>
      </c>
      <c r="AL5636">
        <v>81.324878036726503</v>
      </c>
      <c r="AM5636">
        <v>94.8207106205017</v>
      </c>
      <c r="AN5636">
        <v>1.00000001096618</v>
      </c>
    </row>
    <row r="5637" spans="1:40" x14ac:dyDescent="0.25">
      <c r="A5637" t="str">
        <f>"20190303162414526"</f>
        <v>20190303162414526</v>
      </c>
      <c r="B5637" t="str">
        <f>"1551601454521140"</f>
        <v>1551601454521140</v>
      </c>
      <c r="C5637" t="s">
        <v>40</v>
      </c>
      <c r="D5637">
        <v>5.8395619999999999</v>
      </c>
      <c r="E5637">
        <v>0.53709050000000003</v>
      </c>
      <c r="F5637" t="s">
        <v>42</v>
      </c>
      <c r="G5637">
        <v>-301.4957</v>
      </c>
      <c r="H5637">
        <v>0.90240670000000001</v>
      </c>
      <c r="I5637">
        <v>-25.139040000000001</v>
      </c>
      <c r="J5637">
        <v>-301.47449999999998</v>
      </c>
      <c r="K5637">
        <v>1.1219170000000001</v>
      </c>
      <c r="L5637">
        <v>-24.788820000000001</v>
      </c>
      <c r="M5637">
        <v>-3.2557269999999999E-2</v>
      </c>
      <c r="N5637">
        <v>-1.1811489999999999E-2</v>
      </c>
      <c r="O5637">
        <v>-0.99940030000000002</v>
      </c>
      <c r="P5637">
        <v>5.1770490000000002E-2</v>
      </c>
      <c r="Q5637">
        <v>0.13842349999999901</v>
      </c>
      <c r="R5637">
        <v>-0.98901930000000005</v>
      </c>
      <c r="S5637">
        <v>-0.14523320000000001</v>
      </c>
      <c r="T5637">
        <v>-1.0584389999999999</v>
      </c>
      <c r="U5637">
        <v>-3.1898499999999999</v>
      </c>
      <c r="V5637">
        <v>-8.445039E-2</v>
      </c>
      <c r="W5637">
        <v>0.14978549999999999</v>
      </c>
      <c r="X5637">
        <v>0.98510529999999996</v>
      </c>
      <c r="Y5637">
        <v>1.0763470000000001E-2</v>
      </c>
      <c r="Z5637">
        <v>0.3033091</v>
      </c>
      <c r="AA5637">
        <v>0.9528314</v>
      </c>
      <c r="AB5637">
        <v>32</v>
      </c>
      <c r="AC5637">
        <v>-2.1200000000021601E-2</v>
      </c>
      <c r="AD5637">
        <v>-0.21951029999999999</v>
      </c>
      <c r="AE5637">
        <v>-0.35021999999999598</v>
      </c>
      <c r="AF5637">
        <v>7.0329464233844898E-3</v>
      </c>
      <c r="AG5637">
        <v>-0.21951029999999999</v>
      </c>
      <c r="AH5637">
        <v>0.25206291757941701</v>
      </c>
      <c r="AI5637">
        <v>131.040105777153</v>
      </c>
      <c r="AJ5637">
        <v>88.401773521038507</v>
      </c>
      <c r="AK5637">
        <v>0.33432012885875101</v>
      </c>
      <c r="AL5637">
        <v>81.385503892701806</v>
      </c>
      <c r="AM5637">
        <v>94.899831085544903</v>
      </c>
      <c r="AN5637">
        <v>1.00000000823474</v>
      </c>
    </row>
    <row r="5638" spans="1:40" x14ac:dyDescent="0.25">
      <c r="A5638" t="str">
        <f>"20190303162414546"</f>
        <v>20190303162414546</v>
      </c>
      <c r="B5638" t="str">
        <f>"1551601454540660"</f>
        <v>1551601454540660</v>
      </c>
      <c r="C5638" t="s">
        <v>40</v>
      </c>
      <c r="D5638">
        <v>5.8616630000000001</v>
      </c>
      <c r="E5638">
        <v>0.53742469999999998</v>
      </c>
      <c r="F5638" t="s">
        <v>42</v>
      </c>
      <c r="G5638">
        <v>-301.51369999999997</v>
      </c>
      <c r="H5638">
        <v>0.82675719999999997</v>
      </c>
      <c r="I5638">
        <v>-25.66957</v>
      </c>
      <c r="J5638">
        <v>-301.48289999999997</v>
      </c>
      <c r="K5638">
        <v>1.1218079999999999</v>
      </c>
      <c r="L5638">
        <v>-25.092189999999999</v>
      </c>
      <c r="M5638">
        <v>-3.1232800000000002E-2</v>
      </c>
      <c r="N5638">
        <v>-1.187158E-2</v>
      </c>
      <c r="O5638">
        <v>-0.99944160000000004</v>
      </c>
      <c r="P5638">
        <v>5.5610329999999999E-2</v>
      </c>
      <c r="Q5638">
        <v>0.13749220000000001</v>
      </c>
      <c r="R5638">
        <v>-0.98894079999999995</v>
      </c>
      <c r="S5638">
        <v>-0.14089969999999999</v>
      </c>
      <c r="T5638">
        <v>-1.0692010000000001</v>
      </c>
      <c r="U5638">
        <v>-3.1903380000000001</v>
      </c>
      <c r="V5638">
        <v>-8.6935620000000005E-2</v>
      </c>
      <c r="W5638">
        <v>0.14892749999999999</v>
      </c>
      <c r="X5638">
        <v>0.98501919999999998</v>
      </c>
      <c r="Y5638">
        <v>1.0750330000000001E-2</v>
      </c>
      <c r="Z5638">
        <v>0.3061237</v>
      </c>
      <c r="AA5638">
        <v>0.95193110000000003</v>
      </c>
      <c r="AB5638">
        <v>32</v>
      </c>
      <c r="AC5638">
        <v>-3.07999999999992E-2</v>
      </c>
      <c r="AD5638">
        <v>-0.295050799999999</v>
      </c>
      <c r="AE5638">
        <v>-0.577380000000001</v>
      </c>
      <c r="AF5638">
        <v>1.01162616238287E-2</v>
      </c>
      <c r="AG5638">
        <v>-0.295050799999999</v>
      </c>
      <c r="AH5638">
        <v>0.45863350973963202</v>
      </c>
      <c r="AI5638">
        <v>122.747884841859</v>
      </c>
      <c r="AJ5638">
        <v>88.736409114986998</v>
      </c>
      <c r="AK5638">
        <v>0.54543744791311699</v>
      </c>
      <c r="AL5638">
        <v>81.435221376721401</v>
      </c>
      <c r="AM5638">
        <v>95.043730161227202</v>
      </c>
      <c r="AN5638">
        <v>1.0000000133248299</v>
      </c>
    </row>
    <row r="5639" spans="1:40" x14ac:dyDescent="0.25">
      <c r="A5639" t="str">
        <f>"20190303162414568"</f>
        <v>20190303162414568</v>
      </c>
      <c r="B5639" t="str">
        <f>"1551601454560686"</f>
        <v>1551601454560686</v>
      </c>
      <c r="C5639" t="s">
        <v>40</v>
      </c>
      <c r="D5639">
        <v>5.8280669999999999</v>
      </c>
      <c r="E5639">
        <v>0.53775220000000001</v>
      </c>
      <c r="F5639" t="s">
        <v>42</v>
      </c>
      <c r="G5639">
        <v>-301.5181</v>
      </c>
      <c r="H5639">
        <v>0.83119699999999996</v>
      </c>
      <c r="I5639">
        <v>-25.95299</v>
      </c>
      <c r="J5639">
        <v>-301.49119999999999</v>
      </c>
      <c r="K5639">
        <v>1.121704</v>
      </c>
      <c r="L5639">
        <v>-25.40314</v>
      </c>
      <c r="M5639">
        <v>-3.0008380000000001E-2</v>
      </c>
      <c r="N5639">
        <v>-1.192703E-2</v>
      </c>
      <c r="O5639">
        <v>-0.99947859999999999</v>
      </c>
      <c r="P5639">
        <v>6.1428070000000001E-2</v>
      </c>
      <c r="Q5639">
        <v>0.14054630000000001</v>
      </c>
      <c r="R5639">
        <v>-0.98816700000000002</v>
      </c>
      <c r="S5639">
        <v>-0.1294556</v>
      </c>
      <c r="T5639">
        <v>-1.0771999999999999</v>
      </c>
      <c r="U5639">
        <v>-3.190582</v>
      </c>
      <c r="V5639">
        <v>-9.148539E-2</v>
      </c>
      <c r="W5639">
        <v>0.15203729999999999</v>
      </c>
      <c r="X5639">
        <v>0.9841316</v>
      </c>
      <c r="Y5639">
        <v>8.5407009999999995E-3</v>
      </c>
      <c r="Z5639">
        <v>0.30823149999999999</v>
      </c>
      <c r="AA5639">
        <v>0.95127300000000004</v>
      </c>
      <c r="AB5639">
        <v>32</v>
      </c>
      <c r="AC5639">
        <v>-2.6900000000011901E-2</v>
      </c>
      <c r="AD5639">
        <v>-0.29050700000000002</v>
      </c>
      <c r="AE5639">
        <v>-0.54984999999999895</v>
      </c>
      <c r="AF5639">
        <v>8.1242124233369597E-3</v>
      </c>
      <c r="AG5639">
        <v>-0.29050700000000002</v>
      </c>
      <c r="AH5639">
        <v>0.43052036967797203</v>
      </c>
      <c r="AI5639">
        <v>124.006002975097</v>
      </c>
      <c r="AJ5639">
        <v>88.918917953564403</v>
      </c>
      <c r="AK5639">
        <v>0.51943056185033698</v>
      </c>
      <c r="AL5639">
        <v>81.254990085261497</v>
      </c>
      <c r="AM5639">
        <v>95.310982261663995</v>
      </c>
      <c r="AN5639">
        <v>0.99999996164664995</v>
      </c>
    </row>
    <row r="5640" spans="1:40" x14ac:dyDescent="0.25">
      <c r="A5640" t="str">
        <f>"20190303162414593"</f>
        <v>20190303162414593</v>
      </c>
      <c r="B5640" t="str">
        <f>"1551601454581183"</f>
        <v>1551601454581183</v>
      </c>
      <c r="C5640" t="s">
        <v>40</v>
      </c>
      <c r="D5640">
        <v>8.7881459999999993</v>
      </c>
      <c r="E5640">
        <v>0.53805919999999996</v>
      </c>
      <c r="F5640" t="s">
        <v>42</v>
      </c>
      <c r="G5640">
        <v>-301.52080000000001</v>
      </c>
      <c r="H5640">
        <v>0.84159740000000005</v>
      </c>
      <c r="I5640">
        <v>-26.23903</v>
      </c>
      <c r="J5640">
        <v>-301.50040000000001</v>
      </c>
      <c r="K5640">
        <v>1.12159599999999</v>
      </c>
      <c r="L5640">
        <v>-25.754999999999999</v>
      </c>
      <c r="M5640">
        <v>-2.8804280000000002E-2</v>
      </c>
      <c r="N5640">
        <v>-1.1982619999999999E-2</v>
      </c>
      <c r="O5640">
        <v>-0.99951330000000005</v>
      </c>
      <c r="P5640">
        <v>6.9283029999999995E-2</v>
      </c>
      <c r="Q5640">
        <v>0.14406040000000001</v>
      </c>
      <c r="R5640">
        <v>-0.98714069999999998</v>
      </c>
      <c r="S5640">
        <v>-0.11230469999999999</v>
      </c>
      <c r="T5640">
        <v>-1.070727</v>
      </c>
      <c r="U5640">
        <v>-3.1951900000000002</v>
      </c>
      <c r="V5640">
        <v>-9.8077159999999997E-2</v>
      </c>
      <c r="W5640">
        <v>0.155606299999999</v>
      </c>
      <c r="X5640">
        <v>0.98293819999999998</v>
      </c>
      <c r="Y5640">
        <v>4.6238290000000003E-3</v>
      </c>
      <c r="Z5640">
        <v>0.30608069999999998</v>
      </c>
      <c r="AA5640">
        <v>0.95199440000000002</v>
      </c>
      <c r="AB5640">
        <v>32</v>
      </c>
      <c r="AC5640">
        <v>-2.0399999999994999E-2</v>
      </c>
      <c r="AD5640">
        <v>-0.27999859999999899</v>
      </c>
      <c r="AE5640">
        <v>-0.48403000000000002</v>
      </c>
      <c r="AF5640">
        <v>4.8337425941608596E-3</v>
      </c>
      <c r="AG5640">
        <v>-0.27999859999999899</v>
      </c>
      <c r="AH5640">
        <v>0.36312056587991598</v>
      </c>
      <c r="AI5640">
        <v>127.63299898940301</v>
      </c>
      <c r="AJ5640">
        <v>89.237342307475203</v>
      </c>
      <c r="AK5640">
        <v>0.45856202027029802</v>
      </c>
      <c r="AL5640">
        <v>81.048038448881996</v>
      </c>
      <c r="AM5640">
        <v>95.698088726056397</v>
      </c>
      <c r="AN5640">
        <v>0.99999997746629699</v>
      </c>
    </row>
    <row r="5641" spans="1:40" x14ac:dyDescent="0.25">
      <c r="A5641" t="str">
        <f>"20190303162414636"</f>
        <v>20190303162414636</v>
      </c>
      <c r="B5641" t="str">
        <f>"1551601454630958"</f>
        <v>1551601454630958</v>
      </c>
      <c r="C5641" t="s">
        <v>40</v>
      </c>
      <c r="D5641">
        <v>5.9594440000000004</v>
      </c>
      <c r="E5641">
        <v>0.53824139999999998</v>
      </c>
      <c r="F5641" t="s">
        <v>42</v>
      </c>
      <c r="G5641">
        <v>-301.52260000000001</v>
      </c>
      <c r="H5641">
        <v>0.86440779999999995</v>
      </c>
      <c r="I5641">
        <v>-26.530740000000002</v>
      </c>
      <c r="J5641">
        <v>-301.51560000000001</v>
      </c>
      <c r="K5641">
        <v>1.1213630000000001</v>
      </c>
      <c r="L5641">
        <v>-26.358339999999998</v>
      </c>
      <c r="M5641">
        <v>-2.7239570000000001E-2</v>
      </c>
      <c r="N5641">
        <v>-1.2061550000000001E-2</v>
      </c>
      <c r="O5641">
        <v>-0.99955640000000001</v>
      </c>
      <c r="P5641">
        <v>8.8716840000000005E-2</v>
      </c>
      <c r="Q5641">
        <v>0.14817259999999999</v>
      </c>
      <c r="R5641">
        <v>-0.98497460000000003</v>
      </c>
      <c r="S5641">
        <v>-9.1705320000000007E-2</v>
      </c>
      <c r="T5641">
        <v>-1.0610569999999999</v>
      </c>
      <c r="U5641">
        <v>-3.2003780000000002</v>
      </c>
      <c r="V5641">
        <v>-0.1158105</v>
      </c>
      <c r="W5641">
        <v>0.15979570000000001</v>
      </c>
      <c r="X5641">
        <v>0.98033329999999996</v>
      </c>
      <c r="Y5641" s="1">
        <v>5.1923789999999998E-5</v>
      </c>
      <c r="Z5641">
        <v>0.30300149999999998</v>
      </c>
      <c r="AA5641">
        <v>0.95299009999999995</v>
      </c>
      <c r="AB5641">
        <v>32</v>
      </c>
      <c r="AC5641">
        <v>-7.0000000000049996E-3</v>
      </c>
      <c r="AD5641">
        <v>-0.256955199999999</v>
      </c>
      <c r="AE5641">
        <v>-0.172399999999999</v>
      </c>
      <c r="AF5641">
        <v>7.1506947665850003E-4</v>
      </c>
      <c r="AG5641">
        <v>-0.256955199999999</v>
      </c>
      <c r="AH5641">
        <v>5.3616141306959401E-2</v>
      </c>
      <c r="AI5641">
        <v>168.21278327014201</v>
      </c>
      <c r="AJ5641">
        <v>89.235901107799506</v>
      </c>
      <c r="AK5641">
        <v>0.262490336469829</v>
      </c>
      <c r="AL5641">
        <v>80.804962419238507</v>
      </c>
      <c r="AM5641">
        <v>96.737342856235301</v>
      </c>
      <c r="AN5641">
        <v>1.00000005836881</v>
      </c>
    </row>
    <row r="5642" spans="1:40" x14ac:dyDescent="0.25">
      <c r="A5642" t="str">
        <f>"20190303162414659"</f>
        <v>20190303162414659</v>
      </c>
      <c r="B5642" t="str">
        <f>"1551601454650478"</f>
        <v>1551601454650478</v>
      </c>
      <c r="C5642" t="s">
        <v>40</v>
      </c>
      <c r="D5642">
        <v>5.75861</v>
      </c>
      <c r="E5642">
        <v>0.51719879999999996</v>
      </c>
      <c r="F5642" t="s">
        <v>42</v>
      </c>
      <c r="G5642">
        <v>-301.52359999999999</v>
      </c>
      <c r="H5642">
        <v>0.8779536</v>
      </c>
      <c r="I5642">
        <v>-27.100719999999999</v>
      </c>
      <c r="J5642">
        <v>-301.52370000000002</v>
      </c>
      <c r="K5642">
        <v>1.121221</v>
      </c>
      <c r="L5642">
        <v>-26.68338</v>
      </c>
      <c r="M5642">
        <v>-2.6650199999999999E-2</v>
      </c>
      <c r="N5642">
        <v>-1.2096579999999999E-2</v>
      </c>
      <c r="O5642">
        <v>-0.99957149999999995</v>
      </c>
      <c r="P5642">
        <v>0.10057770000000001</v>
      </c>
      <c r="Q5642">
        <v>0.1494722</v>
      </c>
      <c r="R5642">
        <v>-0.98363730000000005</v>
      </c>
      <c r="S5642">
        <v>-3.4088130000000001E-2</v>
      </c>
      <c r="T5642">
        <v>-1.051512</v>
      </c>
      <c r="U5642">
        <v>-3.2070310000000002</v>
      </c>
      <c r="V5642">
        <v>-0.126996</v>
      </c>
      <c r="W5642">
        <v>0.16113559999999999</v>
      </c>
      <c r="X5642">
        <v>0.97872740000000003</v>
      </c>
      <c r="Y5642">
        <v>-1.648289E-2</v>
      </c>
      <c r="Z5642">
        <v>0.29985070000000003</v>
      </c>
      <c r="AA5642">
        <v>0.95384369999999996</v>
      </c>
      <c r="AB5642">
        <v>32</v>
      </c>
      <c r="AC5642">
        <v>1.00000000031741E-4</v>
      </c>
      <c r="AD5642">
        <v>-0.24326739999999999</v>
      </c>
      <c r="AE5642">
        <v>-0.41734000000000199</v>
      </c>
      <c r="AF5642">
        <v>-8.3767782424016297E-3</v>
      </c>
      <c r="AG5642">
        <v>-0.24326739999999999</v>
      </c>
      <c r="AH5642">
        <v>0.31138808363119902</v>
      </c>
      <c r="AI5642">
        <v>127.988159767205</v>
      </c>
      <c r="AJ5642">
        <v>91.540965554025902</v>
      </c>
      <c r="AK5642">
        <v>0.39523630519474401</v>
      </c>
      <c r="AL5642">
        <v>80.727183306865001</v>
      </c>
      <c r="AM5642">
        <v>97.393178116256394</v>
      </c>
      <c r="AN5642">
        <v>0.99999999455705901</v>
      </c>
    </row>
    <row r="5643" spans="1:40" x14ac:dyDescent="0.25">
      <c r="A5643" t="str">
        <f>"20190303162414680"</f>
        <v>20190303162414680</v>
      </c>
      <c r="B5643" t="str">
        <f>"1551601454670508"</f>
        <v>1551601454670508</v>
      </c>
      <c r="C5643" t="s">
        <v>40</v>
      </c>
      <c r="D5643">
        <v>6.2116470000000001</v>
      </c>
      <c r="E5643">
        <v>0.46041660000000001</v>
      </c>
      <c r="F5643" t="s">
        <v>42</v>
      </c>
      <c r="G5643">
        <v>-301.48399999999998</v>
      </c>
      <c r="H5643">
        <v>0.93875339999999996</v>
      </c>
      <c r="I5643">
        <v>-27.412310000000002</v>
      </c>
      <c r="J5643">
        <v>-301.53089999999997</v>
      </c>
      <c r="K5643">
        <v>1.1210979999999999</v>
      </c>
      <c r="L5643">
        <v>-26.973510000000001</v>
      </c>
      <c r="M5643">
        <v>-2.628233E-2</v>
      </c>
      <c r="N5643">
        <v>-1.2123770000000001E-2</v>
      </c>
      <c r="O5643">
        <v>-0.99958100000000005</v>
      </c>
      <c r="P5643">
        <v>0.1096279</v>
      </c>
      <c r="Q5643">
        <v>0.1499451</v>
      </c>
      <c r="R5643">
        <v>-0.98259759999999996</v>
      </c>
      <c r="S5643">
        <v>0.1722717</v>
      </c>
      <c r="T5643">
        <v>-0.78905009999999998</v>
      </c>
      <c r="U5643">
        <v>-3.1521910000000002</v>
      </c>
      <c r="V5643">
        <v>-0.1356039</v>
      </c>
      <c r="W5643">
        <v>0.16165089999999999</v>
      </c>
      <c r="X5643">
        <v>0.97748679999999999</v>
      </c>
      <c r="Y5643">
        <v>-7.920046E-2</v>
      </c>
      <c r="Z5643">
        <v>0.23036029999999999</v>
      </c>
      <c r="AA5643">
        <v>0.96987699999999999</v>
      </c>
      <c r="AB5643">
        <v>32</v>
      </c>
      <c r="AC5643">
        <v>4.6899999999936798E-2</v>
      </c>
      <c r="AD5643">
        <v>-0.1823446</v>
      </c>
      <c r="AE5643">
        <v>-0.43880000000000002</v>
      </c>
      <c r="AF5643">
        <v>-4.9898049725112102E-2</v>
      </c>
      <c r="AG5643">
        <v>-0.1823446</v>
      </c>
      <c r="AH5643">
        <v>0.37362522927253999</v>
      </c>
      <c r="AI5643">
        <v>115.81521295401799</v>
      </c>
      <c r="AJ5643">
        <v>97.606900586941705</v>
      </c>
      <c r="AK5643">
        <v>0.41873043890370298</v>
      </c>
      <c r="AL5643">
        <v>80.697266054325198</v>
      </c>
      <c r="AM5643">
        <v>97.898067593330396</v>
      </c>
      <c r="AN5643">
        <v>0.99999993767012796</v>
      </c>
    </row>
    <row r="5644" spans="1:40" x14ac:dyDescent="0.25">
      <c r="A5644" t="str">
        <f>"20190303162414726"</f>
        <v>20190303162414726</v>
      </c>
      <c r="B5644" t="str">
        <f>"1551601454720283"</f>
        <v>1551601454720283</v>
      </c>
      <c r="C5644" t="s">
        <v>40</v>
      </c>
      <c r="D5644">
        <v>6.0346849999999996</v>
      </c>
      <c r="E5644">
        <v>0.4683137</v>
      </c>
      <c r="F5644" t="s">
        <v>56</v>
      </c>
      <c r="G5644">
        <v>-298.34989999999999</v>
      </c>
      <c r="H5644" s="1">
        <v>-1.328534E-6</v>
      </c>
      <c r="I5644">
        <v>-41.80321</v>
      </c>
      <c r="J5644">
        <v>-301.54680000000002</v>
      </c>
      <c r="K5644">
        <v>1.1208340000000001</v>
      </c>
      <c r="L5644">
        <v>-27.607569999999999</v>
      </c>
      <c r="M5644">
        <v>-2.5935940000000001E-2</v>
      </c>
      <c r="N5644">
        <v>-1.217215E-2</v>
      </c>
      <c r="O5644">
        <v>-0.99958939999999996</v>
      </c>
      <c r="P5644">
        <v>0.1198357</v>
      </c>
      <c r="Q5644">
        <v>0.14977009999999999</v>
      </c>
      <c r="R5644">
        <v>-0.98143170000000002</v>
      </c>
      <c r="S5644">
        <v>0.64688109999999999</v>
      </c>
      <c r="T5644">
        <v>-0.2279853</v>
      </c>
      <c r="U5644">
        <v>-3.0157470000000002</v>
      </c>
      <c r="V5644">
        <v>-0.14533589999999999</v>
      </c>
      <c r="W5644">
        <v>0.16158789999999901</v>
      </c>
      <c r="X5644">
        <v>0.97609780000000002</v>
      </c>
      <c r="Y5644">
        <v>-0.23450399999999999</v>
      </c>
      <c r="Z5644">
        <v>6.1286220000000002E-2</v>
      </c>
      <c r="AA5644">
        <v>0.97018130000000002</v>
      </c>
      <c r="AB5644">
        <v>32</v>
      </c>
      <c r="AC5644">
        <v>3.1969000000000198</v>
      </c>
      <c r="AD5644">
        <v>-1.120835328534</v>
      </c>
      <c r="AE5644">
        <v>-14.1956399999999</v>
      </c>
      <c r="AF5644">
        <v>-3.5430076732757501</v>
      </c>
      <c r="AG5644">
        <v>-1.120835328534</v>
      </c>
      <c r="AH5644">
        <v>14.0247318362687</v>
      </c>
      <c r="AI5644">
        <v>94.430665547082697</v>
      </c>
      <c r="AJ5644">
        <v>104.177747690785</v>
      </c>
      <c r="AK5644">
        <v>14.5086966432492</v>
      </c>
      <c r="AL5644">
        <v>80.700924775644907</v>
      </c>
      <c r="AM5644">
        <v>98.468826481370996</v>
      </c>
      <c r="AN5644">
        <v>1.0000000442100201</v>
      </c>
    </row>
    <row r="5645" spans="1:40" x14ac:dyDescent="0.25">
      <c r="A5645" t="str">
        <f>"20190303162414770"</f>
        <v>20190303162414770</v>
      </c>
      <c r="B5645" t="str">
        <f>"1551601454760805"</f>
        <v>1551601454760805</v>
      </c>
      <c r="C5645" t="s">
        <v>40</v>
      </c>
      <c r="D5645">
        <v>6.0177909999999999</v>
      </c>
      <c r="E5645">
        <v>0.4732384</v>
      </c>
      <c r="F5645" t="s">
        <v>41</v>
      </c>
      <c r="G5645">
        <v>-299.02339999999998</v>
      </c>
      <c r="H5645" s="1">
        <v>-3.6044729999999997E-7</v>
      </c>
      <c r="I5645">
        <v>-40.056330000000003</v>
      </c>
      <c r="J5645">
        <v>-301.56319999999999</v>
      </c>
      <c r="K5645">
        <v>1.1206469999999999</v>
      </c>
      <c r="L5645">
        <v>-28.243379999999998</v>
      </c>
      <c r="M5645">
        <v>-2.6018059999999999E-2</v>
      </c>
      <c r="N5645">
        <v>-1.220779E-2</v>
      </c>
      <c r="O5645">
        <v>-0.99958709999999995</v>
      </c>
      <c r="P5645">
        <v>0.12237480000000001</v>
      </c>
      <c r="Q5645">
        <v>0.1470168</v>
      </c>
      <c r="R5645">
        <v>-0.98153500000000005</v>
      </c>
      <c r="S5645">
        <v>0.61288450000000005</v>
      </c>
      <c r="T5645">
        <v>-0.27222059999999998</v>
      </c>
      <c r="U5645">
        <v>-3.0234679999999998</v>
      </c>
      <c r="V5645">
        <v>-0.14788679999999901</v>
      </c>
      <c r="W5645">
        <v>0.1589323</v>
      </c>
      <c r="X5645">
        <v>0.97615059999999998</v>
      </c>
      <c r="Y5645">
        <v>-0.2233996</v>
      </c>
      <c r="Z5645">
        <v>7.5412779999999999E-2</v>
      </c>
      <c r="AA5645">
        <v>0.97180529999999998</v>
      </c>
      <c r="AB5645">
        <v>32</v>
      </c>
      <c r="AC5645">
        <v>2.5398000000000098</v>
      </c>
      <c r="AD5645">
        <v>-1.1206473604473</v>
      </c>
      <c r="AE5645">
        <v>-11.812949999999899</v>
      </c>
      <c r="AF5645">
        <v>-2.8220380034225201</v>
      </c>
      <c r="AG5645">
        <v>-1.1206473604473</v>
      </c>
      <c r="AH5645">
        <v>11.6427150058667</v>
      </c>
      <c r="AI5645">
        <v>95.344146731151994</v>
      </c>
      <c r="AJ5645">
        <v>103.624957333601</v>
      </c>
      <c r="AK5645">
        <v>12.0321470115301</v>
      </c>
      <c r="AL5645">
        <v>80.855071348404195</v>
      </c>
      <c r="AM5645">
        <v>98.614798634066403</v>
      </c>
      <c r="AN5645">
        <v>0.99999998773894405</v>
      </c>
    </row>
    <row r="5646" spans="1:40" x14ac:dyDescent="0.25">
      <c r="A5646" t="str">
        <f>"20190303162414817"</f>
        <v>20190303162414817</v>
      </c>
      <c r="B5646" t="str">
        <f>"1551601454810581"</f>
        <v>1551601454810581</v>
      </c>
      <c r="C5646" t="s">
        <v>40</v>
      </c>
      <c r="D5646">
        <v>5.59138</v>
      </c>
      <c r="E5646">
        <v>0.47618939999999998</v>
      </c>
      <c r="F5646" t="s">
        <v>41</v>
      </c>
      <c r="G5646">
        <v>-299.37880000000001</v>
      </c>
      <c r="H5646" s="1">
        <v>-4.4290280000000002E-7</v>
      </c>
      <c r="I5646">
        <v>-39.591679999999997</v>
      </c>
      <c r="J5646">
        <v>-301.5804</v>
      </c>
      <c r="K5646">
        <v>1.120517</v>
      </c>
      <c r="L5646">
        <v>-28.896789999999999</v>
      </c>
      <c r="M5646">
        <v>-2.6363000000000001E-2</v>
      </c>
      <c r="N5646">
        <v>-1.223464E-2</v>
      </c>
      <c r="O5646">
        <v>-0.99957750000000001</v>
      </c>
      <c r="P5646">
        <v>0.1248573</v>
      </c>
      <c r="Q5646">
        <v>0.145422</v>
      </c>
      <c r="R5646">
        <v>-0.98145990000000005</v>
      </c>
      <c r="S5646">
        <v>0.58297730000000003</v>
      </c>
      <c r="T5646">
        <v>-0.29906850000000001</v>
      </c>
      <c r="U5646">
        <v>-3.0285340000000001</v>
      </c>
      <c r="V5646">
        <v>-0.15065619999999999</v>
      </c>
      <c r="W5646">
        <v>0.15740689999999999</v>
      </c>
      <c r="X5646">
        <v>0.97597429999999996</v>
      </c>
      <c r="Y5646">
        <v>-0.21403720000000001</v>
      </c>
      <c r="Z5646">
        <v>8.3993330000000005E-2</v>
      </c>
      <c r="AA5646">
        <v>0.97320770000000001</v>
      </c>
      <c r="AB5646">
        <v>32</v>
      </c>
      <c r="AC5646">
        <v>2.20159999999998</v>
      </c>
      <c r="AD5646">
        <v>-1.1205174429028</v>
      </c>
      <c r="AE5646">
        <v>-10.6948899999999</v>
      </c>
      <c r="AF5646">
        <v>-2.4569318175097199</v>
      </c>
      <c r="AG5646">
        <v>-1.1205174429028</v>
      </c>
      <c r="AH5646">
        <v>10.5223190569093</v>
      </c>
      <c r="AI5646">
        <v>95.920421543268603</v>
      </c>
      <c r="AJ5646">
        <v>103.142924938731</v>
      </c>
      <c r="AK5646">
        <v>10.863299297687499</v>
      </c>
      <c r="AL5646">
        <v>80.943584921063803</v>
      </c>
      <c r="AM5646">
        <v>98.775196169592803</v>
      </c>
      <c r="AN5646">
        <v>1.00000002851326</v>
      </c>
    </row>
    <row r="5647" spans="1:40" x14ac:dyDescent="0.25">
      <c r="A5647" t="str">
        <f>"20190303162414841"</f>
        <v>20190303162414841</v>
      </c>
      <c r="B5647" t="str">
        <f>"1551601454831077"</f>
        <v>1551601454831077</v>
      </c>
      <c r="C5647" t="s">
        <v>40</v>
      </c>
      <c r="D5647">
        <v>5.9525899999999998</v>
      </c>
      <c r="E5647">
        <v>0.47796949999999999</v>
      </c>
      <c r="F5647" t="s">
        <v>41</v>
      </c>
      <c r="G5647">
        <v>-299.59460000000001</v>
      </c>
      <c r="H5647" s="1">
        <v>-4.256609E-7</v>
      </c>
      <c r="I5647">
        <v>-39.542610000000003</v>
      </c>
      <c r="J5647">
        <v>-301.58960000000002</v>
      </c>
      <c r="K5647">
        <v>1.120474</v>
      </c>
      <c r="L5647">
        <v>-29.236940000000001</v>
      </c>
      <c r="M5647">
        <v>-2.6581540000000001E-2</v>
      </c>
      <c r="N5647">
        <v>-1.2245580000000001E-2</v>
      </c>
      <c r="O5647">
        <v>-0.99957180000000001</v>
      </c>
      <c r="P5647">
        <v>0.1240323</v>
      </c>
      <c r="Q5647">
        <v>0.14673849999999999</v>
      </c>
      <c r="R5647">
        <v>-0.98136869999999998</v>
      </c>
      <c r="S5647">
        <v>0.56558229999999998</v>
      </c>
      <c r="T5647">
        <v>-0.31913200000000003</v>
      </c>
      <c r="U5647">
        <v>-3.0320130000000001</v>
      </c>
      <c r="V5647">
        <v>-0.15002270000000001</v>
      </c>
      <c r="W5647">
        <v>0.15875149999999999</v>
      </c>
      <c r="X5647">
        <v>0.975854</v>
      </c>
      <c r="Y5647">
        <v>-0.2085428</v>
      </c>
      <c r="Z5647">
        <v>9.0377379999999993E-2</v>
      </c>
      <c r="AA5647">
        <v>0.97382840000000004</v>
      </c>
      <c r="AB5647">
        <v>31</v>
      </c>
      <c r="AC5647">
        <v>1.9950000000000001</v>
      </c>
      <c r="AD5647">
        <v>-1.1204744256608901</v>
      </c>
      <c r="AE5647">
        <v>-10.3056699999999</v>
      </c>
      <c r="AF5647">
        <v>-2.24270280485826</v>
      </c>
      <c r="AG5647">
        <v>-1.1204744256608901</v>
      </c>
      <c r="AH5647">
        <v>10.133532880425999</v>
      </c>
      <c r="AI5647">
        <v>96.161709868401999</v>
      </c>
      <c r="AJ5647">
        <v>102.479264184326</v>
      </c>
      <c r="AK5647">
        <v>10.4390453322205</v>
      </c>
      <c r="AL5647">
        <v>80.865563188902598</v>
      </c>
      <c r="AM5647">
        <v>98.739928450165607</v>
      </c>
      <c r="AN5647">
        <v>0.999999939291768</v>
      </c>
    </row>
    <row r="5648" spans="1:40" x14ac:dyDescent="0.25">
      <c r="A5648" t="str">
        <f>"20190303162414926"</f>
        <v>20190303162414926</v>
      </c>
      <c r="B5648" t="str">
        <f>"1551601454920869"</f>
        <v>1551601454920869</v>
      </c>
      <c r="C5648" t="s">
        <v>40</v>
      </c>
      <c r="D5648">
        <v>5.7593769999999997</v>
      </c>
      <c r="E5648">
        <v>0.48191580000000001</v>
      </c>
      <c r="F5648" t="s">
        <v>41</v>
      </c>
      <c r="G5648">
        <v>-299.66539999999998</v>
      </c>
      <c r="H5648" s="1">
        <v>-2.718472E-7</v>
      </c>
      <c r="I5648">
        <v>-39.871879999999997</v>
      </c>
      <c r="J5648">
        <v>-301.62310000000002</v>
      </c>
      <c r="K5648">
        <v>1.1204480000000001</v>
      </c>
      <c r="L5648">
        <v>-30.449459999999998</v>
      </c>
      <c r="M5648">
        <v>-2.7490219999999999E-2</v>
      </c>
      <c r="N5648">
        <v>-1.2272679999999999E-2</v>
      </c>
      <c r="O5648">
        <v>-0.99954710000000002</v>
      </c>
      <c r="P5648">
        <v>0.13204460000000001</v>
      </c>
      <c r="Q5648">
        <v>0.1552625</v>
      </c>
      <c r="R5648">
        <v>-0.97900900000000002</v>
      </c>
      <c r="S5648">
        <v>0.54919430000000002</v>
      </c>
      <c r="T5648">
        <v>-0.31979990000000003</v>
      </c>
      <c r="U5648">
        <v>-3.0353699999999999</v>
      </c>
      <c r="V5648">
        <v>-0.15882669999999999</v>
      </c>
      <c r="W5648">
        <v>0.167296</v>
      </c>
      <c r="X5648">
        <v>0.97302940000000004</v>
      </c>
      <c r="Y5648">
        <v>-0.2041492</v>
      </c>
      <c r="Z5648">
        <v>9.0545680000000003E-2</v>
      </c>
      <c r="AA5648">
        <v>0.97474340000000004</v>
      </c>
      <c r="AB5648">
        <v>31</v>
      </c>
      <c r="AC5648">
        <v>1.95770000000004</v>
      </c>
      <c r="AD5648">
        <v>-1.1204482718472</v>
      </c>
      <c r="AE5648">
        <v>-9.4224200000000007</v>
      </c>
      <c r="AF5648">
        <v>-2.1863673033049298</v>
      </c>
      <c r="AG5648">
        <v>-1.1204482718472</v>
      </c>
      <c r="AH5648">
        <v>9.2397901260197592</v>
      </c>
      <c r="AI5648">
        <v>96.730050467926702</v>
      </c>
      <c r="AJ5648">
        <v>103.31276371642301</v>
      </c>
      <c r="AK5648">
        <v>9.5608225528841704</v>
      </c>
      <c r="AL5648">
        <v>80.369360580979901</v>
      </c>
      <c r="AM5648">
        <v>99.2705804085913</v>
      </c>
      <c r="AN5648">
        <v>1.00000004275662</v>
      </c>
    </row>
    <row r="5649" spans="1:40" x14ac:dyDescent="0.25">
      <c r="A5649" t="str">
        <f>"20190303162414970"</f>
        <v>20190303162414970</v>
      </c>
      <c r="B5649" t="str">
        <f>"1551601454960885"</f>
        <v>1551601454960885</v>
      </c>
      <c r="C5649" t="s">
        <v>40</v>
      </c>
      <c r="D5649">
        <v>5.6674150000000001</v>
      </c>
      <c r="E5649">
        <v>0.48314390000000002</v>
      </c>
      <c r="F5649" t="s">
        <v>56</v>
      </c>
      <c r="G5649">
        <v>-299.62</v>
      </c>
      <c r="H5649" s="1">
        <v>-9.4635090000000004E-7</v>
      </c>
      <c r="I5649">
        <v>-41.733580000000003</v>
      </c>
      <c r="J5649">
        <v>-301.64049999999997</v>
      </c>
      <c r="K5649">
        <v>1.120465</v>
      </c>
      <c r="L5649">
        <v>-31.064</v>
      </c>
      <c r="M5649">
        <v>-2.795694E-2</v>
      </c>
      <c r="N5649">
        <v>-1.227984E-2</v>
      </c>
      <c r="O5649">
        <v>-0.99953369999999997</v>
      </c>
      <c r="P5649">
        <v>0.14155899999999999</v>
      </c>
      <c r="Q5649">
        <v>0.15857470000000001</v>
      </c>
      <c r="R5649">
        <v>-0.97714630000000002</v>
      </c>
      <c r="S5649">
        <v>0.5395508</v>
      </c>
      <c r="T5649">
        <v>-0.30179800000000001</v>
      </c>
      <c r="U5649">
        <v>-3.0394290000000002</v>
      </c>
      <c r="V5649">
        <v>-0.16873659999999999</v>
      </c>
      <c r="W5649">
        <v>0.17059479999999999</v>
      </c>
      <c r="X5649">
        <v>0.97078600000000004</v>
      </c>
      <c r="Y5649">
        <v>-0.20147960000000001</v>
      </c>
      <c r="Z5649">
        <v>8.4728429999999993E-2</v>
      </c>
      <c r="AA5649">
        <v>0.9758213</v>
      </c>
      <c r="AB5649">
        <v>31</v>
      </c>
      <c r="AC5649">
        <v>2.02049999999997</v>
      </c>
      <c r="AD5649">
        <v>-1.1204659463508999</v>
      </c>
      <c r="AE5649">
        <v>-10.6695799999999</v>
      </c>
      <c r="AF5649">
        <v>-2.2936029014867301</v>
      </c>
      <c r="AG5649">
        <v>-1.1204659463508999</v>
      </c>
      <c r="AH5649">
        <v>10.4971611160032</v>
      </c>
      <c r="AI5649">
        <v>95.953270180329497</v>
      </c>
      <c r="AJ5649">
        <v>102.325277115551</v>
      </c>
      <c r="AK5649">
        <v>10.803075937063999</v>
      </c>
      <c r="AL5649">
        <v>80.177596639544205</v>
      </c>
      <c r="AM5649">
        <v>99.860321718052006</v>
      </c>
      <c r="AN5649">
        <v>1.00000004188129</v>
      </c>
    </row>
    <row r="5650" spans="1:40" x14ac:dyDescent="0.25">
      <c r="A5650" t="str">
        <f>"20190303162415018"</f>
        <v>20190303162415018</v>
      </c>
      <c r="B5650" t="str">
        <f>"1551601455010660"</f>
        <v>1551601455010660</v>
      </c>
      <c r="C5650" t="s">
        <v>40</v>
      </c>
      <c r="D5650">
        <v>5.5139909999999999</v>
      </c>
      <c r="E5650">
        <v>0.48439349999999998</v>
      </c>
      <c r="F5650" t="s">
        <v>56</v>
      </c>
      <c r="G5650">
        <v>-299.53129999999999</v>
      </c>
      <c r="H5650" s="1">
        <v>-1.497996E-6</v>
      </c>
      <c r="I5650">
        <v>-42.564320000000002</v>
      </c>
      <c r="J5650">
        <v>-301.65989999999999</v>
      </c>
      <c r="K5650">
        <v>1.1204970000000001</v>
      </c>
      <c r="L5650">
        <v>-31.735530000000001</v>
      </c>
      <c r="M5650">
        <v>-2.8393109999999999E-2</v>
      </c>
      <c r="N5650">
        <v>-1.2269560000000001E-2</v>
      </c>
      <c r="O5650">
        <v>-0.99952180000000002</v>
      </c>
      <c r="P5650">
        <v>0.15724659999999999</v>
      </c>
      <c r="Q5650">
        <v>0.16085269999999999</v>
      </c>
      <c r="R5650">
        <v>-0.97437189999999996</v>
      </c>
      <c r="S5650">
        <v>0.55709839999999999</v>
      </c>
      <c r="T5650">
        <v>-0.29593839999999999</v>
      </c>
      <c r="U5650">
        <v>-3.0374759999999998</v>
      </c>
      <c r="V5650">
        <v>-0.1847731</v>
      </c>
      <c r="W5650">
        <v>0.1728191</v>
      </c>
      <c r="X5650">
        <v>0.96746699999999997</v>
      </c>
      <c r="Y5650">
        <v>-0.20749790000000001</v>
      </c>
      <c r="Z5650">
        <v>8.2819100000000007E-2</v>
      </c>
      <c r="AA5650">
        <v>0.97472329999999996</v>
      </c>
      <c r="AB5650">
        <v>31</v>
      </c>
      <c r="AC5650">
        <v>2.1286</v>
      </c>
      <c r="AD5650">
        <v>-1.12049849799599</v>
      </c>
      <c r="AE5650">
        <v>-10.82879</v>
      </c>
      <c r="AF5650">
        <v>-2.4103802333189202</v>
      </c>
      <c r="AG5650">
        <v>-1.12049849799599</v>
      </c>
      <c r="AH5650">
        <v>10.654152477505599</v>
      </c>
      <c r="AI5650">
        <v>95.8567854239365</v>
      </c>
      <c r="AJ5650">
        <v>102.74791096182599</v>
      </c>
      <c r="AK5650">
        <v>10.980729245688799</v>
      </c>
      <c r="AL5650">
        <v>80.048231560049601</v>
      </c>
      <c r="AM5650">
        <v>100.81250806255299</v>
      </c>
      <c r="AN5650">
        <v>0.99999996794870905</v>
      </c>
    </row>
    <row r="5651" spans="1:40" x14ac:dyDescent="0.25">
      <c r="A5651" t="str">
        <f>"20190303162415065"</f>
        <v>20190303162415065</v>
      </c>
      <c r="B5651" t="str">
        <f>"1551601455050678"</f>
        <v>1551601455050678</v>
      </c>
      <c r="C5651" t="s">
        <v>40</v>
      </c>
      <c r="D5651">
        <v>5.7099630000000001</v>
      </c>
      <c r="E5651">
        <v>0.48552869999999998</v>
      </c>
      <c r="F5651" t="s">
        <v>56</v>
      </c>
      <c r="G5651">
        <v>-299.38979999999998</v>
      </c>
      <c r="H5651" s="1">
        <v>-2.007644E-6</v>
      </c>
      <c r="I5651">
        <v>-43.306910000000002</v>
      </c>
      <c r="J5651">
        <v>-301.67860000000002</v>
      </c>
      <c r="K5651">
        <v>1.1205940000000001</v>
      </c>
      <c r="L5651">
        <v>-32.388950000000001</v>
      </c>
      <c r="M5651">
        <v>-2.8557289999999999E-2</v>
      </c>
      <c r="N5651">
        <v>-1.225569E-2</v>
      </c>
      <c r="O5651">
        <v>-0.99951719999999999</v>
      </c>
      <c r="P5651">
        <v>0.17612720000000001</v>
      </c>
      <c r="Q5651">
        <v>0.1627034</v>
      </c>
      <c r="R5651">
        <v>-0.97082849999999998</v>
      </c>
      <c r="S5651">
        <v>0.594696</v>
      </c>
      <c r="T5651">
        <v>-0.29354180000000002</v>
      </c>
      <c r="U5651">
        <v>-3.0314030000000001</v>
      </c>
      <c r="V5651">
        <v>-0.2037476</v>
      </c>
      <c r="W5651">
        <v>0.1745622</v>
      </c>
      <c r="X5651">
        <v>0.96333530000000001</v>
      </c>
      <c r="Y5651">
        <v>-0.2196622</v>
      </c>
      <c r="Z5651">
        <v>8.2016130000000007E-2</v>
      </c>
      <c r="AA5651">
        <v>0.97212240000000005</v>
      </c>
      <c r="AB5651">
        <v>31</v>
      </c>
      <c r="AC5651">
        <v>2.2888000000000299</v>
      </c>
      <c r="AD5651">
        <v>-1.120596007644</v>
      </c>
      <c r="AE5651">
        <v>-10.9179599999999</v>
      </c>
      <c r="AF5651">
        <v>-2.57370569867139</v>
      </c>
      <c r="AG5651">
        <v>-1.120596007644</v>
      </c>
      <c r="AH5651">
        <v>10.739764156076699</v>
      </c>
      <c r="AI5651">
        <v>95.793854413213793</v>
      </c>
      <c r="AJ5651">
        <v>103.476372960746</v>
      </c>
      <c r="AK5651">
        <v>11.1005509126291</v>
      </c>
      <c r="AL5651">
        <v>79.946817860198493</v>
      </c>
      <c r="AM5651">
        <v>101.94219221368201</v>
      </c>
      <c r="AN5651">
        <v>0.99999997320034395</v>
      </c>
    </row>
    <row r="5652" spans="1:40" x14ac:dyDescent="0.25">
      <c r="A5652" t="str">
        <f>"20190303162415085"</f>
        <v>20190303162415085</v>
      </c>
      <c r="B5652" t="str">
        <f>"1551601455080933"</f>
        <v>1551601455080933</v>
      </c>
      <c r="C5652" t="s">
        <v>40</v>
      </c>
      <c r="D5652">
        <v>5.700691</v>
      </c>
      <c r="E5652">
        <v>0.48578339999999998</v>
      </c>
      <c r="F5652" t="s">
        <v>56</v>
      </c>
      <c r="G5652">
        <v>-299.18560000000002</v>
      </c>
      <c r="H5652" s="1">
        <v>-2.5131679999999999E-6</v>
      </c>
      <c r="I5652">
        <v>-44.016739999999999</v>
      </c>
      <c r="J5652">
        <v>-301.68689999999998</v>
      </c>
      <c r="K5652">
        <v>1.120684</v>
      </c>
      <c r="L5652">
        <v>-32.681269999999998</v>
      </c>
      <c r="M5652">
        <v>-2.8458009999999999E-2</v>
      </c>
      <c r="N5652">
        <v>-1.224984E-2</v>
      </c>
      <c r="O5652">
        <v>-0.99952010000000002</v>
      </c>
      <c r="P5652">
        <v>0.18720899999999999</v>
      </c>
      <c r="Q5652">
        <v>0.16292000000000001</v>
      </c>
      <c r="R5652">
        <v>-0.96871580000000002</v>
      </c>
      <c r="S5652">
        <v>0.64779659999999994</v>
      </c>
      <c r="T5652">
        <v>-0.29118129999999998</v>
      </c>
      <c r="U5652">
        <v>-3.021423</v>
      </c>
      <c r="V5652">
        <v>-0.21470600000000001</v>
      </c>
      <c r="W5652">
        <v>0.17470069999999999</v>
      </c>
      <c r="X5652">
        <v>0.96092710000000003</v>
      </c>
      <c r="Y5652">
        <v>-0.23653250000000001</v>
      </c>
      <c r="Z5652">
        <v>8.1217800000000007E-2</v>
      </c>
      <c r="AA5652">
        <v>0.96822319999999995</v>
      </c>
      <c r="AB5652">
        <v>31</v>
      </c>
      <c r="AC5652">
        <v>2.5012999999999499</v>
      </c>
      <c r="AD5652">
        <v>-1.1206865131679999</v>
      </c>
      <c r="AE5652">
        <v>-11.335470000000001</v>
      </c>
      <c r="AF5652">
        <v>-2.7968278901209098</v>
      </c>
      <c r="AG5652">
        <v>-1.1206865131679999</v>
      </c>
      <c r="AH5652">
        <v>11.155713592040099</v>
      </c>
      <c r="AI5652">
        <v>95.565492071451402</v>
      </c>
      <c r="AJ5652">
        <v>104.07442233962701</v>
      </c>
      <c r="AK5652">
        <v>11.555437259376401</v>
      </c>
      <c r="AL5652">
        <v>79.938758280341105</v>
      </c>
      <c r="AM5652">
        <v>102.59507892905199</v>
      </c>
      <c r="AN5652">
        <v>0.99999994626544797</v>
      </c>
    </row>
    <row r="5653" spans="1:40" x14ac:dyDescent="0.25">
      <c r="A5653" t="str">
        <f>"20190303162415105"</f>
        <v>20190303162415105</v>
      </c>
      <c r="B5653" t="str">
        <f>"1551601455100453"</f>
        <v>1551601455100453</v>
      </c>
      <c r="C5653" t="s">
        <v>40</v>
      </c>
      <c r="D5653">
        <v>5.6274989999999896</v>
      </c>
      <c r="E5653">
        <v>0.42933710000000003</v>
      </c>
      <c r="F5653" t="s">
        <v>56</v>
      </c>
      <c r="G5653">
        <v>-299.07749999999999</v>
      </c>
      <c r="H5653" s="1">
        <v>-2.6741229999999999E-6</v>
      </c>
      <c r="I5653">
        <v>-44.224739999999997</v>
      </c>
      <c r="J5653">
        <v>-301.69450000000001</v>
      </c>
      <c r="K5653">
        <v>1.1207910000000001</v>
      </c>
      <c r="L5653">
        <v>-32.960569999999997</v>
      </c>
      <c r="M5653">
        <v>-2.8265930000000002E-2</v>
      </c>
      <c r="N5653">
        <v>-1.224479E-2</v>
      </c>
      <c r="O5653">
        <v>-0.99952560000000001</v>
      </c>
      <c r="P5653">
        <v>0.2017198</v>
      </c>
      <c r="Q5653">
        <v>0.16524179999999999</v>
      </c>
      <c r="R5653">
        <v>-0.96540389999999998</v>
      </c>
      <c r="S5653">
        <v>0.68139649999999996</v>
      </c>
      <c r="T5653">
        <v>-0.29265360000000001</v>
      </c>
      <c r="U5653">
        <v>-3.0144350000000002</v>
      </c>
      <c r="V5653">
        <v>-0.22897319999999999</v>
      </c>
      <c r="W5653">
        <v>0.1769191</v>
      </c>
      <c r="X5653">
        <v>0.95722039999999997</v>
      </c>
      <c r="Y5653">
        <v>-0.2470675</v>
      </c>
      <c r="Z5653">
        <v>8.1666009999999997E-2</v>
      </c>
      <c r="AA5653">
        <v>0.96555080000000004</v>
      </c>
      <c r="AB5653">
        <v>31</v>
      </c>
      <c r="AC5653">
        <v>2.6170000000000102</v>
      </c>
      <c r="AD5653">
        <v>-1.120793674123</v>
      </c>
      <c r="AE5653">
        <v>-11.26417</v>
      </c>
      <c r="AF5653">
        <v>-2.9070631101381701</v>
      </c>
      <c r="AG5653">
        <v>-1.120793674123</v>
      </c>
      <c r="AH5653">
        <v>11.081597493566401</v>
      </c>
      <c r="AI5653">
        <v>95.587457062221503</v>
      </c>
      <c r="AJ5653">
        <v>104.699324842373</v>
      </c>
      <c r="AK5653">
        <v>11.511255248481699</v>
      </c>
      <c r="AL5653">
        <v>79.809642685776794</v>
      </c>
      <c r="AM5653">
        <v>103.452729441816</v>
      </c>
      <c r="AN5653">
        <v>0.99999999421960495</v>
      </c>
    </row>
    <row r="5654" spans="1:40" x14ac:dyDescent="0.25">
      <c r="A5654" t="str">
        <f>"20190303162415127"</f>
        <v>20190303162415127</v>
      </c>
      <c r="B5654" t="str">
        <f>"1551601455120950"</f>
        <v>1551601455120950</v>
      </c>
      <c r="C5654" t="s">
        <v>40</v>
      </c>
      <c r="D5654">
        <v>5.6487619999999996</v>
      </c>
      <c r="E5654">
        <v>0.4064314</v>
      </c>
      <c r="F5654" t="s">
        <v>42</v>
      </c>
      <c r="G5654">
        <v>-301.30029999999999</v>
      </c>
      <c r="H5654">
        <v>1.0171559999999999</v>
      </c>
      <c r="I5654">
        <v>-33.944609999999997</v>
      </c>
      <c r="J5654">
        <v>-301.7029</v>
      </c>
      <c r="K5654">
        <v>1.1209249999999999</v>
      </c>
      <c r="L5654">
        <v>-33.26755</v>
      </c>
      <c r="M5654">
        <v>-2.7908229999999999E-2</v>
      </c>
      <c r="N5654">
        <v>-1.223986E-2</v>
      </c>
      <c r="O5654">
        <v>-0.99953559999999997</v>
      </c>
      <c r="P5654">
        <v>0.2176303</v>
      </c>
      <c r="Q5654">
        <v>0.16815279999999999</v>
      </c>
      <c r="R5654">
        <v>-0.96143730000000005</v>
      </c>
      <c r="S5654">
        <v>1.168488</v>
      </c>
      <c r="T5654">
        <v>-0.30709720000000001</v>
      </c>
      <c r="U5654">
        <v>-2.915924</v>
      </c>
      <c r="V5654">
        <v>-0.24447530000000001</v>
      </c>
      <c r="W5654">
        <v>0.1796991</v>
      </c>
      <c r="X5654">
        <v>0.95285889999999995</v>
      </c>
      <c r="Y5654">
        <v>-0.39614310000000003</v>
      </c>
      <c r="Z5654">
        <v>8.4445039999999999E-2</v>
      </c>
      <c r="AA5654">
        <v>0.91429729999999998</v>
      </c>
      <c r="AB5654">
        <v>31</v>
      </c>
      <c r="AC5654">
        <v>0.40260000000000601</v>
      </c>
      <c r="AD5654">
        <v>-0.103769</v>
      </c>
      <c r="AE5654">
        <v>-0.677059999999997</v>
      </c>
      <c r="AF5654">
        <v>-0.41415297617517499</v>
      </c>
      <c r="AG5654">
        <v>-0.103769</v>
      </c>
      <c r="AH5654">
        <v>0.65420654854585403</v>
      </c>
      <c r="AI5654">
        <v>97.633299281491404</v>
      </c>
      <c r="AJ5654">
        <v>122.33632585292899</v>
      </c>
      <c r="AK5654">
        <v>0.78120221530410106</v>
      </c>
      <c r="AL5654">
        <v>79.647766388589204</v>
      </c>
      <c r="AM5654">
        <v>104.389998740799</v>
      </c>
      <c r="AN5654">
        <v>1.00000001108005</v>
      </c>
    </row>
    <row r="5655" spans="1:40" x14ac:dyDescent="0.25">
      <c r="A5655" t="str">
        <f>"20190303162415149"</f>
        <v>20190303162415149</v>
      </c>
      <c r="B5655" t="str">
        <f>"1551601455140469"</f>
        <v>1551601455140469</v>
      </c>
      <c r="C5655" t="s">
        <v>40</v>
      </c>
      <c r="D5655">
        <v>5.5988449999999998</v>
      </c>
      <c r="E5655">
        <v>0.39747870000000002</v>
      </c>
      <c r="F5655" t="s">
        <v>42</v>
      </c>
      <c r="G5655">
        <v>-301.24110000000002</v>
      </c>
      <c r="H5655">
        <v>1.0218339999999999</v>
      </c>
      <c r="I5655">
        <v>-34.212240000000001</v>
      </c>
      <c r="J5655">
        <v>-301.71080000000001</v>
      </c>
      <c r="K5655">
        <v>1.121065</v>
      </c>
      <c r="L5655">
        <v>-33.570399999999999</v>
      </c>
      <c r="M5655">
        <v>-2.7379279999999999E-2</v>
      </c>
      <c r="N5655">
        <v>-1.223574E-2</v>
      </c>
      <c r="O5655">
        <v>-0.99955039999999995</v>
      </c>
      <c r="P5655">
        <v>0.23195370000000001</v>
      </c>
      <c r="Q5655">
        <v>0.16921249999999999</v>
      </c>
      <c r="R5655">
        <v>-0.95789610000000003</v>
      </c>
      <c r="S5655">
        <v>1.396881</v>
      </c>
      <c r="T5655">
        <v>-0.29963709999999999</v>
      </c>
      <c r="U5655">
        <v>-2.8565369999999999</v>
      </c>
      <c r="V5655">
        <v>-0.25824859999999999</v>
      </c>
      <c r="W5655">
        <v>0.18061840000000001</v>
      </c>
      <c r="X5655">
        <v>0.949044</v>
      </c>
      <c r="Y5655">
        <v>-0.4620011</v>
      </c>
      <c r="Z5655">
        <v>8.0888879999999996E-2</v>
      </c>
      <c r="AA5655">
        <v>0.88318289999999999</v>
      </c>
      <c r="AB5655">
        <v>31</v>
      </c>
      <c r="AC5655">
        <v>0.46969999999998802</v>
      </c>
      <c r="AD5655">
        <v>-9.9231E-2</v>
      </c>
      <c r="AE5655">
        <v>-0.64184000000000196</v>
      </c>
      <c r="AF5655">
        <v>-0.47963228681171299</v>
      </c>
      <c r="AG5655">
        <v>-9.9231E-2</v>
      </c>
      <c r="AH5655">
        <v>0.61910130928566698</v>
      </c>
      <c r="AI5655">
        <v>97.221268838710401</v>
      </c>
      <c r="AJ5655">
        <v>127.76578273821001</v>
      </c>
      <c r="AK5655">
        <v>0.78941773040163099</v>
      </c>
      <c r="AL5655">
        <v>79.594217342854606</v>
      </c>
      <c r="AM5655">
        <v>105.222433089633</v>
      </c>
      <c r="AN5655">
        <v>0.99999992987825703</v>
      </c>
    </row>
    <row r="5656" spans="1:40" x14ac:dyDescent="0.25">
      <c r="A5656" t="str">
        <f>"20190303162415171"</f>
        <v>20190303162415171</v>
      </c>
      <c r="B5656" t="str">
        <f>"1551601455159990"</f>
        <v>1551601455159990</v>
      </c>
      <c r="C5656" t="s">
        <v>40</v>
      </c>
      <c r="D5656">
        <v>5.5572939999999997</v>
      </c>
      <c r="E5656">
        <v>0.3951056</v>
      </c>
      <c r="F5656" t="s">
        <v>42</v>
      </c>
      <c r="G5656">
        <v>-301.22030000000001</v>
      </c>
      <c r="H5656">
        <v>1.0231440000000001</v>
      </c>
      <c r="I5656">
        <v>-34.487829999999903</v>
      </c>
      <c r="J5656">
        <v>-301.71859999999998</v>
      </c>
      <c r="K5656">
        <v>1.121219</v>
      </c>
      <c r="L5656">
        <v>-33.886719999999997</v>
      </c>
      <c r="M5656">
        <v>-2.6624599999999998E-2</v>
      </c>
      <c r="N5656">
        <v>-1.223251E-2</v>
      </c>
      <c r="O5656">
        <v>-0.99957059999999998</v>
      </c>
      <c r="P5656">
        <v>0.2464258</v>
      </c>
      <c r="Q5656">
        <v>0.17064389999999999</v>
      </c>
      <c r="R5656">
        <v>-0.95402030000000004</v>
      </c>
      <c r="S5656">
        <v>1.507385</v>
      </c>
      <c r="T5656">
        <v>-0.30098609999999998</v>
      </c>
      <c r="U5656">
        <v>-2.8200379999999998</v>
      </c>
      <c r="V5656">
        <v>-0.27196279999999901</v>
      </c>
      <c r="W5656">
        <v>0.18188460000000001</v>
      </c>
      <c r="X5656">
        <v>0.94496259999999999</v>
      </c>
      <c r="Y5656">
        <v>-0.4928746</v>
      </c>
      <c r="Z5656">
        <v>8.0759380000000006E-2</v>
      </c>
      <c r="AA5656">
        <v>0.86634439999999902</v>
      </c>
      <c r="AB5656">
        <v>31</v>
      </c>
      <c r="AC5656">
        <v>0.49829999999997199</v>
      </c>
      <c r="AD5656">
        <v>-9.8074999999999898E-2</v>
      </c>
      <c r="AE5656">
        <v>-0.60110999999999104</v>
      </c>
      <c r="AF5656">
        <v>-0.506143025033989</v>
      </c>
      <c r="AG5656">
        <v>-9.8074999999999898E-2</v>
      </c>
      <c r="AH5656">
        <v>0.57850137605314</v>
      </c>
      <c r="AI5656">
        <v>97.271166045180706</v>
      </c>
      <c r="AJ5656">
        <v>131.183362727109</v>
      </c>
      <c r="AK5656">
        <v>0.77489567653390201</v>
      </c>
      <c r="AL5656">
        <v>79.520448758380198</v>
      </c>
      <c r="AM5656">
        <v>106.055962042331</v>
      </c>
      <c r="AN5656">
        <v>1.00000004384987</v>
      </c>
    </row>
    <row r="5657" spans="1:40" x14ac:dyDescent="0.25">
      <c r="A5657" t="str">
        <f>"20190303162415194"</f>
        <v>20190303162415194</v>
      </c>
      <c r="B5657" t="str">
        <f>"1551601455180486"</f>
        <v>1551601455180486</v>
      </c>
      <c r="C5657" t="s">
        <v>40</v>
      </c>
      <c r="D5657">
        <v>5.5753320000000004</v>
      </c>
      <c r="E5657">
        <v>0.39466119999999999</v>
      </c>
      <c r="F5657" t="s">
        <v>42</v>
      </c>
      <c r="G5657">
        <v>-301.2253</v>
      </c>
      <c r="H5657">
        <v>1.0248949999999999</v>
      </c>
      <c r="I5657">
        <v>-34.76811</v>
      </c>
      <c r="J5657">
        <v>-301.72579999999999</v>
      </c>
      <c r="K5657">
        <v>1.121373</v>
      </c>
      <c r="L5657">
        <v>-34.198</v>
      </c>
      <c r="M5657">
        <v>-2.5684760000000001E-2</v>
      </c>
      <c r="N5657">
        <v>-1.2230339999999999E-2</v>
      </c>
      <c r="O5657">
        <v>-0.99959529999999996</v>
      </c>
      <c r="P5657">
        <v>0.26452360000000003</v>
      </c>
      <c r="Q5657">
        <v>0.17097499999999999</v>
      </c>
      <c r="R5657">
        <v>-0.94910220000000001</v>
      </c>
      <c r="S5657">
        <v>1.564362</v>
      </c>
      <c r="T5657">
        <v>-0.3054732</v>
      </c>
      <c r="U5657">
        <v>-2.7951350000000001</v>
      </c>
      <c r="V5657">
        <v>-0.28910819999999998</v>
      </c>
      <c r="W5657">
        <v>0.18201909999999999</v>
      </c>
      <c r="X5657">
        <v>0.93983269999999997</v>
      </c>
      <c r="Y5657">
        <v>-0.50867589999999996</v>
      </c>
      <c r="Z5657">
        <v>8.1978750000000003E-2</v>
      </c>
      <c r="AA5657">
        <v>0.85704619999999998</v>
      </c>
      <c r="AB5657">
        <v>31</v>
      </c>
      <c r="AC5657">
        <v>0.50049999999998795</v>
      </c>
      <c r="AD5657">
        <v>-9.64779999999998E-2</v>
      </c>
      <c r="AE5657">
        <v>-0.57010999999999901</v>
      </c>
      <c r="AF5657">
        <v>-0.50678286594671895</v>
      </c>
      <c r="AG5657">
        <v>-9.64779999999998E-2</v>
      </c>
      <c r="AH5657">
        <v>0.54819964500606999</v>
      </c>
      <c r="AI5657">
        <v>97.363527895349606</v>
      </c>
      <c r="AJ5657">
        <v>132.75182181578899</v>
      </c>
      <c r="AK5657">
        <v>0.75276804427788402</v>
      </c>
      <c r="AL5657">
        <v>79.512611232745598</v>
      </c>
      <c r="AM5657">
        <v>107.09876966456299</v>
      </c>
      <c r="AN5657">
        <v>1.00000000403066</v>
      </c>
    </row>
    <row r="5658" spans="1:40" x14ac:dyDescent="0.25">
      <c r="A5658" t="str">
        <f>"20190303162415219"</f>
        <v>20190303162415219</v>
      </c>
      <c r="B5658" t="str">
        <f>"1551601455210742"</f>
        <v>1551601455210742</v>
      </c>
      <c r="C5658" t="s">
        <v>40</v>
      </c>
      <c r="D5658">
        <v>5.6000730000000001</v>
      </c>
      <c r="E5658">
        <v>0.39546779999999998</v>
      </c>
      <c r="F5658" t="s">
        <v>42</v>
      </c>
      <c r="G5658">
        <v>-301.22910000000002</v>
      </c>
      <c r="H5658">
        <v>1.0255810000000001</v>
      </c>
      <c r="I5658">
        <v>-35.048070000000003</v>
      </c>
      <c r="J5658">
        <v>-301.7337</v>
      </c>
      <c r="K5658">
        <v>1.121551</v>
      </c>
      <c r="L5658">
        <v>-34.558720000000001</v>
      </c>
      <c r="M5658">
        <v>-2.4373840000000001E-2</v>
      </c>
      <c r="N5658">
        <v>-1.222868E-2</v>
      </c>
      <c r="O5658">
        <v>-0.99962830000000003</v>
      </c>
      <c r="P5658">
        <v>0.28315889999999999</v>
      </c>
      <c r="Q5658">
        <v>0.17076720000000001</v>
      </c>
      <c r="R5658">
        <v>-0.94374809999999998</v>
      </c>
      <c r="S5658">
        <v>1.61676</v>
      </c>
      <c r="T5658">
        <v>-0.31174410000000002</v>
      </c>
      <c r="U5658">
        <v>-2.7664490000000002</v>
      </c>
      <c r="V5658">
        <v>-0.30645</v>
      </c>
      <c r="W5658">
        <v>0.1815831</v>
      </c>
      <c r="X5658">
        <v>0.93440679999999998</v>
      </c>
      <c r="Y5658">
        <v>-0.52335290000000001</v>
      </c>
      <c r="Z5658">
        <v>8.3883780000000005E-2</v>
      </c>
      <c r="AA5658">
        <v>0.84797719999999899</v>
      </c>
      <c r="AB5658">
        <v>31</v>
      </c>
      <c r="AC5658">
        <v>0.50459999999998195</v>
      </c>
      <c r="AD5658">
        <v>-9.5970000000000097E-2</v>
      </c>
      <c r="AE5658">
        <v>-0.48935000000000101</v>
      </c>
      <c r="AF5658">
        <v>-0.50692862925928195</v>
      </c>
      <c r="AG5658">
        <v>-9.5970000000000097E-2</v>
      </c>
      <c r="AH5658">
        <v>0.46817733861939498</v>
      </c>
      <c r="AI5658">
        <v>97.917748865789093</v>
      </c>
      <c r="AJ5658">
        <v>137.275770778317</v>
      </c>
      <c r="AK5658">
        <v>0.69668995719719895</v>
      </c>
      <c r="AL5658">
        <v>79.538015994558705</v>
      </c>
      <c r="AM5658">
        <v>108.157528955096</v>
      </c>
      <c r="AN5658">
        <v>1.00000004629592</v>
      </c>
    </row>
    <row r="5659" spans="1:40" x14ac:dyDescent="0.25">
      <c r="A5659" t="str">
        <f>"20190303162415243"</f>
        <v>20190303162415243</v>
      </c>
      <c r="B5659" t="str">
        <f>"1551601455230261"</f>
        <v>1551601455230261</v>
      </c>
      <c r="C5659" t="s">
        <v>40</v>
      </c>
      <c r="D5659">
        <v>5.5807500000000001</v>
      </c>
      <c r="E5659">
        <v>0.39671519999999999</v>
      </c>
      <c r="F5659" t="s">
        <v>42</v>
      </c>
      <c r="G5659">
        <v>-301.26350000000002</v>
      </c>
      <c r="H5659">
        <v>1.030861</v>
      </c>
      <c r="I5659">
        <v>-35.33381</v>
      </c>
      <c r="J5659">
        <v>-301.74029999999999</v>
      </c>
      <c r="K5659">
        <v>1.1216950000000001</v>
      </c>
      <c r="L5659">
        <v>-34.890169999999998</v>
      </c>
      <c r="M5659">
        <v>-2.2979530000000001E-2</v>
      </c>
      <c r="N5659">
        <v>-1.222751E-2</v>
      </c>
      <c r="O5659">
        <v>-0.99966129999999997</v>
      </c>
      <c r="P5659">
        <v>0.30339169999999999</v>
      </c>
      <c r="Q5659">
        <v>0.17005680000000001</v>
      </c>
      <c r="R5659">
        <v>-0.93756850000000003</v>
      </c>
      <c r="S5659">
        <v>1.66189599999999</v>
      </c>
      <c r="T5659">
        <v>-0.32039519999999999</v>
      </c>
      <c r="U5659">
        <v>-2.738159</v>
      </c>
      <c r="V5659">
        <v>-0.32529140000000001</v>
      </c>
      <c r="W5659">
        <v>0.18064089999999999</v>
      </c>
      <c r="X5659">
        <v>0.92819949999999996</v>
      </c>
      <c r="Y5659">
        <v>-0.53606279999999995</v>
      </c>
      <c r="Z5659">
        <v>8.6593370000000003E-2</v>
      </c>
      <c r="AA5659">
        <v>0.8397251</v>
      </c>
      <c r="AB5659">
        <v>31</v>
      </c>
      <c r="AC5659">
        <v>0.47679999999996803</v>
      </c>
      <c r="AD5659">
        <v>-9.0833999999999998E-2</v>
      </c>
      <c r="AE5659">
        <v>-0.44364000000000198</v>
      </c>
      <c r="AF5659">
        <v>-0.47757942138728898</v>
      </c>
      <c r="AG5659">
        <v>-9.0833999999999998E-2</v>
      </c>
      <c r="AH5659">
        <v>0.42431150946247997</v>
      </c>
      <c r="AI5659">
        <v>98.092348185096697</v>
      </c>
      <c r="AJ5659">
        <v>138.380103923587</v>
      </c>
      <c r="AK5659">
        <v>0.64526984770012796</v>
      </c>
      <c r="AL5659">
        <v>79.592907057936401</v>
      </c>
      <c r="AM5659">
        <v>109.313225944146</v>
      </c>
      <c r="AN5659">
        <v>0.99999997073350899</v>
      </c>
    </row>
    <row r="5660" spans="1:40" x14ac:dyDescent="0.25">
      <c r="A5660" t="str">
        <f>"20190303162415266"</f>
        <v>20190303162415266</v>
      </c>
      <c r="B5660" t="str">
        <f>"1551601455260517"</f>
        <v>1551601455260517</v>
      </c>
      <c r="C5660" t="s">
        <v>40</v>
      </c>
      <c r="D5660">
        <v>5.563205</v>
      </c>
      <c r="E5660">
        <v>0.39915089999999998</v>
      </c>
      <c r="F5660" t="s">
        <v>56</v>
      </c>
      <c r="G5660">
        <v>-295.93200000000002</v>
      </c>
      <c r="H5660" s="1">
        <v>-3.3652410000000001E-6</v>
      </c>
      <c r="I5660">
        <v>-44.096580000000003</v>
      </c>
      <c r="J5660">
        <v>-301.74590000000001</v>
      </c>
      <c r="K5660">
        <v>1.121801</v>
      </c>
      <c r="L5660">
        <v>-35.203580000000002</v>
      </c>
      <c r="M5660">
        <v>-2.1510930000000001E-2</v>
      </c>
      <c r="N5660">
        <v>-1.2226559999999999E-2</v>
      </c>
      <c r="O5660">
        <v>-0.99969399999999997</v>
      </c>
      <c r="P5660">
        <v>0.32145449999999998</v>
      </c>
      <c r="Q5660">
        <v>0.16728509999999999</v>
      </c>
      <c r="R5660">
        <v>-0.93203159999999896</v>
      </c>
      <c r="S5660">
        <v>1.70779399999999</v>
      </c>
      <c r="T5660">
        <v>-0.329810099999999</v>
      </c>
      <c r="U5660">
        <v>-2.7069399999999999</v>
      </c>
      <c r="V5660">
        <v>-0.34190720000000002</v>
      </c>
      <c r="W5660">
        <v>0.1776672</v>
      </c>
      <c r="X5660">
        <v>0.92278590000000005</v>
      </c>
      <c r="Y5660">
        <v>-0.549141199999999</v>
      </c>
      <c r="Z5660">
        <v>8.9579179999999994E-2</v>
      </c>
      <c r="AA5660">
        <v>0.83091489999999901</v>
      </c>
      <c r="AB5660">
        <v>31</v>
      </c>
      <c r="AC5660">
        <v>5.8138999999999896</v>
      </c>
      <c r="AD5660">
        <v>-1.1218043652409999</v>
      </c>
      <c r="AE5660">
        <v>-8.89299999999999</v>
      </c>
      <c r="AF5660">
        <v>-5.9376732722964896</v>
      </c>
      <c r="AG5660">
        <v>-1.1218043652409999</v>
      </c>
      <c r="AH5660">
        <v>8.6692270775466405</v>
      </c>
      <c r="AI5660">
        <v>96.093836162177496</v>
      </c>
      <c r="AJ5660">
        <v>124.40778173522</v>
      </c>
      <c r="AK5660">
        <v>10.5673983101085</v>
      </c>
      <c r="AL5660">
        <v>79.766089730062902</v>
      </c>
      <c r="AM5660">
        <v>110.33048810143001</v>
      </c>
      <c r="AN5660">
        <v>0.99999999230324499</v>
      </c>
    </row>
    <row r="5661" spans="1:40" x14ac:dyDescent="0.25">
      <c r="A5661" t="str">
        <f>"20190303162415287"</f>
        <v>20190303162415287</v>
      </c>
      <c r="B5661" t="str">
        <f>"1551601455280039"</f>
        <v>1551601455280039</v>
      </c>
      <c r="C5661" t="s">
        <v>40</v>
      </c>
      <c r="D5661">
        <v>5.5640159999999996</v>
      </c>
      <c r="E5661">
        <v>0.40093450000000003</v>
      </c>
      <c r="F5661" t="s">
        <v>56</v>
      </c>
      <c r="G5661">
        <v>-296.08940000000001</v>
      </c>
      <c r="H5661" s="1">
        <v>-3.2416379999999998E-6</v>
      </c>
      <c r="I5661">
        <v>-43.93441</v>
      </c>
      <c r="J5661">
        <v>-301.75080000000003</v>
      </c>
      <c r="K5661">
        <v>1.121875</v>
      </c>
      <c r="L5661">
        <v>-35.506439999999998</v>
      </c>
      <c r="M5661">
        <v>-2.0002889999999999E-2</v>
      </c>
      <c r="N5661">
        <v>-1.222644E-2</v>
      </c>
      <c r="O5661">
        <v>-0.99972530000000004</v>
      </c>
      <c r="P5661">
        <v>0.34084700000000001</v>
      </c>
      <c r="Q5661">
        <v>0.162854</v>
      </c>
      <c r="R5661">
        <v>-0.92590649999999997</v>
      </c>
      <c r="S5661">
        <v>1.73724399999999</v>
      </c>
      <c r="T5661">
        <v>-0.34453440000000002</v>
      </c>
      <c r="U5661">
        <v>-2.6814580000000001</v>
      </c>
      <c r="V5661">
        <v>-0.3598017</v>
      </c>
      <c r="W5661">
        <v>0.1730389</v>
      </c>
      <c r="X5661">
        <v>0.91684259999999995</v>
      </c>
      <c r="Y5661">
        <v>-0.5576063</v>
      </c>
      <c r="Z5661">
        <v>9.4308450000000002E-2</v>
      </c>
      <c r="AA5661">
        <v>0.82473090000000004</v>
      </c>
      <c r="AB5661">
        <v>31</v>
      </c>
      <c r="AC5661">
        <v>5.6614000000000102</v>
      </c>
      <c r="AD5661">
        <v>-1.121878241638</v>
      </c>
      <c r="AE5661">
        <v>-8.4279699999999895</v>
      </c>
      <c r="AF5661">
        <v>-5.7585527455446099</v>
      </c>
      <c r="AG5661">
        <v>-1.121878241638</v>
      </c>
      <c r="AH5661">
        <v>8.21275470515846</v>
      </c>
      <c r="AI5661">
        <v>96.3818408534366</v>
      </c>
      <c r="AJ5661">
        <v>125.03705874797799</v>
      </c>
      <c r="AK5661">
        <v>10.0930114613718</v>
      </c>
      <c r="AL5661">
        <v>80.035446025673593</v>
      </c>
      <c r="AM5661">
        <v>111.426811253971</v>
      </c>
      <c r="AN5661">
        <v>1.00000003870542</v>
      </c>
    </row>
    <row r="5662" spans="1:40" x14ac:dyDescent="0.25">
      <c r="A5662" t="str">
        <f>"20190303162415307"</f>
        <v>20190303162415307</v>
      </c>
      <c r="B5662" t="str">
        <f>"1551601455300533"</f>
        <v>1551601455300533</v>
      </c>
      <c r="C5662" t="s">
        <v>40</v>
      </c>
      <c r="D5662">
        <v>5.5388159999999997</v>
      </c>
      <c r="E5662">
        <v>0.4026766</v>
      </c>
      <c r="F5662" t="s">
        <v>56</v>
      </c>
      <c r="G5662">
        <v>-296.20690000000002</v>
      </c>
      <c r="H5662" s="1">
        <v>-3.1301470000000001E-6</v>
      </c>
      <c r="I5662">
        <v>-43.778199999999998</v>
      </c>
      <c r="J5662">
        <v>-301.75490000000002</v>
      </c>
      <c r="K5662">
        <v>1.121923</v>
      </c>
      <c r="L5662">
        <v>-35.792940000000002</v>
      </c>
      <c r="M5662">
        <v>-1.8505959999999998E-2</v>
      </c>
      <c r="N5662">
        <v>-1.2230980000000001E-2</v>
      </c>
      <c r="O5662">
        <v>-0.99975400000000003</v>
      </c>
      <c r="P5662">
        <v>0.35692499999999999</v>
      </c>
      <c r="Q5662">
        <v>0.15905639999999999</v>
      </c>
      <c r="R5662">
        <v>-0.92049219999999998</v>
      </c>
      <c r="S5662">
        <v>1.775787</v>
      </c>
      <c r="T5662">
        <v>-0.3593539</v>
      </c>
      <c r="U5662">
        <v>-2.6495669999999998</v>
      </c>
      <c r="V5662">
        <v>-0.37441799999999997</v>
      </c>
      <c r="W5662">
        <v>0.16907749999999999</v>
      </c>
      <c r="X5662">
        <v>0.91171489999999999</v>
      </c>
      <c r="Y5662">
        <v>-0.5688761</v>
      </c>
      <c r="Z5662">
        <v>9.9066029999999999E-2</v>
      </c>
      <c r="AA5662">
        <v>0.81643489999999996</v>
      </c>
      <c r="AB5662">
        <v>31</v>
      </c>
      <c r="AC5662">
        <v>5.548</v>
      </c>
      <c r="AD5662">
        <v>-1.121926130147</v>
      </c>
      <c r="AE5662">
        <v>-7.9852599999999896</v>
      </c>
      <c r="AF5662">
        <v>-5.6200137978832601</v>
      </c>
      <c r="AG5662">
        <v>-1.121926130147</v>
      </c>
      <c r="AH5662">
        <v>7.7776658215071901</v>
      </c>
      <c r="AI5662">
        <v>96.668755652631006</v>
      </c>
      <c r="AJ5662">
        <v>125.85125838041699</v>
      </c>
      <c r="AK5662">
        <v>9.6610226664130092</v>
      </c>
      <c r="AL5662">
        <v>80.265813185579006</v>
      </c>
      <c r="AM5662">
        <v>112.326702560068</v>
      </c>
      <c r="AN5662">
        <v>1.0000000493061201</v>
      </c>
    </row>
    <row r="5663" spans="1:40" x14ac:dyDescent="0.25">
      <c r="A5663" t="str">
        <f>"20190303162415339"</f>
        <v>20190303162415339</v>
      </c>
      <c r="B5663" t="str">
        <f>"1551601455330790"</f>
        <v>1551601455330790</v>
      </c>
      <c r="C5663" t="s">
        <v>40</v>
      </c>
      <c r="D5663">
        <v>5.5144780000000004</v>
      </c>
      <c r="E5663">
        <v>0.43011179999999899</v>
      </c>
      <c r="F5663" t="s">
        <v>56</v>
      </c>
      <c r="G5663">
        <v>-296.28879999999998</v>
      </c>
      <c r="H5663" s="1">
        <v>-3.0859220000000001E-6</v>
      </c>
      <c r="I5663">
        <v>-43.730539999999998</v>
      </c>
      <c r="J5663">
        <v>-301.76049999999998</v>
      </c>
      <c r="K5663">
        <v>1.1220139999999901</v>
      </c>
      <c r="L5663">
        <v>-36.246250000000003</v>
      </c>
      <c r="M5663">
        <v>-1.5967530000000001E-2</v>
      </c>
      <c r="N5663">
        <v>-1.224766E-2</v>
      </c>
      <c r="O5663">
        <v>-0.99979779999999996</v>
      </c>
      <c r="P5663">
        <v>0.37858700000000001</v>
      </c>
      <c r="Q5663">
        <v>0.15461989999999901</v>
      </c>
      <c r="R5663">
        <v>-0.91255940000000002</v>
      </c>
      <c r="S5663">
        <v>1.8061830000000001</v>
      </c>
      <c r="T5663">
        <v>-0.37071959999999998</v>
      </c>
      <c r="U5663">
        <v>-2.622833</v>
      </c>
      <c r="V5663">
        <v>-0.39366190000000001</v>
      </c>
      <c r="W5663">
        <v>0.16439609999999999</v>
      </c>
      <c r="X5663">
        <v>0.90443589999999996</v>
      </c>
      <c r="Y5663">
        <v>-0.57681949999999904</v>
      </c>
      <c r="Z5663">
        <v>0.1028027</v>
      </c>
      <c r="AA5663">
        <v>0.81037689999999996</v>
      </c>
      <c r="AB5663">
        <v>31</v>
      </c>
      <c r="AC5663">
        <v>5.4716999999999896</v>
      </c>
      <c r="AD5663">
        <v>-1.12201708592199</v>
      </c>
      <c r="AE5663">
        <v>-7.4842899999999997</v>
      </c>
      <c r="AF5663">
        <v>-5.50981760185537</v>
      </c>
      <c r="AG5663">
        <v>-1.12201708592199</v>
      </c>
      <c r="AH5663">
        <v>7.2891987502255997</v>
      </c>
      <c r="AI5663">
        <v>97.000592967091706</v>
      </c>
      <c r="AJ5663">
        <v>127.085195658033</v>
      </c>
      <c r="AK5663">
        <v>9.2059454032221293</v>
      </c>
      <c r="AL5663">
        <v>80.537845821356697</v>
      </c>
      <c r="AM5663">
        <v>113.521412749955</v>
      </c>
      <c r="AN5663">
        <v>1.0000000332078101</v>
      </c>
    </row>
    <row r="5664" spans="1:40" x14ac:dyDescent="0.25">
      <c r="A5664" t="str">
        <f>"20190303162415365"</f>
        <v>20190303162415365</v>
      </c>
      <c r="B5664" t="str">
        <f>"1551601455360070"</f>
        <v>1551601455360070</v>
      </c>
      <c r="C5664" t="s">
        <v>40</v>
      </c>
      <c r="D5664">
        <v>5.4850770000000004</v>
      </c>
      <c r="E5664">
        <v>0.43350949999999999</v>
      </c>
      <c r="F5664" t="s">
        <v>42</v>
      </c>
      <c r="G5664">
        <v>-301.28199999999998</v>
      </c>
      <c r="H5664">
        <v>1.0119279999999999</v>
      </c>
      <c r="I5664">
        <v>-37.012529999999998</v>
      </c>
      <c r="J5664">
        <v>-301.76389999999998</v>
      </c>
      <c r="K5664">
        <v>1.1221319999999999</v>
      </c>
      <c r="L5664">
        <v>-36.60031</v>
      </c>
      <c r="M5664">
        <v>-1.3752550000000001E-2</v>
      </c>
      <c r="N5664">
        <v>-1.229503E-2</v>
      </c>
      <c r="O5664">
        <v>-0.99982990000000005</v>
      </c>
      <c r="P5664">
        <v>0.39295150000000001</v>
      </c>
      <c r="Q5664">
        <v>0.15055180000000001</v>
      </c>
      <c r="R5664">
        <v>-0.90715129999999999</v>
      </c>
      <c r="S5664">
        <v>1.6630549999999999</v>
      </c>
      <c r="T5664">
        <v>-0.38249119999999998</v>
      </c>
      <c r="U5664">
        <v>-2.6623230000000002</v>
      </c>
      <c r="V5664">
        <v>-0.40598450000000003</v>
      </c>
      <c r="W5664">
        <v>0.160130299999999</v>
      </c>
      <c r="X5664">
        <v>0.89974149999999997</v>
      </c>
      <c r="Y5664">
        <v>-0.53788239999999998</v>
      </c>
      <c r="Z5664">
        <v>0.10820299999999999</v>
      </c>
      <c r="AA5664">
        <v>0.83604709999999904</v>
      </c>
      <c r="AB5664">
        <v>31</v>
      </c>
      <c r="AC5664">
        <v>0.481899999999996</v>
      </c>
      <c r="AD5664">
        <v>-0.110203999999999</v>
      </c>
      <c r="AE5664">
        <v>-0.41221999999999698</v>
      </c>
      <c r="AF5664">
        <v>-0.47323241902199598</v>
      </c>
      <c r="AG5664">
        <v>-0.110203999999999</v>
      </c>
      <c r="AH5664">
        <v>0.39366458048930802</v>
      </c>
      <c r="AI5664">
        <v>100.150071648647</v>
      </c>
      <c r="AJ5664">
        <v>140.24417966840599</v>
      </c>
      <c r="AK5664">
        <v>0.62535241741056202</v>
      </c>
      <c r="AL5664">
        <v>80.785540130231396</v>
      </c>
      <c r="AM5664">
        <v>114.28601452803601</v>
      </c>
      <c r="AN5664">
        <v>0.99999994702029305</v>
      </c>
    </row>
    <row r="5665" spans="1:40" x14ac:dyDescent="0.25">
      <c r="A5665" t="str">
        <f>"20190303162415387"</f>
        <v>20190303162415387</v>
      </c>
      <c r="B5665" t="str">
        <f>"1551601455380566"</f>
        <v>1551601455380566</v>
      </c>
      <c r="C5665" t="s">
        <v>40</v>
      </c>
      <c r="D5665">
        <v>5.4719709999999999</v>
      </c>
      <c r="E5665">
        <v>0.43634410000000001</v>
      </c>
      <c r="F5665" t="s">
        <v>56</v>
      </c>
      <c r="G5665">
        <v>-296.43020000000001</v>
      </c>
      <c r="H5665" s="1">
        <v>-3.7439459999999998E-6</v>
      </c>
      <c r="I5665">
        <v>-44.990989999999996</v>
      </c>
      <c r="J5665">
        <v>-301.76589999999999</v>
      </c>
      <c r="K5665">
        <v>1.1223209999999999</v>
      </c>
      <c r="L5665">
        <v>-36.907870000000003</v>
      </c>
      <c r="M5665">
        <v>-1.152384E-2</v>
      </c>
      <c r="N5665">
        <v>-1.2399189999999999E-2</v>
      </c>
      <c r="O5665">
        <v>-0.99985690000000005</v>
      </c>
      <c r="P5665">
        <v>0.4064681</v>
      </c>
      <c r="Q5665">
        <v>0.1436019</v>
      </c>
      <c r="R5665">
        <v>-0.90230960000000004</v>
      </c>
      <c r="S5665">
        <v>1.6774899999999999</v>
      </c>
      <c r="T5665">
        <v>-0.35292639999999997</v>
      </c>
      <c r="U5665">
        <v>-2.6389770000000001</v>
      </c>
      <c r="V5665">
        <v>-0.41748370000000001</v>
      </c>
      <c r="W5665">
        <v>0.1529742</v>
      </c>
      <c r="X5665">
        <v>0.8957155</v>
      </c>
      <c r="Y5665">
        <v>-0.54309390000000002</v>
      </c>
      <c r="Z5665">
        <v>9.9399340000000003E-2</v>
      </c>
      <c r="AA5665">
        <v>0.83376779999999995</v>
      </c>
      <c r="AB5665">
        <v>31</v>
      </c>
      <c r="AC5665">
        <v>5.3356999999999699</v>
      </c>
      <c r="AD5665">
        <v>-1.12232474394599</v>
      </c>
      <c r="AE5665">
        <v>-8.0831199999999992</v>
      </c>
      <c r="AF5665">
        <v>-5.35657449860929</v>
      </c>
      <c r="AG5665">
        <v>-1.12232474394599</v>
      </c>
      <c r="AH5665">
        <v>7.91481240092752</v>
      </c>
      <c r="AI5665">
        <v>96.697810557080999</v>
      </c>
      <c r="AJ5665">
        <v>124.089295118968</v>
      </c>
      <c r="AK5665">
        <v>9.6227209526152695</v>
      </c>
      <c r="AL5665">
        <v>81.200674662496098</v>
      </c>
      <c r="AM5665">
        <v>114.989737901007</v>
      </c>
      <c r="AN5665">
        <v>1.0000000012857899</v>
      </c>
    </row>
    <row r="5666" spans="1:40" x14ac:dyDescent="0.25">
      <c r="A5666" t="str">
        <f>"20190303162415411"</f>
        <v>20190303162415411</v>
      </c>
      <c r="B5666" t="str">
        <f>"1551601455400086"</f>
        <v>1551601455400086</v>
      </c>
      <c r="C5666" t="s">
        <v>40</v>
      </c>
      <c r="D5666">
        <v>5.5336679999999996</v>
      </c>
      <c r="E5666">
        <v>0.43919740000000002</v>
      </c>
      <c r="F5666" t="s">
        <v>42</v>
      </c>
      <c r="G5666">
        <v>-301.17110000000002</v>
      </c>
      <c r="H5666">
        <v>0.99869110000000005</v>
      </c>
      <c r="I5666">
        <v>-37.827350000000003</v>
      </c>
      <c r="J5666">
        <v>-301.76690000000002</v>
      </c>
      <c r="K5666">
        <v>1.122595</v>
      </c>
      <c r="L5666">
        <v>-37.242460000000001</v>
      </c>
      <c r="M5666">
        <v>-8.7640779999999998E-3</v>
      </c>
      <c r="N5666">
        <v>-1.2555739999999999E-2</v>
      </c>
      <c r="O5666">
        <v>-0.99988279999999996</v>
      </c>
      <c r="P5666">
        <v>0.4165797</v>
      </c>
      <c r="Q5666">
        <v>0.13800879999999999</v>
      </c>
      <c r="R5666">
        <v>-0.89856279999999999</v>
      </c>
      <c r="S5666">
        <v>1.69345099999999</v>
      </c>
      <c r="T5666">
        <v>-0.3520027</v>
      </c>
      <c r="U5666">
        <v>-2.6179809999999999</v>
      </c>
      <c r="V5666">
        <v>-0.42515770000000003</v>
      </c>
      <c r="W5666">
        <v>0.147175</v>
      </c>
      <c r="X5666">
        <v>0.89307359999999902</v>
      </c>
      <c r="Y5666">
        <v>-0.54738160000000002</v>
      </c>
      <c r="Z5666">
        <v>9.9376010000000001E-2</v>
      </c>
      <c r="AA5666">
        <v>0.83096199999999998</v>
      </c>
      <c r="AB5666">
        <v>31</v>
      </c>
      <c r="AC5666">
        <v>0.595799999999997</v>
      </c>
      <c r="AD5666">
        <v>-0.123903899999999</v>
      </c>
      <c r="AE5666">
        <v>-0.58489000000000801</v>
      </c>
      <c r="AF5666">
        <v>-0.58795458042047299</v>
      </c>
      <c r="AG5666">
        <v>-0.123903899999999</v>
      </c>
      <c r="AH5666">
        <v>0.56715461785620402</v>
      </c>
      <c r="AI5666">
        <v>98.624454967295193</v>
      </c>
      <c r="AJ5666">
        <v>136.031609208687</v>
      </c>
      <c r="AK5666">
        <v>0.82626093071634599</v>
      </c>
      <c r="AL5666">
        <v>81.536751042238606</v>
      </c>
      <c r="AM5666">
        <v>115.457307444834</v>
      </c>
      <c r="AN5666">
        <v>1.00000000275562</v>
      </c>
    </row>
    <row r="5667" spans="1:40" x14ac:dyDescent="0.25">
      <c r="A5667" t="str">
        <f>"20190303162415438"</f>
        <v>20190303162415438</v>
      </c>
      <c r="B5667" t="str">
        <f>"1551601455430341"</f>
        <v>1551601455430341</v>
      </c>
      <c r="C5667" t="s">
        <v>40</v>
      </c>
      <c r="D5667">
        <v>5.4705069999999996</v>
      </c>
      <c r="E5667">
        <v>0.45544099999999998</v>
      </c>
      <c r="F5667" t="s">
        <v>42</v>
      </c>
      <c r="G5667">
        <v>-301.2</v>
      </c>
      <c r="H5667">
        <v>1.008467</v>
      </c>
      <c r="I5667">
        <v>-38.110239999999997</v>
      </c>
      <c r="J5667">
        <v>-301.76650000000001</v>
      </c>
      <c r="K5667">
        <v>1.1230119999999999</v>
      </c>
      <c r="L5667">
        <v>-37.619419999999998</v>
      </c>
      <c r="M5667">
        <v>-5.1021809999999999E-3</v>
      </c>
      <c r="N5667">
        <v>-1.276972E-2</v>
      </c>
      <c r="O5667">
        <v>-0.9999055</v>
      </c>
      <c r="P5667">
        <v>0.422178</v>
      </c>
      <c r="Q5667">
        <v>0.13702549999999999</v>
      </c>
      <c r="R5667">
        <v>-0.89609719999999904</v>
      </c>
      <c r="S5667">
        <v>1.7013849999999999</v>
      </c>
      <c r="T5667">
        <v>-0.3422965</v>
      </c>
      <c r="U5667">
        <v>-2.6024780000000001</v>
      </c>
      <c r="V5667">
        <v>-0.42759409999999998</v>
      </c>
      <c r="W5667">
        <v>0.14596509999999999</v>
      </c>
      <c r="X5667">
        <v>0.89210840000000002</v>
      </c>
      <c r="Y5667">
        <v>-0.54850880000000002</v>
      </c>
      <c r="Z5667">
        <v>9.6546320000000005E-2</v>
      </c>
      <c r="AA5667">
        <v>0.83055219999999896</v>
      </c>
      <c r="AB5667">
        <v>31</v>
      </c>
      <c r="AC5667">
        <v>0.56650000000001899</v>
      </c>
      <c r="AD5667">
        <v>-0.11454499999999999</v>
      </c>
      <c r="AE5667">
        <v>-0.49082000000000597</v>
      </c>
      <c r="AF5667">
        <v>-0.55601230632646503</v>
      </c>
      <c r="AG5667">
        <v>-0.11454499999999999</v>
      </c>
      <c r="AH5667">
        <v>0.47678836204348002</v>
      </c>
      <c r="AI5667">
        <v>98.888321526726301</v>
      </c>
      <c r="AJ5667">
        <v>139.38644750610101</v>
      </c>
      <c r="AK5667">
        <v>0.74134835535770904</v>
      </c>
      <c r="AL5667">
        <v>81.606829690459804</v>
      </c>
      <c r="AM5667">
        <v>115.60874193697001</v>
      </c>
      <c r="AN5667">
        <v>0.99999996106168898</v>
      </c>
    </row>
    <row r="5668" spans="1:40" x14ac:dyDescent="0.25">
      <c r="A5668" t="str">
        <f>"20190303162415474"</f>
        <v>20190303162415474</v>
      </c>
      <c r="B5668" t="str">
        <f>"1551601455460598"</f>
        <v>1551601455460598</v>
      </c>
      <c r="C5668" t="s">
        <v>40</v>
      </c>
      <c r="D5668">
        <v>5.4745010000000001</v>
      </c>
      <c r="E5668">
        <v>0.45795380000000002</v>
      </c>
      <c r="F5668" t="s">
        <v>42</v>
      </c>
      <c r="G5668">
        <v>-301.28710000000001</v>
      </c>
      <c r="H5668">
        <v>1.056851</v>
      </c>
      <c r="I5668">
        <v>-38.406469999999999</v>
      </c>
      <c r="J5668">
        <v>-301.76229999999998</v>
      </c>
      <c r="K5668">
        <v>1.1237699999999999</v>
      </c>
      <c r="L5668">
        <v>-38.117190000000001</v>
      </c>
      <c r="M5668">
        <v>1.05335E-3</v>
      </c>
      <c r="N5668">
        <v>-1.307238E-2</v>
      </c>
      <c r="O5668">
        <v>-0.99991410000000003</v>
      </c>
      <c r="P5668">
        <v>0.4286913</v>
      </c>
      <c r="Q5668">
        <v>0.1430053</v>
      </c>
      <c r="R5668">
        <v>-0.89206109999999905</v>
      </c>
      <c r="S5668">
        <v>1.6001890000000001</v>
      </c>
      <c r="T5668">
        <v>-0.22088859999999999</v>
      </c>
      <c r="U5668">
        <v>-2.6277469999999998</v>
      </c>
      <c r="V5668">
        <v>-0.42888379999999998</v>
      </c>
      <c r="W5668">
        <v>0.15149199999999999</v>
      </c>
      <c r="X5668">
        <v>0.89056659999999899</v>
      </c>
      <c r="Y5668">
        <v>-0.51805249999999903</v>
      </c>
      <c r="Z5668">
        <v>5.8594930000000003E-2</v>
      </c>
      <c r="AA5668">
        <v>0.85333950000000003</v>
      </c>
      <c r="AB5668">
        <v>31</v>
      </c>
      <c r="AC5668">
        <v>0.47519999999997198</v>
      </c>
      <c r="AD5668">
        <v>-6.6919000000000103E-2</v>
      </c>
      <c r="AE5668">
        <v>-0.28927999999999798</v>
      </c>
      <c r="AF5668">
        <v>-0.468121704060254</v>
      </c>
      <c r="AG5668">
        <v>-6.6919000000000103E-2</v>
      </c>
      <c r="AH5668">
        <v>0.28564737767259801</v>
      </c>
      <c r="AI5668">
        <v>96.957290130479606</v>
      </c>
      <c r="AJ5668">
        <v>148.608501498236</v>
      </c>
      <c r="AK5668">
        <v>0.55245860183773798</v>
      </c>
      <c r="AL5668">
        <v>81.286599995819898</v>
      </c>
      <c r="AM5668">
        <v>115.714783365489</v>
      </c>
      <c r="AN5668">
        <v>1.00000000450099</v>
      </c>
    </row>
    <row r="5669" spans="1:40" x14ac:dyDescent="0.25">
      <c r="A5669" t="str">
        <f>"20190303162415495"</f>
        <v>20190303162415495</v>
      </c>
      <c r="B5669" t="str">
        <f>"1551601455490854"</f>
        <v>1551601455490854</v>
      </c>
      <c r="C5669" t="s">
        <v>40</v>
      </c>
      <c r="D5669">
        <v>5.4196839999999904</v>
      </c>
      <c r="E5669">
        <v>0.45978059999999998</v>
      </c>
      <c r="F5669" t="s">
        <v>42</v>
      </c>
      <c r="G5669">
        <v>-301.25139999999999</v>
      </c>
      <c r="H5669">
        <v>1.061537</v>
      </c>
      <c r="I5669">
        <v>-38.953000000000003</v>
      </c>
      <c r="J5669">
        <v>-301.75760000000002</v>
      </c>
      <c r="K5669">
        <v>1.124285</v>
      </c>
      <c r="L5669">
        <v>-38.419620000000002</v>
      </c>
      <c r="M5669">
        <v>5.5704700000000001E-3</v>
      </c>
      <c r="N5669">
        <v>-1.325664E-2</v>
      </c>
      <c r="O5669">
        <v>-0.99989669999999997</v>
      </c>
      <c r="P5669">
        <v>0.43433850000000002</v>
      </c>
      <c r="Q5669">
        <v>0.1466664</v>
      </c>
      <c r="R5669">
        <v>-0.88872890000000004</v>
      </c>
      <c r="S5669">
        <v>1.6037600000000001</v>
      </c>
      <c r="T5669">
        <v>-0.1953454</v>
      </c>
      <c r="U5669">
        <v>-2.623596</v>
      </c>
      <c r="V5669">
        <v>-0.43071870000000001</v>
      </c>
      <c r="W5669">
        <v>0.15479279999999901</v>
      </c>
      <c r="X5669">
        <v>0.88911219999999902</v>
      </c>
      <c r="Y5669">
        <v>-0.51589439999999998</v>
      </c>
      <c r="Z5669">
        <v>5.0285669999999998E-2</v>
      </c>
      <c r="AA5669">
        <v>0.85517509999999997</v>
      </c>
      <c r="AB5669">
        <v>31</v>
      </c>
      <c r="AC5669">
        <v>0.50620000000003496</v>
      </c>
      <c r="AD5669">
        <v>-6.2747999999999804E-2</v>
      </c>
      <c r="AE5669">
        <v>-0.53338000000000096</v>
      </c>
      <c r="AF5669">
        <v>-0.49958302376411401</v>
      </c>
      <c r="AG5669">
        <v>-6.2747999999999804E-2</v>
      </c>
      <c r="AH5669">
        <v>0.53231571848864201</v>
      </c>
      <c r="AI5669">
        <v>94.9126514758875</v>
      </c>
      <c r="AJ5669">
        <v>133.183138973925</v>
      </c>
      <c r="AK5669">
        <v>0.732721320344491</v>
      </c>
      <c r="AL5669">
        <v>81.095220078115801</v>
      </c>
      <c r="AM5669">
        <v>115.847257095635</v>
      </c>
      <c r="AN5669">
        <v>0.99999995682518295</v>
      </c>
    </row>
    <row r="5670" spans="1:40" x14ac:dyDescent="0.25">
      <c r="A5670" t="str">
        <f>"20190303162415518"</f>
        <v>20190303162415518</v>
      </c>
      <c r="B5670" t="str">
        <f>"1551601455510374"</f>
        <v>1551601455510374</v>
      </c>
      <c r="C5670" t="s">
        <v>40</v>
      </c>
      <c r="D5670">
        <v>5.4195089999999997</v>
      </c>
      <c r="E5670">
        <v>0.46049230000000002</v>
      </c>
      <c r="F5670" t="s">
        <v>42</v>
      </c>
      <c r="G5670">
        <v>-301.2593</v>
      </c>
      <c r="H5670">
        <v>1.0693889999999999</v>
      </c>
      <c r="I5670">
        <v>-39.232089999999999</v>
      </c>
      <c r="J5670">
        <v>-301.75049999999999</v>
      </c>
      <c r="K5670">
        <v>1.124817</v>
      </c>
      <c r="L5670">
        <v>-38.731079999999999</v>
      </c>
      <c r="M5670">
        <v>1.084886E-2</v>
      </c>
      <c r="N5670">
        <v>-1.343956E-2</v>
      </c>
      <c r="O5670">
        <v>-0.99985089999999999</v>
      </c>
      <c r="P5670">
        <v>0.43600630000000001</v>
      </c>
      <c r="Q5670">
        <v>0.149588</v>
      </c>
      <c r="R5670">
        <v>-0.8874244</v>
      </c>
      <c r="S5670">
        <v>1.607178</v>
      </c>
      <c r="T5670">
        <v>-0.1769869</v>
      </c>
      <c r="U5670">
        <v>-2.619354</v>
      </c>
      <c r="V5670">
        <v>-0.42790830000000002</v>
      </c>
      <c r="W5670">
        <v>0.15739649999999999</v>
      </c>
      <c r="X5670">
        <v>0.89001169999999996</v>
      </c>
      <c r="Y5670">
        <v>-0.51296379999999997</v>
      </c>
      <c r="Z5670">
        <v>4.428675E-2</v>
      </c>
      <c r="AA5670">
        <v>0.85726709999999995</v>
      </c>
      <c r="AB5670">
        <v>31</v>
      </c>
      <c r="AC5670">
        <v>0.49119999999999198</v>
      </c>
      <c r="AD5670">
        <v>-5.5427999999999998E-2</v>
      </c>
      <c r="AE5670">
        <v>-0.50100999999999996</v>
      </c>
      <c r="AF5670">
        <v>-0.48272264440790003</v>
      </c>
      <c r="AG5670">
        <v>-5.5427999999999998E-2</v>
      </c>
      <c r="AH5670">
        <v>0.50316977982514599</v>
      </c>
      <c r="AI5670">
        <v>94.544976736759907</v>
      </c>
      <c r="AJ5670">
        <v>133.811871758027</v>
      </c>
      <c r="AK5670">
        <v>0.69948069447086503</v>
      </c>
      <c r="AL5670">
        <v>80.944188047177406</v>
      </c>
      <c r="AM5670">
        <v>115.67776001418</v>
      </c>
      <c r="AN5670">
        <v>0.99999999877901502</v>
      </c>
    </row>
    <row r="5671" spans="1:40" x14ac:dyDescent="0.25">
      <c r="A5671" t="str">
        <f>"20190303162415540"</f>
        <v>20190303162415540</v>
      </c>
      <c r="B5671" t="str">
        <f>"1551601455530869"</f>
        <v>1551601455530869</v>
      </c>
      <c r="C5671" t="s">
        <v>40</v>
      </c>
      <c r="D5671">
        <v>5.4766579999999996</v>
      </c>
      <c r="E5671">
        <v>0.46093830000000002</v>
      </c>
      <c r="F5671" t="s">
        <v>42</v>
      </c>
      <c r="G5671">
        <v>-301.24540000000002</v>
      </c>
      <c r="H5671">
        <v>1.0727120000000001</v>
      </c>
      <c r="I5671">
        <v>-39.554250000000003</v>
      </c>
      <c r="J5671">
        <v>-301.74149999999997</v>
      </c>
      <c r="K5671">
        <v>1.1253299999999999</v>
      </c>
      <c r="L5671">
        <v>-39.035159999999998</v>
      </c>
      <c r="M5671">
        <v>1.6672840000000001E-2</v>
      </c>
      <c r="N5671">
        <v>-1.360856E-2</v>
      </c>
      <c r="O5671">
        <v>-0.99976860000000001</v>
      </c>
      <c r="P5671">
        <v>0.43151689999999998</v>
      </c>
      <c r="Q5671">
        <v>0.14991119999999999</v>
      </c>
      <c r="R5671">
        <v>-0.88956179999999996</v>
      </c>
      <c r="S5671">
        <v>1.6069639999999901</v>
      </c>
      <c r="T5671">
        <v>-0.16577639999999999</v>
      </c>
      <c r="U5671">
        <v>-2.6190190000000002</v>
      </c>
      <c r="V5671">
        <v>-0.41837760000000002</v>
      </c>
      <c r="W5671">
        <v>0.15751799999999999</v>
      </c>
      <c r="X5671">
        <v>0.89451009999999997</v>
      </c>
      <c r="Y5671">
        <v>-0.50804850000000001</v>
      </c>
      <c r="Z5671">
        <v>4.0582880000000002E-2</v>
      </c>
      <c r="AA5671">
        <v>0.86037189999999997</v>
      </c>
      <c r="AB5671">
        <v>31</v>
      </c>
      <c r="AC5671">
        <v>0.49609999999995502</v>
      </c>
      <c r="AD5671">
        <v>-5.2617999999999797E-2</v>
      </c>
      <c r="AE5671">
        <v>-0.51909000000000505</v>
      </c>
      <c r="AF5671">
        <v>-0.48477225518063799</v>
      </c>
      <c r="AG5671">
        <v>-5.2617999999999797E-2</v>
      </c>
      <c r="AH5671">
        <v>0.52447352398409597</v>
      </c>
      <c r="AI5671">
        <v>94.213619664288998</v>
      </c>
      <c r="AJ5671">
        <v>132.74728520287999</v>
      </c>
      <c r="AK5671">
        <v>0.716132160063502</v>
      </c>
      <c r="AL5671">
        <v>80.937138939509694</v>
      </c>
      <c r="AM5671">
        <v>115.06629222100401</v>
      </c>
      <c r="AN5671">
        <v>1.0000000277538801</v>
      </c>
    </row>
    <row r="5672" spans="1:40" x14ac:dyDescent="0.25">
      <c r="A5672" t="str">
        <f>"20190303162415586"</f>
        <v>20190303162415586</v>
      </c>
      <c r="B5672" t="str">
        <f>"1551601455580647"</f>
        <v>1551601455580647</v>
      </c>
      <c r="C5672" t="s">
        <v>40</v>
      </c>
      <c r="D5672">
        <v>5.6372330000000002</v>
      </c>
      <c r="E5672">
        <v>0.49647809999999998</v>
      </c>
      <c r="F5672" t="s">
        <v>42</v>
      </c>
      <c r="G5672">
        <v>-301.23649999999998</v>
      </c>
      <c r="H5672">
        <v>1.072962</v>
      </c>
      <c r="I5672">
        <v>-39.870820000000002</v>
      </c>
      <c r="J5672">
        <v>-301.71469999999999</v>
      </c>
      <c r="K5672">
        <v>1.126328</v>
      </c>
      <c r="L5672">
        <v>-39.666719999999998</v>
      </c>
      <c r="M5672">
        <v>3.08813E-2</v>
      </c>
      <c r="N5672">
        <v>-1.3936570000000001E-2</v>
      </c>
      <c r="O5672">
        <v>-0.99942580000000003</v>
      </c>
      <c r="P5672">
        <v>0.41384189999999998</v>
      </c>
      <c r="Q5672">
        <v>0.1389716</v>
      </c>
      <c r="R5672">
        <v>-0.8996788</v>
      </c>
      <c r="S5672">
        <v>1.589264</v>
      </c>
      <c r="T5672">
        <v>-0.1647631</v>
      </c>
      <c r="U5672">
        <v>-2.6292719999999998</v>
      </c>
      <c r="V5672">
        <v>-0.38786490000000001</v>
      </c>
      <c r="W5672">
        <v>0.14646139999999999</v>
      </c>
      <c r="X5672">
        <v>0.91000550000000002</v>
      </c>
      <c r="Y5672">
        <v>-0.48998730000000001</v>
      </c>
      <c r="Z5672">
        <v>4.0159519999999997E-2</v>
      </c>
      <c r="AA5672">
        <v>0.87080409999999997</v>
      </c>
      <c r="AB5672">
        <v>31</v>
      </c>
      <c r="AC5672">
        <v>0.478200000000015</v>
      </c>
      <c r="AD5672">
        <v>-5.3365999999999997E-2</v>
      </c>
      <c r="AE5672">
        <v>-0.204100000000003</v>
      </c>
      <c r="AF5672">
        <v>-0.46675120378296697</v>
      </c>
      <c r="AG5672">
        <v>-5.3365999999999997E-2</v>
      </c>
      <c r="AH5672">
        <v>0.216490794815871</v>
      </c>
      <c r="AI5672">
        <v>95.921608195714995</v>
      </c>
      <c r="AJ5672">
        <v>155.11695920682001</v>
      </c>
      <c r="AK5672">
        <v>0.51727447301104701</v>
      </c>
      <c r="AL5672">
        <v>81.578085767620607</v>
      </c>
      <c r="AM5672">
        <v>113.08479816905999</v>
      </c>
      <c r="AN5672">
        <v>1.0000000661860999</v>
      </c>
    </row>
    <row r="5673" spans="1:40" x14ac:dyDescent="0.25">
      <c r="A5673" t="str">
        <f>"20190303162415607"</f>
        <v>20190303162415607</v>
      </c>
      <c r="B5673" t="str">
        <f>"1551601455600166"</f>
        <v>1551601455600166</v>
      </c>
      <c r="C5673" t="s">
        <v>40</v>
      </c>
      <c r="D5673">
        <v>5.4374690000000001</v>
      </c>
      <c r="E5673">
        <v>0.519300599999999</v>
      </c>
      <c r="F5673" t="s">
        <v>56</v>
      </c>
      <c r="G5673">
        <v>-297.18180000000001</v>
      </c>
      <c r="H5673" s="1">
        <v>-5.8697309999999997E-6</v>
      </c>
      <c r="I5673">
        <v>-49.622459999999997</v>
      </c>
      <c r="J5673">
        <v>-301.69819999999999</v>
      </c>
      <c r="K5673">
        <v>1.1267419999999999</v>
      </c>
      <c r="L5673">
        <v>-39.959780000000002</v>
      </c>
      <c r="M5673">
        <v>3.83357E-2</v>
      </c>
      <c r="N5673">
        <v>-1.407537E-2</v>
      </c>
      <c r="O5673">
        <v>-0.99916579999999999</v>
      </c>
      <c r="P5673">
        <v>0.40572809999999998</v>
      </c>
      <c r="Q5673">
        <v>0.1304921</v>
      </c>
      <c r="R5673">
        <v>-0.90463070000000001</v>
      </c>
      <c r="S5673">
        <v>1.273712</v>
      </c>
      <c r="T5673">
        <v>-0.3164942</v>
      </c>
      <c r="U5673">
        <v>-2.7975159999999999</v>
      </c>
      <c r="V5673">
        <v>-0.37279010000000001</v>
      </c>
      <c r="W5673">
        <v>0.1380227</v>
      </c>
      <c r="X5673">
        <v>0.9175932</v>
      </c>
      <c r="Y5673">
        <v>-0.37723119999999999</v>
      </c>
      <c r="Z5673">
        <v>8.9226410000000006E-2</v>
      </c>
      <c r="AA5673">
        <v>0.92181089999999999</v>
      </c>
      <c r="AB5673">
        <v>31</v>
      </c>
      <c r="AC5673">
        <v>4.5163999999999698</v>
      </c>
      <c r="AD5673">
        <v>-1.1267478697309901</v>
      </c>
      <c r="AE5673">
        <v>-9.6626799999999893</v>
      </c>
      <c r="AF5673">
        <v>-4.0968978801431204</v>
      </c>
      <c r="AG5673">
        <v>-1.1267478697309901</v>
      </c>
      <c r="AH5673">
        <v>9.7202592132672407</v>
      </c>
      <c r="AI5673">
        <v>96.097061388438703</v>
      </c>
      <c r="AJ5673">
        <v>112.854465191171</v>
      </c>
      <c r="AK5673">
        <v>10.6083727392739</v>
      </c>
      <c r="AL5673">
        <v>82.066555488170494</v>
      </c>
      <c r="AM5673">
        <v>112.110405694878</v>
      </c>
      <c r="AN5673">
        <v>1.0000000025297699</v>
      </c>
    </row>
    <row r="5674" spans="1:40" x14ac:dyDescent="0.25">
      <c r="A5674" t="str">
        <f>"20190303162415633"</f>
        <v>20190303162415633</v>
      </c>
      <c r="B5674" t="str">
        <f>"1551601455620662"</f>
        <v>1551601455620662</v>
      </c>
      <c r="C5674" t="s">
        <v>40</v>
      </c>
      <c r="D5674">
        <v>5.403092</v>
      </c>
      <c r="E5674">
        <v>0.53275150000000004</v>
      </c>
      <c r="F5674" t="s">
        <v>56</v>
      </c>
      <c r="G5674">
        <v>-299.02089999999998</v>
      </c>
      <c r="H5674" s="1">
        <v>-4.2855379999999997E-6</v>
      </c>
      <c r="I5674">
        <v>-47.152410000000003</v>
      </c>
      <c r="J5674">
        <v>-301.67529999999999</v>
      </c>
      <c r="K5674">
        <v>1.1271610000000001</v>
      </c>
      <c r="L5674">
        <v>-40.305660000000003</v>
      </c>
      <c r="M5674">
        <v>4.7691579999999997E-2</v>
      </c>
      <c r="N5674">
        <v>-1.4223029999999999E-2</v>
      </c>
      <c r="O5674">
        <v>-0.99876089999999995</v>
      </c>
      <c r="P5674">
        <v>0.39751300000000001</v>
      </c>
      <c r="Q5674">
        <v>0.12339990000000001</v>
      </c>
      <c r="R5674">
        <v>-0.90926119999999999</v>
      </c>
      <c r="S5674">
        <v>1.078705</v>
      </c>
      <c r="T5674">
        <v>-0.45397219999999999</v>
      </c>
      <c r="U5674">
        <v>-2.8979490000000001</v>
      </c>
      <c r="V5674">
        <v>-0.35578070000000001</v>
      </c>
      <c r="W5674">
        <v>0.13103770000000001</v>
      </c>
      <c r="X5674">
        <v>0.92533739999999998</v>
      </c>
      <c r="Y5674">
        <v>-0.30036089999999999</v>
      </c>
      <c r="Z5674">
        <v>0.1321986</v>
      </c>
      <c r="AA5674">
        <v>0.94462000000000002</v>
      </c>
      <c r="AB5674">
        <v>31</v>
      </c>
      <c r="AC5674">
        <v>2.6543999999999999</v>
      </c>
      <c r="AD5674">
        <v>-1.1271652855380001</v>
      </c>
      <c r="AE5674">
        <v>-6.8467500000000001</v>
      </c>
      <c r="AF5674">
        <v>-2.2712994474364399</v>
      </c>
      <c r="AG5674">
        <v>-1.1271652855380001</v>
      </c>
      <c r="AH5674">
        <v>6.8052247040074496</v>
      </c>
      <c r="AI5674">
        <v>98.928898113986094</v>
      </c>
      <c r="AJ5674">
        <v>108.45685402954599</v>
      </c>
      <c r="AK5674">
        <v>7.2622576402163199</v>
      </c>
      <c r="AL5674">
        <v>82.470439204336898</v>
      </c>
      <c r="AM5674">
        <v>111.031129700807</v>
      </c>
      <c r="AN5674">
        <v>1.00000004457626</v>
      </c>
    </row>
    <row r="5675" spans="1:40" x14ac:dyDescent="0.25">
      <c r="A5675" t="str">
        <f>"20190303162415657"</f>
        <v>20190303162415657</v>
      </c>
      <c r="B5675" t="str">
        <f>"1551601455640182"</f>
        <v>1551601455640182</v>
      </c>
      <c r="C5675" t="s">
        <v>40</v>
      </c>
      <c r="D5675">
        <v>5.3829940000000001</v>
      </c>
      <c r="E5675">
        <v>0.53744499999999995</v>
      </c>
      <c r="F5675" t="s">
        <v>56</v>
      </c>
      <c r="G5675">
        <v>-299.8623</v>
      </c>
      <c r="H5675" s="1">
        <v>-3.4824010000000001E-6</v>
      </c>
      <c r="I5675">
        <v>-45.942349999999998</v>
      </c>
      <c r="J5675">
        <v>-301.65030000000002</v>
      </c>
      <c r="K5675">
        <v>1.1274850000000001</v>
      </c>
      <c r="L5675">
        <v>-40.632719999999999</v>
      </c>
      <c r="M5675">
        <v>5.7026019999999997E-2</v>
      </c>
      <c r="N5675">
        <v>-1.4345119999999999E-2</v>
      </c>
      <c r="O5675">
        <v>-0.99826970000000004</v>
      </c>
      <c r="P5675">
        <v>0.3888721</v>
      </c>
      <c r="Q5675">
        <v>0.1175626</v>
      </c>
      <c r="R5675">
        <v>-0.91376009999999996</v>
      </c>
      <c r="S5675">
        <v>0.95306400000000002</v>
      </c>
      <c r="T5675">
        <v>-0.59253549999999999</v>
      </c>
      <c r="U5675">
        <v>-2.9631349999999999</v>
      </c>
      <c r="V5675">
        <v>-0.33824090000000001</v>
      </c>
      <c r="W5675">
        <v>0.1253918</v>
      </c>
      <c r="X5675">
        <v>0.93266819999999895</v>
      </c>
      <c r="Y5675">
        <v>-0.24637729999999999</v>
      </c>
      <c r="Z5675">
        <v>0.17407020000000001</v>
      </c>
      <c r="AA5675">
        <v>0.95341379999999998</v>
      </c>
      <c r="AB5675">
        <v>31</v>
      </c>
      <c r="AC5675">
        <v>1.78800000000001</v>
      </c>
      <c r="AD5675">
        <v>-1.1274884824009901</v>
      </c>
      <c r="AE5675">
        <v>-5.3096299999999896</v>
      </c>
      <c r="AF5675">
        <v>-1.42457749309158</v>
      </c>
      <c r="AG5675">
        <v>-1.1274884824009901</v>
      </c>
      <c r="AH5675">
        <v>5.1926627633774602</v>
      </c>
      <c r="AI5675">
        <v>101.826521627563</v>
      </c>
      <c r="AJ5675">
        <v>105.34131858064499</v>
      </c>
      <c r="AK5675">
        <v>5.5013087430116903</v>
      </c>
      <c r="AL5675">
        <v>82.796617639555194</v>
      </c>
      <c r="AM5675">
        <v>109.933653007659</v>
      </c>
      <c r="AN5675">
        <v>0.99999999061564404</v>
      </c>
    </row>
    <row r="5676" spans="1:40" x14ac:dyDescent="0.25">
      <c r="A5676" t="str">
        <f>"20190303162415679"</f>
        <v>20190303162415679</v>
      </c>
      <c r="B5676" t="str">
        <f>"1551601455670438"</f>
        <v>1551601455670438</v>
      </c>
      <c r="C5676" t="s">
        <v>40</v>
      </c>
      <c r="D5676">
        <v>5.3817459999999997</v>
      </c>
      <c r="E5676">
        <v>0.54009339999999995</v>
      </c>
      <c r="F5676" t="s">
        <v>56</v>
      </c>
      <c r="G5676">
        <v>-300.2396</v>
      </c>
      <c r="H5676" s="1">
        <v>-3.2131159999999998E-6</v>
      </c>
      <c r="I5676">
        <v>-45.379449999999999</v>
      </c>
      <c r="J5676">
        <v>-301.62459999999999</v>
      </c>
      <c r="K5676">
        <v>1.127758</v>
      </c>
      <c r="L5676">
        <v>-40.929290000000002</v>
      </c>
      <c r="M5676">
        <v>6.5889920000000005E-2</v>
      </c>
      <c r="N5676">
        <v>-1.4445319999999999E-2</v>
      </c>
      <c r="O5676">
        <v>-0.99772249999999996</v>
      </c>
      <c r="P5676">
        <v>0.38212960000000001</v>
      </c>
      <c r="Q5676">
        <v>0.1127215</v>
      </c>
      <c r="R5676">
        <v>-0.91720849999999998</v>
      </c>
      <c r="S5676">
        <v>0.89038090000000003</v>
      </c>
      <c r="T5676">
        <v>-0.71158829999999995</v>
      </c>
      <c r="U5676">
        <v>-2.9957889999999998</v>
      </c>
      <c r="V5676">
        <v>-0.32298729999999998</v>
      </c>
      <c r="W5676">
        <v>0.1207448</v>
      </c>
      <c r="X5676">
        <v>0.93866919999999998</v>
      </c>
      <c r="Y5676">
        <v>-0.21443889999999999</v>
      </c>
      <c r="Z5676">
        <v>0.20916860000000001</v>
      </c>
      <c r="AA5676">
        <v>0.95407779999999998</v>
      </c>
      <c r="AB5676">
        <v>31</v>
      </c>
      <c r="AC5676">
        <v>1.38499999999999</v>
      </c>
      <c r="AD5676">
        <v>-1.127761213116</v>
      </c>
      <c r="AE5676">
        <v>-4.4501599999999897</v>
      </c>
      <c r="AF5676">
        <v>-1.02851802057964</v>
      </c>
      <c r="AG5676">
        <v>-1.127761213116</v>
      </c>
      <c r="AH5676">
        <v>4.2810936768319996</v>
      </c>
      <c r="AI5676">
        <v>104.36686390683499</v>
      </c>
      <c r="AJ5676">
        <v>103.50908988581401</v>
      </c>
      <c r="AK5676">
        <v>4.5450476061617699</v>
      </c>
      <c r="AL5676">
        <v>83.064910854676498</v>
      </c>
      <c r="AM5676">
        <v>108.98786147093401</v>
      </c>
      <c r="AN5676">
        <v>0.99999998485848396</v>
      </c>
    </row>
    <row r="5677" spans="1:40" x14ac:dyDescent="0.25">
      <c r="A5677" t="str">
        <f>"20190303162415698"</f>
        <v>20190303162415698</v>
      </c>
      <c r="B5677" t="str">
        <f>"1551601455690934"</f>
        <v>1551601455690934</v>
      </c>
      <c r="C5677" t="s">
        <v>40</v>
      </c>
      <c r="D5677">
        <v>5.4209389999999997</v>
      </c>
      <c r="E5677">
        <v>0.54224600000000001</v>
      </c>
      <c r="F5677" t="s">
        <v>56</v>
      </c>
      <c r="G5677">
        <v>-300.45729999999998</v>
      </c>
      <c r="H5677" s="1">
        <v>-3.0473980000000002E-6</v>
      </c>
      <c r="I5677">
        <v>-45.07103</v>
      </c>
      <c r="J5677">
        <v>-301.59870000000001</v>
      </c>
      <c r="K5677">
        <v>1.1280140000000001</v>
      </c>
      <c r="L5677">
        <v>-41.198149999999998</v>
      </c>
      <c r="M5677">
        <v>7.4243840000000005E-2</v>
      </c>
      <c r="N5677">
        <v>-1.453103E-2</v>
      </c>
      <c r="O5677">
        <v>-0.99713430000000003</v>
      </c>
      <c r="P5677">
        <v>0.37798130000000002</v>
      </c>
      <c r="Q5677">
        <v>0.11051039999999999</v>
      </c>
      <c r="R5677">
        <v>-0.91919419999999996</v>
      </c>
      <c r="S5677">
        <v>0.85043329999999995</v>
      </c>
      <c r="T5677">
        <v>-0.82162800000000002</v>
      </c>
      <c r="U5677">
        <v>-3.0174560000000001</v>
      </c>
      <c r="V5677">
        <v>-0.3108573</v>
      </c>
      <c r="W5677">
        <v>0.1186888</v>
      </c>
      <c r="X5677">
        <v>0.94301679999999999</v>
      </c>
      <c r="Y5677">
        <v>-0.1906901</v>
      </c>
      <c r="Z5677">
        <v>0.2407444</v>
      </c>
      <c r="AA5677">
        <v>0.95167190000000002</v>
      </c>
      <c r="AB5677">
        <v>31</v>
      </c>
      <c r="AC5677">
        <v>1.1414000000000299</v>
      </c>
      <c r="AD5677">
        <v>-1.12801704739799</v>
      </c>
      <c r="AE5677">
        <v>-3.8728799999999999</v>
      </c>
      <c r="AF5677">
        <v>-0.789090362081309</v>
      </c>
      <c r="AG5677">
        <v>-1.12801704739799</v>
      </c>
      <c r="AH5677">
        <v>3.6611736566852899</v>
      </c>
      <c r="AI5677">
        <v>106.761591775657</v>
      </c>
      <c r="AJ5677">
        <v>102.16286625207201</v>
      </c>
      <c r="AK5677">
        <v>3.9114292276809102</v>
      </c>
      <c r="AL5677">
        <v>83.183564373252196</v>
      </c>
      <c r="AM5677">
        <v>108.244355169467</v>
      </c>
      <c r="AN5677">
        <v>0.99999998864548401</v>
      </c>
    </row>
    <row r="5678" spans="1:40" x14ac:dyDescent="0.25">
      <c r="A5678" t="str">
        <f>"20190303162415719"</f>
        <v>20190303162415719</v>
      </c>
      <c r="B5678" t="str">
        <f>"1551601455710454"</f>
        <v>1551601455710454</v>
      </c>
      <c r="C5678" t="s">
        <v>40</v>
      </c>
      <c r="D5678">
        <v>5.4678009999999997</v>
      </c>
      <c r="E5678">
        <v>0.54426519999999901</v>
      </c>
      <c r="F5678" t="s">
        <v>56</v>
      </c>
      <c r="G5678">
        <v>-300.51429999999999</v>
      </c>
      <c r="H5678" s="1">
        <v>-3.1215859999999999E-6</v>
      </c>
      <c r="I5678">
        <v>-45.175260000000002</v>
      </c>
      <c r="J5678">
        <v>-301.56950000000001</v>
      </c>
      <c r="K5678">
        <v>1.128274</v>
      </c>
      <c r="L5678">
        <v>-41.473419999999997</v>
      </c>
      <c r="M5678">
        <v>8.3089930000000006E-2</v>
      </c>
      <c r="N5678">
        <v>-1.461496E-2</v>
      </c>
      <c r="O5678">
        <v>-0.99643490000000001</v>
      </c>
      <c r="P5678">
        <v>0.37390679999999998</v>
      </c>
      <c r="Q5678">
        <v>0.1113222</v>
      </c>
      <c r="R5678">
        <v>-0.9207613</v>
      </c>
      <c r="S5678">
        <v>0.82547000000000004</v>
      </c>
      <c r="T5678">
        <v>-0.85868899999999904</v>
      </c>
      <c r="U5678">
        <v>-3.0275270000000001</v>
      </c>
      <c r="V5678">
        <v>-0.29836649999999998</v>
      </c>
      <c r="W5678">
        <v>0.11967029999999999</v>
      </c>
      <c r="X5678">
        <v>0.94691939999999997</v>
      </c>
      <c r="Y5678">
        <v>-0.17317109999999999</v>
      </c>
      <c r="Z5678">
        <v>0.25103209999999998</v>
      </c>
      <c r="AA5678">
        <v>0.95236270000000001</v>
      </c>
      <c r="AB5678">
        <v>31</v>
      </c>
      <c r="AC5678">
        <v>1.0552000000000099</v>
      </c>
      <c r="AD5678">
        <v>-1.1282771215859999</v>
      </c>
      <c r="AE5678">
        <v>-3.70183999999999</v>
      </c>
      <c r="AF5678">
        <v>-0.68507376049667801</v>
      </c>
      <c r="AG5678">
        <v>-1.1282771215859999</v>
      </c>
      <c r="AH5678">
        <v>3.4779168877950899</v>
      </c>
      <c r="AI5678">
        <v>107.656039799637</v>
      </c>
      <c r="AJ5678">
        <v>101.143358091588</v>
      </c>
      <c r="AK5678">
        <v>3.7199786556949102</v>
      </c>
      <c r="AL5678">
        <v>83.126924607050597</v>
      </c>
      <c r="AM5678">
        <v>107.489210059112</v>
      </c>
      <c r="AN5678">
        <v>0.99999994956034799</v>
      </c>
    </row>
    <row r="5679" spans="1:40" x14ac:dyDescent="0.25">
      <c r="A5679" t="str">
        <f>"20190303162415741"</f>
        <v>20190303162415741</v>
      </c>
      <c r="B5679" t="str">
        <f>"1551601455730950"</f>
        <v>1551601455730950</v>
      </c>
      <c r="C5679" t="s">
        <v>40</v>
      </c>
      <c r="D5679">
        <v>5.4738249999999997</v>
      </c>
      <c r="E5679">
        <v>0.54602499999999998</v>
      </c>
      <c r="F5679" t="s">
        <v>56</v>
      </c>
      <c r="G5679">
        <v>-300.52749999999997</v>
      </c>
      <c r="H5679" s="1">
        <v>-3.2602959999999998E-6</v>
      </c>
      <c r="I5679">
        <v>-45.396380000000001</v>
      </c>
      <c r="J5679">
        <v>-301.53500000000003</v>
      </c>
      <c r="K5679">
        <v>1.1285449999999999</v>
      </c>
      <c r="L5679">
        <v>-41.769620000000003</v>
      </c>
      <c r="M5679">
        <v>9.2916029999999997E-2</v>
      </c>
      <c r="N5679">
        <v>-1.4700990000000001E-2</v>
      </c>
      <c r="O5679">
        <v>-0.99556549999999999</v>
      </c>
      <c r="P5679">
        <v>0.36912479999999998</v>
      </c>
      <c r="Q5679">
        <v>0.1103478</v>
      </c>
      <c r="R5679">
        <v>-0.92280600000000002</v>
      </c>
      <c r="S5679">
        <v>0.80648799999999998</v>
      </c>
      <c r="T5679">
        <v>-0.87324480000000004</v>
      </c>
      <c r="U5679">
        <v>-3.0362239999999998</v>
      </c>
      <c r="V5679">
        <v>-0.2841089</v>
      </c>
      <c r="W5679">
        <v>0.118918</v>
      </c>
      <c r="X5679">
        <v>0.95138880000000003</v>
      </c>
      <c r="Y5679">
        <v>-0.156973</v>
      </c>
      <c r="Z5679">
        <v>0.2546756</v>
      </c>
      <c r="AA5679">
        <v>0.95420119999999997</v>
      </c>
      <c r="AB5679">
        <v>31</v>
      </c>
      <c r="AC5679">
        <v>1.00750000000005</v>
      </c>
      <c r="AD5679">
        <v>-1.128548260296</v>
      </c>
      <c r="AE5679">
        <v>-3.6267599999999902</v>
      </c>
      <c r="AF5679">
        <v>-0.61118018971563604</v>
      </c>
      <c r="AG5679">
        <v>-1.128548260296</v>
      </c>
      <c r="AH5679">
        <v>3.39913691542298</v>
      </c>
      <c r="AI5679">
        <v>108.09584261562</v>
      </c>
      <c r="AJ5679">
        <v>100.193124804687</v>
      </c>
      <c r="AK5679">
        <v>3.6333585248237199</v>
      </c>
      <c r="AL5679">
        <v>83.170338612562702</v>
      </c>
      <c r="AM5679">
        <v>106.626963324211</v>
      </c>
      <c r="AN5679">
        <v>1.0000000032743199</v>
      </c>
    </row>
    <row r="5680" spans="1:40" x14ac:dyDescent="0.25">
      <c r="A5680" t="str">
        <f>"20190303162415765"</f>
        <v>20190303162415765</v>
      </c>
      <c r="B5680" t="str">
        <f>"1551601455761206"</f>
        <v>1551601455761206</v>
      </c>
      <c r="C5680" t="s">
        <v>40</v>
      </c>
      <c r="D5680">
        <v>5.6090799999999996</v>
      </c>
      <c r="E5680">
        <v>0.54816569999999998</v>
      </c>
      <c r="F5680" t="s">
        <v>56</v>
      </c>
      <c r="G5680">
        <v>-300.53469999999999</v>
      </c>
      <c r="H5680" s="1">
        <v>-3.3478750000000001E-6</v>
      </c>
      <c r="I5680">
        <v>-45.645769999999999</v>
      </c>
      <c r="J5680">
        <v>-301.49610000000001</v>
      </c>
      <c r="K5680">
        <v>1.1288</v>
      </c>
      <c r="L5680">
        <v>-42.07443</v>
      </c>
      <c r="M5680">
        <v>0.10337</v>
      </c>
      <c r="N5680">
        <v>-1.4784520000000001E-2</v>
      </c>
      <c r="O5680">
        <v>-0.99453309999999995</v>
      </c>
      <c r="P5680">
        <v>0.36375449999999998</v>
      </c>
      <c r="Q5680">
        <v>0.1060802</v>
      </c>
      <c r="R5680">
        <v>-0.9254346</v>
      </c>
      <c r="S5680">
        <v>0.78527829999999998</v>
      </c>
      <c r="T5680">
        <v>-0.88591419999999999</v>
      </c>
      <c r="U5680">
        <v>-3.042786</v>
      </c>
      <c r="V5680">
        <v>-0.26846720000000002</v>
      </c>
      <c r="W5680">
        <v>0.1149263</v>
      </c>
      <c r="X5680">
        <v>0.95640860000000005</v>
      </c>
      <c r="Y5680">
        <v>-0.1396587</v>
      </c>
      <c r="Z5680">
        <v>0.25786629999999999</v>
      </c>
      <c r="AA5680">
        <v>0.95603369999999999</v>
      </c>
      <c r="AB5680">
        <v>31</v>
      </c>
      <c r="AC5680">
        <v>0.96140000000002501</v>
      </c>
      <c r="AD5680">
        <v>-1.1288033478749999</v>
      </c>
      <c r="AE5680">
        <v>-3.5713400000000002</v>
      </c>
      <c r="AF5680">
        <v>-0.53701509690145399</v>
      </c>
      <c r="AG5680">
        <v>-1.1288033478749999</v>
      </c>
      <c r="AH5680">
        <v>3.3404288509695199</v>
      </c>
      <c r="AI5680">
        <v>108.450649231798</v>
      </c>
      <c r="AJ5680">
        <v>99.132859411981499</v>
      </c>
      <c r="AK5680">
        <v>3.5666576960599099</v>
      </c>
      <c r="AL5680">
        <v>83.400626172874794</v>
      </c>
      <c r="AM5680">
        <v>105.67961453185799</v>
      </c>
      <c r="AN5680">
        <v>1.0000000510307401</v>
      </c>
    </row>
    <row r="5681" spans="1:40" x14ac:dyDescent="0.25">
      <c r="A5681" t="str">
        <f>"20190303162415786"</f>
        <v>20190303162415786</v>
      </c>
      <c r="B5681" t="str">
        <f>"1551601455780727"</f>
        <v>1551601455780727</v>
      </c>
      <c r="C5681" t="s">
        <v>40</v>
      </c>
      <c r="D5681">
        <v>5.4875040000000004</v>
      </c>
      <c r="E5681">
        <v>0.54895519999999998</v>
      </c>
      <c r="F5681" t="s">
        <v>56</v>
      </c>
      <c r="G5681">
        <v>-300.55470000000003</v>
      </c>
      <c r="H5681" s="1">
        <v>-3.465151E-6</v>
      </c>
      <c r="I5681">
        <v>-45.88205</v>
      </c>
      <c r="J5681">
        <v>-301.4538</v>
      </c>
      <c r="K5681">
        <v>1.12903</v>
      </c>
      <c r="L5681">
        <v>-42.376710000000003</v>
      </c>
      <c r="M5681">
        <v>0.11407059999999999</v>
      </c>
      <c r="N5681">
        <v>-1.486299E-2</v>
      </c>
      <c r="O5681">
        <v>-0.99336150000000001</v>
      </c>
      <c r="P5681">
        <v>0.35975669999999998</v>
      </c>
      <c r="Q5681">
        <v>0.1005236</v>
      </c>
      <c r="R5681">
        <v>-0.92761570000000004</v>
      </c>
      <c r="S5681">
        <v>0.75381469999999995</v>
      </c>
      <c r="T5681">
        <v>-0.90390870000000001</v>
      </c>
      <c r="U5681">
        <v>-3.0490110000000001</v>
      </c>
      <c r="V5681">
        <v>-0.25388040000000001</v>
      </c>
      <c r="W5681">
        <v>0.1096451</v>
      </c>
      <c r="X5681">
        <v>0.96100090000000005</v>
      </c>
      <c r="Y5681">
        <v>-0.1189482</v>
      </c>
      <c r="Z5681">
        <v>0.26262999999999997</v>
      </c>
      <c r="AA5681">
        <v>0.95753690000000002</v>
      </c>
      <c r="AB5681">
        <v>31</v>
      </c>
      <c r="AC5681">
        <v>0.89909999999997503</v>
      </c>
      <c r="AD5681">
        <v>-1.1290334651509999</v>
      </c>
      <c r="AE5681">
        <v>-3.5053399999999999</v>
      </c>
      <c r="AF5681">
        <v>-0.44956942027929703</v>
      </c>
      <c r="AG5681">
        <v>-1.1290334651509999</v>
      </c>
      <c r="AH5681">
        <v>3.2670215376302099</v>
      </c>
      <c r="AI5681">
        <v>108.89908514853499</v>
      </c>
      <c r="AJ5681">
        <v>97.8351688319174</v>
      </c>
      <c r="AK5681">
        <v>3.4857221570889401</v>
      </c>
      <c r="AL5681">
        <v>83.705142560588996</v>
      </c>
      <c r="AM5681">
        <v>104.798495817743</v>
      </c>
      <c r="AN5681">
        <v>1.0000000176294801</v>
      </c>
    </row>
    <row r="5682" spans="1:40" x14ac:dyDescent="0.25">
      <c r="A5682" t="str">
        <f>"20190303162415809"</f>
        <v>20190303162415809</v>
      </c>
      <c r="B5682" t="str">
        <f>"1551601455801221"</f>
        <v>1551601455801221</v>
      </c>
      <c r="C5682" t="s">
        <v>40</v>
      </c>
      <c r="D5682">
        <v>5.468064</v>
      </c>
      <c r="E5682">
        <v>0.54927000000000004</v>
      </c>
      <c r="F5682" t="s">
        <v>42</v>
      </c>
      <c r="G5682">
        <v>-301.24880000000002</v>
      </c>
      <c r="H5682">
        <v>0.87022319999999997</v>
      </c>
      <c r="I5682">
        <v>-43.222549999999998</v>
      </c>
      <c r="J5682">
        <v>-301.40989999999999</v>
      </c>
      <c r="K5682">
        <v>1.12921</v>
      </c>
      <c r="L5682">
        <v>-42.665860000000002</v>
      </c>
      <c r="M5682">
        <v>0.124558</v>
      </c>
      <c r="N5682">
        <v>-1.4932890000000001E-2</v>
      </c>
      <c r="O5682">
        <v>-0.99210010000000004</v>
      </c>
      <c r="P5682">
        <v>0.35834159999999998</v>
      </c>
      <c r="Q5682">
        <v>9.5452510000000004E-2</v>
      </c>
      <c r="R5682">
        <v>-0.92869829999999998</v>
      </c>
      <c r="S5682">
        <v>0.73880000000000001</v>
      </c>
      <c r="T5682">
        <v>-0.9330273</v>
      </c>
      <c r="U5682">
        <v>-3.0486759999999999</v>
      </c>
      <c r="V5682">
        <v>-0.24211479999999999</v>
      </c>
      <c r="W5682">
        <v>0.1048089</v>
      </c>
      <c r="X5682">
        <v>0.96457009999999999</v>
      </c>
      <c r="Y5682">
        <v>-0.1035126</v>
      </c>
      <c r="Z5682">
        <v>0.27070119999999998</v>
      </c>
      <c r="AA5682">
        <v>0.95708199999999999</v>
      </c>
      <c r="AB5682">
        <v>31</v>
      </c>
      <c r="AC5682">
        <v>0.16109999999997601</v>
      </c>
      <c r="AD5682">
        <v>-0.25898680000000002</v>
      </c>
      <c r="AE5682">
        <v>-0.55669000000000302</v>
      </c>
      <c r="AF5682">
        <v>-7.5432540063910605E-2</v>
      </c>
      <c r="AG5682">
        <v>-0.25898680000000002</v>
      </c>
      <c r="AH5682">
        <v>0.47713364201462699</v>
      </c>
      <c r="AI5682">
        <v>118.19746774816601</v>
      </c>
      <c r="AJ5682">
        <v>98.983832755935197</v>
      </c>
      <c r="AK5682">
        <v>0.54810650700103503</v>
      </c>
      <c r="AL5682">
        <v>83.983843291381206</v>
      </c>
      <c r="AM5682">
        <v>104.090586753979</v>
      </c>
      <c r="AN5682">
        <v>0.99999997985612898</v>
      </c>
    </row>
    <row r="5683" spans="1:40" x14ac:dyDescent="0.25">
      <c r="A5683" t="str">
        <f>"20190303162415837"</f>
        <v>20190303162415837</v>
      </c>
      <c r="B5683" t="str">
        <f>"1551601455822693"</f>
        <v>1551601455822693</v>
      </c>
      <c r="C5683" t="s">
        <v>40</v>
      </c>
      <c r="D5683">
        <v>5.5212050000000001</v>
      </c>
      <c r="E5683">
        <v>0.54963930000000005</v>
      </c>
      <c r="F5683" t="s">
        <v>42</v>
      </c>
      <c r="G5683">
        <v>-301.21199999999999</v>
      </c>
      <c r="H5683">
        <v>0.87024460000000003</v>
      </c>
      <c r="I5683">
        <v>-43.485550000000003</v>
      </c>
      <c r="J5683">
        <v>-301.34859999999998</v>
      </c>
      <c r="K5683">
        <v>1.129418</v>
      </c>
      <c r="L5683">
        <v>-43.037350000000004</v>
      </c>
      <c r="M5683">
        <v>0.13837439999999901</v>
      </c>
      <c r="N5683">
        <v>-1.501328E-2</v>
      </c>
      <c r="O5683">
        <v>-0.99026630000000004</v>
      </c>
      <c r="P5683">
        <v>0.36260369999999997</v>
      </c>
      <c r="Q5683">
        <v>9.1808829999999994E-2</v>
      </c>
      <c r="R5683">
        <v>-0.92741039999999997</v>
      </c>
      <c r="S5683">
        <v>0.7361145</v>
      </c>
      <c r="T5683">
        <v>-0.96288660000000004</v>
      </c>
      <c r="U5683">
        <v>-3.045258</v>
      </c>
      <c r="V5683">
        <v>-0.23301150000000001</v>
      </c>
      <c r="W5683">
        <v>0.1013371</v>
      </c>
      <c r="X5683">
        <v>0.96717969999999998</v>
      </c>
      <c r="Y5683">
        <v>-8.8558300000000006E-2</v>
      </c>
      <c r="Z5683">
        <v>0.27875889999999998</v>
      </c>
      <c r="AA5683">
        <v>0.95626929999999999</v>
      </c>
      <c r="AB5683">
        <v>30</v>
      </c>
      <c r="AC5683">
        <v>0.13659999999998701</v>
      </c>
      <c r="AD5683">
        <v>-0.2591734</v>
      </c>
      <c r="AE5683">
        <v>-0.44819999999999899</v>
      </c>
      <c r="AF5683">
        <v>-5.6096157425123999E-2</v>
      </c>
      <c r="AG5683">
        <v>-0.2591734</v>
      </c>
      <c r="AH5683">
        <v>0.35436931919790798</v>
      </c>
      <c r="AI5683">
        <v>125.843235768246</v>
      </c>
      <c r="AJ5683">
        <v>98.995200479228203</v>
      </c>
      <c r="AK5683">
        <v>0.44260054737224702</v>
      </c>
      <c r="AL5683">
        <v>84.183828570317402</v>
      </c>
      <c r="AM5683">
        <v>103.54548387317</v>
      </c>
      <c r="AN5683">
        <v>1.0000000695303699</v>
      </c>
    </row>
    <row r="5684" spans="1:40" x14ac:dyDescent="0.25">
      <c r="A5684" t="str">
        <f>"20190303162415861"</f>
        <v>20190303162415861</v>
      </c>
      <c r="B5684" t="str">
        <f>"1551601455850998"</f>
        <v>1551601455850998</v>
      </c>
      <c r="C5684" t="s">
        <v>40</v>
      </c>
      <c r="D5684">
        <v>5.4955449999999999</v>
      </c>
      <c r="E5684">
        <v>0.55025760000000001</v>
      </c>
      <c r="F5684" t="s">
        <v>42</v>
      </c>
      <c r="G5684">
        <v>-301.17099999999999</v>
      </c>
      <c r="H5684">
        <v>0.89567039999999998</v>
      </c>
      <c r="I5684">
        <v>-43.760010000000001</v>
      </c>
      <c r="J5684">
        <v>-301.29070000000002</v>
      </c>
      <c r="K5684">
        <v>1.1295790000000001</v>
      </c>
      <c r="L5684">
        <v>-43.361690000000003</v>
      </c>
      <c r="M5684">
        <v>0.1507233</v>
      </c>
      <c r="N5684">
        <v>-1.5076910000000001E-2</v>
      </c>
      <c r="O5684">
        <v>-0.98846109999999998</v>
      </c>
      <c r="P5684">
        <v>0.36853259999999899</v>
      </c>
      <c r="Q5684">
        <v>8.868682E-2</v>
      </c>
      <c r="R5684">
        <v>-0.9253749</v>
      </c>
      <c r="S5684">
        <v>0.74755859999999996</v>
      </c>
      <c r="T5684">
        <v>-0.98361310000000002</v>
      </c>
      <c r="U5684">
        <v>-3.039917</v>
      </c>
      <c r="V5684">
        <v>-0.22705139999999999</v>
      </c>
      <c r="W5684">
        <v>9.8329020000000003E-2</v>
      </c>
      <c r="X5684">
        <v>0.96890609999999999</v>
      </c>
      <c r="Y5684">
        <v>-7.9527500000000001E-2</v>
      </c>
      <c r="Z5684">
        <v>0.2841572</v>
      </c>
      <c r="AA5684">
        <v>0.95547369999999998</v>
      </c>
      <c r="AB5684">
        <v>30</v>
      </c>
      <c r="AC5684">
        <v>0.119700000000023</v>
      </c>
      <c r="AD5684">
        <v>-0.23390859999999999</v>
      </c>
      <c r="AE5684">
        <v>-0.39831999999999801</v>
      </c>
      <c r="AF5684">
        <v>-4.4283184742512603E-2</v>
      </c>
      <c r="AG5684">
        <v>-0.23390859999999999</v>
      </c>
      <c r="AH5684">
        <v>0.31285933856144699</v>
      </c>
      <c r="AI5684">
        <v>126.51140289837601</v>
      </c>
      <c r="AJ5684">
        <v>98.056324180973306</v>
      </c>
      <c r="AK5684">
        <v>0.39313509043330902</v>
      </c>
      <c r="AL5684">
        <v>84.357043772442793</v>
      </c>
      <c r="AM5684">
        <v>103.18859454436</v>
      </c>
      <c r="AN5684">
        <v>0.999999982516665</v>
      </c>
    </row>
    <row r="5685" spans="1:40" x14ac:dyDescent="0.25">
      <c r="A5685" t="str">
        <f>"20190303162415897"</f>
        <v>20190303162415897</v>
      </c>
      <c r="B5685" t="str">
        <f>"1551601455891014"</f>
        <v>1551601455891014</v>
      </c>
      <c r="C5685" t="s">
        <v>40</v>
      </c>
      <c r="D5685">
        <v>5.4297469999999999</v>
      </c>
      <c r="E5685">
        <v>0.5513093</v>
      </c>
      <c r="F5685" t="s">
        <v>42</v>
      </c>
      <c r="G5685">
        <v>-301.1234</v>
      </c>
      <c r="H5685">
        <v>0.90978599999999998</v>
      </c>
      <c r="I5685">
        <v>-44.028350000000003</v>
      </c>
      <c r="J5685">
        <v>-301.197</v>
      </c>
      <c r="K5685">
        <v>1.1298900000000001</v>
      </c>
      <c r="L5685">
        <v>-43.837710000000001</v>
      </c>
      <c r="M5685">
        <v>0.1693452</v>
      </c>
      <c r="N5685">
        <v>-1.516373E-2</v>
      </c>
      <c r="O5685">
        <v>-0.98544019999999999</v>
      </c>
      <c r="P5685">
        <v>0.40575620000000001</v>
      </c>
      <c r="Q5685">
        <v>0.1044156</v>
      </c>
      <c r="R5685">
        <v>-0.90799750000000001</v>
      </c>
      <c r="S5685">
        <v>0.76257319999999995</v>
      </c>
      <c r="T5685">
        <v>-1.0014529999999999</v>
      </c>
      <c r="U5685">
        <v>-3.0342099999999999</v>
      </c>
      <c r="V5685">
        <v>-0.24874189999999999</v>
      </c>
      <c r="W5685">
        <v>0.11341560000000001</v>
      </c>
      <c r="X5685">
        <v>0.9619067</v>
      </c>
      <c r="Y5685">
        <v>-6.5291719999999998E-2</v>
      </c>
      <c r="Z5685">
        <v>0.28819739999999999</v>
      </c>
      <c r="AA5685">
        <v>0.95534249999999998</v>
      </c>
      <c r="AB5685">
        <v>30</v>
      </c>
      <c r="AC5685">
        <v>7.3599999999999E-2</v>
      </c>
      <c r="AD5685">
        <v>-0.22010399999999999</v>
      </c>
      <c r="AE5685">
        <v>-0.190640000000009</v>
      </c>
      <c r="AF5685">
        <v>-1.8633096679201801E-2</v>
      </c>
      <c r="AG5685">
        <v>-0.22010399999999999</v>
      </c>
      <c r="AH5685">
        <v>9.2751552623845407E-2</v>
      </c>
      <c r="AI5685">
        <v>156.74109531586299</v>
      </c>
      <c r="AJ5685">
        <v>101.35909692221099</v>
      </c>
      <c r="AK5685">
        <v>0.239574234052809</v>
      </c>
      <c r="AL5685">
        <v>83.4877527141592</v>
      </c>
      <c r="AM5685">
        <v>104.498655191165</v>
      </c>
      <c r="AN5685">
        <v>1.0000000653219201</v>
      </c>
    </row>
    <row r="5686" spans="1:40" x14ac:dyDescent="0.25">
      <c r="A5686" t="str">
        <f>"20190303162415920"</f>
        <v>20190303162415920</v>
      </c>
      <c r="B5686" t="str">
        <f>"1551601455910534"</f>
        <v>1551601455910534</v>
      </c>
      <c r="C5686" t="s">
        <v>40</v>
      </c>
      <c r="D5686">
        <v>5.6563169999999996</v>
      </c>
      <c r="E5686">
        <v>0.55144859999999996</v>
      </c>
      <c r="F5686" t="s">
        <v>42</v>
      </c>
      <c r="G5686">
        <v>-300.988</v>
      </c>
      <c r="H5686">
        <v>0.9060549</v>
      </c>
      <c r="I5686">
        <v>-44.544089999999997</v>
      </c>
      <c r="J5686">
        <v>-301.13420000000002</v>
      </c>
      <c r="K5686">
        <v>1.130058</v>
      </c>
      <c r="L5686">
        <v>-44.132599999999996</v>
      </c>
      <c r="M5686">
        <v>0.18111250000000001</v>
      </c>
      <c r="N5686">
        <v>-1.5213580000000001E-2</v>
      </c>
      <c r="O5686">
        <v>-0.98334480000000002</v>
      </c>
      <c r="P5686">
        <v>0.43912509999999999</v>
      </c>
      <c r="Q5686">
        <v>0.1128392</v>
      </c>
      <c r="R5686">
        <v>-0.89131190000000005</v>
      </c>
      <c r="S5686">
        <v>0.89248660000000002</v>
      </c>
      <c r="T5686">
        <v>-0.95597580000000004</v>
      </c>
      <c r="U5686">
        <v>-3.0150760000000001</v>
      </c>
      <c r="V5686">
        <v>-0.27326850000000003</v>
      </c>
      <c r="W5686">
        <v>0.12112920000000001</v>
      </c>
      <c r="X5686">
        <v>0.95428089999999999</v>
      </c>
      <c r="Y5686">
        <v>-9.4129320000000002E-2</v>
      </c>
      <c r="Z5686">
        <v>0.27458199999999999</v>
      </c>
      <c r="AA5686">
        <v>0.95694539999999995</v>
      </c>
      <c r="AB5686">
        <v>30</v>
      </c>
      <c r="AC5686">
        <v>0.14620000000002101</v>
      </c>
      <c r="AD5686">
        <v>-0.22400309999999901</v>
      </c>
      <c r="AE5686">
        <v>-0.41149000000000702</v>
      </c>
      <c r="AF5686">
        <v>-5.4822029583582801E-2</v>
      </c>
      <c r="AG5686">
        <v>-0.22400309999999901</v>
      </c>
      <c r="AH5686">
        <v>0.34134809781826098</v>
      </c>
      <c r="AI5686">
        <v>122.940317553198</v>
      </c>
      <c r="AJ5686">
        <v>99.124042700806399</v>
      </c>
      <c r="AK5686">
        <v>0.41194825842746102</v>
      </c>
      <c r="AL5686">
        <v>83.042723584412201</v>
      </c>
      <c r="AM5686">
        <v>105.97962904903</v>
      </c>
      <c r="AN5686">
        <v>0.99999999614484902</v>
      </c>
    </row>
    <row r="5687" spans="1:40" x14ac:dyDescent="0.25">
      <c r="A5687" t="str">
        <f>"20190303162415942"</f>
        <v>20190303162415942</v>
      </c>
      <c r="B5687" t="str">
        <f>"1551601455931030"</f>
        <v>1551601455931030</v>
      </c>
      <c r="C5687" t="s">
        <v>40</v>
      </c>
      <c r="D5687">
        <v>5.2674010000000004</v>
      </c>
      <c r="E5687">
        <v>0.52577169999999995</v>
      </c>
      <c r="F5687" t="s">
        <v>42</v>
      </c>
      <c r="G5687">
        <v>-300.90530000000001</v>
      </c>
      <c r="H5687">
        <v>0.91914010000000002</v>
      </c>
      <c r="I5687">
        <v>-44.808079999999997</v>
      </c>
      <c r="J5687">
        <v>-301.0684</v>
      </c>
      <c r="K5687">
        <v>1.1302000000000001</v>
      </c>
      <c r="L5687">
        <v>-44.423609999999996</v>
      </c>
      <c r="M5687">
        <v>0.1928916</v>
      </c>
      <c r="N5687">
        <v>-1.525841E-2</v>
      </c>
      <c r="O5687">
        <v>-0.98110160000000002</v>
      </c>
      <c r="P5687">
        <v>0.46804249999999997</v>
      </c>
      <c r="Q5687">
        <v>0.11583209999999999</v>
      </c>
      <c r="R5687">
        <v>-0.87608189999999997</v>
      </c>
      <c r="S5687">
        <v>1.011566</v>
      </c>
      <c r="T5687">
        <v>-0.93234349999999999</v>
      </c>
      <c r="U5687">
        <v>-2.985474</v>
      </c>
      <c r="V5687">
        <v>-0.29319499999999998</v>
      </c>
      <c r="W5687">
        <v>0.1235262</v>
      </c>
      <c r="X5687">
        <v>0.94803899999999997</v>
      </c>
      <c r="Y5687">
        <v>-0.1199621</v>
      </c>
      <c r="Z5687">
        <v>0.26765409999999901</v>
      </c>
      <c r="AA5687">
        <v>0.95601800000000003</v>
      </c>
      <c r="AB5687">
        <v>30</v>
      </c>
      <c r="AC5687">
        <v>0.16309999999998501</v>
      </c>
      <c r="AD5687">
        <v>-0.21105989999999999</v>
      </c>
      <c r="AE5687">
        <v>-0.38446999999999998</v>
      </c>
      <c r="AF5687">
        <v>-6.83979036275595E-2</v>
      </c>
      <c r="AG5687">
        <v>-0.21105989999999999</v>
      </c>
      <c r="AH5687">
        <v>0.325563790316584</v>
      </c>
      <c r="AI5687">
        <v>122.392682407663</v>
      </c>
      <c r="AJ5687">
        <v>101.864752726156</v>
      </c>
      <c r="AK5687">
        <v>0.39397504511574699</v>
      </c>
      <c r="AL5687">
        <v>82.904346260317595</v>
      </c>
      <c r="AM5687">
        <v>107.18499247491199</v>
      </c>
      <c r="AN5687">
        <v>0.99999998781621902</v>
      </c>
    </row>
    <row r="5688" spans="1:40" x14ac:dyDescent="0.25">
      <c r="A5688" t="str">
        <f>"20190303162415965"</f>
        <v>20190303162415965</v>
      </c>
      <c r="B5688" t="str">
        <f>"1551601455960309"</f>
        <v>1551601455960309</v>
      </c>
      <c r="C5688" t="s">
        <v>40</v>
      </c>
      <c r="D5688">
        <v>5.3110140000000001</v>
      </c>
      <c r="E5688">
        <v>0.45412930000000001</v>
      </c>
      <c r="F5688" t="s">
        <v>56</v>
      </c>
      <c r="G5688">
        <v>-298.49470000000002</v>
      </c>
      <c r="H5688" s="1">
        <v>-5.8520129999999998E-6</v>
      </c>
      <c r="I5688">
        <v>-50.117469999999997</v>
      </c>
      <c r="J5688">
        <v>-301.00099999999998</v>
      </c>
      <c r="K5688">
        <v>1.130323</v>
      </c>
      <c r="L5688">
        <v>-44.704410000000003</v>
      </c>
      <c r="M5688">
        <v>0.20443120000000001</v>
      </c>
      <c r="N5688">
        <v>-1.529846E-2</v>
      </c>
      <c r="O5688">
        <v>-0.9787614</v>
      </c>
      <c r="P5688">
        <v>0.49529709999999899</v>
      </c>
      <c r="Q5688">
        <v>0.1186128</v>
      </c>
      <c r="R5688">
        <v>-0.86058819999999903</v>
      </c>
      <c r="S5688">
        <v>1.273712</v>
      </c>
      <c r="T5688">
        <v>-0.55932280000000001</v>
      </c>
      <c r="U5688">
        <v>-2.8178100000000001</v>
      </c>
      <c r="V5688">
        <v>-0.31192750000000002</v>
      </c>
      <c r="W5688">
        <v>0.12573099999999901</v>
      </c>
      <c r="X5688">
        <v>0.94174990000000003</v>
      </c>
      <c r="Y5688">
        <v>-0.21093400000000001</v>
      </c>
      <c r="Z5688">
        <v>0.16377030000000001</v>
      </c>
      <c r="AA5688">
        <v>0.96368370000000003</v>
      </c>
      <c r="AB5688">
        <v>30</v>
      </c>
      <c r="AC5688">
        <v>2.5062999999999498</v>
      </c>
      <c r="AD5688">
        <v>-1.1303288520129999</v>
      </c>
      <c r="AE5688">
        <v>-5.4130599999999998</v>
      </c>
      <c r="AF5688">
        <v>-1.2999524986589199</v>
      </c>
      <c r="AG5688">
        <v>-1.1303288520129999</v>
      </c>
      <c r="AH5688">
        <v>5.60971620527003</v>
      </c>
      <c r="AI5688">
        <v>101.10557740328299</v>
      </c>
      <c r="AJ5688">
        <v>103.046996119417</v>
      </c>
      <c r="AK5688">
        <v>5.86825661641784</v>
      </c>
      <c r="AL5688">
        <v>82.777027665894494</v>
      </c>
      <c r="AM5688">
        <v>108.325963451517</v>
      </c>
      <c r="AN5688">
        <v>0.99999996188362905</v>
      </c>
    </row>
    <row r="5689" spans="1:40" x14ac:dyDescent="0.25">
      <c r="A5689" t="str">
        <f>"20190303162415987"</f>
        <v>20190303162415987</v>
      </c>
      <c r="B5689" t="str">
        <f>"1551601455980806"</f>
        <v>1551601455980806</v>
      </c>
      <c r="C5689" t="s">
        <v>40</v>
      </c>
      <c r="D5689">
        <v>5.1946539999999999</v>
      </c>
      <c r="E5689">
        <v>0.38107940000000001</v>
      </c>
      <c r="F5689" t="s">
        <v>61</v>
      </c>
      <c r="G5689">
        <v>-274.21890000000002</v>
      </c>
      <c r="H5689">
        <v>1.2497670000000001</v>
      </c>
      <c r="I5689">
        <v>-80.464519999999993</v>
      </c>
      <c r="J5689">
        <v>-300.92630000000003</v>
      </c>
      <c r="K5689">
        <v>1.1304540000000001</v>
      </c>
      <c r="L5689">
        <v>-44.999270000000003</v>
      </c>
      <c r="M5689">
        <v>0.2167055</v>
      </c>
      <c r="N5689">
        <v>-1.5338640000000001E-2</v>
      </c>
      <c r="O5689">
        <v>-0.97611669999999995</v>
      </c>
      <c r="P5689">
        <v>0.52119009999999999</v>
      </c>
      <c r="Q5689">
        <v>0.12246</v>
      </c>
      <c r="R5689">
        <v>-0.8446091</v>
      </c>
      <c r="S5689">
        <v>1.8238220000000001</v>
      </c>
      <c r="T5689">
        <v>8.1348419999999998E-3</v>
      </c>
      <c r="U5689">
        <v>-2.4352109999999998</v>
      </c>
      <c r="V5689">
        <v>-0.32891229999999999</v>
      </c>
      <c r="W5689">
        <v>0.1290364</v>
      </c>
      <c r="X5689">
        <v>0.93550319999999998</v>
      </c>
      <c r="Y5689">
        <v>-0.41160839999999999</v>
      </c>
      <c r="Z5689">
        <v>-1.6992500000000001E-2</v>
      </c>
      <c r="AA5689">
        <v>0.91120239999999997</v>
      </c>
      <c r="AB5689">
        <v>30</v>
      </c>
      <c r="AC5689">
        <v>26.7074</v>
      </c>
      <c r="AD5689">
        <v>0.119313</v>
      </c>
      <c r="AE5689">
        <v>-35.465249999999898</v>
      </c>
      <c r="AF5689">
        <v>-18.386051345875099</v>
      </c>
      <c r="AG5689">
        <v>0.119313</v>
      </c>
      <c r="AH5689">
        <v>40.410318204065597</v>
      </c>
      <c r="AI5689">
        <v>89.846020978178203</v>
      </c>
      <c r="AJ5689">
        <v>114.464779283113</v>
      </c>
      <c r="AK5689">
        <v>44.396564473379698</v>
      </c>
      <c r="AL5689">
        <v>82.586086624535994</v>
      </c>
      <c r="AM5689">
        <v>109.371095106296</v>
      </c>
      <c r="AN5689">
        <v>0.99999996541324399</v>
      </c>
    </row>
    <row r="5690" spans="1:40" x14ac:dyDescent="0.25">
      <c r="A5690" t="str">
        <f>"20190303162416009"</f>
        <v>20190303162416009</v>
      </c>
      <c r="B5690" t="str">
        <f>"1551601456000326"</f>
        <v>1551601456000326</v>
      </c>
      <c r="C5690" t="s">
        <v>40</v>
      </c>
      <c r="D5690">
        <v>5.3287909999999998</v>
      </c>
      <c r="E5690">
        <v>0.36641430000000003</v>
      </c>
      <c r="F5690" t="s">
        <v>43</v>
      </c>
      <c r="G5690">
        <v>-244.41679999999999</v>
      </c>
      <c r="H5690">
        <v>-0.05</v>
      </c>
      <c r="I5690">
        <v>-94.022800000000004</v>
      </c>
      <c r="J5690">
        <v>-300.85270000000003</v>
      </c>
      <c r="K5690">
        <v>1.1305639999999999</v>
      </c>
      <c r="L5690">
        <v>-45.275359999999999</v>
      </c>
      <c r="M5690">
        <v>0.22831750000000001</v>
      </c>
      <c r="N5690">
        <v>-1.5373639999999999E-2</v>
      </c>
      <c r="O5690">
        <v>-0.97346540000000004</v>
      </c>
      <c r="P5690">
        <v>0.54184940000000004</v>
      </c>
      <c r="Q5690">
        <v>0.12508039999999901</v>
      </c>
      <c r="R5690">
        <v>-0.83111650000000004</v>
      </c>
      <c r="S5690">
        <v>2.3974299999999999</v>
      </c>
      <c r="T5690">
        <v>-5.0081010000000002E-2</v>
      </c>
      <c r="U5690">
        <v>-2.079834</v>
      </c>
      <c r="V5690">
        <v>-0.34100259999999999</v>
      </c>
      <c r="W5690">
        <v>0.13125899999999999</v>
      </c>
      <c r="X5690">
        <v>0.9308535</v>
      </c>
      <c r="Y5690">
        <v>-0.58565800000000001</v>
      </c>
      <c r="Z5690">
        <v>2.6948599999999999E-3</v>
      </c>
      <c r="AA5690">
        <v>0.81055379999999999</v>
      </c>
      <c r="AB5690">
        <v>30</v>
      </c>
      <c r="AC5690">
        <v>56.435899999999997</v>
      </c>
      <c r="AD5690">
        <v>-1.1805639999999999</v>
      </c>
      <c r="AE5690">
        <v>-48.747439999999997</v>
      </c>
      <c r="AF5690">
        <v>-43.802700327906997</v>
      </c>
      <c r="AG5690">
        <v>-1.1805639999999999</v>
      </c>
      <c r="AH5690">
        <v>60.331258433220398</v>
      </c>
      <c r="AI5690">
        <v>90.907184480602893</v>
      </c>
      <c r="AJ5690">
        <v>125.981021961994</v>
      </c>
      <c r="AK5690">
        <v>74.564945058053596</v>
      </c>
      <c r="AL5690">
        <v>82.457648600198794</v>
      </c>
      <c r="AM5690">
        <v>110.11946286537299</v>
      </c>
      <c r="AN5690">
        <v>0.99999996837500404</v>
      </c>
    </row>
    <row r="5691" spans="1:40" x14ac:dyDescent="0.25">
      <c r="A5691" t="str">
        <f>"20190303162416032"</f>
        <v>20190303162416032</v>
      </c>
      <c r="B5691" t="str">
        <f>"1551601456020822"</f>
        <v>1551601456020822</v>
      </c>
      <c r="C5691" t="s">
        <v>40</v>
      </c>
      <c r="D5691">
        <v>5.2649419999999996</v>
      </c>
      <c r="E5691">
        <v>0.3639252</v>
      </c>
      <c r="F5691" t="s">
        <v>56</v>
      </c>
      <c r="G5691">
        <v>-281.4522</v>
      </c>
      <c r="H5691" s="1">
        <v>-5.494728E-6</v>
      </c>
      <c r="I5691">
        <v>-60.220759999999999</v>
      </c>
      <c r="J5691">
        <v>-300.7706</v>
      </c>
      <c r="K5691">
        <v>1.1306510000000001</v>
      </c>
      <c r="L5691">
        <v>-45.568269999999998</v>
      </c>
      <c r="M5691">
        <v>0.24075679999999999</v>
      </c>
      <c r="N5691">
        <v>-1.540684E-2</v>
      </c>
      <c r="O5691">
        <v>-0.97046350000000003</v>
      </c>
      <c r="P5691">
        <v>0.5581914</v>
      </c>
      <c r="Q5691">
        <v>0.12582309999999999</v>
      </c>
      <c r="R5691">
        <v>-0.82011659999999997</v>
      </c>
      <c r="S5691">
        <v>2.5535890000000001</v>
      </c>
      <c r="T5691">
        <v>-0.14881169999999999</v>
      </c>
      <c r="U5691">
        <v>-1.9671940000000001</v>
      </c>
      <c r="V5691">
        <v>-0.34758679999999997</v>
      </c>
      <c r="W5691">
        <v>0.13177</v>
      </c>
      <c r="X5691">
        <v>0.92834260000000002</v>
      </c>
      <c r="Y5691">
        <v>-0.62122349999999904</v>
      </c>
      <c r="Z5691">
        <v>3.4982060000000002E-2</v>
      </c>
      <c r="AA5691">
        <v>0.78285229999999995</v>
      </c>
      <c r="AB5691">
        <v>30</v>
      </c>
      <c r="AC5691">
        <v>19.3184</v>
      </c>
      <c r="AD5691">
        <v>-1.130656494728</v>
      </c>
      <c r="AE5691">
        <v>-14.65249</v>
      </c>
      <c r="AF5691">
        <v>-15.188889192034599</v>
      </c>
      <c r="AG5691">
        <v>-1.130656494728</v>
      </c>
      <c r="AH5691">
        <v>18.832026818859799</v>
      </c>
      <c r="AI5691">
        <v>92.675657580035207</v>
      </c>
      <c r="AJ5691">
        <v>128.887760754363</v>
      </c>
      <c r="AK5691">
        <v>24.2203627781095</v>
      </c>
      <c r="AL5691">
        <v>82.428113782487699</v>
      </c>
      <c r="AM5691">
        <v>110.52672997380699</v>
      </c>
      <c r="AN5691">
        <v>0.99999994970449801</v>
      </c>
    </row>
    <row r="5692" spans="1:40" x14ac:dyDescent="0.25">
      <c r="A5692" t="str">
        <f>"20190303162416056"</f>
        <v>20190303162416056</v>
      </c>
      <c r="B5692" t="str">
        <f>"1551601456051078"</f>
        <v>1551601456051078</v>
      </c>
      <c r="C5692" t="s">
        <v>40</v>
      </c>
      <c r="D5692">
        <v>5.182652</v>
      </c>
      <c r="E5692">
        <v>0.36704369999999997</v>
      </c>
      <c r="F5692" t="s">
        <v>56</v>
      </c>
      <c r="G5692">
        <v>-286.41699999999997</v>
      </c>
      <c r="H5692" s="1">
        <v>-3.8647240000000003E-6</v>
      </c>
      <c r="I5692">
        <v>-56.079189999999997</v>
      </c>
      <c r="J5692">
        <v>-300.68209999999999</v>
      </c>
      <c r="K5692">
        <v>1.130714</v>
      </c>
      <c r="L5692">
        <v>-45.868899999999996</v>
      </c>
      <c r="M5692">
        <v>0.25363249999999998</v>
      </c>
      <c r="N5692">
        <v>-1.543697E-2</v>
      </c>
      <c r="O5692">
        <v>-0.96717750000000002</v>
      </c>
      <c r="P5692">
        <v>0.57331269999999901</v>
      </c>
      <c r="Q5692">
        <v>0.1251854</v>
      </c>
      <c r="R5692">
        <v>-0.80971689999999996</v>
      </c>
      <c r="S5692">
        <v>2.6113279999999999</v>
      </c>
      <c r="T5692">
        <v>-0.20569779999999999</v>
      </c>
      <c r="U5692">
        <v>-1.912231</v>
      </c>
      <c r="V5692">
        <v>-0.35246129999999998</v>
      </c>
      <c r="W5692">
        <v>0.1309592</v>
      </c>
      <c r="X5692">
        <v>0.92661789999999999</v>
      </c>
      <c r="Y5692">
        <v>-0.62910100000000002</v>
      </c>
      <c r="Z5692">
        <v>5.3537719999999997E-2</v>
      </c>
      <c r="AA5692">
        <v>0.77547769999999905</v>
      </c>
      <c r="AB5692">
        <v>30</v>
      </c>
      <c r="AC5692">
        <v>14.265099999999901</v>
      </c>
      <c r="AD5692">
        <v>-1.1307178647239999</v>
      </c>
      <c r="AE5692">
        <v>-10.210290000000001</v>
      </c>
      <c r="AF5692">
        <v>-11.1621841652142</v>
      </c>
      <c r="AG5692">
        <v>-1.1307178647239999</v>
      </c>
      <c r="AH5692">
        <v>13.4390306899663</v>
      </c>
      <c r="AI5692">
        <v>93.703206515113294</v>
      </c>
      <c r="AJ5692">
        <v>129.712328991025</v>
      </c>
      <c r="AK5692">
        <v>17.506582308195501</v>
      </c>
      <c r="AL5692">
        <v>82.474975729030604</v>
      </c>
      <c r="AM5692">
        <v>110.825510368247</v>
      </c>
      <c r="AN5692">
        <v>1.0000000063313601</v>
      </c>
    </row>
    <row r="5693" spans="1:40" x14ac:dyDescent="0.25">
      <c r="A5693" t="str">
        <f>"20190303162416078"</f>
        <v>20190303162416078</v>
      </c>
      <c r="B5693" t="str">
        <f>"1551601456070598"</f>
        <v>1551601456070598</v>
      </c>
      <c r="C5693" t="s">
        <v>40</v>
      </c>
      <c r="D5693">
        <v>5.22525</v>
      </c>
      <c r="E5693">
        <v>0.36984610000000001</v>
      </c>
      <c r="F5693" t="s">
        <v>56</v>
      </c>
      <c r="G5693">
        <v>-287.4579</v>
      </c>
      <c r="H5693" s="1">
        <v>-3.4710119999999998E-6</v>
      </c>
      <c r="I5693">
        <v>-55.348320000000001</v>
      </c>
      <c r="J5693">
        <v>-300.59620000000001</v>
      </c>
      <c r="K5693">
        <v>1.130728</v>
      </c>
      <c r="L5693">
        <v>-46.147460000000002</v>
      </c>
      <c r="M5693">
        <v>0.26564510000000002</v>
      </c>
      <c r="N5693">
        <v>-1.546147E-2</v>
      </c>
      <c r="O5693">
        <v>-0.96394690000000005</v>
      </c>
      <c r="P5693">
        <v>0.58722810000000003</v>
      </c>
      <c r="Q5693">
        <v>0.12215579999999999</v>
      </c>
      <c r="R5693">
        <v>-0.8001511</v>
      </c>
      <c r="S5693">
        <v>2.624603</v>
      </c>
      <c r="T5693">
        <v>-0.2244129</v>
      </c>
      <c r="U5693">
        <v>-1.881378</v>
      </c>
      <c r="V5693">
        <v>-0.35677629999999999</v>
      </c>
      <c r="W5693">
        <v>0.12778800000000001</v>
      </c>
      <c r="X5693">
        <v>0.92540849999999997</v>
      </c>
      <c r="Y5693">
        <v>-0.62698449999999994</v>
      </c>
      <c r="Z5693">
        <v>5.9916379999999998E-2</v>
      </c>
      <c r="AA5693">
        <v>0.77672419999999998</v>
      </c>
      <c r="AB5693">
        <v>30</v>
      </c>
      <c r="AC5693">
        <v>13.138299999999999</v>
      </c>
      <c r="AD5693">
        <v>-1.130731471012</v>
      </c>
      <c r="AE5693">
        <v>-9.2008600000000005</v>
      </c>
      <c r="AF5693">
        <v>-10.171134727030999</v>
      </c>
      <c r="AG5693">
        <v>-1.130731471012</v>
      </c>
      <c r="AH5693">
        <v>12.2996178460339</v>
      </c>
      <c r="AI5693">
        <v>94.052423604437195</v>
      </c>
      <c r="AJ5693">
        <v>129.58895220964001</v>
      </c>
      <c r="AK5693">
        <v>16.000347947886301</v>
      </c>
      <c r="AL5693">
        <v>82.658212045864602</v>
      </c>
      <c r="AM5693">
        <v>111.083339536502</v>
      </c>
      <c r="AN5693">
        <v>0.99999999652896998</v>
      </c>
    </row>
    <row r="5694" spans="1:40" x14ac:dyDescent="0.25">
      <c r="A5694" t="str">
        <f>"20190303162416097"</f>
        <v>20190303162416097</v>
      </c>
      <c r="B5694" t="str">
        <f>"1551601456091094"</f>
        <v>1551601456091094</v>
      </c>
      <c r="C5694" t="s">
        <v>40</v>
      </c>
      <c r="D5694">
        <v>5.2540940000000003</v>
      </c>
      <c r="E5694">
        <v>0.3727241</v>
      </c>
      <c r="F5694" t="s">
        <v>56</v>
      </c>
      <c r="G5694">
        <v>-288.37049999999999</v>
      </c>
      <c r="H5694" s="1">
        <v>-3.069576E-6</v>
      </c>
      <c r="I5694">
        <v>-54.731450000000002</v>
      </c>
      <c r="J5694">
        <v>-300.5147</v>
      </c>
      <c r="K5694">
        <v>1.1307320000000001</v>
      </c>
      <c r="L5694">
        <v>-46.400480000000002</v>
      </c>
      <c r="M5694">
        <v>0.27660800000000002</v>
      </c>
      <c r="N5694">
        <v>-1.548037E-2</v>
      </c>
      <c r="O5694">
        <v>-0.9608584</v>
      </c>
      <c r="P5694">
        <v>0.59990250000000001</v>
      </c>
      <c r="Q5694">
        <v>0.1198124</v>
      </c>
      <c r="R5694">
        <v>-0.79105159999999997</v>
      </c>
      <c r="S5694">
        <v>2.6368100000000001</v>
      </c>
      <c r="T5694">
        <v>-0.24387410000000001</v>
      </c>
      <c r="U5694">
        <v>-1.8513790000000001</v>
      </c>
      <c r="V5694">
        <v>-0.36083700000000002</v>
      </c>
      <c r="W5694">
        <v>0.12531800000000001</v>
      </c>
      <c r="X5694">
        <v>0.92417099999999996</v>
      </c>
      <c r="Y5694">
        <v>-0.62534609999999902</v>
      </c>
      <c r="Z5694">
        <v>6.6555169999999997E-2</v>
      </c>
      <c r="AA5694">
        <v>0.77750410000000003</v>
      </c>
      <c r="AB5694">
        <v>30</v>
      </c>
      <c r="AC5694">
        <v>12.1442</v>
      </c>
      <c r="AD5694">
        <v>-1.1307350695759999</v>
      </c>
      <c r="AE5694">
        <v>-8.33096999999999</v>
      </c>
      <c r="AF5694">
        <v>-9.3106765028126794</v>
      </c>
      <c r="AG5694">
        <v>-1.1307350695759999</v>
      </c>
      <c r="AH5694">
        <v>11.2988171702525</v>
      </c>
      <c r="AI5694">
        <v>94.416299234877499</v>
      </c>
      <c r="AJ5694">
        <v>129.48988516385199</v>
      </c>
      <c r="AK5694">
        <v>14.6843633905046</v>
      </c>
      <c r="AL5694">
        <v>82.800879678997902</v>
      </c>
      <c r="AM5694">
        <v>111.32785995069</v>
      </c>
      <c r="AN5694">
        <v>0.99999998946699897</v>
      </c>
    </row>
    <row r="5695" spans="1:40" x14ac:dyDescent="0.25">
      <c r="A5695" t="str">
        <f>"20190303162416121"</f>
        <v>20190303162416121</v>
      </c>
      <c r="B5695" t="str">
        <f>"1551601456110614"</f>
        <v>1551601456110614</v>
      </c>
      <c r="C5695" t="s">
        <v>40</v>
      </c>
      <c r="D5695">
        <v>5.2662050000000002</v>
      </c>
      <c r="E5695">
        <v>0.37577929999999998</v>
      </c>
      <c r="F5695" t="s">
        <v>56</v>
      </c>
      <c r="G5695">
        <v>-288.78730000000002</v>
      </c>
      <c r="H5695" s="1">
        <v>-2.8793600000000001E-6</v>
      </c>
      <c r="I5695">
        <v>-54.477269999999997</v>
      </c>
      <c r="J5695">
        <v>-300.42129999999997</v>
      </c>
      <c r="K5695">
        <v>1.130733</v>
      </c>
      <c r="L5695">
        <v>-46.678959999999996</v>
      </c>
      <c r="M5695">
        <v>0.28871520000000001</v>
      </c>
      <c r="N5695">
        <v>-1.5497810000000001E-2</v>
      </c>
      <c r="O5695">
        <v>-0.95728979999999997</v>
      </c>
      <c r="P5695">
        <v>0.61241060000000003</v>
      </c>
      <c r="Q5695">
        <v>0.1174446</v>
      </c>
      <c r="R5695">
        <v>-0.7817674</v>
      </c>
      <c r="S5695">
        <v>2.647491</v>
      </c>
      <c r="T5695">
        <v>-0.25526749999999998</v>
      </c>
      <c r="U5695">
        <v>-1.823364</v>
      </c>
      <c r="V5695">
        <v>-0.36371999999999999</v>
      </c>
      <c r="W5695">
        <v>0.122867</v>
      </c>
      <c r="X5695">
        <v>0.92336960000000001</v>
      </c>
      <c r="Y5695">
        <v>-0.62229659999999998</v>
      </c>
      <c r="Z5695">
        <v>7.0559860000000002E-2</v>
      </c>
      <c r="AA5695">
        <v>0.77959489999999998</v>
      </c>
      <c r="AB5695">
        <v>30</v>
      </c>
      <c r="AC5695">
        <v>11.633999999999901</v>
      </c>
      <c r="AD5695">
        <v>-1.13073587936</v>
      </c>
      <c r="AE5695">
        <v>-7.7983099999999999</v>
      </c>
      <c r="AF5695">
        <v>-8.8291374185566696</v>
      </c>
      <c r="AG5695">
        <v>-1.13073587936</v>
      </c>
      <c r="AH5695">
        <v>10.755351457159099</v>
      </c>
      <c r="AI5695">
        <v>94.645611709271904</v>
      </c>
      <c r="AJ5695">
        <v>129.38279356751201</v>
      </c>
      <c r="AK5695">
        <v>13.9610105705727</v>
      </c>
      <c r="AL5695">
        <v>82.942405495740999</v>
      </c>
      <c r="AM5695">
        <v>111.499733659725</v>
      </c>
      <c r="AN5695">
        <v>0.99999997814657904</v>
      </c>
    </row>
    <row r="5696" spans="1:40" x14ac:dyDescent="0.25">
      <c r="A5696" t="str">
        <f>"20190303162416143"</f>
        <v>20190303162416143</v>
      </c>
      <c r="B5696" t="str">
        <f>"1551601456131110"</f>
        <v>1551601456131110</v>
      </c>
      <c r="C5696" t="s">
        <v>40</v>
      </c>
      <c r="D5696">
        <v>5.2956659999999998</v>
      </c>
      <c r="E5696">
        <v>0.37901479999999999</v>
      </c>
      <c r="F5696" t="s">
        <v>42</v>
      </c>
      <c r="G5696">
        <v>-299.65260000000001</v>
      </c>
      <c r="H5696">
        <v>1.0540210000000001</v>
      </c>
      <c r="I5696">
        <v>-47.199159999999999</v>
      </c>
      <c r="J5696">
        <v>-300.32249999999999</v>
      </c>
      <c r="K5696">
        <v>1.1307199999999999</v>
      </c>
      <c r="L5696">
        <v>-46.96152</v>
      </c>
      <c r="M5696">
        <v>0.301039</v>
      </c>
      <c r="N5696">
        <v>-1.5512089999999999E-2</v>
      </c>
      <c r="O5696">
        <v>-0.95348569999999999</v>
      </c>
      <c r="P5696">
        <v>0.62570819999999905</v>
      </c>
      <c r="Q5696">
        <v>0.1155607</v>
      </c>
      <c r="R5696">
        <v>-0.77144999999999997</v>
      </c>
      <c r="S5696">
        <v>2.6553960000000001</v>
      </c>
      <c r="T5696">
        <v>-0.26500489999999999</v>
      </c>
      <c r="U5696">
        <v>-1.7971189999999999</v>
      </c>
      <c r="V5696">
        <v>-0.36749549999999997</v>
      </c>
      <c r="W5696">
        <v>0.1208769</v>
      </c>
      <c r="X5696">
        <v>0.92213650000000003</v>
      </c>
      <c r="Y5696">
        <v>-0.61833499999999997</v>
      </c>
      <c r="Z5696">
        <v>7.4036699999999997E-2</v>
      </c>
      <c r="AA5696">
        <v>0.78241959999999999</v>
      </c>
      <c r="AB5696">
        <v>30</v>
      </c>
      <c r="AC5696">
        <v>0.66989999999998395</v>
      </c>
      <c r="AD5696">
        <v>-7.6699000000000295E-2</v>
      </c>
      <c r="AE5696">
        <v>-0.23763999999999799</v>
      </c>
      <c r="AF5696">
        <v>-0.56074042340122698</v>
      </c>
      <c r="AG5696">
        <v>-7.6699000000000295E-2</v>
      </c>
      <c r="AH5696">
        <v>0.42337433340921599</v>
      </c>
      <c r="AI5696">
        <v>96.229816836852507</v>
      </c>
      <c r="AJ5696">
        <v>142.946198838621</v>
      </c>
      <c r="AK5696">
        <v>0.70679444340408204</v>
      </c>
      <c r="AL5696">
        <v>83.057285965165605</v>
      </c>
      <c r="AM5696">
        <v>111.728574274857</v>
      </c>
      <c r="AN5696">
        <v>0.99999994605305298</v>
      </c>
    </row>
    <row r="5697" spans="1:40" x14ac:dyDescent="0.25">
      <c r="A5697" t="str">
        <f>"20190303162416166"</f>
        <v>20190303162416166</v>
      </c>
      <c r="B5697" t="str">
        <f>"1551601456160390"</f>
        <v>1551601456160390</v>
      </c>
      <c r="C5697" t="s">
        <v>40</v>
      </c>
      <c r="D5697">
        <v>5.2910000000000004</v>
      </c>
      <c r="E5697">
        <v>0.3819263</v>
      </c>
      <c r="F5697" t="s">
        <v>56</v>
      </c>
      <c r="G5697">
        <v>-289.3329</v>
      </c>
      <c r="H5697" s="1">
        <v>-2.6043409999999999E-6</v>
      </c>
      <c r="I5697">
        <v>-54.261710000000001</v>
      </c>
      <c r="J5697">
        <v>-300.22239999999999</v>
      </c>
      <c r="K5697">
        <v>1.130706</v>
      </c>
      <c r="L5697">
        <v>-47.23563</v>
      </c>
      <c r="M5697">
        <v>0.31302180000000002</v>
      </c>
      <c r="N5697">
        <v>-1.552303E-2</v>
      </c>
      <c r="O5697">
        <v>-0.94961910000000005</v>
      </c>
      <c r="P5697">
        <v>0.63755799999999996</v>
      </c>
      <c r="Q5697">
        <v>0.1131065</v>
      </c>
      <c r="R5697">
        <v>-0.76205429999999996</v>
      </c>
      <c r="S5697">
        <v>2.6636350000000002</v>
      </c>
      <c r="T5697">
        <v>-0.27406259999999999</v>
      </c>
      <c r="U5697">
        <v>-1.769409</v>
      </c>
      <c r="V5697">
        <v>-0.36996479999999998</v>
      </c>
      <c r="W5697">
        <v>0.1183626</v>
      </c>
      <c r="X5697">
        <v>0.92147509999999999</v>
      </c>
      <c r="Y5697">
        <v>-0.61497780000000002</v>
      </c>
      <c r="Z5697">
        <v>7.7306910000000006E-2</v>
      </c>
      <c r="AA5697">
        <v>0.7847459</v>
      </c>
      <c r="AB5697">
        <v>30</v>
      </c>
      <c r="AC5697">
        <v>10.8894999999999</v>
      </c>
      <c r="AD5697">
        <v>-1.130708604341</v>
      </c>
      <c r="AE5697">
        <v>-7.0260800000000003</v>
      </c>
      <c r="AF5697">
        <v>-8.0810248229944399</v>
      </c>
      <c r="AG5697">
        <v>-1.130708604341</v>
      </c>
      <c r="AH5697">
        <v>10.0057957542205</v>
      </c>
      <c r="AI5697">
        <v>95.0241848709057</v>
      </c>
      <c r="AJ5697">
        <v>128.92553549291301</v>
      </c>
      <c r="AK5697">
        <v>12.911135225570201</v>
      </c>
      <c r="AL5697">
        <v>83.202387077197699</v>
      </c>
      <c r="AM5697">
        <v>111.8750614484</v>
      </c>
      <c r="AN5697">
        <v>1.0000000091189001</v>
      </c>
    </row>
    <row r="5698" spans="1:40" x14ac:dyDescent="0.25">
      <c r="A5698" t="str">
        <f>"20190303162416188"</f>
        <v>20190303162416188</v>
      </c>
      <c r="B5698" t="str">
        <f>"1551601456180416"</f>
        <v>1551601456180416</v>
      </c>
      <c r="C5698" t="s">
        <v>40</v>
      </c>
      <c r="D5698">
        <v>5.330152</v>
      </c>
      <c r="E5698">
        <v>0.41168090000000002</v>
      </c>
      <c r="F5698" t="s">
        <v>56</v>
      </c>
      <c r="G5698">
        <v>-289.33</v>
      </c>
      <c r="H5698" s="1">
        <v>-2.5894979999999999E-6</v>
      </c>
      <c r="I5698">
        <v>-54.33614</v>
      </c>
      <c r="J5698">
        <v>-300.11880000000002</v>
      </c>
      <c r="K5698">
        <v>1.1306879999999999</v>
      </c>
      <c r="L5698">
        <v>-47.508670000000002</v>
      </c>
      <c r="M5698">
        <v>0.32497659999999901</v>
      </c>
      <c r="N5698">
        <v>-1.5531700000000001E-2</v>
      </c>
      <c r="O5698">
        <v>-0.9455945</v>
      </c>
      <c r="P5698">
        <v>0.64900080000000004</v>
      </c>
      <c r="Q5698">
        <v>0.11136219999999999</v>
      </c>
      <c r="R5698">
        <v>-0.75259330000000002</v>
      </c>
      <c r="S5698">
        <v>2.6724239999999999</v>
      </c>
      <c r="T5698">
        <v>-0.27741690000000002</v>
      </c>
      <c r="U5698">
        <v>-1.7420960000000001</v>
      </c>
      <c r="V5698">
        <v>-0.37213810000000003</v>
      </c>
      <c r="W5698">
        <v>0.1165684</v>
      </c>
      <c r="X5698">
        <v>0.92082850000000005</v>
      </c>
      <c r="Y5698">
        <v>-0.61174359999999905</v>
      </c>
      <c r="Z5698">
        <v>7.8677469999999999E-2</v>
      </c>
      <c r="AA5698">
        <v>0.78713389999999905</v>
      </c>
      <c r="AB5698">
        <v>30</v>
      </c>
      <c r="AC5698">
        <v>10.7888</v>
      </c>
      <c r="AD5698">
        <v>-1.1306905894979999</v>
      </c>
      <c r="AE5698">
        <v>-6.8274699999999902</v>
      </c>
      <c r="AF5698">
        <v>-7.9218959069467001</v>
      </c>
      <c r="AG5698">
        <v>-1.1306905894979999</v>
      </c>
      <c r="AH5698">
        <v>9.8857960326632401</v>
      </c>
      <c r="AI5698">
        <v>95.100342983922104</v>
      </c>
      <c r="AJ5698">
        <v>128.70663526243001</v>
      </c>
      <c r="AK5698">
        <v>12.7186421904658</v>
      </c>
      <c r="AL5698">
        <v>83.305904048938302</v>
      </c>
      <c r="AM5698">
        <v>112.005307998579</v>
      </c>
      <c r="AN5698">
        <v>1.0000000418812001</v>
      </c>
    </row>
    <row r="5699" spans="1:40" x14ac:dyDescent="0.25">
      <c r="A5699" t="str">
        <f>"20190303162416209"</f>
        <v>20190303162416209</v>
      </c>
      <c r="B5699" t="str">
        <f>"1551601456200913"</f>
        <v>1551601456200913</v>
      </c>
      <c r="C5699" t="s">
        <v>40</v>
      </c>
      <c r="D5699">
        <v>5.2664049999999998</v>
      </c>
      <c r="E5699">
        <v>0.40802680000000002</v>
      </c>
      <c r="F5699" t="s">
        <v>42</v>
      </c>
      <c r="G5699">
        <v>-299.26150000000001</v>
      </c>
      <c r="H5699">
        <v>1.0503420000000001</v>
      </c>
      <c r="I5699">
        <v>-48.139620000000001</v>
      </c>
      <c r="J5699">
        <v>-300.01589999999999</v>
      </c>
      <c r="K5699">
        <v>1.1306659999999999</v>
      </c>
      <c r="L5699">
        <v>-47.770389999999999</v>
      </c>
      <c r="M5699">
        <v>0.33644839999999998</v>
      </c>
      <c r="N5699">
        <v>-1.5538160000000001E-2</v>
      </c>
      <c r="O5699">
        <v>-0.94157389999999996</v>
      </c>
      <c r="P5699">
        <v>0.66094980000000003</v>
      </c>
      <c r="Q5699">
        <v>0.1118386</v>
      </c>
      <c r="R5699">
        <v>-0.74204959999999998</v>
      </c>
      <c r="S5699">
        <v>2.516022</v>
      </c>
      <c r="T5699">
        <v>-0.23576279999999999</v>
      </c>
      <c r="U5699">
        <v>-1.85141</v>
      </c>
      <c r="V5699">
        <v>-0.37570120000000001</v>
      </c>
      <c r="W5699">
        <v>0.1169496</v>
      </c>
      <c r="X5699">
        <v>0.91933200000000004</v>
      </c>
      <c r="Y5699">
        <v>-0.55695450000000002</v>
      </c>
      <c r="Z5699">
        <v>6.5594899999999998E-2</v>
      </c>
      <c r="AA5699">
        <v>0.82794859999999904</v>
      </c>
      <c r="AB5699">
        <v>30</v>
      </c>
      <c r="AC5699">
        <v>0.75439999999997498</v>
      </c>
      <c r="AD5699">
        <v>-8.0323999999999798E-2</v>
      </c>
      <c r="AE5699">
        <v>-0.369230000000001</v>
      </c>
      <c r="AF5699">
        <v>-0.58085475041161405</v>
      </c>
      <c r="AG5699">
        <v>-8.0323999999999798E-2</v>
      </c>
      <c r="AH5699">
        <v>0.59609471832338501</v>
      </c>
      <c r="AI5699">
        <v>95.512464665146197</v>
      </c>
      <c r="AJ5699">
        <v>134.25813548726501</v>
      </c>
      <c r="AK5699">
        <v>0.83616571280146001</v>
      </c>
      <c r="AL5699">
        <v>83.283911952992796</v>
      </c>
      <c r="AM5699">
        <v>112.228243739018</v>
      </c>
      <c r="AN5699">
        <v>0.99999996342279895</v>
      </c>
    </row>
    <row r="5700" spans="1:40" x14ac:dyDescent="0.25">
      <c r="A5700" t="str">
        <f>"20190303162416233"</f>
        <v>20190303162416233</v>
      </c>
      <c r="B5700" t="str">
        <f>"1551601456220433"</f>
        <v>1551601456220433</v>
      </c>
      <c r="C5700" t="s">
        <v>40</v>
      </c>
      <c r="D5700">
        <v>5.4194380000000004</v>
      </c>
      <c r="E5700">
        <v>0.3592651</v>
      </c>
      <c r="F5700" t="s">
        <v>42</v>
      </c>
      <c r="G5700">
        <v>-299.15690000000001</v>
      </c>
      <c r="H5700">
        <v>1.0496509999999999</v>
      </c>
      <c r="I5700">
        <v>-48.370620000000002</v>
      </c>
      <c r="J5700">
        <v>-299.9042</v>
      </c>
      <c r="K5700">
        <v>1.130671</v>
      </c>
      <c r="L5700">
        <v>-48.0441</v>
      </c>
      <c r="M5700">
        <v>0.34845609999999999</v>
      </c>
      <c r="N5700">
        <v>-1.554318E-2</v>
      </c>
      <c r="O5700">
        <v>-0.93719649999999999</v>
      </c>
      <c r="P5700">
        <v>0.67347900000000005</v>
      </c>
      <c r="Q5700">
        <v>0.11360480000000001</v>
      </c>
      <c r="R5700">
        <v>-0.73042459999999998</v>
      </c>
      <c r="S5700">
        <v>2.566681</v>
      </c>
      <c r="T5700">
        <v>-0.24204680000000001</v>
      </c>
      <c r="U5700">
        <v>-1.7931820000000001</v>
      </c>
      <c r="V5700">
        <v>-0.37972850000000002</v>
      </c>
      <c r="W5700">
        <v>0.1186064</v>
      </c>
      <c r="X5700">
        <v>0.91746320000000003</v>
      </c>
      <c r="Y5700">
        <v>-0.56652269999999905</v>
      </c>
      <c r="Z5700">
        <v>6.7766709999999994E-2</v>
      </c>
      <c r="AA5700">
        <v>0.82125499999999996</v>
      </c>
      <c r="AB5700">
        <v>30</v>
      </c>
      <c r="AC5700">
        <v>0.74729999999999497</v>
      </c>
      <c r="AD5700">
        <v>-8.1019999999999801E-2</v>
      </c>
      <c r="AE5700">
        <v>-0.32652000000000198</v>
      </c>
      <c r="AF5700">
        <v>-0.58092605769179695</v>
      </c>
      <c r="AG5700">
        <v>-8.1019999999999801E-2</v>
      </c>
      <c r="AH5700">
        <v>0.56094640993109302</v>
      </c>
      <c r="AI5700">
        <v>95.729212712701198</v>
      </c>
      <c r="AJ5700">
        <v>136.00241727811601</v>
      </c>
      <c r="AK5700">
        <v>0.81160347443805003</v>
      </c>
      <c r="AL5700">
        <v>83.188318987044298</v>
      </c>
      <c r="AM5700">
        <v>112.48415603705</v>
      </c>
      <c r="AN5700">
        <v>0.999999967593724</v>
      </c>
    </row>
    <row r="5701" spans="1:40" x14ac:dyDescent="0.25">
      <c r="A5701" t="str">
        <f>"20190303162416256"</f>
        <v>20190303162416256</v>
      </c>
      <c r="B5701" t="str">
        <f>"1551601456250688"</f>
        <v>1551601456250688</v>
      </c>
      <c r="C5701" t="s">
        <v>40</v>
      </c>
      <c r="D5701">
        <v>5.241873</v>
      </c>
      <c r="E5701">
        <v>0.35921360000000002</v>
      </c>
      <c r="F5701" t="s">
        <v>56</v>
      </c>
      <c r="G5701">
        <v>-292.33440000000002</v>
      </c>
      <c r="H5701" s="1">
        <v>-9.7831859999999998E-6</v>
      </c>
      <c r="I5701">
        <v>-51.980559999999997</v>
      </c>
      <c r="J5701">
        <v>-299.78710000000001</v>
      </c>
      <c r="K5701">
        <v>1.130674</v>
      </c>
      <c r="L5701">
        <v>-48.320950000000003</v>
      </c>
      <c r="M5701">
        <v>0.36061019999999999</v>
      </c>
      <c r="N5701">
        <v>-1.554674E-2</v>
      </c>
      <c r="O5701">
        <v>-0.93258700000000005</v>
      </c>
      <c r="P5701">
        <v>0.68356410000000001</v>
      </c>
      <c r="Q5701">
        <v>0.11740150000000001</v>
      </c>
      <c r="R5701">
        <v>-0.72038659999999999</v>
      </c>
      <c r="S5701">
        <v>2.8947750000000001</v>
      </c>
      <c r="T5701">
        <v>-0.43238280000000001</v>
      </c>
      <c r="U5701">
        <v>-1.505341</v>
      </c>
      <c r="V5701">
        <v>-0.38085950000000002</v>
      </c>
      <c r="W5701">
        <v>0.122381</v>
      </c>
      <c r="X5701">
        <v>0.91649820000000004</v>
      </c>
      <c r="Y5701">
        <v>-0.65306999999999904</v>
      </c>
      <c r="Z5701">
        <v>0.12805430000000001</v>
      </c>
      <c r="AA5701">
        <v>0.74639239999999996</v>
      </c>
      <c r="AB5701">
        <v>30</v>
      </c>
      <c r="AC5701">
        <v>7.4526999999999903</v>
      </c>
      <c r="AD5701">
        <v>-1.1306837831859999</v>
      </c>
      <c r="AE5701">
        <v>-3.65960999999999</v>
      </c>
      <c r="AF5701">
        <v>-5.5287456434402298</v>
      </c>
      <c r="AG5701">
        <v>-1.1306837831859999</v>
      </c>
      <c r="AH5701">
        <v>5.9900727950428898</v>
      </c>
      <c r="AI5701">
        <v>97.896970997169802</v>
      </c>
      <c r="AJ5701">
        <v>132.706537333027</v>
      </c>
      <c r="AK5701">
        <v>8.2296079066582504</v>
      </c>
      <c r="AL5701">
        <v>82.970463209545201</v>
      </c>
      <c r="AM5701">
        <v>112.56578995341199</v>
      </c>
      <c r="AN5701">
        <v>1.0000000092522401</v>
      </c>
    </row>
    <row r="5702" spans="1:40" x14ac:dyDescent="0.25">
      <c r="A5702" t="str">
        <f>"20190303162416280"</f>
        <v>20190303162416280</v>
      </c>
      <c r="B5702" t="str">
        <f>"1551601456270714"</f>
        <v>1551601456270714</v>
      </c>
      <c r="C5702" t="s">
        <v>40</v>
      </c>
      <c r="D5702">
        <v>5.300529</v>
      </c>
      <c r="E5702">
        <v>0.36041790000000001</v>
      </c>
      <c r="F5702" t="s">
        <v>56</v>
      </c>
      <c r="G5702">
        <v>-291.81270000000001</v>
      </c>
      <c r="H5702" s="1">
        <v>-9.9287649999999998E-6</v>
      </c>
      <c r="I5702">
        <v>-52.323860000000003</v>
      </c>
      <c r="J5702">
        <v>-299.6617</v>
      </c>
      <c r="K5702">
        <v>1.1306689999999999</v>
      </c>
      <c r="L5702">
        <v>-48.607059999999997</v>
      </c>
      <c r="M5702">
        <v>0.37318220000000002</v>
      </c>
      <c r="N5702">
        <v>-1.554905E-2</v>
      </c>
      <c r="O5702">
        <v>-0.92762789999999995</v>
      </c>
      <c r="P5702">
        <v>0.69308970000000003</v>
      </c>
      <c r="Q5702">
        <v>0.1182356</v>
      </c>
      <c r="R5702">
        <v>-0.71108909999999903</v>
      </c>
      <c r="S5702">
        <v>2.9168090000000002</v>
      </c>
      <c r="T5702">
        <v>-0.41356999999999999</v>
      </c>
      <c r="U5702">
        <v>-1.4641420000000001</v>
      </c>
      <c r="V5702">
        <v>-0.38073309999999999</v>
      </c>
      <c r="W5702">
        <v>0.123238</v>
      </c>
      <c r="X5702">
        <v>0.91643580000000002</v>
      </c>
      <c r="Y5702">
        <v>-0.65429479999999995</v>
      </c>
      <c r="Z5702">
        <v>0.122152</v>
      </c>
      <c r="AA5702">
        <v>0.74630909999999995</v>
      </c>
      <c r="AB5702">
        <v>30</v>
      </c>
      <c r="AC5702">
        <v>7.8489999999999798</v>
      </c>
      <c r="AD5702">
        <v>-1.1306789287649901</v>
      </c>
      <c r="AE5702">
        <v>-3.7167999999999899</v>
      </c>
      <c r="AF5702">
        <v>-5.7963680075956896</v>
      </c>
      <c r="AG5702">
        <v>-1.1306789287649901</v>
      </c>
      <c r="AH5702">
        <v>6.2713812876122796</v>
      </c>
      <c r="AI5702">
        <v>97.542161038341604</v>
      </c>
      <c r="AJ5702">
        <v>132.74587519140701</v>
      </c>
      <c r="AK5702">
        <v>8.6143218058095297</v>
      </c>
      <c r="AL5702">
        <v>82.920985681881405</v>
      </c>
      <c r="AM5702">
        <v>112.56043338291499</v>
      </c>
      <c r="AN5702">
        <v>0.99999993680062305</v>
      </c>
    </row>
    <row r="5703" spans="1:40" x14ac:dyDescent="0.25">
      <c r="A5703" t="str">
        <f>"20190303162416301"</f>
        <v>20190303162416301</v>
      </c>
      <c r="B5703" t="str">
        <f>"1551601456290234"</f>
        <v>1551601456290234</v>
      </c>
      <c r="C5703" t="s">
        <v>40</v>
      </c>
      <c r="D5703">
        <v>5.2614839999999896</v>
      </c>
      <c r="E5703">
        <v>0.3623384</v>
      </c>
      <c r="F5703" t="s">
        <v>56</v>
      </c>
      <c r="G5703">
        <v>-291.30419999999998</v>
      </c>
      <c r="H5703" s="1">
        <v>-1.007716E-5</v>
      </c>
      <c r="I5703">
        <v>-52.689160000000001</v>
      </c>
      <c r="J5703">
        <v>-299.54669999999999</v>
      </c>
      <c r="K5703">
        <v>1.130644</v>
      </c>
      <c r="L5703">
        <v>-48.860439999999997</v>
      </c>
      <c r="M5703">
        <v>0.38432680000000002</v>
      </c>
      <c r="N5703">
        <v>-1.5550019999999999E-2</v>
      </c>
      <c r="O5703">
        <v>-0.92306639999999995</v>
      </c>
      <c r="P5703">
        <v>0.70298359999999904</v>
      </c>
      <c r="Q5703">
        <v>0.115969</v>
      </c>
      <c r="R5703">
        <v>-0.70168759999999997</v>
      </c>
      <c r="S5703">
        <v>2.928528</v>
      </c>
      <c r="T5703">
        <v>-0.3961961</v>
      </c>
      <c r="U5703">
        <v>-1.4303889999999999</v>
      </c>
      <c r="V5703">
        <v>-0.38233099999999998</v>
      </c>
      <c r="W5703">
        <v>0.1209451</v>
      </c>
      <c r="X5703">
        <v>0.916076</v>
      </c>
      <c r="Y5703">
        <v>-0.65396880000000002</v>
      </c>
      <c r="Z5703">
        <v>0.1168223</v>
      </c>
      <c r="AA5703">
        <v>0.74744730000000004</v>
      </c>
      <c r="AB5703">
        <v>30</v>
      </c>
      <c r="AC5703">
        <v>8.2424999999999997</v>
      </c>
      <c r="AD5703">
        <v>-1.13065407716</v>
      </c>
      <c r="AE5703">
        <v>-3.8287199999999899</v>
      </c>
      <c r="AF5703">
        <v>-6.0440905580375901</v>
      </c>
      <c r="AG5703">
        <v>-1.13065407716</v>
      </c>
      <c r="AH5703">
        <v>6.6006265157542297</v>
      </c>
      <c r="AI5703">
        <v>97.200180953469896</v>
      </c>
      <c r="AJ5703">
        <v>132.47984909981901</v>
      </c>
      <c r="AK5703">
        <v>9.0209578048251302</v>
      </c>
      <c r="AL5703">
        <v>83.0533497094371</v>
      </c>
      <c r="AM5703">
        <v>112.653573131188</v>
      </c>
      <c r="AN5703">
        <v>0.99999997427550402</v>
      </c>
    </row>
    <row r="5704" spans="1:40" x14ac:dyDescent="0.25">
      <c r="A5704" t="str">
        <f>"20190303162416322"</f>
        <v>20190303162416322</v>
      </c>
      <c r="B5704" t="str">
        <f>"1551601456310730"</f>
        <v>1551601456310730</v>
      </c>
      <c r="C5704" t="s">
        <v>40</v>
      </c>
      <c r="D5704">
        <v>5.2928379999999997</v>
      </c>
      <c r="E5704">
        <v>0.36409150000000001</v>
      </c>
      <c r="F5704" t="s">
        <v>56</v>
      </c>
      <c r="G5704">
        <v>-291.14319999999998</v>
      </c>
      <c r="H5704" s="1">
        <v>-1.0117839999999999E-5</v>
      </c>
      <c r="I5704">
        <v>-52.867899999999999</v>
      </c>
      <c r="J5704">
        <v>-299.4332</v>
      </c>
      <c r="K5704">
        <v>1.130611</v>
      </c>
      <c r="L5704">
        <v>-49.102690000000003</v>
      </c>
      <c r="M5704">
        <v>0.39499069999999997</v>
      </c>
      <c r="N5704">
        <v>-1.554993E-2</v>
      </c>
      <c r="O5704">
        <v>-0.91855350000000002</v>
      </c>
      <c r="P5704">
        <v>0.71308079999999996</v>
      </c>
      <c r="Q5704">
        <v>0.1127928</v>
      </c>
      <c r="R5704">
        <v>-0.69194919999999904</v>
      </c>
      <c r="S5704">
        <v>2.935425</v>
      </c>
      <c r="T5704">
        <v>-0.39494760000000001</v>
      </c>
      <c r="U5704">
        <v>-1.3998409999999999</v>
      </c>
      <c r="V5704">
        <v>-0.38471300000000003</v>
      </c>
      <c r="W5704">
        <v>0.11772009999999999</v>
      </c>
      <c r="X5704">
        <v>0.9154987</v>
      </c>
      <c r="Y5704">
        <v>-0.65227159999999995</v>
      </c>
      <c r="Z5704">
        <v>0.1167004</v>
      </c>
      <c r="AA5704">
        <v>0.74894780000000005</v>
      </c>
      <c r="AB5704">
        <v>29</v>
      </c>
      <c r="AC5704">
        <v>8.2900000000000098</v>
      </c>
      <c r="AD5704">
        <v>-1.1306211178399901</v>
      </c>
      <c r="AE5704">
        <v>-3.76520999999999</v>
      </c>
      <c r="AF5704">
        <v>-6.0352648303451604</v>
      </c>
      <c r="AG5704">
        <v>-1.1306211178399901</v>
      </c>
      <c r="AH5704">
        <v>6.6315772531647097</v>
      </c>
      <c r="AI5704">
        <v>97.186538614590802</v>
      </c>
      <c r="AJ5704">
        <v>132.304696895744</v>
      </c>
      <c r="AK5704">
        <v>9.0377288379989906</v>
      </c>
      <c r="AL5704">
        <v>83.239458679869102</v>
      </c>
      <c r="AM5704">
        <v>112.793233474494</v>
      </c>
      <c r="AN5704">
        <v>0.99999999200735001</v>
      </c>
    </row>
    <row r="5705" spans="1:40" x14ac:dyDescent="0.25">
      <c r="A5705" t="str">
        <f>"20190303162416345"</f>
        <v>20190303162416345</v>
      </c>
      <c r="B5705" t="str">
        <f>"1551601456340987"</f>
        <v>1551601456340987</v>
      </c>
      <c r="C5705" t="s">
        <v>40</v>
      </c>
      <c r="D5705">
        <v>5.2627329999999999</v>
      </c>
      <c r="E5705">
        <v>0.36661139999999998</v>
      </c>
      <c r="F5705" t="s">
        <v>56</v>
      </c>
      <c r="G5705">
        <v>-291.19799999999998</v>
      </c>
      <c r="H5705" s="1">
        <v>-1.0091270000000001E-5</v>
      </c>
      <c r="I5705">
        <v>-52.934330000000003</v>
      </c>
      <c r="J5705">
        <v>-299.30360000000002</v>
      </c>
      <c r="K5705">
        <v>1.130585</v>
      </c>
      <c r="L5705">
        <v>-49.370179999999998</v>
      </c>
      <c r="M5705">
        <v>0.40677619999999998</v>
      </c>
      <c r="N5705">
        <v>-1.554897E-2</v>
      </c>
      <c r="O5705">
        <v>-0.91339559999999997</v>
      </c>
      <c r="P5705">
        <v>0.7235994</v>
      </c>
      <c r="Q5705">
        <v>0.1117871</v>
      </c>
      <c r="R5705">
        <v>-0.68110780000000004</v>
      </c>
      <c r="S5705">
        <v>2.9425050000000001</v>
      </c>
      <c r="T5705">
        <v>-0.4039817</v>
      </c>
      <c r="U5705">
        <v>-1.3690800000000001</v>
      </c>
      <c r="V5705">
        <v>-0.38686559999999998</v>
      </c>
      <c r="W5705">
        <v>0.1166721</v>
      </c>
      <c r="X5705">
        <v>0.91472540000000002</v>
      </c>
      <c r="Y5705">
        <v>-0.64931490000000003</v>
      </c>
      <c r="Z5705">
        <v>0.1198138</v>
      </c>
      <c r="AA5705">
        <v>0.75102250000000004</v>
      </c>
      <c r="AB5705">
        <v>29</v>
      </c>
      <c r="AC5705">
        <v>8.1056000000000292</v>
      </c>
      <c r="AD5705">
        <v>-1.13059509127</v>
      </c>
      <c r="AE5705">
        <v>-3.5641500000000002</v>
      </c>
      <c r="AF5705">
        <v>-5.8590060021395498</v>
      </c>
      <c r="AG5705">
        <v>-1.13059509127</v>
      </c>
      <c r="AH5705">
        <v>6.4483068977966003</v>
      </c>
      <c r="AI5705">
        <v>97.393738267426698</v>
      </c>
      <c r="AJ5705">
        <v>132.25864728175199</v>
      </c>
      <c r="AK5705">
        <v>8.7856051835762692</v>
      </c>
      <c r="AL5705">
        <v>83.299921134917</v>
      </c>
      <c r="AM5705">
        <v>112.925001808365</v>
      </c>
      <c r="AN5705">
        <v>0.99999996439346395</v>
      </c>
    </row>
    <row r="5706" spans="1:40" x14ac:dyDescent="0.25">
      <c r="A5706" t="str">
        <f>"20190303162416367"</f>
        <v>20190303162416367</v>
      </c>
      <c r="B5706" t="str">
        <f>"1551601456360507"</f>
        <v>1551601456360507</v>
      </c>
      <c r="C5706" t="s">
        <v>40</v>
      </c>
      <c r="D5706">
        <v>5.2984710000000002</v>
      </c>
      <c r="E5706">
        <v>0.3680793</v>
      </c>
      <c r="F5706" t="s">
        <v>56</v>
      </c>
      <c r="G5706">
        <v>-291.14229999999998</v>
      </c>
      <c r="H5706" s="1">
        <v>-1.00969E-5</v>
      </c>
      <c r="I5706">
        <v>-53.080860000000001</v>
      </c>
      <c r="J5706">
        <v>-299.17689999999999</v>
      </c>
      <c r="K5706">
        <v>1.130552</v>
      </c>
      <c r="L5706">
        <v>-49.623750000000001</v>
      </c>
      <c r="M5706">
        <v>0.41795759999999998</v>
      </c>
      <c r="N5706">
        <v>-1.554705E-2</v>
      </c>
      <c r="O5706">
        <v>-0.90833370000000002</v>
      </c>
      <c r="P5706">
        <v>0.73407540000000004</v>
      </c>
      <c r="Q5706">
        <v>0.1114991</v>
      </c>
      <c r="R5706">
        <v>-0.66985189999999994</v>
      </c>
      <c r="S5706">
        <v>2.9475709999999999</v>
      </c>
      <c r="T5706">
        <v>-0.40832610000000003</v>
      </c>
      <c r="U5706">
        <v>-1.340149</v>
      </c>
      <c r="V5706">
        <v>-0.38979190000000002</v>
      </c>
      <c r="W5706">
        <v>0.1163169</v>
      </c>
      <c r="X5706">
        <v>0.9135276</v>
      </c>
      <c r="Y5706">
        <v>-0.64641169999999903</v>
      </c>
      <c r="Z5706">
        <v>0.121424</v>
      </c>
      <c r="AA5706">
        <v>0.75326499999999996</v>
      </c>
      <c r="AB5706">
        <v>29</v>
      </c>
      <c r="AC5706">
        <v>8.03460000000001</v>
      </c>
      <c r="AD5706">
        <v>-1.1305620968999901</v>
      </c>
      <c r="AE5706">
        <v>-3.4571099999999899</v>
      </c>
      <c r="AF5706">
        <v>-5.7576869314772496</v>
      </c>
      <c r="AG5706">
        <v>-1.1305620968999901</v>
      </c>
      <c r="AH5706">
        <v>6.3923212441358102</v>
      </c>
      <c r="AI5706">
        <v>97.486560259403305</v>
      </c>
      <c r="AJ5706">
        <v>132.009972971362</v>
      </c>
      <c r="AK5706">
        <v>8.6770329228418195</v>
      </c>
      <c r="AL5706">
        <v>83.3204124271995</v>
      </c>
      <c r="AM5706">
        <v>113.10739462899301</v>
      </c>
      <c r="AN5706">
        <v>1.00000001124649</v>
      </c>
    </row>
    <row r="5707" spans="1:40" x14ac:dyDescent="0.25">
      <c r="A5707" t="str">
        <f>"20190303162416390"</f>
        <v>20190303162416390</v>
      </c>
      <c r="B5707" t="str">
        <f>"1551601456380534"</f>
        <v>1551601456380534</v>
      </c>
      <c r="C5707" t="s">
        <v>40</v>
      </c>
      <c r="D5707">
        <v>5.3339049999999997</v>
      </c>
      <c r="E5707">
        <v>0.36927169999999998</v>
      </c>
      <c r="F5707" t="s">
        <v>56</v>
      </c>
      <c r="G5707">
        <v>-290.85930000000002</v>
      </c>
      <c r="H5707" s="1">
        <v>-1.0179759999999999E-5</v>
      </c>
      <c r="I5707">
        <v>-53.281559999999999</v>
      </c>
      <c r="J5707">
        <v>-299.04379999999998</v>
      </c>
      <c r="K5707">
        <v>1.130511</v>
      </c>
      <c r="L5707">
        <v>-49.881900000000002</v>
      </c>
      <c r="M5707">
        <v>0.4293476</v>
      </c>
      <c r="N5707">
        <v>-1.554433E-2</v>
      </c>
      <c r="O5707">
        <v>-0.90300559999999996</v>
      </c>
      <c r="P5707">
        <v>0.74456089999999997</v>
      </c>
      <c r="Q5707">
        <v>0.1095334</v>
      </c>
      <c r="R5707">
        <v>-0.65850699999999995</v>
      </c>
      <c r="S5707">
        <v>2.9600520000000001</v>
      </c>
      <c r="T5707">
        <v>-0.40234049999999999</v>
      </c>
      <c r="U5707">
        <v>-1.3017270000000001</v>
      </c>
      <c r="V5707">
        <v>-0.39253369999999999</v>
      </c>
      <c r="W5707">
        <v>0.1142944</v>
      </c>
      <c r="X5707">
        <v>0.91260839999999999</v>
      </c>
      <c r="Y5707">
        <v>-0.6464299</v>
      </c>
      <c r="Z5707">
        <v>0.119682</v>
      </c>
      <c r="AA5707">
        <v>0.75352810000000003</v>
      </c>
      <c r="AB5707">
        <v>29</v>
      </c>
      <c r="AC5707">
        <v>8.1844999999999501</v>
      </c>
      <c r="AD5707">
        <v>-1.1305211797600001</v>
      </c>
      <c r="AE5707">
        <v>-3.3996599999999901</v>
      </c>
      <c r="AF5707">
        <v>-5.8367531135330104</v>
      </c>
      <c r="AG5707">
        <v>-1.1305211797600001</v>
      </c>
      <c r="AH5707">
        <v>6.4792707848564701</v>
      </c>
      <c r="AI5707">
        <v>97.3865259794579</v>
      </c>
      <c r="AJ5707">
        <v>132.01362972812001</v>
      </c>
      <c r="AK5707">
        <v>8.7935609936883896</v>
      </c>
      <c r="AL5707">
        <v>83.437071218086004</v>
      </c>
      <c r="AM5707">
        <v>113.273643576319</v>
      </c>
      <c r="AN5707">
        <v>1.0000000036287999</v>
      </c>
    </row>
    <row r="5708" spans="1:40" x14ac:dyDescent="0.25">
      <c r="A5708" t="str">
        <f>"20190303162416413"</f>
        <v>20190303162416413</v>
      </c>
      <c r="B5708" t="str">
        <f>"1551601456401029"</f>
        <v>1551601456401029</v>
      </c>
      <c r="C5708" t="s">
        <v>40</v>
      </c>
      <c r="D5708">
        <v>5.3502519999999896</v>
      </c>
      <c r="E5708">
        <v>0.36993090000000001</v>
      </c>
      <c r="F5708" t="s">
        <v>56</v>
      </c>
      <c r="G5708">
        <v>-290.75119999999998</v>
      </c>
      <c r="H5708" s="1">
        <v>-1.020745E-5</v>
      </c>
      <c r="I5708">
        <v>-53.397620000000003</v>
      </c>
      <c r="J5708">
        <v>-298.89929999999998</v>
      </c>
      <c r="K5708">
        <v>1.130463</v>
      </c>
      <c r="L5708">
        <v>-50.153559999999999</v>
      </c>
      <c r="M5708">
        <v>0.44133729999999899</v>
      </c>
      <c r="N5708">
        <v>-1.554086E-2</v>
      </c>
      <c r="O5708">
        <v>-0.89720659999999897</v>
      </c>
      <c r="P5708">
        <v>0.75467629999999997</v>
      </c>
      <c r="Q5708">
        <v>0.1066768</v>
      </c>
      <c r="R5708">
        <v>-0.64736649999999996</v>
      </c>
      <c r="S5708">
        <v>2.9738159999999998</v>
      </c>
      <c r="T5708">
        <v>-0.4054161</v>
      </c>
      <c r="U5708">
        <v>-1.2607729999999999</v>
      </c>
      <c r="V5708">
        <v>-0.39423540000000001</v>
      </c>
      <c r="W5708">
        <v>0.1114166</v>
      </c>
      <c r="X5708">
        <v>0.91223069999999895</v>
      </c>
      <c r="Y5708">
        <v>-0.64622170000000001</v>
      </c>
      <c r="Z5708">
        <v>0.1208057</v>
      </c>
      <c r="AA5708">
        <v>0.75352739999999996</v>
      </c>
      <c r="AB5708">
        <v>29</v>
      </c>
      <c r="AC5708">
        <v>8.1480999999999995</v>
      </c>
      <c r="AD5708">
        <v>-1.1304732074499999</v>
      </c>
      <c r="AE5708">
        <v>-3.24405999999999</v>
      </c>
      <c r="AF5708">
        <v>-5.78342200219533</v>
      </c>
      <c r="AG5708">
        <v>-1.1304732074499999</v>
      </c>
      <c r="AH5708">
        <v>6.4010833748445197</v>
      </c>
      <c r="AI5708">
        <v>97.4656068819978</v>
      </c>
      <c r="AJ5708">
        <v>132.09802558061801</v>
      </c>
      <c r="AK5708">
        <v>8.7005636656454701</v>
      </c>
      <c r="AL5708">
        <v>83.603017399948101</v>
      </c>
      <c r="AM5708">
        <v>113.37237551496899</v>
      </c>
      <c r="AN5708">
        <v>1.0000000296956</v>
      </c>
    </row>
    <row r="5709" spans="1:40" x14ac:dyDescent="0.25">
      <c r="A5709" t="str">
        <f>"20190303162416434"</f>
        <v>20190303162416434</v>
      </c>
      <c r="B5709" t="str">
        <f>"1551601456420550"</f>
        <v>1551601456420550</v>
      </c>
      <c r="C5709" t="s">
        <v>40</v>
      </c>
      <c r="D5709">
        <v>5.4026750000000003</v>
      </c>
      <c r="E5709">
        <v>0.38536540000000002</v>
      </c>
      <c r="F5709" t="s">
        <v>56</v>
      </c>
      <c r="G5709">
        <v>-290.71960000000001</v>
      </c>
      <c r="H5709" s="1">
        <v>-1.02098E-5</v>
      </c>
      <c r="I5709">
        <v>-53.489109999999997</v>
      </c>
      <c r="J5709">
        <v>-298.7758</v>
      </c>
      <c r="K5709">
        <v>1.1304190000000001</v>
      </c>
      <c r="L5709">
        <v>-50.378999999999998</v>
      </c>
      <c r="M5709">
        <v>0.45129049999999998</v>
      </c>
      <c r="N5709">
        <v>-1.5537250000000001E-2</v>
      </c>
      <c r="O5709">
        <v>-0.89224179999999997</v>
      </c>
      <c r="P5709">
        <v>0.76242600000000005</v>
      </c>
      <c r="Q5709">
        <v>0.1050697</v>
      </c>
      <c r="R5709">
        <v>-0.63848769999999999</v>
      </c>
      <c r="S5709">
        <v>2.9882810000000002</v>
      </c>
      <c r="T5709">
        <v>-0.4129931</v>
      </c>
      <c r="U5709">
        <v>-1.218567</v>
      </c>
      <c r="V5709">
        <v>-0.39491989999999999</v>
      </c>
      <c r="W5709">
        <v>0.1098157</v>
      </c>
      <c r="X5709">
        <v>0.91212870000000001</v>
      </c>
      <c r="Y5709">
        <v>-0.64784069999999905</v>
      </c>
      <c r="Z5709">
        <v>0.1234229</v>
      </c>
      <c r="AA5709">
        <v>0.75171080000000001</v>
      </c>
      <c r="AB5709">
        <v>29</v>
      </c>
      <c r="AC5709">
        <v>8.0561999999999898</v>
      </c>
      <c r="AD5709">
        <v>-1.1304292097999999</v>
      </c>
      <c r="AE5709">
        <v>-3.1101099999999899</v>
      </c>
      <c r="AF5709">
        <v>-5.6877522177882103</v>
      </c>
      <c r="AG5709">
        <v>-1.1304292097999999</v>
      </c>
      <c r="AH5709">
        <v>6.3034195354927203</v>
      </c>
      <c r="AI5709">
        <v>97.5840444285692</v>
      </c>
      <c r="AJ5709">
        <v>132.06082176291699</v>
      </c>
      <c r="AK5709">
        <v>8.5651324175260104</v>
      </c>
      <c r="AL5709">
        <v>83.6953083442435</v>
      </c>
      <c r="AM5709">
        <v>113.41092798664999</v>
      </c>
      <c r="AN5709">
        <v>0.99999999037309495</v>
      </c>
    </row>
    <row r="5710" spans="1:40" x14ac:dyDescent="0.25">
      <c r="A5710" t="str">
        <f>"20190303162416457"</f>
        <v>20190303162416457</v>
      </c>
      <c r="B5710" t="str">
        <f>"1551601456450805"</f>
        <v>1551601456450805</v>
      </c>
      <c r="C5710" t="s">
        <v>40</v>
      </c>
      <c r="D5710">
        <v>5.4299390000000001</v>
      </c>
      <c r="E5710">
        <v>0.38809650000000001</v>
      </c>
      <c r="F5710" t="s">
        <v>56</v>
      </c>
      <c r="G5710">
        <v>-290.06810000000002</v>
      </c>
      <c r="H5710" s="1">
        <v>-1.03777399999999E-5</v>
      </c>
      <c r="I5710">
        <v>-54.179360000000003</v>
      </c>
      <c r="J5710">
        <v>-298.62689999999998</v>
      </c>
      <c r="K5710">
        <v>1.130379</v>
      </c>
      <c r="L5710">
        <v>-50.64349</v>
      </c>
      <c r="M5710">
        <v>0.46295920000000002</v>
      </c>
      <c r="N5710">
        <v>-1.5531909999999999E-2</v>
      </c>
      <c r="O5710">
        <v>-0.88624380000000003</v>
      </c>
      <c r="P5710">
        <v>0.77197899999999997</v>
      </c>
      <c r="Q5710">
        <v>0.1047255</v>
      </c>
      <c r="R5710">
        <v>-0.62696209999999997</v>
      </c>
      <c r="S5710">
        <v>2.919861</v>
      </c>
      <c r="T5710">
        <v>-0.37905100000000003</v>
      </c>
      <c r="U5710">
        <v>-1.2743230000000001</v>
      </c>
      <c r="V5710">
        <v>-0.39667940000000002</v>
      </c>
      <c r="W5710">
        <v>0.1094503</v>
      </c>
      <c r="X5710">
        <v>0.91140880000000002</v>
      </c>
      <c r="Y5710">
        <v>-0.62043059999999906</v>
      </c>
      <c r="Z5710">
        <v>0.1127658</v>
      </c>
      <c r="AA5710">
        <v>0.77611200000000002</v>
      </c>
      <c r="AB5710">
        <v>29</v>
      </c>
      <c r="AC5710">
        <v>8.5587999999999607</v>
      </c>
      <c r="AD5710">
        <v>-1.13038937773999</v>
      </c>
      <c r="AE5710">
        <v>-3.5358699999999899</v>
      </c>
      <c r="AF5710">
        <v>-5.8615964646972198</v>
      </c>
      <c r="AG5710">
        <v>-1.13038937773999</v>
      </c>
      <c r="AH5710">
        <v>6.99267935384285</v>
      </c>
      <c r="AI5710">
        <v>97.062136228034802</v>
      </c>
      <c r="AJ5710">
        <v>129.971339458453</v>
      </c>
      <c r="AK5710">
        <v>9.1942187164499494</v>
      </c>
      <c r="AL5710">
        <v>83.716370979834196</v>
      </c>
      <c r="AM5710">
        <v>113.520487705395</v>
      </c>
      <c r="AN5710">
        <v>0.99999995763594396</v>
      </c>
    </row>
    <row r="5711" spans="1:40" x14ac:dyDescent="0.25">
      <c r="A5711" t="str">
        <f>"20190303162416481"</f>
        <v>20190303162416481</v>
      </c>
      <c r="B5711" t="str">
        <f>"1551601456470833"</f>
        <v>1551601456470833</v>
      </c>
      <c r="C5711" t="s">
        <v>40</v>
      </c>
      <c r="D5711">
        <v>5.4398689999999998</v>
      </c>
      <c r="E5711">
        <v>0.38916529999999999</v>
      </c>
      <c r="F5711" t="s">
        <v>56</v>
      </c>
      <c r="G5711">
        <v>-289.60759999999999</v>
      </c>
      <c r="H5711" s="1">
        <v>-2.391419E-6</v>
      </c>
      <c r="I5711">
        <v>-54.488039999999998</v>
      </c>
      <c r="J5711">
        <v>-298.47620000000001</v>
      </c>
      <c r="K5711">
        <v>1.1303449999999999</v>
      </c>
      <c r="L5711">
        <v>-50.903320000000001</v>
      </c>
      <c r="M5711">
        <v>0.4744139</v>
      </c>
      <c r="N5711">
        <v>-1.552536E-2</v>
      </c>
      <c r="O5711">
        <v>-0.88016519999999998</v>
      </c>
      <c r="P5711">
        <v>0.78095199999999998</v>
      </c>
      <c r="Q5711">
        <v>0.1047492</v>
      </c>
      <c r="R5711">
        <v>-0.61574519999999899</v>
      </c>
      <c r="S5711">
        <v>2.9236759999999999</v>
      </c>
      <c r="T5711">
        <v>-0.3664232</v>
      </c>
      <c r="U5711">
        <v>-1.246246</v>
      </c>
      <c r="V5711">
        <v>-0.39801330000000001</v>
      </c>
      <c r="W5711">
        <v>0.1094673</v>
      </c>
      <c r="X5711">
        <v>0.91082510000000005</v>
      </c>
      <c r="Y5711">
        <v>-0.617403699999999</v>
      </c>
      <c r="Z5711">
        <v>0.108749</v>
      </c>
      <c r="AA5711">
        <v>0.77909340000000005</v>
      </c>
      <c r="AB5711">
        <v>29</v>
      </c>
      <c r="AC5711">
        <v>8.8686000000000096</v>
      </c>
      <c r="AD5711">
        <v>-1.1303473914190001</v>
      </c>
      <c r="AE5711">
        <v>-3.5847199999999999</v>
      </c>
      <c r="AF5711">
        <v>-6.0218413773912598</v>
      </c>
      <c r="AG5711">
        <v>-1.1303473914190001</v>
      </c>
      <c r="AH5711">
        <v>7.2620164296720402</v>
      </c>
      <c r="AI5711">
        <v>96.832434074279504</v>
      </c>
      <c r="AJ5711">
        <v>129.66635171102399</v>
      </c>
      <c r="AK5711">
        <v>9.5014283886464099</v>
      </c>
      <c r="AL5711">
        <v>83.715391455600397</v>
      </c>
      <c r="AM5711">
        <v>113.60441575893201</v>
      </c>
      <c r="AN5711">
        <v>1.0000000197680901</v>
      </c>
    </row>
    <row r="5712" spans="1:40" x14ac:dyDescent="0.25">
      <c r="A5712" t="str">
        <f>"20190303162416501"</f>
        <v>20190303162416501</v>
      </c>
      <c r="B5712" t="str">
        <f>"1551601456490353"</f>
        <v>1551601456490353</v>
      </c>
      <c r="C5712" t="s">
        <v>40</v>
      </c>
      <c r="D5712">
        <v>5.4719449999999998</v>
      </c>
      <c r="E5712">
        <v>0.3901578</v>
      </c>
      <c r="F5712" t="s">
        <v>42</v>
      </c>
      <c r="G5712">
        <v>-297.61959999999999</v>
      </c>
      <c r="H5712">
        <v>1.0241469999999999</v>
      </c>
      <c r="I5712">
        <v>-51.256180000000001</v>
      </c>
      <c r="J5712">
        <v>-298.34570000000002</v>
      </c>
      <c r="K5712">
        <v>1.1303179999999999</v>
      </c>
      <c r="L5712">
        <v>-51.121859999999998</v>
      </c>
      <c r="M5712">
        <v>0.48404580000000003</v>
      </c>
      <c r="N5712">
        <v>-1.5519069999999999E-2</v>
      </c>
      <c r="O5712">
        <v>-0.87490509999999999</v>
      </c>
      <c r="P5712">
        <v>0.78718140000000003</v>
      </c>
      <c r="Q5712">
        <v>0.10541739999999999</v>
      </c>
      <c r="R5712">
        <v>-0.607645199999999</v>
      </c>
      <c r="S5712">
        <v>2.936493</v>
      </c>
      <c r="T5712">
        <v>-0.3640698</v>
      </c>
      <c r="U5712">
        <v>-1.2097169999999999</v>
      </c>
      <c r="V5712">
        <v>-0.39735179999999998</v>
      </c>
      <c r="W5712">
        <v>0.1101835</v>
      </c>
      <c r="X5712">
        <v>0.91102760000000005</v>
      </c>
      <c r="Y5712">
        <v>-0.61835509999999905</v>
      </c>
      <c r="Z5712">
        <v>0.1080372</v>
      </c>
      <c r="AA5712">
        <v>0.7784375</v>
      </c>
      <c r="AB5712">
        <v>29</v>
      </c>
      <c r="AC5712">
        <v>0.72610000000003005</v>
      </c>
      <c r="AD5712">
        <v>-0.106171</v>
      </c>
      <c r="AE5712">
        <v>-0.13432000000000199</v>
      </c>
      <c r="AF5712">
        <v>-0.55876872677041101</v>
      </c>
      <c r="AG5712">
        <v>-0.106171</v>
      </c>
      <c r="AH5712">
        <v>0.45953926374913001</v>
      </c>
      <c r="AI5712">
        <v>98.3487821897007</v>
      </c>
      <c r="AJ5712">
        <v>140.56564004152699</v>
      </c>
      <c r="AK5712">
        <v>0.73121208016875605</v>
      </c>
      <c r="AL5712">
        <v>83.674106814724098</v>
      </c>
      <c r="AM5712">
        <v>113.56479867427301</v>
      </c>
      <c r="AN5712">
        <v>1.00000007229862</v>
      </c>
    </row>
    <row r="5713" spans="1:40" x14ac:dyDescent="0.25">
      <c r="A5713" t="str">
        <f>"20190303162416523"</f>
        <v>20190303162416523</v>
      </c>
      <c r="B5713" t="str">
        <f>"1551601456510849"</f>
        <v>1551601456510849</v>
      </c>
      <c r="C5713" t="s">
        <v>40</v>
      </c>
      <c r="D5713">
        <v>5.4651620000000003</v>
      </c>
      <c r="E5713">
        <v>0.39125690000000002</v>
      </c>
      <c r="F5713" t="s">
        <v>42</v>
      </c>
      <c r="G5713">
        <v>-297.48660000000001</v>
      </c>
      <c r="H5713">
        <v>1.025523</v>
      </c>
      <c r="I5713">
        <v>-51.467449999999999</v>
      </c>
      <c r="J5713">
        <v>-298.19880000000001</v>
      </c>
      <c r="K5713">
        <v>1.130287</v>
      </c>
      <c r="L5713">
        <v>-51.361910000000002</v>
      </c>
      <c r="M5713">
        <v>0.49462010000000001</v>
      </c>
      <c r="N5713">
        <v>-1.5511840000000001E-2</v>
      </c>
      <c r="O5713">
        <v>-0.86897099999999905</v>
      </c>
      <c r="P5713">
        <v>0.79266780000000003</v>
      </c>
      <c r="Q5713">
        <v>0.1065002</v>
      </c>
      <c r="R5713">
        <v>-0.60027969999999997</v>
      </c>
      <c r="S5713">
        <v>2.9449459999999998</v>
      </c>
      <c r="T5713">
        <v>-0.35918460000000002</v>
      </c>
      <c r="U5713">
        <v>-1.1843570000000001</v>
      </c>
      <c r="V5713">
        <v>-0.3946809</v>
      </c>
      <c r="W5713">
        <v>0.1113768</v>
      </c>
      <c r="X5713">
        <v>0.91204289999999999</v>
      </c>
      <c r="Y5713">
        <v>-0.6155851</v>
      </c>
      <c r="Z5713">
        <v>0.106295</v>
      </c>
      <c r="AA5713">
        <v>0.78086889999999998</v>
      </c>
      <c r="AB5713">
        <v>29</v>
      </c>
      <c r="AC5713">
        <v>0.71219999999999495</v>
      </c>
      <c r="AD5713">
        <v>-0.104764</v>
      </c>
      <c r="AE5713">
        <v>-0.10554000000000401</v>
      </c>
      <c r="AF5713">
        <v>-0.55499601827989997</v>
      </c>
      <c r="AG5713">
        <v>-0.104764</v>
      </c>
      <c r="AH5713">
        <v>0.43482633925006198</v>
      </c>
      <c r="AI5713">
        <v>98.451797495236306</v>
      </c>
      <c r="AJ5713">
        <v>141.92213486068999</v>
      </c>
      <c r="AK5713">
        <v>0.71279030668784604</v>
      </c>
      <c r="AL5713">
        <v>83.605312042396307</v>
      </c>
      <c r="AM5713">
        <v>113.40024836059099</v>
      </c>
      <c r="AN5713">
        <v>1.00000002792172</v>
      </c>
    </row>
    <row r="5714" spans="1:40" x14ac:dyDescent="0.25">
      <c r="A5714" t="str">
        <f>"20190303162416545"</f>
        <v>20190303162416545</v>
      </c>
      <c r="B5714" t="str">
        <f>"1551601456541104"</f>
        <v>1551601456541104</v>
      </c>
      <c r="C5714" t="s">
        <v>40</v>
      </c>
      <c r="D5714">
        <v>5.4835729999999998</v>
      </c>
      <c r="E5714">
        <v>0.3927889</v>
      </c>
      <c r="F5714" t="s">
        <v>56</v>
      </c>
      <c r="G5714">
        <v>-288.67590000000001</v>
      </c>
      <c r="H5714" s="1">
        <v>-2.8035759999999999E-6</v>
      </c>
      <c r="I5714">
        <v>-55.114620000000002</v>
      </c>
      <c r="J5714">
        <v>-298.04629999999997</v>
      </c>
      <c r="K5714">
        <v>1.130255</v>
      </c>
      <c r="L5714">
        <v>-51.603760000000001</v>
      </c>
      <c r="M5714">
        <v>0.50527829999999996</v>
      </c>
      <c r="N5714">
        <v>-1.5504520000000001E-2</v>
      </c>
      <c r="O5714">
        <v>-0.86281719999999895</v>
      </c>
      <c r="P5714">
        <v>0.79834680000000002</v>
      </c>
      <c r="Q5714">
        <v>0.10727100000000001</v>
      </c>
      <c r="R5714">
        <v>-0.592566699999999</v>
      </c>
      <c r="S5714">
        <v>2.95105</v>
      </c>
      <c r="T5714">
        <v>-0.35026679999999999</v>
      </c>
      <c r="U5714">
        <v>-1.162933</v>
      </c>
      <c r="V5714">
        <v>-0.39221129999999998</v>
      </c>
      <c r="W5714">
        <v>0.1122496</v>
      </c>
      <c r="X5714">
        <v>0.9130007</v>
      </c>
      <c r="Y5714">
        <v>-0.6116994</v>
      </c>
      <c r="Z5714">
        <v>0.1032048</v>
      </c>
      <c r="AA5714">
        <v>0.78432939999999995</v>
      </c>
      <c r="AB5714">
        <v>29</v>
      </c>
      <c r="AC5714">
        <v>9.3703999999999592</v>
      </c>
      <c r="AD5714">
        <v>-1.130257803576</v>
      </c>
      <c r="AE5714">
        <v>-3.5108599999999899</v>
      </c>
      <c r="AF5714">
        <v>-6.2322275405986201</v>
      </c>
      <c r="AG5714">
        <v>-1.130257803576</v>
      </c>
      <c r="AH5714">
        <v>7.6670062560035497</v>
      </c>
      <c r="AI5714">
        <v>96.525877710726704</v>
      </c>
      <c r="AJ5714">
        <v>129.10639287296601</v>
      </c>
      <c r="AK5714">
        <v>9.9449046124102196</v>
      </c>
      <c r="AL5714">
        <v>83.554988393296597</v>
      </c>
      <c r="AM5714">
        <v>113.247628883884</v>
      </c>
      <c r="AN5714">
        <v>0.99999997737416901</v>
      </c>
    </row>
    <row r="5715" spans="1:40" x14ac:dyDescent="0.25">
      <c r="A5715" t="str">
        <f>"20190303162416568"</f>
        <v>20190303162416568</v>
      </c>
      <c r="B5715" t="str">
        <f>"1551601456560625"</f>
        <v>1551601456560625</v>
      </c>
      <c r="C5715" t="s">
        <v>40</v>
      </c>
      <c r="D5715">
        <v>5.5084030000000004</v>
      </c>
      <c r="E5715">
        <v>0.3938277</v>
      </c>
      <c r="F5715" t="s">
        <v>56</v>
      </c>
      <c r="G5715">
        <v>-288.40140000000002</v>
      </c>
      <c r="H5715" s="1">
        <v>-2.9148320000000001E-6</v>
      </c>
      <c r="I5715">
        <v>-55.344990000000003</v>
      </c>
      <c r="J5715">
        <v>-297.88909999999998</v>
      </c>
      <c r="K5715">
        <v>1.130226</v>
      </c>
      <c r="L5715">
        <v>-51.846559999999997</v>
      </c>
      <c r="M5715">
        <v>0.51597700000000002</v>
      </c>
      <c r="N5715">
        <v>-1.5497230000000001E-2</v>
      </c>
      <c r="O5715">
        <v>-0.85646219999999995</v>
      </c>
      <c r="P5715">
        <v>0.80513190000000001</v>
      </c>
      <c r="Q5715">
        <v>0.10742989999999999</v>
      </c>
      <c r="R5715">
        <v>-0.58328530000000001</v>
      </c>
      <c r="S5715">
        <v>2.953827</v>
      </c>
      <c r="T5715">
        <v>-0.34615089999999998</v>
      </c>
      <c r="U5715">
        <v>-1.1457820000000001</v>
      </c>
      <c r="V5715">
        <v>-0.39139259999999998</v>
      </c>
      <c r="W5715">
        <v>0.1124585</v>
      </c>
      <c r="X5715">
        <v>0.91332630000000004</v>
      </c>
      <c r="Y5715">
        <v>-0.60623590000000005</v>
      </c>
      <c r="Z5715">
        <v>0.1016286</v>
      </c>
      <c r="AA5715">
        <v>0.78876469999999999</v>
      </c>
      <c r="AB5715">
        <v>29</v>
      </c>
      <c r="AC5715">
        <v>9.4876999999999594</v>
      </c>
      <c r="AD5715">
        <v>-1.1302289148319999</v>
      </c>
      <c r="AE5715">
        <v>-3.4984299999999999</v>
      </c>
      <c r="AF5715">
        <v>-6.2435098706827201</v>
      </c>
      <c r="AG5715">
        <v>-1.1302289148319999</v>
      </c>
      <c r="AH5715">
        <v>7.7952743617506304</v>
      </c>
      <c r="AI5715">
        <v>96.456450742660905</v>
      </c>
      <c r="AJ5715">
        <v>128.69246699895399</v>
      </c>
      <c r="AK5715">
        <v>10.051126070257</v>
      </c>
      <c r="AL5715">
        <v>83.542943221396797</v>
      </c>
      <c r="AM5715">
        <v>113.19684380695701</v>
      </c>
      <c r="AN5715">
        <v>1.0000000059143499</v>
      </c>
    </row>
    <row r="5716" spans="1:40" x14ac:dyDescent="0.25">
      <c r="A5716" t="str">
        <f>"20190303162416590"</f>
        <v>20190303162416590</v>
      </c>
      <c r="B5716" t="str">
        <f>"1551601456580653"</f>
        <v>1551601456580653</v>
      </c>
      <c r="C5716" t="s">
        <v>40</v>
      </c>
      <c r="D5716">
        <v>5.5072669999999997</v>
      </c>
      <c r="E5716">
        <v>0.3946501</v>
      </c>
      <c r="F5716" t="s">
        <v>56</v>
      </c>
      <c r="G5716">
        <v>-288.24090000000001</v>
      </c>
      <c r="H5716" s="1">
        <v>-2.9757729999999998E-6</v>
      </c>
      <c r="I5716">
        <v>-55.498260000000002</v>
      </c>
      <c r="J5716">
        <v>-297.7364</v>
      </c>
      <c r="K5716">
        <v>1.130207</v>
      </c>
      <c r="L5716">
        <v>-52.076259999999998</v>
      </c>
      <c r="M5716">
        <v>0.52610299999999999</v>
      </c>
      <c r="N5716">
        <v>-1.5490510000000001E-2</v>
      </c>
      <c r="O5716">
        <v>-0.85027980000000003</v>
      </c>
      <c r="P5716">
        <v>0.81167109999999998</v>
      </c>
      <c r="Q5716">
        <v>0.1068282</v>
      </c>
      <c r="R5716">
        <v>-0.57426269999999902</v>
      </c>
      <c r="S5716">
        <v>2.9606020000000002</v>
      </c>
      <c r="T5716">
        <v>-0.34681689999999998</v>
      </c>
      <c r="U5716">
        <v>-1.120544</v>
      </c>
      <c r="V5716">
        <v>-0.39079330000000001</v>
      </c>
      <c r="W5716">
        <v>0.111898</v>
      </c>
      <c r="X5716">
        <v>0.91365169999999996</v>
      </c>
      <c r="Y5716">
        <v>-0.60328630000000005</v>
      </c>
      <c r="Z5716">
        <v>0.1016585</v>
      </c>
      <c r="AA5716">
        <v>0.79101909999999998</v>
      </c>
      <c r="AB5716">
        <v>29</v>
      </c>
      <c r="AC5716">
        <v>9.4954999999999892</v>
      </c>
      <c r="AD5716">
        <v>-1.130209975773</v>
      </c>
      <c r="AE5716">
        <v>-3.4219999999999899</v>
      </c>
      <c r="AF5716">
        <v>-6.1965631864197599</v>
      </c>
      <c r="AG5716">
        <v>-1.130209975773</v>
      </c>
      <c r="AH5716">
        <v>7.8083108719742302</v>
      </c>
      <c r="AI5716">
        <v>96.468591849434205</v>
      </c>
      <c r="AJ5716">
        <v>128.435010175526</v>
      </c>
      <c r="AK5716">
        <v>10.032172675249299</v>
      </c>
      <c r="AL5716">
        <v>83.575261440334003</v>
      </c>
      <c r="AM5716">
        <v>113.157692769381</v>
      </c>
      <c r="AN5716">
        <v>0.99999999732088996</v>
      </c>
    </row>
    <row r="5717" spans="1:40" x14ac:dyDescent="0.25">
      <c r="A5717" t="str">
        <f>"20190303162416612"</f>
        <v>20190303162416612</v>
      </c>
      <c r="B5717" t="str">
        <f>"1551601456601149"</f>
        <v>1551601456601149</v>
      </c>
      <c r="C5717" t="s">
        <v>40</v>
      </c>
      <c r="D5717">
        <v>5.5090629999999896</v>
      </c>
      <c r="E5717">
        <v>0.40243119999999999</v>
      </c>
      <c r="F5717" t="s">
        <v>56</v>
      </c>
      <c r="G5717">
        <v>-288.05770000000001</v>
      </c>
      <c r="H5717" s="1">
        <v>-3.0542159999999999E-6</v>
      </c>
      <c r="I5717">
        <v>-55.633110000000002</v>
      </c>
      <c r="J5717">
        <v>-297.57389999999998</v>
      </c>
      <c r="K5717">
        <v>1.130177</v>
      </c>
      <c r="L5717">
        <v>-52.314390000000003</v>
      </c>
      <c r="M5717">
        <v>0.53660980000000003</v>
      </c>
      <c r="N5717">
        <v>-1.548368E-2</v>
      </c>
      <c r="O5717">
        <v>-0.84368869999999896</v>
      </c>
      <c r="P5717">
        <v>0.818102</v>
      </c>
      <c r="Q5717">
        <v>0.1072138</v>
      </c>
      <c r="R5717">
        <v>-0.56499100000000002</v>
      </c>
      <c r="S5717">
        <v>2.9696039999999999</v>
      </c>
      <c r="T5717">
        <v>-0.34677039999999998</v>
      </c>
      <c r="U5717">
        <v>-1.0913090000000001</v>
      </c>
      <c r="V5717">
        <v>-0.38981149999999998</v>
      </c>
      <c r="W5717">
        <v>0.1123325</v>
      </c>
      <c r="X5717">
        <v>0.91401770000000004</v>
      </c>
      <c r="Y5717">
        <v>-0.60106990000000005</v>
      </c>
      <c r="Z5717">
        <v>0.10143389999999999</v>
      </c>
      <c r="AA5717">
        <v>0.79273340000000003</v>
      </c>
      <c r="AB5717">
        <v>29</v>
      </c>
      <c r="AC5717">
        <v>9.5161999999999694</v>
      </c>
      <c r="AD5717">
        <v>-1.1301800542160001</v>
      </c>
      <c r="AE5717">
        <v>-3.3187199999999901</v>
      </c>
      <c r="AF5717">
        <v>-6.1709977253612003</v>
      </c>
      <c r="AG5717">
        <v>-1.1301800542160001</v>
      </c>
      <c r="AH5717">
        <v>7.8091952513388296</v>
      </c>
      <c r="AI5717">
        <v>96.478202365960897</v>
      </c>
      <c r="AJ5717">
        <v>128.31656580117399</v>
      </c>
      <c r="AK5717">
        <v>10.017087917897699</v>
      </c>
      <c r="AL5717">
        <v>83.550208332057196</v>
      </c>
      <c r="AM5717">
        <v>113.09734349273199</v>
      </c>
      <c r="AN5717">
        <v>0.99999997600089396</v>
      </c>
    </row>
    <row r="5718" spans="1:40" x14ac:dyDescent="0.25">
      <c r="A5718" t="str">
        <f>"20190303162416635"</f>
        <v>20190303162416635</v>
      </c>
      <c r="B5718" t="str">
        <f>"1551601456630428"</f>
        <v>1551601456630428</v>
      </c>
      <c r="C5718" t="s">
        <v>40</v>
      </c>
      <c r="D5718">
        <v>5.5154560000000004</v>
      </c>
      <c r="E5718">
        <v>0.40404780000000001</v>
      </c>
      <c r="F5718" t="s">
        <v>42</v>
      </c>
      <c r="G5718">
        <v>-296.61810000000003</v>
      </c>
      <c r="H5718">
        <v>1.0187839999999999</v>
      </c>
      <c r="I5718">
        <v>-52.673360000000002</v>
      </c>
      <c r="J5718">
        <v>-297.40960000000001</v>
      </c>
      <c r="K5718">
        <v>1.1301540000000001</v>
      </c>
      <c r="L5718">
        <v>-52.548920000000003</v>
      </c>
      <c r="M5718">
        <v>0.54697439999999997</v>
      </c>
      <c r="N5718">
        <v>-1.547747E-2</v>
      </c>
      <c r="O5718">
        <v>-0.83700640000000004</v>
      </c>
      <c r="P5718">
        <v>0.82450230000000002</v>
      </c>
      <c r="Q5718">
        <v>0.1074692</v>
      </c>
      <c r="R5718">
        <v>-0.55555940000000004</v>
      </c>
      <c r="S5718">
        <v>2.947784</v>
      </c>
      <c r="T5718">
        <v>-0.34351120000000002</v>
      </c>
      <c r="U5718">
        <v>-1.106689</v>
      </c>
      <c r="V5718">
        <v>-0.38900499999999999</v>
      </c>
      <c r="W5718">
        <v>0.1126282</v>
      </c>
      <c r="X5718">
        <v>0.9143249</v>
      </c>
      <c r="Y5718">
        <v>-0.5857388</v>
      </c>
      <c r="Z5718">
        <v>0.1000118</v>
      </c>
      <c r="AA5718">
        <v>0.80430570000000001</v>
      </c>
      <c r="AB5718">
        <v>29</v>
      </c>
      <c r="AC5718">
        <v>0.79149999999998499</v>
      </c>
      <c r="AD5718">
        <v>-0.11137</v>
      </c>
      <c r="AE5718">
        <v>-0.124439999999999</v>
      </c>
      <c r="AF5718">
        <v>-0.583227649763843</v>
      </c>
      <c r="AG5718">
        <v>-0.11137</v>
      </c>
      <c r="AH5718">
        <v>0.52696998665523698</v>
      </c>
      <c r="AI5718">
        <v>98.064315619762297</v>
      </c>
      <c r="AJ5718">
        <v>137.900899655931</v>
      </c>
      <c r="AK5718">
        <v>0.79388609710995495</v>
      </c>
      <c r="AL5718">
        <v>83.533158000329095</v>
      </c>
      <c r="AM5718">
        <v>113.047617296504</v>
      </c>
      <c r="AN5718">
        <v>1.00000001211012</v>
      </c>
    </row>
    <row r="5719" spans="1:40" x14ac:dyDescent="0.25">
      <c r="A5719" t="str">
        <f>"20190303162416658"</f>
        <v>20190303162416658</v>
      </c>
      <c r="B5719" t="str">
        <f>"1551601456650924"</f>
        <v>1551601456650924</v>
      </c>
      <c r="C5719" t="s">
        <v>40</v>
      </c>
      <c r="D5719">
        <v>5.5739429999999999</v>
      </c>
      <c r="E5719">
        <v>0.40445609999999999</v>
      </c>
      <c r="F5719" t="s">
        <v>42</v>
      </c>
      <c r="G5719">
        <v>-296.4873</v>
      </c>
      <c r="H5719">
        <v>1.020297</v>
      </c>
      <c r="I5719">
        <v>-52.887079999999997</v>
      </c>
      <c r="J5719">
        <v>-297.24149999999997</v>
      </c>
      <c r="K5719">
        <v>1.1301479999999999</v>
      </c>
      <c r="L5719">
        <v>-52.782589999999999</v>
      </c>
      <c r="M5719">
        <v>0.55733639999999995</v>
      </c>
      <c r="N5719">
        <v>-1.5472700000000001E-2</v>
      </c>
      <c r="O5719">
        <v>-0.83014259999999995</v>
      </c>
      <c r="P5719">
        <v>0.83082019999999901</v>
      </c>
      <c r="Q5719">
        <v>0.1072905</v>
      </c>
      <c r="R5719">
        <v>-0.5461009</v>
      </c>
      <c r="S5719">
        <v>2.9543759999999999</v>
      </c>
      <c r="T5719">
        <v>-0.35193750000000001</v>
      </c>
      <c r="U5719">
        <v>-1.083496</v>
      </c>
      <c r="V5719">
        <v>-0.38809739999999998</v>
      </c>
      <c r="W5719">
        <v>0.1124841</v>
      </c>
      <c r="X5719">
        <v>0.91472819999999999</v>
      </c>
      <c r="Y5719">
        <v>-0.58155299999999999</v>
      </c>
      <c r="Z5719">
        <v>0.1023341</v>
      </c>
      <c r="AA5719">
        <v>0.80704639999999905</v>
      </c>
      <c r="AB5719">
        <v>29</v>
      </c>
      <c r="AC5719">
        <v>0.75419999999996801</v>
      </c>
      <c r="AD5719">
        <v>-0.109850999999999</v>
      </c>
      <c r="AE5719">
        <v>-0.104490000000005</v>
      </c>
      <c r="AF5719">
        <v>-0.55634509057854098</v>
      </c>
      <c r="AG5719">
        <v>-0.109850999999999</v>
      </c>
      <c r="AH5719">
        <v>0.49680440309047702</v>
      </c>
      <c r="AI5719">
        <v>98.378142615198897</v>
      </c>
      <c r="AJ5719">
        <v>138.235820199503</v>
      </c>
      <c r="AK5719">
        <v>0.75392421166980095</v>
      </c>
      <c r="AL5719">
        <v>83.541466865015096</v>
      </c>
      <c r="AM5719">
        <v>112.99035656375899</v>
      </c>
      <c r="AN5719">
        <v>0.999999972257404</v>
      </c>
    </row>
    <row r="5720" spans="1:40" x14ac:dyDescent="0.25">
      <c r="A5720" t="str">
        <f>"20190303162416681"</f>
        <v>20190303162416681</v>
      </c>
      <c r="B5720" t="str">
        <f>"1551601456670737"</f>
        <v>1551601456670737</v>
      </c>
      <c r="C5720" t="s">
        <v>40</v>
      </c>
      <c r="D5720">
        <v>5.5574459999999997</v>
      </c>
      <c r="E5720">
        <v>0.40543449999999998</v>
      </c>
      <c r="F5720" t="s">
        <v>42</v>
      </c>
      <c r="G5720">
        <v>-296.35180000000003</v>
      </c>
      <c r="H5720">
        <v>1.0268949999999999</v>
      </c>
      <c r="I5720">
        <v>-53.098210000000002</v>
      </c>
      <c r="J5720">
        <v>-297.07260000000002</v>
      </c>
      <c r="K5720">
        <v>1.1301699999999999</v>
      </c>
      <c r="L5720">
        <v>-53.011470000000003</v>
      </c>
      <c r="M5720">
        <v>0.56754389999999999</v>
      </c>
      <c r="N5720">
        <v>-1.5470650000000001E-2</v>
      </c>
      <c r="O5720">
        <v>-0.82319799999999999</v>
      </c>
      <c r="P5720">
        <v>0.83694029999999997</v>
      </c>
      <c r="Q5720">
        <v>0.10898239999999899</v>
      </c>
      <c r="R5720">
        <v>-0.53633399999999998</v>
      </c>
      <c r="S5720">
        <v>2.964569</v>
      </c>
      <c r="T5720">
        <v>-0.343945099999999</v>
      </c>
      <c r="U5720">
        <v>-1.0508420000000001</v>
      </c>
      <c r="V5720">
        <v>-0.38737539999999998</v>
      </c>
      <c r="W5720">
        <v>0.11418879999999999</v>
      </c>
      <c r="X5720">
        <v>0.9148231</v>
      </c>
      <c r="Y5720">
        <v>-0.58060199999999995</v>
      </c>
      <c r="Z5720">
        <v>9.9571000000000007E-2</v>
      </c>
      <c r="AA5720">
        <v>0.80807600000000002</v>
      </c>
      <c r="AB5720">
        <v>29</v>
      </c>
      <c r="AC5720">
        <v>0.720799999999997</v>
      </c>
      <c r="AD5720">
        <v>-0.10327500000000001</v>
      </c>
      <c r="AE5720">
        <v>-8.6739999999998901E-2</v>
      </c>
      <c r="AF5720">
        <v>-0.53340362927057405</v>
      </c>
      <c r="AG5720">
        <v>-0.10327500000000001</v>
      </c>
      <c r="AH5720">
        <v>0.47101595461571499</v>
      </c>
      <c r="AI5720">
        <v>98.257713716728603</v>
      </c>
      <c r="AJ5720">
        <v>138.554255806393</v>
      </c>
      <c r="AK5720">
        <v>0.71905576059619503</v>
      </c>
      <c r="AL5720">
        <v>83.443161787775594</v>
      </c>
      <c r="AM5720">
        <v>112.949886389333</v>
      </c>
      <c r="AN5720">
        <v>1.0000000434320999</v>
      </c>
    </row>
    <row r="5721" spans="1:40" x14ac:dyDescent="0.25">
      <c r="A5721" t="str">
        <f>"20190303162416701"</f>
        <v>20190303162416701</v>
      </c>
      <c r="B5721" t="str">
        <f>"1551601456690257"</f>
        <v>1551601456690257</v>
      </c>
      <c r="C5721" t="s">
        <v>40</v>
      </c>
      <c r="D5721">
        <v>5.5783329999999998</v>
      </c>
      <c r="E5721">
        <v>0.40605370000000002</v>
      </c>
      <c r="F5721" t="s">
        <v>42</v>
      </c>
      <c r="G5721">
        <v>-296.21280000000002</v>
      </c>
      <c r="H5721">
        <v>1.0340229999999999</v>
      </c>
      <c r="I5721">
        <v>-53.306530000000002</v>
      </c>
      <c r="J5721">
        <v>-296.90980000000002</v>
      </c>
      <c r="K5721">
        <v>1.130212</v>
      </c>
      <c r="L5721">
        <v>-53.226320000000001</v>
      </c>
      <c r="M5721">
        <v>0.57720749999999998</v>
      </c>
      <c r="N5721">
        <v>-1.5472390000000001E-2</v>
      </c>
      <c r="O5721">
        <v>-0.81645129999999999</v>
      </c>
      <c r="P5721">
        <v>0.84312419999999999</v>
      </c>
      <c r="Q5721">
        <v>0.1115008</v>
      </c>
      <c r="R5721">
        <v>-0.52603180000000005</v>
      </c>
      <c r="S5721">
        <v>2.9737239999999998</v>
      </c>
      <c r="T5721">
        <v>-0.33255180000000001</v>
      </c>
      <c r="U5721">
        <v>-1.0206599999999999</v>
      </c>
      <c r="V5721">
        <v>-0.38760689999999998</v>
      </c>
      <c r="W5721">
        <v>0.1166735</v>
      </c>
      <c r="X5721">
        <v>0.91441139999999999</v>
      </c>
      <c r="Y5721">
        <v>-0.57953889999999997</v>
      </c>
      <c r="Z5721">
        <v>9.5732830000000005E-2</v>
      </c>
      <c r="AA5721">
        <v>0.80930210000000002</v>
      </c>
      <c r="AB5721">
        <v>29</v>
      </c>
      <c r="AC5721">
        <v>0.69700000000000195</v>
      </c>
      <c r="AD5721">
        <v>-9.6188999999999997E-2</v>
      </c>
      <c r="AE5721">
        <v>-8.0210000000008094E-2</v>
      </c>
      <c r="AF5721">
        <v>-0.51318520060869299</v>
      </c>
      <c r="AG5721">
        <v>-9.6188999999999997E-2</v>
      </c>
      <c r="AH5721">
        <v>0.45922532487875101</v>
      </c>
      <c r="AI5721">
        <v>97.951426965423195</v>
      </c>
      <c r="AJ5721">
        <v>138.17613351962899</v>
      </c>
      <c r="AK5721">
        <v>0.69534111977847202</v>
      </c>
      <c r="AL5721">
        <v>83.299840686226005</v>
      </c>
      <c r="AM5721">
        <v>112.971445544842</v>
      </c>
      <c r="AN5721">
        <v>1.0000000114899099</v>
      </c>
    </row>
    <row r="5722" spans="1:40" x14ac:dyDescent="0.25">
      <c r="A5722" t="str">
        <f>"20190303162416725"</f>
        <v>20190303162416725</v>
      </c>
      <c r="B5722" t="str">
        <f>"1551601456710753"</f>
        <v>1551601456710753</v>
      </c>
      <c r="C5722" t="s">
        <v>40</v>
      </c>
      <c r="D5722">
        <v>5.587313</v>
      </c>
      <c r="E5722">
        <v>0.4067538</v>
      </c>
      <c r="F5722" t="s">
        <v>42</v>
      </c>
      <c r="G5722">
        <v>-296.06479999999999</v>
      </c>
      <c r="H5722">
        <v>1.0407029999999999</v>
      </c>
      <c r="I5722">
        <v>-53.505679999999998</v>
      </c>
      <c r="J5722">
        <v>-296.73590000000002</v>
      </c>
      <c r="K5722">
        <v>1.130282</v>
      </c>
      <c r="L5722">
        <v>-53.449649999999998</v>
      </c>
      <c r="M5722">
        <v>0.58736409999999994</v>
      </c>
      <c r="N5722">
        <v>-1.547873E-2</v>
      </c>
      <c r="O5722">
        <v>-0.80917479999999997</v>
      </c>
      <c r="P5722">
        <v>0.84943950000000001</v>
      </c>
      <c r="Q5722">
        <v>0.1140907</v>
      </c>
      <c r="R5722">
        <v>-0.51520440000000001</v>
      </c>
      <c r="S5722">
        <v>2.9846189999999999</v>
      </c>
      <c r="T5722">
        <v>-0.31611610000000001</v>
      </c>
      <c r="U5722">
        <v>-0.98632810000000004</v>
      </c>
      <c r="V5722">
        <v>-0.38767390000000002</v>
      </c>
      <c r="W5722">
        <v>0.11921669999999999</v>
      </c>
      <c r="X5722">
        <v>0.9140549</v>
      </c>
      <c r="Y5722">
        <v>-0.57921579999999995</v>
      </c>
      <c r="Z5722">
        <v>9.0315069999999997E-2</v>
      </c>
      <c r="AA5722">
        <v>0.81015570000000003</v>
      </c>
      <c r="AB5722">
        <v>29</v>
      </c>
      <c r="AC5722">
        <v>0.67110000000002401</v>
      </c>
      <c r="AD5722">
        <v>-8.9578999999999798E-2</v>
      </c>
      <c r="AE5722">
        <v>-5.6030000000006901E-2</v>
      </c>
      <c r="AF5722">
        <v>-0.50131808780024101</v>
      </c>
      <c r="AG5722">
        <v>-8.9578999999999798E-2</v>
      </c>
      <c r="AH5722">
        <v>0.43192831161844097</v>
      </c>
      <c r="AI5722">
        <v>97.709359487653501</v>
      </c>
      <c r="AJ5722">
        <v>139.25229505158299</v>
      </c>
      <c r="AK5722">
        <v>0.66776214985146298</v>
      </c>
      <c r="AL5722">
        <v>83.153101839420103</v>
      </c>
      <c r="AM5722">
        <v>112.983034270771</v>
      </c>
      <c r="AN5722">
        <v>1.00000001725705</v>
      </c>
    </row>
    <row r="5723" spans="1:40" x14ac:dyDescent="0.25">
      <c r="A5723" t="str">
        <f>"20190303162416746"</f>
        <v>20190303162416746</v>
      </c>
      <c r="B5723" t="str">
        <f>"1551601456741009"</f>
        <v>1551601456741009</v>
      </c>
      <c r="C5723" t="s">
        <v>40</v>
      </c>
      <c r="D5723">
        <v>5.6216780000000002</v>
      </c>
      <c r="E5723">
        <v>0.40764729999999999</v>
      </c>
      <c r="F5723" t="s">
        <v>56</v>
      </c>
      <c r="G5723">
        <v>-285.7199</v>
      </c>
      <c r="H5723" s="1">
        <v>-4.0602800000000002E-6</v>
      </c>
      <c r="I5723">
        <v>-56.951300000000003</v>
      </c>
      <c r="J5723">
        <v>-296.55950000000001</v>
      </c>
      <c r="K5723">
        <v>1.1303609999999999</v>
      </c>
      <c r="L5723">
        <v>-53.670200000000001</v>
      </c>
      <c r="M5723">
        <v>0.59752119999999997</v>
      </c>
      <c r="N5723">
        <v>-1.5488969999999999E-2</v>
      </c>
      <c r="O5723">
        <v>-0.80170369999999902</v>
      </c>
      <c r="P5723">
        <v>0.85483940000000003</v>
      </c>
      <c r="Q5723">
        <v>0.1155002</v>
      </c>
      <c r="R5723">
        <v>-0.50587519999999997</v>
      </c>
      <c r="S5723">
        <v>2.995514</v>
      </c>
      <c r="T5723">
        <v>-0.30735030000000002</v>
      </c>
      <c r="U5723">
        <v>-0.952179</v>
      </c>
      <c r="V5723">
        <v>-0.38605089999999997</v>
      </c>
      <c r="W5723">
        <v>0.1206213</v>
      </c>
      <c r="X5723">
        <v>0.91455739999999996</v>
      </c>
      <c r="Y5723">
        <v>-0.57849609999999996</v>
      </c>
      <c r="Z5723">
        <v>8.7283020000000003E-2</v>
      </c>
      <c r="AA5723">
        <v>0.81100179999999999</v>
      </c>
      <c r="AB5723">
        <v>29</v>
      </c>
      <c r="AC5723">
        <v>10.839600000000001</v>
      </c>
      <c r="AD5723">
        <v>-1.1303650602799999</v>
      </c>
      <c r="AE5723">
        <v>-3.2810999999999999</v>
      </c>
      <c r="AF5723">
        <v>-6.6640411359882901</v>
      </c>
      <c r="AG5723">
        <v>-1.1303650602799999</v>
      </c>
      <c r="AH5723">
        <v>9.0186104875325697</v>
      </c>
      <c r="AI5723">
        <v>95.756146252439805</v>
      </c>
      <c r="AJ5723">
        <v>126.461475270704</v>
      </c>
      <c r="AK5723">
        <v>11.270426103634099</v>
      </c>
      <c r="AL5723">
        <v>83.072039203726803</v>
      </c>
      <c r="AM5723">
        <v>112.885470663749</v>
      </c>
      <c r="AN5723">
        <v>1.0000000166496199</v>
      </c>
    </row>
    <row r="5724" spans="1:40" x14ac:dyDescent="0.25">
      <c r="A5724" t="str">
        <f>"20190303162416768"</f>
        <v>20190303162416768</v>
      </c>
      <c r="B5724" t="str">
        <f>"1551601456760529"</f>
        <v>1551601456760529</v>
      </c>
      <c r="C5724" t="s">
        <v>40</v>
      </c>
      <c r="D5724">
        <v>5.6673039999999997</v>
      </c>
      <c r="E5724">
        <v>0.40792889999999998</v>
      </c>
      <c r="F5724" t="s">
        <v>56</v>
      </c>
      <c r="G5724">
        <v>-285.17149999999998</v>
      </c>
      <c r="H5724" s="1">
        <v>-4.2956330000000003E-6</v>
      </c>
      <c r="I5724">
        <v>-57.179310000000001</v>
      </c>
      <c r="J5724">
        <v>-296.38479999999998</v>
      </c>
      <c r="K5724">
        <v>1.130428</v>
      </c>
      <c r="L5724">
        <v>-53.882930000000002</v>
      </c>
      <c r="M5724">
        <v>0.60742180000000001</v>
      </c>
      <c r="N5724">
        <v>-1.550087E-2</v>
      </c>
      <c r="O5724">
        <v>-0.7942283</v>
      </c>
      <c r="P5724">
        <v>0.8601704</v>
      </c>
      <c r="Q5724">
        <v>0.1158883</v>
      </c>
      <c r="R5724">
        <v>-0.49666549999999998</v>
      </c>
      <c r="S5724">
        <v>3.0022280000000001</v>
      </c>
      <c r="T5724">
        <v>-0.29799989999999998</v>
      </c>
      <c r="U5724">
        <v>-0.92510990000000004</v>
      </c>
      <c r="V5724">
        <v>-0.38450879999999998</v>
      </c>
      <c r="W5724">
        <v>0.12100710000000001</v>
      </c>
      <c r="X5724">
        <v>0.91515579999999996</v>
      </c>
      <c r="Y5724">
        <v>-0.57588930000000005</v>
      </c>
      <c r="Z5724">
        <v>8.4039260000000005E-2</v>
      </c>
      <c r="AA5724">
        <v>0.81319669999999999</v>
      </c>
      <c r="AB5724">
        <v>29</v>
      </c>
      <c r="AC5724">
        <v>11.2133</v>
      </c>
      <c r="AD5724">
        <v>-1.130432295633</v>
      </c>
      <c r="AE5724">
        <v>-3.2963799999999899</v>
      </c>
      <c r="AF5724">
        <v>-6.8404664797159</v>
      </c>
      <c r="AG5724">
        <v>-1.130432295633</v>
      </c>
      <c r="AH5724">
        <v>9.34301353567378</v>
      </c>
      <c r="AI5724">
        <v>95.575770532853497</v>
      </c>
      <c r="AJ5724">
        <v>126.209639890218</v>
      </c>
      <c r="AK5724">
        <v>11.6345073278979</v>
      </c>
      <c r="AL5724">
        <v>83.049770826494907</v>
      </c>
      <c r="AM5724">
        <v>112.790035095577</v>
      </c>
      <c r="AN5724">
        <v>0.99999993690074296</v>
      </c>
    </row>
    <row r="5725" spans="1:40" x14ac:dyDescent="0.25">
      <c r="A5725" t="str">
        <f>"20190303162416791"</f>
        <v>20190303162416791</v>
      </c>
      <c r="B5725" t="str">
        <f>"1551601456780558"</f>
        <v>1551601456780558</v>
      </c>
      <c r="C5725" t="s">
        <v>40</v>
      </c>
      <c r="D5725">
        <v>5.5413480000000002</v>
      </c>
      <c r="E5725">
        <v>0.37836140000000001</v>
      </c>
      <c r="F5725" t="s">
        <v>56</v>
      </c>
      <c r="G5725">
        <v>-284.84019999999998</v>
      </c>
      <c r="H5725" s="1">
        <v>-4.434597E-6</v>
      </c>
      <c r="I5725">
        <v>-57.310639999999999</v>
      </c>
      <c r="J5725">
        <v>-296.20549999999997</v>
      </c>
      <c r="K5725">
        <v>1.1304809999999901</v>
      </c>
      <c r="L5725">
        <v>-54.095640000000003</v>
      </c>
      <c r="M5725">
        <v>0.61743040000000005</v>
      </c>
      <c r="N5725">
        <v>-1.55127999999999E-2</v>
      </c>
      <c r="O5725">
        <v>-0.78647259999999997</v>
      </c>
      <c r="P5725">
        <v>0.86613969999999996</v>
      </c>
      <c r="Q5725">
        <v>0.1167966</v>
      </c>
      <c r="R5725">
        <v>-0.48596349999999999</v>
      </c>
      <c r="S5725">
        <v>3.0111690000000002</v>
      </c>
      <c r="T5725">
        <v>-0.29484870000000002</v>
      </c>
      <c r="U5725">
        <v>-0.89404300000000003</v>
      </c>
      <c r="V5725">
        <v>-0.38420870000000001</v>
      </c>
      <c r="W5725">
        <v>0.1218798</v>
      </c>
      <c r="X5725">
        <v>0.91516609999999998</v>
      </c>
      <c r="Y5725">
        <v>-0.57403930000000003</v>
      </c>
      <c r="Z5725">
        <v>8.2721939999999994E-2</v>
      </c>
      <c r="AA5725">
        <v>0.81463859999999999</v>
      </c>
      <c r="AB5725">
        <v>29</v>
      </c>
      <c r="AC5725">
        <v>11.3652999999999</v>
      </c>
      <c r="AD5725">
        <v>-1.1304854345969999</v>
      </c>
      <c r="AE5725">
        <v>-3.2149999999999901</v>
      </c>
      <c r="AF5725">
        <v>-6.8911657840826903</v>
      </c>
      <c r="AG5725">
        <v>-1.1304854345969999</v>
      </c>
      <c r="AH5725">
        <v>9.4602752130155991</v>
      </c>
      <c r="AI5725">
        <v>95.517038177154802</v>
      </c>
      <c r="AJ5725">
        <v>126.070787063575</v>
      </c>
      <c r="AK5725">
        <v>11.7585275560992</v>
      </c>
      <c r="AL5725">
        <v>82.999396386479305</v>
      </c>
      <c r="AM5725">
        <v>112.773833613967</v>
      </c>
      <c r="AN5725">
        <v>1.00000000069647</v>
      </c>
    </row>
    <row r="5726" spans="1:40" x14ac:dyDescent="0.25">
      <c r="A5726" t="str">
        <f>"20190303162416814"</f>
        <v>20190303162416814</v>
      </c>
      <c r="B5726" t="str">
        <f>"1551601456810814"</f>
        <v>1551601456810814</v>
      </c>
      <c r="C5726" t="s">
        <v>40</v>
      </c>
      <c r="D5726">
        <v>5.4272830000000001</v>
      </c>
      <c r="E5726">
        <v>0.32869110000000001</v>
      </c>
      <c r="F5726" t="s">
        <v>56</v>
      </c>
      <c r="G5726">
        <v>-284.38189999999997</v>
      </c>
      <c r="H5726" s="1">
        <v>-4.7838069999999998E-6</v>
      </c>
      <c r="I5726">
        <v>-56.548119999999997</v>
      </c>
      <c r="J5726">
        <v>-296.0147</v>
      </c>
      <c r="K5726">
        <v>1.1305179999999999</v>
      </c>
      <c r="L5726">
        <v>-54.315860000000001</v>
      </c>
      <c r="M5726">
        <v>0.62790279999999998</v>
      </c>
      <c r="N5726">
        <v>-1.552476E-2</v>
      </c>
      <c r="O5726">
        <v>-0.77813690000000002</v>
      </c>
      <c r="P5726">
        <v>0.87285020000000002</v>
      </c>
      <c r="Q5726">
        <v>0.1155196</v>
      </c>
      <c r="R5726">
        <v>-0.47411779999999998</v>
      </c>
      <c r="S5726">
        <v>3.1388240000000001</v>
      </c>
      <c r="T5726">
        <v>-0.30011189999999999</v>
      </c>
      <c r="U5726">
        <v>-0.65106200000000003</v>
      </c>
      <c r="V5726">
        <v>-0.38454349999999998</v>
      </c>
      <c r="W5726">
        <v>0.12055879999999999</v>
      </c>
      <c r="X5726">
        <v>0.91520049999999997</v>
      </c>
      <c r="Y5726">
        <v>-0.6299302</v>
      </c>
      <c r="Z5726">
        <v>8.4869609999999998E-2</v>
      </c>
      <c r="AA5726">
        <v>0.77200069999999998</v>
      </c>
      <c r="AB5726">
        <v>28</v>
      </c>
      <c r="AC5726">
        <v>11.6328</v>
      </c>
      <c r="AD5726">
        <v>-1.130522783807</v>
      </c>
      <c r="AE5726">
        <v>-2.2322599999999899</v>
      </c>
      <c r="AF5726">
        <v>-7.58212289857883</v>
      </c>
      <c r="AG5726">
        <v>-1.130522783807</v>
      </c>
      <c r="AH5726">
        <v>8.9607353076294807</v>
      </c>
      <c r="AI5726">
        <v>95.501309560397701</v>
      </c>
      <c r="AJ5726">
        <v>130.23621765807999</v>
      </c>
      <c r="AK5726">
        <v>11.7924317537672</v>
      </c>
      <c r="AL5726">
        <v>83.075646687019201</v>
      </c>
      <c r="AM5726">
        <v>112.790882158747</v>
      </c>
      <c r="AN5726">
        <v>1.0000000414249599</v>
      </c>
    </row>
    <row r="5727" spans="1:40" x14ac:dyDescent="0.25">
      <c r="A5727" t="str">
        <f>"20190303162416836"</f>
        <v>20190303162416836</v>
      </c>
      <c r="B5727" t="str">
        <f>"1551601456830333"</f>
        <v>1551601456830333</v>
      </c>
      <c r="C5727" t="s">
        <v>40</v>
      </c>
      <c r="D5727">
        <v>5.4417119999999999</v>
      </c>
      <c r="E5727">
        <v>0.32367269999999998</v>
      </c>
      <c r="F5727" t="s">
        <v>56</v>
      </c>
      <c r="G5727">
        <v>-284.42439999999999</v>
      </c>
      <c r="H5727" s="1">
        <v>-4.9999299999999997E-6</v>
      </c>
      <c r="I5727">
        <v>-55.222850000000001</v>
      </c>
      <c r="J5727">
        <v>-295.83659999999998</v>
      </c>
      <c r="K5727">
        <v>1.130531</v>
      </c>
      <c r="L5727">
        <v>-54.516109999999998</v>
      </c>
      <c r="M5727">
        <v>0.63750580000000001</v>
      </c>
      <c r="N5727">
        <v>-1.553497E-2</v>
      </c>
      <c r="O5727">
        <v>-0.77028909999999995</v>
      </c>
      <c r="P5727">
        <v>0.87893549999999998</v>
      </c>
      <c r="Q5727">
        <v>0.1123668</v>
      </c>
      <c r="R5727">
        <v>-0.46351550000000002</v>
      </c>
      <c r="S5727">
        <v>3.3382260000000001</v>
      </c>
      <c r="T5727">
        <v>-0.32561250000000003</v>
      </c>
      <c r="U5727">
        <v>-0.26123049999999998</v>
      </c>
      <c r="V5727">
        <v>-0.38452160000000002</v>
      </c>
      <c r="W5727">
        <v>0.11739049999999999</v>
      </c>
      <c r="X5727">
        <v>0.91562149999999998</v>
      </c>
      <c r="Y5727">
        <v>-0.71282959999999995</v>
      </c>
      <c r="Z5727">
        <v>9.2880980000000002E-2</v>
      </c>
      <c r="AA5727">
        <v>0.69515979999999999</v>
      </c>
      <c r="AB5727">
        <v>28</v>
      </c>
      <c r="AC5727">
        <v>11.412199999999901</v>
      </c>
      <c r="AD5727">
        <v>-1.13053599992999</v>
      </c>
      <c r="AE5727">
        <v>-0.70674000000000303</v>
      </c>
      <c r="AF5727">
        <v>-8.2603930229078095</v>
      </c>
      <c r="AG5727">
        <v>-1.13053599992999</v>
      </c>
      <c r="AH5727">
        <v>7.7449645826201801</v>
      </c>
      <c r="AI5727">
        <v>95.701573305326505</v>
      </c>
      <c r="AJ5727">
        <v>136.84448685996</v>
      </c>
      <c r="AK5727">
        <v>11.379660844070999</v>
      </c>
      <c r="AL5727">
        <v>83.258475689310899</v>
      </c>
      <c r="AM5727">
        <v>112.780308312008</v>
      </c>
      <c r="AN5727">
        <v>1.0000000608095201</v>
      </c>
    </row>
    <row r="5728" spans="1:40" x14ac:dyDescent="0.25">
      <c r="A5728" t="str">
        <f>"20190303162416858"</f>
        <v>20190303162416858</v>
      </c>
      <c r="B5728" t="str">
        <f>"1551601456850831"</f>
        <v>1551601456850831</v>
      </c>
      <c r="C5728" t="s">
        <v>40</v>
      </c>
      <c r="D5728">
        <v>5.4759039999999999</v>
      </c>
      <c r="E5728">
        <v>0.32504769999999999</v>
      </c>
      <c r="F5728" t="s">
        <v>56</v>
      </c>
      <c r="G5728">
        <v>-285.2165</v>
      </c>
      <c r="H5728" s="1">
        <v>-4.6417059999999997E-6</v>
      </c>
      <c r="I5728">
        <v>-55.108139999999999</v>
      </c>
      <c r="J5728">
        <v>-295.6481</v>
      </c>
      <c r="K5728">
        <v>1.1305339999999999</v>
      </c>
      <c r="L5728">
        <v>-54.72269</v>
      </c>
      <c r="M5728">
        <v>0.64747480000000002</v>
      </c>
      <c r="N5728">
        <v>-1.554382E-2</v>
      </c>
      <c r="O5728">
        <v>-0.76192859999999996</v>
      </c>
      <c r="P5728">
        <v>0.88497230000000005</v>
      </c>
      <c r="Q5728">
        <v>0.1084208</v>
      </c>
      <c r="R5728">
        <v>-0.45284560000000001</v>
      </c>
      <c r="S5728">
        <v>3.3601990000000002</v>
      </c>
      <c r="T5728">
        <v>-0.3577012</v>
      </c>
      <c r="U5728">
        <v>-0.18731690000000001</v>
      </c>
      <c r="V5728">
        <v>-0.38397209999999898</v>
      </c>
      <c r="W5728">
        <v>0.1134573</v>
      </c>
      <c r="X5728">
        <v>0.91634760000000004</v>
      </c>
      <c r="Y5728">
        <v>-0.71814669999999903</v>
      </c>
      <c r="Z5728">
        <v>0.1023145</v>
      </c>
      <c r="AA5728">
        <v>0.68832919999999997</v>
      </c>
      <c r="AB5728">
        <v>28</v>
      </c>
      <c r="AC5728">
        <v>10.4316</v>
      </c>
      <c r="AD5728">
        <v>-1.1305386417059999</v>
      </c>
      <c r="AE5728">
        <v>-0.38544999999999802</v>
      </c>
      <c r="AF5728">
        <v>-7.61023024214707</v>
      </c>
      <c r="AG5728">
        <v>-1.1305386417059999</v>
      </c>
      <c r="AH5728">
        <v>6.9670145834790604</v>
      </c>
      <c r="AI5728">
        <v>96.253110815115306</v>
      </c>
      <c r="AJ5728">
        <v>137.52651671501999</v>
      </c>
      <c r="AK5728">
        <v>10.379451534897701</v>
      </c>
      <c r="AL5728">
        <v>83.485347715755694</v>
      </c>
      <c r="AM5728">
        <v>112.734878380477</v>
      </c>
      <c r="AN5728">
        <v>1.00000002826372</v>
      </c>
    </row>
    <row r="5729" spans="1:40" x14ac:dyDescent="0.25">
      <c r="A5729" t="str">
        <f>"20190303162416881"</f>
        <v>20190303162416881</v>
      </c>
      <c r="B5729" t="str">
        <f>"1551601456870855"</f>
        <v>1551601456870855</v>
      </c>
      <c r="C5729" t="s">
        <v>40</v>
      </c>
      <c r="D5729">
        <v>5.478847</v>
      </c>
      <c r="E5729">
        <v>0.32723249999999998</v>
      </c>
      <c r="F5729" t="s">
        <v>56</v>
      </c>
      <c r="G5729">
        <v>-285.49930000000001</v>
      </c>
      <c r="H5729" s="1">
        <v>-4.4835719999999998E-6</v>
      </c>
      <c r="I5729">
        <v>-55.196930000000002</v>
      </c>
      <c r="J5729">
        <v>-295.45979999999997</v>
      </c>
      <c r="K5729">
        <v>1.1305210000000001</v>
      </c>
      <c r="L5729">
        <v>-54.923740000000002</v>
      </c>
      <c r="M5729">
        <v>0.65722639999999999</v>
      </c>
      <c r="N5729">
        <v>-1.555014E-2</v>
      </c>
      <c r="O5729">
        <v>-0.75353289999999995</v>
      </c>
      <c r="P5729">
        <v>0.89073069999999899</v>
      </c>
      <c r="Q5729">
        <v>0.1043676</v>
      </c>
      <c r="R5729">
        <v>-0.44238699999999997</v>
      </c>
      <c r="S5729">
        <v>3.3555299999999999</v>
      </c>
      <c r="T5729">
        <v>-0.3737935</v>
      </c>
      <c r="U5729">
        <v>-0.1567993</v>
      </c>
      <c r="V5729">
        <v>-0.38324320000000001</v>
      </c>
      <c r="W5729">
        <v>0.1094318</v>
      </c>
      <c r="X5729">
        <v>0.91714189999999995</v>
      </c>
      <c r="Y5729">
        <v>-0.71480480000000002</v>
      </c>
      <c r="Z5729">
        <v>0.106933399999999</v>
      </c>
      <c r="AA5729">
        <v>0.69110009999999999</v>
      </c>
      <c r="AB5729">
        <v>28</v>
      </c>
      <c r="AC5729">
        <v>9.9604999999999606</v>
      </c>
      <c r="AD5729">
        <v>-1.13052548357199</v>
      </c>
      <c r="AE5729">
        <v>-0.27318999999999899</v>
      </c>
      <c r="AF5729">
        <v>-7.2337832209111701</v>
      </c>
      <c r="AG5729">
        <v>-1.13052548357199</v>
      </c>
      <c r="AH5729">
        <v>6.6671524238563098</v>
      </c>
      <c r="AI5729">
        <v>96.555600752220997</v>
      </c>
      <c r="AJ5729">
        <v>137.33420188016001</v>
      </c>
      <c r="AK5729">
        <v>9.9023547199176303</v>
      </c>
      <c r="AL5729">
        <v>83.717437416078596</v>
      </c>
      <c r="AM5729">
        <v>112.67843318160701</v>
      </c>
      <c r="AN5729">
        <v>0.99999996696654403</v>
      </c>
    </row>
    <row r="5730" spans="1:40" x14ac:dyDescent="0.25">
      <c r="A5730" t="str">
        <f>"20190303162416904"</f>
        <v>20190303162416904</v>
      </c>
      <c r="B5730" t="str">
        <f>"1551601456901112"</f>
        <v>1551601456901112</v>
      </c>
      <c r="C5730" t="s">
        <v>40</v>
      </c>
      <c r="D5730">
        <v>5.4715259999999999</v>
      </c>
      <c r="E5730">
        <v>0.33038990000000001</v>
      </c>
      <c r="F5730" t="s">
        <v>56</v>
      </c>
      <c r="G5730">
        <v>-285.57530000000003</v>
      </c>
      <c r="H5730" s="1">
        <v>-4.4248499999999997E-6</v>
      </c>
      <c r="I5730">
        <v>-55.312109999999997</v>
      </c>
      <c r="J5730">
        <v>-295.2672</v>
      </c>
      <c r="K5730">
        <v>1.1305149999999999</v>
      </c>
      <c r="L5730">
        <v>-55.124020000000002</v>
      </c>
      <c r="M5730">
        <v>0.6669794</v>
      </c>
      <c r="N5730">
        <v>-1.555437E-2</v>
      </c>
      <c r="O5730">
        <v>-0.74491359999999995</v>
      </c>
      <c r="P5730">
        <v>0.89629329999999996</v>
      </c>
      <c r="Q5730">
        <v>0.10252020000000001</v>
      </c>
      <c r="R5730">
        <v>-0.43144850000000001</v>
      </c>
      <c r="S5730">
        <v>3.3475950000000001</v>
      </c>
      <c r="T5730">
        <v>-0.38287650000000001</v>
      </c>
      <c r="U5730">
        <v>-0.1315308</v>
      </c>
      <c r="V5730">
        <v>-0.38264609999999999</v>
      </c>
      <c r="W5730">
        <v>0.1076125</v>
      </c>
      <c r="X5730">
        <v>0.91760640000000004</v>
      </c>
      <c r="Y5730">
        <v>-0.71051809999999904</v>
      </c>
      <c r="Z5730">
        <v>0.1093853</v>
      </c>
      <c r="AA5730">
        <v>0.69512510000000005</v>
      </c>
      <c r="AB5730">
        <v>28</v>
      </c>
      <c r="AC5730">
        <v>9.6918999999999702</v>
      </c>
      <c r="AD5730">
        <v>-1.1305194248499999</v>
      </c>
      <c r="AE5730">
        <v>-0.18809000000000201</v>
      </c>
      <c r="AF5730">
        <v>-6.9998297314499496</v>
      </c>
      <c r="AG5730">
        <v>-1.1305194248499999</v>
      </c>
      <c r="AH5730">
        <v>6.5165756853953898</v>
      </c>
      <c r="AI5730">
        <v>96.741651631106706</v>
      </c>
      <c r="AJ5730">
        <v>137.04763230594301</v>
      </c>
      <c r="AK5730">
        <v>9.6302361914306296</v>
      </c>
      <c r="AL5730">
        <v>83.822295115666904</v>
      </c>
      <c r="AM5730">
        <v>112.63636144139799</v>
      </c>
      <c r="AN5730">
        <v>0.99999999666120998</v>
      </c>
    </row>
    <row r="5731" spans="1:40" x14ac:dyDescent="0.25">
      <c r="A5731" t="str">
        <f>"20190303162416925"</f>
        <v>20190303162416925</v>
      </c>
      <c r="B5731" t="str">
        <f>"1551601456920631"</f>
        <v>1551601456920631</v>
      </c>
      <c r="C5731" t="s">
        <v>40</v>
      </c>
      <c r="D5731">
        <v>5.5278619999999998</v>
      </c>
      <c r="E5731">
        <v>0.3326075</v>
      </c>
      <c r="F5731" t="s">
        <v>56</v>
      </c>
      <c r="G5731">
        <v>-285.25060000000002</v>
      </c>
      <c r="H5731" s="1">
        <v>-4.5621349999999998E-6</v>
      </c>
      <c r="I5731">
        <v>-55.45861</v>
      </c>
      <c r="J5731">
        <v>-295.07130000000001</v>
      </c>
      <c r="K5731">
        <v>1.130504</v>
      </c>
      <c r="L5731">
        <v>-55.322139999999997</v>
      </c>
      <c r="M5731">
        <v>0.67666539999999997</v>
      </c>
      <c r="N5731">
        <v>-1.555661E-2</v>
      </c>
      <c r="O5731">
        <v>-0.73612610000000001</v>
      </c>
      <c r="P5731">
        <v>0.90159710000000004</v>
      </c>
      <c r="Q5731">
        <v>0.1035012</v>
      </c>
      <c r="R5731">
        <v>-0.42001189999999999</v>
      </c>
      <c r="S5731">
        <v>3.3365480000000001</v>
      </c>
      <c r="T5731">
        <v>-0.37657930000000001</v>
      </c>
      <c r="U5731">
        <v>-0.1114502</v>
      </c>
      <c r="V5731">
        <v>-0.3822545</v>
      </c>
      <c r="W5731">
        <v>0.10861609999999999</v>
      </c>
      <c r="X5731">
        <v>0.91765140000000001</v>
      </c>
      <c r="Y5731">
        <v>-0.70571549999999905</v>
      </c>
      <c r="Z5731">
        <v>0.1072005</v>
      </c>
      <c r="AA5731">
        <v>0.70033829999999997</v>
      </c>
      <c r="AB5731">
        <v>28</v>
      </c>
      <c r="AC5731">
        <v>9.8206999999999791</v>
      </c>
      <c r="AD5731">
        <v>-1.130508562135</v>
      </c>
      <c r="AE5731">
        <v>-0.13646999999999501</v>
      </c>
      <c r="AF5731">
        <v>-7.0444626663486503</v>
      </c>
      <c r="AG5731">
        <v>-1.130508562135</v>
      </c>
      <c r="AH5731">
        <v>6.6583882809845196</v>
      </c>
      <c r="AI5731">
        <v>96.652281628377494</v>
      </c>
      <c r="AJ5731">
        <v>136.61386725599399</v>
      </c>
      <c r="AK5731">
        <v>9.7589260867675698</v>
      </c>
      <c r="AL5731">
        <v>83.7644542146584</v>
      </c>
      <c r="AM5731">
        <v>112.614531329974</v>
      </c>
      <c r="AN5731">
        <v>1.0000000259357</v>
      </c>
    </row>
    <row r="5732" spans="1:40" x14ac:dyDescent="0.25">
      <c r="A5732" t="str">
        <f>"20190303162416947"</f>
        <v>20190303162416947</v>
      </c>
      <c r="B5732" t="str">
        <f>"1551601456941128"</f>
        <v>1551601456941128</v>
      </c>
      <c r="C5732" t="s">
        <v>40</v>
      </c>
      <c r="D5732">
        <v>5.5541140000000002</v>
      </c>
      <c r="E5732">
        <v>0.33498159999999999</v>
      </c>
      <c r="F5732" t="s">
        <v>56</v>
      </c>
      <c r="G5732">
        <v>-284.86149999999998</v>
      </c>
      <c r="H5732" s="1">
        <v>-4.7319039999999996E-6</v>
      </c>
      <c r="I5732">
        <v>-55.584899999999998</v>
      </c>
      <c r="J5732">
        <v>-294.87799999999999</v>
      </c>
      <c r="K5732">
        <v>1.1305019999999999</v>
      </c>
      <c r="L5732">
        <v>-55.512630000000001</v>
      </c>
      <c r="M5732">
        <v>0.68599460000000001</v>
      </c>
      <c r="N5732">
        <v>-1.5557329999999999E-2</v>
      </c>
      <c r="O5732">
        <v>-0.72744030000000004</v>
      </c>
      <c r="P5732">
        <v>0.90653130000000004</v>
      </c>
      <c r="Q5732">
        <v>0.1059132</v>
      </c>
      <c r="R5732">
        <v>-0.40863549999999998</v>
      </c>
      <c r="S5732">
        <v>3.3298339999999902</v>
      </c>
      <c r="T5732">
        <v>-0.36870340000000001</v>
      </c>
      <c r="U5732">
        <v>-8.5693359999999996E-2</v>
      </c>
      <c r="V5732">
        <v>-0.38195299999999999</v>
      </c>
      <c r="W5732">
        <v>0.1110474</v>
      </c>
      <c r="X5732">
        <v>0.91748589999999997</v>
      </c>
      <c r="Y5732">
        <v>-0.7024359</v>
      </c>
      <c r="Z5732">
        <v>0.1045031</v>
      </c>
      <c r="AA5732">
        <v>0.70403340000000003</v>
      </c>
      <c r="AB5732">
        <v>28</v>
      </c>
      <c r="AC5732">
        <v>10.016500000000001</v>
      </c>
      <c r="AD5732">
        <v>-1.1305067319040001</v>
      </c>
      <c r="AE5732">
        <v>-7.2269999999996004E-2</v>
      </c>
      <c r="AF5732">
        <v>-7.1466725029936002</v>
      </c>
      <c r="AG5732">
        <v>-1.1305067319040001</v>
      </c>
      <c r="AH5732">
        <v>6.8375798431789896</v>
      </c>
      <c r="AI5732">
        <v>96.520559235812001</v>
      </c>
      <c r="AJ5732">
        <v>136.26619724347501</v>
      </c>
      <c r="AK5732">
        <v>9.9551730998397403</v>
      </c>
      <c r="AL5732">
        <v>83.624302887228097</v>
      </c>
      <c r="AM5732">
        <v>112.602154588386</v>
      </c>
      <c r="AN5732">
        <v>0.99999999797728401</v>
      </c>
    </row>
    <row r="5733" spans="1:40" x14ac:dyDescent="0.25">
      <c r="A5733" t="str">
        <f>"20190303162416970"</f>
        <v>20190303162416970</v>
      </c>
      <c r="B5733" t="str">
        <f>"1551601456960647"</f>
        <v>1551601456960647</v>
      </c>
      <c r="C5733" t="s">
        <v>40</v>
      </c>
      <c r="D5733">
        <v>5.3947629999999904</v>
      </c>
      <c r="E5733">
        <v>0.35462149999999998</v>
      </c>
      <c r="F5733" t="s">
        <v>56</v>
      </c>
      <c r="G5733">
        <v>-284.4393</v>
      </c>
      <c r="H5733" s="1">
        <v>-4.9055470000000001E-6</v>
      </c>
      <c r="I5733">
        <v>-55.713979999999999</v>
      </c>
      <c r="J5733">
        <v>-294.67700000000002</v>
      </c>
      <c r="K5733">
        <v>1.1304909999999999</v>
      </c>
      <c r="L5733">
        <v>-55.7057199999999</v>
      </c>
      <c r="M5733">
        <v>0.69546339999999995</v>
      </c>
      <c r="N5733">
        <v>-1.555693E-2</v>
      </c>
      <c r="O5733">
        <v>-0.71839310000000001</v>
      </c>
      <c r="P5733">
        <v>0.91123169999999998</v>
      </c>
      <c r="Q5733">
        <v>0.1066911</v>
      </c>
      <c r="R5733">
        <v>-0.39783669999999999</v>
      </c>
      <c r="S5733">
        <v>3.322479</v>
      </c>
      <c r="T5733">
        <v>-0.35982509999999901</v>
      </c>
      <c r="U5733">
        <v>-6.4086909999999997E-2</v>
      </c>
      <c r="V5733">
        <v>-0.38078309999999999</v>
      </c>
      <c r="W5733">
        <v>0.1118753</v>
      </c>
      <c r="X5733">
        <v>0.91787149999999995</v>
      </c>
      <c r="Y5733">
        <v>-0.69806990000000002</v>
      </c>
      <c r="Z5733">
        <v>0.10142710000000001</v>
      </c>
      <c r="AA5733">
        <v>0.70880949999999998</v>
      </c>
      <c r="AB5733">
        <v>28</v>
      </c>
      <c r="AC5733">
        <v>10.2377</v>
      </c>
      <c r="AD5733">
        <v>-1.1304959055470001</v>
      </c>
      <c r="AE5733">
        <v>-8.2600000000141397E-3</v>
      </c>
      <c r="AF5733">
        <v>-7.2612964046161803</v>
      </c>
      <c r="AG5733">
        <v>-1.1304959055470001</v>
      </c>
      <c r="AH5733">
        <v>7.0408880491880499</v>
      </c>
      <c r="AI5733">
        <v>96.377550131955402</v>
      </c>
      <c r="AJ5733">
        <v>135.882904915198</v>
      </c>
      <c r="AK5733">
        <v>10.177354812982999</v>
      </c>
      <c r="AL5733">
        <v>83.576570104578806</v>
      </c>
      <c r="AM5733">
        <v>112.53133677243601</v>
      </c>
      <c r="AN5733">
        <v>0.999999971253974</v>
      </c>
    </row>
    <row r="5734" spans="1:40" x14ac:dyDescent="0.25">
      <c r="A5734" t="str">
        <f>"20190303162416992"</f>
        <v>20190303162416992</v>
      </c>
      <c r="B5734" t="str">
        <f>"1551601456981143"</f>
        <v>1551601456981143</v>
      </c>
      <c r="C5734" t="s">
        <v>40</v>
      </c>
      <c r="D5734">
        <v>5.9384180000000004</v>
      </c>
      <c r="E5734">
        <v>0.35453800000000002</v>
      </c>
      <c r="F5734" t="s">
        <v>56</v>
      </c>
      <c r="G5734">
        <v>-281.64449999999999</v>
      </c>
      <c r="H5734" s="1">
        <v>-6.0489340000000003E-6</v>
      </c>
      <c r="I5734">
        <v>-56.36786</v>
      </c>
      <c r="J5734">
        <v>-294.47890000000001</v>
      </c>
      <c r="K5734">
        <v>1.130471</v>
      </c>
      <c r="L5734">
        <v>-55.89105</v>
      </c>
      <c r="M5734">
        <v>0.704565199999999</v>
      </c>
      <c r="N5734">
        <v>-1.555548E-2</v>
      </c>
      <c r="O5734">
        <v>-0.70946909999999996</v>
      </c>
      <c r="P5734">
        <v>0.91481979999999996</v>
      </c>
      <c r="Q5734">
        <v>0.1062371</v>
      </c>
      <c r="R5734">
        <v>-0.38963910000000002</v>
      </c>
      <c r="S5734">
        <v>3.253174</v>
      </c>
      <c r="T5734">
        <v>-0.28219569999999999</v>
      </c>
      <c r="U5734">
        <v>-0.16528319999999999</v>
      </c>
      <c r="V5734">
        <v>-0.37733699999999998</v>
      </c>
      <c r="W5734">
        <v>0.11154260000000001</v>
      </c>
      <c r="X5734">
        <v>0.91933399999999998</v>
      </c>
      <c r="Y5734">
        <v>-0.66871729999999996</v>
      </c>
      <c r="Z5734">
        <v>7.7928979999999995E-2</v>
      </c>
      <c r="AA5734">
        <v>0.73942149999999995</v>
      </c>
      <c r="AB5734">
        <v>28</v>
      </c>
      <c r="AC5734">
        <v>12.8344</v>
      </c>
      <c r="AD5734">
        <v>-1.1304770489339999</v>
      </c>
      <c r="AE5734">
        <v>-0.47681000000000001</v>
      </c>
      <c r="AF5734">
        <v>-8.7032948981160008</v>
      </c>
      <c r="AG5734">
        <v>-1.1304770489339999</v>
      </c>
      <c r="AH5734">
        <v>9.3099555662291298</v>
      </c>
      <c r="AI5734">
        <v>95.069042768373606</v>
      </c>
      <c r="AJ5734">
        <v>133.07108866394299</v>
      </c>
      <c r="AK5734">
        <v>12.794553258590099</v>
      </c>
      <c r="AL5734">
        <v>83.595752552062606</v>
      </c>
      <c r="AM5734">
        <v>112.31550419110501</v>
      </c>
      <c r="AN5734">
        <v>0.99999998336987905</v>
      </c>
    </row>
    <row r="5735" spans="1:40" x14ac:dyDescent="0.25">
      <c r="A5735" t="str">
        <f>"20190303162417015"</f>
        <v>20190303162417015</v>
      </c>
      <c r="B5735" t="str">
        <f>"1551601457010424"</f>
        <v>1551601457010424</v>
      </c>
      <c r="C5735" t="s">
        <v>40</v>
      </c>
      <c r="D5735">
        <v>5.8963169999999998</v>
      </c>
      <c r="E5735">
        <v>0.43366779999999999</v>
      </c>
      <c r="F5735" t="s">
        <v>56</v>
      </c>
      <c r="G5735">
        <v>-280.86680000000001</v>
      </c>
      <c r="H5735" s="1">
        <v>-6.29959799999999E-6</v>
      </c>
      <c r="I5735">
        <v>-56.453749999999999</v>
      </c>
      <c r="J5735">
        <v>-294.2722</v>
      </c>
      <c r="K5735">
        <v>1.1304449999999999</v>
      </c>
      <c r="L5735">
        <v>-56.079770000000003</v>
      </c>
      <c r="M5735">
        <v>0.71384230000000004</v>
      </c>
      <c r="N5735">
        <v>-1.55531E-2</v>
      </c>
      <c r="O5735">
        <v>-0.70013369999999997</v>
      </c>
      <c r="P5735">
        <v>0.91800930000000003</v>
      </c>
      <c r="Q5735">
        <v>0.1053535</v>
      </c>
      <c r="R5735">
        <v>-0.38230819999999999</v>
      </c>
      <c r="S5735">
        <v>3.2534480000000001</v>
      </c>
      <c r="T5735">
        <v>-0.27019690000000002</v>
      </c>
      <c r="U5735">
        <v>-0.134491</v>
      </c>
      <c r="V5735">
        <v>-0.37262260000000003</v>
      </c>
      <c r="W5735">
        <v>0.1108195</v>
      </c>
      <c r="X5735">
        <v>0.9213422</v>
      </c>
      <c r="Y5735">
        <v>-0.66632569999999902</v>
      </c>
      <c r="Z5735">
        <v>7.3959179999999999E-2</v>
      </c>
      <c r="AA5735">
        <v>0.74198399999999998</v>
      </c>
      <c r="AB5735">
        <v>28</v>
      </c>
      <c r="AC5735">
        <v>13.405399999999901</v>
      </c>
      <c r="AD5735">
        <v>-1.1304512995980001</v>
      </c>
      <c r="AE5735">
        <v>-0.37398000000000298</v>
      </c>
      <c r="AF5735">
        <v>-9.0553683419426108</v>
      </c>
      <c r="AG5735">
        <v>-1.1304512995980001</v>
      </c>
      <c r="AH5735">
        <v>9.7629944077458202</v>
      </c>
      <c r="AI5735">
        <v>94.8524463874963</v>
      </c>
      <c r="AJ5735">
        <v>132.846523935921</v>
      </c>
      <c r="AK5735">
        <v>13.3638944830724</v>
      </c>
      <c r="AL5735">
        <v>83.6374417450766</v>
      </c>
      <c r="AM5735">
        <v>112.02010837572401</v>
      </c>
      <c r="AN5735">
        <v>1.00000000655592</v>
      </c>
    </row>
    <row r="5736" spans="1:40" x14ac:dyDescent="0.25">
      <c r="A5736" t="str">
        <f>"20190303162417037"</f>
        <v>20190303162417037</v>
      </c>
      <c r="B5736" t="str">
        <f>"1551601457030919"</f>
        <v>1551601457030919</v>
      </c>
      <c r="C5736" t="s">
        <v>40</v>
      </c>
      <c r="D5736">
        <v>5.7714230000000004</v>
      </c>
      <c r="E5736">
        <v>0.44635409999999998</v>
      </c>
      <c r="F5736" t="s">
        <v>42</v>
      </c>
      <c r="G5736">
        <v>-293.34820000000002</v>
      </c>
      <c r="H5736">
        <v>1.0724279999999999</v>
      </c>
      <c r="I5736">
        <v>-56.291159999999998</v>
      </c>
      <c r="J5736">
        <v>-294.06650000000002</v>
      </c>
      <c r="K5736">
        <v>1.1304270000000001</v>
      </c>
      <c r="L5736">
        <v>-56.262599999999999</v>
      </c>
      <c r="M5736">
        <v>0.72284019999999904</v>
      </c>
      <c r="N5736">
        <v>-1.5550019999999999E-2</v>
      </c>
      <c r="O5736">
        <v>-0.69084040000000002</v>
      </c>
      <c r="P5736">
        <v>0.92112280000000002</v>
      </c>
      <c r="Q5736">
        <v>0.1049201</v>
      </c>
      <c r="R5736">
        <v>-0.37486649999999999</v>
      </c>
      <c r="S5736">
        <v>3.0036010000000002</v>
      </c>
      <c r="T5736">
        <v>-0.18857679999999999</v>
      </c>
      <c r="U5736">
        <v>-0.6867065</v>
      </c>
      <c r="V5736">
        <v>-0.36816670000000001</v>
      </c>
      <c r="W5736">
        <v>0.110536999999999</v>
      </c>
      <c r="X5736">
        <v>0.92316560000000003</v>
      </c>
      <c r="Y5736">
        <v>-0.51079679999999905</v>
      </c>
      <c r="Z5736">
        <v>4.6733999999999998E-2</v>
      </c>
      <c r="AA5736">
        <v>0.85843029999999998</v>
      </c>
      <c r="AB5736">
        <v>28</v>
      </c>
      <c r="AC5736">
        <v>0.71829999999999905</v>
      </c>
      <c r="AD5736">
        <v>-5.7998999999999898E-2</v>
      </c>
      <c r="AE5736">
        <v>-2.8559999999998802E-2</v>
      </c>
      <c r="AF5736">
        <v>-0.47256765329293099</v>
      </c>
      <c r="AG5736">
        <v>-5.7998999999999898E-2</v>
      </c>
      <c r="AH5736">
        <v>0.53552566143898195</v>
      </c>
      <c r="AI5736">
        <v>94.642588338676006</v>
      </c>
      <c r="AJ5736">
        <v>131.42637317287401</v>
      </c>
      <c r="AK5736">
        <v>0.71656946976510705</v>
      </c>
      <c r="AL5736">
        <v>83.6537274115137</v>
      </c>
      <c r="AM5736">
        <v>111.74255571257601</v>
      </c>
      <c r="AN5736">
        <v>0.999999936190623</v>
      </c>
    </row>
    <row r="5737" spans="1:40" x14ac:dyDescent="0.25">
      <c r="A5737" t="str">
        <f>"20190303162417059"</f>
        <v>20190303162417059</v>
      </c>
      <c r="B5737" t="str">
        <f>"1551601457050440"</f>
        <v>1551601457050440</v>
      </c>
      <c r="C5737" t="s">
        <v>40</v>
      </c>
      <c r="D5737">
        <v>5.7769089999999998</v>
      </c>
      <c r="E5737">
        <v>0.4511966</v>
      </c>
      <c r="F5737" t="s">
        <v>42</v>
      </c>
      <c r="G5737">
        <v>-293.18869999999998</v>
      </c>
      <c r="H5737">
        <v>1.0684389999999999</v>
      </c>
      <c r="I5737">
        <v>-56.486499999999999</v>
      </c>
      <c r="J5737">
        <v>-293.86309999999997</v>
      </c>
      <c r="K5737">
        <v>1.1304050000000001</v>
      </c>
      <c r="L5737">
        <v>-56.438749999999999</v>
      </c>
      <c r="M5737">
        <v>0.73152329999999999</v>
      </c>
      <c r="N5737">
        <v>-1.5546590000000001E-2</v>
      </c>
      <c r="O5737">
        <v>-0.68163949999999995</v>
      </c>
      <c r="P5737">
        <v>0.92428580000000005</v>
      </c>
      <c r="Q5737">
        <v>0.1037878</v>
      </c>
      <c r="R5737">
        <v>-0.36731999999999998</v>
      </c>
      <c r="S5737">
        <v>2.972229</v>
      </c>
      <c r="T5737">
        <v>-0.20990529999999999</v>
      </c>
      <c r="U5737">
        <v>-0.75817869999999998</v>
      </c>
      <c r="V5737">
        <v>-0.36408089999999999</v>
      </c>
      <c r="W5737">
        <v>0.10954560000000001</v>
      </c>
      <c r="X5737">
        <v>0.92490269999999997</v>
      </c>
      <c r="Y5737">
        <v>-0.47776289999999999</v>
      </c>
      <c r="Z5737">
        <v>5.1607189999999997E-2</v>
      </c>
      <c r="AA5737">
        <v>0.87697169999999902</v>
      </c>
      <c r="AB5737">
        <v>28</v>
      </c>
      <c r="AC5737">
        <v>0.67439999999999101</v>
      </c>
      <c r="AD5737">
        <v>-6.1965999999999903E-2</v>
      </c>
      <c r="AE5737">
        <v>-4.7750000000000598E-2</v>
      </c>
      <c r="AF5737">
        <v>-0.42127976954973001</v>
      </c>
      <c r="AG5737">
        <v>-6.1965999999999903E-2</v>
      </c>
      <c r="AH5737">
        <v>0.52156965267531796</v>
      </c>
      <c r="AI5737">
        <v>95.280482685166206</v>
      </c>
      <c r="AJ5737">
        <v>128.928339582928</v>
      </c>
      <c r="AK5737">
        <v>0.67331369507810102</v>
      </c>
      <c r="AL5737">
        <v>83.7108783849351</v>
      </c>
      <c r="AM5737">
        <v>111.486701335999</v>
      </c>
      <c r="AN5737">
        <v>1.0000000723457201</v>
      </c>
    </row>
    <row r="5738" spans="1:40" x14ac:dyDescent="0.25">
      <c r="A5738" t="str">
        <f>"20190303162417082"</f>
        <v>20190303162417082</v>
      </c>
      <c r="B5738" t="str">
        <f>"1551601457070935"</f>
        <v>1551601457070935</v>
      </c>
      <c r="C5738" t="s">
        <v>40</v>
      </c>
      <c r="D5738">
        <v>5.7124940000000004</v>
      </c>
      <c r="E5738">
        <v>0.45378249999999998</v>
      </c>
      <c r="F5738" t="s">
        <v>42</v>
      </c>
      <c r="G5738">
        <v>-292.99549999999999</v>
      </c>
      <c r="H5738">
        <v>1.0650759999999999</v>
      </c>
      <c r="I5738">
        <v>-56.664270000000002</v>
      </c>
      <c r="J5738">
        <v>-293.65039999999999</v>
      </c>
      <c r="K5738">
        <v>1.1303749999999999</v>
      </c>
      <c r="L5738">
        <v>-56.618380000000002</v>
      </c>
      <c r="M5738">
        <v>0.74038649999999995</v>
      </c>
      <c r="N5738">
        <v>-1.554267E-2</v>
      </c>
      <c r="O5738">
        <v>-0.67200159999999998</v>
      </c>
      <c r="P5738">
        <v>0.9276643</v>
      </c>
      <c r="Q5738">
        <v>0.1023521</v>
      </c>
      <c r="R5738">
        <v>-0.3591143</v>
      </c>
      <c r="S5738">
        <v>2.964661</v>
      </c>
      <c r="T5738">
        <v>-0.22322520000000001</v>
      </c>
      <c r="U5738">
        <v>-0.77038569999999995</v>
      </c>
      <c r="V5738">
        <v>-0.36022349999999997</v>
      </c>
      <c r="W5738">
        <v>0.10824489999999901</v>
      </c>
      <c r="X5738">
        <v>0.92656459999999996</v>
      </c>
      <c r="Y5738">
        <v>-0.4620379</v>
      </c>
      <c r="Z5738">
        <v>5.4478909999999998E-2</v>
      </c>
      <c r="AA5738">
        <v>0.88518529999999995</v>
      </c>
      <c r="AB5738">
        <v>28</v>
      </c>
      <c r="AC5738">
        <v>0.65489999999999704</v>
      </c>
      <c r="AD5738">
        <v>-6.5298999999999996E-2</v>
      </c>
      <c r="AE5738">
        <v>-4.5889999999992798E-2</v>
      </c>
      <c r="AF5738">
        <v>-0.40218768061424698</v>
      </c>
      <c r="AG5738">
        <v>-6.5298999999999996E-2</v>
      </c>
      <c r="AH5738">
        <v>0.51072689009776195</v>
      </c>
      <c r="AI5738">
        <v>95.736033791730605</v>
      </c>
      <c r="AJ5738">
        <v>128.21975725041099</v>
      </c>
      <c r="AK5738">
        <v>0.65334588550613704</v>
      </c>
      <c r="AL5738">
        <v>83.785848031419803</v>
      </c>
      <c r="AM5738">
        <v>111.24474839320401</v>
      </c>
      <c r="AN5738">
        <v>0.99999994315070795</v>
      </c>
    </row>
    <row r="5739" spans="1:40" x14ac:dyDescent="0.25">
      <c r="A5739" t="str">
        <f>"20190303162417105"</f>
        <v>20190303162417105</v>
      </c>
      <c r="B5739" t="str">
        <f>"1551601457090456"</f>
        <v>1551601457090456</v>
      </c>
      <c r="C5739" t="s">
        <v>40</v>
      </c>
      <c r="D5739">
        <v>5.7107869999999998</v>
      </c>
      <c r="E5739">
        <v>0.45538909999999999</v>
      </c>
      <c r="F5739" t="s">
        <v>41</v>
      </c>
      <c r="G5739">
        <v>-279.13060000000002</v>
      </c>
      <c r="H5739" s="1">
        <v>-3.077901E-6</v>
      </c>
      <c r="I5739">
        <v>-60.353740000000002</v>
      </c>
      <c r="J5739">
        <v>-293.43959999999998</v>
      </c>
      <c r="K5739">
        <v>1.1303399999999999</v>
      </c>
      <c r="L5739">
        <v>-56.791319999999899</v>
      </c>
      <c r="M5739">
        <v>0.74894249999999996</v>
      </c>
      <c r="N5739">
        <v>-1.5538359999999999E-2</v>
      </c>
      <c r="O5739">
        <v>-0.66245279999999995</v>
      </c>
      <c r="P5739">
        <v>0.93114039999999998</v>
      </c>
      <c r="Q5739">
        <v>0.1004998</v>
      </c>
      <c r="R5739">
        <v>-0.35053849999999998</v>
      </c>
      <c r="S5739">
        <v>2.9642029999999999</v>
      </c>
      <c r="T5739">
        <v>-0.23076640000000001</v>
      </c>
      <c r="U5739">
        <v>-0.76257319999999995</v>
      </c>
      <c r="V5739">
        <v>-0.35696870000000003</v>
      </c>
      <c r="W5739">
        <v>0.1065093</v>
      </c>
      <c r="X5739">
        <v>0.92802439999999997</v>
      </c>
      <c r="Y5739">
        <v>-0.45267269999999998</v>
      </c>
      <c r="Z5739">
        <v>5.5863820000000002E-2</v>
      </c>
      <c r="AA5739">
        <v>0.88992510000000002</v>
      </c>
      <c r="AB5739">
        <v>28</v>
      </c>
      <c r="AC5739">
        <v>14.3089999999999</v>
      </c>
      <c r="AD5739">
        <v>-1.130343077901</v>
      </c>
      <c r="AE5739">
        <v>-3.5624199999999999</v>
      </c>
      <c r="AF5739">
        <v>-6.7720190453274203</v>
      </c>
      <c r="AG5739">
        <v>-1.130343077901</v>
      </c>
      <c r="AH5739">
        <v>13.0017334300939</v>
      </c>
      <c r="AI5739">
        <v>94.409109389956797</v>
      </c>
      <c r="AJ5739">
        <v>117.51298321668401</v>
      </c>
      <c r="AK5739">
        <v>14.7031625717482</v>
      </c>
      <c r="AL5739">
        <v>83.885869762096704</v>
      </c>
      <c r="AM5739">
        <v>111.039460027408</v>
      </c>
      <c r="AN5739">
        <v>1.00000008538076</v>
      </c>
    </row>
    <row r="5740" spans="1:40" x14ac:dyDescent="0.25">
      <c r="A5740" t="str">
        <f>"20190303162417127"</f>
        <v>20190303162417127</v>
      </c>
      <c r="B5740" t="str">
        <f>"1551601457120712"</f>
        <v>1551601457120712</v>
      </c>
      <c r="C5740" t="s">
        <v>40</v>
      </c>
      <c r="D5740">
        <v>5.6331419999999897</v>
      </c>
      <c r="E5740">
        <v>0.45676080000000002</v>
      </c>
      <c r="F5740" t="s">
        <v>42</v>
      </c>
      <c r="G5740">
        <v>-292.4153</v>
      </c>
      <c r="H5740">
        <v>1.0491010000000001</v>
      </c>
      <c r="I5740">
        <v>-57.048720000000003</v>
      </c>
      <c r="J5740">
        <v>-293.22160000000002</v>
      </c>
      <c r="K5740">
        <v>1.1303049999999999</v>
      </c>
      <c r="L5740">
        <v>-56.965479999999999</v>
      </c>
      <c r="M5740">
        <v>0.75757739999999996</v>
      </c>
      <c r="N5740">
        <v>-1.5533750000000001E-2</v>
      </c>
      <c r="O5740">
        <v>-0.65256040000000004</v>
      </c>
      <c r="P5740">
        <v>0.93508389999999997</v>
      </c>
      <c r="Q5740">
        <v>9.8721249999999997E-2</v>
      </c>
      <c r="R5740">
        <v>-0.34039979999999997</v>
      </c>
      <c r="S5740">
        <v>2.9666440000000001</v>
      </c>
      <c r="T5740">
        <v>-0.23528750000000001</v>
      </c>
      <c r="U5740">
        <v>-0.74548340000000002</v>
      </c>
      <c r="V5740">
        <v>-0.3549368</v>
      </c>
      <c r="W5740">
        <v>0.1048118</v>
      </c>
      <c r="X5740">
        <v>0.92899640000000006</v>
      </c>
      <c r="Y5740">
        <v>-0.44588040000000001</v>
      </c>
      <c r="Z5740">
        <v>5.6446940000000001E-2</v>
      </c>
      <c r="AA5740">
        <v>0.89331099999999997</v>
      </c>
      <c r="AB5740">
        <v>28</v>
      </c>
      <c r="AC5740">
        <v>0.806300000000021</v>
      </c>
      <c r="AD5740">
        <v>-8.1203999999999804E-2</v>
      </c>
      <c r="AE5740">
        <v>-8.3239999999989295E-2</v>
      </c>
      <c r="AF5740">
        <v>-0.458552616427923</v>
      </c>
      <c r="AG5740">
        <v>-8.1203999999999804E-2</v>
      </c>
      <c r="AH5740">
        <v>0.65862418418188895</v>
      </c>
      <c r="AI5740">
        <v>95.777800083325303</v>
      </c>
      <c r="AJ5740">
        <v>124.846717304062</v>
      </c>
      <c r="AK5740">
        <v>0.80662903966950805</v>
      </c>
      <c r="AL5740">
        <v>83.983676204072694</v>
      </c>
      <c r="AM5740">
        <v>110.910095519302</v>
      </c>
      <c r="AN5740">
        <v>0.99999997831321896</v>
      </c>
    </row>
    <row r="5741" spans="1:40" x14ac:dyDescent="0.25">
      <c r="A5741" t="str">
        <f>"20190303162417148"</f>
        <v>20190303162417148</v>
      </c>
      <c r="B5741" t="str">
        <f>"1551601457140231"</f>
        <v>1551601457140231</v>
      </c>
      <c r="C5741" t="s">
        <v>40</v>
      </c>
      <c r="D5741">
        <v>5.6488809999999896</v>
      </c>
      <c r="E5741">
        <v>0.45758660000000001</v>
      </c>
      <c r="F5741" t="s">
        <v>42</v>
      </c>
      <c r="G5741">
        <v>-292.23110000000003</v>
      </c>
      <c r="H5741">
        <v>1.0506450000000001</v>
      </c>
      <c r="I5741">
        <v>-57.20608</v>
      </c>
      <c r="J5741">
        <v>-293.01889999999997</v>
      </c>
      <c r="K5741">
        <v>1.1302719999999999</v>
      </c>
      <c r="L5741">
        <v>-57.123350000000002</v>
      </c>
      <c r="M5741">
        <v>0.76541569999999903</v>
      </c>
      <c r="N5741">
        <v>-1.552912E-2</v>
      </c>
      <c r="O5741">
        <v>-0.6433489</v>
      </c>
      <c r="P5741">
        <v>0.93820049999999999</v>
      </c>
      <c r="Q5741">
        <v>9.7013730000000006E-2</v>
      </c>
      <c r="R5741">
        <v>-0.33221699999999998</v>
      </c>
      <c r="S5741">
        <v>2.9709780000000001</v>
      </c>
      <c r="T5741">
        <v>-0.23890710000000001</v>
      </c>
      <c r="U5741">
        <v>-0.72113039999999995</v>
      </c>
      <c r="V5741">
        <v>-0.35187760000000001</v>
      </c>
      <c r="W5741">
        <v>0.1032131</v>
      </c>
      <c r="X5741">
        <v>0.93033829999999995</v>
      </c>
      <c r="Y5741">
        <v>-0.44220710000000002</v>
      </c>
      <c r="Z5741">
        <v>5.6904969999999999E-2</v>
      </c>
      <c r="AA5741">
        <v>0.89510599999999996</v>
      </c>
      <c r="AB5741">
        <v>28</v>
      </c>
      <c r="AC5741">
        <v>0.78779999999994699</v>
      </c>
      <c r="AD5741">
        <v>-7.9626999999999795E-2</v>
      </c>
      <c r="AE5741">
        <v>-8.2730000000004994E-2</v>
      </c>
      <c r="AF5741">
        <v>-0.43912363978257601</v>
      </c>
      <c r="AG5741">
        <v>-7.9626999999999795E-2</v>
      </c>
      <c r="AH5741">
        <v>0.64973244695244903</v>
      </c>
      <c r="AI5741">
        <v>95.797836283985006</v>
      </c>
      <c r="AJ5741">
        <v>124.052913172248</v>
      </c>
      <c r="AK5741">
        <v>0.78823999059151695</v>
      </c>
      <c r="AL5741">
        <v>84.075775071271593</v>
      </c>
      <c r="AM5741">
        <v>110.71789250088</v>
      </c>
      <c r="AN5741">
        <v>1.00000007092012</v>
      </c>
    </row>
    <row r="5742" spans="1:40" x14ac:dyDescent="0.25">
      <c r="A5742" t="str">
        <f>"20190303162417171"</f>
        <v>20190303162417171</v>
      </c>
      <c r="B5742" t="str">
        <f>"1551601457160728"</f>
        <v>1551601457160728</v>
      </c>
      <c r="C5742" t="s">
        <v>40</v>
      </c>
      <c r="D5742">
        <v>5.7847179999999998</v>
      </c>
      <c r="E5742">
        <v>0.45855370000000001</v>
      </c>
      <c r="F5742" t="s">
        <v>42</v>
      </c>
      <c r="G5742">
        <v>-292.041</v>
      </c>
      <c r="H5742">
        <v>1.050484</v>
      </c>
      <c r="I5742">
        <v>-57.353160000000003</v>
      </c>
      <c r="J5742">
        <v>-292.80070000000001</v>
      </c>
      <c r="K5742">
        <v>1.130242</v>
      </c>
      <c r="L5742">
        <v>-57.288879999999999</v>
      </c>
      <c r="M5742">
        <v>0.77364790000000005</v>
      </c>
      <c r="N5742">
        <v>-1.5524090000000001E-2</v>
      </c>
      <c r="O5742">
        <v>-0.63342549999999997</v>
      </c>
      <c r="P5742">
        <v>0.9407008</v>
      </c>
      <c r="Q5742">
        <v>9.6675750000000005E-2</v>
      </c>
      <c r="R5742">
        <v>-0.32517049999999997</v>
      </c>
      <c r="S5742">
        <v>2.9750670000000001</v>
      </c>
      <c r="T5742">
        <v>-0.24275859999999999</v>
      </c>
      <c r="U5742">
        <v>-0.69937130000000003</v>
      </c>
      <c r="V5742">
        <v>-0.34685480000000002</v>
      </c>
      <c r="W5742">
        <v>0.1030409</v>
      </c>
      <c r="X5742">
        <v>0.9322416</v>
      </c>
      <c r="Y5742">
        <v>-0.43706020000000001</v>
      </c>
      <c r="Z5742">
        <v>5.7288899999999997E-2</v>
      </c>
      <c r="AA5742">
        <v>0.89760589999999996</v>
      </c>
      <c r="AB5742">
        <v>28</v>
      </c>
      <c r="AC5742">
        <v>0.75970000000000903</v>
      </c>
      <c r="AD5742">
        <v>-7.9757999999999996E-2</v>
      </c>
      <c r="AE5742">
        <v>-6.4279999999989401E-2</v>
      </c>
      <c r="AF5742">
        <v>-0.42686379194916801</v>
      </c>
      <c r="AG5742">
        <v>-7.9757999999999996E-2</v>
      </c>
      <c r="AH5742">
        <v>0.621728621454535</v>
      </c>
      <c r="AI5742">
        <v>96.037002256670903</v>
      </c>
      <c r="AJ5742">
        <v>124.472548048984</v>
      </c>
      <c r="AK5742">
        <v>0.75836700493691001</v>
      </c>
      <c r="AL5742">
        <v>84.085694107988502</v>
      </c>
      <c r="AM5742">
        <v>110.408490240516</v>
      </c>
      <c r="AN5742">
        <v>1.0000000400632001</v>
      </c>
    </row>
    <row r="5743" spans="1:40" x14ac:dyDescent="0.25">
      <c r="A5743" t="str">
        <f>"20190303162417193"</f>
        <v>20190303162417193</v>
      </c>
      <c r="B5743" t="str">
        <f>"1551601457180248"</f>
        <v>1551601457180248</v>
      </c>
      <c r="C5743" t="s">
        <v>40</v>
      </c>
      <c r="D5743">
        <v>5.7313970000000003</v>
      </c>
      <c r="E5743">
        <v>0.45947500000000002</v>
      </c>
      <c r="F5743" t="s">
        <v>42</v>
      </c>
      <c r="G5743">
        <v>-291.85250000000002</v>
      </c>
      <c r="H5743">
        <v>1.0527690000000001</v>
      </c>
      <c r="I5743">
        <v>-57.506360000000001</v>
      </c>
      <c r="J5743">
        <v>-292.5772</v>
      </c>
      <c r="K5743">
        <v>1.1302140000000001</v>
      </c>
      <c r="L5743">
        <v>-57.453949999999999</v>
      </c>
      <c r="M5743">
        <v>0.78187169999999995</v>
      </c>
      <c r="N5743">
        <v>-1.5518809999999999E-2</v>
      </c>
      <c r="O5743">
        <v>-0.62324609999999903</v>
      </c>
      <c r="P5743">
        <v>0.94297509999999996</v>
      </c>
      <c r="Q5743">
        <v>9.727972E-2</v>
      </c>
      <c r="R5743">
        <v>-0.31833099999999998</v>
      </c>
      <c r="S5743">
        <v>2.9781490000000002</v>
      </c>
      <c r="T5743">
        <v>-0.2433051</v>
      </c>
      <c r="U5743">
        <v>-0.68267819999999901</v>
      </c>
      <c r="V5743">
        <v>-0.34137820000000002</v>
      </c>
      <c r="W5743">
        <v>0.103822</v>
      </c>
      <c r="X5743">
        <v>0.93417450000000002</v>
      </c>
      <c r="Y5743">
        <v>-0.43028949999999999</v>
      </c>
      <c r="Z5743">
        <v>5.6687309999999998E-2</v>
      </c>
      <c r="AA5743">
        <v>0.90090930000000002</v>
      </c>
      <c r="AB5743">
        <v>28</v>
      </c>
      <c r="AC5743">
        <v>0.72469999999998402</v>
      </c>
      <c r="AD5743">
        <v>-7.7444999999999903E-2</v>
      </c>
      <c r="AE5743">
        <v>-5.2410000000001802E-2</v>
      </c>
      <c r="AF5743">
        <v>-0.40612418676120898</v>
      </c>
      <c r="AG5743">
        <v>-7.7444999999999903E-2</v>
      </c>
      <c r="AH5743">
        <v>0.59262631477974703</v>
      </c>
      <c r="AI5743">
        <v>96.152580149340295</v>
      </c>
      <c r="AJ5743">
        <v>124.422668128224</v>
      </c>
      <c r="AK5743">
        <v>0.72259292279047205</v>
      </c>
      <c r="AL5743">
        <v>84.040699046366797</v>
      </c>
      <c r="AM5743">
        <v>110.073972080917</v>
      </c>
      <c r="AN5743">
        <v>1.0000000397847399</v>
      </c>
    </row>
    <row r="5744" spans="1:40" x14ac:dyDescent="0.25">
      <c r="A5744" t="str">
        <f>"20190303162417216"</f>
        <v>20190303162417216</v>
      </c>
      <c r="B5744" t="str">
        <f>"1551601457210504"</f>
        <v>1551601457210504</v>
      </c>
      <c r="C5744" t="s">
        <v>40</v>
      </c>
      <c r="D5744">
        <v>5.6730489999999998</v>
      </c>
      <c r="E5744">
        <v>0.46062239999999999</v>
      </c>
      <c r="F5744" t="s">
        <v>42</v>
      </c>
      <c r="G5744">
        <v>-291.58319999999998</v>
      </c>
      <c r="H5744">
        <v>1.0502209999999901</v>
      </c>
      <c r="I5744">
        <v>-57.67624</v>
      </c>
      <c r="J5744">
        <v>-292.35579999999999</v>
      </c>
      <c r="K5744">
        <v>1.1301829999999999</v>
      </c>
      <c r="L5744">
        <v>-57.613069999999901</v>
      </c>
      <c r="M5744">
        <v>0.78981290000000004</v>
      </c>
      <c r="N5744">
        <v>-1.551338E-2</v>
      </c>
      <c r="O5744">
        <v>-0.61315189999999997</v>
      </c>
      <c r="P5744">
        <v>0.94577429999999996</v>
      </c>
      <c r="Q5744">
        <v>9.6113799999999999E-2</v>
      </c>
      <c r="R5744">
        <v>-0.3102799</v>
      </c>
      <c r="S5744">
        <v>2.9811399999999999</v>
      </c>
      <c r="T5744">
        <v>-0.23991409999999999</v>
      </c>
      <c r="U5744">
        <v>-0.66650390000000004</v>
      </c>
      <c r="V5744">
        <v>-0.3373738</v>
      </c>
      <c r="W5744">
        <v>0.1027909</v>
      </c>
      <c r="X5744">
        <v>0.93574199999999996</v>
      </c>
      <c r="Y5744">
        <v>-0.42364800000000002</v>
      </c>
      <c r="Z5744">
        <v>5.5067459999999999E-2</v>
      </c>
      <c r="AA5744">
        <v>0.9041515</v>
      </c>
      <c r="AB5744">
        <v>28</v>
      </c>
      <c r="AC5744">
        <v>0.77260000000001094</v>
      </c>
      <c r="AD5744">
        <v>-7.9962000000000005E-2</v>
      </c>
      <c r="AE5744">
        <v>-6.3170000000006596E-2</v>
      </c>
      <c r="AF5744">
        <v>-0.41941678894262402</v>
      </c>
      <c r="AG5744">
        <v>-7.9962000000000005E-2</v>
      </c>
      <c r="AH5744">
        <v>0.64218702109975401</v>
      </c>
      <c r="AI5744">
        <v>95.951624050610903</v>
      </c>
      <c r="AJ5744">
        <v>123.148831276842</v>
      </c>
      <c r="AK5744">
        <v>0.77117347877109799</v>
      </c>
      <c r="AL5744">
        <v>84.1000946966886</v>
      </c>
      <c r="AM5744">
        <v>109.82633635980601</v>
      </c>
      <c r="AN5744">
        <v>1.0000000703066201</v>
      </c>
    </row>
    <row r="5745" spans="1:40" x14ac:dyDescent="0.25">
      <c r="A5745" t="str">
        <f>"20190303162417237"</f>
        <v>20190303162417237</v>
      </c>
      <c r="B5745" t="str">
        <f>"1551601457231000"</f>
        <v>1551601457231000</v>
      </c>
      <c r="C5745" t="s">
        <v>40</v>
      </c>
      <c r="D5745">
        <v>5.6700710000000001</v>
      </c>
      <c r="E5745">
        <v>0.46147100000000002</v>
      </c>
      <c r="F5745" t="s">
        <v>41</v>
      </c>
      <c r="G5745">
        <v>-278.3981</v>
      </c>
      <c r="H5745" s="1">
        <v>-2.8161870000000001E-6</v>
      </c>
      <c r="I5745">
        <v>-60.649679999999996</v>
      </c>
      <c r="J5745">
        <v>-292.13979999999998</v>
      </c>
      <c r="K5745">
        <v>1.130158</v>
      </c>
      <c r="L5745">
        <v>-57.764249999999997</v>
      </c>
      <c r="M5745">
        <v>0.79737199999999997</v>
      </c>
      <c r="N5745">
        <v>-1.550792E-2</v>
      </c>
      <c r="O5745">
        <v>-0.60328879999999996</v>
      </c>
      <c r="P5745">
        <v>0.94921390000000005</v>
      </c>
      <c r="Q5745">
        <v>9.5026340000000001E-2</v>
      </c>
      <c r="R5745">
        <v>-0.29993799999999998</v>
      </c>
      <c r="S5745">
        <v>2.9836119999999999</v>
      </c>
      <c r="T5745">
        <v>-0.24158930000000001</v>
      </c>
      <c r="U5745">
        <v>-0.64910889999999999</v>
      </c>
      <c r="V5745">
        <v>-0.33599020000000002</v>
      </c>
      <c r="W5745">
        <v>0.1017607</v>
      </c>
      <c r="X5745">
        <v>0.93635210000000002</v>
      </c>
      <c r="Y5745">
        <v>-0.41757040000000001</v>
      </c>
      <c r="Z5745">
        <v>5.479589E-2</v>
      </c>
      <c r="AA5745">
        <v>0.90699079999999999</v>
      </c>
      <c r="AB5745">
        <v>28</v>
      </c>
      <c r="AC5745">
        <v>13.7416999999999</v>
      </c>
      <c r="AD5745">
        <v>-1.130160816187</v>
      </c>
      <c r="AE5745">
        <v>-2.8854299999999999</v>
      </c>
      <c r="AF5745">
        <v>-5.9516166181416903</v>
      </c>
      <c r="AG5745">
        <v>-1.130160816187</v>
      </c>
      <c r="AH5745">
        <v>12.6177798637019</v>
      </c>
      <c r="AI5745">
        <v>94.631381263212702</v>
      </c>
      <c r="AJ5745">
        <v>115.252545547872</v>
      </c>
      <c r="AK5745">
        <v>13.996691485084099</v>
      </c>
      <c r="AL5745">
        <v>84.159431290533604</v>
      </c>
      <c r="AM5745">
        <v>109.73945376973001</v>
      </c>
      <c r="AN5745">
        <v>0.99999995486746796</v>
      </c>
    </row>
    <row r="5746" spans="1:40" x14ac:dyDescent="0.25">
      <c r="A5746" t="str">
        <f>"20190303162417260"</f>
        <v>20190303162417260</v>
      </c>
      <c r="B5746" t="str">
        <f>"1551601457250520"</f>
        <v>1551601457250520</v>
      </c>
      <c r="C5746" t="s">
        <v>40</v>
      </c>
      <c r="D5746">
        <v>5.6710029999999998</v>
      </c>
      <c r="E5746">
        <v>0.4622231</v>
      </c>
      <c r="F5746" t="s">
        <v>41</v>
      </c>
      <c r="G5746">
        <v>-278.39089999999999</v>
      </c>
      <c r="H5746" s="1">
        <v>-2.8092900000000001E-6</v>
      </c>
      <c r="I5746">
        <v>-60.632539999999999</v>
      </c>
      <c r="J5746">
        <v>-291.9171</v>
      </c>
      <c r="K5746">
        <v>1.1301380000000001</v>
      </c>
      <c r="L5746">
        <v>-57.915990000000001</v>
      </c>
      <c r="M5746">
        <v>0.80497010000000002</v>
      </c>
      <c r="N5746">
        <v>-1.5502230000000001E-2</v>
      </c>
      <c r="O5746">
        <v>-0.59311309999999995</v>
      </c>
      <c r="P5746">
        <v>0.95167080000000004</v>
      </c>
      <c r="Q5746">
        <v>9.5461299999999999E-2</v>
      </c>
      <c r="R5746">
        <v>-0.29190759999999899</v>
      </c>
      <c r="S5746">
        <v>2.9881289999999998</v>
      </c>
      <c r="T5746">
        <v>-0.24562500000000001</v>
      </c>
      <c r="U5746">
        <v>-0.62338260000000001</v>
      </c>
      <c r="V5746">
        <v>-0.33197749999999998</v>
      </c>
      <c r="W5746">
        <v>0.1023275</v>
      </c>
      <c r="X5746">
        <v>0.93772069999999996</v>
      </c>
      <c r="Y5746">
        <v>-0.41372730000000002</v>
      </c>
      <c r="Z5746">
        <v>5.5170259999999999E-2</v>
      </c>
      <c r="AA5746">
        <v>0.90872759999999997</v>
      </c>
      <c r="AB5746">
        <v>28</v>
      </c>
      <c r="AC5746">
        <v>13.526199999999999</v>
      </c>
      <c r="AD5746">
        <v>-1.1301408092899901</v>
      </c>
      <c r="AE5746">
        <v>-2.7165499999999998</v>
      </c>
      <c r="AF5746">
        <v>-5.7976216526144899</v>
      </c>
      <c r="AG5746">
        <v>-1.1301408092899901</v>
      </c>
      <c r="AH5746">
        <v>12.4175827093151</v>
      </c>
      <c r="AI5746">
        <v>94.714282941731994</v>
      </c>
      <c r="AJ5746">
        <v>115.027311119293</v>
      </c>
      <c r="AK5746">
        <v>13.750854352307201</v>
      </c>
      <c r="AL5746">
        <v>84.126786154552804</v>
      </c>
      <c r="AM5746">
        <v>109.49528639444</v>
      </c>
      <c r="AN5746">
        <v>1.00000004448549</v>
      </c>
    </row>
    <row r="5747" spans="1:40" x14ac:dyDescent="0.25">
      <c r="A5747" t="str">
        <f>"20190303162417284"</f>
        <v>20190303162417284</v>
      </c>
      <c r="B5747" t="str">
        <f>"1551601457271015"</f>
        <v>1551601457271015</v>
      </c>
      <c r="C5747" t="s">
        <v>40</v>
      </c>
      <c r="D5747">
        <v>5.6048169999999997</v>
      </c>
      <c r="E5747">
        <v>0.46296280000000001</v>
      </c>
      <c r="F5747" t="s">
        <v>41</v>
      </c>
      <c r="G5747">
        <v>-278.02339999999998</v>
      </c>
      <c r="H5747" s="1">
        <v>-2.670542E-6</v>
      </c>
      <c r="I5747">
        <v>-60.717610000000001</v>
      </c>
      <c r="J5747">
        <v>-291.67869999999999</v>
      </c>
      <c r="K5747">
        <v>1.130117</v>
      </c>
      <c r="L5747">
        <v>-58.07385</v>
      </c>
      <c r="M5747">
        <v>0.81289669999999903</v>
      </c>
      <c r="N5747">
        <v>-1.5496009999999999E-2</v>
      </c>
      <c r="O5747">
        <v>-0.58220190000000005</v>
      </c>
      <c r="P5747">
        <v>0.95390980000000003</v>
      </c>
      <c r="Q5747">
        <v>9.7283930000000005E-2</v>
      </c>
      <c r="R5747">
        <v>-0.28388780000000002</v>
      </c>
      <c r="S5747">
        <v>2.99173</v>
      </c>
      <c r="T5747">
        <v>-0.24335190000000001</v>
      </c>
      <c r="U5747">
        <v>-0.60327149999999996</v>
      </c>
      <c r="V5747">
        <v>-0.32713930000000002</v>
      </c>
      <c r="W5747">
        <v>0.1043029</v>
      </c>
      <c r="X5747">
        <v>0.93920219999999999</v>
      </c>
      <c r="Y5747">
        <v>-0.40761449999999999</v>
      </c>
      <c r="Z5747">
        <v>5.3807460000000001E-2</v>
      </c>
      <c r="AA5747">
        <v>0.91156740000000003</v>
      </c>
      <c r="AB5747">
        <v>28</v>
      </c>
      <c r="AC5747">
        <v>13.6553</v>
      </c>
      <c r="AD5747">
        <v>-1.130119670542</v>
      </c>
      <c r="AE5747">
        <v>-2.6437599999999999</v>
      </c>
      <c r="AF5747">
        <v>-5.7636828695295401</v>
      </c>
      <c r="AG5747">
        <v>-1.130119670542</v>
      </c>
      <c r="AH5747">
        <v>12.558159820019601</v>
      </c>
      <c r="AI5747">
        <v>94.675707521462002</v>
      </c>
      <c r="AJ5747">
        <v>114.65319159197701</v>
      </c>
      <c r="AK5747">
        <v>13.8637869557855</v>
      </c>
      <c r="AL5747">
        <v>84.012994823571603</v>
      </c>
      <c r="AM5747">
        <v>109.20405266669199</v>
      </c>
      <c r="AN5747">
        <v>0.99999999451887001</v>
      </c>
    </row>
    <row r="5748" spans="1:40" x14ac:dyDescent="0.25">
      <c r="A5748" t="str">
        <f>"20190303162417306"</f>
        <v>20190303162417306</v>
      </c>
      <c r="B5748" t="str">
        <f>"1551601457290536"</f>
        <v>1551601457290536</v>
      </c>
      <c r="C5748" t="s">
        <v>40</v>
      </c>
      <c r="D5748">
        <v>5.6660490000000001</v>
      </c>
      <c r="E5748">
        <v>0.46331499999999998</v>
      </c>
      <c r="F5748" t="s">
        <v>42</v>
      </c>
      <c r="G5748">
        <v>-290.63330000000002</v>
      </c>
      <c r="H5748">
        <v>1.0473159999999999</v>
      </c>
      <c r="I5748">
        <v>-58.277760000000001</v>
      </c>
      <c r="J5748">
        <v>-291.45530000000002</v>
      </c>
      <c r="K5748">
        <v>1.1301000000000001</v>
      </c>
      <c r="L5748">
        <v>-58.217440000000003</v>
      </c>
      <c r="M5748">
        <v>0.82012750000000001</v>
      </c>
      <c r="N5748">
        <v>-1.54901E-2</v>
      </c>
      <c r="O5748">
        <v>-0.57197119999999901</v>
      </c>
      <c r="P5748">
        <v>0.95580540000000003</v>
      </c>
      <c r="Q5748">
        <v>9.8389370000000004E-2</v>
      </c>
      <c r="R5748">
        <v>-0.27704820000000002</v>
      </c>
      <c r="S5748">
        <v>2.9954529999999999</v>
      </c>
      <c r="T5748">
        <v>-0.237234</v>
      </c>
      <c r="U5748">
        <v>-0.58367919999999995</v>
      </c>
      <c r="V5748">
        <v>-0.32204060000000001</v>
      </c>
      <c r="W5748">
        <v>0.1055672</v>
      </c>
      <c r="X5748">
        <v>0.94082169999999998</v>
      </c>
      <c r="Y5748">
        <v>-0.4022927</v>
      </c>
      <c r="Z5748">
        <v>5.158165E-2</v>
      </c>
      <c r="AA5748">
        <v>0.9140568</v>
      </c>
      <c r="AB5748">
        <v>27</v>
      </c>
      <c r="AC5748">
        <v>0.82200000000000195</v>
      </c>
      <c r="AD5748">
        <v>-8.2784000000000094E-2</v>
      </c>
      <c r="AE5748">
        <v>-6.0319999999997202E-2</v>
      </c>
      <c r="AF5748">
        <v>-0.41653853741369201</v>
      </c>
      <c r="AG5748">
        <v>-8.2784000000000094E-2</v>
      </c>
      <c r="AH5748">
        <v>0.70165263726470595</v>
      </c>
      <c r="AI5748">
        <v>95.793045375458703</v>
      </c>
      <c r="AJ5748">
        <v>120.695634087483</v>
      </c>
      <c r="AK5748">
        <v>0.82016703615011</v>
      </c>
      <c r="AL5748">
        <v>83.940153807793294</v>
      </c>
      <c r="AM5748">
        <v>108.895929915346</v>
      </c>
      <c r="AN5748">
        <v>1.0000000264775399</v>
      </c>
    </row>
    <row r="5749" spans="1:40" x14ac:dyDescent="0.25">
      <c r="A5749" t="str">
        <f>"20190303162417319"</f>
        <v>20190303162417319</v>
      </c>
      <c r="B5749" t="str">
        <f>"1551601457311033"</f>
        <v>1551601457311033</v>
      </c>
      <c r="C5749" t="s">
        <v>40</v>
      </c>
      <c r="D5749">
        <v>5.5288279999999999</v>
      </c>
      <c r="E5749">
        <v>0.47465800000000002</v>
      </c>
      <c r="F5749" t="s">
        <v>42</v>
      </c>
      <c r="G5749">
        <v>-290.36149999999998</v>
      </c>
      <c r="H5749">
        <v>1.044861</v>
      </c>
      <c r="I5749">
        <v>-58.423679999999997</v>
      </c>
      <c r="J5749">
        <v>-291.31479999999999</v>
      </c>
      <c r="K5749">
        <v>1.1300889999999999</v>
      </c>
      <c r="L5749">
        <v>-58.305790000000002</v>
      </c>
      <c r="M5749">
        <v>0.8245825</v>
      </c>
      <c r="N5749">
        <v>-1.54863E-2</v>
      </c>
      <c r="O5749">
        <v>-0.56552990000000003</v>
      </c>
      <c r="P5749">
        <v>0.95713899999999996</v>
      </c>
      <c r="Q5749">
        <v>9.8709450000000004E-2</v>
      </c>
      <c r="R5749">
        <v>-0.2722889</v>
      </c>
      <c r="S5749">
        <v>2.99884</v>
      </c>
      <c r="T5749">
        <v>-0.23371710000000001</v>
      </c>
      <c r="U5749">
        <v>-0.5656738</v>
      </c>
      <c r="V5749">
        <v>-0.3193319</v>
      </c>
      <c r="W5749">
        <v>0.1059726</v>
      </c>
      <c r="X5749">
        <v>0.94169899999999995</v>
      </c>
      <c r="Y5749">
        <v>-0.4006999</v>
      </c>
      <c r="Z5749">
        <v>5.0355209999999997E-2</v>
      </c>
      <c r="AA5749">
        <v>0.91482450000000004</v>
      </c>
      <c r="AB5749">
        <v>27</v>
      </c>
      <c r="AC5749">
        <v>0.95330000000001203</v>
      </c>
      <c r="AD5749">
        <v>-8.5227999999999804E-2</v>
      </c>
      <c r="AE5749">
        <v>-0.11789000000000199</v>
      </c>
      <c r="AF5749">
        <v>-0.43851039674523201</v>
      </c>
      <c r="AG5749">
        <v>-8.5227999999999804E-2</v>
      </c>
      <c r="AH5749">
        <v>0.84618539368510004</v>
      </c>
      <c r="AI5749">
        <v>95.110125238220206</v>
      </c>
      <c r="AJ5749">
        <v>117.394104893274</v>
      </c>
      <c r="AK5749">
        <v>0.95686200704368496</v>
      </c>
      <c r="AL5749">
        <v>83.916795095762495</v>
      </c>
      <c r="AM5749">
        <v>108.731894245959</v>
      </c>
      <c r="AN5749">
        <v>1.0000000304546799</v>
      </c>
    </row>
    <row r="5750" spans="1:40" x14ac:dyDescent="0.25">
      <c r="A5750" t="str">
        <f>"20190303162417338"</f>
        <v>20190303162417338</v>
      </c>
      <c r="B5750" t="str">
        <f>"1551601457330552"</f>
        <v>1551601457330552</v>
      </c>
      <c r="C5750" t="s">
        <v>40</v>
      </c>
      <c r="D5750">
        <v>5.5913199999999996</v>
      </c>
      <c r="E5750">
        <v>0.47442020000000001</v>
      </c>
      <c r="F5750" t="s">
        <v>41</v>
      </c>
      <c r="G5750">
        <v>-276.29430000000002</v>
      </c>
      <c r="H5750" s="1">
        <v>-2.108046E-6</v>
      </c>
      <c r="I5750">
        <v>-61.523829999999997</v>
      </c>
      <c r="J5750">
        <v>-291.1216</v>
      </c>
      <c r="K5750">
        <v>1.1300809999999999</v>
      </c>
      <c r="L5750">
        <v>-58.42474</v>
      </c>
      <c r="M5750">
        <v>0.83059240000000001</v>
      </c>
      <c r="N5750">
        <v>-1.548128E-2</v>
      </c>
      <c r="O5750">
        <v>-0.55666579999999999</v>
      </c>
      <c r="P5750">
        <v>0.95834759999999997</v>
      </c>
      <c r="Q5750">
        <v>9.9396200000000004E-2</v>
      </c>
      <c r="R5750">
        <v>-0.26775070000000001</v>
      </c>
      <c r="S5750">
        <v>2.9760740000000001</v>
      </c>
      <c r="T5750">
        <v>-0.22390969999999999</v>
      </c>
      <c r="U5750">
        <v>-0.63760380000000005</v>
      </c>
      <c r="V5750">
        <v>-0.31366539999999998</v>
      </c>
      <c r="W5750">
        <v>0.1068303</v>
      </c>
      <c r="X5750">
        <v>0.94350480000000003</v>
      </c>
      <c r="Y5750">
        <v>-0.3684211</v>
      </c>
      <c r="Z5750">
        <v>4.6391549999999997E-2</v>
      </c>
      <c r="AA5750">
        <v>0.92850080000000002</v>
      </c>
      <c r="AB5750">
        <v>27</v>
      </c>
      <c r="AC5750">
        <v>14.8272999999999</v>
      </c>
      <c r="AD5750">
        <v>-1.1300831080460001</v>
      </c>
      <c r="AE5750">
        <v>-3.0990899999999999</v>
      </c>
      <c r="AF5750">
        <v>-5.6490091655164196</v>
      </c>
      <c r="AG5750">
        <v>-1.1300831080460001</v>
      </c>
      <c r="AH5750">
        <v>13.964557664037599</v>
      </c>
      <c r="AI5750">
        <v>94.290261027352301</v>
      </c>
      <c r="AJ5750">
        <v>112.02455066887001</v>
      </c>
      <c r="AK5750">
        <v>15.1061994934335</v>
      </c>
      <c r="AL5750">
        <v>83.867371767022803</v>
      </c>
      <c r="AM5750">
        <v>108.389235100701</v>
      </c>
      <c r="AN5750">
        <v>1.00000000188914</v>
      </c>
    </row>
    <row r="5751" spans="1:40" x14ac:dyDescent="0.25">
      <c r="A5751" t="str">
        <f>"20190303162417361"</f>
        <v>20190303162417361</v>
      </c>
      <c r="B5751" t="str">
        <f>"1551601457351048"</f>
        <v>1551601457351048</v>
      </c>
      <c r="C5751" t="s">
        <v>40</v>
      </c>
      <c r="D5751">
        <v>5.5900759999999998</v>
      </c>
      <c r="E5751">
        <v>0.47485899999999998</v>
      </c>
      <c r="F5751" t="s">
        <v>41</v>
      </c>
      <c r="G5751">
        <v>-275.82139999999998</v>
      </c>
      <c r="H5751" s="1">
        <v>-1.92481E-6</v>
      </c>
      <c r="I5751">
        <v>-61.612139999999997</v>
      </c>
      <c r="J5751">
        <v>-290.88830000000002</v>
      </c>
      <c r="K5751">
        <v>1.130053</v>
      </c>
      <c r="L5751">
        <v>-58.564790000000002</v>
      </c>
      <c r="M5751">
        <v>0.83767469999999999</v>
      </c>
      <c r="N5751">
        <v>-1.5475239999999999E-2</v>
      </c>
      <c r="O5751">
        <v>-0.54595039999999995</v>
      </c>
      <c r="P5751">
        <v>0.96023360000000002</v>
      </c>
      <c r="Q5751">
        <v>9.9255060000000006E-2</v>
      </c>
      <c r="R5751">
        <v>-0.26095940000000001</v>
      </c>
      <c r="S5751">
        <v>2.9797669999999998</v>
      </c>
      <c r="T5751">
        <v>-0.22008810000000001</v>
      </c>
      <c r="U5751">
        <v>-0.62075809999999998</v>
      </c>
      <c r="V5751">
        <v>-0.30820930000000002</v>
      </c>
      <c r="W5751">
        <v>0.1068568</v>
      </c>
      <c r="X5751">
        <v>0.94529819999999998</v>
      </c>
      <c r="Y5751">
        <v>-0.3618382</v>
      </c>
      <c r="Z5751">
        <v>4.4739029999999999E-2</v>
      </c>
      <c r="AA5751">
        <v>0.93116679999999996</v>
      </c>
      <c r="AB5751">
        <v>27</v>
      </c>
      <c r="AC5751">
        <v>15.0669</v>
      </c>
      <c r="AD5751">
        <v>-1.13005492481</v>
      </c>
      <c r="AE5751">
        <v>-3.0473499999999998</v>
      </c>
      <c r="AF5751">
        <v>-5.6432729360178699</v>
      </c>
      <c r="AG5751">
        <v>-1.13005492481</v>
      </c>
      <c r="AH5751">
        <v>14.2097781829917</v>
      </c>
      <c r="AI5751">
        <v>94.227115376747705</v>
      </c>
      <c r="AJ5751">
        <v>111.66001225991</v>
      </c>
      <c r="AK5751">
        <v>15.331058331808199</v>
      </c>
      <c r="AL5751">
        <v>83.865844784482704</v>
      </c>
      <c r="AM5751">
        <v>108.058274283316</v>
      </c>
      <c r="AN5751">
        <v>1.00000001761798</v>
      </c>
    </row>
    <row r="5752" spans="1:40" x14ac:dyDescent="0.25">
      <c r="A5752" t="str">
        <f>"20190303162417377"</f>
        <v>20190303162417377</v>
      </c>
      <c r="B5752" t="str">
        <f>"1551601457370568"</f>
        <v>1551601457370568</v>
      </c>
      <c r="C5752" t="s">
        <v>40</v>
      </c>
      <c r="D5752">
        <v>5.5914299999999999</v>
      </c>
      <c r="E5752">
        <v>0.4751013</v>
      </c>
      <c r="F5752" t="s">
        <v>41</v>
      </c>
      <c r="G5752">
        <v>-275.55579999999998</v>
      </c>
      <c r="H5752" s="1">
        <v>-1.822256E-6</v>
      </c>
      <c r="I5752">
        <v>-61.663379999999997</v>
      </c>
      <c r="J5752">
        <v>-290.72379999999998</v>
      </c>
      <c r="K5752">
        <v>1.1300330000000001</v>
      </c>
      <c r="L5752">
        <v>-58.660739999999997</v>
      </c>
      <c r="M5752">
        <v>0.84255000000000002</v>
      </c>
      <c r="N5752">
        <v>-1.547074E-2</v>
      </c>
      <c r="O5752">
        <v>-0.53839569999999903</v>
      </c>
      <c r="P5752">
        <v>0.96186199999999999</v>
      </c>
      <c r="Q5752">
        <v>9.8977679999999998E-2</v>
      </c>
      <c r="R5752">
        <v>-0.25500020000000001</v>
      </c>
      <c r="S5752">
        <v>2.9831539999999999</v>
      </c>
      <c r="T5752">
        <v>-0.21986820000000001</v>
      </c>
      <c r="U5752">
        <v>-0.60287480000000004</v>
      </c>
      <c r="V5752">
        <v>-0.30556990000000001</v>
      </c>
      <c r="W5752">
        <v>0.10666340000000001</v>
      </c>
      <c r="X5752">
        <v>0.94617649999999998</v>
      </c>
      <c r="Y5752">
        <v>-0.35904619999999998</v>
      </c>
      <c r="Z5752">
        <v>4.4232569999999999E-2</v>
      </c>
      <c r="AA5752">
        <v>0.93227110000000002</v>
      </c>
      <c r="AB5752">
        <v>27</v>
      </c>
      <c r="AC5752">
        <v>15.167999999999999</v>
      </c>
      <c r="AD5752">
        <v>-1.1300348222559999</v>
      </c>
      <c r="AE5752">
        <v>-3.0026399999999902</v>
      </c>
      <c r="AF5752">
        <v>-5.6072379527004399</v>
      </c>
      <c r="AG5752">
        <v>-1.1300348222559999</v>
      </c>
      <c r="AH5752">
        <v>14.321637926000999</v>
      </c>
      <c r="AI5752">
        <v>94.202163253251598</v>
      </c>
      <c r="AJ5752">
        <v>111.381441745438</v>
      </c>
      <c r="AK5752">
        <v>15.4216539009662</v>
      </c>
      <c r="AL5752">
        <v>83.876989416377896</v>
      </c>
      <c r="AM5752">
        <v>107.897983023937</v>
      </c>
      <c r="AN5752">
        <v>1.0000000069189099</v>
      </c>
    </row>
    <row r="5753" spans="1:40" x14ac:dyDescent="0.25">
      <c r="A5753" t="str">
        <f>"20190303162417391"</f>
        <v>20190303162417391</v>
      </c>
      <c r="B5753" t="str">
        <f>"1551601457380328"</f>
        <v>1551601457380328</v>
      </c>
      <c r="C5753" t="s">
        <v>40</v>
      </c>
      <c r="D5753">
        <v>5.5919660000000002</v>
      </c>
      <c r="E5753">
        <v>0.47525499999999998</v>
      </c>
      <c r="F5753" t="s">
        <v>41</v>
      </c>
      <c r="G5753">
        <v>-275.49579999999997</v>
      </c>
      <c r="H5753" s="1">
        <v>-1.793514E-6</v>
      </c>
      <c r="I5753">
        <v>-61.649769999999997</v>
      </c>
      <c r="J5753">
        <v>-290.58620000000002</v>
      </c>
      <c r="K5753">
        <v>1.130018</v>
      </c>
      <c r="L5753">
        <v>-58.739620000000002</v>
      </c>
      <c r="M5753">
        <v>0.8465608</v>
      </c>
      <c r="N5753">
        <v>-1.546692E-2</v>
      </c>
      <c r="O5753">
        <v>-0.53206759999999997</v>
      </c>
      <c r="P5753">
        <v>0.96315589999999995</v>
      </c>
      <c r="Q5753">
        <v>9.8440689999999997E-2</v>
      </c>
      <c r="R5753">
        <v>-0.25028020000000001</v>
      </c>
      <c r="S5753">
        <v>2.9863590000000002</v>
      </c>
      <c r="T5753">
        <v>-0.221612</v>
      </c>
      <c r="U5753">
        <v>-0.58618159999999997</v>
      </c>
      <c r="V5753">
        <v>-0.30312860000000003</v>
      </c>
      <c r="W5753">
        <v>0.10620300000000001</v>
      </c>
      <c r="X5753">
        <v>0.9470132</v>
      </c>
      <c r="Y5753">
        <v>-0.3572439</v>
      </c>
      <c r="Z5753">
        <v>4.4261689999999999E-2</v>
      </c>
      <c r="AA5753">
        <v>0.93296179999999995</v>
      </c>
      <c r="AB5753">
        <v>27</v>
      </c>
      <c r="AC5753">
        <v>15.090400000000001</v>
      </c>
      <c r="AD5753">
        <v>-1.1300197935139999</v>
      </c>
      <c r="AE5753">
        <v>-2.9101499999999998</v>
      </c>
      <c r="AF5753">
        <v>-5.5362275275710902</v>
      </c>
      <c r="AG5753">
        <v>-1.1300197935139999</v>
      </c>
      <c r="AH5753">
        <v>14.248017525047199</v>
      </c>
      <c r="AI5753">
        <v>94.227962246879997</v>
      </c>
      <c r="AJ5753">
        <v>111.234197544569</v>
      </c>
      <c r="AK5753">
        <v>15.327516542637399</v>
      </c>
      <c r="AL5753">
        <v>83.9035191238914</v>
      </c>
      <c r="AM5753">
        <v>107.749302201899</v>
      </c>
      <c r="AN5753">
        <v>1.0000000131605999</v>
      </c>
    </row>
    <row r="5754" spans="1:40" x14ac:dyDescent="0.25">
      <c r="A5754" t="str">
        <f>"20190303162417406"</f>
        <v>20190303162417406</v>
      </c>
      <c r="B5754" t="str">
        <f>"1551601457400824"</f>
        <v>1551601457400824</v>
      </c>
      <c r="C5754" t="s">
        <v>40</v>
      </c>
      <c r="D5754">
        <v>5.5909760000000004</v>
      </c>
      <c r="E5754">
        <v>0.47548669999999998</v>
      </c>
      <c r="F5754" t="s">
        <v>41</v>
      </c>
      <c r="G5754">
        <v>-275.49880000000002</v>
      </c>
      <c r="H5754" s="1">
        <v>-1.7901579999999999E-6</v>
      </c>
      <c r="I5754">
        <v>-61.628929999999997</v>
      </c>
      <c r="J5754">
        <v>-290.41759999999999</v>
      </c>
      <c r="K5754">
        <v>1.1299999999999999</v>
      </c>
      <c r="L5754">
        <v>-58.83466</v>
      </c>
      <c r="M5754">
        <v>0.85138959999999997</v>
      </c>
      <c r="N5754">
        <v>-1.546226E-2</v>
      </c>
      <c r="O5754">
        <v>-0.52430589999999999</v>
      </c>
      <c r="P5754">
        <v>0.96431880000000003</v>
      </c>
      <c r="Q5754">
        <v>9.8228679999999999E-2</v>
      </c>
      <c r="R5754">
        <v>-0.24584610000000001</v>
      </c>
      <c r="S5754">
        <v>2.9888919999999999</v>
      </c>
      <c r="T5754">
        <v>-0.22386320000000001</v>
      </c>
      <c r="U5754">
        <v>-0.57238769999999894</v>
      </c>
      <c r="V5754">
        <v>-0.29882069999999999</v>
      </c>
      <c r="W5754">
        <v>0.10611950000000001</v>
      </c>
      <c r="X5754">
        <v>0.94839070000000003</v>
      </c>
      <c r="Y5754">
        <v>-0.35298639999999998</v>
      </c>
      <c r="Z5754">
        <v>4.4224180000000002E-2</v>
      </c>
      <c r="AA5754">
        <v>0.93458269999999999</v>
      </c>
      <c r="AB5754">
        <v>27</v>
      </c>
      <c r="AC5754">
        <v>14.9187999999999</v>
      </c>
      <c r="AD5754">
        <v>-1.130001790158</v>
      </c>
      <c r="AE5754">
        <v>-2.79427</v>
      </c>
      <c r="AF5754">
        <v>-5.4136473266847798</v>
      </c>
      <c r="AG5754">
        <v>-1.130001790158</v>
      </c>
      <c r="AH5754">
        <v>14.0903594422211</v>
      </c>
      <c r="AI5754">
        <v>94.281263020565106</v>
      </c>
      <c r="AJ5754">
        <v>111.017240318288</v>
      </c>
      <c r="AK5754">
        <v>15.136799880901901</v>
      </c>
      <c r="AL5754">
        <v>83.908330671593703</v>
      </c>
      <c r="AM5754">
        <v>107.488693760347</v>
      </c>
      <c r="AN5754">
        <v>1.0000000394376101</v>
      </c>
    </row>
    <row r="5755" spans="1:40" x14ac:dyDescent="0.25">
      <c r="A5755" t="str">
        <f>"20190303162417429"</f>
        <v>20190303162417429</v>
      </c>
      <c r="B5755" t="str">
        <f>"1551601457420344"</f>
        <v>1551601457420344</v>
      </c>
      <c r="C5755" t="s">
        <v>40</v>
      </c>
      <c r="D5755">
        <v>5.5894849999999998</v>
      </c>
      <c r="E5755">
        <v>0.4756725</v>
      </c>
      <c r="F5755" t="s">
        <v>41</v>
      </c>
      <c r="G5755">
        <v>-275.47500000000002</v>
      </c>
      <c r="H5755" s="1">
        <v>-1.7801309999999999E-6</v>
      </c>
      <c r="I5755">
        <v>-61.62979</v>
      </c>
      <c r="J5755">
        <v>-290.1866</v>
      </c>
      <c r="K5755">
        <v>1.1299709999999901</v>
      </c>
      <c r="L5755">
        <v>-58.961269999999899</v>
      </c>
      <c r="M5755">
        <v>0.85785119999999904</v>
      </c>
      <c r="N5755">
        <v>-1.545594E-2</v>
      </c>
      <c r="O5755">
        <v>-0.5136657</v>
      </c>
      <c r="P5755">
        <v>0.96647179999999999</v>
      </c>
      <c r="Q5755">
        <v>9.7890050000000006E-2</v>
      </c>
      <c r="R5755">
        <v>-0.23738100000000001</v>
      </c>
      <c r="S5755">
        <v>2.991425</v>
      </c>
      <c r="T5755">
        <v>-0.2262198</v>
      </c>
      <c r="U5755">
        <v>-0.55957029999999996</v>
      </c>
      <c r="V5755">
        <v>-0.29532560000000002</v>
      </c>
      <c r="W5755">
        <v>0.1058905</v>
      </c>
      <c r="X5755">
        <v>0.94951039999999998</v>
      </c>
      <c r="Y5755">
        <v>-0.34533909999999901</v>
      </c>
      <c r="Z5755">
        <v>4.3905220000000002E-2</v>
      </c>
      <c r="AA5755">
        <v>0.93745040000000002</v>
      </c>
      <c r="AB5755">
        <v>27</v>
      </c>
      <c r="AC5755">
        <v>14.711599999999899</v>
      </c>
      <c r="AD5755">
        <v>-1.12997278013099</v>
      </c>
      <c r="AE5755">
        <v>-2.66852</v>
      </c>
      <c r="AF5755">
        <v>-5.23836110163536</v>
      </c>
      <c r="AG5755">
        <v>-1.12997278013099</v>
      </c>
      <c r="AH5755">
        <v>13.913295168846901</v>
      </c>
      <c r="AI5755">
        <v>94.3465071454292</v>
      </c>
      <c r="AJ5755">
        <v>110.63137564226901</v>
      </c>
      <c r="AK5755">
        <v>14.9096293706592</v>
      </c>
      <c r="AL5755">
        <v>83.921525533915698</v>
      </c>
      <c r="AM5755">
        <v>107.277226973103</v>
      </c>
      <c r="AN5755">
        <v>1.0000000038568799</v>
      </c>
    </row>
    <row r="5756" spans="1:40" x14ac:dyDescent="0.25">
      <c r="A5756" t="str">
        <f>"20190303162417441"</f>
        <v>20190303162417441</v>
      </c>
      <c r="B5756" t="str">
        <f>"1551601457431080"</f>
        <v>1551601457431080</v>
      </c>
      <c r="C5756" t="s">
        <v>40</v>
      </c>
      <c r="D5756">
        <v>5.6505989999999997</v>
      </c>
      <c r="E5756">
        <v>0.47584209999999899</v>
      </c>
      <c r="F5756" t="s">
        <v>41</v>
      </c>
      <c r="G5756">
        <v>-275.33960000000002</v>
      </c>
      <c r="H5756" s="1">
        <v>-1.7172029999999999E-6</v>
      </c>
      <c r="I5756">
        <v>-61.607999999999997</v>
      </c>
      <c r="J5756">
        <v>-290.04809999999998</v>
      </c>
      <c r="K5756">
        <v>1.1299549999999901</v>
      </c>
      <c r="L5756">
        <v>-59.035679999999999</v>
      </c>
      <c r="M5756">
        <v>0.86164449999999904</v>
      </c>
      <c r="N5756">
        <v>-1.545212E-2</v>
      </c>
      <c r="O5756">
        <v>-0.50727739999999999</v>
      </c>
      <c r="P5756">
        <v>0.96786919999999999</v>
      </c>
      <c r="Q5756">
        <v>9.7313659999999996E-2</v>
      </c>
      <c r="R5756">
        <v>-0.23186100000000001</v>
      </c>
      <c r="S5756">
        <v>2.9960019999999998</v>
      </c>
      <c r="T5756">
        <v>-0.22801950000000001</v>
      </c>
      <c r="U5756">
        <v>-0.53408809999999995</v>
      </c>
      <c r="V5756">
        <v>-0.29369899999999999</v>
      </c>
      <c r="W5756">
        <v>0.105367</v>
      </c>
      <c r="X5756">
        <v>0.95007299999999995</v>
      </c>
      <c r="Y5756">
        <v>-0.3463174</v>
      </c>
      <c r="Z5756">
        <v>4.4024399999999998E-2</v>
      </c>
      <c r="AA5756">
        <v>0.93708380000000002</v>
      </c>
      <c r="AB5756">
        <v>27</v>
      </c>
      <c r="AC5756">
        <v>14.7084999999999</v>
      </c>
      <c r="AD5756">
        <v>-1.1299567172029901</v>
      </c>
      <c r="AE5756">
        <v>-2.5723199999999902</v>
      </c>
      <c r="AF5756">
        <v>-5.2156213517057504</v>
      </c>
      <c r="AG5756">
        <v>-1.1299567172029901</v>
      </c>
      <c r="AH5756">
        <v>13.900441043158301</v>
      </c>
      <c r="AI5756">
        <v>94.352287755661195</v>
      </c>
      <c r="AJ5756">
        <v>110.566726404378</v>
      </c>
      <c r="AK5756">
        <v>14.889653100775799</v>
      </c>
      <c r="AL5756">
        <v>83.951688632919698</v>
      </c>
      <c r="AM5756">
        <v>107.178109497679</v>
      </c>
      <c r="AN5756">
        <v>1.0000000063095</v>
      </c>
    </row>
    <row r="5757" spans="1:40" x14ac:dyDescent="0.25">
      <c r="A5757" t="str">
        <f>"20190303162417454"</f>
        <v>20190303162417454</v>
      </c>
      <c r="B5757" t="str">
        <f>"1551601457440841"</f>
        <v>1551601457440841</v>
      </c>
      <c r="C5757" t="s">
        <v>40</v>
      </c>
      <c r="D5757">
        <v>5.5294230000000004</v>
      </c>
      <c r="E5757">
        <v>0.47600480000000001</v>
      </c>
      <c r="F5757" t="s">
        <v>41</v>
      </c>
      <c r="G5757">
        <v>-275.37020000000001</v>
      </c>
      <c r="H5757" s="1">
        <v>-1.7222180000000001E-6</v>
      </c>
      <c r="I5757">
        <v>-61.5715</v>
      </c>
      <c r="J5757">
        <v>-289.91500000000002</v>
      </c>
      <c r="K5757">
        <v>1.129937</v>
      </c>
      <c r="L5757">
        <v>-59.105409999999999</v>
      </c>
      <c r="M5757">
        <v>0.86522710000000003</v>
      </c>
      <c r="N5757">
        <v>-1.54483E-2</v>
      </c>
      <c r="O5757">
        <v>-0.50114219999999998</v>
      </c>
      <c r="P5757">
        <v>0.96936750000000005</v>
      </c>
      <c r="Q5757">
        <v>9.6779039999999997E-2</v>
      </c>
      <c r="R5757">
        <v>-0.22574440000000001</v>
      </c>
      <c r="S5757">
        <v>2.998688</v>
      </c>
      <c r="T5757">
        <v>-0.23084940000000001</v>
      </c>
      <c r="U5757">
        <v>-0.51806640000000004</v>
      </c>
      <c r="V5757">
        <v>-0.29295759999999899</v>
      </c>
      <c r="W5757">
        <v>0.1048601</v>
      </c>
      <c r="X5757">
        <v>0.95035789999999998</v>
      </c>
      <c r="Y5757">
        <v>-0.34461950000000002</v>
      </c>
      <c r="Z5757">
        <v>4.425523E-2</v>
      </c>
      <c r="AA5757">
        <v>0.9376987</v>
      </c>
      <c r="AB5757">
        <v>27</v>
      </c>
      <c r="AC5757">
        <v>14.5448</v>
      </c>
      <c r="AD5757">
        <v>-1.129938722218</v>
      </c>
      <c r="AE5757">
        <v>-2.4660899999999999</v>
      </c>
      <c r="AF5757">
        <v>-5.1258290903426298</v>
      </c>
      <c r="AG5757">
        <v>-1.129938722218</v>
      </c>
      <c r="AH5757">
        <v>13.7414502959834</v>
      </c>
      <c r="AI5757">
        <v>94.405535010305897</v>
      </c>
      <c r="AJ5757">
        <v>110.456496819115</v>
      </c>
      <c r="AK5757">
        <v>14.7098042684582</v>
      </c>
      <c r="AL5757">
        <v>83.980893415602793</v>
      </c>
      <c r="AM5757">
        <v>107.132452579022</v>
      </c>
      <c r="AN5757">
        <v>0.99999996703108895</v>
      </c>
    </row>
    <row r="5758" spans="1:40" x14ac:dyDescent="0.25">
      <c r="A5758" t="str">
        <f>"20190303162417466"</f>
        <v>20190303162417466</v>
      </c>
      <c r="B5758" t="str">
        <f>"1551601457450600"</f>
        <v>1551601457450600</v>
      </c>
      <c r="C5758" t="s">
        <v>40</v>
      </c>
      <c r="D5758">
        <v>5.529998</v>
      </c>
      <c r="E5758">
        <v>0.47619899999999998</v>
      </c>
      <c r="F5758" t="s">
        <v>41</v>
      </c>
      <c r="G5758">
        <v>-275.35860000000002</v>
      </c>
      <c r="H5758" s="1">
        <v>-1.7083959999999999E-6</v>
      </c>
      <c r="I5758">
        <v>-61.531640000000003</v>
      </c>
      <c r="J5758">
        <v>-289.79610000000002</v>
      </c>
      <c r="K5758">
        <v>1.12992</v>
      </c>
      <c r="L5758">
        <v>-59.167180000000002</v>
      </c>
      <c r="M5758">
        <v>0.86838680000000001</v>
      </c>
      <c r="N5758">
        <v>-1.544503E-2</v>
      </c>
      <c r="O5758">
        <v>-0.49564710000000001</v>
      </c>
      <c r="P5758">
        <v>0.9703138</v>
      </c>
      <c r="Q5758">
        <v>9.5715700000000001E-2</v>
      </c>
      <c r="R5758">
        <v>-0.2221033</v>
      </c>
      <c r="S5758">
        <v>3.001617</v>
      </c>
      <c r="T5758">
        <v>-0.2330014</v>
      </c>
      <c r="U5758">
        <v>-0.50030520000000001</v>
      </c>
      <c r="V5758">
        <v>-0.2905218</v>
      </c>
      <c r="W5758">
        <v>0.1038699</v>
      </c>
      <c r="X5758">
        <v>0.951214</v>
      </c>
      <c r="Y5758">
        <v>-0.34418850000000001</v>
      </c>
      <c r="Z5758">
        <v>4.4416709999999998E-2</v>
      </c>
      <c r="AA5758">
        <v>0.93784940000000006</v>
      </c>
      <c r="AB5758">
        <v>27</v>
      </c>
      <c r="AC5758">
        <v>14.4375</v>
      </c>
      <c r="AD5758">
        <v>-1.129921708396</v>
      </c>
      <c r="AE5758">
        <v>-2.3644599999999998</v>
      </c>
      <c r="AF5758">
        <v>-5.0729864079431799</v>
      </c>
      <c r="AG5758">
        <v>-1.129921708396</v>
      </c>
      <c r="AH5758">
        <v>13.6296040694486</v>
      </c>
      <c r="AI5758">
        <v>94.442657915775797</v>
      </c>
      <c r="AJ5758">
        <v>110.41544293535399</v>
      </c>
      <c r="AK5758">
        <v>14.586912670342899</v>
      </c>
      <c r="AL5758">
        <v>84.037939260692895</v>
      </c>
      <c r="AM5758">
        <v>106.98383077693001</v>
      </c>
      <c r="AN5758">
        <v>0.99999997309862398</v>
      </c>
    </row>
    <row r="5759" spans="1:40" x14ac:dyDescent="0.25">
      <c r="A5759" t="str">
        <f>"20190303162417487"</f>
        <v>20190303162417487</v>
      </c>
      <c r="B5759" t="str">
        <f>"1551601457480856"</f>
        <v>1551601457480856</v>
      </c>
      <c r="C5759" t="s">
        <v>40</v>
      </c>
      <c r="D5759">
        <v>5.5991169999999997</v>
      </c>
      <c r="E5759">
        <v>0.47650029999999999</v>
      </c>
      <c r="F5759" t="s">
        <v>41</v>
      </c>
      <c r="G5759">
        <v>-275.47300000000001</v>
      </c>
      <c r="H5759" s="1">
        <v>-1.7513869999999999E-6</v>
      </c>
      <c r="I5759">
        <v>-61.504399999999997</v>
      </c>
      <c r="J5759">
        <v>-289.56760000000003</v>
      </c>
      <c r="K5759">
        <v>1.1298950000000001</v>
      </c>
      <c r="L5759">
        <v>-59.282649999999997</v>
      </c>
      <c r="M5759">
        <v>0.874332</v>
      </c>
      <c r="N5759">
        <v>-1.5439130000000001E-2</v>
      </c>
      <c r="O5759">
        <v>-0.48508279999999898</v>
      </c>
      <c r="P5759">
        <v>0.97212920000000003</v>
      </c>
      <c r="Q5759">
        <v>9.3916330000000006E-2</v>
      </c>
      <c r="R5759">
        <v>-0.2148127</v>
      </c>
      <c r="S5759">
        <v>3.0029599999999999</v>
      </c>
      <c r="T5759">
        <v>-0.23689830000000001</v>
      </c>
      <c r="U5759">
        <v>-0.49002079999999998</v>
      </c>
      <c r="V5759">
        <v>-0.2861611</v>
      </c>
      <c r="W5759">
        <v>0.1021999</v>
      </c>
      <c r="X5759">
        <v>0.9527156</v>
      </c>
      <c r="Y5759">
        <v>-0.33596520000000002</v>
      </c>
      <c r="Z5759">
        <v>4.4326200000000003E-2</v>
      </c>
      <c r="AA5759">
        <v>0.94083079999999997</v>
      </c>
      <c r="AB5759">
        <v>27</v>
      </c>
      <c r="AC5759">
        <v>14.0946</v>
      </c>
      <c r="AD5759">
        <v>-1.129896751387</v>
      </c>
      <c r="AE5759">
        <v>-2.2217500000000001</v>
      </c>
      <c r="AF5759">
        <v>-4.8645799380853401</v>
      </c>
      <c r="AG5759">
        <v>-1.129896751387</v>
      </c>
      <c r="AH5759">
        <v>13.3191692034918</v>
      </c>
      <c r="AI5759">
        <v>94.555930849423603</v>
      </c>
      <c r="AJ5759">
        <v>110.063785104915</v>
      </c>
      <c r="AK5759">
        <v>14.2246642460925</v>
      </c>
      <c r="AL5759">
        <v>84.134135391794501</v>
      </c>
      <c r="AM5759">
        <v>106.718355626782</v>
      </c>
      <c r="AN5759">
        <v>1.00000000459829</v>
      </c>
    </row>
    <row r="5760" spans="1:40" x14ac:dyDescent="0.25">
      <c r="A5760" t="str">
        <f>"20190303162417519"</f>
        <v>20190303162417519</v>
      </c>
      <c r="B5760" t="str">
        <f>"1551601457510136"</f>
        <v>1551601457510136</v>
      </c>
      <c r="C5760" t="s">
        <v>40</v>
      </c>
      <c r="D5760">
        <v>5.5972790000000003</v>
      </c>
      <c r="E5760">
        <v>0.47667310000000002</v>
      </c>
      <c r="F5760" t="s">
        <v>41</v>
      </c>
      <c r="G5760">
        <v>-275.39080000000001</v>
      </c>
      <c r="H5760" s="1">
        <v>-1.7128069999999999E-6</v>
      </c>
      <c r="I5760">
        <v>-61.4895</v>
      </c>
      <c r="J5760">
        <v>-289.226</v>
      </c>
      <c r="K5760">
        <v>1.129872</v>
      </c>
      <c r="L5760">
        <v>-59.44894</v>
      </c>
      <c r="M5760">
        <v>0.88293770000000005</v>
      </c>
      <c r="N5760">
        <v>-1.5432649999999999E-2</v>
      </c>
      <c r="O5760">
        <v>-0.46923670000000001</v>
      </c>
      <c r="P5760">
        <v>0.97488540000000001</v>
      </c>
      <c r="Q5760">
        <v>9.3801200000000001E-2</v>
      </c>
      <c r="R5760">
        <v>-0.20199010000000001</v>
      </c>
      <c r="S5760">
        <v>3.0057680000000002</v>
      </c>
      <c r="T5760">
        <v>-0.23956060000000001</v>
      </c>
      <c r="U5760">
        <v>-0.46789550000000002</v>
      </c>
      <c r="V5760">
        <v>-0.28151659999999901</v>
      </c>
      <c r="W5760">
        <v>0.1022175</v>
      </c>
      <c r="X5760">
        <v>0.95409639999999996</v>
      </c>
      <c r="Y5760">
        <v>-0.32587300000000002</v>
      </c>
      <c r="Z5760">
        <v>4.3576200000000002E-2</v>
      </c>
      <c r="AA5760">
        <v>0.94440880000000005</v>
      </c>
      <c r="AB5760">
        <v>27</v>
      </c>
      <c r="AC5760">
        <v>13.835199999999899</v>
      </c>
      <c r="AD5760">
        <v>-1.129873712807</v>
      </c>
      <c r="AE5760">
        <v>-2.0405599999999899</v>
      </c>
      <c r="AF5760">
        <v>-4.6604336403975397</v>
      </c>
      <c r="AG5760">
        <v>-1.129873712807</v>
      </c>
      <c r="AH5760">
        <v>13.0892534731076</v>
      </c>
      <c r="AI5760">
        <v>94.649059164005806</v>
      </c>
      <c r="AJ5760">
        <v>109.598291209541</v>
      </c>
      <c r="AK5760">
        <v>13.9400435008898</v>
      </c>
      <c r="AL5760">
        <v>84.133121514381202</v>
      </c>
      <c r="AM5760">
        <v>106.43927231537</v>
      </c>
      <c r="AN5760">
        <v>0.99999997693738396</v>
      </c>
    </row>
    <row r="5761" spans="1:40" x14ac:dyDescent="0.25">
      <c r="A5761" t="str">
        <f>"20190303162417532"</f>
        <v>20190303162417532</v>
      </c>
      <c r="B5761" t="str">
        <f>"1551601457520872"</f>
        <v>1551601457520872</v>
      </c>
      <c r="C5761" t="s">
        <v>40</v>
      </c>
      <c r="D5761">
        <v>5.5377429999999999</v>
      </c>
      <c r="E5761">
        <v>0.48126429999999998</v>
      </c>
      <c r="F5761" t="s">
        <v>41</v>
      </c>
      <c r="G5761">
        <v>-274.99110000000002</v>
      </c>
      <c r="H5761" s="1">
        <v>-1.536851E-6</v>
      </c>
      <c r="I5761">
        <v>-61.469340000000003</v>
      </c>
      <c r="J5761">
        <v>-289.08499999999998</v>
      </c>
      <c r="K5761">
        <v>1.129872</v>
      </c>
      <c r="L5761">
        <v>-59.515230000000003</v>
      </c>
      <c r="M5761">
        <v>0.88639500000000004</v>
      </c>
      <c r="N5761">
        <v>-1.543082E-2</v>
      </c>
      <c r="O5761">
        <v>-0.46267269999999999</v>
      </c>
      <c r="P5761">
        <v>0.97531369999999895</v>
      </c>
      <c r="Q5761">
        <v>9.4115589999999999E-2</v>
      </c>
      <c r="R5761">
        <v>-0.19976360000000001</v>
      </c>
      <c r="S5761">
        <v>3.0117189999999998</v>
      </c>
      <c r="T5761">
        <v>-0.23904980000000001</v>
      </c>
      <c r="U5761">
        <v>-0.4274597</v>
      </c>
      <c r="V5761">
        <v>-0.27659800000000001</v>
      </c>
      <c r="W5761">
        <v>0.1026648</v>
      </c>
      <c r="X5761">
        <v>0.95548599999999995</v>
      </c>
      <c r="Y5761">
        <v>-0.33154489999999998</v>
      </c>
      <c r="Z5761">
        <v>4.337307E-2</v>
      </c>
      <c r="AA5761">
        <v>0.94244190000000005</v>
      </c>
      <c r="AB5761">
        <v>27</v>
      </c>
      <c r="AC5761">
        <v>14.0938999999999</v>
      </c>
      <c r="AD5761">
        <v>-1.129873536851</v>
      </c>
      <c r="AE5761">
        <v>-1.95410999999999</v>
      </c>
      <c r="AF5761">
        <v>-4.7593087070683202</v>
      </c>
      <c r="AG5761">
        <v>-1.129873536851</v>
      </c>
      <c r="AH5761">
        <v>13.314513261812101</v>
      </c>
      <c r="AI5761">
        <v>94.568720658893696</v>
      </c>
      <c r="AJ5761">
        <v>109.66956694922401</v>
      </c>
      <c r="AK5761">
        <v>14.1846359480045</v>
      </c>
      <c r="AL5761">
        <v>84.1073577377703</v>
      </c>
      <c r="AM5761">
        <v>106.14488915459</v>
      </c>
      <c r="AN5761">
        <v>1.0000000054795199</v>
      </c>
    </row>
    <row r="5762" spans="1:40" x14ac:dyDescent="0.25">
      <c r="A5762" t="str">
        <f>"20190303162417551"</f>
        <v>20190303162417551</v>
      </c>
      <c r="B5762" t="str">
        <f>"1551601457540392"</f>
        <v>1551601457540392</v>
      </c>
      <c r="C5762" t="s">
        <v>40</v>
      </c>
      <c r="D5762">
        <v>5.6526529999999999</v>
      </c>
      <c r="E5762">
        <v>0.48190519999999998</v>
      </c>
      <c r="F5762" t="s">
        <v>41</v>
      </c>
      <c r="G5762">
        <v>-274.59440000000001</v>
      </c>
      <c r="H5762" s="1">
        <v>-1.4205330000000001E-6</v>
      </c>
      <c r="I5762">
        <v>-61.711590000000001</v>
      </c>
      <c r="J5762">
        <v>-288.88490000000002</v>
      </c>
      <c r="K5762">
        <v>1.1298840000000001</v>
      </c>
      <c r="L5762">
        <v>-59.607239999999997</v>
      </c>
      <c r="M5762">
        <v>0.89120880000000002</v>
      </c>
      <c r="N5762">
        <v>-1.5429099999999999E-2</v>
      </c>
      <c r="O5762">
        <v>-0.45333099999999998</v>
      </c>
      <c r="P5762">
        <v>0.97610180000000002</v>
      </c>
      <c r="Q5762">
        <v>9.4705860000000003E-2</v>
      </c>
      <c r="R5762">
        <v>-0.19559170000000001</v>
      </c>
      <c r="S5762">
        <v>3.0052189999999999</v>
      </c>
      <c r="T5762">
        <v>-0.2343249</v>
      </c>
      <c r="U5762">
        <v>-0.4555054</v>
      </c>
      <c r="V5762">
        <v>-0.27061590000000002</v>
      </c>
      <c r="W5762">
        <v>0.1034127</v>
      </c>
      <c r="X5762">
        <v>0.957117</v>
      </c>
      <c r="Y5762">
        <v>-0.312834</v>
      </c>
      <c r="Z5762">
        <v>4.1124569999999999E-2</v>
      </c>
      <c r="AA5762">
        <v>0.94891709999999996</v>
      </c>
      <c r="AB5762">
        <v>27</v>
      </c>
      <c r="AC5762">
        <v>14.2905</v>
      </c>
      <c r="AD5762">
        <v>-1.129885420533</v>
      </c>
      <c r="AE5762">
        <v>-2.10434999999999</v>
      </c>
      <c r="AF5762">
        <v>-4.5754632144917498</v>
      </c>
      <c r="AG5762">
        <v>-1.129885420533</v>
      </c>
      <c r="AH5762">
        <v>13.608151150754701</v>
      </c>
      <c r="AI5762">
        <v>94.499935249226795</v>
      </c>
      <c r="AJ5762">
        <v>108.584168288276</v>
      </c>
      <c r="AK5762">
        <v>14.401155593648999</v>
      </c>
      <c r="AL5762">
        <v>84.064277194795594</v>
      </c>
      <c r="AM5762">
        <v>105.787755279732</v>
      </c>
      <c r="AN5762">
        <v>1.0000000517715399</v>
      </c>
    </row>
    <row r="5763" spans="1:40" x14ac:dyDescent="0.25">
      <c r="A5763" t="str">
        <f>"20190303162417563"</f>
        <v>20190303162417563</v>
      </c>
      <c r="B5763" t="str">
        <f>"1551601457550152"</f>
        <v>1551601457550152</v>
      </c>
      <c r="C5763" t="s">
        <v>40</v>
      </c>
      <c r="D5763">
        <v>5.5937429999999999</v>
      </c>
      <c r="E5763">
        <v>0.48228680000000002</v>
      </c>
      <c r="F5763" t="s">
        <v>41</v>
      </c>
      <c r="G5763">
        <v>-273.7577</v>
      </c>
      <c r="H5763" s="1">
        <v>-1.0935669999999999E-6</v>
      </c>
      <c r="I5763">
        <v>-61.855319999999899</v>
      </c>
      <c r="J5763">
        <v>-288.75259999999997</v>
      </c>
      <c r="K5763">
        <v>1.129888</v>
      </c>
      <c r="L5763">
        <v>-59.667050000000003</v>
      </c>
      <c r="M5763">
        <v>0.89433790000000002</v>
      </c>
      <c r="N5763">
        <v>-1.542847E-2</v>
      </c>
      <c r="O5763">
        <v>-0.44712639999999998</v>
      </c>
      <c r="P5763">
        <v>0.97676669999999999</v>
      </c>
      <c r="Q5763">
        <v>9.5043589999999997E-2</v>
      </c>
      <c r="R5763">
        <v>-0.192077</v>
      </c>
      <c r="S5763">
        <v>3.0057369999999999</v>
      </c>
      <c r="T5763">
        <v>-0.2245046</v>
      </c>
      <c r="U5763">
        <v>-0.44668580000000002</v>
      </c>
      <c r="V5763">
        <v>-0.26739689999999999</v>
      </c>
      <c r="W5763">
        <v>0.10383439999999999</v>
      </c>
      <c r="X5763">
        <v>0.95797560000000004</v>
      </c>
      <c r="Y5763">
        <v>-0.30916189999999999</v>
      </c>
      <c r="Z5763">
        <v>3.8741980000000002E-2</v>
      </c>
      <c r="AA5763">
        <v>0.95021999999999995</v>
      </c>
      <c r="AB5763">
        <v>27</v>
      </c>
      <c r="AC5763">
        <v>14.9948999999999</v>
      </c>
      <c r="AD5763">
        <v>-1.1298890935670001</v>
      </c>
      <c r="AE5763">
        <v>-2.1882699999999802</v>
      </c>
      <c r="AF5763">
        <v>-4.72187613926517</v>
      </c>
      <c r="AG5763">
        <v>-1.1298890935670001</v>
      </c>
      <c r="AH5763">
        <v>14.3110892071851</v>
      </c>
      <c r="AI5763">
        <v>94.287803058883995</v>
      </c>
      <c r="AJ5763">
        <v>108.260061858456</v>
      </c>
      <c r="AK5763">
        <v>15.1122479444434</v>
      </c>
      <c r="AL5763">
        <v>84.039984285427195</v>
      </c>
      <c r="AM5763">
        <v>105.595855627875</v>
      </c>
      <c r="AN5763">
        <v>0.99999996747416398</v>
      </c>
    </row>
    <row r="5764" spans="1:40" x14ac:dyDescent="0.25">
      <c r="A5764" t="str">
        <f>"20190303162417575"</f>
        <v>20190303162417575</v>
      </c>
      <c r="B5764" t="str">
        <f>"1551601457560888"</f>
        <v>1551601457560888</v>
      </c>
      <c r="C5764" t="s">
        <v>40</v>
      </c>
      <c r="D5764">
        <v>5.5269519999999996</v>
      </c>
      <c r="E5764">
        <v>0.48252650000000002</v>
      </c>
      <c r="F5764" t="s">
        <v>41</v>
      </c>
      <c r="G5764">
        <v>-273.55829999999997</v>
      </c>
      <c r="H5764" s="1">
        <v>-1.0138229999999999E-6</v>
      </c>
      <c r="I5764">
        <v>-61.88129</v>
      </c>
      <c r="J5764">
        <v>-288.62009999999998</v>
      </c>
      <c r="K5764">
        <v>1.1299030000000001</v>
      </c>
      <c r="L5764">
        <v>-59.725070000000002</v>
      </c>
      <c r="M5764">
        <v>0.89741890000000002</v>
      </c>
      <c r="N5764">
        <v>-1.542863E-2</v>
      </c>
      <c r="O5764">
        <v>-0.44090980000000002</v>
      </c>
      <c r="P5764">
        <v>0.97738219999999998</v>
      </c>
      <c r="Q5764">
        <v>9.5410659999999994E-2</v>
      </c>
      <c r="R5764">
        <v>-0.18873480000000001</v>
      </c>
      <c r="S5764">
        <v>3.006958</v>
      </c>
      <c r="T5764">
        <v>-0.22360669999999999</v>
      </c>
      <c r="U5764">
        <v>-0.43820189999999998</v>
      </c>
      <c r="V5764">
        <v>-0.26401419999999998</v>
      </c>
      <c r="W5764">
        <v>0.1042892</v>
      </c>
      <c r="X5764">
        <v>0.95886400000000005</v>
      </c>
      <c r="Y5764">
        <v>-0.30527799999999999</v>
      </c>
      <c r="Z5764">
        <v>3.8084630000000001E-2</v>
      </c>
      <c r="AA5764">
        <v>0.95150140000000005</v>
      </c>
      <c r="AB5764">
        <v>27</v>
      </c>
      <c r="AC5764">
        <v>15.0618</v>
      </c>
      <c r="AD5764">
        <v>-1.1299040138230001</v>
      </c>
      <c r="AE5764">
        <v>-2.1562199999999998</v>
      </c>
      <c r="AF5764">
        <v>-4.68061045020597</v>
      </c>
      <c r="AG5764">
        <v>-1.1299040138230001</v>
      </c>
      <c r="AH5764">
        <v>14.389808572819501</v>
      </c>
      <c r="AI5764">
        <v>94.270367145419002</v>
      </c>
      <c r="AJ5764">
        <v>108.018287178845</v>
      </c>
      <c r="AK5764">
        <v>15.174036642549</v>
      </c>
      <c r="AL5764">
        <v>84.013783829279006</v>
      </c>
      <c r="AM5764">
        <v>105.39439316179499</v>
      </c>
      <c r="AN5764">
        <v>0.99999995276713805</v>
      </c>
    </row>
    <row r="5765" spans="1:40" x14ac:dyDescent="0.25">
      <c r="A5765" t="str">
        <f>"20190303162417587"</f>
        <v>20190303162417587</v>
      </c>
      <c r="B5765" t="str">
        <f>"1551601457580409"</f>
        <v>1551601457580409</v>
      </c>
      <c r="C5765" t="s">
        <v>40</v>
      </c>
      <c r="D5765">
        <v>5.6522480000000002</v>
      </c>
      <c r="E5765">
        <v>0.48246270000000002</v>
      </c>
      <c r="F5765" t="s">
        <v>41</v>
      </c>
      <c r="G5765">
        <v>-273.15370000000001</v>
      </c>
      <c r="H5765" s="1">
        <v>-8.5117619999999996E-7</v>
      </c>
      <c r="I5765">
        <v>-61.930480000000003</v>
      </c>
      <c r="J5765">
        <v>-288.48840000000001</v>
      </c>
      <c r="K5765">
        <v>1.1299110000000001</v>
      </c>
      <c r="L5765">
        <v>-59.7821</v>
      </c>
      <c r="M5765">
        <v>0.90044059999999904</v>
      </c>
      <c r="N5765">
        <v>-1.542879E-2</v>
      </c>
      <c r="O5765">
        <v>-0.43470560000000003</v>
      </c>
      <c r="P5765">
        <v>0.97828870000000001</v>
      </c>
      <c r="Q5765">
        <v>9.5843059999999994E-2</v>
      </c>
      <c r="R5765">
        <v>-0.1837548</v>
      </c>
      <c r="S5765">
        <v>3.0080260000000001</v>
      </c>
      <c r="T5765">
        <v>-0.21975220000000001</v>
      </c>
      <c r="U5765">
        <v>-0.42892459999999999</v>
      </c>
      <c r="V5765">
        <v>-0.26226899999999997</v>
      </c>
      <c r="W5765">
        <v>0.10476530000000001</v>
      </c>
      <c r="X5765">
        <v>0.959291</v>
      </c>
      <c r="Y5765">
        <v>-0.30170770000000002</v>
      </c>
      <c r="Z5765">
        <v>3.689125E-2</v>
      </c>
      <c r="AA5765">
        <v>0.95268640000000004</v>
      </c>
      <c r="AB5765">
        <v>27</v>
      </c>
      <c r="AC5765">
        <v>15.3346999999999</v>
      </c>
      <c r="AD5765">
        <v>-1.1299118511761901</v>
      </c>
      <c r="AE5765">
        <v>-2.14838</v>
      </c>
      <c r="AF5765">
        <v>-4.7070900537978604</v>
      </c>
      <c r="AG5765">
        <v>-1.1299118511761901</v>
      </c>
      <c r="AH5765">
        <v>14.665562135536801</v>
      </c>
      <c r="AI5765">
        <v>94.195659038765399</v>
      </c>
      <c r="AJ5765">
        <v>107.79466305836</v>
      </c>
      <c r="AK5765">
        <v>15.4438372925022</v>
      </c>
      <c r="AL5765">
        <v>83.986355395681798</v>
      </c>
      <c r="AM5765">
        <v>105.29092411396999</v>
      </c>
      <c r="AN5765">
        <v>1.0000000095630399</v>
      </c>
    </row>
    <row r="5766" spans="1:40" x14ac:dyDescent="0.25">
      <c r="A5766" t="str">
        <f>"20190303162417597"</f>
        <v>20190303162417597</v>
      </c>
      <c r="B5766" t="str">
        <f>"1551601457590169"</f>
        <v>1551601457590169</v>
      </c>
      <c r="C5766" t="s">
        <v>40</v>
      </c>
      <c r="D5766">
        <v>5.6282100000000002</v>
      </c>
      <c r="E5766">
        <v>0.4824428</v>
      </c>
      <c r="F5766" t="s">
        <v>41</v>
      </c>
      <c r="G5766">
        <v>-272.7663</v>
      </c>
      <c r="H5766" s="1">
        <v>-6.8672770000000003E-7</v>
      </c>
      <c r="I5766">
        <v>-61.938360000000003</v>
      </c>
      <c r="J5766">
        <v>-288.36739999999998</v>
      </c>
      <c r="K5766">
        <v>1.1299170000000001</v>
      </c>
      <c r="L5766">
        <v>-59.833500000000001</v>
      </c>
      <c r="M5766">
        <v>0.9031749</v>
      </c>
      <c r="N5766">
        <v>-1.542898E-2</v>
      </c>
      <c r="O5766">
        <v>-0.42899559999999998</v>
      </c>
      <c r="P5766">
        <v>0.97876459999999998</v>
      </c>
      <c r="Q5766">
        <v>9.6234680000000003E-2</v>
      </c>
      <c r="R5766">
        <v>-0.18099419999999999</v>
      </c>
      <c r="S5766">
        <v>3.0101930000000001</v>
      </c>
      <c r="T5766">
        <v>-0.21633579999999999</v>
      </c>
      <c r="U5766">
        <v>-0.41284179999999998</v>
      </c>
      <c r="V5766">
        <v>-0.25888850000000002</v>
      </c>
      <c r="W5766">
        <v>0.105244699999999</v>
      </c>
      <c r="X5766">
        <v>0.96015640000000002</v>
      </c>
      <c r="Y5766">
        <v>-0.3008229</v>
      </c>
      <c r="Z5766">
        <v>3.5930999999999998E-2</v>
      </c>
      <c r="AA5766">
        <v>0.95300289999999999</v>
      </c>
      <c r="AB5766">
        <v>27</v>
      </c>
      <c r="AC5766">
        <v>15.601099999999899</v>
      </c>
      <c r="AD5766">
        <v>-1.1299176867276901</v>
      </c>
      <c r="AE5766">
        <v>-2.1048599999999902</v>
      </c>
      <c r="AF5766">
        <v>-4.7677546069926899</v>
      </c>
      <c r="AG5766">
        <v>-1.1299176867276901</v>
      </c>
      <c r="AH5766">
        <v>14.9184262534515</v>
      </c>
      <c r="AI5766">
        <v>94.126453029202594</v>
      </c>
      <c r="AJ5766">
        <v>107.72327193157901</v>
      </c>
      <c r="AK5766">
        <v>15.7024724120424</v>
      </c>
      <c r="AL5766">
        <v>83.958735092352498</v>
      </c>
      <c r="AM5766">
        <v>105.089899381512</v>
      </c>
      <c r="AN5766">
        <v>1.0000000073856401</v>
      </c>
    </row>
    <row r="5767" spans="1:40" x14ac:dyDescent="0.25">
      <c r="A5767" t="str">
        <f>"20190303162417610"</f>
        <v>20190303162417610</v>
      </c>
      <c r="B5767" t="str">
        <f>"1551601457600905"</f>
        <v>1551601457600905</v>
      </c>
      <c r="C5767" t="s">
        <v>40</v>
      </c>
      <c r="D5767">
        <v>5.627332</v>
      </c>
      <c r="E5767">
        <v>0.48242859999999999</v>
      </c>
      <c r="F5767" t="s">
        <v>41</v>
      </c>
      <c r="G5767">
        <v>-272.37270000000001</v>
      </c>
      <c r="H5767" s="1">
        <v>-5.2674529999999997E-7</v>
      </c>
      <c r="I5767">
        <v>-61.978340000000003</v>
      </c>
      <c r="J5767">
        <v>-288.24009999999998</v>
      </c>
      <c r="K5767">
        <v>1.129921</v>
      </c>
      <c r="L5767">
        <v>-59.886380000000003</v>
      </c>
      <c r="M5767">
        <v>0.90600729999999996</v>
      </c>
      <c r="N5767">
        <v>-1.5429129999999999E-2</v>
      </c>
      <c r="O5767">
        <v>-0.42298079999999999</v>
      </c>
      <c r="P5767">
        <v>0.9795547</v>
      </c>
      <c r="Q5767">
        <v>9.6443379999999995E-2</v>
      </c>
      <c r="R5767">
        <v>-0.17655379999999901</v>
      </c>
      <c r="S5767">
        <v>3.0113219999999998</v>
      </c>
      <c r="T5767">
        <v>-0.21272949999999999</v>
      </c>
      <c r="U5767">
        <v>-0.40380860000000002</v>
      </c>
      <c r="V5767">
        <v>-0.25685160000000001</v>
      </c>
      <c r="W5767">
        <v>0.1055064</v>
      </c>
      <c r="X5767">
        <v>0.96067460000000005</v>
      </c>
      <c r="Y5767">
        <v>-0.29740749999999999</v>
      </c>
      <c r="Z5767">
        <v>3.482801E-2</v>
      </c>
      <c r="AA5767">
        <v>0.95411520000000005</v>
      </c>
      <c r="AB5767">
        <v>27</v>
      </c>
      <c r="AC5767">
        <v>15.8673999999999</v>
      </c>
      <c r="AD5767">
        <v>-1.1299215267453</v>
      </c>
      <c r="AE5767">
        <v>-2.0919599999999998</v>
      </c>
      <c r="AF5767">
        <v>-4.7929584191925096</v>
      </c>
      <c r="AG5767">
        <v>-1.1299215267453</v>
      </c>
      <c r="AH5767">
        <v>15.186959806529099</v>
      </c>
      <c r="AI5767">
        <v>94.058403733162805</v>
      </c>
      <c r="AJ5767">
        <v>107.51553806845</v>
      </c>
      <c r="AK5767">
        <v>15.965366304280099</v>
      </c>
      <c r="AL5767">
        <v>83.9436568909275</v>
      </c>
      <c r="AM5767">
        <v>104.96881237322999</v>
      </c>
      <c r="AN5767">
        <v>1.0000000159743301</v>
      </c>
    </row>
    <row r="5768" spans="1:40" x14ac:dyDescent="0.25">
      <c r="A5768" t="str">
        <f>"20190303162417622"</f>
        <v>20190303162417622</v>
      </c>
      <c r="B5768" t="str">
        <f>"1551601457610664"</f>
        <v>1551601457610664</v>
      </c>
      <c r="C5768" t="s">
        <v>40</v>
      </c>
      <c r="D5768">
        <v>5.5724359999999997</v>
      </c>
      <c r="E5768">
        <v>0.48232959999999903</v>
      </c>
      <c r="F5768" t="s">
        <v>41</v>
      </c>
      <c r="G5768">
        <v>-272.09710000000001</v>
      </c>
      <c r="H5768" s="1">
        <v>-4.0838120000000002E-7</v>
      </c>
      <c r="I5768">
        <v>-61.977629999999998</v>
      </c>
      <c r="J5768">
        <v>-288.11329999999998</v>
      </c>
      <c r="K5768">
        <v>1.1299220000000001</v>
      </c>
      <c r="L5768">
        <v>-59.938479999999998</v>
      </c>
      <c r="M5768">
        <v>0.90878720000000002</v>
      </c>
      <c r="N5768">
        <v>-1.542926E-2</v>
      </c>
      <c r="O5768">
        <v>-0.41697509999999999</v>
      </c>
      <c r="P5768">
        <v>0.98042600000000002</v>
      </c>
      <c r="Q5768">
        <v>9.6087779999999998E-2</v>
      </c>
      <c r="R5768">
        <v>-0.17184959999999999</v>
      </c>
      <c r="S5768">
        <v>3.0129999999999999</v>
      </c>
      <c r="T5768">
        <v>-0.210893</v>
      </c>
      <c r="U5768">
        <v>-0.39031979999999999</v>
      </c>
      <c r="V5768">
        <v>-0.25510929999999998</v>
      </c>
      <c r="W5768">
        <v>0.10519679999999999</v>
      </c>
      <c r="X5768">
        <v>0.96117260000000004</v>
      </c>
      <c r="Y5768">
        <v>-0.29539759999999998</v>
      </c>
      <c r="Z5768">
        <v>3.4120640000000001E-2</v>
      </c>
      <c r="AA5768">
        <v>0.95476490000000003</v>
      </c>
      <c r="AB5768">
        <v>27</v>
      </c>
      <c r="AC5768">
        <v>16.016199999999898</v>
      </c>
      <c r="AD5768">
        <v>-1.1299224083811901</v>
      </c>
      <c r="AE5768">
        <v>-2.0391499999999998</v>
      </c>
      <c r="AF5768">
        <v>-4.8022563359950503</v>
      </c>
      <c r="AG5768">
        <v>-1.1299224083811901</v>
      </c>
      <c r="AH5768">
        <v>15.332329156056201</v>
      </c>
      <c r="AI5768">
        <v>94.022791107000998</v>
      </c>
      <c r="AJ5768">
        <v>107.391137552854</v>
      </c>
      <c r="AK5768">
        <v>16.106480308100199</v>
      </c>
      <c r="AL5768">
        <v>83.961494497902294</v>
      </c>
      <c r="AM5768">
        <v>104.864424163506</v>
      </c>
      <c r="AN5768">
        <v>0.99999994433374295</v>
      </c>
    </row>
    <row r="5769" spans="1:40" x14ac:dyDescent="0.25">
      <c r="A5769" t="str">
        <f>"20190303162417635"</f>
        <v>20190303162417635</v>
      </c>
      <c r="B5769" t="str">
        <f>"1551601457620424"</f>
        <v>1551601457620424</v>
      </c>
      <c r="C5769" t="s">
        <v>40</v>
      </c>
      <c r="D5769">
        <v>5.5412889999999999</v>
      </c>
      <c r="E5769">
        <v>0.48251630000000001</v>
      </c>
      <c r="F5769" t="s">
        <v>41</v>
      </c>
      <c r="G5769">
        <v>-271.92340000000002</v>
      </c>
      <c r="H5769" s="1">
        <v>-3.2884410000000002E-7</v>
      </c>
      <c r="I5769">
        <v>-61.955150000000003</v>
      </c>
      <c r="J5769">
        <v>-287.97489999999999</v>
      </c>
      <c r="K5769">
        <v>1.12992</v>
      </c>
      <c r="L5769">
        <v>-59.993589999999998</v>
      </c>
      <c r="M5769">
        <v>0.91177200000000003</v>
      </c>
      <c r="N5769">
        <v>-1.5428910000000001E-2</v>
      </c>
      <c r="O5769">
        <v>-0.41040700000000002</v>
      </c>
      <c r="P5769">
        <v>0.98140099999999997</v>
      </c>
      <c r="Q5769">
        <v>9.5455330000000005E-2</v>
      </c>
      <c r="R5769">
        <v>-0.166554799999999</v>
      </c>
      <c r="S5769">
        <v>3.0146790000000001</v>
      </c>
      <c r="T5769">
        <v>-0.2103988</v>
      </c>
      <c r="U5769">
        <v>-0.37551879999999999</v>
      </c>
      <c r="V5769">
        <v>-0.2533706</v>
      </c>
      <c r="W5769">
        <v>0.1046126</v>
      </c>
      <c r="X5769">
        <v>0.9616962</v>
      </c>
      <c r="Y5769">
        <v>-0.2932073</v>
      </c>
      <c r="Z5769">
        <v>3.3628209999999999E-2</v>
      </c>
      <c r="AA5769">
        <v>0.95545729999999995</v>
      </c>
      <c r="AB5769">
        <v>27</v>
      </c>
      <c r="AC5769">
        <v>16.051499999999901</v>
      </c>
      <c r="AD5769">
        <v>-1.1299203288441</v>
      </c>
      <c r="AE5769">
        <v>-1.96155999999999</v>
      </c>
      <c r="AF5769">
        <v>-4.7764035188663003</v>
      </c>
      <c r="AG5769">
        <v>-1.1299203288441</v>
      </c>
      <c r="AH5769">
        <v>15.3671558363587</v>
      </c>
      <c r="AI5769">
        <v>94.016418713531294</v>
      </c>
      <c r="AJ5769">
        <v>107.266235696604</v>
      </c>
      <c r="AK5769">
        <v>16.131962962501099</v>
      </c>
      <c r="AL5769">
        <v>83.9951528599927</v>
      </c>
      <c r="AM5769">
        <v>104.75986797626</v>
      </c>
      <c r="AN5769">
        <v>1.0000000190587699</v>
      </c>
    </row>
    <row r="5770" spans="1:40" x14ac:dyDescent="0.25">
      <c r="A5770" t="str">
        <f>"20190303162417647"</f>
        <v>20190303162417647</v>
      </c>
      <c r="B5770" t="str">
        <f>"1551601457640920"</f>
        <v>1551601457640920</v>
      </c>
      <c r="C5770" t="s">
        <v>40</v>
      </c>
      <c r="D5770">
        <v>5.5952099999999998</v>
      </c>
      <c r="E5770">
        <v>0.48287799999999997</v>
      </c>
      <c r="F5770" t="s">
        <v>41</v>
      </c>
      <c r="G5770">
        <v>-271.90589999999997</v>
      </c>
      <c r="H5770" s="1">
        <v>-3.1286309999999998E-7</v>
      </c>
      <c r="I5770">
        <v>-61.916960000000003</v>
      </c>
      <c r="J5770">
        <v>-287.83170000000001</v>
      </c>
      <c r="K5770">
        <v>1.12992</v>
      </c>
      <c r="L5770">
        <v>-60.049799999999998</v>
      </c>
      <c r="M5770">
        <v>0.91480669999999997</v>
      </c>
      <c r="N5770">
        <v>-1.542834E-2</v>
      </c>
      <c r="O5770">
        <v>-0.40359679999999998</v>
      </c>
      <c r="P5770">
        <v>0.98228599999999999</v>
      </c>
      <c r="Q5770">
        <v>9.4949160000000005E-2</v>
      </c>
      <c r="R5770">
        <v>-0.161551</v>
      </c>
      <c r="S5770">
        <v>3.0162049999999998</v>
      </c>
      <c r="T5770">
        <v>-0.21208979999999999</v>
      </c>
      <c r="U5770">
        <v>-0.36102289999999998</v>
      </c>
      <c r="V5770">
        <v>-0.251104299999999</v>
      </c>
      <c r="W5770">
        <v>0.1041692</v>
      </c>
      <c r="X5770">
        <v>0.96233849999999999</v>
      </c>
      <c r="Y5770">
        <v>-0.290655</v>
      </c>
      <c r="Z5770">
        <v>3.3497619999999999E-2</v>
      </c>
      <c r="AA5770">
        <v>0.95624140000000002</v>
      </c>
      <c r="AB5770">
        <v>27</v>
      </c>
      <c r="AC5770">
        <v>15.925800000000001</v>
      </c>
      <c r="AD5770">
        <v>-1.1299203128630999</v>
      </c>
      <c r="AE5770">
        <v>-1.8671599999999899</v>
      </c>
      <c r="AF5770">
        <v>-4.6967521412571598</v>
      </c>
      <c r="AG5770">
        <v>-1.1299203128630999</v>
      </c>
      <c r="AH5770">
        <v>15.2487168369264</v>
      </c>
      <c r="AI5770">
        <v>94.050712915866001</v>
      </c>
      <c r="AJ5770">
        <v>107.119338037094</v>
      </c>
      <c r="AK5770">
        <v>15.9956108280549</v>
      </c>
      <c r="AL5770">
        <v>84.020697201275894</v>
      </c>
      <c r="AM5770">
        <v>104.624189281911</v>
      </c>
      <c r="AN5770">
        <v>0.99999999014468899</v>
      </c>
    </row>
    <row r="5771" spans="1:40" x14ac:dyDescent="0.25">
      <c r="A5771" t="str">
        <f>"20190303162417659"</f>
        <v>20190303162417659</v>
      </c>
      <c r="B5771" t="str">
        <f>"1551601457650680"</f>
        <v>1551601457650680</v>
      </c>
      <c r="C5771" t="s">
        <v>40</v>
      </c>
      <c r="D5771">
        <v>5.5724669999999996</v>
      </c>
      <c r="E5771">
        <v>0.48285729999999999</v>
      </c>
      <c r="F5771" t="s">
        <v>41</v>
      </c>
      <c r="G5771">
        <v>-271.9015</v>
      </c>
      <c r="H5771" s="1">
        <v>-3.0475189999999998E-7</v>
      </c>
      <c r="I5771">
        <v>-61.889069999999997</v>
      </c>
      <c r="J5771">
        <v>-287.70339999999999</v>
      </c>
      <c r="K5771">
        <v>1.1299170000000001</v>
      </c>
      <c r="L5771">
        <v>-60.099089999999997</v>
      </c>
      <c r="M5771">
        <v>0.91747820000000002</v>
      </c>
      <c r="N5771">
        <v>-1.542757E-2</v>
      </c>
      <c r="O5771">
        <v>-0.39748689999999998</v>
      </c>
      <c r="P5771">
        <v>0.98286090000000004</v>
      </c>
      <c r="Q5771">
        <v>9.4586980000000001E-2</v>
      </c>
      <c r="R5771">
        <v>-0.15823429999999999</v>
      </c>
      <c r="S5771">
        <v>3.0174560000000001</v>
      </c>
      <c r="T5771">
        <v>-0.2140263</v>
      </c>
      <c r="U5771">
        <v>-0.3483887</v>
      </c>
      <c r="V5771">
        <v>-0.2479333</v>
      </c>
      <c r="W5771">
        <v>0.1038946</v>
      </c>
      <c r="X5771">
        <v>0.96318999999999999</v>
      </c>
      <c r="Y5771">
        <v>-0.28825810000000002</v>
      </c>
      <c r="Z5771">
        <v>3.3441140000000001E-2</v>
      </c>
      <c r="AA5771">
        <v>0.95696870000000001</v>
      </c>
      <c r="AB5771">
        <v>27</v>
      </c>
      <c r="AC5771">
        <v>15.8018999999999</v>
      </c>
      <c r="AD5771">
        <v>-1.12991730475189</v>
      </c>
      <c r="AE5771">
        <v>-1.7899799999999899</v>
      </c>
      <c r="AF5771">
        <v>-4.6160298446139203</v>
      </c>
      <c r="AG5771">
        <v>-1.12991730475189</v>
      </c>
      <c r="AH5771">
        <v>15.134798322920499</v>
      </c>
      <c r="AI5771">
        <v>94.084526347235496</v>
      </c>
      <c r="AJ5771">
        <v>106.961416185047</v>
      </c>
      <c r="AK5771">
        <v>15.8633718016511</v>
      </c>
      <c r="AL5771">
        <v>84.036516473314805</v>
      </c>
      <c r="AM5771">
        <v>104.43504883163401</v>
      </c>
      <c r="AN5771">
        <v>0.99999999262902495</v>
      </c>
    </row>
    <row r="5772" spans="1:40" x14ac:dyDescent="0.25">
      <c r="A5772" t="str">
        <f>"20190303162417676"</f>
        <v>20190303162417676</v>
      </c>
      <c r="B5772" t="str">
        <f>"1551601457660440"</f>
        <v>1551601457660440</v>
      </c>
      <c r="C5772" t="s">
        <v>40</v>
      </c>
      <c r="D5772">
        <v>5.5823539999999996</v>
      </c>
      <c r="E5772">
        <v>0.48277320000000001</v>
      </c>
      <c r="F5772" t="s">
        <v>41</v>
      </c>
      <c r="G5772">
        <v>-271.81810000000002</v>
      </c>
      <c r="H5772" s="1">
        <v>-2.6648300000000002E-7</v>
      </c>
      <c r="I5772">
        <v>-61.877740000000003</v>
      </c>
      <c r="J5772">
        <v>-287.53250000000003</v>
      </c>
      <c r="K5772">
        <v>1.12991</v>
      </c>
      <c r="L5772">
        <v>-60.162959999999998</v>
      </c>
      <c r="M5772">
        <v>0.92096480000000003</v>
      </c>
      <c r="N5772">
        <v>-1.542603E-2</v>
      </c>
      <c r="O5772">
        <v>-0.38934079999999999</v>
      </c>
      <c r="P5772">
        <v>0.98289329999999997</v>
      </c>
      <c r="Q5772">
        <v>9.5040410000000006E-2</v>
      </c>
      <c r="R5772">
        <v>-0.15776019999999999</v>
      </c>
      <c r="S5772">
        <v>3.0185550000000001</v>
      </c>
      <c r="T5772">
        <v>-0.21470980000000001</v>
      </c>
      <c r="U5772">
        <v>-0.33798220000000001</v>
      </c>
      <c r="V5772">
        <v>-0.23983350000000001</v>
      </c>
      <c r="W5772">
        <v>0.1045661</v>
      </c>
      <c r="X5772">
        <v>0.96516619999999997</v>
      </c>
      <c r="Y5772">
        <v>-0.28308359999999999</v>
      </c>
      <c r="Z5772">
        <v>3.2938229999999999E-2</v>
      </c>
      <c r="AA5772">
        <v>0.95852950000000003</v>
      </c>
      <c r="AB5772">
        <v>27</v>
      </c>
      <c r="AC5772">
        <v>15.714399999999999</v>
      </c>
      <c r="AD5772">
        <v>-1.1299102664830001</v>
      </c>
      <c r="AE5772">
        <v>-1.71478</v>
      </c>
      <c r="AF5772">
        <v>-4.5164688620628901</v>
      </c>
      <c r="AG5772">
        <v>-1.1299102664830001</v>
      </c>
      <c r="AH5772">
        <v>15.064872670741099</v>
      </c>
      <c r="AI5772">
        <v>94.109283196195904</v>
      </c>
      <c r="AJ5772">
        <v>106.688800584188</v>
      </c>
      <c r="AK5772">
        <v>15.7678653208964</v>
      </c>
      <c r="AL5772">
        <v>83.997831603058003</v>
      </c>
      <c r="AM5772">
        <v>103.954750879588</v>
      </c>
      <c r="AN5772">
        <v>0.999999985306949</v>
      </c>
    </row>
    <row r="5773" spans="1:40" x14ac:dyDescent="0.25">
      <c r="A5773" t="str">
        <f>"20190303162417691"</f>
        <v>20190303162417691</v>
      </c>
      <c r="B5773" t="str">
        <f>"1551601457680936"</f>
        <v>1551601457680936</v>
      </c>
      <c r="C5773" t="s">
        <v>40</v>
      </c>
      <c r="D5773">
        <v>5.5132969999999997</v>
      </c>
      <c r="E5773">
        <v>0.48297069999999998</v>
      </c>
      <c r="F5773" t="s">
        <v>41</v>
      </c>
      <c r="G5773">
        <v>-271.47750000000002</v>
      </c>
      <c r="H5773" s="1">
        <v>-1.35720899999999E-7</v>
      </c>
      <c r="I5773">
        <v>-61.946759999999998</v>
      </c>
      <c r="J5773">
        <v>-287.35629999999998</v>
      </c>
      <c r="K5773">
        <v>1.129901</v>
      </c>
      <c r="L5773">
        <v>-60.227170000000001</v>
      </c>
      <c r="M5773">
        <v>0.92447630000000003</v>
      </c>
      <c r="N5773">
        <v>-1.5424230000000001E-2</v>
      </c>
      <c r="O5773">
        <v>-0.38092730000000002</v>
      </c>
      <c r="P5773">
        <v>0.98362380000000005</v>
      </c>
      <c r="Q5773">
        <v>9.5385510000000007E-2</v>
      </c>
      <c r="R5773">
        <v>-0.15292310000000001</v>
      </c>
      <c r="S5773">
        <v>3.0189210000000002</v>
      </c>
      <c r="T5773">
        <v>-0.2124646</v>
      </c>
      <c r="U5773">
        <v>-0.33541870000000001</v>
      </c>
      <c r="V5773">
        <v>-0.23576530000000001</v>
      </c>
      <c r="W5773">
        <v>0.1050237</v>
      </c>
      <c r="X5773">
        <v>0.96611840000000004</v>
      </c>
      <c r="Y5773">
        <v>-0.27521269999999998</v>
      </c>
      <c r="Z5773">
        <v>3.1808240000000002E-2</v>
      </c>
      <c r="AA5773">
        <v>0.96085699999999996</v>
      </c>
      <c r="AB5773">
        <v>27</v>
      </c>
      <c r="AC5773">
        <v>15.878799999999901</v>
      </c>
      <c r="AD5773">
        <v>-1.1299011357208999</v>
      </c>
      <c r="AE5773">
        <v>-1.71959</v>
      </c>
      <c r="AF5773">
        <v>-4.4372714293710702</v>
      </c>
      <c r="AG5773">
        <v>-1.1299011357208999</v>
      </c>
      <c r="AH5773">
        <v>15.2600651873161</v>
      </c>
      <c r="AI5773">
        <v>94.066787668906699</v>
      </c>
      <c r="AJ5773">
        <v>106.21319997311301</v>
      </c>
      <c r="AK5773">
        <v>15.932220304638999</v>
      </c>
      <c r="AL5773">
        <v>83.971468031854997</v>
      </c>
      <c r="AM5773">
        <v>103.714050943385</v>
      </c>
      <c r="AN5773">
        <v>1.0000000085321701</v>
      </c>
    </row>
    <row r="5774" spans="1:40" x14ac:dyDescent="0.25">
      <c r="A5774" t="str">
        <f>"20190303162417706"</f>
        <v>20190303162417706</v>
      </c>
      <c r="B5774" t="str">
        <f>"1551601457700457"</f>
        <v>1551601457700457</v>
      </c>
      <c r="C5774" t="s">
        <v>40</v>
      </c>
      <c r="D5774">
        <v>5.4232149999999999</v>
      </c>
      <c r="E5774">
        <v>0.4832282</v>
      </c>
      <c r="F5774" t="s">
        <v>41</v>
      </c>
      <c r="G5774">
        <v>-270.9855</v>
      </c>
      <c r="H5774" s="1">
        <v>6.9505969999999998E-8</v>
      </c>
      <c r="I5774">
        <v>-61.9730699999999</v>
      </c>
      <c r="J5774">
        <v>-287.1986</v>
      </c>
      <c r="K5774">
        <v>1.129891</v>
      </c>
      <c r="L5774">
        <v>-60.283259999999999</v>
      </c>
      <c r="M5774">
        <v>0.92754669999999895</v>
      </c>
      <c r="N5774">
        <v>-1.5422490000000001E-2</v>
      </c>
      <c r="O5774">
        <v>-0.37338890000000002</v>
      </c>
      <c r="P5774">
        <v>0.98420830000000004</v>
      </c>
      <c r="Q5774">
        <v>9.5788659999999998E-2</v>
      </c>
      <c r="R5774">
        <v>-0.14885689999999999</v>
      </c>
      <c r="S5774">
        <v>3.0200809999999998</v>
      </c>
      <c r="T5774">
        <v>-0.20844409999999999</v>
      </c>
      <c r="U5774">
        <v>-0.32208249999999999</v>
      </c>
      <c r="V5774">
        <v>-0.23187659999999999</v>
      </c>
      <c r="W5774">
        <v>0.1055344</v>
      </c>
      <c r="X5774">
        <v>0.96700350000000002</v>
      </c>
      <c r="Y5774">
        <v>-0.27169209999999999</v>
      </c>
      <c r="Z5774">
        <v>3.0628639999999999E-2</v>
      </c>
      <c r="AA5774">
        <v>0.96189669999999905</v>
      </c>
      <c r="AB5774">
        <v>27</v>
      </c>
      <c r="AC5774">
        <v>16.213099999999901</v>
      </c>
      <c r="AD5774">
        <v>-1.1298909304940301</v>
      </c>
      <c r="AE5774">
        <v>-1.68980999999999</v>
      </c>
      <c r="AF5774">
        <v>-4.4654930389353797</v>
      </c>
      <c r="AG5774">
        <v>-1.1298909304940301</v>
      </c>
      <c r="AH5774">
        <v>15.5962950160737</v>
      </c>
      <c r="AI5774">
        <v>93.9840776941071</v>
      </c>
      <c r="AJ5774">
        <v>105.977346868973</v>
      </c>
      <c r="AK5774">
        <v>16.262278432741201</v>
      </c>
      <c r="AL5774">
        <v>83.942043615355999</v>
      </c>
      <c r="AM5774">
        <v>103.484290416269</v>
      </c>
      <c r="AN5774">
        <v>1.00000001811158</v>
      </c>
    </row>
    <row r="5775" spans="1:40" x14ac:dyDescent="0.25">
      <c r="A5775" t="str">
        <f>"20190303162417719"</f>
        <v>20190303162417719</v>
      </c>
      <c r="B5775" t="str">
        <f>"1551601457710216"</f>
        <v>1551601457710216</v>
      </c>
      <c r="C5775" t="s">
        <v>40</v>
      </c>
      <c r="D5775">
        <v>5.5739640000000001</v>
      </c>
      <c r="E5775">
        <v>0.48336129999999999</v>
      </c>
      <c r="F5775" t="s">
        <v>41</v>
      </c>
      <c r="G5775">
        <v>-270.92669999999998</v>
      </c>
      <c r="H5775" s="1">
        <v>9.7613110000000004E-8</v>
      </c>
      <c r="I5775">
        <v>-61.960140000000003</v>
      </c>
      <c r="J5775">
        <v>-287.04059999999998</v>
      </c>
      <c r="K5775">
        <v>1.129883</v>
      </c>
      <c r="L5775">
        <v>-60.337829999999997</v>
      </c>
      <c r="M5775">
        <v>0.93055399999999999</v>
      </c>
      <c r="N5775">
        <v>-1.542022E-2</v>
      </c>
      <c r="O5775">
        <v>-0.36582979999999998</v>
      </c>
      <c r="P5775">
        <v>0.9844231</v>
      </c>
      <c r="Q5775">
        <v>9.5883590000000005E-2</v>
      </c>
      <c r="R5775">
        <v>-0.1473689</v>
      </c>
      <c r="S5775">
        <v>3.0214539999999999</v>
      </c>
      <c r="T5775">
        <v>-0.20980409999999999</v>
      </c>
      <c r="U5775">
        <v>-0.3113708</v>
      </c>
      <c r="V5775">
        <v>-0.22545200000000001</v>
      </c>
      <c r="W5775">
        <v>0.1058023</v>
      </c>
      <c r="X5775">
        <v>0.96849229999999997</v>
      </c>
      <c r="Y5775">
        <v>-0.26728479999999999</v>
      </c>
      <c r="Z5775">
        <v>3.0297370000000001E-2</v>
      </c>
      <c r="AA5775">
        <v>0.96314109999999997</v>
      </c>
      <c r="AB5775">
        <v>27</v>
      </c>
      <c r="AC5775">
        <v>16.113900000000001</v>
      </c>
      <c r="AD5775">
        <v>-1.1298829023868899</v>
      </c>
      <c r="AE5775">
        <v>-1.6223099999999899</v>
      </c>
      <c r="AF5775">
        <v>-4.3645757013519102</v>
      </c>
      <c r="AG5775">
        <v>-1.1298829023868899</v>
      </c>
      <c r="AH5775">
        <v>15.5146831131482</v>
      </c>
      <c r="AI5775">
        <v>94.010183160019693</v>
      </c>
      <c r="AJ5775">
        <v>105.71230329999101</v>
      </c>
      <c r="AK5775">
        <v>16.1564707943085</v>
      </c>
      <c r="AL5775">
        <v>83.926607748147703</v>
      </c>
      <c r="AM5775">
        <v>103.10430897789</v>
      </c>
      <c r="AN5775">
        <v>1.00000003307428</v>
      </c>
    </row>
    <row r="5776" spans="1:40" x14ac:dyDescent="0.25">
      <c r="A5776" t="str">
        <f>"20190303162417732"</f>
        <v>20190303162417732</v>
      </c>
      <c r="B5776" t="str">
        <f>"1551601457720953"</f>
        <v>1551601457720953</v>
      </c>
      <c r="C5776" t="s">
        <v>40</v>
      </c>
      <c r="D5776">
        <v>5.4831329999999996</v>
      </c>
      <c r="E5776">
        <v>0.48358610000000002</v>
      </c>
      <c r="F5776" t="s">
        <v>41</v>
      </c>
      <c r="G5776">
        <v>-270.65940000000001</v>
      </c>
      <c r="H5776" s="1">
        <v>2.018391E-7</v>
      </c>
      <c r="I5776">
        <v>-62.007150000000003</v>
      </c>
      <c r="J5776">
        <v>-286.90269999999998</v>
      </c>
      <c r="K5776">
        <v>1.129867</v>
      </c>
      <c r="L5776">
        <v>-60.384059999999998</v>
      </c>
      <c r="M5776">
        <v>0.93311849999999996</v>
      </c>
      <c r="N5776">
        <v>-1.541796E-2</v>
      </c>
      <c r="O5776">
        <v>-0.35923829999999901</v>
      </c>
      <c r="P5776">
        <v>0.98497250000000003</v>
      </c>
      <c r="Q5776">
        <v>9.602223E-2</v>
      </c>
      <c r="R5776">
        <v>-0.14355899999999999</v>
      </c>
      <c r="S5776">
        <v>3.0216669999999999</v>
      </c>
      <c r="T5776">
        <v>-0.20841779999999999</v>
      </c>
      <c r="U5776">
        <v>-0.30792239999999999</v>
      </c>
      <c r="V5776">
        <v>-0.22233749999999999</v>
      </c>
      <c r="W5776">
        <v>0.1060276</v>
      </c>
      <c r="X5776">
        <v>0.96918740000000003</v>
      </c>
      <c r="Y5776">
        <v>-0.26160169999999999</v>
      </c>
      <c r="Z5776">
        <v>2.9519400000000001E-2</v>
      </c>
      <c r="AA5776">
        <v>0.96472440000000004</v>
      </c>
      <c r="AB5776">
        <v>27</v>
      </c>
      <c r="AC5776">
        <v>16.243299999999898</v>
      </c>
      <c r="AD5776">
        <v>-1.1298667981609001</v>
      </c>
      <c r="AE5776">
        <v>-1.6230899999999999</v>
      </c>
      <c r="AF5776">
        <v>-4.3005913238932498</v>
      </c>
      <c r="AG5776">
        <v>-1.1298667981609001</v>
      </c>
      <c r="AH5776">
        <v>15.6668172557016</v>
      </c>
      <c r="AI5776">
        <v>93.978277447408402</v>
      </c>
      <c r="AJ5776">
        <v>105.349784131174</v>
      </c>
      <c r="AK5776">
        <v>16.285602464762601</v>
      </c>
      <c r="AL5776">
        <v>83.913625885790196</v>
      </c>
      <c r="AM5776">
        <v>102.92044190932999</v>
      </c>
      <c r="AN5776">
        <v>1.00000001609338</v>
      </c>
    </row>
    <row r="5777" spans="1:40" x14ac:dyDescent="0.25">
      <c r="A5777" t="str">
        <f>"20190303162417744"</f>
        <v>20190303162417744</v>
      </c>
      <c r="B5777" t="str">
        <f>"1551601457730712"</f>
        <v>1551601457730712</v>
      </c>
      <c r="C5777" t="s">
        <v>40</v>
      </c>
      <c r="D5777">
        <v>5.4241380000000001</v>
      </c>
      <c r="E5777">
        <v>0.48386630000000003</v>
      </c>
      <c r="F5777" t="s">
        <v>41</v>
      </c>
      <c r="G5777">
        <v>-270.64030000000002</v>
      </c>
      <c r="H5777" s="1">
        <v>2.1452269999999999E-7</v>
      </c>
      <c r="I5777">
        <v>-61.9869699999999</v>
      </c>
      <c r="J5777">
        <v>-286.77280000000002</v>
      </c>
      <c r="K5777">
        <v>1.1298459999999999</v>
      </c>
      <c r="L5777">
        <v>-60.42709</v>
      </c>
      <c r="M5777">
        <v>0.93548949999999997</v>
      </c>
      <c r="N5777">
        <v>-1.54158E-2</v>
      </c>
      <c r="O5777">
        <v>-0.353018099999999</v>
      </c>
      <c r="P5777">
        <v>0.98552450000000003</v>
      </c>
      <c r="Q5777">
        <v>9.6057409999999996E-2</v>
      </c>
      <c r="R5777">
        <v>-0.1396936</v>
      </c>
      <c r="S5777">
        <v>3.0228269999999999</v>
      </c>
      <c r="T5777">
        <v>-0.2100168</v>
      </c>
      <c r="U5777">
        <v>-0.29794310000000002</v>
      </c>
      <c r="V5777">
        <v>-0.2196786</v>
      </c>
      <c r="W5777">
        <v>0.1061376</v>
      </c>
      <c r="X5777">
        <v>0.96978149999999996</v>
      </c>
      <c r="Y5777">
        <v>-0.25836389999999998</v>
      </c>
      <c r="Z5777">
        <v>2.9330040000000002E-2</v>
      </c>
      <c r="AA5777">
        <v>0.96560230000000002</v>
      </c>
      <c r="AB5777">
        <v>27</v>
      </c>
      <c r="AC5777">
        <v>16.132499999999901</v>
      </c>
      <c r="AD5777">
        <v>-1.1298457854773001</v>
      </c>
      <c r="AE5777">
        <v>-1.5598799999999899</v>
      </c>
      <c r="AF5777">
        <v>-4.2158295618169301</v>
      </c>
      <c r="AG5777">
        <v>-1.1298457854773001</v>
      </c>
      <c r="AH5777">
        <v>15.5686528128136</v>
      </c>
      <c r="AI5777">
        <v>94.006968257509001</v>
      </c>
      <c r="AJ5777">
        <v>105.151734534594</v>
      </c>
      <c r="AK5777">
        <v>16.168881247605899</v>
      </c>
      <c r="AL5777">
        <v>83.907287594282096</v>
      </c>
      <c r="AM5777">
        <v>102.763457208468</v>
      </c>
      <c r="AN5777">
        <v>1.0000000175869801</v>
      </c>
    </row>
    <row r="5778" spans="1:40" x14ac:dyDescent="0.25">
      <c r="A5778" t="str">
        <f>"20190303162417756"</f>
        <v>20190303162417756</v>
      </c>
      <c r="B5778" t="str">
        <f>"1551601457750232"</f>
        <v>1551601457750232</v>
      </c>
      <c r="C5778" t="s">
        <v>40</v>
      </c>
      <c r="D5778">
        <v>5.4198279999999999</v>
      </c>
      <c r="E5778">
        <v>0.48419210000000001</v>
      </c>
      <c r="F5778" t="s">
        <v>41</v>
      </c>
      <c r="G5778">
        <v>-270.66550000000001</v>
      </c>
      <c r="H5778" s="1">
        <v>2.0921189999999999E-7</v>
      </c>
      <c r="I5778">
        <v>-61.962119999999999</v>
      </c>
      <c r="J5778">
        <v>-286.63499999999999</v>
      </c>
      <c r="K5778">
        <v>1.129823</v>
      </c>
      <c r="L5778">
        <v>-60.47119</v>
      </c>
      <c r="M5778">
        <v>0.93794690000000003</v>
      </c>
      <c r="N5778">
        <v>-1.5412510000000001E-2</v>
      </c>
      <c r="O5778">
        <v>-0.34643620000000003</v>
      </c>
      <c r="P5778">
        <v>0.98604829999999999</v>
      </c>
      <c r="Q5778">
        <v>9.6349760000000007E-2</v>
      </c>
      <c r="R5778">
        <v>-0.13574059999999999</v>
      </c>
      <c r="S5778">
        <v>3.023895</v>
      </c>
      <c r="T5778">
        <v>-0.2121111</v>
      </c>
      <c r="U5778">
        <v>-0.28817749999999998</v>
      </c>
      <c r="V5778">
        <v>-0.2167403</v>
      </c>
      <c r="W5778">
        <v>0.1065126</v>
      </c>
      <c r="X5778">
        <v>0.97040130000000002</v>
      </c>
      <c r="Y5778">
        <v>-0.25469160000000002</v>
      </c>
      <c r="Z5778">
        <v>2.9172119999999999E-2</v>
      </c>
      <c r="AA5778">
        <v>0.96658219999999995</v>
      </c>
      <c r="AB5778">
        <v>27</v>
      </c>
      <c r="AC5778">
        <v>15.969499999999901</v>
      </c>
      <c r="AD5778">
        <v>-1.1298227907881</v>
      </c>
      <c r="AE5778">
        <v>-1.4909299999999901</v>
      </c>
      <c r="AF5778">
        <v>-4.1140762521364103</v>
      </c>
      <c r="AG5778">
        <v>-1.1298227907881</v>
      </c>
      <c r="AH5778">
        <v>15.4203779975591</v>
      </c>
      <c r="AI5778">
        <v>94.049327548529405</v>
      </c>
      <c r="AJ5778">
        <v>104.938269628366</v>
      </c>
      <c r="AK5778">
        <v>15.999693138763099</v>
      </c>
      <c r="AL5778">
        <v>83.885679002486398</v>
      </c>
      <c r="AM5778">
        <v>102.590434872839</v>
      </c>
      <c r="AN5778">
        <v>0.99999998732226902</v>
      </c>
    </row>
    <row r="5779" spans="1:40" x14ac:dyDescent="0.25">
      <c r="A5779" t="str">
        <f>"20190303162417767"</f>
        <v>20190303162417767</v>
      </c>
      <c r="B5779" t="str">
        <f>"1551601457760969"</f>
        <v>1551601457760969</v>
      </c>
      <c r="C5779" t="s">
        <v>40</v>
      </c>
      <c r="D5779">
        <v>5.4788750000000004</v>
      </c>
      <c r="E5779">
        <v>0.4844521</v>
      </c>
      <c r="F5779" t="s">
        <v>41</v>
      </c>
      <c r="G5779">
        <v>-270.72250000000003</v>
      </c>
      <c r="H5779" s="1">
        <v>1.904103E-7</v>
      </c>
      <c r="I5779">
        <v>-61.936799999999998</v>
      </c>
      <c r="J5779">
        <v>-286.51519999999999</v>
      </c>
      <c r="K5779">
        <v>1.1298029999999999</v>
      </c>
      <c r="L5779">
        <v>-60.508940000000003</v>
      </c>
      <c r="M5779">
        <v>0.94004120000000002</v>
      </c>
      <c r="N5779">
        <v>-1.5409310000000001E-2</v>
      </c>
      <c r="O5779">
        <v>-0.34071220000000002</v>
      </c>
      <c r="P5779">
        <v>0.98643449999999999</v>
      </c>
      <c r="Q5779">
        <v>9.630466E-2</v>
      </c>
      <c r="R5779">
        <v>-0.1329362</v>
      </c>
      <c r="S5779">
        <v>3.0251160000000001</v>
      </c>
      <c r="T5779">
        <v>-0.21478949999999999</v>
      </c>
      <c r="U5779">
        <v>-0.27862550000000003</v>
      </c>
      <c r="V5779">
        <v>-0.2135735</v>
      </c>
      <c r="W5779">
        <v>0.1065562</v>
      </c>
      <c r="X5779">
        <v>0.97109840000000003</v>
      </c>
      <c r="Y5779">
        <v>-0.25184269999999997</v>
      </c>
      <c r="Z5779">
        <v>2.916678E-2</v>
      </c>
      <c r="AA5779">
        <v>0.96732850000000004</v>
      </c>
      <c r="AB5779">
        <v>27</v>
      </c>
      <c r="AC5779">
        <v>15.7926999999999</v>
      </c>
      <c r="AD5779">
        <v>-1.1298028095896999</v>
      </c>
      <c r="AE5779">
        <v>-1.4278599999999899</v>
      </c>
      <c r="AF5779">
        <v>-4.0185984151923302</v>
      </c>
      <c r="AG5779">
        <v>-1.1298028095896999</v>
      </c>
      <c r="AH5779">
        <v>15.256651800029699</v>
      </c>
      <c r="AI5779">
        <v>94.095994955881295</v>
      </c>
      <c r="AJ5779">
        <v>104.756522368115</v>
      </c>
      <c r="AK5779">
        <v>15.817427469677</v>
      </c>
      <c r="AL5779">
        <v>83.883166582376504</v>
      </c>
      <c r="AM5779">
        <v>102.40358329318499</v>
      </c>
      <c r="AN5779">
        <v>0.99999998307162397</v>
      </c>
    </row>
    <row r="5780" spans="1:40" x14ac:dyDescent="0.25">
      <c r="A5780" t="str">
        <f>"20190303162417777"</f>
        <v>20190303162417777</v>
      </c>
      <c r="B5780" t="str">
        <f>"1551601457770729"</f>
        <v>1551601457770729</v>
      </c>
      <c r="C5780" t="s">
        <v>40</v>
      </c>
      <c r="D5780">
        <v>5.5309889999999999</v>
      </c>
      <c r="E5780">
        <v>0.4847455</v>
      </c>
      <c r="F5780" t="s">
        <v>41</v>
      </c>
      <c r="G5780">
        <v>-270.60239999999999</v>
      </c>
      <c r="H5780" s="1">
        <v>2.4123549999999999E-7</v>
      </c>
      <c r="I5780">
        <v>-61.939990000000002</v>
      </c>
      <c r="J5780">
        <v>-286.38929999999999</v>
      </c>
      <c r="K5780">
        <v>1.1297820000000001</v>
      </c>
      <c r="L5780">
        <v>-60.547669999999997</v>
      </c>
      <c r="M5780">
        <v>0.94219640000000004</v>
      </c>
      <c r="N5780">
        <v>-1.540529E-2</v>
      </c>
      <c r="O5780">
        <v>-0.33470670000000002</v>
      </c>
      <c r="P5780">
        <v>0.98688500000000001</v>
      </c>
      <c r="Q5780">
        <v>9.6116800000000002E-2</v>
      </c>
      <c r="R5780">
        <v>-0.1296909</v>
      </c>
      <c r="S5780">
        <v>3.025604</v>
      </c>
      <c r="T5780">
        <v>-0.21481610000000001</v>
      </c>
      <c r="U5780">
        <v>-0.27209470000000002</v>
      </c>
      <c r="V5780">
        <v>-0.21056179999999999</v>
      </c>
      <c r="W5780">
        <v>0.1064538</v>
      </c>
      <c r="X5780">
        <v>0.97176709999999999</v>
      </c>
      <c r="Y5780">
        <v>-0.2477712</v>
      </c>
      <c r="Z5780">
        <v>2.8691669999999999E-2</v>
      </c>
      <c r="AA5780">
        <v>0.96839359999999997</v>
      </c>
      <c r="AB5780">
        <v>27</v>
      </c>
      <c r="AC5780">
        <v>15.786899999999999</v>
      </c>
      <c r="AD5780">
        <v>-1.1297817587645</v>
      </c>
      <c r="AE5780">
        <v>-1.39232</v>
      </c>
      <c r="AF5780">
        <v>-3.9525272792702002</v>
      </c>
      <c r="AG5780">
        <v>-1.1297817587645</v>
      </c>
      <c r="AH5780">
        <v>15.264626098767501</v>
      </c>
      <c r="AI5780">
        <v>94.0982436096225</v>
      </c>
      <c r="AJ5780">
        <v>104.516979437202</v>
      </c>
      <c r="AK5780">
        <v>15.8084688901546</v>
      </c>
      <c r="AL5780">
        <v>83.889067274088703</v>
      </c>
      <c r="AM5780">
        <v>102.225813209908</v>
      </c>
      <c r="AN5780">
        <v>0.99999998989804495</v>
      </c>
    </row>
    <row r="5781" spans="1:40" x14ac:dyDescent="0.25">
      <c r="A5781" t="str">
        <f>"20190303162417789"</f>
        <v>20190303162417789</v>
      </c>
      <c r="B5781" t="str">
        <f>"1551601457780488"</f>
        <v>1551601457780488</v>
      </c>
      <c r="C5781" t="s">
        <v>40</v>
      </c>
      <c r="D5781">
        <v>5.3887869999999998</v>
      </c>
      <c r="E5781">
        <v>0.48486950000000001</v>
      </c>
      <c r="F5781" t="s">
        <v>41</v>
      </c>
      <c r="G5781">
        <v>-270.52109999999999</v>
      </c>
      <c r="H5781" s="1">
        <v>2.7648660000000001E-7</v>
      </c>
      <c r="I5781">
        <v>-61.938200000000002</v>
      </c>
      <c r="J5781">
        <v>-286.27010000000001</v>
      </c>
      <c r="K5781">
        <v>1.1297509999999999</v>
      </c>
      <c r="L5781">
        <v>-60.583500000000001</v>
      </c>
      <c r="M5781">
        <v>0.94419219999999904</v>
      </c>
      <c r="N5781">
        <v>-1.5400570000000001E-2</v>
      </c>
      <c r="O5781">
        <v>-0.32903490000000002</v>
      </c>
      <c r="P5781">
        <v>0.98735669999999998</v>
      </c>
      <c r="Q5781">
        <v>9.5251989999999995E-2</v>
      </c>
      <c r="R5781">
        <v>-0.1267037</v>
      </c>
      <c r="S5781">
        <v>3.02597</v>
      </c>
      <c r="T5781">
        <v>-0.21544340000000001</v>
      </c>
      <c r="U5781">
        <v>-0.26516719999999999</v>
      </c>
      <c r="V5781">
        <v>-0.20765520000000001</v>
      </c>
      <c r="W5781">
        <v>0.1056734</v>
      </c>
      <c r="X5781">
        <v>0.97247749999999999</v>
      </c>
      <c r="Y5781">
        <v>-0.24416579999999999</v>
      </c>
      <c r="Z5781">
        <v>2.8341939999999999E-2</v>
      </c>
      <c r="AA5781">
        <v>0.96931920000000005</v>
      </c>
      <c r="AB5781">
        <v>27</v>
      </c>
      <c r="AC5781">
        <v>15.749000000000001</v>
      </c>
      <c r="AD5781">
        <v>-1.1297507235133999</v>
      </c>
      <c r="AE5781">
        <v>-1.3547</v>
      </c>
      <c r="AF5781">
        <v>-3.8834990563521199</v>
      </c>
      <c r="AG5781">
        <v>-1.1297507235133999</v>
      </c>
      <c r="AH5781">
        <v>15.2397966292279</v>
      </c>
      <c r="AI5781">
        <v>94.108836675749004</v>
      </c>
      <c r="AJ5781">
        <v>104.296199997827</v>
      </c>
      <c r="AK5781">
        <v>15.767349267337</v>
      </c>
      <c r="AL5781">
        <v>83.934034722662602</v>
      </c>
      <c r="AM5781">
        <v>102.053469548343</v>
      </c>
      <c r="AN5781">
        <v>1.0000000187804201</v>
      </c>
    </row>
    <row r="5782" spans="1:40" x14ac:dyDescent="0.25">
      <c r="A5782" t="str">
        <f>"20190303162417800"</f>
        <v>20190303162417800</v>
      </c>
      <c r="B5782" t="str">
        <f>"1551601457790248"</f>
        <v>1551601457790248</v>
      </c>
      <c r="C5782" t="s">
        <v>40</v>
      </c>
      <c r="D5782">
        <v>5.4511279999999998</v>
      </c>
      <c r="E5782">
        <v>0.48497960000000001</v>
      </c>
      <c r="F5782" t="s">
        <v>41</v>
      </c>
      <c r="G5782">
        <v>-270.52339999999998</v>
      </c>
      <c r="H5782" s="1">
        <v>2.7886240000000002E-7</v>
      </c>
      <c r="I5782">
        <v>-61.923050000000003</v>
      </c>
      <c r="J5782">
        <v>-286.1431</v>
      </c>
      <c r="K5782">
        <v>1.1297159999999999</v>
      </c>
      <c r="L5782">
        <v>-60.621000000000002</v>
      </c>
      <c r="M5782">
        <v>0.94627329999999998</v>
      </c>
      <c r="N5782">
        <v>-1.539507E-2</v>
      </c>
      <c r="O5782">
        <v>-0.32300129999999999</v>
      </c>
      <c r="P5782">
        <v>0.98791510000000005</v>
      </c>
      <c r="Q5782">
        <v>9.4188300000000003E-2</v>
      </c>
      <c r="R5782">
        <v>-0.12309489999999899</v>
      </c>
      <c r="S5782">
        <v>3.0263059999999999</v>
      </c>
      <c r="T5782">
        <v>-0.21712409999999999</v>
      </c>
      <c r="U5782">
        <v>-0.25744630000000002</v>
      </c>
      <c r="V5782">
        <v>-0.2049984</v>
      </c>
      <c r="W5782">
        <v>0.1046885</v>
      </c>
      <c r="X5782">
        <v>0.97314750000000005</v>
      </c>
      <c r="Y5782">
        <v>-0.24043870000000001</v>
      </c>
      <c r="Z5782">
        <v>2.8116840000000001E-2</v>
      </c>
      <c r="AA5782">
        <v>0.97025700000000004</v>
      </c>
      <c r="AB5782">
        <v>27</v>
      </c>
      <c r="AC5782">
        <v>15.6197</v>
      </c>
      <c r="AD5782">
        <v>-1.1297157211376001</v>
      </c>
      <c r="AE5782">
        <v>-1.3020499999999999</v>
      </c>
      <c r="AF5782">
        <v>-3.7938312357878901</v>
      </c>
      <c r="AG5782">
        <v>-1.1297157211376001</v>
      </c>
      <c r="AH5782">
        <v>15.124299825651301</v>
      </c>
      <c r="AI5782">
        <v>94.143883878861899</v>
      </c>
      <c r="AJ5782">
        <v>104.081716736026</v>
      </c>
      <c r="AK5782">
        <v>15.6337410197439</v>
      </c>
      <c r="AL5782">
        <v>83.990780234549803</v>
      </c>
      <c r="AM5782">
        <v>101.895718758215</v>
      </c>
      <c r="AN5782">
        <v>1.0000000413955199</v>
      </c>
    </row>
    <row r="5783" spans="1:40" x14ac:dyDescent="0.25">
      <c r="A5783" t="str">
        <f>"20190303162417812"</f>
        <v>20190303162417812</v>
      </c>
      <c r="B5783" t="str">
        <f>"1551601457800986"</f>
        <v>1551601457800986</v>
      </c>
      <c r="C5783" t="s">
        <v>40</v>
      </c>
      <c r="D5783">
        <v>5.4744699999999904</v>
      </c>
      <c r="E5783">
        <v>0.48519620000000002</v>
      </c>
      <c r="F5783" t="s">
        <v>41</v>
      </c>
      <c r="G5783">
        <v>-270.6003</v>
      </c>
      <c r="H5783" s="1">
        <v>2.5253E-7</v>
      </c>
      <c r="I5783">
        <v>-61.893180000000001</v>
      </c>
      <c r="J5783">
        <v>-286.01159999999999</v>
      </c>
      <c r="K5783">
        <v>1.1296729999999999</v>
      </c>
      <c r="L5783">
        <v>-60.658569999999997</v>
      </c>
      <c r="M5783">
        <v>0.94837340000000003</v>
      </c>
      <c r="N5783">
        <v>-1.538779E-2</v>
      </c>
      <c r="O5783">
        <v>-0.31678289999999998</v>
      </c>
      <c r="P5783">
        <v>0.98845459999999996</v>
      </c>
      <c r="Q5783">
        <v>9.3140360000000005E-2</v>
      </c>
      <c r="R5783">
        <v>-0.11951009999999999</v>
      </c>
      <c r="S5783">
        <v>3.026764</v>
      </c>
      <c r="T5783">
        <v>-0.21999779999999999</v>
      </c>
      <c r="U5783">
        <v>-0.24774170000000001</v>
      </c>
      <c r="V5783">
        <v>-0.20213449999999999</v>
      </c>
      <c r="W5783">
        <v>0.10372670000000001</v>
      </c>
      <c r="X5783">
        <v>0.97384930000000003</v>
      </c>
      <c r="Y5783">
        <v>-0.23715339999999999</v>
      </c>
      <c r="Z5783">
        <v>2.8060829999999998E-2</v>
      </c>
      <c r="AA5783">
        <v>0.97106689999999996</v>
      </c>
      <c r="AB5783">
        <v>27</v>
      </c>
      <c r="AC5783">
        <v>15.411299999999899</v>
      </c>
      <c r="AD5783">
        <v>-1.1296727474699999</v>
      </c>
      <c r="AE5783">
        <v>-1.23461000000001</v>
      </c>
      <c r="AF5783">
        <v>-3.6918934254018301</v>
      </c>
      <c r="AG5783">
        <v>-1.1296727474699999</v>
      </c>
      <c r="AH5783">
        <v>14.9288421062829</v>
      </c>
      <c r="AI5783">
        <v>94.201264340810496</v>
      </c>
      <c r="AJ5783">
        <v>103.890519165009</v>
      </c>
      <c r="AK5783">
        <v>15.420005324747001</v>
      </c>
      <c r="AL5783">
        <v>84.046188867008993</v>
      </c>
      <c r="AM5783">
        <v>101.72594871724399</v>
      </c>
      <c r="AN5783">
        <v>1.0000000217468099</v>
      </c>
    </row>
    <row r="5784" spans="1:40" x14ac:dyDescent="0.25">
      <c r="A5784" t="str">
        <f>"20190303162417826"</f>
        <v>20190303162417826</v>
      </c>
      <c r="B5784" t="str">
        <f>"1551601457811721"</f>
        <v>1551601457811721</v>
      </c>
      <c r="C5784" t="s">
        <v>40</v>
      </c>
      <c r="D5784">
        <v>5.3342080000000003</v>
      </c>
      <c r="E5784">
        <v>0.48534759999999999</v>
      </c>
      <c r="F5784" t="s">
        <v>41</v>
      </c>
      <c r="G5784">
        <v>-270.70060000000001</v>
      </c>
      <c r="H5784" s="1">
        <v>2.156493E-7</v>
      </c>
      <c r="I5784">
        <v>-61.865589999999997</v>
      </c>
      <c r="J5784">
        <v>-285.85770000000002</v>
      </c>
      <c r="K5784">
        <v>1.129624</v>
      </c>
      <c r="L5784">
        <v>-60.701779999999999</v>
      </c>
      <c r="M5784">
        <v>0.95076959999999999</v>
      </c>
      <c r="N5784">
        <v>-1.537869E-2</v>
      </c>
      <c r="O5784">
        <v>-0.30951709999999999</v>
      </c>
      <c r="P5784">
        <v>0.98914780000000002</v>
      </c>
      <c r="Q5784">
        <v>9.1748679999999999E-2</v>
      </c>
      <c r="R5784">
        <v>-0.114756399999999</v>
      </c>
      <c r="S5784">
        <v>3.0272220000000001</v>
      </c>
      <c r="T5784">
        <v>-0.2233533</v>
      </c>
      <c r="U5784">
        <v>-0.23864750000000001</v>
      </c>
      <c r="V5784">
        <v>-0.1993579</v>
      </c>
      <c r="W5784">
        <v>0.102421</v>
      </c>
      <c r="X5784">
        <v>0.97455959999999997</v>
      </c>
      <c r="Y5784">
        <v>-0.23261470000000001</v>
      </c>
      <c r="Z5784">
        <v>2.794346E-2</v>
      </c>
      <c r="AA5784">
        <v>0.97216749999999996</v>
      </c>
      <c r="AB5784">
        <v>27</v>
      </c>
      <c r="AC5784">
        <v>15.1571</v>
      </c>
      <c r="AD5784">
        <v>-1.1296237843507</v>
      </c>
      <c r="AE5784">
        <v>-1.16380999999999</v>
      </c>
      <c r="AF5784">
        <v>-3.5656015325449002</v>
      </c>
      <c r="AG5784">
        <v>-1.1296237843507</v>
      </c>
      <c r="AH5784">
        <v>14.6917495163698</v>
      </c>
      <c r="AI5784">
        <v>94.273159562294296</v>
      </c>
      <c r="AJ5784">
        <v>103.641599651875</v>
      </c>
      <c r="AK5784">
        <v>15.1603782286198</v>
      </c>
      <c r="AL5784">
        <v>84.121400581634205</v>
      </c>
      <c r="AM5784">
        <v>101.561042912877</v>
      </c>
      <c r="AN5784">
        <v>1.00000002374278</v>
      </c>
    </row>
    <row r="5785" spans="1:40" x14ac:dyDescent="0.25">
      <c r="A5785" t="str">
        <f>"20190303162417841"</f>
        <v>20190303162417841</v>
      </c>
      <c r="B5785" t="str">
        <f>"1551601457830264"</f>
        <v>1551601457830264</v>
      </c>
      <c r="C5785" t="s">
        <v>40</v>
      </c>
      <c r="D5785">
        <v>5.4179620000000002</v>
      </c>
      <c r="E5785">
        <v>0.48581530000000001</v>
      </c>
      <c r="F5785" t="s">
        <v>41</v>
      </c>
      <c r="G5785">
        <v>-270.81330000000003</v>
      </c>
      <c r="H5785" s="1">
        <v>1.7736350000000001E-7</v>
      </c>
      <c r="I5785">
        <v>-61.820349999999998</v>
      </c>
      <c r="J5785">
        <v>-285.68290000000002</v>
      </c>
      <c r="K5785">
        <v>1.1295599999999999</v>
      </c>
      <c r="L5785">
        <v>-60.749299999999998</v>
      </c>
      <c r="M5785">
        <v>0.95340279999999999</v>
      </c>
      <c r="N5785">
        <v>-1.5366589999999999E-2</v>
      </c>
      <c r="O5785">
        <v>-0.30130940000000001</v>
      </c>
      <c r="P5785">
        <v>0.98949710000000002</v>
      </c>
      <c r="Q5785">
        <v>9.1452500000000006E-2</v>
      </c>
      <c r="R5785">
        <v>-0.1119492</v>
      </c>
      <c r="S5785">
        <v>3.0278930000000002</v>
      </c>
      <c r="T5785">
        <v>-0.22735179999999999</v>
      </c>
      <c r="U5785">
        <v>-0.2251282</v>
      </c>
      <c r="V5785">
        <v>-0.1936967</v>
      </c>
      <c r="W5785">
        <v>0.1022853</v>
      </c>
      <c r="X5785">
        <v>0.97571479999999999</v>
      </c>
      <c r="Y5785">
        <v>-0.22854099999999999</v>
      </c>
      <c r="Z5785">
        <v>2.786073E-2</v>
      </c>
      <c r="AA5785">
        <v>0.97313550000000004</v>
      </c>
      <c r="AB5785">
        <v>26</v>
      </c>
      <c r="AC5785">
        <v>14.869599999999901</v>
      </c>
      <c r="AD5785">
        <v>-1.1295598226365</v>
      </c>
      <c r="AE5785">
        <v>-1.0710499999999901</v>
      </c>
      <c r="AF5785">
        <v>-3.43986840517569</v>
      </c>
      <c r="AG5785">
        <v>-1.1295598226365</v>
      </c>
      <c r="AH5785">
        <v>14.418372099116599</v>
      </c>
      <c r="AI5785">
        <v>94.357690910963598</v>
      </c>
      <c r="AJ5785">
        <v>103.41852843442901</v>
      </c>
      <c r="AK5785">
        <v>14.866003297000301</v>
      </c>
      <c r="AL5785">
        <v>84.129216719803196</v>
      </c>
      <c r="AM5785">
        <v>101.228248606143</v>
      </c>
      <c r="AN5785">
        <v>1.0000000325630001</v>
      </c>
    </row>
    <row r="5786" spans="1:40" x14ac:dyDescent="0.25">
      <c r="A5786" t="str">
        <f>"20190303162417853"</f>
        <v>20190303162417853</v>
      </c>
      <c r="B5786" t="str">
        <f>"1551601457841001"</f>
        <v>1551601457841001</v>
      </c>
      <c r="C5786" t="s">
        <v>40</v>
      </c>
      <c r="D5786">
        <v>5.4209290000000001</v>
      </c>
      <c r="E5786">
        <v>0.48597620000000002</v>
      </c>
      <c r="F5786" t="s">
        <v>41</v>
      </c>
      <c r="G5786">
        <v>-270.66269999999997</v>
      </c>
      <c r="H5786" s="1">
        <v>2.3738149999999999E-7</v>
      </c>
      <c r="I5786">
        <v>-61.840899999999998</v>
      </c>
      <c r="J5786">
        <v>-285.54969999999997</v>
      </c>
      <c r="K5786">
        <v>1.129513</v>
      </c>
      <c r="L5786">
        <v>-60.784120000000001</v>
      </c>
      <c r="M5786">
        <v>0.95534249999999998</v>
      </c>
      <c r="N5786">
        <v>-1.535572E-2</v>
      </c>
      <c r="O5786">
        <v>-0.29510160000000002</v>
      </c>
      <c r="P5786">
        <v>0.9898692</v>
      </c>
      <c r="Q5786">
        <v>9.2256119999999997E-2</v>
      </c>
      <c r="R5786">
        <v>-0.1079266</v>
      </c>
      <c r="S5786">
        <v>3.0280149999999999</v>
      </c>
      <c r="T5786">
        <v>-0.22771549999999999</v>
      </c>
      <c r="U5786">
        <v>-0.22006229999999999</v>
      </c>
      <c r="V5786">
        <v>-0.19129380000000001</v>
      </c>
      <c r="W5786">
        <v>0.1031623</v>
      </c>
      <c r="X5786">
        <v>0.97609650000000003</v>
      </c>
      <c r="Y5786">
        <v>-0.22385070000000001</v>
      </c>
      <c r="Z5786">
        <v>2.7354650000000001E-2</v>
      </c>
      <c r="AA5786">
        <v>0.97423950000000004</v>
      </c>
      <c r="AB5786">
        <v>26</v>
      </c>
      <c r="AC5786">
        <v>14.887</v>
      </c>
      <c r="AD5786">
        <v>-1.1295127626185</v>
      </c>
      <c r="AE5786">
        <v>-1.0567800000000001</v>
      </c>
      <c r="AF5786">
        <v>-3.3647172902082501</v>
      </c>
      <c r="AG5786">
        <v>-1.1295127626185</v>
      </c>
      <c r="AH5786">
        <v>14.452971616644399</v>
      </c>
      <c r="AI5786">
        <v>94.352702002848403</v>
      </c>
      <c r="AJ5786">
        <v>103.10528524020999</v>
      </c>
      <c r="AK5786">
        <v>14.882389259640799</v>
      </c>
      <c r="AL5786">
        <v>84.078701357457405</v>
      </c>
      <c r="AM5786">
        <v>101.088202012762</v>
      </c>
      <c r="AN5786">
        <v>1.0000000776859801</v>
      </c>
    </row>
    <row r="5787" spans="1:40" x14ac:dyDescent="0.25">
      <c r="A5787" t="str">
        <f>"20190303162417865"</f>
        <v>20190303162417865</v>
      </c>
      <c r="B5787" t="str">
        <f>"1551601457850760"</f>
        <v>1551601457850760</v>
      </c>
      <c r="C5787" t="s">
        <v>40</v>
      </c>
      <c r="D5787">
        <v>5.3534560000000004</v>
      </c>
      <c r="E5787">
        <v>0.48597240000000003</v>
      </c>
      <c r="F5787" t="s">
        <v>41</v>
      </c>
      <c r="G5787">
        <v>-270.33120000000002</v>
      </c>
      <c r="H5787" s="1">
        <v>3.8061680000000002E-7</v>
      </c>
      <c r="I5787">
        <v>-61.836319999999901</v>
      </c>
      <c r="J5787">
        <v>-285.41770000000002</v>
      </c>
      <c r="K5787">
        <v>1.1294690000000001</v>
      </c>
      <c r="L5787">
        <v>-60.818150000000003</v>
      </c>
      <c r="M5787">
        <v>0.95721579999999995</v>
      </c>
      <c r="N5787">
        <v>-1.534492E-2</v>
      </c>
      <c r="O5787">
        <v>-0.28896809999999901</v>
      </c>
      <c r="P5787">
        <v>0.9901354</v>
      </c>
      <c r="Q5787">
        <v>9.3947630000000004E-2</v>
      </c>
      <c r="R5787">
        <v>-0.103950399999999</v>
      </c>
      <c r="S5787">
        <v>3.0288089999999999</v>
      </c>
      <c r="T5787">
        <v>-0.22479769999999999</v>
      </c>
      <c r="U5787">
        <v>-0.2094116</v>
      </c>
      <c r="V5787">
        <v>-0.18892500000000001</v>
      </c>
      <c r="W5787">
        <v>0.10492460000000001</v>
      </c>
      <c r="X5787">
        <v>0.97636990000000001</v>
      </c>
      <c r="Y5787">
        <v>-0.22107940000000001</v>
      </c>
      <c r="Z5787">
        <v>2.6506479999999999E-2</v>
      </c>
      <c r="AA5787">
        <v>0.97489550000000003</v>
      </c>
      <c r="AB5787">
        <v>26</v>
      </c>
      <c r="AC5787">
        <v>15.086499999999999</v>
      </c>
      <c r="AD5787">
        <v>-1.1294686193832</v>
      </c>
      <c r="AE5787">
        <v>-1.01816999999999</v>
      </c>
      <c r="AF5787">
        <v>-3.3665235934672499</v>
      </c>
      <c r="AG5787">
        <v>-1.1294686193832</v>
      </c>
      <c r="AH5787">
        <v>14.6552198287217</v>
      </c>
      <c r="AI5787">
        <v>94.295593308116494</v>
      </c>
      <c r="AJ5787">
        <v>102.93725381839501</v>
      </c>
      <c r="AK5787">
        <v>15.079278785661501</v>
      </c>
      <c r="AL5787">
        <v>83.977177564575101</v>
      </c>
      <c r="AM5787">
        <v>100.951244658169</v>
      </c>
      <c r="AN5787">
        <v>1.0000000044680799</v>
      </c>
    </row>
    <row r="5788" spans="1:40" x14ac:dyDescent="0.25">
      <c r="A5788" t="str">
        <f>"20190303162417876"</f>
        <v>20190303162417876</v>
      </c>
      <c r="B5788" t="str">
        <f>"1551601457870281"</f>
        <v>1551601457870281</v>
      </c>
      <c r="C5788" t="s">
        <v>40</v>
      </c>
      <c r="D5788">
        <v>5.3862889999999997</v>
      </c>
      <c r="E5788">
        <v>0.47909869999999999</v>
      </c>
      <c r="F5788" t="s">
        <v>41</v>
      </c>
      <c r="G5788">
        <v>-269.83879999999999</v>
      </c>
      <c r="H5788" s="1">
        <v>-3.4943219999999999E-6</v>
      </c>
      <c r="I5788">
        <v>-61.83643</v>
      </c>
      <c r="J5788">
        <v>-285.29680000000002</v>
      </c>
      <c r="K5788">
        <v>1.129426</v>
      </c>
      <c r="L5788">
        <v>-60.848300000000002</v>
      </c>
      <c r="M5788">
        <v>0.95888070000000003</v>
      </c>
      <c r="N5788">
        <v>-1.5333609999999999E-2</v>
      </c>
      <c r="O5788">
        <v>-0.28339510000000001</v>
      </c>
      <c r="P5788">
        <v>0.99026259999999999</v>
      </c>
      <c r="Q5788">
        <v>9.6387619999999993E-2</v>
      </c>
      <c r="R5788">
        <v>-0.1004473</v>
      </c>
      <c r="S5788">
        <v>3.029938</v>
      </c>
      <c r="T5788">
        <v>-0.21967030000000001</v>
      </c>
      <c r="U5788">
        <v>-0.19805909999999999</v>
      </c>
      <c r="V5788">
        <v>-0.18666559999999999</v>
      </c>
      <c r="W5788">
        <v>0.1074319</v>
      </c>
      <c r="X5788">
        <v>0.97653179999999995</v>
      </c>
      <c r="Y5788">
        <v>-0.21914</v>
      </c>
      <c r="Z5788">
        <v>2.545302E-2</v>
      </c>
      <c r="AA5788">
        <v>0.97536140000000005</v>
      </c>
      <c r="AB5788">
        <v>26</v>
      </c>
      <c r="AC5788">
        <v>15.458</v>
      </c>
      <c r="AD5788">
        <v>-1.129429494322</v>
      </c>
      <c r="AE5788">
        <v>-0.98813000000000495</v>
      </c>
      <c r="AF5788">
        <v>-3.4154672284786902</v>
      </c>
      <c r="AG5788">
        <v>-1.129429494322</v>
      </c>
      <c r="AH5788">
        <v>15.0243046200344</v>
      </c>
      <c r="AI5788">
        <v>94.192468141601495</v>
      </c>
      <c r="AJ5788">
        <v>102.807357544589</v>
      </c>
      <c r="AK5788">
        <v>15.448972674163199</v>
      </c>
      <c r="AL5788">
        <v>83.832703141204604</v>
      </c>
      <c r="AM5788">
        <v>100.821635577743</v>
      </c>
      <c r="AN5788">
        <v>1.0000000078861</v>
      </c>
    </row>
    <row r="5789" spans="1:40" x14ac:dyDescent="0.25">
      <c r="A5789" t="str">
        <f>"20190303162417887"</f>
        <v>20190303162417887</v>
      </c>
      <c r="B5789" t="str">
        <f>"1551601457881016"</f>
        <v>1551601457881016</v>
      </c>
      <c r="C5789" t="s">
        <v>40</v>
      </c>
      <c r="D5789">
        <v>5.5031780000000001</v>
      </c>
      <c r="E5789">
        <v>0.47714079999999898</v>
      </c>
      <c r="F5789" t="s">
        <v>62</v>
      </c>
      <c r="G5789">
        <v>-259.07150000000001</v>
      </c>
      <c r="H5789" s="1">
        <v>-3.3272040000000002E-6</v>
      </c>
      <c r="I5789">
        <v>-62.007330000000003</v>
      </c>
      <c r="J5789">
        <v>-285.16039999999998</v>
      </c>
      <c r="K5789">
        <v>1.129372</v>
      </c>
      <c r="L5789">
        <v>-60.881619999999998</v>
      </c>
      <c r="M5789">
        <v>0.96070719999999998</v>
      </c>
      <c r="N5789">
        <v>-1.532028E-2</v>
      </c>
      <c r="O5789">
        <v>-0.27714139999999998</v>
      </c>
      <c r="P5789">
        <v>0.99040640000000002</v>
      </c>
      <c r="Q5789">
        <v>9.9118399999999995E-2</v>
      </c>
      <c r="R5789">
        <v>-9.6285510000000005E-2</v>
      </c>
      <c r="S5789">
        <v>3.0285950000000001</v>
      </c>
      <c r="T5789">
        <v>-0.13043109999999999</v>
      </c>
      <c r="U5789">
        <v>-0.1338501</v>
      </c>
      <c r="V5789">
        <v>-0.18436659999999999</v>
      </c>
      <c r="W5789">
        <v>0.11023230000000001</v>
      </c>
      <c r="X5789">
        <v>0.97665639999999998</v>
      </c>
      <c r="Y5789">
        <v>-0.23408870000000001</v>
      </c>
      <c r="Z5789">
        <v>1.432628E-2</v>
      </c>
      <c r="AA5789">
        <v>0.97210969999999997</v>
      </c>
      <c r="AB5789">
        <v>26</v>
      </c>
      <c r="AC5789">
        <v>26.088899999999899</v>
      </c>
      <c r="AD5789">
        <v>-1.1293753272039999</v>
      </c>
      <c r="AE5789">
        <v>-1.12571</v>
      </c>
      <c r="AF5789">
        <v>-6.1380758356341696</v>
      </c>
      <c r="AG5789">
        <v>-1.1293753272039999</v>
      </c>
      <c r="AH5789">
        <v>25.331366200388398</v>
      </c>
      <c r="AI5789">
        <v>92.481082788707994</v>
      </c>
      <c r="AJ5789">
        <v>103.620881834496</v>
      </c>
      <c r="AK5789">
        <v>26.0888784192014</v>
      </c>
      <c r="AL5789">
        <v>83.671292952680503</v>
      </c>
      <c r="AM5789">
        <v>100.690113075968</v>
      </c>
      <c r="AN5789">
        <v>0.99999996340990405</v>
      </c>
    </row>
    <row r="5790" spans="1:40" x14ac:dyDescent="0.25">
      <c r="A5790" t="str">
        <f>"20190303162417900"</f>
        <v>20190303162417900</v>
      </c>
      <c r="B5790" t="str">
        <f>"1551601457890777"</f>
        <v>1551601457890777</v>
      </c>
      <c r="C5790" t="s">
        <v>40</v>
      </c>
      <c r="D5790">
        <v>5.5031280000000002</v>
      </c>
      <c r="E5790">
        <v>0.47653899999999999</v>
      </c>
      <c r="F5790" t="s">
        <v>62</v>
      </c>
      <c r="G5790">
        <v>-253.1661</v>
      </c>
      <c r="H5790" s="1">
        <v>-8.5387730000000002E-7</v>
      </c>
      <c r="I5790">
        <v>-62.000309999999999</v>
      </c>
      <c r="J5790">
        <v>-285.01459999999997</v>
      </c>
      <c r="K5790">
        <v>1.129308</v>
      </c>
      <c r="L5790">
        <v>-60.916379999999997</v>
      </c>
      <c r="M5790">
        <v>0.96259839999999997</v>
      </c>
      <c r="N5790">
        <v>-1.5305050000000001E-2</v>
      </c>
      <c r="O5790">
        <v>-0.27049970000000001</v>
      </c>
      <c r="P5790">
        <v>0.99052700000000005</v>
      </c>
      <c r="Q5790">
        <v>0.1019818</v>
      </c>
      <c r="R5790">
        <v>-9.1957949999999997E-2</v>
      </c>
      <c r="S5790">
        <v>3.02948</v>
      </c>
      <c r="T5790">
        <v>-0.10693800000000001</v>
      </c>
      <c r="U5790">
        <v>-0.10592650000000001</v>
      </c>
      <c r="V5790">
        <v>-0.1818438</v>
      </c>
      <c r="W5790">
        <v>0.1131721</v>
      </c>
      <c r="X5790">
        <v>0.97679320000000003</v>
      </c>
      <c r="Y5790">
        <v>-0.23646529999999999</v>
      </c>
      <c r="Z5790">
        <v>1.1240089999999999E-2</v>
      </c>
      <c r="AA5790">
        <v>0.97157490000000002</v>
      </c>
      <c r="AB5790">
        <v>26</v>
      </c>
      <c r="AC5790">
        <v>31.848499999999898</v>
      </c>
      <c r="AD5790">
        <v>-1.1293088538773</v>
      </c>
      <c r="AE5790">
        <v>-1.0839299999999901</v>
      </c>
      <c r="AF5790">
        <v>-7.56300917018328</v>
      </c>
      <c r="AG5790">
        <v>-1.1293088538773</v>
      </c>
      <c r="AH5790">
        <v>30.9153177042888</v>
      </c>
      <c r="AI5790">
        <v>92.0321600833811</v>
      </c>
      <c r="AJ5790">
        <v>103.746640967178</v>
      </c>
      <c r="AK5790">
        <v>31.846998523453301</v>
      </c>
      <c r="AL5790">
        <v>83.501794372513501</v>
      </c>
      <c r="AM5790">
        <v>100.545693980677</v>
      </c>
      <c r="AN5790">
        <v>1.0000000236915401</v>
      </c>
    </row>
    <row r="5791" spans="1:40" x14ac:dyDescent="0.25">
      <c r="A5791" t="str">
        <f>"20190303162417913"</f>
        <v>20190303162417913</v>
      </c>
      <c r="B5791" t="str">
        <f>"1551601457900537"</f>
        <v>1551601457900537</v>
      </c>
      <c r="C5791" t="s">
        <v>40</v>
      </c>
      <c r="D5791">
        <v>5.4370260000000004</v>
      </c>
      <c r="E5791">
        <v>0.47615839999999998</v>
      </c>
      <c r="F5791" t="s">
        <v>63</v>
      </c>
      <c r="G5791">
        <v>-246.18879999999999</v>
      </c>
      <c r="H5791" s="1">
        <v>-2.0832490000000001E-6</v>
      </c>
      <c r="I5791">
        <v>-62.041499999999999</v>
      </c>
      <c r="J5791">
        <v>-284.8759</v>
      </c>
      <c r="K5791">
        <v>1.129238</v>
      </c>
      <c r="L5791">
        <v>-60.948180000000001</v>
      </c>
      <c r="M5791">
        <v>0.96433040000000003</v>
      </c>
      <c r="N5791">
        <v>-1.528844E-2</v>
      </c>
      <c r="O5791">
        <v>-0.26425979999999999</v>
      </c>
      <c r="P5791">
        <v>0.99065020000000004</v>
      </c>
      <c r="Q5791">
        <v>0.104295</v>
      </c>
      <c r="R5791">
        <v>-8.7949070000000004E-2</v>
      </c>
      <c r="S5791">
        <v>3.0296020000000001</v>
      </c>
      <c r="T5791">
        <v>-8.8120939999999995E-2</v>
      </c>
      <c r="U5791">
        <v>-8.7799070000000007E-2</v>
      </c>
      <c r="V5791">
        <v>-0.179427</v>
      </c>
      <c r="W5791">
        <v>0.1155581</v>
      </c>
      <c r="X5791">
        <v>0.97696070000000002</v>
      </c>
      <c r="Y5791">
        <v>-0.23606740000000001</v>
      </c>
      <c r="Z5791">
        <v>8.7641579999999993E-3</v>
      </c>
      <c r="AA5791">
        <v>0.97169720000000004</v>
      </c>
      <c r="AB5791">
        <v>26</v>
      </c>
      <c r="AC5791">
        <v>38.687100000000001</v>
      </c>
      <c r="AD5791">
        <v>-1.1292400832489999</v>
      </c>
      <c r="AE5791">
        <v>-1.0933199999999901</v>
      </c>
      <c r="AF5791">
        <v>-9.1623947681462692</v>
      </c>
      <c r="AG5791">
        <v>-1.1292400832489999</v>
      </c>
      <c r="AH5791">
        <v>37.568476997248602</v>
      </c>
      <c r="AI5791">
        <v>91.672690325902494</v>
      </c>
      <c r="AJ5791">
        <v>103.706027644797</v>
      </c>
      <c r="AK5791">
        <v>38.686110232818201</v>
      </c>
      <c r="AL5791">
        <v>83.364183334875605</v>
      </c>
      <c r="AM5791">
        <v>100.40687386136</v>
      </c>
      <c r="AN5791">
        <v>0.999999966074549</v>
      </c>
    </row>
    <row r="5792" spans="1:40" x14ac:dyDescent="0.25">
      <c r="A5792" t="str">
        <f>"20190303162417926"</f>
        <v>20190303162417926</v>
      </c>
      <c r="B5792" t="str">
        <f>"1551601457910297"</f>
        <v>1551601457910297</v>
      </c>
      <c r="C5792" t="s">
        <v>40</v>
      </c>
      <c r="D5792">
        <v>5.4313770000000003</v>
      </c>
      <c r="E5792">
        <v>0.47616930000000002</v>
      </c>
      <c r="F5792" t="s">
        <v>63</v>
      </c>
      <c r="G5792">
        <v>-242.47409999999999</v>
      </c>
      <c r="H5792" s="1">
        <v>-4.6844119999999999E-7</v>
      </c>
      <c r="I5792">
        <v>-61.961820000000003</v>
      </c>
      <c r="J5792">
        <v>-284.73070000000001</v>
      </c>
      <c r="K5792">
        <v>1.129157</v>
      </c>
      <c r="L5792">
        <v>-60.980829999999997</v>
      </c>
      <c r="M5792">
        <v>0.96608669999999996</v>
      </c>
      <c r="N5792">
        <v>-1.527064E-2</v>
      </c>
      <c r="O5792">
        <v>-0.2577662</v>
      </c>
      <c r="P5792">
        <v>0.9909095</v>
      </c>
      <c r="Q5792">
        <v>0.1053075</v>
      </c>
      <c r="R5792">
        <v>-8.3718710000000002E-2</v>
      </c>
      <c r="S5792">
        <v>3.0304259999999998</v>
      </c>
      <c r="T5792">
        <v>-8.0705879999999994E-2</v>
      </c>
      <c r="U5792">
        <v>-7.2448730000000003E-2</v>
      </c>
      <c r="V5792">
        <v>-0.1769879</v>
      </c>
      <c r="W5792">
        <v>0.1166479</v>
      </c>
      <c r="X5792">
        <v>0.97727609999999998</v>
      </c>
      <c r="Y5792">
        <v>-0.2344852</v>
      </c>
      <c r="Z5792">
        <v>7.7384580000000001E-3</v>
      </c>
      <c r="AA5792">
        <v>0.97208890000000003</v>
      </c>
      <c r="AB5792">
        <v>26</v>
      </c>
      <c r="AC5792">
        <v>42.256599999999999</v>
      </c>
      <c r="AD5792">
        <v>-1.1291574684412</v>
      </c>
      <c r="AE5792">
        <v>-0.98098999999999104</v>
      </c>
      <c r="AF5792">
        <v>-9.9386681915966708</v>
      </c>
      <c r="AG5792">
        <v>-1.1291574684412</v>
      </c>
      <c r="AH5792">
        <v>41.051896344180498</v>
      </c>
      <c r="AI5792">
        <v>91.531341290244299</v>
      </c>
      <c r="AJ5792">
        <v>103.60945242370499</v>
      </c>
      <c r="AK5792">
        <v>42.252932625612303</v>
      </c>
      <c r="AL5792">
        <v>83.301317549027402</v>
      </c>
      <c r="AM5792">
        <v>100.265190968727</v>
      </c>
      <c r="AN5792">
        <v>1.00000001247601</v>
      </c>
    </row>
    <row r="5793" spans="1:40" x14ac:dyDescent="0.25">
      <c r="A5793" t="str">
        <f>"20190303162417938"</f>
        <v>20190303162417938</v>
      </c>
      <c r="B5793" t="str">
        <f>"1551601457930793"</f>
        <v>1551601457930793</v>
      </c>
      <c r="C5793" t="s">
        <v>40</v>
      </c>
      <c r="D5793">
        <v>5.3715830000000002</v>
      </c>
      <c r="E5793">
        <v>0.47654580000000002</v>
      </c>
      <c r="F5793" t="s">
        <v>63</v>
      </c>
      <c r="G5793">
        <v>-241.35640000000001</v>
      </c>
      <c r="H5793" s="1">
        <v>4.3731229999999997E-8</v>
      </c>
      <c r="I5793">
        <v>-61.838940000000001</v>
      </c>
      <c r="J5793">
        <v>-284.5865</v>
      </c>
      <c r="K5793">
        <v>1.12906</v>
      </c>
      <c r="L5793">
        <v>-61.012180000000001</v>
      </c>
      <c r="M5793">
        <v>0.96776130000000005</v>
      </c>
      <c r="N5793">
        <v>-1.525118E-2</v>
      </c>
      <c r="O5793">
        <v>-0.2514073</v>
      </c>
      <c r="P5793">
        <v>0.99117770000000005</v>
      </c>
      <c r="Q5793">
        <v>0.10598</v>
      </c>
      <c r="R5793">
        <v>-7.9594040000000005E-2</v>
      </c>
      <c r="S5793">
        <v>3.0308839999999999</v>
      </c>
      <c r="T5793">
        <v>-7.8902719999999996E-2</v>
      </c>
      <c r="U5793">
        <v>-5.9967039999999999E-2</v>
      </c>
      <c r="V5793">
        <v>-0.174591</v>
      </c>
      <c r="W5793">
        <v>0.1173971</v>
      </c>
      <c r="X5793">
        <v>0.97761739999999997</v>
      </c>
      <c r="Y5793">
        <v>-0.23210430000000001</v>
      </c>
      <c r="Z5793">
        <v>7.4091769999999899E-3</v>
      </c>
      <c r="AA5793">
        <v>0.97266269999999999</v>
      </c>
      <c r="AB5793">
        <v>26</v>
      </c>
      <c r="AC5793">
        <v>43.230099999999901</v>
      </c>
      <c r="AD5793">
        <v>-1.12905995626877</v>
      </c>
      <c r="AE5793">
        <v>-0.82675999999999294</v>
      </c>
      <c r="AF5793">
        <v>-10.0625653233341</v>
      </c>
      <c r="AG5793">
        <v>-1.12905995626877</v>
      </c>
      <c r="AH5793">
        <v>42.020505824952103</v>
      </c>
      <c r="AI5793">
        <v>91.496825610745404</v>
      </c>
      <c r="AJ5793">
        <v>103.4669070496</v>
      </c>
      <c r="AK5793">
        <v>43.223291256636799</v>
      </c>
      <c r="AL5793">
        <v>83.258094076318102</v>
      </c>
      <c r="AM5793">
        <v>100.12560676578001</v>
      </c>
      <c r="AN5793">
        <v>0.99999993857608305</v>
      </c>
    </row>
    <row r="5794" spans="1:40" x14ac:dyDescent="0.25">
      <c r="A5794" t="str">
        <f>"20190303162417954"</f>
        <v>20190303162417954</v>
      </c>
      <c r="B5794" t="str">
        <f>"1551601457940552"</f>
        <v>1551601457940552</v>
      </c>
      <c r="C5794" t="s">
        <v>40</v>
      </c>
      <c r="D5794">
        <v>5.4064629999999996</v>
      </c>
      <c r="E5794">
        <v>0.47621140000000001</v>
      </c>
      <c r="F5794" t="s">
        <v>63</v>
      </c>
      <c r="G5794">
        <v>-243.96809999999999</v>
      </c>
      <c r="H5794" s="1">
        <v>-1.039127E-6</v>
      </c>
      <c r="I5794">
        <v>-61.697800000000001</v>
      </c>
      <c r="J5794">
        <v>-284.42360000000002</v>
      </c>
      <c r="K5794">
        <v>1.1289439999999999</v>
      </c>
      <c r="L5794">
        <v>-61.04645</v>
      </c>
      <c r="M5794">
        <v>0.9695762</v>
      </c>
      <c r="N5794">
        <v>-1.5227070000000001E-2</v>
      </c>
      <c r="O5794">
        <v>-0.24431559999999999</v>
      </c>
      <c r="P5794">
        <v>0.9916642</v>
      </c>
      <c r="Q5794">
        <v>0.10387680000000001</v>
      </c>
      <c r="R5794">
        <v>-7.6234659999999996E-2</v>
      </c>
      <c r="S5794">
        <v>3.031647</v>
      </c>
      <c r="T5794">
        <v>-8.4269999999999998E-2</v>
      </c>
      <c r="U5794">
        <v>-5.1177979999999998E-2</v>
      </c>
      <c r="V5794">
        <v>-0.17071720000000001</v>
      </c>
      <c r="W5794">
        <v>0.11541129999999999</v>
      </c>
      <c r="X5794">
        <v>0.97853760000000001</v>
      </c>
      <c r="Y5794">
        <v>-0.22778870000000001</v>
      </c>
      <c r="Z5794">
        <v>7.8833519999999997E-3</v>
      </c>
      <c r="AA5794">
        <v>0.97367859999999995</v>
      </c>
      <c r="AB5794">
        <v>26</v>
      </c>
      <c r="AC5794">
        <v>40.455500000000001</v>
      </c>
      <c r="AD5794">
        <v>-1.1289450391269999</v>
      </c>
      <c r="AE5794">
        <v>-0.65134999999999998</v>
      </c>
      <c r="AF5794">
        <v>-9.24625067941186</v>
      </c>
      <c r="AG5794">
        <v>-1.1289450391269999</v>
      </c>
      <c r="AH5794">
        <v>39.357750511462598</v>
      </c>
      <c r="AI5794">
        <v>91.599509104260505</v>
      </c>
      <c r="AJ5794">
        <v>103.22065975791401</v>
      </c>
      <c r="AK5794">
        <v>40.445026812334099</v>
      </c>
      <c r="AL5794">
        <v>83.372651120499299</v>
      </c>
      <c r="AM5794">
        <v>99.896309365140297</v>
      </c>
      <c r="AN5794">
        <v>0.99999998257864398</v>
      </c>
    </row>
    <row r="5795" spans="1:40" x14ac:dyDescent="0.25">
      <c r="A5795" t="str">
        <f>"20190303162417964"</f>
        <v>20190303162417964</v>
      </c>
      <c r="B5795" t="str">
        <f>"1551601457950313"</f>
        <v>1551601457950313</v>
      </c>
      <c r="C5795" t="s">
        <v>40</v>
      </c>
      <c r="D5795">
        <v>5.3395900000000003</v>
      </c>
      <c r="E5795">
        <v>0.4760954</v>
      </c>
      <c r="F5795" t="s">
        <v>63</v>
      </c>
      <c r="G5795">
        <v>-246.54239999999999</v>
      </c>
      <c r="H5795" s="1">
        <v>-2.1015659999999998E-6</v>
      </c>
      <c r="I5795">
        <v>-61.540199999999999</v>
      </c>
      <c r="J5795">
        <v>-284.29450000000003</v>
      </c>
      <c r="K5795">
        <v>1.1288450000000001</v>
      </c>
      <c r="L5795">
        <v>-61.073030000000003</v>
      </c>
      <c r="M5795">
        <v>0.97096309999999997</v>
      </c>
      <c r="N5795">
        <v>-1.52076E-2</v>
      </c>
      <c r="O5795">
        <v>-0.2387454</v>
      </c>
      <c r="P5795">
        <v>0.99197809999999997</v>
      </c>
      <c r="Q5795">
        <v>0.10330209999999999</v>
      </c>
      <c r="R5795">
        <v>-7.2857000000000005E-2</v>
      </c>
      <c r="S5795">
        <v>3.0316160000000001</v>
      </c>
      <c r="T5795">
        <v>-9.0349319999999997E-2</v>
      </c>
      <c r="U5795">
        <v>-3.9520260000000001E-2</v>
      </c>
      <c r="V5795">
        <v>-0.16840279999999999</v>
      </c>
      <c r="W5795">
        <v>0.1149107</v>
      </c>
      <c r="X5795">
        <v>0.97899749999999996</v>
      </c>
      <c r="Y5795">
        <v>-0.22592029999999999</v>
      </c>
      <c r="Z5795">
        <v>8.4840680000000009E-3</v>
      </c>
      <c r="AA5795">
        <v>0.9741088</v>
      </c>
      <c r="AB5795">
        <v>26</v>
      </c>
      <c r="AC5795">
        <v>37.752099999999999</v>
      </c>
      <c r="AD5795">
        <v>-1.128847101566</v>
      </c>
      <c r="AE5795">
        <v>-0.46716999999999498</v>
      </c>
      <c r="AF5795">
        <v>-8.5528794410067803</v>
      </c>
      <c r="AG5795">
        <v>-1.128847101566</v>
      </c>
      <c r="AH5795">
        <v>36.738840174880501</v>
      </c>
      <c r="AI5795">
        <v>91.714122538908697</v>
      </c>
      <c r="AJ5795">
        <v>103.10515351096601</v>
      </c>
      <c r="AK5795">
        <v>37.738156021545699</v>
      </c>
      <c r="AL5795">
        <v>83.401525865112106</v>
      </c>
      <c r="AM5795">
        <v>99.760246988843093</v>
      </c>
      <c r="AN5795">
        <v>1.00000003851428</v>
      </c>
    </row>
    <row r="5796" spans="1:40" x14ac:dyDescent="0.25">
      <c r="A5796" t="str">
        <f>"20190303162417975"</f>
        <v>20190303162417975</v>
      </c>
      <c r="B5796" t="str">
        <f>"1551601457970809"</f>
        <v>1551601457970809</v>
      </c>
      <c r="C5796" t="s">
        <v>40</v>
      </c>
      <c r="D5796">
        <v>5.3402629999999904</v>
      </c>
      <c r="E5796">
        <v>0.47595389999999999</v>
      </c>
      <c r="F5796" t="s">
        <v>63</v>
      </c>
      <c r="G5796">
        <v>-246.49170000000001</v>
      </c>
      <c r="H5796" s="1">
        <v>-2.0496479999999999E-6</v>
      </c>
      <c r="I5796">
        <v>-61.426859999999998</v>
      </c>
      <c r="J5796">
        <v>-284.16500000000002</v>
      </c>
      <c r="K5796">
        <v>1.128736</v>
      </c>
      <c r="L5796">
        <v>-61.098660000000002</v>
      </c>
      <c r="M5796">
        <v>0.97229540000000003</v>
      </c>
      <c r="N5796">
        <v>-1.518592E-2</v>
      </c>
      <c r="O5796">
        <v>-0.23326179999999999</v>
      </c>
      <c r="P5796">
        <v>0.99218119999999999</v>
      </c>
      <c r="Q5796">
        <v>0.1034882</v>
      </c>
      <c r="R5796">
        <v>-6.9761740000000003E-2</v>
      </c>
      <c r="S5796">
        <v>3.031647</v>
      </c>
      <c r="T5796">
        <v>-9.0529559999999995E-2</v>
      </c>
      <c r="U5796">
        <v>-2.838135E-2</v>
      </c>
      <c r="V5796">
        <v>-0.1658964</v>
      </c>
      <c r="W5796">
        <v>0.1151745</v>
      </c>
      <c r="X5796">
        <v>0.97939430000000005</v>
      </c>
      <c r="Y5796">
        <v>-0.22400200000000001</v>
      </c>
      <c r="Z5796">
        <v>8.3906999999999992E-3</v>
      </c>
      <c r="AA5796">
        <v>0.97455259999999999</v>
      </c>
      <c r="AB5796">
        <v>26</v>
      </c>
      <c r="AC5796">
        <v>37.673299999999998</v>
      </c>
      <c r="AD5796">
        <v>-1.128738049648</v>
      </c>
      <c r="AE5796">
        <v>-0.32820000000000199</v>
      </c>
      <c r="AF5796">
        <v>-8.4620154094484992</v>
      </c>
      <c r="AG5796">
        <v>-1.128738049648</v>
      </c>
      <c r="AH5796">
        <v>36.677443624868602</v>
      </c>
      <c r="AI5796">
        <v>91.7176124536158</v>
      </c>
      <c r="AJ5796">
        <v>102.991635525972</v>
      </c>
      <c r="AK5796">
        <v>37.657862727853797</v>
      </c>
      <c r="AL5796">
        <v>83.386309879556293</v>
      </c>
      <c r="AM5796">
        <v>99.613891157317696</v>
      </c>
      <c r="AN5796">
        <v>0.99999998792785005</v>
      </c>
    </row>
    <row r="5797" spans="1:40" x14ac:dyDescent="0.25">
      <c r="A5797" t="str">
        <f>"20190303162417988"</f>
        <v>20190303162417988</v>
      </c>
      <c r="B5797" t="str">
        <f>"1551601457980568"</f>
        <v>1551601457980568</v>
      </c>
      <c r="C5797" t="s">
        <v>40</v>
      </c>
      <c r="D5797">
        <v>5.3378750000000004</v>
      </c>
      <c r="E5797">
        <v>0.47605340000000002</v>
      </c>
      <c r="F5797" t="s">
        <v>63</v>
      </c>
      <c r="G5797">
        <v>-246.15</v>
      </c>
      <c r="H5797" s="1">
        <v>-1.873849E-6</v>
      </c>
      <c r="I5797">
        <v>-61.317100000000003</v>
      </c>
      <c r="J5797">
        <v>-284.03320000000002</v>
      </c>
      <c r="K5797">
        <v>1.1286179999999999</v>
      </c>
      <c r="L5797">
        <v>-61.124209999999998</v>
      </c>
      <c r="M5797">
        <v>0.97360469999999999</v>
      </c>
      <c r="N5797">
        <v>-1.516354E-2</v>
      </c>
      <c r="O5797">
        <v>-0.22773640000000001</v>
      </c>
      <c r="P5797">
        <v>0.99222739999999998</v>
      </c>
      <c r="Q5797">
        <v>0.1047265</v>
      </c>
      <c r="R5797">
        <v>-6.7209619999999998E-2</v>
      </c>
      <c r="S5797">
        <v>3.0317690000000002</v>
      </c>
      <c r="T5797">
        <v>-9.0019109999999999E-2</v>
      </c>
      <c r="U5797">
        <v>-1.742554E-2</v>
      </c>
      <c r="V5797">
        <v>-0.16280989999999901</v>
      </c>
      <c r="W5797">
        <v>0.1165007</v>
      </c>
      <c r="X5797">
        <v>0.9797553</v>
      </c>
      <c r="Y5797">
        <v>-0.22199260000000001</v>
      </c>
      <c r="Z5797">
        <v>8.2163340000000005E-3</v>
      </c>
      <c r="AA5797">
        <v>0.97501369999999998</v>
      </c>
      <c r="AB5797">
        <v>26</v>
      </c>
      <c r="AC5797">
        <v>37.883200000000002</v>
      </c>
      <c r="AD5797">
        <v>-1.1286198738490001</v>
      </c>
      <c r="AE5797">
        <v>-0.192890000000005</v>
      </c>
      <c r="AF5797">
        <v>-8.4330710456196094</v>
      </c>
      <c r="AG5797">
        <v>-1.1286198738490001</v>
      </c>
      <c r="AH5797">
        <v>36.898688100056503</v>
      </c>
      <c r="AI5797">
        <v>91.707948065844207</v>
      </c>
      <c r="AJ5797">
        <v>102.873651583335</v>
      </c>
      <c r="AK5797">
        <v>37.8669203076428</v>
      </c>
      <c r="AL5797">
        <v>83.309809047735598</v>
      </c>
      <c r="AM5797">
        <v>99.434857640811401</v>
      </c>
      <c r="AN5797">
        <v>0.99999996225829402</v>
      </c>
    </row>
    <row r="5798" spans="1:40" x14ac:dyDescent="0.25">
      <c r="A5798" t="str">
        <f>"20190303162417998"</f>
        <v>20190303162417998</v>
      </c>
      <c r="B5798" t="str">
        <f>"1551601457990329"</f>
        <v>1551601457990329</v>
      </c>
      <c r="C5798" t="s">
        <v>40</v>
      </c>
      <c r="D5798">
        <v>5.2994269999999997</v>
      </c>
      <c r="E5798">
        <v>0.47636050000000002</v>
      </c>
      <c r="F5798" t="s">
        <v>63</v>
      </c>
      <c r="G5798">
        <v>-244.66069999999999</v>
      </c>
      <c r="H5798" s="1">
        <v>-1.2176439999999999E-6</v>
      </c>
      <c r="I5798">
        <v>-61.252139999999997</v>
      </c>
      <c r="J5798">
        <v>-283.91469999999998</v>
      </c>
      <c r="K5798">
        <v>1.128512</v>
      </c>
      <c r="L5798">
        <v>-61.146610000000003</v>
      </c>
      <c r="M5798">
        <v>0.97473849999999995</v>
      </c>
      <c r="N5798">
        <v>-1.5142640000000001E-2</v>
      </c>
      <c r="O5798">
        <v>-0.22283520000000001</v>
      </c>
      <c r="P5798">
        <v>0.99223899999999998</v>
      </c>
      <c r="Q5798">
        <v>0.10585360000000001</v>
      </c>
      <c r="R5798">
        <v>-6.5246499999999999E-2</v>
      </c>
      <c r="S5798">
        <v>3.0320130000000001</v>
      </c>
      <c r="T5798">
        <v>-8.6913110000000002E-2</v>
      </c>
      <c r="U5798">
        <v>-9.8571779999999994E-3</v>
      </c>
      <c r="V5798">
        <v>-0.15977749999999999</v>
      </c>
      <c r="W5798">
        <v>0.117711999999999</v>
      </c>
      <c r="X5798">
        <v>0.98010969999999997</v>
      </c>
      <c r="Y5798">
        <v>-0.2195339</v>
      </c>
      <c r="Z5798">
        <v>7.7576829999999996E-3</v>
      </c>
      <c r="AA5798">
        <v>0.97557400000000005</v>
      </c>
      <c r="AB5798">
        <v>26</v>
      </c>
      <c r="AC5798">
        <v>39.253999999999898</v>
      </c>
      <c r="AD5798">
        <v>-1.128513217644</v>
      </c>
      <c r="AE5798">
        <v>-0.10553000000000801</v>
      </c>
      <c r="AF5798">
        <v>-8.6381607271151992</v>
      </c>
      <c r="AG5798">
        <v>-1.128513217644</v>
      </c>
      <c r="AH5798">
        <v>38.258670937920797</v>
      </c>
      <c r="AI5798">
        <v>91.648097071856398</v>
      </c>
      <c r="AJ5798">
        <v>102.723081786834</v>
      </c>
      <c r="AK5798">
        <v>39.237956939244199</v>
      </c>
      <c r="AL5798">
        <v>83.239926040177394</v>
      </c>
      <c r="AM5798">
        <v>99.258912106187594</v>
      </c>
      <c r="AN5798">
        <v>0.99999999424217001</v>
      </c>
    </row>
    <row r="5799" spans="1:40" x14ac:dyDescent="0.25">
      <c r="A5799" t="str">
        <f>"20190303162418009"</f>
        <v>20190303162418009</v>
      </c>
      <c r="B5799" t="str">
        <f>"1551601458001065"</f>
        <v>1551601458001065</v>
      </c>
      <c r="C5799" t="s">
        <v>40</v>
      </c>
      <c r="D5799">
        <v>5.2960839999999996</v>
      </c>
      <c r="E5799">
        <v>0.47668300000000002</v>
      </c>
      <c r="F5799" t="s">
        <v>63</v>
      </c>
      <c r="G5799">
        <v>-243.7191</v>
      </c>
      <c r="H5799" s="1">
        <v>-8.0702559999999902E-7</v>
      </c>
      <c r="I5799">
        <v>-61.227049999999998</v>
      </c>
      <c r="J5799">
        <v>-283.78879999999998</v>
      </c>
      <c r="K5799">
        <v>1.128395</v>
      </c>
      <c r="L5799">
        <v>-61.169710000000002</v>
      </c>
      <c r="M5799">
        <v>0.97589559999999997</v>
      </c>
      <c r="N5799">
        <v>-1.5119280000000001E-2</v>
      </c>
      <c r="O5799">
        <v>-0.21771380000000001</v>
      </c>
      <c r="P5799">
        <v>0.99227430000000005</v>
      </c>
      <c r="Q5799">
        <v>0.1067124</v>
      </c>
      <c r="R5799">
        <v>-6.3279559999999999E-2</v>
      </c>
      <c r="S5799">
        <v>3.0321660000000001</v>
      </c>
      <c r="T5799">
        <v>-8.5129620000000003E-2</v>
      </c>
      <c r="U5799">
        <v>-6.0729979999999996E-3</v>
      </c>
      <c r="V5799">
        <v>-0.15652940000000001</v>
      </c>
      <c r="W5799">
        <v>0.1186599</v>
      </c>
      <c r="X5799">
        <v>0.98051940000000004</v>
      </c>
      <c r="Y5799">
        <v>-0.21563599999999999</v>
      </c>
      <c r="Z5799">
        <v>7.419223E-3</v>
      </c>
      <c r="AA5799">
        <v>0.97644560000000002</v>
      </c>
      <c r="AB5799">
        <v>26</v>
      </c>
      <c r="AC5799">
        <v>40.069699999999898</v>
      </c>
      <c r="AD5799">
        <v>-1.1283958070255999</v>
      </c>
      <c r="AE5799">
        <v>-5.7340000000003499E-2</v>
      </c>
      <c r="AF5799">
        <v>-8.6618900278305393</v>
      </c>
      <c r="AG5799">
        <v>-1.1283958070255999</v>
      </c>
      <c r="AH5799">
        <v>39.089797632622101</v>
      </c>
      <c r="AI5799">
        <v>91.6143469862714</v>
      </c>
      <c r="AJ5799">
        <v>102.494258599866</v>
      </c>
      <c r="AK5799">
        <v>40.0538873882535</v>
      </c>
      <c r="AL5799">
        <v>83.185231805518498</v>
      </c>
      <c r="AM5799">
        <v>99.070123312036401</v>
      </c>
      <c r="AN5799">
        <v>0.99999995935436403</v>
      </c>
    </row>
    <row r="5800" spans="1:40" x14ac:dyDescent="0.25">
      <c r="A5800" t="str">
        <f>"20190303162418019"</f>
        <v>20190303162418019</v>
      </c>
      <c r="B5800" t="str">
        <f>"1551601458010826"</f>
        <v>1551601458010826</v>
      </c>
      <c r="C5800" t="s">
        <v>40</v>
      </c>
      <c r="D5800">
        <v>5.3028490000000001</v>
      </c>
      <c r="E5800">
        <v>0.47704960000000002</v>
      </c>
      <c r="F5800" t="s">
        <v>63</v>
      </c>
      <c r="G5800">
        <v>-242.3708</v>
      </c>
      <c r="H5800" s="1">
        <v>-2.224285E-7</v>
      </c>
      <c r="I5800">
        <v>-61.203819999999901</v>
      </c>
      <c r="J5800">
        <v>-283.66750000000002</v>
      </c>
      <c r="K5800">
        <v>1.1282749999999999</v>
      </c>
      <c r="L5800">
        <v>-61.191589999999998</v>
      </c>
      <c r="M5800">
        <v>0.9769719</v>
      </c>
      <c r="N5800">
        <v>-1.509658E-2</v>
      </c>
      <c r="O5800">
        <v>-0.21283270000000001</v>
      </c>
      <c r="P5800">
        <v>0.99245289999999997</v>
      </c>
      <c r="Q5800">
        <v>0.1062758</v>
      </c>
      <c r="R5800">
        <v>-6.1178059999999999E-2</v>
      </c>
      <c r="S5800">
        <v>3.0320740000000002</v>
      </c>
      <c r="T5800">
        <v>-8.2606079999999998E-2</v>
      </c>
      <c r="U5800">
        <v>-2.5024410000000002E-3</v>
      </c>
      <c r="V5800">
        <v>-0.15366740000000001</v>
      </c>
      <c r="W5800">
        <v>0.1183048</v>
      </c>
      <c r="X5800">
        <v>0.98101490000000002</v>
      </c>
      <c r="Y5800">
        <v>-0.21191399999999999</v>
      </c>
      <c r="Z5800">
        <v>7.0182810000000003E-3</v>
      </c>
      <c r="AA5800">
        <v>0.97726310000000005</v>
      </c>
      <c r="AB5800">
        <v>26</v>
      </c>
      <c r="AC5800">
        <v>41.296700000000001</v>
      </c>
      <c r="AD5800">
        <v>-1.1282752224285</v>
      </c>
      <c r="AE5800">
        <v>-1.2229999999988099E-2</v>
      </c>
      <c r="AF5800">
        <v>-8.7717935503735198</v>
      </c>
      <c r="AG5800">
        <v>-1.1282752224285</v>
      </c>
      <c r="AH5800">
        <v>40.322823019695399</v>
      </c>
      <c r="AI5800">
        <v>91.566167425686004</v>
      </c>
      <c r="AJ5800">
        <v>102.272863377151</v>
      </c>
      <c r="AK5800">
        <v>41.281320513588199</v>
      </c>
      <c r="AL5800">
        <v>83.205721903512497</v>
      </c>
      <c r="AM5800">
        <v>98.902540559457094</v>
      </c>
      <c r="AN5800">
        <v>0.99999996477390396</v>
      </c>
    </row>
    <row r="5801" spans="1:40" x14ac:dyDescent="0.25">
      <c r="A5801" t="str">
        <f>"20190303162418031"</f>
        <v>20190303162418031</v>
      </c>
      <c r="B5801" t="str">
        <f>"1551601458020585"</f>
        <v>1551601458020585</v>
      </c>
      <c r="C5801" t="s">
        <v>40</v>
      </c>
      <c r="D5801">
        <v>5.3028430000000002</v>
      </c>
      <c r="E5801">
        <v>0.47736699999999999</v>
      </c>
      <c r="F5801" t="s">
        <v>63</v>
      </c>
      <c r="G5801">
        <v>-243.7184</v>
      </c>
      <c r="H5801" s="1">
        <v>-7.9449419999999905E-7</v>
      </c>
      <c r="I5801">
        <v>-61.181069999999998</v>
      </c>
      <c r="J5801">
        <v>-283.54300000000001</v>
      </c>
      <c r="K5801">
        <v>1.128139</v>
      </c>
      <c r="L5801">
        <v>-61.213200000000001</v>
      </c>
      <c r="M5801">
        <v>0.97802409999999995</v>
      </c>
      <c r="N5801">
        <v>-1.507141E-2</v>
      </c>
      <c r="O5801">
        <v>-0.2079471</v>
      </c>
      <c r="P5801">
        <v>0.9927127</v>
      </c>
      <c r="Q5801">
        <v>0.1051682</v>
      </c>
      <c r="R5801">
        <v>-5.8831870000000001E-2</v>
      </c>
      <c r="S5801">
        <v>3.0320429999999998</v>
      </c>
      <c r="T5801">
        <v>-8.5633520000000005E-2</v>
      </c>
      <c r="U5801">
        <v>7.9345700000000002E-4</v>
      </c>
      <c r="V5801">
        <v>-0.15104529999999999</v>
      </c>
      <c r="W5801">
        <v>0.1172749</v>
      </c>
      <c r="X5801">
        <v>0.98154569999999997</v>
      </c>
      <c r="Y5801">
        <v>-0.20808280000000001</v>
      </c>
      <c r="Z5801">
        <v>7.1946469999999898E-3</v>
      </c>
      <c r="AA5801">
        <v>0.97808470000000003</v>
      </c>
      <c r="AB5801">
        <v>26</v>
      </c>
      <c r="AC5801">
        <v>39.824599999999997</v>
      </c>
      <c r="AD5801">
        <v>-1.1281397944942</v>
      </c>
      <c r="AE5801">
        <v>3.2130000000002198E-2</v>
      </c>
      <c r="AF5801">
        <v>-8.3071109786480104</v>
      </c>
      <c r="AG5801">
        <v>-1.1281397944942</v>
      </c>
      <c r="AH5801">
        <v>38.915926899983397</v>
      </c>
      <c r="AI5801">
        <v>91.623925260734893</v>
      </c>
      <c r="AJ5801">
        <v>102.04968157635</v>
      </c>
      <c r="AK5801">
        <v>39.808669391130699</v>
      </c>
      <c r="AL5801">
        <v>83.265144893439498</v>
      </c>
      <c r="AM5801">
        <v>98.748344489414507</v>
      </c>
      <c r="AN5801">
        <v>1.0000000230052899</v>
      </c>
    </row>
    <row r="5802" spans="1:40" x14ac:dyDescent="0.25">
      <c r="A5802" t="str">
        <f>"20190303162418043"</f>
        <v>20190303162418043</v>
      </c>
      <c r="B5802" t="str">
        <f>"1551601458031320"</f>
        <v>1551601458031320</v>
      </c>
      <c r="C5802" t="s">
        <v>40</v>
      </c>
      <c r="D5802">
        <v>5.2801530000000003</v>
      </c>
      <c r="E5802">
        <v>0.47753509999999999</v>
      </c>
      <c r="F5802" t="s">
        <v>63</v>
      </c>
      <c r="G5802">
        <v>-245.46809999999999</v>
      </c>
      <c r="H5802" s="1">
        <v>-1.535686E-6</v>
      </c>
      <c r="I5802">
        <v>-61.145679999999999</v>
      </c>
      <c r="J5802">
        <v>-283.41050000000001</v>
      </c>
      <c r="K5802">
        <v>1.1279939999999999</v>
      </c>
      <c r="L5802">
        <v>-61.235930000000003</v>
      </c>
      <c r="M5802">
        <v>0.97910839999999999</v>
      </c>
      <c r="N5802">
        <v>-1.50452E-2</v>
      </c>
      <c r="O5802">
        <v>-0.20278180000000001</v>
      </c>
      <c r="P5802">
        <v>0.99307659999999998</v>
      </c>
      <c r="Q5802">
        <v>0.1030454</v>
      </c>
      <c r="R5802">
        <v>-5.6398469999999999E-2</v>
      </c>
      <c r="S5802">
        <v>3.03186</v>
      </c>
      <c r="T5802">
        <v>-8.9832430000000005E-2</v>
      </c>
      <c r="U5802">
        <v>5.3710939999999999E-3</v>
      </c>
      <c r="V5802">
        <v>-0.14823220000000001</v>
      </c>
      <c r="W5802">
        <v>0.11523650000000001</v>
      </c>
      <c r="X5802">
        <v>0.98221579999999997</v>
      </c>
      <c r="Y5802">
        <v>-0.2043837</v>
      </c>
      <c r="Z5802">
        <v>7.4744319999999996E-3</v>
      </c>
      <c r="AA5802">
        <v>0.97886229999999996</v>
      </c>
      <c r="AB5802">
        <v>26</v>
      </c>
      <c r="AC5802">
        <v>37.942399999999999</v>
      </c>
      <c r="AD5802">
        <v>-1.1279955356860001</v>
      </c>
      <c r="AE5802">
        <v>9.0249999999997499E-2</v>
      </c>
      <c r="AF5802">
        <v>-7.7764004404947897</v>
      </c>
      <c r="AG5802">
        <v>-1.1279955356860001</v>
      </c>
      <c r="AH5802">
        <v>37.102831169915099</v>
      </c>
      <c r="AI5802">
        <v>91.704352928953597</v>
      </c>
      <c r="AJ5802">
        <v>101.837304914539</v>
      </c>
      <c r="AK5802">
        <v>37.9257809222524</v>
      </c>
      <c r="AL5802">
        <v>83.382734188543097</v>
      </c>
      <c r="AM5802">
        <v>98.582093615474193</v>
      </c>
      <c r="AN5802">
        <v>1.0000000569093599</v>
      </c>
    </row>
    <row r="5803" spans="1:40" x14ac:dyDescent="0.25">
      <c r="A5803" t="str">
        <f>"20190303162418054"</f>
        <v>20190303162418054</v>
      </c>
      <c r="B5803" t="str">
        <f>"1551601458041081"</f>
        <v>1551601458041081</v>
      </c>
      <c r="C5803" t="s">
        <v>40</v>
      </c>
      <c r="D5803">
        <v>5.2885650000000002</v>
      </c>
      <c r="E5803">
        <v>0.47764990000000002</v>
      </c>
      <c r="F5803" t="s">
        <v>63</v>
      </c>
      <c r="G5803">
        <v>-248.4203</v>
      </c>
      <c r="H5803" s="1">
        <v>-2.7915779999999999E-6</v>
      </c>
      <c r="I5803">
        <v>-61.105899999999998</v>
      </c>
      <c r="J5803">
        <v>-283.27719999999999</v>
      </c>
      <c r="K5803">
        <v>1.1278360000000001</v>
      </c>
      <c r="L5803">
        <v>-61.257779999999997</v>
      </c>
      <c r="M5803">
        <v>0.9801339</v>
      </c>
      <c r="N5803">
        <v>-1.5015570000000001E-2</v>
      </c>
      <c r="O5803">
        <v>-0.19776840000000001</v>
      </c>
      <c r="P5803">
        <v>0.99344089999999996</v>
      </c>
      <c r="Q5803">
        <v>0.1005561</v>
      </c>
      <c r="R5803">
        <v>-5.4438859999999999E-2</v>
      </c>
      <c r="S5803">
        <v>3.0317080000000001</v>
      </c>
      <c r="T5803">
        <v>-9.7734689999999999E-2</v>
      </c>
      <c r="U5803">
        <v>1.126099E-2</v>
      </c>
      <c r="V5803">
        <v>-0.14510229999999999</v>
      </c>
      <c r="W5803">
        <v>0.1128371</v>
      </c>
      <c r="X5803">
        <v>0.98296139999999999</v>
      </c>
      <c r="Y5803">
        <v>-0.20124919999999999</v>
      </c>
      <c r="Z5803">
        <v>8.1134120000000004E-3</v>
      </c>
      <c r="AA5803">
        <v>0.97950649999999995</v>
      </c>
      <c r="AB5803">
        <v>26</v>
      </c>
      <c r="AC5803">
        <v>34.856900000000003</v>
      </c>
      <c r="AD5803">
        <v>-1.1278387915779999</v>
      </c>
      <c r="AE5803">
        <v>0.15188000000000501</v>
      </c>
      <c r="AF5803">
        <v>-7.0358832676776002</v>
      </c>
      <c r="AG5803">
        <v>-1.1278387915779999</v>
      </c>
      <c r="AH5803">
        <v>34.102534225506098</v>
      </c>
      <c r="AI5803">
        <v>91.855151584493797</v>
      </c>
      <c r="AJ5803">
        <v>101.65744329278699</v>
      </c>
      <c r="AK5803">
        <v>34.8390372182985</v>
      </c>
      <c r="AL5803">
        <v>83.521112053258406</v>
      </c>
      <c r="AM5803">
        <v>98.397215551026505</v>
      </c>
      <c r="AN5803">
        <v>1.0000000012458199</v>
      </c>
    </row>
    <row r="5804" spans="1:40" x14ac:dyDescent="0.25">
      <c r="A5804" t="str">
        <f>"20190303162418066"</f>
        <v>20190303162418066</v>
      </c>
      <c r="B5804" t="str">
        <f>"1551601458060601"</f>
        <v>1551601458060601</v>
      </c>
      <c r="C5804" t="s">
        <v>40</v>
      </c>
      <c r="D5804">
        <v>5.2224959999999996</v>
      </c>
      <c r="E5804">
        <v>0.47811169999999997</v>
      </c>
      <c r="F5804" t="s">
        <v>62</v>
      </c>
      <c r="G5804">
        <v>-251.32509999999999</v>
      </c>
      <c r="H5804" s="1">
        <v>1.3897559999999999E-7</v>
      </c>
      <c r="I5804">
        <v>-61.08699</v>
      </c>
      <c r="J5804">
        <v>-283.14870000000002</v>
      </c>
      <c r="K5804">
        <v>1.1276809999999999</v>
      </c>
      <c r="L5804">
        <v>-61.278559999999999</v>
      </c>
      <c r="M5804">
        <v>0.98108770000000001</v>
      </c>
      <c r="N5804">
        <v>-1.498771E-2</v>
      </c>
      <c r="O5804">
        <v>-0.19298290000000001</v>
      </c>
      <c r="P5804">
        <v>0.9937395</v>
      </c>
      <c r="Q5804">
        <v>9.8192130000000002E-2</v>
      </c>
      <c r="R5804">
        <v>-5.329532E-2</v>
      </c>
      <c r="S5804">
        <v>3.0315249999999998</v>
      </c>
      <c r="T5804">
        <v>-0.107006</v>
      </c>
      <c r="U5804">
        <v>1.620483E-2</v>
      </c>
      <c r="V5804">
        <v>-0.1413953</v>
      </c>
      <c r="W5804">
        <v>0.11057160000000001</v>
      </c>
      <c r="X5804">
        <v>0.98375869999999999</v>
      </c>
      <c r="Y5804">
        <v>-0.19803270000000001</v>
      </c>
      <c r="Z5804">
        <v>8.8516240000000006E-3</v>
      </c>
      <c r="AA5804">
        <v>0.98015540000000001</v>
      </c>
      <c r="AB5804">
        <v>26</v>
      </c>
      <c r="AC5804">
        <v>31.823599999999999</v>
      </c>
      <c r="AD5804">
        <v>-1.12768086102439</v>
      </c>
      <c r="AE5804">
        <v>0.19156999999999799</v>
      </c>
      <c r="AF5804">
        <v>-6.3221300669067801</v>
      </c>
      <c r="AG5804">
        <v>-1.12768086102439</v>
      </c>
      <c r="AH5804">
        <v>31.149162771500102</v>
      </c>
      <c r="AI5804">
        <v>92.031956965844699</v>
      </c>
      <c r="AJ5804">
        <v>101.473081444481</v>
      </c>
      <c r="AK5804">
        <v>31.804265972863099</v>
      </c>
      <c r="AL5804">
        <v>83.651732804599305</v>
      </c>
      <c r="AM5804">
        <v>98.179087879155304</v>
      </c>
      <c r="AN5804">
        <v>0.99999994470716802</v>
      </c>
    </row>
    <row r="5805" spans="1:40" x14ac:dyDescent="0.25">
      <c r="A5805" t="str">
        <f>"20190303162418077"</f>
        <v>20190303162418077</v>
      </c>
      <c r="B5805" t="str">
        <f>"1551601458071336"</f>
        <v>1551601458071336</v>
      </c>
      <c r="C5805" t="s">
        <v>40</v>
      </c>
      <c r="D5805">
        <v>5.2764639999999998</v>
      </c>
      <c r="E5805">
        <v>0.4783193</v>
      </c>
      <c r="F5805" t="s">
        <v>62</v>
      </c>
      <c r="G5805">
        <v>-253.8783</v>
      </c>
      <c r="H5805" s="1">
        <v>-9.6448950000000007E-7</v>
      </c>
      <c r="I5805">
        <v>-61.123570000000001</v>
      </c>
      <c r="J5805">
        <v>-283.02080000000001</v>
      </c>
      <c r="K5805">
        <v>1.1275219999999999</v>
      </c>
      <c r="L5805">
        <v>-61.298549999999999</v>
      </c>
      <c r="M5805">
        <v>0.98199060000000005</v>
      </c>
      <c r="N5805">
        <v>-1.4958819999999999E-2</v>
      </c>
      <c r="O5805">
        <v>-0.1883368</v>
      </c>
      <c r="P5805">
        <v>0.99393609999999999</v>
      </c>
      <c r="Q5805">
        <v>9.6595509999999996E-2</v>
      </c>
      <c r="R5805">
        <v>-5.2537199999999999E-2</v>
      </c>
      <c r="S5805">
        <v>3.0312809999999999</v>
      </c>
      <c r="T5805">
        <v>-0.1167842</v>
      </c>
      <c r="U5805">
        <v>1.6052250000000001E-2</v>
      </c>
      <c r="V5805">
        <v>-0.13744479999999901</v>
      </c>
      <c r="W5805">
        <v>0.109073</v>
      </c>
      <c r="X5805">
        <v>0.98448570000000002</v>
      </c>
      <c r="Y5805">
        <v>-0.19330629999999999</v>
      </c>
      <c r="Z5805">
        <v>9.5611120000000001E-3</v>
      </c>
      <c r="AA5805">
        <v>0.98109190000000002</v>
      </c>
      <c r="AB5805">
        <v>26</v>
      </c>
      <c r="AC5805">
        <v>29.142499999999998</v>
      </c>
      <c r="AD5805">
        <v>-1.1275229644895</v>
      </c>
      <c r="AE5805">
        <v>0.17498000000000499</v>
      </c>
      <c r="AF5805">
        <v>-5.6526060004099596</v>
      </c>
      <c r="AG5805">
        <v>-1.1275229644895</v>
      </c>
      <c r="AH5805">
        <v>28.545175619111198</v>
      </c>
      <c r="AI5805">
        <v>92.218941162605404</v>
      </c>
      <c r="AJ5805">
        <v>101.200983163207</v>
      </c>
      <c r="AK5805">
        <v>29.121303435066601</v>
      </c>
      <c r="AL5805">
        <v>83.7381194189811</v>
      </c>
      <c r="AM5805">
        <v>97.947736313231999</v>
      </c>
      <c r="AN5805">
        <v>1.00000004294026</v>
      </c>
    </row>
    <row r="5806" spans="1:40" x14ac:dyDescent="0.25">
      <c r="A5806" t="str">
        <f>"20190303162418088"</f>
        <v>20190303162418088</v>
      </c>
      <c r="B5806" t="str">
        <f>"1551601458081097"</f>
        <v>1551601458081097</v>
      </c>
      <c r="C5806" t="s">
        <v>40</v>
      </c>
      <c r="D5806">
        <v>5.2830430000000002</v>
      </c>
      <c r="E5806">
        <v>0.4784872</v>
      </c>
      <c r="F5806" t="s">
        <v>62</v>
      </c>
      <c r="G5806">
        <v>-255.0701</v>
      </c>
      <c r="H5806" s="1">
        <v>-1.480008E-6</v>
      </c>
      <c r="I5806">
        <v>-61.142650000000003</v>
      </c>
      <c r="J5806">
        <v>-282.89150000000001</v>
      </c>
      <c r="K5806">
        <v>1.12737</v>
      </c>
      <c r="L5806">
        <v>-61.318330000000003</v>
      </c>
      <c r="M5806">
        <v>0.98286269999999998</v>
      </c>
      <c r="N5806">
        <v>-1.492985E-2</v>
      </c>
      <c r="O5806">
        <v>-0.18373390000000001</v>
      </c>
      <c r="P5806">
        <v>0.99403779999999997</v>
      </c>
      <c r="Q5806">
        <v>9.6066589999999993E-2</v>
      </c>
      <c r="R5806">
        <v>-5.1575740000000002E-2</v>
      </c>
      <c r="S5806">
        <v>3.0310670000000002</v>
      </c>
      <c r="T5806">
        <v>-0.122272699999999</v>
      </c>
      <c r="U5806">
        <v>1.690674E-2</v>
      </c>
      <c r="V5806">
        <v>-0.13373840000000001</v>
      </c>
      <c r="W5806">
        <v>0.1086336</v>
      </c>
      <c r="X5806">
        <v>0.98504449999999999</v>
      </c>
      <c r="Y5806">
        <v>-0.1889661</v>
      </c>
      <c r="Z5806">
        <v>9.8452250000000009E-3</v>
      </c>
      <c r="AA5806">
        <v>0.98193419999999998</v>
      </c>
      <c r="AB5806">
        <v>26</v>
      </c>
      <c r="AC5806">
        <v>27.821400000000001</v>
      </c>
      <c r="AD5806">
        <v>-1.1273714800079999</v>
      </c>
      <c r="AE5806">
        <v>0.175679999999999</v>
      </c>
      <c r="AF5806">
        <v>-5.2763288922329403</v>
      </c>
      <c r="AG5806">
        <v>-1.1273714800079999</v>
      </c>
      <c r="AH5806">
        <v>27.2706037489374</v>
      </c>
      <c r="AI5806">
        <v>92.3242146472314</v>
      </c>
      <c r="AJ5806">
        <v>100.950311058361</v>
      </c>
      <c r="AK5806">
        <v>27.799216569258</v>
      </c>
      <c r="AL5806">
        <v>83.763445049868594</v>
      </c>
      <c r="AM5806">
        <v>97.731709080579193</v>
      </c>
      <c r="AN5806">
        <v>0.99999994283188298</v>
      </c>
    </row>
    <row r="5807" spans="1:40" x14ac:dyDescent="0.25">
      <c r="A5807" t="str">
        <f>"20190303162418100"</f>
        <v>20190303162418100</v>
      </c>
      <c r="B5807" t="str">
        <f>"1551601458090857"</f>
        <v>1551601458090857</v>
      </c>
      <c r="C5807" t="s">
        <v>40</v>
      </c>
      <c r="D5807">
        <v>5.2406519999999999</v>
      </c>
      <c r="E5807">
        <v>0.47878280000000001</v>
      </c>
      <c r="F5807" t="s">
        <v>62</v>
      </c>
      <c r="G5807">
        <v>-255.34700000000001</v>
      </c>
      <c r="H5807" s="1">
        <v>-1.600216E-6</v>
      </c>
      <c r="I5807">
        <v>-61.149149999999999</v>
      </c>
      <c r="J5807">
        <v>-282.75349999999997</v>
      </c>
      <c r="K5807">
        <v>1.1272089999999999</v>
      </c>
      <c r="L5807">
        <v>-61.338929999999998</v>
      </c>
      <c r="M5807">
        <v>0.98375230000000002</v>
      </c>
      <c r="N5807">
        <v>-1.4899239999999999E-2</v>
      </c>
      <c r="O5807">
        <v>-0.17891170000000001</v>
      </c>
      <c r="P5807">
        <v>0.99408660000000004</v>
      </c>
      <c r="Q5807">
        <v>9.6407110000000004E-2</v>
      </c>
      <c r="R5807">
        <v>-4.9973400000000001E-2</v>
      </c>
      <c r="S5807">
        <v>3.030945</v>
      </c>
      <c r="T5807">
        <v>-0.12405380000000001</v>
      </c>
      <c r="U5807">
        <v>1.8615719999999999E-2</v>
      </c>
      <c r="V5807">
        <v>-0.13044649999999999</v>
      </c>
      <c r="W5807">
        <v>0.109054</v>
      </c>
      <c r="X5807">
        <v>0.98543950000000002</v>
      </c>
      <c r="Y5807">
        <v>-0.1847009</v>
      </c>
      <c r="Z5807">
        <v>9.7702759999999996E-3</v>
      </c>
      <c r="AA5807">
        <v>0.98274620000000001</v>
      </c>
      <c r="AB5807">
        <v>26</v>
      </c>
      <c r="AC5807">
        <v>27.406499999999902</v>
      </c>
      <c r="AD5807">
        <v>-1.1272106002159901</v>
      </c>
      <c r="AE5807">
        <v>0.189780000000006</v>
      </c>
      <c r="AF5807">
        <v>-5.0820087277760004</v>
      </c>
      <c r="AG5807">
        <v>-1.1272106002159901</v>
      </c>
      <c r="AH5807">
        <v>26.8847665385513</v>
      </c>
      <c r="AI5807">
        <v>92.3591317171431</v>
      </c>
      <c r="AJ5807">
        <v>100.704278616929</v>
      </c>
      <c r="AK5807">
        <v>27.3840845798949</v>
      </c>
      <c r="AL5807">
        <v>83.739214529318502</v>
      </c>
      <c r="AM5807">
        <v>97.5406270388807</v>
      </c>
      <c r="AN5807">
        <v>1.0000000362192401</v>
      </c>
    </row>
    <row r="5808" spans="1:40" x14ac:dyDescent="0.25">
      <c r="A5808" t="str">
        <f>"20190303162418113"</f>
        <v>20190303162418113</v>
      </c>
      <c r="B5808" t="str">
        <f>"1551601458100616"</f>
        <v>1551601458100616</v>
      </c>
      <c r="C5808" t="s">
        <v>40</v>
      </c>
      <c r="D5808">
        <v>5.221063</v>
      </c>
      <c r="E5808">
        <v>0.47891800000000001</v>
      </c>
      <c r="F5808" t="s">
        <v>62</v>
      </c>
      <c r="G5808">
        <v>-254.96510000000001</v>
      </c>
      <c r="H5808" s="1">
        <v>-1.435292E-6</v>
      </c>
      <c r="I5808">
        <v>-61.144179999999999</v>
      </c>
      <c r="J5808">
        <v>-282.6207</v>
      </c>
      <c r="K5808">
        <v>1.127054</v>
      </c>
      <c r="L5808">
        <v>-61.357999999999997</v>
      </c>
      <c r="M5808">
        <v>0.98455579999999998</v>
      </c>
      <c r="N5808">
        <v>-1.4868900000000001E-2</v>
      </c>
      <c r="O5808">
        <v>-0.17443919999999999</v>
      </c>
      <c r="P5808">
        <v>0.99408229999999997</v>
      </c>
      <c r="Q5808">
        <v>9.7528100000000006E-2</v>
      </c>
      <c r="R5808">
        <v>-4.7845480000000003E-2</v>
      </c>
      <c r="S5808">
        <v>3.0308229999999998</v>
      </c>
      <c r="T5808">
        <v>-0.1229426</v>
      </c>
      <c r="U5808">
        <v>2.1240229999999999E-2</v>
      </c>
      <c r="V5808">
        <v>-0.1280287</v>
      </c>
      <c r="W5808">
        <v>0.1102356</v>
      </c>
      <c r="X5808">
        <v>0.98562510000000003</v>
      </c>
      <c r="Y5808">
        <v>-0.18109500000000001</v>
      </c>
      <c r="Z5808">
        <v>9.4625509999999996E-3</v>
      </c>
      <c r="AA5808">
        <v>0.98342010000000002</v>
      </c>
      <c r="AB5808">
        <v>26</v>
      </c>
      <c r="AC5808">
        <v>27.6556</v>
      </c>
      <c r="AD5808">
        <v>-1.1270554352919999</v>
      </c>
      <c r="AE5808">
        <v>0.21381999999999801</v>
      </c>
      <c r="AF5808">
        <v>-5.0269461055414704</v>
      </c>
      <c r="AG5808">
        <v>-1.1270554352919999</v>
      </c>
      <c r="AH5808">
        <v>27.149098510800801</v>
      </c>
      <c r="AI5808">
        <v>92.337499096181105</v>
      </c>
      <c r="AJ5808">
        <v>100.490120666463</v>
      </c>
      <c r="AK5808">
        <v>27.633566383140099</v>
      </c>
      <c r="AL5808">
        <v>83.671103182606501</v>
      </c>
      <c r="AM5808">
        <v>97.401049003920306</v>
      </c>
      <c r="AN5808">
        <v>1.00000003664052</v>
      </c>
    </row>
    <row r="5809" spans="1:40" x14ac:dyDescent="0.25">
      <c r="A5809" t="str">
        <f>"20190303162418125"</f>
        <v>20190303162418125</v>
      </c>
      <c r="B5809" t="str">
        <f>"1551601458111354"</f>
        <v>1551601458111354</v>
      </c>
      <c r="C5809" t="s">
        <v>40</v>
      </c>
      <c r="D5809">
        <v>5.226585</v>
      </c>
      <c r="E5809">
        <v>0.47910000000000003</v>
      </c>
      <c r="F5809" t="s">
        <v>62</v>
      </c>
      <c r="G5809">
        <v>-253.83580000000001</v>
      </c>
      <c r="H5809" s="1">
        <v>-9.4269770000000001E-7</v>
      </c>
      <c r="I5809">
        <v>-61.107579999999999</v>
      </c>
      <c r="J5809">
        <v>-282.47629999999998</v>
      </c>
      <c r="K5809">
        <v>1.1268860000000001</v>
      </c>
      <c r="L5809">
        <v>-61.378419999999998</v>
      </c>
      <c r="M5809">
        <v>0.9853923</v>
      </c>
      <c r="N5809">
        <v>-1.4836419999999999E-2</v>
      </c>
      <c r="O5809">
        <v>-0.1696521</v>
      </c>
      <c r="P5809">
        <v>0.99404570000000003</v>
      </c>
      <c r="Q5809">
        <v>9.887406E-2</v>
      </c>
      <c r="R5809">
        <v>-4.5794500000000002E-2</v>
      </c>
      <c r="S5809">
        <v>3.0307620000000002</v>
      </c>
      <c r="T5809">
        <v>-0.1186676</v>
      </c>
      <c r="U5809">
        <v>2.6367189999999999E-2</v>
      </c>
      <c r="V5809">
        <v>-0.12521660000000001</v>
      </c>
      <c r="W5809">
        <v>0.11164930000000001</v>
      </c>
      <c r="X5809">
        <v>0.98582720000000001</v>
      </c>
      <c r="Y5809">
        <v>-0.17800079999999999</v>
      </c>
      <c r="Z5809">
        <v>8.8962769999999993E-3</v>
      </c>
      <c r="AA5809">
        <v>0.98399009999999998</v>
      </c>
      <c r="AB5809">
        <v>26</v>
      </c>
      <c r="AC5809">
        <v>28.6404999999999</v>
      </c>
      <c r="AD5809">
        <v>-1.1268869426977</v>
      </c>
      <c r="AE5809">
        <v>0.27083999999999198</v>
      </c>
      <c r="AF5809">
        <v>-5.1184458473349297</v>
      </c>
      <c r="AG5809">
        <v>-1.1268869426977</v>
      </c>
      <c r="AH5809">
        <v>28.135728945742599</v>
      </c>
      <c r="AI5809">
        <v>92.256576619775501</v>
      </c>
      <c r="AJ5809">
        <v>100.310481686526</v>
      </c>
      <c r="AK5809">
        <v>28.6197065914733</v>
      </c>
      <c r="AL5809">
        <v>83.589600873538203</v>
      </c>
      <c r="AM5809">
        <v>97.238763404896602</v>
      </c>
      <c r="AN5809">
        <v>1.0000000156829401</v>
      </c>
    </row>
    <row r="5810" spans="1:40" x14ac:dyDescent="0.25">
      <c r="A5810" t="str">
        <f>"20190303162418137"</f>
        <v>20190303162418137</v>
      </c>
      <c r="B5810" t="str">
        <f>"1551601458130872"</f>
        <v>1551601458130872</v>
      </c>
      <c r="C5810" t="s">
        <v>40</v>
      </c>
      <c r="D5810">
        <v>5.1918530000000001</v>
      </c>
      <c r="E5810">
        <v>0.47946329999999998</v>
      </c>
      <c r="F5810" t="s">
        <v>62</v>
      </c>
      <c r="G5810">
        <v>-252.34299999999999</v>
      </c>
      <c r="H5810" s="1">
        <v>-2.9354259999999998E-7</v>
      </c>
      <c r="I5810">
        <v>-61.068309999999997</v>
      </c>
      <c r="J5810">
        <v>-282.33</v>
      </c>
      <c r="K5810">
        <v>1.1267069999999999</v>
      </c>
      <c r="L5810">
        <v>-61.398350000000001</v>
      </c>
      <c r="M5810">
        <v>0.98618300000000003</v>
      </c>
      <c r="N5810">
        <v>-1.480186E-2</v>
      </c>
      <c r="O5810">
        <v>-0.16499739999999999</v>
      </c>
      <c r="P5810">
        <v>0.99398160000000002</v>
      </c>
      <c r="Q5810">
        <v>0.10076599999999999</v>
      </c>
      <c r="R5810">
        <v>-4.297844E-2</v>
      </c>
      <c r="S5810">
        <v>3.0306700000000002</v>
      </c>
      <c r="T5810">
        <v>-0.1133372</v>
      </c>
      <c r="U5810">
        <v>3.1188960000000002E-2</v>
      </c>
      <c r="V5810">
        <v>-0.1232955</v>
      </c>
      <c r="W5810">
        <v>0.11359279999999999</v>
      </c>
      <c r="X5810">
        <v>0.98584729999999998</v>
      </c>
      <c r="Y5810">
        <v>-0.1749445</v>
      </c>
      <c r="Z5810">
        <v>8.263767E-3</v>
      </c>
      <c r="AA5810">
        <v>0.98454359999999996</v>
      </c>
      <c r="AB5810">
        <v>26</v>
      </c>
      <c r="AC5810">
        <v>29.986999999999899</v>
      </c>
      <c r="AD5810">
        <v>-1.1267072935425999</v>
      </c>
      <c r="AE5810">
        <v>0.330040000000003</v>
      </c>
      <c r="AF5810">
        <v>-5.2664003394177996</v>
      </c>
      <c r="AG5810">
        <v>-1.1267072935425999</v>
      </c>
      <c r="AH5810">
        <v>29.479832936509801</v>
      </c>
      <c r="AI5810">
        <v>92.154677241456895</v>
      </c>
      <c r="AJ5810">
        <v>100.12871068663399</v>
      </c>
      <c r="AK5810">
        <v>29.967732510566599</v>
      </c>
      <c r="AL5810">
        <v>83.4775334469212</v>
      </c>
      <c r="AM5810">
        <v>97.128712285993302</v>
      </c>
      <c r="AN5810">
        <v>1.0000000017246899</v>
      </c>
    </row>
    <row r="5811" spans="1:40" x14ac:dyDescent="0.25">
      <c r="A5811" t="str">
        <f>"20190303162418148"</f>
        <v>20190303162418148</v>
      </c>
      <c r="B5811" t="str">
        <f>"1551601458140632"</f>
        <v>1551601458140632</v>
      </c>
      <c r="C5811" t="s">
        <v>40</v>
      </c>
      <c r="D5811">
        <v>5.3115079999999999</v>
      </c>
      <c r="E5811">
        <v>0.47971979999999997</v>
      </c>
      <c r="F5811" t="s">
        <v>63</v>
      </c>
      <c r="G5811">
        <v>-249.95840000000001</v>
      </c>
      <c r="H5811" s="1">
        <v>-3.3735910000000002E-6</v>
      </c>
      <c r="I5811">
        <v>-61.007420000000003</v>
      </c>
      <c r="J5811">
        <v>-282.209</v>
      </c>
      <c r="K5811">
        <v>1.1265639999999999</v>
      </c>
      <c r="L5811">
        <v>-61.414430000000003</v>
      </c>
      <c r="M5811">
        <v>0.98680219999999996</v>
      </c>
      <c r="N5811">
        <v>-1.4773110000000001E-2</v>
      </c>
      <c r="O5811">
        <v>-0.16125539999999999</v>
      </c>
      <c r="P5811">
        <v>0.99382139999999997</v>
      </c>
      <c r="Q5811">
        <v>0.10310469999999999</v>
      </c>
      <c r="R5811">
        <v>-4.1090050000000003E-2</v>
      </c>
      <c r="S5811">
        <v>3.0304869999999999</v>
      </c>
      <c r="T5811">
        <v>-0.1054778</v>
      </c>
      <c r="U5811">
        <v>3.6590579999999998E-2</v>
      </c>
      <c r="V5811">
        <v>-0.1213761</v>
      </c>
      <c r="W5811">
        <v>0.1159768</v>
      </c>
      <c r="X5811">
        <v>0.98580789999999996</v>
      </c>
      <c r="Y5811">
        <v>-0.17299579999999901</v>
      </c>
      <c r="Z5811">
        <v>7.4925189999999996E-3</v>
      </c>
      <c r="AA5811">
        <v>0.98489409999999999</v>
      </c>
      <c r="AB5811">
        <v>26</v>
      </c>
      <c r="AC5811">
        <v>32.250599999999899</v>
      </c>
      <c r="AD5811">
        <v>-1.126567373591</v>
      </c>
      <c r="AE5811">
        <v>0.40701000000000598</v>
      </c>
      <c r="AF5811">
        <v>-5.5960055482728102</v>
      </c>
      <c r="AG5811">
        <v>-1.126567373591</v>
      </c>
      <c r="AH5811">
        <v>31.724090356896099</v>
      </c>
      <c r="AI5811">
        <v>92.002903357174205</v>
      </c>
      <c r="AJ5811">
        <v>100.00384031512699</v>
      </c>
      <c r="AK5811">
        <v>32.233559237478701</v>
      </c>
      <c r="AL5811">
        <v>83.340031398868902</v>
      </c>
      <c r="AM5811">
        <v>97.019129483107307</v>
      </c>
      <c r="AN5811">
        <v>0.99999999574592902</v>
      </c>
    </row>
    <row r="5812" spans="1:40" x14ac:dyDescent="0.25">
      <c r="A5812" t="str">
        <f>"20190303162418159"</f>
        <v>20190303162418159</v>
      </c>
      <c r="B5812" t="str">
        <f>"1551601458150393"</f>
        <v>1551601458150393</v>
      </c>
      <c r="C5812" t="s">
        <v>40</v>
      </c>
      <c r="D5812">
        <v>5.252732</v>
      </c>
      <c r="E5812">
        <v>0.47992240000000003</v>
      </c>
      <c r="F5812" t="s">
        <v>63</v>
      </c>
      <c r="G5812">
        <v>-247.2004</v>
      </c>
      <c r="H5812" s="1">
        <v>-2.2270780000000001E-6</v>
      </c>
      <c r="I5812">
        <v>-60.951120000000003</v>
      </c>
      <c r="J5812">
        <v>-282.08550000000002</v>
      </c>
      <c r="K5812">
        <v>1.1264190000000001</v>
      </c>
      <c r="L5812">
        <v>-61.430540000000001</v>
      </c>
      <c r="M5812">
        <v>0.98740620000000001</v>
      </c>
      <c r="N5812">
        <v>-1.47437E-2</v>
      </c>
      <c r="O5812">
        <v>-0.1575172</v>
      </c>
      <c r="P5812">
        <v>0.99359439999999999</v>
      </c>
      <c r="Q5812">
        <v>0.105958399999999</v>
      </c>
      <c r="R5812">
        <v>-3.9281299999999998E-2</v>
      </c>
      <c r="S5812">
        <v>3.0304259999999998</v>
      </c>
      <c r="T5812">
        <v>-9.7518090000000002E-2</v>
      </c>
      <c r="U5812">
        <v>4.01001E-2</v>
      </c>
      <c r="V5812">
        <v>-0.1193796</v>
      </c>
      <c r="W5812">
        <v>0.11887490000000001</v>
      </c>
      <c r="X5812">
        <v>0.98570639999999998</v>
      </c>
      <c r="Y5812">
        <v>-0.1704348</v>
      </c>
      <c r="Z5812">
        <v>6.7223969999999997E-3</v>
      </c>
      <c r="AA5812">
        <v>0.98534600000000006</v>
      </c>
      <c r="AB5812">
        <v>26</v>
      </c>
      <c r="AC5812">
        <v>34.885100000000001</v>
      </c>
      <c r="AD5812">
        <v>-1.1264212270780001</v>
      </c>
      <c r="AE5812">
        <v>0.47942000000000401</v>
      </c>
      <c r="AF5812">
        <v>-5.9628184905230999</v>
      </c>
      <c r="AG5812">
        <v>-1.1264212270780001</v>
      </c>
      <c r="AH5812">
        <v>34.338187984272899</v>
      </c>
      <c r="AI5812">
        <v>91.851159353183107</v>
      </c>
      <c r="AJ5812">
        <v>99.851164752634205</v>
      </c>
      <c r="AK5812">
        <v>34.870262160973198</v>
      </c>
      <c r="AL5812">
        <v>83.172825123465898</v>
      </c>
      <c r="AM5812">
        <v>96.905500636184499</v>
      </c>
      <c r="AN5812">
        <v>0.99999991887356099</v>
      </c>
    </row>
    <row r="5813" spans="1:40" x14ac:dyDescent="0.25">
      <c r="A5813" t="str">
        <f>"20190303162418169"</f>
        <v>20190303162418169</v>
      </c>
      <c r="B5813" t="str">
        <f>"1551601458161129"</f>
        <v>1551601458161129</v>
      </c>
      <c r="C5813" t="s">
        <v>40</v>
      </c>
      <c r="D5813">
        <v>5.194242</v>
      </c>
      <c r="E5813">
        <v>0.48017080000000001</v>
      </c>
      <c r="F5813" t="s">
        <v>63</v>
      </c>
      <c r="G5813">
        <v>-243.31290000000001</v>
      </c>
      <c r="H5813" s="1">
        <v>-5.3669479999999997E-7</v>
      </c>
      <c r="I5813">
        <v>-60.86589</v>
      </c>
      <c r="J5813">
        <v>-281.96839999999997</v>
      </c>
      <c r="K5813">
        <v>1.1262719999999999</v>
      </c>
      <c r="L5813">
        <v>-61.445399999999999</v>
      </c>
      <c r="M5813">
        <v>0.98794409999999999</v>
      </c>
      <c r="N5813">
        <v>-1.4715290000000001E-2</v>
      </c>
      <c r="O5813">
        <v>-0.15411</v>
      </c>
      <c r="P5813">
        <v>0.99332600000000004</v>
      </c>
      <c r="Q5813">
        <v>0.1090271</v>
      </c>
      <c r="R5813">
        <v>-3.7639600000000002E-2</v>
      </c>
      <c r="S5813">
        <v>3.0304869999999999</v>
      </c>
      <c r="T5813">
        <v>-8.8041659999999994E-2</v>
      </c>
      <c r="U5813">
        <v>4.4128420000000002E-2</v>
      </c>
      <c r="V5813">
        <v>-0.11754729999999999</v>
      </c>
      <c r="W5813">
        <v>0.12198440000000001</v>
      </c>
      <c r="X5813">
        <v>0.98554679999999995</v>
      </c>
      <c r="Y5813">
        <v>-0.168374</v>
      </c>
      <c r="Z5813">
        <v>5.874621E-3</v>
      </c>
      <c r="AA5813">
        <v>0.98570570000000002</v>
      </c>
      <c r="AB5813">
        <v>26</v>
      </c>
      <c r="AC5813">
        <v>38.655499999999897</v>
      </c>
      <c r="AD5813">
        <v>-1.1262725366948001</v>
      </c>
      <c r="AE5813">
        <v>0.57950999999999897</v>
      </c>
      <c r="AF5813">
        <v>-6.5248919175521101</v>
      </c>
      <c r="AG5813">
        <v>-1.1262725366948001</v>
      </c>
      <c r="AH5813">
        <v>38.071978462448101</v>
      </c>
      <c r="AI5813">
        <v>91.670134489210199</v>
      </c>
      <c r="AJ5813">
        <v>99.725044995734805</v>
      </c>
      <c r="AK5813">
        <v>38.643476142911403</v>
      </c>
      <c r="AL5813">
        <v>82.993358387905403</v>
      </c>
      <c r="AM5813">
        <v>96.801602636724994</v>
      </c>
      <c r="AN5813">
        <v>1.00000002828544</v>
      </c>
    </row>
    <row r="5814" spans="1:40" x14ac:dyDescent="0.25">
      <c r="A5814" t="str">
        <f>"20190303162418179"</f>
        <v>20190303162418179</v>
      </c>
      <c r="B5814" t="str">
        <f>"1551601458170889"</f>
        <v>1551601458170889</v>
      </c>
      <c r="C5814" t="s">
        <v>40</v>
      </c>
      <c r="D5814">
        <v>5.1957100000000001</v>
      </c>
      <c r="E5814">
        <v>0.48037150000000001</v>
      </c>
      <c r="F5814" t="s">
        <v>64</v>
      </c>
      <c r="G5814">
        <v>-238.41149999999999</v>
      </c>
      <c r="H5814" s="1">
        <v>-2.6980759999999998E-6</v>
      </c>
      <c r="I5814">
        <v>-60.768549999999998</v>
      </c>
      <c r="J5814">
        <v>-281.85239999999999</v>
      </c>
      <c r="K5814">
        <v>1.1261239999999999</v>
      </c>
      <c r="L5814">
        <v>-61.459899999999998</v>
      </c>
      <c r="M5814">
        <v>0.98845550000000004</v>
      </c>
      <c r="N5814">
        <v>-1.468762E-2</v>
      </c>
      <c r="O5814">
        <v>-0.1507973</v>
      </c>
      <c r="P5814">
        <v>0.99303220000000003</v>
      </c>
      <c r="Q5814">
        <v>0.11231380000000001</v>
      </c>
      <c r="R5814">
        <v>-3.5676239999999998E-2</v>
      </c>
      <c r="S5814">
        <v>3.030548</v>
      </c>
      <c r="T5814">
        <v>-7.8362699999999993E-2</v>
      </c>
      <c r="U5814">
        <v>4.7088619999999998E-2</v>
      </c>
      <c r="V5814">
        <v>-0.11612840000000001</v>
      </c>
      <c r="W5814">
        <v>0.12530430000000001</v>
      </c>
      <c r="X5814">
        <v>0.98529849999999997</v>
      </c>
      <c r="Y5814">
        <v>-0.16605780000000001</v>
      </c>
      <c r="Z5814">
        <v>5.0342939999999999E-3</v>
      </c>
      <c r="AA5814">
        <v>0.98610319999999996</v>
      </c>
      <c r="AB5814">
        <v>26</v>
      </c>
      <c r="AC5814">
        <v>43.440899999999999</v>
      </c>
      <c r="AD5814">
        <v>-1.1261266980760001</v>
      </c>
      <c r="AE5814">
        <v>0.69134999999999902</v>
      </c>
      <c r="AF5814">
        <v>-7.23006273008615</v>
      </c>
      <c r="AG5814">
        <v>-1.1261266980760001</v>
      </c>
      <c r="AH5814">
        <v>42.8110053793907</v>
      </c>
      <c r="AI5814">
        <v>91.485765942120295</v>
      </c>
      <c r="AJ5814">
        <v>99.585847339276498</v>
      </c>
      <c r="AK5814">
        <v>43.431833371564203</v>
      </c>
      <c r="AL5814">
        <v>82.801671331063204</v>
      </c>
      <c r="AM5814">
        <v>96.721934746461301</v>
      </c>
      <c r="AN5814">
        <v>1.00000005349364</v>
      </c>
    </row>
    <row r="5815" spans="1:40" x14ac:dyDescent="0.25">
      <c r="A5815" t="str">
        <f>"20190303162418190"</f>
        <v>20190303162418190</v>
      </c>
      <c r="B5815" t="str">
        <f>"1551601458180648"</f>
        <v>1551601458180648</v>
      </c>
      <c r="C5815" t="s">
        <v>40</v>
      </c>
      <c r="D5815">
        <v>5.1329840000000004</v>
      </c>
      <c r="E5815">
        <v>0.4806105</v>
      </c>
      <c r="F5815" t="s">
        <v>64</v>
      </c>
      <c r="G5815">
        <v>-231.82550000000001</v>
      </c>
      <c r="H5815" s="1">
        <v>1.6562549999999999E-7</v>
      </c>
      <c r="I5815">
        <v>-60.624580000000002</v>
      </c>
      <c r="J5815">
        <v>-281.7287</v>
      </c>
      <c r="K5815">
        <v>1.125958</v>
      </c>
      <c r="L5815">
        <v>-61.474980000000002</v>
      </c>
      <c r="M5815">
        <v>0.98896309999999998</v>
      </c>
      <c r="N5815">
        <v>-1.4657460000000001E-2</v>
      </c>
      <c r="O5815">
        <v>-0.14743589999999901</v>
      </c>
      <c r="P5815">
        <v>0.99276690000000001</v>
      </c>
      <c r="Q5815">
        <v>0.1153604</v>
      </c>
      <c r="R5815">
        <v>-3.326001E-2</v>
      </c>
      <c r="S5815">
        <v>3.030548</v>
      </c>
      <c r="T5815">
        <v>-6.8218710000000002E-2</v>
      </c>
      <c r="U5815">
        <v>5.059814E-2</v>
      </c>
      <c r="V5815">
        <v>-0.115105</v>
      </c>
      <c r="W5815">
        <v>0.12838150000000001</v>
      </c>
      <c r="X5815">
        <v>0.98502239999999996</v>
      </c>
      <c r="Y5815">
        <v>-0.16386970000000001</v>
      </c>
      <c r="Z5815">
        <v>4.1892850000000001E-3</v>
      </c>
      <c r="AA5815">
        <v>0.98647309999999999</v>
      </c>
      <c r="AB5815">
        <v>26</v>
      </c>
      <c r="AC5815">
        <v>49.903199999999998</v>
      </c>
      <c r="AD5815">
        <v>-1.1259578343745</v>
      </c>
      <c r="AE5815">
        <v>0.85040000000000004</v>
      </c>
      <c r="AF5815">
        <v>-8.1952466042969494</v>
      </c>
      <c r="AG5815">
        <v>-1.1259578343745</v>
      </c>
      <c r="AH5815">
        <v>49.2072845800569</v>
      </c>
      <c r="AI5815">
        <v>91.293006033119298</v>
      </c>
      <c r="AJ5815">
        <v>99.455561465119999</v>
      </c>
      <c r="AK5815">
        <v>49.897762511887599</v>
      </c>
      <c r="AL5815">
        <v>82.623924975133306</v>
      </c>
      <c r="AM5815">
        <v>96.665082523112204</v>
      </c>
      <c r="AN5815">
        <v>1.0000000495345001</v>
      </c>
    </row>
    <row r="5816" spans="1:40" x14ac:dyDescent="0.25">
      <c r="A5816" t="str">
        <f>"20190303162418200"</f>
        <v>20190303162418200</v>
      </c>
      <c r="B5816" t="str">
        <f>"1551601458190410"</f>
        <v>1551601458190410</v>
      </c>
      <c r="C5816" t="s">
        <v>40</v>
      </c>
      <c r="D5816">
        <v>5.1963489999999997</v>
      </c>
      <c r="E5816">
        <v>0.48084559999999998</v>
      </c>
      <c r="F5816" t="s">
        <v>65</v>
      </c>
      <c r="G5816">
        <v>-224.24010000000001</v>
      </c>
      <c r="H5816" s="1">
        <v>-9.4850739999999995E-7</v>
      </c>
      <c r="I5816">
        <v>-60.435279999999999</v>
      </c>
      <c r="J5816">
        <v>-281.61509999999998</v>
      </c>
      <c r="K5816">
        <v>1.125802</v>
      </c>
      <c r="L5816">
        <v>-61.48865</v>
      </c>
      <c r="M5816">
        <v>0.98941080000000003</v>
      </c>
      <c r="N5816">
        <v>-1.463045E-2</v>
      </c>
      <c r="O5816">
        <v>-0.144402799999999</v>
      </c>
      <c r="P5816">
        <v>0.9925948</v>
      </c>
      <c r="Q5816">
        <v>0.1174283</v>
      </c>
      <c r="R5816">
        <v>-3.1084690000000002E-2</v>
      </c>
      <c r="S5816">
        <v>3.0306090000000001</v>
      </c>
      <c r="T5816">
        <v>-5.9356810000000003E-2</v>
      </c>
      <c r="U5816">
        <v>5.4809570000000002E-2</v>
      </c>
      <c r="V5816">
        <v>-0.1141781</v>
      </c>
      <c r="W5816">
        <v>0.1304785</v>
      </c>
      <c r="X5816">
        <v>0.98485460000000002</v>
      </c>
      <c r="Y5816">
        <v>-0.1622316</v>
      </c>
      <c r="Z5816">
        <v>3.4793210000000001E-3</v>
      </c>
      <c r="AA5816">
        <v>0.98674649999999997</v>
      </c>
      <c r="AB5816">
        <v>26</v>
      </c>
      <c r="AC5816">
        <v>57.374999999999901</v>
      </c>
      <c r="AD5816">
        <v>-1.1258029485073999</v>
      </c>
      <c r="AE5816">
        <v>1.0533699999999899</v>
      </c>
      <c r="AF5816">
        <v>-9.3247359882557692</v>
      </c>
      <c r="AG5816">
        <v>-1.1258029485073999</v>
      </c>
      <c r="AH5816">
        <v>56.599612280046998</v>
      </c>
      <c r="AI5816">
        <v>91.124347361631095</v>
      </c>
      <c r="AJ5816">
        <v>99.355390815355506</v>
      </c>
      <c r="AK5816">
        <v>57.373637184522202</v>
      </c>
      <c r="AL5816">
        <v>82.502755607901904</v>
      </c>
      <c r="AM5816">
        <v>96.613004651176595</v>
      </c>
      <c r="AN5816">
        <v>0.99999993031150702</v>
      </c>
    </row>
    <row r="5817" spans="1:40" x14ac:dyDescent="0.25">
      <c r="A5817" t="str">
        <f>"20190303162418211"</f>
        <v>20190303162418211</v>
      </c>
      <c r="B5817" t="str">
        <f>"1551601458201145"</f>
        <v>1551601458201145</v>
      </c>
      <c r="C5817" t="s">
        <v>40</v>
      </c>
      <c r="D5817">
        <v>5.1179990000000002</v>
      </c>
      <c r="E5817">
        <v>0.48102010000000001</v>
      </c>
      <c r="F5817" t="s">
        <v>66</v>
      </c>
      <c r="G5817">
        <v>-217.99250000000001</v>
      </c>
      <c r="H5817" s="1">
        <v>-2.420109E-6</v>
      </c>
      <c r="I5817">
        <v>-60.257849999999998</v>
      </c>
      <c r="J5817">
        <v>-281.50020000000001</v>
      </c>
      <c r="K5817">
        <v>1.125632</v>
      </c>
      <c r="L5817">
        <v>-61.502079999999999</v>
      </c>
      <c r="M5817">
        <v>0.98982820000000005</v>
      </c>
      <c r="N5817">
        <v>-1.4602220000000001E-2</v>
      </c>
      <c r="O5817">
        <v>-0.1415167</v>
      </c>
      <c r="P5817">
        <v>0.99245499999999998</v>
      </c>
      <c r="Q5817">
        <v>0.1191427</v>
      </c>
      <c r="R5817">
        <v>-2.895E-2</v>
      </c>
      <c r="S5817">
        <v>3.0305789999999999</v>
      </c>
      <c r="T5817">
        <v>-5.3626180000000002E-2</v>
      </c>
      <c r="U5817">
        <v>5.8624269999999999E-2</v>
      </c>
      <c r="V5817">
        <v>-0.1133562</v>
      </c>
      <c r="W5817">
        <v>0.132222799999999</v>
      </c>
      <c r="X5817">
        <v>0.98471699999999995</v>
      </c>
      <c r="Y5817">
        <v>-0.16060489999999999</v>
      </c>
      <c r="Z5817">
        <v>3.0210150000000002E-3</v>
      </c>
      <c r="AA5817">
        <v>0.98701419999999995</v>
      </c>
      <c r="AB5817">
        <v>26</v>
      </c>
      <c r="AC5817">
        <v>63.5077</v>
      </c>
      <c r="AD5817">
        <v>-1.1256344201090001</v>
      </c>
      <c r="AE5817">
        <v>1.2442299999999999</v>
      </c>
      <c r="AF5817">
        <v>-10.2168549429566</v>
      </c>
      <c r="AG5817">
        <v>-1.1256344201090001</v>
      </c>
      <c r="AH5817">
        <v>62.672633821721803</v>
      </c>
      <c r="AI5817">
        <v>91.015549641298406</v>
      </c>
      <c r="AJ5817">
        <v>99.258877472238794</v>
      </c>
      <c r="AK5817">
        <v>63.509922121860498</v>
      </c>
      <c r="AL5817">
        <v>82.401941887866897</v>
      </c>
      <c r="AM5817">
        <v>96.5667281861476</v>
      </c>
      <c r="AN5817">
        <v>1.0000000335036301</v>
      </c>
    </row>
    <row r="5818" spans="1:40" x14ac:dyDescent="0.25">
      <c r="A5818" t="str">
        <f>"20190303162418221"</f>
        <v>20190303162418221</v>
      </c>
      <c r="B5818" t="str">
        <f>"1551601458210905"</f>
        <v>1551601458210905</v>
      </c>
      <c r="C5818" t="s">
        <v>40</v>
      </c>
      <c r="D5818">
        <v>5.2513449999999997</v>
      </c>
      <c r="E5818">
        <v>0.48102010000000001</v>
      </c>
      <c r="F5818" t="s">
        <v>66</v>
      </c>
      <c r="G5818">
        <v>-212.5598</v>
      </c>
      <c r="H5818" s="1">
        <v>-1.2422129999999999E-7</v>
      </c>
      <c r="I5818">
        <v>-60.062199999999997</v>
      </c>
      <c r="J5818">
        <v>-281.38049999999998</v>
      </c>
      <c r="K5818">
        <v>1.125443</v>
      </c>
      <c r="L5818">
        <v>-61.515990000000002</v>
      </c>
      <c r="M5818">
        <v>0.99024840000000003</v>
      </c>
      <c r="N5818">
        <v>-1.4573610000000001E-2</v>
      </c>
      <c r="O5818">
        <v>-0.13854830000000001</v>
      </c>
      <c r="P5818">
        <v>0.99261290000000002</v>
      </c>
      <c r="Q5818">
        <v>0.11874369999999999</v>
      </c>
      <c r="R5818">
        <v>-2.489359E-2</v>
      </c>
      <c r="S5818">
        <v>3.0305789999999999</v>
      </c>
      <c r="T5818">
        <v>-4.9482110000000003E-2</v>
      </c>
      <c r="U5818">
        <v>6.3293459999999996E-2</v>
      </c>
      <c r="V5818">
        <v>-0.1143697</v>
      </c>
      <c r="W5818">
        <v>0.1318347</v>
      </c>
      <c r="X5818">
        <v>0.98465179999999997</v>
      </c>
      <c r="Y5818">
        <v>-0.1591716</v>
      </c>
      <c r="Z5818">
        <v>2.693324E-3</v>
      </c>
      <c r="AA5818">
        <v>0.98724719999999999</v>
      </c>
      <c r="AB5818">
        <v>26</v>
      </c>
      <c r="AC5818">
        <v>68.820699999999903</v>
      </c>
      <c r="AD5818">
        <v>-1.1254431242213001</v>
      </c>
      <c r="AE5818">
        <v>1.4537899999999999</v>
      </c>
      <c r="AF5818">
        <v>-10.972837161931</v>
      </c>
      <c r="AG5818">
        <v>-1.1254431242213001</v>
      </c>
      <c r="AH5818">
        <v>67.937227419144193</v>
      </c>
      <c r="AI5818">
        <v>90.936930946952899</v>
      </c>
      <c r="AJ5818">
        <v>99.174857006990493</v>
      </c>
      <c r="AK5818">
        <v>68.826859924077795</v>
      </c>
      <c r="AL5818">
        <v>82.424374441557802</v>
      </c>
      <c r="AM5818">
        <v>96.625355425936604</v>
      </c>
      <c r="AN5818">
        <v>0.99999999182270904</v>
      </c>
    </row>
    <row r="5819" spans="1:40" x14ac:dyDescent="0.25">
      <c r="A5819" t="str">
        <f>"20190303162418233"</f>
        <v>20190303162418233</v>
      </c>
      <c r="B5819" t="str">
        <f>"1551601458220666"</f>
        <v>1551601458220666</v>
      </c>
      <c r="C5819" t="s">
        <v>40</v>
      </c>
      <c r="D5819">
        <v>5.1883010000000001</v>
      </c>
      <c r="E5819">
        <v>0.49037700000000001</v>
      </c>
      <c r="F5819" t="s">
        <v>66</v>
      </c>
      <c r="G5819">
        <v>-214.05959999999999</v>
      </c>
      <c r="H5819" s="1">
        <v>-8.0798079999999995E-7</v>
      </c>
      <c r="I5819">
        <v>-59.834560000000003</v>
      </c>
      <c r="J5819">
        <v>-281.25369999999998</v>
      </c>
      <c r="K5819">
        <v>1.1252450000000001</v>
      </c>
      <c r="L5819">
        <v>-61.530299999999997</v>
      </c>
      <c r="M5819">
        <v>0.99065329999999996</v>
      </c>
      <c r="N5819">
        <v>-1.454273E-2</v>
      </c>
      <c r="O5819">
        <v>-0.13562769999999999</v>
      </c>
      <c r="P5819">
        <v>0.99244949999999998</v>
      </c>
      <c r="Q5819">
        <v>0.1205299</v>
      </c>
      <c r="R5819">
        <v>-2.2734810000000001E-2</v>
      </c>
      <c r="S5819">
        <v>3.0303040000000001</v>
      </c>
      <c r="T5819">
        <v>-5.0659419999999997E-2</v>
      </c>
      <c r="U5819">
        <v>7.5683589999999995E-2</v>
      </c>
      <c r="V5819">
        <v>-0.11353000000000001</v>
      </c>
      <c r="W5819">
        <v>0.133654299999999</v>
      </c>
      <c r="X5819">
        <v>0.98450369999999998</v>
      </c>
      <c r="Y5819">
        <v>-0.16029479999999999</v>
      </c>
      <c r="Z5819">
        <v>2.7921640000000002E-3</v>
      </c>
      <c r="AA5819">
        <v>0.98706530000000003</v>
      </c>
      <c r="AB5819">
        <v>26</v>
      </c>
      <c r="AC5819">
        <v>67.194099999999906</v>
      </c>
      <c r="AD5819">
        <v>-1.1252458079808001</v>
      </c>
      <c r="AE5819">
        <v>1.69574</v>
      </c>
      <c r="AF5819">
        <v>-10.791387072420701</v>
      </c>
      <c r="AG5819">
        <v>-1.1252458079808001</v>
      </c>
      <c r="AH5819">
        <v>66.324484784437701</v>
      </c>
      <c r="AI5819">
        <v>90.959360316737403</v>
      </c>
      <c r="AJ5819">
        <v>99.241381317999299</v>
      </c>
      <c r="AK5819">
        <v>67.206082276802206</v>
      </c>
      <c r="AL5819">
        <v>82.319188483144302</v>
      </c>
      <c r="AM5819">
        <v>96.578120693279303</v>
      </c>
      <c r="AN5819">
        <v>1.00000003406108</v>
      </c>
    </row>
    <row r="5820" spans="1:40" x14ac:dyDescent="0.25">
      <c r="A5820" t="str">
        <f>"20190303162418244"</f>
        <v>20190303162418244</v>
      </c>
      <c r="B5820" t="str">
        <f>"1551601458230425"</f>
        <v>1551601458230425</v>
      </c>
      <c r="C5820" t="s">
        <v>40</v>
      </c>
      <c r="D5820">
        <v>5.1881640000000004</v>
      </c>
      <c r="E5820">
        <v>0.49088599999999999</v>
      </c>
      <c r="F5820" t="s">
        <v>63</v>
      </c>
      <c r="G5820">
        <v>-242.38319999999999</v>
      </c>
      <c r="H5820" s="1">
        <v>-2.8923639999999998E-7</v>
      </c>
      <c r="I5820">
        <v>-61.434829999999998</v>
      </c>
      <c r="J5820">
        <v>-281.1266</v>
      </c>
      <c r="K5820">
        <v>1.1250530000000001</v>
      </c>
      <c r="L5820">
        <v>-61.544589999999999</v>
      </c>
      <c r="M5820">
        <v>0.99104340000000002</v>
      </c>
      <c r="N5820">
        <v>-1.4512819999999999E-2</v>
      </c>
      <c r="O5820">
        <v>-0.1327487</v>
      </c>
      <c r="P5820">
        <v>0.99228510000000003</v>
      </c>
      <c r="Q5820">
        <v>0.12227830000000001</v>
      </c>
      <c r="R5820">
        <v>-2.0448029999999999E-2</v>
      </c>
      <c r="S5820">
        <v>3.033722</v>
      </c>
      <c r="T5820">
        <v>-8.7821839999999998E-2</v>
      </c>
      <c r="U5820">
        <v>7.446289E-3</v>
      </c>
      <c r="V5820">
        <v>-0.11285829999999999</v>
      </c>
      <c r="W5820">
        <v>0.13543469999999999</v>
      </c>
      <c r="X5820">
        <v>0.98433760000000003</v>
      </c>
      <c r="Y5820">
        <v>-0.13509660000000001</v>
      </c>
      <c r="Z5820">
        <v>4.8387179999999997E-3</v>
      </c>
      <c r="AA5820">
        <v>0.99082060000000005</v>
      </c>
      <c r="AB5820">
        <v>26</v>
      </c>
      <c r="AC5820">
        <v>38.743400000000001</v>
      </c>
      <c r="AD5820">
        <v>-1.12505328923639</v>
      </c>
      <c r="AE5820">
        <v>0.109759999999994</v>
      </c>
      <c r="AF5820">
        <v>-5.2480411285406898</v>
      </c>
      <c r="AG5820">
        <v>-1.12505328923639</v>
      </c>
      <c r="AH5820">
        <v>38.3535247881902</v>
      </c>
      <c r="AI5820">
        <v>91.664715710611603</v>
      </c>
      <c r="AJ5820">
        <v>97.791585435244897</v>
      </c>
      <c r="AK5820">
        <v>38.7272584140524</v>
      </c>
      <c r="AL5820">
        <v>82.216243026591698</v>
      </c>
      <c r="AM5820">
        <v>96.540633311933604</v>
      </c>
      <c r="AN5820">
        <v>1.00000003230836</v>
      </c>
    </row>
    <row r="5821" spans="1:40" x14ac:dyDescent="0.25">
      <c r="A5821" t="str">
        <f>"20190303162418255"</f>
        <v>20190303162418255</v>
      </c>
      <c r="B5821" t="str">
        <f>"1551601458241160"</f>
        <v>1551601458241160</v>
      </c>
      <c r="C5821" t="s">
        <v>40</v>
      </c>
      <c r="D5821">
        <v>5.2430019999999997</v>
      </c>
      <c r="E5821">
        <v>0.49106880000000003</v>
      </c>
      <c r="F5821" t="s">
        <v>64</v>
      </c>
      <c r="G5821">
        <v>-239.47290000000001</v>
      </c>
      <c r="H5821" s="1">
        <v>-3.2793500000000002E-6</v>
      </c>
      <c r="I5821">
        <v>-61.407510000000002</v>
      </c>
      <c r="J5821">
        <v>-280.99470000000002</v>
      </c>
      <c r="K5821">
        <v>1.1248479999999901</v>
      </c>
      <c r="L5821">
        <v>-61.559019999999997</v>
      </c>
      <c r="M5821">
        <v>0.99140859999999997</v>
      </c>
      <c r="N5821">
        <v>-1.4481839999999999E-2</v>
      </c>
      <c r="O5821">
        <v>-0.12999740000000001</v>
      </c>
      <c r="P5821">
        <v>0.9921179</v>
      </c>
      <c r="Q5821">
        <v>0.12400079999999999</v>
      </c>
      <c r="R5821">
        <v>-1.8059639999999998E-2</v>
      </c>
      <c r="S5821">
        <v>3.03363</v>
      </c>
      <c r="T5821">
        <v>-8.1937549999999998E-2</v>
      </c>
      <c r="U5821">
        <v>9.9792479999999996E-3</v>
      </c>
      <c r="V5821">
        <v>-0.11241180000000001</v>
      </c>
      <c r="W5821">
        <v>0.13718720000000001</v>
      </c>
      <c r="X5821">
        <v>0.98414590000000002</v>
      </c>
      <c r="Y5821">
        <v>-0.13318740000000001</v>
      </c>
      <c r="Z5821">
        <v>4.3798719999999999E-3</v>
      </c>
      <c r="AA5821">
        <v>0.9910812</v>
      </c>
      <c r="AB5821">
        <v>26</v>
      </c>
      <c r="AC5821">
        <v>41.521799999999999</v>
      </c>
      <c r="AD5821">
        <v>-1.1248512793499901</v>
      </c>
      <c r="AE5821">
        <v>0.151510000000001</v>
      </c>
      <c r="AF5821">
        <v>-5.5444470276987303</v>
      </c>
      <c r="AG5821">
        <v>-1.1248512793499901</v>
      </c>
      <c r="AH5821">
        <v>41.119510453207901</v>
      </c>
      <c r="AI5821">
        <v>91.552926567721201</v>
      </c>
      <c r="AJ5821">
        <v>97.679296864685398</v>
      </c>
      <c r="AK5821">
        <v>41.506870794545399</v>
      </c>
      <c r="AL5821">
        <v>82.1148854268028</v>
      </c>
      <c r="AM5821">
        <v>96.516237713924497</v>
      </c>
      <c r="AN5821">
        <v>0.99999994655494295</v>
      </c>
    </row>
    <row r="5822" spans="1:40" x14ac:dyDescent="0.25">
      <c r="A5822" t="str">
        <f>"20190303162418267"</f>
        <v>20190303162418267</v>
      </c>
      <c r="B5822" t="str">
        <f>"1551601458260681"</f>
        <v>1551601458260681</v>
      </c>
      <c r="C5822" t="s">
        <v>40</v>
      </c>
      <c r="D5822">
        <v>5.186833</v>
      </c>
      <c r="E5822">
        <v>0.49098419999999998</v>
      </c>
      <c r="F5822" t="s">
        <v>64</v>
      </c>
      <c r="G5822">
        <v>-238.09360000000001</v>
      </c>
      <c r="H5822" s="1">
        <v>-2.715022E-6</v>
      </c>
      <c r="I5822">
        <v>-61.344929999999998</v>
      </c>
      <c r="J5822">
        <v>-280.86380000000003</v>
      </c>
      <c r="K5822">
        <v>1.1246510000000001</v>
      </c>
      <c r="L5822">
        <v>-61.573239999999998</v>
      </c>
      <c r="M5822">
        <v>0.99175230000000003</v>
      </c>
      <c r="N5822">
        <v>-1.445226E-2</v>
      </c>
      <c r="O5822">
        <v>-0.1273521</v>
      </c>
      <c r="P5822">
        <v>0.99194930000000003</v>
      </c>
      <c r="Q5822">
        <v>0.12565960000000001</v>
      </c>
      <c r="R5822">
        <v>-1.5697579999999999E-2</v>
      </c>
      <c r="S5822">
        <v>3.0340880000000001</v>
      </c>
      <c r="T5822">
        <v>-7.9552529999999996E-2</v>
      </c>
      <c r="U5822">
        <v>1.5136719999999999E-2</v>
      </c>
      <c r="V5822">
        <v>-0.1120473</v>
      </c>
      <c r="W5822">
        <v>0.1388742</v>
      </c>
      <c r="X5822">
        <v>0.98395089999999996</v>
      </c>
      <c r="Y5822">
        <v>-0.13223299999999999</v>
      </c>
      <c r="Z5822">
        <v>4.1769609999999999E-3</v>
      </c>
      <c r="AA5822">
        <v>0.99120989999999998</v>
      </c>
      <c r="AB5822">
        <v>26</v>
      </c>
      <c r="AC5822">
        <v>42.770200000000003</v>
      </c>
      <c r="AD5822">
        <v>-1.124653715022</v>
      </c>
      <c r="AE5822">
        <v>0.22831000000000001</v>
      </c>
      <c r="AF5822">
        <v>-5.6699738515150004</v>
      </c>
      <c r="AG5822">
        <v>-1.124653715022</v>
      </c>
      <c r="AH5822">
        <v>42.3635038596816</v>
      </c>
      <c r="AI5822">
        <v>91.507280084046101</v>
      </c>
      <c r="AJ5822">
        <v>97.623220725062893</v>
      </c>
      <c r="AK5822">
        <v>42.756051135772999</v>
      </c>
      <c r="AL5822">
        <v>82.017293759799003</v>
      </c>
      <c r="AM5822">
        <v>96.496565627238994</v>
      </c>
      <c r="AN5822">
        <v>1.00000000723687</v>
      </c>
    </row>
    <row r="5823" spans="1:40" x14ac:dyDescent="0.25">
      <c r="A5823" t="str">
        <f>"20190303162418277"</f>
        <v>20190303162418277</v>
      </c>
      <c r="B5823" t="str">
        <f>"1551601458270441"</f>
        <v>1551601458270441</v>
      </c>
      <c r="C5823" t="s">
        <v>40</v>
      </c>
      <c r="D5823">
        <v>5.1830400000000001</v>
      </c>
      <c r="E5823">
        <v>0.49119119999999999</v>
      </c>
      <c r="F5823" t="s">
        <v>64</v>
      </c>
      <c r="G5823">
        <v>-237.5264</v>
      </c>
      <c r="H5823" s="1">
        <v>-2.4481579999999998E-6</v>
      </c>
      <c r="I5823">
        <v>-61.256340000000002</v>
      </c>
      <c r="J5823">
        <v>-280.73880000000003</v>
      </c>
      <c r="K5823">
        <v>1.1244719999999999</v>
      </c>
      <c r="L5823">
        <v>-61.58661</v>
      </c>
      <c r="M5823">
        <v>0.9920561</v>
      </c>
      <c r="N5823">
        <v>-1.442476E-2</v>
      </c>
      <c r="O5823">
        <v>-0.12496649999999999</v>
      </c>
      <c r="P5823">
        <v>0.99173440000000002</v>
      </c>
      <c r="Q5823">
        <v>0.1275675</v>
      </c>
      <c r="R5823">
        <v>-1.377491E-2</v>
      </c>
      <c r="S5823">
        <v>3.0346679999999999</v>
      </c>
      <c r="T5823">
        <v>-7.8752989999999995E-2</v>
      </c>
      <c r="U5823">
        <v>2.2186279999999999E-2</v>
      </c>
      <c r="V5823">
        <v>-0.11150789999999999</v>
      </c>
      <c r="W5823">
        <v>0.14080860000000001</v>
      </c>
      <c r="X5823">
        <v>0.98373719999999998</v>
      </c>
      <c r="Y5823">
        <v>-0.132152399999999</v>
      </c>
      <c r="Z5823">
        <v>4.0984159999999997E-3</v>
      </c>
      <c r="AA5823">
        <v>0.99122100000000002</v>
      </c>
      <c r="AB5823">
        <v>26</v>
      </c>
      <c r="AC5823">
        <v>43.212400000000002</v>
      </c>
      <c r="AD5823">
        <v>-1.124474448158</v>
      </c>
      <c r="AE5823">
        <v>0.33026999999999801</v>
      </c>
      <c r="AF5823">
        <v>-5.7244686518772401</v>
      </c>
      <c r="AG5823">
        <v>-1.124474448158</v>
      </c>
      <c r="AH5823">
        <v>42.803326170850099</v>
      </c>
      <c r="AI5823">
        <v>91.491581509286704</v>
      </c>
      <c r="AJ5823">
        <v>97.617472066545005</v>
      </c>
      <c r="AK5823">
        <v>43.199059195994799</v>
      </c>
      <c r="AL5823">
        <v>81.905360671058006</v>
      </c>
      <c r="AM5823">
        <v>96.466949004027299</v>
      </c>
      <c r="AN5823">
        <v>0.99999997613010405</v>
      </c>
    </row>
    <row r="5824" spans="1:40" x14ac:dyDescent="0.25">
      <c r="A5824" t="str">
        <f>"20190303162418289"</f>
        <v>20190303162418289</v>
      </c>
      <c r="B5824" t="str">
        <f>"1551601458280709"</f>
        <v>1551601458280709</v>
      </c>
      <c r="C5824" t="s">
        <v>40</v>
      </c>
      <c r="D5824">
        <v>5.3016819999999996</v>
      </c>
      <c r="E5824">
        <v>0.49133779999999999</v>
      </c>
      <c r="F5824" t="s">
        <v>64</v>
      </c>
      <c r="G5824">
        <v>-234.42859999999999</v>
      </c>
      <c r="H5824" s="1">
        <v>-1.102592E-6</v>
      </c>
      <c r="I5824">
        <v>-61.193969999999901</v>
      </c>
      <c r="J5824">
        <v>-280.6096</v>
      </c>
      <c r="K5824">
        <v>1.12429</v>
      </c>
      <c r="L5824">
        <v>-61.600189999999998</v>
      </c>
      <c r="M5824">
        <v>0.99234750000000005</v>
      </c>
      <c r="N5824">
        <v>-1.4397299999999899E-2</v>
      </c>
      <c r="O5824">
        <v>-0.12263499999999999</v>
      </c>
      <c r="P5824">
        <v>0.99149860000000001</v>
      </c>
      <c r="Q5824">
        <v>0.1295258</v>
      </c>
      <c r="R5824">
        <v>-1.2400339999999999E-2</v>
      </c>
      <c r="S5824">
        <v>3.034821</v>
      </c>
      <c r="T5824">
        <v>-7.3689340000000006E-2</v>
      </c>
      <c r="U5824">
        <v>2.572632E-2</v>
      </c>
      <c r="V5824">
        <v>-0.1104774</v>
      </c>
      <c r="W5824">
        <v>0.1427967</v>
      </c>
      <c r="X5824">
        <v>0.98356690000000002</v>
      </c>
      <c r="Y5824">
        <v>-0.13098870000000001</v>
      </c>
      <c r="Z5824">
        <v>3.7365599999999999E-3</v>
      </c>
      <c r="AA5824">
        <v>0.99137679999999995</v>
      </c>
      <c r="AB5824">
        <v>26</v>
      </c>
      <c r="AC5824">
        <v>46.180999999999997</v>
      </c>
      <c r="AD5824">
        <v>-1.1242911025919999</v>
      </c>
      <c r="AE5824">
        <v>0.40622000000001102</v>
      </c>
      <c r="AF5824">
        <v>-6.0635530535641902</v>
      </c>
      <c r="AG5824">
        <v>-1.1242911025919999</v>
      </c>
      <c r="AH5824">
        <v>45.755407163432501</v>
      </c>
      <c r="AI5824">
        <v>91.395380680827799</v>
      </c>
      <c r="AJ5824">
        <v>97.548909134263496</v>
      </c>
      <c r="AK5824">
        <v>46.169123782114902</v>
      </c>
      <c r="AL5824">
        <v>81.790288292575696</v>
      </c>
      <c r="AM5824">
        <v>96.408784301406399</v>
      </c>
      <c r="AN5824">
        <v>1.00000000010863</v>
      </c>
    </row>
    <row r="5825" spans="1:40" x14ac:dyDescent="0.25">
      <c r="A5825" t="str">
        <f>"20190303162418301"</f>
        <v>20190303162418301</v>
      </c>
      <c r="B5825" t="str">
        <f>"1551601458290470"</f>
        <v>1551601458290470</v>
      </c>
      <c r="C5825" t="s">
        <v>40</v>
      </c>
      <c r="D5825">
        <v>5.1851019999999997</v>
      </c>
      <c r="E5825">
        <v>0.49165449999999999</v>
      </c>
      <c r="F5825" t="s">
        <v>64</v>
      </c>
      <c r="G5825">
        <v>-230.0472</v>
      </c>
      <c r="H5825" s="1">
        <v>7.951368E-7</v>
      </c>
      <c r="I5825">
        <v>-61.125749999999996</v>
      </c>
      <c r="J5825">
        <v>-280.47309999999999</v>
      </c>
      <c r="K5825">
        <v>1.124106</v>
      </c>
      <c r="L5825">
        <v>-61.614440000000002</v>
      </c>
      <c r="M5825">
        <v>0.99263729999999994</v>
      </c>
      <c r="N5825">
        <v>-1.436925E-2</v>
      </c>
      <c r="O5825">
        <v>-0.12027119999999999</v>
      </c>
      <c r="P5825">
        <v>0.99131519999999995</v>
      </c>
      <c r="Q5825">
        <v>0.13097980000000001</v>
      </c>
      <c r="R5825">
        <v>-1.177279E-2</v>
      </c>
      <c r="S5825">
        <v>3.0348820000000001</v>
      </c>
      <c r="T5825">
        <v>-6.7482589999999995E-2</v>
      </c>
      <c r="U5825">
        <v>2.8472899999999999E-2</v>
      </c>
      <c r="V5825">
        <v>-0.10867400000000001</v>
      </c>
      <c r="W5825">
        <v>0.1442889</v>
      </c>
      <c r="X5825">
        <v>0.98355000000000004</v>
      </c>
      <c r="Y5825">
        <v>-0.12953539999999999</v>
      </c>
      <c r="Z5825">
        <v>3.3092040000000001E-3</v>
      </c>
      <c r="AA5825">
        <v>0.99156929999999999</v>
      </c>
      <c r="AB5825">
        <v>26</v>
      </c>
      <c r="AC5825">
        <v>50.425899999999899</v>
      </c>
      <c r="AD5825">
        <v>-1.1241052048631901</v>
      </c>
      <c r="AE5825">
        <v>0.48869000000000501</v>
      </c>
      <c r="AF5825">
        <v>-6.5472969349599097</v>
      </c>
      <c r="AG5825">
        <v>-1.1241052048631901</v>
      </c>
      <c r="AH5825">
        <v>49.976172011815002</v>
      </c>
      <c r="AI5825">
        <v>91.277612922764803</v>
      </c>
      <c r="AJ5825">
        <v>97.463720069314505</v>
      </c>
      <c r="AK5825">
        <v>50.4157562535827</v>
      </c>
      <c r="AL5825">
        <v>81.703896557619899</v>
      </c>
      <c r="AM5825">
        <v>96.305126105880802</v>
      </c>
      <c r="AN5825">
        <v>0.99999996371960398</v>
      </c>
    </row>
    <row r="5826" spans="1:40" x14ac:dyDescent="0.25">
      <c r="A5826" t="str">
        <f>"20190303162418314"</f>
        <v>20190303162418314</v>
      </c>
      <c r="B5826" t="str">
        <f>"1551601458301205"</f>
        <v>1551601458301205</v>
      </c>
      <c r="C5826" t="s">
        <v>40</v>
      </c>
      <c r="D5826">
        <v>5.0501680000000002</v>
      </c>
      <c r="E5826">
        <v>0.49196669999999998</v>
      </c>
      <c r="F5826" t="s">
        <v>65</v>
      </c>
      <c r="G5826">
        <v>-224.4949</v>
      </c>
      <c r="H5826" s="1">
        <v>-1.2045939999999999E-6</v>
      </c>
      <c r="I5826">
        <v>-61.095419999999997</v>
      </c>
      <c r="J5826">
        <v>-280.33120000000002</v>
      </c>
      <c r="K5826">
        <v>1.1239239999999999</v>
      </c>
      <c r="L5826">
        <v>-61.628970000000002</v>
      </c>
      <c r="M5826">
        <v>0.99290540000000005</v>
      </c>
      <c r="N5826">
        <v>-1.434086E-2</v>
      </c>
      <c r="O5826">
        <v>-0.11803859999999999</v>
      </c>
      <c r="P5826">
        <v>0.99113510000000005</v>
      </c>
      <c r="Q5826">
        <v>0.13235050000000001</v>
      </c>
      <c r="R5826">
        <v>-1.159545E-2</v>
      </c>
      <c r="S5826">
        <v>3.0346679999999999</v>
      </c>
      <c r="T5826">
        <v>-6.0939670000000001E-2</v>
      </c>
      <c r="U5826">
        <v>2.8137209999999999E-2</v>
      </c>
      <c r="V5826">
        <v>-0.1065542</v>
      </c>
      <c r="W5826">
        <v>0.1456982</v>
      </c>
      <c r="X5826">
        <v>0.98357419999999995</v>
      </c>
      <c r="Y5826">
        <v>-0.1272066</v>
      </c>
      <c r="Z5826">
        <v>2.860137E-3</v>
      </c>
      <c r="AA5826">
        <v>0.99187210000000003</v>
      </c>
      <c r="AB5826">
        <v>26</v>
      </c>
      <c r="AC5826">
        <v>55.836300000000001</v>
      </c>
      <c r="AD5826">
        <v>-1.123925204594</v>
      </c>
      <c r="AE5826">
        <v>0.53354999999999797</v>
      </c>
      <c r="AF5826">
        <v>-7.1184520739926898</v>
      </c>
      <c r="AG5826">
        <v>-1.123925204594</v>
      </c>
      <c r="AH5826">
        <v>55.360453684191498</v>
      </c>
      <c r="AI5826">
        <v>91.153561652766697</v>
      </c>
      <c r="AJ5826">
        <v>97.327098433991196</v>
      </c>
      <c r="AK5826">
        <v>55.827550545539502</v>
      </c>
      <c r="AL5826">
        <v>81.622287385912699</v>
      </c>
      <c r="AM5826">
        <v>96.1829490703619</v>
      </c>
      <c r="AN5826">
        <v>0.99999998496325904</v>
      </c>
    </row>
    <row r="5827" spans="1:40" x14ac:dyDescent="0.25">
      <c r="A5827" t="str">
        <f>"20190303162418327"</f>
        <v>20190303162418327</v>
      </c>
      <c r="B5827" t="str">
        <f>"1551601458320725"</f>
        <v>1551601458320725</v>
      </c>
      <c r="C5827" t="s">
        <v>40</v>
      </c>
      <c r="D5827">
        <v>5.2444089999999903</v>
      </c>
      <c r="E5827">
        <v>0.49274639999999997</v>
      </c>
      <c r="F5827" t="s">
        <v>65</v>
      </c>
      <c r="G5827">
        <v>-220.1858</v>
      </c>
      <c r="H5827" s="1">
        <v>6.4287819999999897E-7</v>
      </c>
      <c r="I5827">
        <v>-61.100340000000003</v>
      </c>
      <c r="J5827">
        <v>-280.1832</v>
      </c>
      <c r="K5827">
        <v>1.123734</v>
      </c>
      <c r="L5827">
        <v>-61.644010000000002</v>
      </c>
      <c r="M5827">
        <v>0.99316720000000003</v>
      </c>
      <c r="N5827">
        <v>-1.4312180000000001E-2</v>
      </c>
      <c r="O5827">
        <v>-0.1158194</v>
      </c>
      <c r="P5827">
        <v>0.99097590000000002</v>
      </c>
      <c r="Q5827">
        <v>0.13348499999999999</v>
      </c>
      <c r="R5827">
        <v>-1.21881E-2</v>
      </c>
      <c r="S5827">
        <v>3.034729</v>
      </c>
      <c r="T5827">
        <v>-5.6709290000000002E-2</v>
      </c>
      <c r="U5827">
        <v>2.6672359999999999E-2</v>
      </c>
      <c r="V5827">
        <v>-0.1036816</v>
      </c>
      <c r="W5827">
        <v>0.1468769</v>
      </c>
      <c r="X5827">
        <v>0.98370590000000002</v>
      </c>
      <c r="Y5827">
        <v>-0.124517</v>
      </c>
      <c r="Z5827">
        <v>2.5549869999999999E-3</v>
      </c>
      <c r="AA5827">
        <v>0.99221420000000005</v>
      </c>
      <c r="AB5827">
        <v>26</v>
      </c>
      <c r="AC5827">
        <v>59.997399999999999</v>
      </c>
      <c r="AD5827">
        <v>-1.1237333571218</v>
      </c>
      <c r="AE5827">
        <v>0.54366999999999099</v>
      </c>
      <c r="AF5827">
        <v>-7.4869587547249399</v>
      </c>
      <c r="AG5827">
        <v>-1.1237333571218</v>
      </c>
      <c r="AH5827">
        <v>59.509703472125999</v>
      </c>
      <c r="AI5827">
        <v>91.073339592354401</v>
      </c>
      <c r="AJ5827">
        <v>97.170748090154206</v>
      </c>
      <c r="AK5827">
        <v>59.9893501831219</v>
      </c>
      <c r="AL5827">
        <v>81.554018524572697</v>
      </c>
      <c r="AM5827">
        <v>96.016702687013606</v>
      </c>
      <c r="AN5827">
        <v>0.99999999781348903</v>
      </c>
    </row>
    <row r="5828" spans="1:40" x14ac:dyDescent="0.25">
      <c r="A5828" t="str">
        <f>"20190303162418340"</f>
        <v>20190303162418340</v>
      </c>
      <c r="B5828" t="str">
        <f>"1551601458330484"</f>
        <v>1551601458330484</v>
      </c>
      <c r="C5828" t="s">
        <v>40</v>
      </c>
      <c r="D5828">
        <v>5.2363470000000003</v>
      </c>
      <c r="E5828">
        <v>0.49302790000000002</v>
      </c>
      <c r="F5828" t="s">
        <v>66</v>
      </c>
      <c r="G5828">
        <v>-218.95920000000001</v>
      </c>
      <c r="H5828" s="1">
        <v>-3.0438310000000002E-6</v>
      </c>
      <c r="I5828">
        <v>-61.253050000000002</v>
      </c>
      <c r="J5828">
        <v>-280.03710000000001</v>
      </c>
      <c r="K5828">
        <v>1.1235489999999999</v>
      </c>
      <c r="L5828">
        <v>-61.658659999999998</v>
      </c>
      <c r="M5828">
        <v>0.99340119999999998</v>
      </c>
      <c r="N5828">
        <v>-1.428457E-2</v>
      </c>
      <c r="O5828">
        <v>-0.113798</v>
      </c>
      <c r="P5828">
        <v>0.99080630000000003</v>
      </c>
      <c r="Q5828">
        <v>0.13470360000000001</v>
      </c>
      <c r="R5828">
        <v>-1.2555739999999999E-2</v>
      </c>
      <c r="S5828">
        <v>3.0350950000000001</v>
      </c>
      <c r="T5828">
        <v>-5.5707689999999997E-2</v>
      </c>
      <c r="U5828">
        <v>1.9378659999999999E-2</v>
      </c>
      <c r="V5828">
        <v>-0.1012291</v>
      </c>
      <c r="W5828">
        <v>0.1481333</v>
      </c>
      <c r="X5828">
        <v>0.98377289999999995</v>
      </c>
      <c r="Y5828">
        <v>-0.1201137</v>
      </c>
      <c r="Z5828">
        <v>2.417481E-3</v>
      </c>
      <c r="AA5828">
        <v>0.99275720000000001</v>
      </c>
      <c r="AB5828">
        <v>26</v>
      </c>
      <c r="AC5828">
        <v>61.0779</v>
      </c>
      <c r="AD5828">
        <v>-1.1235520438309901</v>
      </c>
      <c r="AE5828">
        <v>0.40560999999999497</v>
      </c>
      <c r="AF5828">
        <v>-7.3517391063979902</v>
      </c>
      <c r="AG5828">
        <v>-1.1235520438309901</v>
      </c>
      <c r="AH5828">
        <v>60.6143783477985</v>
      </c>
      <c r="AI5828">
        <v>91.054192865370297</v>
      </c>
      <c r="AJ5828">
        <v>96.915457993005802</v>
      </c>
      <c r="AK5828">
        <v>61.068922534901503</v>
      </c>
      <c r="AL5828">
        <v>81.481235647590793</v>
      </c>
      <c r="AM5828">
        <v>95.874992893404695</v>
      </c>
      <c r="AN5828">
        <v>0.99999996201505403</v>
      </c>
    </row>
    <row r="5829" spans="1:40" x14ac:dyDescent="0.25">
      <c r="A5829" t="str">
        <f>"20190303162418351"</f>
        <v>20190303162418351</v>
      </c>
      <c r="B5829" t="str">
        <f>"1551601458341220"</f>
        <v>1551601458341220</v>
      </c>
      <c r="C5829" t="s">
        <v>40</v>
      </c>
      <c r="D5829">
        <v>5.2933940000000002</v>
      </c>
      <c r="E5829">
        <v>0.49331520000000001</v>
      </c>
      <c r="F5829" t="s">
        <v>66</v>
      </c>
      <c r="G5829">
        <v>-215.28620000000001</v>
      </c>
      <c r="H5829" s="1">
        <v>-1.4826640000000001E-6</v>
      </c>
      <c r="I5829">
        <v>-61.307690000000001</v>
      </c>
      <c r="J5829">
        <v>-279.89839999999998</v>
      </c>
      <c r="K5829">
        <v>1.1233850000000001</v>
      </c>
      <c r="L5829">
        <v>-61.672420000000002</v>
      </c>
      <c r="M5829">
        <v>0.9936026</v>
      </c>
      <c r="N5829">
        <v>-1.4259640000000001E-2</v>
      </c>
      <c r="O5829">
        <v>-0.1120294</v>
      </c>
      <c r="P5829">
        <v>0.99066089999999996</v>
      </c>
      <c r="Q5829">
        <v>0.13570769999999999</v>
      </c>
      <c r="R5829">
        <v>-1.321817E-2</v>
      </c>
      <c r="S5829">
        <v>3.0351870000000001</v>
      </c>
      <c r="T5829">
        <v>-5.2666190000000002E-2</v>
      </c>
      <c r="U5829">
        <v>1.644897E-2</v>
      </c>
      <c r="V5829">
        <v>-9.8743369999999997E-2</v>
      </c>
      <c r="W5829">
        <v>0.14917169999999999</v>
      </c>
      <c r="X5829">
        <v>0.98386870000000004</v>
      </c>
      <c r="Y5829">
        <v>-0.1173918</v>
      </c>
      <c r="Z5829">
        <v>2.1964350000000001E-3</v>
      </c>
      <c r="AA5829">
        <v>0.99308320000000005</v>
      </c>
      <c r="AB5829">
        <v>26</v>
      </c>
      <c r="AC5829">
        <v>64.612199999999902</v>
      </c>
      <c r="AD5829">
        <v>-1.1233864826639901</v>
      </c>
      <c r="AE5829">
        <v>0.364729999999994</v>
      </c>
      <c r="AF5829">
        <v>-7.5993382102442304</v>
      </c>
      <c r="AG5829">
        <v>-1.1233864826639901</v>
      </c>
      <c r="AH5829">
        <v>64.145121600826499</v>
      </c>
      <c r="AI5829">
        <v>90.9963636110312</v>
      </c>
      <c r="AJ5829">
        <v>96.756397544556293</v>
      </c>
      <c r="AK5829">
        <v>64.603471761259996</v>
      </c>
      <c r="AL5829">
        <v>81.421071870462498</v>
      </c>
      <c r="AM5829">
        <v>95.7311476911011</v>
      </c>
      <c r="AN5829">
        <v>1.0000000340197599</v>
      </c>
    </row>
    <row r="5830" spans="1:40" x14ac:dyDescent="0.25">
      <c r="A5830" t="str">
        <f>"20190303162418367"</f>
        <v>20190303162418367</v>
      </c>
      <c r="B5830" t="str">
        <f>"1551601458360741"</f>
        <v>1551601458360741</v>
      </c>
      <c r="C5830" t="s">
        <v>40</v>
      </c>
      <c r="D5830">
        <v>5.2921129999999996</v>
      </c>
      <c r="E5830">
        <v>0.49330170000000001</v>
      </c>
      <c r="F5830" t="s">
        <v>66</v>
      </c>
      <c r="G5830">
        <v>-214.5394</v>
      </c>
      <c r="H5830" s="1">
        <v>-1.186249E-6</v>
      </c>
      <c r="I5830">
        <v>-61.397709999999996</v>
      </c>
      <c r="J5830">
        <v>-279.72370000000001</v>
      </c>
      <c r="K5830">
        <v>1.1231899999999999</v>
      </c>
      <c r="L5830">
        <v>-61.689639999999997</v>
      </c>
      <c r="M5830">
        <v>0.99383739999999998</v>
      </c>
      <c r="N5830">
        <v>-1.422971E-2</v>
      </c>
      <c r="O5830">
        <v>-0.1099319</v>
      </c>
      <c r="P5830">
        <v>0.99021219999999999</v>
      </c>
      <c r="Q5830">
        <v>0.13859350000000001</v>
      </c>
      <c r="R5830">
        <v>-1.648705E-2</v>
      </c>
      <c r="S5830">
        <v>3.0355829999999999</v>
      </c>
      <c r="T5830">
        <v>-5.2175399999999997E-2</v>
      </c>
      <c r="U5830">
        <v>1.275635E-2</v>
      </c>
      <c r="V5830">
        <v>-9.3302129999999997E-2</v>
      </c>
      <c r="W5830">
        <v>0.15210940000000001</v>
      </c>
      <c r="X5830">
        <v>0.98394990000000004</v>
      </c>
      <c r="Y5830">
        <v>-0.1140876</v>
      </c>
      <c r="Z5830">
        <v>2.112212E-3</v>
      </c>
      <c r="AA5830">
        <v>0.99346849999999998</v>
      </c>
      <c r="AB5830">
        <v>26</v>
      </c>
      <c r="AC5830">
        <v>65.184299999999993</v>
      </c>
      <c r="AD5830">
        <v>-1.1231911862489901</v>
      </c>
      <c r="AE5830">
        <v>0.29193000000000702</v>
      </c>
      <c r="AF5830">
        <v>-7.4545055575032597</v>
      </c>
      <c r="AG5830">
        <v>-1.1231911862489901</v>
      </c>
      <c r="AH5830">
        <v>64.737829302951596</v>
      </c>
      <c r="AI5830">
        <v>90.987449468888201</v>
      </c>
      <c r="AJ5830">
        <v>96.568629980535604</v>
      </c>
      <c r="AK5830">
        <v>65.175284843303999</v>
      </c>
      <c r="AL5830">
        <v>81.250810620822605</v>
      </c>
      <c r="AM5830">
        <v>95.416822203400102</v>
      </c>
      <c r="AN5830">
        <v>0.99999998137045298</v>
      </c>
    </row>
    <row r="5831" spans="1:40" x14ac:dyDescent="0.25">
      <c r="A5831" t="str">
        <f>"20190303162418378"</f>
        <v>20190303162418378</v>
      </c>
      <c r="B5831" t="str">
        <f>"1551601458370501"</f>
        <v>1551601458370501</v>
      </c>
      <c r="C5831" t="s">
        <v>40</v>
      </c>
      <c r="D5831">
        <v>5.3503809999999996</v>
      </c>
      <c r="E5831">
        <v>0.49339290000000002</v>
      </c>
      <c r="F5831" t="s">
        <v>66</v>
      </c>
      <c r="G5831">
        <v>-211.8158</v>
      </c>
      <c r="H5831" s="1">
        <v>-7.2947269999999998E-8</v>
      </c>
      <c r="I5831">
        <v>-61.604959999999998</v>
      </c>
      <c r="J5831">
        <v>-279.59010000000001</v>
      </c>
      <c r="K5831">
        <v>1.123043</v>
      </c>
      <c r="L5831">
        <v>-61.702640000000002</v>
      </c>
      <c r="M5831">
        <v>0.99399959999999998</v>
      </c>
      <c r="N5831">
        <v>-1.420808E-2</v>
      </c>
      <c r="O5831">
        <v>-0.1084566</v>
      </c>
      <c r="P5831">
        <v>0.98994709999999997</v>
      </c>
      <c r="Q5831">
        <v>0.14025409999999999</v>
      </c>
      <c r="R5831">
        <v>-1.8258819999999999E-2</v>
      </c>
      <c r="S5831">
        <v>3.0367130000000002</v>
      </c>
      <c r="T5831">
        <v>-5.0226930000000003E-2</v>
      </c>
      <c r="U5831">
        <v>3.7841799999999998E-3</v>
      </c>
      <c r="V5831">
        <v>-8.9999109999999993E-2</v>
      </c>
      <c r="W5831">
        <v>0.1538011</v>
      </c>
      <c r="X5831">
        <v>0.98399460000000005</v>
      </c>
      <c r="Y5831">
        <v>-0.1096781</v>
      </c>
      <c r="Z5831">
        <v>1.9341060000000001E-3</v>
      </c>
      <c r="AA5831">
        <v>0.99396530000000005</v>
      </c>
      <c r="AB5831">
        <v>26</v>
      </c>
      <c r="AC5831">
        <v>67.774299999999997</v>
      </c>
      <c r="AD5831">
        <v>-1.12304307294727</v>
      </c>
      <c r="AE5831">
        <v>9.7680000000004E-2</v>
      </c>
      <c r="AF5831">
        <v>-7.4463716180204704</v>
      </c>
      <c r="AG5831">
        <v>-1.12304307294727</v>
      </c>
      <c r="AH5831">
        <v>67.345344446638194</v>
      </c>
      <c r="AI5831">
        <v>90.949583190952694</v>
      </c>
      <c r="AJ5831">
        <v>96.309562016784795</v>
      </c>
      <c r="AK5831">
        <v>67.765072822610506</v>
      </c>
      <c r="AL5831">
        <v>81.152729349631599</v>
      </c>
      <c r="AM5831">
        <v>95.2259045364424</v>
      </c>
      <c r="AN5831">
        <v>0.99999999549558105</v>
      </c>
    </row>
    <row r="5832" spans="1:40" x14ac:dyDescent="0.25">
      <c r="A5832" t="str">
        <f>"20190303162418390"</f>
        <v>20190303162418390</v>
      </c>
      <c r="B5832" t="str">
        <f>"1551601458380766"</f>
        <v>1551601458380766</v>
      </c>
      <c r="C5832" t="s">
        <v>40</v>
      </c>
      <c r="D5832">
        <v>5.288907</v>
      </c>
      <c r="E5832">
        <v>0.49349389999999999</v>
      </c>
      <c r="F5832" t="s">
        <v>56</v>
      </c>
      <c r="G5832">
        <v>-209.86150000000001</v>
      </c>
      <c r="H5832" s="1">
        <v>-3.984584E-7</v>
      </c>
      <c r="I5832">
        <v>-61.748890000000003</v>
      </c>
      <c r="J5832">
        <v>-279.46800000000002</v>
      </c>
      <c r="K5832">
        <v>1.1229229999999999</v>
      </c>
      <c r="L5832">
        <v>-61.714480000000002</v>
      </c>
      <c r="M5832">
        <v>0.99413609999999997</v>
      </c>
      <c r="N5832">
        <v>-1.4189469999999999E-2</v>
      </c>
      <c r="O5832">
        <v>-0.1072007</v>
      </c>
      <c r="P5832">
        <v>0.9897186</v>
      </c>
      <c r="Q5832">
        <v>0.14144100000000001</v>
      </c>
      <c r="R5832">
        <v>-2.124931E-2</v>
      </c>
      <c r="S5832">
        <v>3.0373540000000001</v>
      </c>
      <c r="T5832">
        <v>-4.8919320000000002E-2</v>
      </c>
      <c r="U5832">
        <v>-2.0141600000000001E-3</v>
      </c>
      <c r="V5832">
        <v>-8.5711029999999994E-2</v>
      </c>
      <c r="W5832">
        <v>0.1550213</v>
      </c>
      <c r="X5832">
        <v>0.98418600000000001</v>
      </c>
      <c r="Y5832">
        <v>-0.106526</v>
      </c>
      <c r="Z5832">
        <v>1.814242E-3</v>
      </c>
      <c r="AA5832">
        <v>0.99430819999999998</v>
      </c>
      <c r="AB5832">
        <v>26</v>
      </c>
      <c r="AC5832">
        <v>69.606499999999997</v>
      </c>
      <c r="AD5832">
        <v>-1.1229233984583999</v>
      </c>
      <c r="AE5832">
        <v>-3.4410000000001099E-2</v>
      </c>
      <c r="AF5832">
        <v>-7.4264726875718798</v>
      </c>
      <c r="AG5832">
        <v>-1.1229233984583999</v>
      </c>
      <c r="AH5832">
        <v>69.190986407003393</v>
      </c>
      <c r="AI5832">
        <v>90.924481522962395</v>
      </c>
      <c r="AJ5832">
        <v>96.126271259127194</v>
      </c>
      <c r="AK5832">
        <v>69.597457234529699</v>
      </c>
      <c r="AL5832">
        <v>81.081968715103102</v>
      </c>
      <c r="AM5832">
        <v>94.977231104228593</v>
      </c>
      <c r="AN5832">
        <v>1.0000000333566701</v>
      </c>
    </row>
    <row r="5833" spans="1:40" x14ac:dyDescent="0.25">
      <c r="A5833" t="str">
        <f>"20190303162418404"</f>
        <v>20190303162418404</v>
      </c>
      <c r="B5833" t="str">
        <f>"1551601458390528"</f>
        <v>1551601458390528</v>
      </c>
      <c r="C5833" t="s">
        <v>40</v>
      </c>
      <c r="D5833">
        <v>5.3537569999999999</v>
      </c>
      <c r="E5833">
        <v>0.493506</v>
      </c>
      <c r="F5833" t="s">
        <v>56</v>
      </c>
      <c r="G5833">
        <v>-209.49090000000001</v>
      </c>
      <c r="H5833" s="1">
        <v>-6.0133890000000004E-7</v>
      </c>
      <c r="I5833">
        <v>-61.979500000000002</v>
      </c>
      <c r="J5833">
        <v>-279.31830000000002</v>
      </c>
      <c r="K5833">
        <v>1.1227750000000001</v>
      </c>
      <c r="L5833">
        <v>-61.728909999999999</v>
      </c>
      <c r="M5833">
        <v>0.99429449999999997</v>
      </c>
      <c r="N5833">
        <v>-1.416765E-2</v>
      </c>
      <c r="O5833">
        <v>-0.10572620000000001</v>
      </c>
      <c r="P5833">
        <v>0.98948239999999998</v>
      </c>
      <c r="Q5833">
        <v>0.14251539999999999</v>
      </c>
      <c r="R5833">
        <v>-2.4788439999999998E-2</v>
      </c>
      <c r="S5833">
        <v>3.037903</v>
      </c>
      <c r="T5833">
        <v>-4.874933E-2</v>
      </c>
      <c r="U5833">
        <v>-1.1505130000000001E-2</v>
      </c>
      <c r="V5833">
        <v>-8.0649769999999996E-2</v>
      </c>
      <c r="W5833">
        <v>0.15613199999999999</v>
      </c>
      <c r="X5833">
        <v>0.98443809999999998</v>
      </c>
      <c r="Y5833">
        <v>-0.1019453</v>
      </c>
      <c r="Z5833">
        <v>1.7340700000000001E-3</v>
      </c>
      <c r="AA5833">
        <v>0.99478849999999996</v>
      </c>
      <c r="AB5833">
        <v>26</v>
      </c>
      <c r="AC5833">
        <v>69.827399999999997</v>
      </c>
      <c r="AD5833">
        <v>-1.1227756013388901</v>
      </c>
      <c r="AE5833">
        <v>-0.25059000000000198</v>
      </c>
      <c r="AF5833">
        <v>-7.13229635215471</v>
      </c>
      <c r="AG5833">
        <v>-1.1227756013388901</v>
      </c>
      <c r="AH5833">
        <v>69.4445005899113</v>
      </c>
      <c r="AI5833">
        <v>90.921428744781807</v>
      </c>
      <c r="AJ5833">
        <v>95.864001379781399</v>
      </c>
      <c r="AK5833">
        <v>69.818829397864505</v>
      </c>
      <c r="AL5833">
        <v>81.017545382150502</v>
      </c>
      <c r="AM5833">
        <v>94.683478761442601</v>
      </c>
      <c r="AN5833">
        <v>0.99999997977833099</v>
      </c>
    </row>
    <row r="5834" spans="1:40" x14ac:dyDescent="0.25">
      <c r="A5834" t="str">
        <f>"20190303162418415"</f>
        <v>20190303162418415</v>
      </c>
      <c r="B5834" t="str">
        <f>"1551601458401263"</f>
        <v>1551601458401263</v>
      </c>
      <c r="C5834" t="s">
        <v>40</v>
      </c>
      <c r="D5834">
        <v>5.294378</v>
      </c>
      <c r="E5834">
        <v>0.49352430000000003</v>
      </c>
      <c r="F5834" t="s">
        <v>56</v>
      </c>
      <c r="G5834">
        <v>-209.85730000000001</v>
      </c>
      <c r="H5834" s="1">
        <v>-5.300434E-7</v>
      </c>
      <c r="I5834">
        <v>-62.23751</v>
      </c>
      <c r="J5834">
        <v>-279.17430000000002</v>
      </c>
      <c r="K5834">
        <v>1.122649</v>
      </c>
      <c r="L5834">
        <v>-61.742649999999998</v>
      </c>
      <c r="M5834">
        <v>0.99442770000000003</v>
      </c>
      <c r="N5834">
        <v>-1.4148010000000001E-2</v>
      </c>
      <c r="O5834">
        <v>-0.10446759999999999</v>
      </c>
      <c r="P5834">
        <v>0.98930370000000001</v>
      </c>
      <c r="Q5834">
        <v>0.1430312</v>
      </c>
      <c r="R5834">
        <v>-2.86381E-2</v>
      </c>
      <c r="S5834">
        <v>3.0383909999999998</v>
      </c>
      <c r="T5834">
        <v>-4.9112919999999997E-2</v>
      </c>
      <c r="U5834">
        <v>-2.2247309999999999E-2</v>
      </c>
      <c r="V5834">
        <v>-7.5503829999999994E-2</v>
      </c>
      <c r="W5834">
        <v>0.15667970000000001</v>
      </c>
      <c r="X5834">
        <v>0.98475919999999895</v>
      </c>
      <c r="Y5834">
        <v>-9.7169500000000006E-2</v>
      </c>
      <c r="Z5834">
        <v>1.678569E-3</v>
      </c>
      <c r="AA5834">
        <v>0.9952664</v>
      </c>
      <c r="AB5834">
        <v>26</v>
      </c>
      <c r="AC5834">
        <v>69.316999999999993</v>
      </c>
      <c r="AD5834">
        <v>-1.1226495300433901</v>
      </c>
      <c r="AE5834">
        <v>-0.49486000000000202</v>
      </c>
      <c r="AF5834">
        <v>-6.7481834015621196</v>
      </c>
      <c r="AG5834">
        <v>-1.1226495300433901</v>
      </c>
      <c r="AH5834">
        <v>68.971252733685205</v>
      </c>
      <c r="AI5834">
        <v>90.928093897321602</v>
      </c>
      <c r="AJ5834">
        <v>95.588063215763796</v>
      </c>
      <c r="AK5834">
        <v>69.309682042571097</v>
      </c>
      <c r="AL5834">
        <v>80.985773821323505</v>
      </c>
      <c r="AM5834">
        <v>94.384425607272107</v>
      </c>
      <c r="AN5834">
        <v>1.0000000193606899</v>
      </c>
    </row>
    <row r="5835" spans="1:40" x14ac:dyDescent="0.25">
      <c r="A5835" t="str">
        <f>"20190303162418427"</f>
        <v>20190303162418427</v>
      </c>
      <c r="B5835" t="str">
        <f>"1551601458420783"</f>
        <v>1551601458420783</v>
      </c>
      <c r="C5835" t="s">
        <v>40</v>
      </c>
      <c r="D5835">
        <v>5.366034</v>
      </c>
      <c r="E5835">
        <v>0.49346669999999998</v>
      </c>
      <c r="F5835" t="s">
        <v>66</v>
      </c>
      <c r="G5835">
        <v>-212.5067</v>
      </c>
      <c r="H5835" s="1">
        <v>-6.0459969999999997E-7</v>
      </c>
      <c r="I5835">
        <v>-62.489080000000001</v>
      </c>
      <c r="J5835">
        <v>-279.0478</v>
      </c>
      <c r="K5835">
        <v>1.12253799999999</v>
      </c>
      <c r="L5835">
        <v>-61.7547</v>
      </c>
      <c r="M5835">
        <v>0.9945387</v>
      </c>
      <c r="N5835">
        <v>-1.413145E-2</v>
      </c>
      <c r="O5835">
        <v>-0.1034088</v>
      </c>
      <c r="P5835">
        <v>0.98916099999999996</v>
      </c>
      <c r="Q5835">
        <v>0.14315369999999999</v>
      </c>
      <c r="R5835">
        <v>-3.2678939999999997E-2</v>
      </c>
      <c r="S5835">
        <v>3.0388790000000001</v>
      </c>
      <c r="T5835">
        <v>-5.1173209999999997E-2</v>
      </c>
      <c r="U5835">
        <v>-3.4027099999999998E-2</v>
      </c>
      <c r="V5835">
        <v>-7.0376240000000007E-2</v>
      </c>
      <c r="W5835">
        <v>0.15683039999999901</v>
      </c>
      <c r="X5835">
        <v>0.98511490000000002</v>
      </c>
      <c r="Y5835">
        <v>-9.2251760000000002E-2</v>
      </c>
      <c r="Z5835">
        <v>1.703701E-3</v>
      </c>
      <c r="AA5835">
        <v>0.99573429999999996</v>
      </c>
      <c r="AB5835">
        <v>26</v>
      </c>
      <c r="AC5835">
        <v>66.5411</v>
      </c>
      <c r="AD5835">
        <v>-1.1225386045996999</v>
      </c>
      <c r="AE5835">
        <v>-0.73438000000000103</v>
      </c>
      <c r="AF5835">
        <v>-6.14942939174923</v>
      </c>
      <c r="AG5835">
        <v>-1.1225386045996999</v>
      </c>
      <c r="AH5835">
        <v>66.241397258893599</v>
      </c>
      <c r="AI5835">
        <v>90.966695831737098</v>
      </c>
      <c r="AJ5835">
        <v>95.303773956548696</v>
      </c>
      <c r="AK5835">
        <v>66.535691817050207</v>
      </c>
      <c r="AL5835">
        <v>80.977030890222906</v>
      </c>
      <c r="AM5835">
        <v>94.086246943306094</v>
      </c>
      <c r="AN5835">
        <v>0.99999997786135297</v>
      </c>
    </row>
    <row r="5836" spans="1:40" x14ac:dyDescent="0.25">
      <c r="A5836" t="str">
        <f>"20190303162418445"</f>
        <v>20190303162418445</v>
      </c>
      <c r="B5836" t="str">
        <f>"1551601458441278"</f>
        <v>1551601458441278</v>
      </c>
      <c r="C5836" t="s">
        <v>40</v>
      </c>
      <c r="D5836">
        <v>5.470332</v>
      </c>
      <c r="E5836">
        <v>0.49404940000000003</v>
      </c>
      <c r="F5836" t="s">
        <v>66</v>
      </c>
      <c r="G5836">
        <v>-215.74619999999999</v>
      </c>
      <c r="H5836" s="1">
        <v>-2.0517659999999999E-6</v>
      </c>
      <c r="I5836">
        <v>-62.704920000000001</v>
      </c>
      <c r="J5836">
        <v>-278.84269999999998</v>
      </c>
      <c r="K5836">
        <v>1.1223669999999999</v>
      </c>
      <c r="L5836">
        <v>-61.77411</v>
      </c>
      <c r="M5836">
        <v>0.99470029999999998</v>
      </c>
      <c r="N5836">
        <v>-1.41063E-2</v>
      </c>
      <c r="O5836">
        <v>-0.1018449</v>
      </c>
      <c r="P5836">
        <v>0.98908260000000003</v>
      </c>
      <c r="Q5836">
        <v>0.1413442</v>
      </c>
      <c r="R5836">
        <v>-4.1681530000000001E-2</v>
      </c>
      <c r="S5836">
        <v>3.0391539999999999</v>
      </c>
      <c r="T5836">
        <v>-5.3893919999999998E-2</v>
      </c>
      <c r="U5836">
        <v>-4.5623780000000003E-2</v>
      </c>
      <c r="V5836">
        <v>-5.9789000000000002E-2</v>
      </c>
      <c r="W5836">
        <v>0.15507409999999999</v>
      </c>
      <c r="X5836">
        <v>0.98609190000000002</v>
      </c>
      <c r="Y5836">
        <v>-8.688622E-2</v>
      </c>
      <c r="Z5836">
        <v>1.7475779999999901E-3</v>
      </c>
      <c r="AA5836">
        <v>0.99621669999999996</v>
      </c>
      <c r="AB5836">
        <v>26</v>
      </c>
      <c r="AC5836">
        <v>63.096499999999899</v>
      </c>
      <c r="AD5836">
        <v>-1.1223690517659899</v>
      </c>
      <c r="AE5836">
        <v>-0.93080999999999403</v>
      </c>
      <c r="AF5836">
        <v>-5.4989873037475396</v>
      </c>
      <c r="AG5836">
        <v>-1.1223690517659899</v>
      </c>
      <c r="AH5836">
        <v>62.843278308696597</v>
      </c>
      <c r="AI5836">
        <v>91.019289011126702</v>
      </c>
      <c r="AJ5836">
        <v>95.000825965740404</v>
      </c>
      <c r="AK5836">
        <v>63.093392698755999</v>
      </c>
      <c r="AL5836">
        <v>81.078905879572503</v>
      </c>
      <c r="AM5836">
        <v>93.469726008611104</v>
      </c>
      <c r="AN5836">
        <v>0.99999996812870895</v>
      </c>
    </row>
    <row r="5837" spans="1:40" x14ac:dyDescent="0.25">
      <c r="A5837" t="str">
        <f>"20190303162418455"</f>
        <v>20190303162418455</v>
      </c>
      <c r="B5837" t="str">
        <f>"1551601458451039"</f>
        <v>1551601458451039</v>
      </c>
      <c r="C5837" t="s">
        <v>40</v>
      </c>
      <c r="D5837">
        <v>5.131138</v>
      </c>
      <c r="E5837">
        <v>0.49404940000000003</v>
      </c>
      <c r="F5837" t="s">
        <v>65</v>
      </c>
      <c r="G5837">
        <v>-226.21270000000001</v>
      </c>
      <c r="H5837" s="1">
        <v>-2.389899E-6</v>
      </c>
      <c r="I5837">
        <v>-63.111699999999999</v>
      </c>
      <c r="J5837">
        <v>-278.71480000000003</v>
      </c>
      <c r="K5837">
        <v>1.1222650000000001</v>
      </c>
      <c r="L5837">
        <v>-61.786160000000002</v>
      </c>
      <c r="M5837">
        <v>0.99478909999999998</v>
      </c>
      <c r="N5837">
        <v>-1.409176E-2</v>
      </c>
      <c r="O5837">
        <v>-0.1009756</v>
      </c>
      <c r="P5837">
        <v>0.98893169999999997</v>
      </c>
      <c r="Q5837">
        <v>0.14117679999999999</v>
      </c>
      <c r="R5837">
        <v>-4.5642450000000001E-2</v>
      </c>
      <c r="S5837">
        <v>3.0391539999999999</v>
      </c>
      <c r="T5837">
        <v>-6.4811939999999998E-2</v>
      </c>
      <c r="U5837">
        <v>-7.7239989999999994E-2</v>
      </c>
      <c r="V5837">
        <v>-5.493191E-2</v>
      </c>
      <c r="W5837">
        <v>0.1549257</v>
      </c>
      <c r="X5837">
        <v>0.98639770000000004</v>
      </c>
      <c r="Y5837">
        <v>-7.5645030000000002E-2</v>
      </c>
      <c r="Z5837">
        <v>2.0639069999999998E-3</v>
      </c>
      <c r="AA5837">
        <v>0.99713269999999998</v>
      </c>
      <c r="AB5837">
        <v>26</v>
      </c>
      <c r="AC5837">
        <v>52.502099999999999</v>
      </c>
      <c r="AD5837">
        <v>-1.1222673898989901</v>
      </c>
      <c r="AE5837">
        <v>-1.3255399999999999</v>
      </c>
      <c r="AF5837">
        <v>-3.98137579769153</v>
      </c>
      <c r="AG5837">
        <v>-1.1222673898989901</v>
      </c>
      <c r="AH5837">
        <v>52.343662114603397</v>
      </c>
      <c r="AI5837">
        <v>91.224717839840693</v>
      </c>
      <c r="AJ5837">
        <v>94.349669520582097</v>
      </c>
      <c r="AK5837">
        <v>52.506854799203502</v>
      </c>
      <c r="AL5837">
        <v>81.087512471299405</v>
      </c>
      <c r="AM5837">
        <v>93.187475995238501</v>
      </c>
      <c r="AN5837">
        <v>0.99999995491101301</v>
      </c>
    </row>
    <row r="5838" spans="1:40" x14ac:dyDescent="0.25">
      <c r="A5838" t="str">
        <f>"20190303162418556"</f>
        <v>20190303162418556</v>
      </c>
      <c r="B5838" t="str">
        <f>"1551601458550592"</f>
        <v>1551601458550592</v>
      </c>
      <c r="C5838" t="s">
        <v>40</v>
      </c>
      <c r="D5838">
        <v>5.0133869999999998</v>
      </c>
      <c r="E5838">
        <v>0.52405040000000003</v>
      </c>
      <c r="F5838" t="s">
        <v>65</v>
      </c>
      <c r="G5838">
        <v>-226.51820000000001</v>
      </c>
      <c r="H5838" s="1">
        <v>-2.5681999999999998E-6</v>
      </c>
      <c r="I5838">
        <v>-63.324159999999999</v>
      </c>
      <c r="J5838">
        <v>-277.5745</v>
      </c>
      <c r="K5838">
        <v>1.1214379999999999</v>
      </c>
      <c r="L5838">
        <v>-61.892330000000001</v>
      </c>
      <c r="M5838">
        <v>0.99529820000000002</v>
      </c>
      <c r="N5838">
        <v>-1.399215E-2</v>
      </c>
      <c r="O5838">
        <v>-9.5841590000000004E-2</v>
      </c>
      <c r="P5838">
        <v>0.98832379999999997</v>
      </c>
      <c r="Q5838">
        <v>0.1344455</v>
      </c>
      <c r="R5838">
        <v>-7.1697259999999999E-2</v>
      </c>
      <c r="S5838">
        <v>3.0387569999999999</v>
      </c>
      <c r="T5838">
        <v>-6.5335749999999998E-2</v>
      </c>
      <c r="U5838">
        <v>-8.9538569999999998E-2</v>
      </c>
      <c r="V5838">
        <v>-2.3525959999999999E-2</v>
      </c>
      <c r="W5838">
        <v>0.14826819999999999</v>
      </c>
      <c r="X5838">
        <v>0.98866730000000003</v>
      </c>
      <c r="Y5838">
        <v>-6.6464330000000002E-2</v>
      </c>
      <c r="Z5838">
        <v>1.8935950000000001E-3</v>
      </c>
      <c r="AA5838">
        <v>0.99778699999999998</v>
      </c>
      <c r="AB5838">
        <v>25</v>
      </c>
      <c r="AC5838">
        <v>51.056299999999901</v>
      </c>
      <c r="AD5838">
        <v>-1.1214405681999999</v>
      </c>
      <c r="AE5838">
        <v>-1.4318299999999899</v>
      </c>
      <c r="AF5838">
        <v>-3.4668875903820302</v>
      </c>
      <c r="AG5838">
        <v>-1.1214405681999999</v>
      </c>
      <c r="AH5838">
        <v>50.933909696934101</v>
      </c>
      <c r="AI5838">
        <v>91.258398853828197</v>
      </c>
      <c r="AJ5838">
        <v>93.893911001828798</v>
      </c>
      <c r="AK5838">
        <v>51.064078328388398</v>
      </c>
      <c r="AL5838">
        <v>81.473420296888406</v>
      </c>
      <c r="AM5838">
        <v>91.3631318525117</v>
      </c>
      <c r="AN5838">
        <v>0.99999998000722501</v>
      </c>
    </row>
    <row r="5839" spans="1:40" x14ac:dyDescent="0.25">
      <c r="A5839" t="str">
        <f>"20190303162418568"</f>
        <v>20190303162418568</v>
      </c>
      <c r="B5839" t="str">
        <f>"1551601458560351"</f>
        <v>1551601458560351</v>
      </c>
      <c r="C5839" t="s">
        <v>40</v>
      </c>
      <c r="D5839">
        <v>5.2983419999999999</v>
      </c>
      <c r="E5839">
        <v>0.52458019999999905</v>
      </c>
      <c r="F5839" t="s">
        <v>42</v>
      </c>
      <c r="G5839">
        <v>-276.89440000000002</v>
      </c>
      <c r="H5839">
        <v>0.81199100000000002</v>
      </c>
      <c r="I5839">
        <v>-61.97925</v>
      </c>
      <c r="J5839">
        <v>-277.45260000000002</v>
      </c>
      <c r="K5839">
        <v>1.121351</v>
      </c>
      <c r="L5839">
        <v>-61.903689999999997</v>
      </c>
      <c r="M5839">
        <v>0.99532350000000003</v>
      </c>
      <c r="N5839">
        <v>-1.3984399999999999E-2</v>
      </c>
      <c r="O5839">
        <v>-9.5581929999999996E-2</v>
      </c>
      <c r="P5839">
        <v>0.98831930000000001</v>
      </c>
      <c r="Q5839">
        <v>0.13386609999999999</v>
      </c>
      <c r="R5839">
        <v>-7.2835349999999993E-2</v>
      </c>
      <c r="S5839">
        <v>3.2041019999999998</v>
      </c>
      <c r="T5839">
        <v>-1.4579569999999999</v>
      </c>
      <c r="U5839">
        <v>-0.40957640000000001</v>
      </c>
      <c r="V5839">
        <v>-2.2102730000000001E-2</v>
      </c>
      <c r="W5839">
        <v>0.1476886</v>
      </c>
      <c r="X5839">
        <v>0.98878690000000002</v>
      </c>
      <c r="Y5839">
        <v>3.642045E-2</v>
      </c>
      <c r="Z5839">
        <v>3.1781259999999999E-2</v>
      </c>
      <c r="AA5839">
        <v>0.99883109999999997</v>
      </c>
      <c r="AB5839">
        <v>25</v>
      </c>
      <c r="AC5839">
        <v>0.55819999999999903</v>
      </c>
      <c r="AD5839">
        <v>-0.30936000000000002</v>
      </c>
      <c r="AE5839">
        <v>-7.5559999999995797E-2</v>
      </c>
      <c r="AF5839">
        <v>1.6790546227628701E-2</v>
      </c>
      <c r="AG5839">
        <v>-0.30936000000000002</v>
      </c>
      <c r="AH5839">
        <v>0.43243484629067602</v>
      </c>
      <c r="AI5839">
        <v>125.55916972483701</v>
      </c>
      <c r="AJ5839">
        <v>87.776440945029904</v>
      </c>
      <c r="AK5839">
        <v>0.53196374719435702</v>
      </c>
      <c r="AL5839">
        <v>81.506998724005797</v>
      </c>
      <c r="AM5839">
        <v>91.280541115764294</v>
      </c>
      <c r="AN5839">
        <v>0.999999993427511</v>
      </c>
    </row>
    <row r="5840" spans="1:40" x14ac:dyDescent="0.25">
      <c r="A5840" t="str">
        <f>"20190303162418588"</f>
        <v>20190303162418588</v>
      </c>
      <c r="B5840" t="str">
        <f>"1551601458580847"</f>
        <v>1551601458580847</v>
      </c>
      <c r="C5840" t="s">
        <v>40</v>
      </c>
      <c r="D5840">
        <v>5.3327330000000002</v>
      </c>
      <c r="E5840">
        <v>0.53021229999999997</v>
      </c>
      <c r="F5840" t="s">
        <v>42</v>
      </c>
      <c r="G5840">
        <v>-276.68720000000002</v>
      </c>
      <c r="H5840">
        <v>0.76794719999999905</v>
      </c>
      <c r="I5840">
        <v>-62.003909999999998</v>
      </c>
      <c r="J5840">
        <v>-277.2165</v>
      </c>
      <c r="K5840">
        <v>1.1211880000000001</v>
      </c>
      <c r="L5840">
        <v>-61.925809999999998</v>
      </c>
      <c r="M5840">
        <v>0.9953573</v>
      </c>
      <c r="N5840">
        <v>-1.3970700000000001E-2</v>
      </c>
      <c r="O5840">
        <v>-9.5230860000000001E-2</v>
      </c>
      <c r="P5840">
        <v>0.988398</v>
      </c>
      <c r="Q5840">
        <v>0.13272320000000001</v>
      </c>
      <c r="R5840">
        <v>-7.3853089999999996E-2</v>
      </c>
      <c r="S5840">
        <v>3.2050169999999998</v>
      </c>
      <c r="T5840">
        <v>-1.47977</v>
      </c>
      <c r="U5840">
        <v>-0.41854859999999999</v>
      </c>
      <c r="V5840">
        <v>-2.06918E-2</v>
      </c>
      <c r="W5840">
        <v>0.14654389999999901</v>
      </c>
      <c r="X5840">
        <v>0.98898770000000003</v>
      </c>
      <c r="Y5840">
        <v>3.9307710000000003E-2</v>
      </c>
      <c r="Z5840">
        <v>3.1421119999999997E-2</v>
      </c>
      <c r="AA5840">
        <v>0.99873299999999998</v>
      </c>
      <c r="AB5840">
        <v>25</v>
      </c>
      <c r="AC5840">
        <v>0.52929999999997701</v>
      </c>
      <c r="AD5840">
        <v>-0.35324079999999902</v>
      </c>
      <c r="AE5840">
        <v>-7.8099999999999101E-2</v>
      </c>
      <c r="AF5840">
        <v>1.9036444911777899E-2</v>
      </c>
      <c r="AG5840">
        <v>-0.35324079999999902</v>
      </c>
      <c r="AH5840">
        <v>0.37212433024279501</v>
      </c>
      <c r="AI5840">
        <v>133.47136380680001</v>
      </c>
      <c r="AJ5840">
        <v>87.071521773953805</v>
      </c>
      <c r="AK5840">
        <v>0.51343740239504099</v>
      </c>
      <c r="AL5840">
        <v>81.573306474328206</v>
      </c>
      <c r="AM5840">
        <v>91.198578979871698</v>
      </c>
      <c r="AN5840">
        <v>0.99999996798286905</v>
      </c>
    </row>
    <row r="5841" spans="1:40" x14ac:dyDescent="0.25">
      <c r="A5841" t="str">
        <f>"20190303162418600"</f>
        <v>20190303162418600</v>
      </c>
      <c r="B5841" t="str">
        <f>"1551601458590607"</f>
        <v>1551601458590607</v>
      </c>
      <c r="C5841" t="s">
        <v>40</v>
      </c>
      <c r="D5841">
        <v>5.4455650000000002</v>
      </c>
      <c r="E5841">
        <v>0.53268090000000001</v>
      </c>
      <c r="F5841" t="s">
        <v>42</v>
      </c>
      <c r="G5841">
        <v>-276.45139999999998</v>
      </c>
      <c r="H5841">
        <v>0.79767250000000001</v>
      </c>
      <c r="I5841">
        <v>-62.038080000000001</v>
      </c>
      <c r="J5841">
        <v>-277.08710000000002</v>
      </c>
      <c r="K5841">
        <v>1.1211070000000001</v>
      </c>
      <c r="L5841">
        <v>-61.937989999999999</v>
      </c>
      <c r="M5841">
        <v>0.99536880000000005</v>
      </c>
      <c r="N5841">
        <v>-1.3963730000000001E-2</v>
      </c>
      <c r="O5841">
        <v>-9.5110159999999999E-2</v>
      </c>
      <c r="P5841">
        <v>0.9885178</v>
      </c>
      <c r="Q5841">
        <v>0.13194129999999901</v>
      </c>
      <c r="R5841">
        <v>-7.3647130000000005E-2</v>
      </c>
      <c r="S5841">
        <v>3.181</v>
      </c>
      <c r="T5841">
        <v>-1.3451799999999901</v>
      </c>
      <c r="U5841">
        <v>-0.46649170000000001</v>
      </c>
      <c r="V5841">
        <v>-2.0760250000000001E-2</v>
      </c>
      <c r="W5841">
        <v>0.14576040000000001</v>
      </c>
      <c r="X5841">
        <v>0.98910209999999998</v>
      </c>
      <c r="Y5841">
        <v>5.3139560000000002E-2</v>
      </c>
      <c r="Z5841">
        <v>2.5891600000000001E-2</v>
      </c>
      <c r="AA5841">
        <v>0.99825140000000001</v>
      </c>
      <c r="AB5841">
        <v>25</v>
      </c>
      <c r="AC5841">
        <v>0.63570000000004201</v>
      </c>
      <c r="AD5841">
        <v>-0.32343450000000001</v>
      </c>
      <c r="AE5841">
        <v>-0.10009000000000801</v>
      </c>
      <c r="AF5841">
        <v>3.1269961115769199E-2</v>
      </c>
      <c r="AG5841">
        <v>-0.32343450000000001</v>
      </c>
      <c r="AH5841">
        <v>0.51280388611736205</v>
      </c>
      <c r="AI5841">
        <v>122.192399508261</v>
      </c>
      <c r="AJ5841">
        <v>86.510515747481705</v>
      </c>
      <c r="AK5841">
        <v>0.60708772996618898</v>
      </c>
      <c r="AL5841">
        <v>81.618685455357394</v>
      </c>
      <c r="AM5841">
        <v>91.202403759303905</v>
      </c>
      <c r="AN5841">
        <v>1.00000002320631</v>
      </c>
    </row>
    <row r="5842" spans="1:40" x14ac:dyDescent="0.25">
      <c r="A5842" t="str">
        <f>"20190303162418612"</f>
        <v>20190303162418612</v>
      </c>
      <c r="B5842" t="str">
        <f>"1551601458600367"</f>
        <v>1551601458600367</v>
      </c>
      <c r="C5842" t="s">
        <v>40</v>
      </c>
      <c r="D5842">
        <v>5.3465819999999997</v>
      </c>
      <c r="E5842">
        <v>0.53405849999999999</v>
      </c>
      <c r="F5842" t="s">
        <v>42</v>
      </c>
      <c r="G5842">
        <v>-276.4289</v>
      </c>
      <c r="H5842">
        <v>0.8538945</v>
      </c>
      <c r="I5842">
        <v>-62.038670000000003</v>
      </c>
      <c r="J5842">
        <v>-276.9606</v>
      </c>
      <c r="K5842">
        <v>1.121038</v>
      </c>
      <c r="L5842">
        <v>-61.949950000000001</v>
      </c>
      <c r="M5842">
        <v>0.99537370000000003</v>
      </c>
      <c r="N5842">
        <v>-1.395747E-2</v>
      </c>
      <c r="O5842">
        <v>-9.5060560000000002E-2</v>
      </c>
      <c r="P5842">
        <v>0.98858979999999996</v>
      </c>
      <c r="Q5842">
        <v>0.131494</v>
      </c>
      <c r="R5842">
        <v>-7.3482790000000006E-2</v>
      </c>
      <c r="S5842">
        <v>3.170563</v>
      </c>
      <c r="T5842">
        <v>-1.2872159999999999</v>
      </c>
      <c r="U5842">
        <v>-0.48461910000000002</v>
      </c>
      <c r="V5842">
        <v>-2.085739E-2</v>
      </c>
      <c r="W5842">
        <v>0.14531079999999999</v>
      </c>
      <c r="X5842">
        <v>0.9891662</v>
      </c>
      <c r="Y5842">
        <v>5.8564440000000002E-2</v>
      </c>
      <c r="Z5842">
        <v>2.3745309999999999E-2</v>
      </c>
      <c r="AA5842">
        <v>0.99800120000000003</v>
      </c>
      <c r="AB5842">
        <v>25</v>
      </c>
      <c r="AC5842">
        <v>0.53169999999999995</v>
      </c>
      <c r="AD5842">
        <v>-0.26714349999999998</v>
      </c>
      <c r="AE5842">
        <v>-8.8719999999994997E-2</v>
      </c>
      <c r="AF5842">
        <v>3.0322347306825301E-2</v>
      </c>
      <c r="AG5842">
        <v>-0.26714349999999998</v>
      </c>
      <c r="AH5842">
        <v>0.43170045717489702</v>
      </c>
      <c r="AI5842">
        <v>121.68686550821199</v>
      </c>
      <c r="AJ5842">
        <v>85.982182023166203</v>
      </c>
      <c r="AK5842">
        <v>0.50857681726899495</v>
      </c>
      <c r="AL5842">
        <v>81.644722790470198</v>
      </c>
      <c r="AM5842">
        <v>91.207950045235705</v>
      </c>
      <c r="AN5842">
        <v>1.0000000152683399</v>
      </c>
    </row>
    <row r="5843" spans="1:40" x14ac:dyDescent="0.25">
      <c r="A5843" t="str">
        <f>"20190303162418624"</f>
        <v>20190303162418624</v>
      </c>
      <c r="B5843" t="str">
        <f>"1551601458611103"</f>
        <v>1551601458611103</v>
      </c>
      <c r="C5843" t="s">
        <v>40</v>
      </c>
      <c r="D5843">
        <v>5.3621480000000004</v>
      </c>
      <c r="E5843">
        <v>0.53505709999999995</v>
      </c>
      <c r="F5843" t="s">
        <v>42</v>
      </c>
      <c r="G5843">
        <v>-276.21539999999999</v>
      </c>
      <c r="H5843">
        <v>0.8274918</v>
      </c>
      <c r="I5843">
        <v>-62.066560000000003</v>
      </c>
      <c r="J5843">
        <v>-276.82690000000002</v>
      </c>
      <c r="K5843">
        <v>1.1209709999999999</v>
      </c>
      <c r="L5843">
        <v>-61.962620000000001</v>
      </c>
      <c r="M5843">
        <v>0.99537659999999994</v>
      </c>
      <c r="N5843">
        <v>-1.395104E-2</v>
      </c>
      <c r="O5843">
        <v>-9.5031850000000001E-2</v>
      </c>
      <c r="P5843">
        <v>0.98866080000000001</v>
      </c>
      <c r="Q5843">
        <v>0.1311021</v>
      </c>
      <c r="R5843">
        <v>-7.3229909999999995E-2</v>
      </c>
      <c r="S5843">
        <v>3.1636660000000001</v>
      </c>
      <c r="T5843">
        <v>-1.2461819999999999</v>
      </c>
      <c r="U5843">
        <v>-0.49432369999999998</v>
      </c>
      <c r="V5843">
        <v>-2.1063800000000001E-2</v>
      </c>
      <c r="W5843">
        <v>0.14491689999999999</v>
      </c>
      <c r="X5843">
        <v>0.98921959999999998</v>
      </c>
      <c r="Y5843">
        <v>6.1540890000000001E-2</v>
      </c>
      <c r="Z5843">
        <v>2.243831E-2</v>
      </c>
      <c r="AA5843">
        <v>0.99785230000000003</v>
      </c>
      <c r="AB5843">
        <v>25</v>
      </c>
      <c r="AC5843">
        <v>0.61150000000003502</v>
      </c>
      <c r="AD5843">
        <v>-0.293479199999999</v>
      </c>
      <c r="AE5843">
        <v>-0.103940000000001</v>
      </c>
      <c r="AF5843">
        <v>3.7056180962840801E-2</v>
      </c>
      <c r="AG5843">
        <v>-0.293479199999999</v>
      </c>
      <c r="AH5843">
        <v>0.50545525158274096</v>
      </c>
      <c r="AI5843">
        <v>120.07382018349701</v>
      </c>
      <c r="AJ5843">
        <v>85.807005298849404</v>
      </c>
      <c r="AK5843">
        <v>0.585651955288089</v>
      </c>
      <c r="AL5843">
        <v>81.667532953157405</v>
      </c>
      <c r="AM5843">
        <v>91.219834796613995</v>
      </c>
      <c r="AN5843">
        <v>1.0000000043001001</v>
      </c>
    </row>
    <row r="5844" spans="1:40" x14ac:dyDescent="0.25">
      <c r="A5844" t="str">
        <f>"20190303162418634"</f>
        <v>20190303162418634</v>
      </c>
      <c r="B5844" t="str">
        <f>"1551601458631599"</f>
        <v>1551601458631599</v>
      </c>
      <c r="C5844" t="s">
        <v>40</v>
      </c>
      <c r="D5844">
        <v>5.3703839999999996</v>
      </c>
      <c r="E5844">
        <v>0.53653289999999998</v>
      </c>
      <c r="F5844" t="s">
        <v>42</v>
      </c>
      <c r="G5844">
        <v>-276.0009</v>
      </c>
      <c r="H5844">
        <v>0.80341300000000004</v>
      </c>
      <c r="I5844">
        <v>-62.093809999999998</v>
      </c>
      <c r="J5844">
        <v>-276.7011</v>
      </c>
      <c r="K5844">
        <v>1.1209199999999999</v>
      </c>
      <c r="L5844">
        <v>-61.974580000000003</v>
      </c>
      <c r="M5844">
        <v>0.99537299999999995</v>
      </c>
      <c r="N5844">
        <v>-1.394549E-2</v>
      </c>
      <c r="O5844">
        <v>-9.5070370000000001E-2</v>
      </c>
      <c r="P5844">
        <v>0.98870709999999995</v>
      </c>
      <c r="Q5844">
        <v>0.130982399999999</v>
      </c>
      <c r="R5844">
        <v>-7.2815210000000005E-2</v>
      </c>
      <c r="S5844">
        <v>3.1582340000000002</v>
      </c>
      <c r="T5844">
        <v>-1.2142379999999999</v>
      </c>
      <c r="U5844">
        <v>-0.50170899999999996</v>
      </c>
      <c r="V5844">
        <v>-2.1500970000000001E-2</v>
      </c>
      <c r="W5844">
        <v>0.1447947</v>
      </c>
      <c r="X5844">
        <v>0.98922810000000005</v>
      </c>
      <c r="Y5844">
        <v>6.3785369999999994E-2</v>
      </c>
      <c r="Z5844">
        <v>2.1474920000000002E-2</v>
      </c>
      <c r="AA5844">
        <v>0.99773259999999997</v>
      </c>
      <c r="AB5844">
        <v>25</v>
      </c>
      <c r="AC5844">
        <v>0.70019999999999505</v>
      </c>
      <c r="AD5844">
        <v>-0.31750699999999998</v>
      </c>
      <c r="AE5844">
        <v>-0.11922999999999399</v>
      </c>
      <c r="AF5844">
        <v>4.3435606570375498E-2</v>
      </c>
      <c r="AG5844">
        <v>-0.31750699999999998</v>
      </c>
      <c r="AH5844">
        <v>0.59038978356733496</v>
      </c>
      <c r="AI5844">
        <v>118.206554532007</v>
      </c>
      <c r="AJ5844">
        <v>85.792269146779304</v>
      </c>
      <c r="AK5844">
        <v>0.67175698247790505</v>
      </c>
      <c r="AL5844">
        <v>81.6746092240206</v>
      </c>
      <c r="AM5844">
        <v>91.245133351882103</v>
      </c>
      <c r="AN5844">
        <v>1.00000001534432</v>
      </c>
    </row>
    <row r="5845" spans="1:40" x14ac:dyDescent="0.25">
      <c r="A5845" t="str">
        <f>"20190303162418646"</f>
        <v>20190303162418646</v>
      </c>
      <c r="B5845" t="str">
        <f>"1551601458640383"</f>
        <v>1551601458640383</v>
      </c>
      <c r="C5845" t="s">
        <v>40</v>
      </c>
      <c r="D5845">
        <v>5.3903809999999996</v>
      </c>
      <c r="E5845">
        <v>0.53699669999999999</v>
      </c>
      <c r="F5845" t="s">
        <v>42</v>
      </c>
      <c r="G5845">
        <v>-275.97989999999999</v>
      </c>
      <c r="H5845">
        <v>0.85578920000000003</v>
      </c>
      <c r="I5845">
        <v>-62.091929999999998</v>
      </c>
      <c r="J5845">
        <v>-276.57740000000001</v>
      </c>
      <c r="K5845">
        <v>1.1208750000000001</v>
      </c>
      <c r="L5845">
        <v>-61.986420000000003</v>
      </c>
      <c r="M5845">
        <v>0.99536800000000003</v>
      </c>
      <c r="N5845">
        <v>-1.394019E-2</v>
      </c>
      <c r="O5845">
        <v>-9.5123369999999999E-2</v>
      </c>
      <c r="P5845">
        <v>0.98870089999999999</v>
      </c>
      <c r="Q5845">
        <v>0.13114870000000001</v>
      </c>
      <c r="R5845">
        <v>-7.2600390000000001E-2</v>
      </c>
      <c r="S5845">
        <v>3.149902</v>
      </c>
      <c r="T5845">
        <v>-1.157894</v>
      </c>
      <c r="U5845">
        <v>-0.51260379999999905</v>
      </c>
      <c r="V5845">
        <v>-2.1749979999999999E-2</v>
      </c>
      <c r="W5845">
        <v>0.1449579</v>
      </c>
      <c r="X5845">
        <v>0.98919869999999999</v>
      </c>
      <c r="Y5845">
        <v>6.7134040000000006E-2</v>
      </c>
      <c r="Z5845">
        <v>1.991095E-2</v>
      </c>
      <c r="AA5845">
        <v>0.99754529999999997</v>
      </c>
      <c r="AB5845">
        <v>25</v>
      </c>
      <c r="AC5845">
        <v>0.59750000000002501</v>
      </c>
      <c r="AD5845">
        <v>-0.26508579999999998</v>
      </c>
      <c r="AE5845">
        <v>-0.105510000000009</v>
      </c>
      <c r="AF5845">
        <v>4.04656394566403E-2</v>
      </c>
      <c r="AG5845">
        <v>-0.26508579999999998</v>
      </c>
      <c r="AH5845">
        <v>0.50788265124271903</v>
      </c>
      <c r="AI5845">
        <v>117.487697479134</v>
      </c>
      <c r="AJ5845">
        <v>85.444571926910299</v>
      </c>
      <c r="AK5845">
        <v>0.57432807416285003</v>
      </c>
      <c r="AL5845">
        <v>81.665158395220601</v>
      </c>
      <c r="AM5845">
        <v>91.259586466207693</v>
      </c>
      <c r="AN5845">
        <v>0.99999996124204904</v>
      </c>
    </row>
    <row r="5846" spans="1:40" x14ac:dyDescent="0.25">
      <c r="A5846" t="str">
        <f>"20190303162418656"</f>
        <v>20190303162418656</v>
      </c>
      <c r="B5846" t="str">
        <f>"1551601458651119"</f>
        <v>1551601458651119</v>
      </c>
      <c r="C5846" t="s">
        <v>40</v>
      </c>
      <c r="D5846">
        <v>5.3722849999999998</v>
      </c>
      <c r="E5846">
        <v>0.53739150000000002</v>
      </c>
      <c r="F5846" t="s">
        <v>42</v>
      </c>
      <c r="G5846">
        <v>-275.76729999999998</v>
      </c>
      <c r="H5846">
        <v>0.82775940000000003</v>
      </c>
      <c r="I5846">
        <v>-62.119639999999997</v>
      </c>
      <c r="J5846">
        <v>-276.44979999999998</v>
      </c>
      <c r="K5846">
        <v>1.1208320000000001</v>
      </c>
      <c r="L5846">
        <v>-61.998629999999999</v>
      </c>
      <c r="M5846">
        <v>0.99535899999999999</v>
      </c>
      <c r="N5846">
        <v>-1.393513E-2</v>
      </c>
      <c r="O5846">
        <v>-9.5216800000000004E-2</v>
      </c>
      <c r="P5846">
        <v>0.98864090000000004</v>
      </c>
      <c r="Q5846">
        <v>0.13159029999999899</v>
      </c>
      <c r="R5846">
        <v>-7.2616230000000004E-2</v>
      </c>
      <c r="S5846">
        <v>3.1474000000000002</v>
      </c>
      <c r="T5846">
        <v>-1.1388259999999999</v>
      </c>
      <c r="U5846">
        <v>-0.51675420000000005</v>
      </c>
      <c r="V5846">
        <v>-2.1806579999999999E-2</v>
      </c>
      <c r="W5846">
        <v>0.14539569999999999</v>
      </c>
      <c r="X5846">
        <v>0.98913320000000005</v>
      </c>
      <c r="Y5846">
        <v>6.8332069999999995E-2</v>
      </c>
      <c r="Z5846">
        <v>1.9401700000000001E-2</v>
      </c>
      <c r="AA5846">
        <v>0.99747399999999997</v>
      </c>
      <c r="AB5846">
        <v>25</v>
      </c>
      <c r="AC5846">
        <v>0.68250000000000399</v>
      </c>
      <c r="AD5846">
        <v>-0.29307259999999902</v>
      </c>
      <c r="AE5846">
        <v>-0.12100999999999799</v>
      </c>
      <c r="AF5846">
        <v>4.7055965555212E-2</v>
      </c>
      <c r="AG5846">
        <v>-0.29307259999999902</v>
      </c>
      <c r="AH5846">
        <v>0.58613630909360004</v>
      </c>
      <c r="AI5846">
        <v>116.491850287473</v>
      </c>
      <c r="AJ5846">
        <v>85.410046741560194</v>
      </c>
      <c r="AK5846">
        <v>0.65700957801463</v>
      </c>
      <c r="AL5846">
        <v>81.639805714266302</v>
      </c>
      <c r="AM5846">
        <v>91.262946828720402</v>
      </c>
      <c r="AN5846">
        <v>0.99999996192601204</v>
      </c>
    </row>
    <row r="5847" spans="1:40" x14ac:dyDescent="0.25">
      <c r="A5847" t="str">
        <f>"20190303162418668"</f>
        <v>20190303162418668</v>
      </c>
      <c r="B5847" t="str">
        <f>"1551601458660879"</f>
        <v>1551601458660879</v>
      </c>
      <c r="C5847" t="s">
        <v>40</v>
      </c>
      <c r="D5847">
        <v>5.3612219999999997</v>
      </c>
      <c r="E5847">
        <v>0.53775329999999999</v>
      </c>
      <c r="F5847" t="s">
        <v>42</v>
      </c>
      <c r="G5847">
        <v>-275.74950000000001</v>
      </c>
      <c r="H5847">
        <v>0.87109890000000001</v>
      </c>
      <c r="I5847">
        <v>-62.114780000000003</v>
      </c>
      <c r="J5847">
        <v>-276.32530000000003</v>
      </c>
      <c r="K5847">
        <v>1.120798</v>
      </c>
      <c r="L5847">
        <v>-62.010590000000001</v>
      </c>
      <c r="M5847">
        <v>0.99534860000000003</v>
      </c>
      <c r="N5847">
        <v>-1.3930329999999999E-2</v>
      </c>
      <c r="O5847">
        <v>-9.5326449999999993E-2</v>
      </c>
      <c r="P5847">
        <v>0.98859980000000003</v>
      </c>
      <c r="Q5847">
        <v>0.131720899999999</v>
      </c>
      <c r="R5847">
        <v>-7.2939329999999997E-2</v>
      </c>
      <c r="S5847">
        <v>3.145508</v>
      </c>
      <c r="T5847">
        <v>-1.1216710000000001</v>
      </c>
      <c r="U5847">
        <v>-0.5207214</v>
      </c>
      <c r="V5847">
        <v>-2.1577889999999999E-2</v>
      </c>
      <c r="W5847">
        <v>0.1455236</v>
      </c>
      <c r="X5847">
        <v>0.98911950000000004</v>
      </c>
      <c r="Y5847">
        <v>6.944264E-2</v>
      </c>
      <c r="Z5847">
        <v>1.8947200000000001E-2</v>
      </c>
      <c r="AA5847">
        <v>0.99740600000000001</v>
      </c>
      <c r="AB5847">
        <v>25</v>
      </c>
      <c r="AC5847">
        <v>0.57580000000001497</v>
      </c>
      <c r="AD5847">
        <v>-0.24969909999999901</v>
      </c>
      <c r="AE5847">
        <v>-0.104190000000002</v>
      </c>
      <c r="AF5847">
        <v>4.1300509661253398E-2</v>
      </c>
      <c r="AG5847">
        <v>-0.24969909999999901</v>
      </c>
      <c r="AH5847">
        <v>0.49328541624786498</v>
      </c>
      <c r="AI5847">
        <v>116.767795934484</v>
      </c>
      <c r="AJ5847">
        <v>85.214051244341704</v>
      </c>
      <c r="AK5847">
        <v>0.55442391229267796</v>
      </c>
      <c r="AL5847">
        <v>81.632399584485498</v>
      </c>
      <c r="AM5847">
        <v>91.249723577146895</v>
      </c>
      <c r="AN5847">
        <v>1.00000005438702</v>
      </c>
    </row>
    <row r="5848" spans="1:40" x14ac:dyDescent="0.25">
      <c r="A5848" t="str">
        <f>"20190303162418678"</f>
        <v>20190303162418678</v>
      </c>
      <c r="B5848" t="str">
        <f>"1551601458670640"</f>
        <v>1551601458670640</v>
      </c>
      <c r="C5848" t="s">
        <v>40</v>
      </c>
      <c r="D5848">
        <v>5.3954969999999998</v>
      </c>
      <c r="E5848">
        <v>0.53794809999999904</v>
      </c>
      <c r="F5848" t="s">
        <v>42</v>
      </c>
      <c r="G5848">
        <v>-275.53730000000002</v>
      </c>
      <c r="H5848">
        <v>0.84309419999999902</v>
      </c>
      <c r="I5848">
        <v>-62.142409999999998</v>
      </c>
      <c r="J5848">
        <v>-276.20499999999998</v>
      </c>
      <c r="K5848">
        <v>1.1207720000000001</v>
      </c>
      <c r="L5848">
        <v>-62.022219999999997</v>
      </c>
      <c r="M5848">
        <v>0.99533700000000003</v>
      </c>
      <c r="N5848">
        <v>-1.392581E-2</v>
      </c>
      <c r="O5848">
        <v>-9.5449839999999994E-2</v>
      </c>
      <c r="P5848">
        <v>0.98856630000000001</v>
      </c>
      <c r="Q5848">
        <v>0.13162660000000001</v>
      </c>
      <c r="R5848">
        <v>-7.3563870000000003E-2</v>
      </c>
      <c r="S5848">
        <v>3.1434329999999999</v>
      </c>
      <c r="T5848">
        <v>-1.1076809999999999</v>
      </c>
      <c r="U5848">
        <v>-0.52529910000000002</v>
      </c>
      <c r="V5848">
        <v>-2.106504E-2</v>
      </c>
      <c r="W5848">
        <v>0.14542639999999901</v>
      </c>
      <c r="X5848">
        <v>0.98914480000000005</v>
      </c>
      <c r="Y5848">
        <v>7.0738110000000007E-2</v>
      </c>
      <c r="Z5848">
        <v>1.8523439999999999E-2</v>
      </c>
      <c r="AA5848">
        <v>0.99732290000000001</v>
      </c>
      <c r="AB5848">
        <v>25</v>
      </c>
      <c r="AC5848">
        <v>0.66769999999996799</v>
      </c>
      <c r="AD5848">
        <v>-0.27767779999999997</v>
      </c>
      <c r="AE5848">
        <v>-0.12019000000000001</v>
      </c>
      <c r="AF5848">
        <v>4.7881863469211798E-2</v>
      </c>
      <c r="AG5848">
        <v>-0.27767779999999997</v>
      </c>
      <c r="AH5848">
        <v>0.57911058006323701</v>
      </c>
      <c r="AI5848">
        <v>115.541246944264</v>
      </c>
      <c r="AJ5848">
        <v>85.2734370609883</v>
      </c>
      <c r="AK5848">
        <v>0.64402383294665599</v>
      </c>
      <c r="AL5848">
        <v>81.638028196245699</v>
      </c>
      <c r="AM5848">
        <v>91.219998807617699</v>
      </c>
      <c r="AN5848">
        <v>1.0000000045471</v>
      </c>
    </row>
    <row r="5849" spans="1:40" x14ac:dyDescent="0.25">
      <c r="A5849" t="str">
        <f>"20190303162418690"</f>
        <v>20190303162418690</v>
      </c>
      <c r="B5849" t="str">
        <f>"1551601458680399"</f>
        <v>1551601458680399</v>
      </c>
      <c r="C5849" t="s">
        <v>40</v>
      </c>
      <c r="D5849">
        <v>5.3652739999999897</v>
      </c>
      <c r="E5849">
        <v>0.53801889999999997</v>
      </c>
      <c r="F5849" t="s">
        <v>42</v>
      </c>
      <c r="G5849">
        <v>-275.52109999999999</v>
      </c>
      <c r="H5849">
        <v>0.88205270000000002</v>
      </c>
      <c r="I5849">
        <v>-62.13758</v>
      </c>
      <c r="J5849">
        <v>-276.08010000000002</v>
      </c>
      <c r="K5849">
        <v>1.120749</v>
      </c>
      <c r="L5849">
        <v>-62.034300000000002</v>
      </c>
      <c r="M5849">
        <v>0.99532339999999997</v>
      </c>
      <c r="N5849">
        <v>-1.392144E-2</v>
      </c>
      <c r="O5849">
        <v>-9.5591490000000001E-2</v>
      </c>
      <c r="P5849">
        <v>0.98851230000000001</v>
      </c>
      <c r="Q5849">
        <v>0.13158719999999999</v>
      </c>
      <c r="R5849">
        <v>-7.4352810000000005E-2</v>
      </c>
      <c r="S5849">
        <v>3.1412659999999999</v>
      </c>
      <c r="T5849">
        <v>-1.0965499999999999</v>
      </c>
      <c r="U5849">
        <v>-0.52935790000000005</v>
      </c>
      <c r="V5849">
        <v>-2.0407189999999999E-2</v>
      </c>
      <c r="W5849">
        <v>0.14538400000000001</v>
      </c>
      <c r="X5849">
        <v>0.98916479999999996</v>
      </c>
      <c r="Y5849">
        <v>7.1880120000000006E-2</v>
      </c>
      <c r="Z5849">
        <v>1.8186000000000001E-2</v>
      </c>
      <c r="AA5849">
        <v>0.99724749999999995</v>
      </c>
      <c r="AB5849">
        <v>25</v>
      </c>
      <c r="AC5849">
        <v>0.55900000000002503</v>
      </c>
      <c r="AD5849">
        <v>-0.2386963</v>
      </c>
      <c r="AE5849">
        <v>-0.10328000000000501</v>
      </c>
      <c r="AF5849">
        <v>4.1966752260157697E-2</v>
      </c>
      <c r="AG5849">
        <v>-0.2386963</v>
      </c>
      <c r="AH5849">
        <v>0.48142980565171001</v>
      </c>
      <c r="AI5849">
        <v>116.286330612684</v>
      </c>
      <c r="AJ5849">
        <v>85.018058926349795</v>
      </c>
      <c r="AK5849">
        <v>0.53899145605361798</v>
      </c>
      <c r="AL5849">
        <v>81.640483436718199</v>
      </c>
      <c r="AM5849">
        <v>91.181885984580006</v>
      </c>
      <c r="AN5849">
        <v>0.99999998120936695</v>
      </c>
    </row>
    <row r="5850" spans="1:40" x14ac:dyDescent="0.25">
      <c r="A5850" t="str">
        <f>"20190303162418700"</f>
        <v>20190303162418700</v>
      </c>
      <c r="B5850" t="str">
        <f>"1551601458691135"</f>
        <v>1551601458691135</v>
      </c>
      <c r="C5850" t="s">
        <v>40</v>
      </c>
      <c r="D5850">
        <v>5.3461759999999998</v>
      </c>
      <c r="E5850">
        <v>0.53810019999999903</v>
      </c>
      <c r="F5850" t="s">
        <v>42</v>
      </c>
      <c r="G5850">
        <v>-275.30930000000001</v>
      </c>
      <c r="H5850">
        <v>0.85390069999999996</v>
      </c>
      <c r="I5850">
        <v>-62.165370000000003</v>
      </c>
      <c r="J5850">
        <v>-275.95609999999999</v>
      </c>
      <c r="K5850">
        <v>1.1207320000000001</v>
      </c>
      <c r="L5850">
        <v>-62.046329999999998</v>
      </c>
      <c r="M5850">
        <v>0.99530920000000001</v>
      </c>
      <c r="N5850">
        <v>-1.3917240000000001E-2</v>
      </c>
      <c r="O5850">
        <v>-9.5738569999999995E-2</v>
      </c>
      <c r="P5850">
        <v>0.9884579</v>
      </c>
      <c r="Q5850">
        <v>0.13150609999999999</v>
      </c>
      <c r="R5850">
        <v>-7.5215110000000002E-2</v>
      </c>
      <c r="S5850">
        <v>3.139526</v>
      </c>
      <c r="T5850">
        <v>-1.086816</v>
      </c>
      <c r="U5850">
        <v>-0.53234859999999995</v>
      </c>
      <c r="V5850">
        <v>-1.9682950000000001E-2</v>
      </c>
      <c r="W5850">
        <v>0.1452995</v>
      </c>
      <c r="X5850">
        <v>0.98919190000000001</v>
      </c>
      <c r="Y5850">
        <v>7.2690069999999996E-2</v>
      </c>
      <c r="Z5850">
        <v>1.7932389999999999E-2</v>
      </c>
      <c r="AA5850">
        <v>0.99719329999999995</v>
      </c>
      <c r="AB5850">
        <v>25</v>
      </c>
      <c r="AC5850">
        <v>0.64679999999998405</v>
      </c>
      <c r="AD5850">
        <v>-0.26683129999999999</v>
      </c>
      <c r="AE5850">
        <v>-0.119039999999991</v>
      </c>
      <c r="AF5850">
        <v>4.8568351855402897E-2</v>
      </c>
      <c r="AG5850">
        <v>-0.26683129999999999</v>
      </c>
      <c r="AH5850">
        <v>0.562612348881386</v>
      </c>
      <c r="AI5850">
        <v>115.291420330018</v>
      </c>
      <c r="AJ5850">
        <v>85.066088212157496</v>
      </c>
      <c r="AK5850">
        <v>0.62457223967726105</v>
      </c>
      <c r="AL5850">
        <v>81.645376957861899</v>
      </c>
      <c r="AM5850">
        <v>91.139921547817806</v>
      </c>
      <c r="AN5850">
        <v>0.99999998912328103</v>
      </c>
    </row>
    <row r="5851" spans="1:40" x14ac:dyDescent="0.25">
      <c r="A5851" t="str">
        <f>"20190303162418714"</f>
        <v>20190303162418714</v>
      </c>
      <c r="B5851" t="str">
        <f>"1551601458710656"</f>
        <v>1551601458710656</v>
      </c>
      <c r="C5851" t="s">
        <v>40</v>
      </c>
      <c r="D5851">
        <v>5.3644970000000001</v>
      </c>
      <c r="E5851">
        <v>0.53833629999999999</v>
      </c>
      <c r="F5851" t="s">
        <v>42</v>
      </c>
      <c r="G5851">
        <v>-275.29270000000002</v>
      </c>
      <c r="H5851">
        <v>0.89266440000000002</v>
      </c>
      <c r="I5851">
        <v>-62.159790000000001</v>
      </c>
      <c r="J5851">
        <v>-275.8229</v>
      </c>
      <c r="K5851">
        <v>1.1207210000000001</v>
      </c>
      <c r="L5851">
        <v>-62.059330000000003</v>
      </c>
      <c r="M5851">
        <v>0.99529319999999999</v>
      </c>
      <c r="N5851">
        <v>-1.391303E-2</v>
      </c>
      <c r="O5851">
        <v>-9.5904809999999993E-2</v>
      </c>
      <c r="P5851">
        <v>0.98838040000000005</v>
      </c>
      <c r="Q5851">
        <v>0.13160549999999999</v>
      </c>
      <c r="R5851">
        <v>-7.605228E-2</v>
      </c>
      <c r="S5851">
        <v>3.1378780000000002</v>
      </c>
      <c r="T5851">
        <v>-1.0787409999999999</v>
      </c>
      <c r="U5851">
        <v>-0.53500369999999997</v>
      </c>
      <c r="V5851">
        <v>-1.9002979999999999E-2</v>
      </c>
      <c r="W5851">
        <v>0.14539479999999999</v>
      </c>
      <c r="X5851">
        <v>0.98919120000000005</v>
      </c>
      <c r="Y5851">
        <v>7.3384930000000001E-2</v>
      </c>
      <c r="Z5851">
        <v>1.7734E-2</v>
      </c>
      <c r="AA5851">
        <v>0.99714599999999998</v>
      </c>
      <c r="AB5851">
        <v>25</v>
      </c>
      <c r="AC5851">
        <v>0.53019999999997902</v>
      </c>
      <c r="AD5851">
        <v>-0.228056599999999</v>
      </c>
      <c r="AE5851">
        <v>-0.100459999999998</v>
      </c>
      <c r="AF5851">
        <v>4.1696147689434498E-2</v>
      </c>
      <c r="AG5851">
        <v>-0.228056599999999</v>
      </c>
      <c r="AH5851">
        <v>0.455956181810237</v>
      </c>
      <c r="AI5851">
        <v>116.47761177975001</v>
      </c>
      <c r="AJ5851">
        <v>84.774965060904705</v>
      </c>
      <c r="AK5851">
        <v>0.51151189748300996</v>
      </c>
      <c r="AL5851">
        <v>81.639858118158898</v>
      </c>
      <c r="AM5851">
        <v>91.100552292760895</v>
      </c>
      <c r="AN5851">
        <v>0.99999999563667996</v>
      </c>
    </row>
    <row r="5852" spans="1:40" x14ac:dyDescent="0.25">
      <c r="A5852" t="str">
        <f>"20190303162418726"</f>
        <v>20190303162418726</v>
      </c>
      <c r="B5852" t="str">
        <f>"1551601458720416"</f>
        <v>1551601458720416</v>
      </c>
      <c r="C5852" t="s">
        <v>40</v>
      </c>
      <c r="D5852">
        <v>5.4181889999999999</v>
      </c>
      <c r="E5852">
        <v>0.53849419999999903</v>
      </c>
      <c r="F5852" t="s">
        <v>42</v>
      </c>
      <c r="G5852">
        <v>-275.08</v>
      </c>
      <c r="H5852">
        <v>0.86870460000000005</v>
      </c>
      <c r="I5852">
        <v>-62.187010000000001</v>
      </c>
      <c r="J5852">
        <v>-275.67849999999999</v>
      </c>
      <c r="K5852">
        <v>1.120717</v>
      </c>
      <c r="L5852">
        <v>-62.073390000000003</v>
      </c>
      <c r="M5852">
        <v>0.99527600000000005</v>
      </c>
      <c r="N5852">
        <v>-1.390745E-2</v>
      </c>
      <c r="O5852">
        <v>-9.6086009999999999E-2</v>
      </c>
      <c r="P5852">
        <v>0.98826829999999999</v>
      </c>
      <c r="Q5852">
        <v>0.13191839999999999</v>
      </c>
      <c r="R5852">
        <v>-7.6964989999999997E-2</v>
      </c>
      <c r="S5852">
        <v>3.1354679999999999</v>
      </c>
      <c r="T5852">
        <v>-1.0635730000000001</v>
      </c>
      <c r="U5852">
        <v>-0.53836059999999997</v>
      </c>
      <c r="V5852">
        <v>-1.826113E-2</v>
      </c>
      <c r="W5852">
        <v>0.14570150000000001</v>
      </c>
      <c r="X5852">
        <v>0.98916009999999999</v>
      </c>
      <c r="Y5852">
        <v>7.4300859999999996E-2</v>
      </c>
      <c r="Z5852">
        <v>1.738524E-2</v>
      </c>
      <c r="AA5852">
        <v>0.99708430000000003</v>
      </c>
      <c r="AB5852">
        <v>25</v>
      </c>
      <c r="AC5852">
        <v>0.59850000000000103</v>
      </c>
      <c r="AD5852">
        <v>-0.25201239999999903</v>
      </c>
      <c r="AE5852">
        <v>-0.113619999999997</v>
      </c>
      <c r="AF5852">
        <v>4.7459213001886297E-2</v>
      </c>
      <c r="AG5852">
        <v>-0.25201239999999903</v>
      </c>
      <c r="AH5852">
        <v>0.51800050105338702</v>
      </c>
      <c r="AI5852">
        <v>115.849296479625</v>
      </c>
      <c r="AJ5852">
        <v>84.765174689037195</v>
      </c>
      <c r="AK5852">
        <v>0.57800272122549601</v>
      </c>
      <c r="AL5852">
        <v>81.622096816683396</v>
      </c>
      <c r="AM5852">
        <v>91.057631457456694</v>
      </c>
      <c r="AN5852">
        <v>1.00000004970156</v>
      </c>
    </row>
    <row r="5853" spans="1:40" x14ac:dyDescent="0.25">
      <c r="A5853" t="str">
        <f>"20190303162418737"</f>
        <v>20190303162418737</v>
      </c>
      <c r="B5853" t="str">
        <f>"1551601458731152"</f>
        <v>1551601458731152</v>
      </c>
      <c r="C5853" t="s">
        <v>40</v>
      </c>
      <c r="D5853">
        <v>5.4113689999999997</v>
      </c>
      <c r="E5853">
        <v>0.53869990000000001</v>
      </c>
      <c r="F5853" t="s">
        <v>42</v>
      </c>
      <c r="G5853">
        <v>-274.86599999999999</v>
      </c>
      <c r="H5853">
        <v>0.84665919999999895</v>
      </c>
      <c r="I5853">
        <v>-62.213810000000002</v>
      </c>
      <c r="J5853">
        <v>-275.5498</v>
      </c>
      <c r="K5853">
        <v>1.120719</v>
      </c>
      <c r="L5853">
        <v>-62.085999999999999</v>
      </c>
      <c r="M5853">
        <v>0.99526049999999999</v>
      </c>
      <c r="N5853">
        <v>-1.38999E-2</v>
      </c>
      <c r="O5853">
        <v>-9.6246899999999996E-2</v>
      </c>
      <c r="P5853">
        <v>0.98815580000000003</v>
      </c>
      <c r="Q5853">
        <v>0.13220209999999999</v>
      </c>
      <c r="R5853">
        <v>-7.7915600000000002E-2</v>
      </c>
      <c r="S5853">
        <v>3.1345830000000001</v>
      </c>
      <c r="T5853">
        <v>-1.0572269999999999</v>
      </c>
      <c r="U5853">
        <v>-0.5409851</v>
      </c>
      <c r="V5853">
        <v>-1.7463759999999998E-2</v>
      </c>
      <c r="W5853">
        <v>0.145977</v>
      </c>
      <c r="X5853">
        <v>0.98913379999999995</v>
      </c>
      <c r="Y5853">
        <v>7.4959170000000006E-2</v>
      </c>
      <c r="Z5853">
        <v>1.72185999999999E-2</v>
      </c>
      <c r="AA5853">
        <v>0.99703790000000003</v>
      </c>
      <c r="AB5853">
        <v>25</v>
      </c>
      <c r="AC5853">
        <v>0.68380000000001895</v>
      </c>
      <c r="AD5853">
        <v>-0.27405980000000002</v>
      </c>
      <c r="AE5853">
        <v>-0.12780999999998899</v>
      </c>
      <c r="AF5853">
        <v>5.3147526405770397E-2</v>
      </c>
      <c r="AG5853">
        <v>-0.27405980000000002</v>
      </c>
      <c r="AH5853">
        <v>0.59982815432341197</v>
      </c>
      <c r="AI5853">
        <v>114.47095515388899</v>
      </c>
      <c r="AJ5853">
        <v>84.936554097148303</v>
      </c>
      <c r="AK5853">
        <v>0.66160958900103894</v>
      </c>
      <c r="AL5853">
        <v>81.6061405714633</v>
      </c>
      <c r="AM5853">
        <v>91.011486810687998</v>
      </c>
      <c r="AN5853">
        <v>0.99999997087238801</v>
      </c>
    </row>
    <row r="5854" spans="1:40" x14ac:dyDescent="0.25">
      <c r="A5854" t="str">
        <f>"20190303162418749"</f>
        <v>20190303162418749</v>
      </c>
      <c r="B5854" t="str">
        <f>"1551601458740912"</f>
        <v>1551601458740912</v>
      </c>
      <c r="C5854" t="s">
        <v>40</v>
      </c>
      <c r="D5854">
        <v>5.406803</v>
      </c>
      <c r="E5854">
        <v>0.53878119999999996</v>
      </c>
      <c r="F5854" t="s">
        <v>42</v>
      </c>
      <c r="G5854">
        <v>-274.84980000000002</v>
      </c>
      <c r="H5854">
        <v>0.88552609999999998</v>
      </c>
      <c r="I5854">
        <v>-62.207799999999999</v>
      </c>
      <c r="J5854">
        <v>-275.41980000000001</v>
      </c>
      <c r="K5854">
        <v>1.1207279999999999</v>
      </c>
      <c r="L5854">
        <v>-62.098790000000001</v>
      </c>
      <c r="M5854">
        <v>0.9952453</v>
      </c>
      <c r="N5854">
        <v>-1.3888899999999999E-2</v>
      </c>
      <c r="O5854">
        <v>-9.6404459999999997E-2</v>
      </c>
      <c r="P5854">
        <v>0.98805889999999996</v>
      </c>
      <c r="Q5854">
        <v>0.1324717</v>
      </c>
      <c r="R5854">
        <v>-7.8683989999999995E-2</v>
      </c>
      <c r="S5854">
        <v>3.1338499999999998</v>
      </c>
      <c r="T5854">
        <v>-1.0528379999999999</v>
      </c>
      <c r="U5854">
        <v>-0.54440310000000003</v>
      </c>
      <c r="V5854">
        <v>-1.6847589999999999E-2</v>
      </c>
      <c r="W5854">
        <v>0.14623449999999999</v>
      </c>
      <c r="X5854">
        <v>0.9891065</v>
      </c>
      <c r="Y5854">
        <v>7.5848479999999996E-2</v>
      </c>
      <c r="Z5854">
        <v>1.7044879999999998E-2</v>
      </c>
      <c r="AA5854">
        <v>0.99697360000000002</v>
      </c>
      <c r="AB5854">
        <v>25</v>
      </c>
      <c r="AC5854">
        <v>0.56999999999999296</v>
      </c>
      <c r="AD5854">
        <v>-0.23520189999999999</v>
      </c>
      <c r="AE5854">
        <v>-0.109009999999997</v>
      </c>
      <c r="AF5854">
        <v>4.5991723882194503E-2</v>
      </c>
      <c r="AG5854">
        <v>-0.23520189999999999</v>
      </c>
      <c r="AH5854">
        <v>0.496327911502638</v>
      </c>
      <c r="AI5854">
        <v>115.260870522041</v>
      </c>
      <c r="AJ5854">
        <v>84.7058629101262</v>
      </c>
      <c r="AK5854">
        <v>0.55115929472869796</v>
      </c>
      <c r="AL5854">
        <v>81.591227278728695</v>
      </c>
      <c r="AM5854">
        <v>90.975832698643103</v>
      </c>
      <c r="AN5854">
        <v>1.00000001931065</v>
      </c>
    </row>
    <row r="5855" spans="1:40" x14ac:dyDescent="0.25">
      <c r="A5855" t="str">
        <f>"20190303162418762"</f>
        <v>20190303162418762</v>
      </c>
      <c r="B5855" t="str">
        <f>"1551601458750672"</f>
        <v>1551601458750672</v>
      </c>
      <c r="C5855" t="s">
        <v>40</v>
      </c>
      <c r="D5855">
        <v>5.3477959999999998</v>
      </c>
      <c r="E5855">
        <v>0.53881069999999998</v>
      </c>
      <c r="F5855" t="s">
        <v>42</v>
      </c>
      <c r="G5855">
        <v>-274.63839999999999</v>
      </c>
      <c r="H5855">
        <v>0.85826369999999896</v>
      </c>
      <c r="I5855">
        <v>-62.235320000000002</v>
      </c>
      <c r="J5855">
        <v>-275.27370000000002</v>
      </c>
      <c r="K5855">
        <v>1.120735</v>
      </c>
      <c r="L5855">
        <v>-62.113129999999998</v>
      </c>
      <c r="M5855">
        <v>0.99522880000000002</v>
      </c>
      <c r="N5855">
        <v>-1.3873669999999999E-2</v>
      </c>
      <c r="O5855">
        <v>-9.6577289999999996E-2</v>
      </c>
      <c r="P5855">
        <v>0.98797299999999999</v>
      </c>
      <c r="Q5855">
        <v>0.13270970000000001</v>
      </c>
      <c r="R5855">
        <v>-7.9357010000000006E-2</v>
      </c>
      <c r="S5855">
        <v>3.1338200000000001</v>
      </c>
      <c r="T5855">
        <v>-1.0526329999999999</v>
      </c>
      <c r="U5855">
        <v>-0.54690550000000004</v>
      </c>
      <c r="V5855">
        <v>-1.6344279999999999E-2</v>
      </c>
      <c r="W5855">
        <v>0.1464567</v>
      </c>
      <c r="X5855">
        <v>0.98908200000000002</v>
      </c>
      <c r="Y5855">
        <v>7.6426300000000003E-2</v>
      </c>
      <c r="Z5855">
        <v>1.6997539999999998E-2</v>
      </c>
      <c r="AA5855">
        <v>0.99693039999999999</v>
      </c>
      <c r="AB5855">
        <v>25</v>
      </c>
      <c r="AC5855">
        <v>0.63530000000002895</v>
      </c>
      <c r="AD5855">
        <v>-0.26247130000000002</v>
      </c>
      <c r="AE5855">
        <v>-0.122189999999989</v>
      </c>
      <c r="AF5855">
        <v>5.1740721315600702E-2</v>
      </c>
      <c r="AG5855">
        <v>-0.26247130000000002</v>
      </c>
      <c r="AH5855">
        <v>0.55309249669466998</v>
      </c>
      <c r="AI5855">
        <v>115.290235125664</v>
      </c>
      <c r="AJ5855">
        <v>84.655645574414294</v>
      </c>
      <c r="AK5855">
        <v>0.61439368117347404</v>
      </c>
      <c r="AL5855">
        <v>81.578357021181603</v>
      </c>
      <c r="AM5855">
        <v>90.946709210119906</v>
      </c>
      <c r="AN5855">
        <v>0.99999995159380295</v>
      </c>
    </row>
    <row r="5856" spans="1:40" x14ac:dyDescent="0.25">
      <c r="A5856" t="str">
        <f>"20190303162418773"</f>
        <v>20190303162418773</v>
      </c>
      <c r="B5856" t="str">
        <f>"1551601458760432"</f>
        <v>1551601458760432</v>
      </c>
      <c r="C5856" t="s">
        <v>40</v>
      </c>
      <c r="D5856">
        <v>5.3810969999999996</v>
      </c>
      <c r="E5856">
        <v>0.53883419999999904</v>
      </c>
      <c r="F5856" t="s">
        <v>42</v>
      </c>
      <c r="G5856">
        <v>-274.6198</v>
      </c>
      <c r="H5856">
        <v>0.90087819999999996</v>
      </c>
      <c r="I5856">
        <v>-62.227919999999997</v>
      </c>
      <c r="J5856">
        <v>-275.1574</v>
      </c>
      <c r="K5856">
        <v>1.120744</v>
      </c>
      <c r="L5856">
        <v>-62.124540000000003</v>
      </c>
      <c r="M5856">
        <v>0.99521749999999998</v>
      </c>
      <c r="N5856">
        <v>-1.38494E-2</v>
      </c>
      <c r="O5856">
        <v>-9.6698599999999996E-2</v>
      </c>
      <c r="P5856">
        <v>0.98791910000000005</v>
      </c>
      <c r="Q5856">
        <v>0.13282369999999999</v>
      </c>
      <c r="R5856">
        <v>-7.9837489999999997E-2</v>
      </c>
      <c r="S5856">
        <v>3.1339109999999999</v>
      </c>
      <c r="T5856">
        <v>-1.053736</v>
      </c>
      <c r="U5856">
        <v>-0.54934689999999997</v>
      </c>
      <c r="V5856">
        <v>-1.5986569999999999E-2</v>
      </c>
      <c r="W5856">
        <v>0.146545799999999</v>
      </c>
      <c r="X5856">
        <v>0.98907469999999997</v>
      </c>
      <c r="Y5856">
        <v>7.7028360000000004E-2</v>
      </c>
      <c r="Z5856">
        <v>1.6952979999999999E-2</v>
      </c>
      <c r="AA5856">
        <v>0.99688480000000002</v>
      </c>
      <c r="AB5856">
        <v>25</v>
      </c>
      <c r="AC5856">
        <v>0.53759999999999697</v>
      </c>
      <c r="AD5856">
        <v>-0.2198658</v>
      </c>
      <c r="AE5856">
        <v>-0.103379999999994</v>
      </c>
      <c r="AF5856">
        <v>4.3834852293849702E-2</v>
      </c>
      <c r="AG5856">
        <v>-0.2198658</v>
      </c>
      <c r="AH5856">
        <v>0.46936978108697203</v>
      </c>
      <c r="AI5856">
        <v>115.00425966128</v>
      </c>
      <c r="AJ5856">
        <v>84.664572986238596</v>
      </c>
      <c r="AK5856">
        <v>0.52016387387331597</v>
      </c>
      <c r="AL5856">
        <v>81.573196713402794</v>
      </c>
      <c r="AM5856">
        <v>90.926000066523301</v>
      </c>
      <c r="AN5856">
        <v>1.00000000204904</v>
      </c>
    </row>
    <row r="5857" spans="1:40" x14ac:dyDescent="0.25">
      <c r="A5857" t="str">
        <f>"20190303162418783"</f>
        <v>20190303162418783</v>
      </c>
      <c r="B5857" t="str">
        <f>"1551601458780928"</f>
        <v>1551601458780928</v>
      </c>
      <c r="C5857" t="s">
        <v>40</v>
      </c>
      <c r="D5857">
        <v>5.386933</v>
      </c>
      <c r="E5857">
        <v>0.53896569999999899</v>
      </c>
      <c r="F5857" t="s">
        <v>42</v>
      </c>
      <c r="G5857">
        <v>-274.411</v>
      </c>
      <c r="H5857">
        <v>0.86956749999999905</v>
      </c>
      <c r="I5857">
        <v>-62.25611</v>
      </c>
      <c r="J5857">
        <v>-275.03989999999999</v>
      </c>
      <c r="K5857">
        <v>1.120749</v>
      </c>
      <c r="L5857">
        <v>-62.136110000000002</v>
      </c>
      <c r="M5857">
        <v>0.99520620000000004</v>
      </c>
      <c r="N5857">
        <v>-1.382331E-2</v>
      </c>
      <c r="O5857">
        <v>-9.6818329999999994E-2</v>
      </c>
      <c r="P5857">
        <v>0.98789740000000004</v>
      </c>
      <c r="Q5857">
        <v>0.13285239999999901</v>
      </c>
      <c r="R5857">
        <v>-8.005814E-2</v>
      </c>
      <c r="S5857">
        <v>3.1339419999999998</v>
      </c>
      <c r="T5857">
        <v>-1.0545949999999999</v>
      </c>
      <c r="U5857">
        <v>-0.55157469999999997</v>
      </c>
      <c r="V5857">
        <v>-1.5888929999999999E-2</v>
      </c>
      <c r="W5857">
        <v>0.1465477</v>
      </c>
      <c r="X5857">
        <v>0.98907599999999996</v>
      </c>
      <c r="Y5857">
        <v>7.7572009999999997E-2</v>
      </c>
      <c r="Z5857">
        <v>1.6914350000000002E-2</v>
      </c>
      <c r="AA5857">
        <v>0.99684329999999999</v>
      </c>
      <c r="AB5857">
        <v>25</v>
      </c>
      <c r="AC5857">
        <v>0.62889999999998702</v>
      </c>
      <c r="AD5857">
        <v>-0.2511815</v>
      </c>
      <c r="AE5857">
        <v>-0.12000000000000401</v>
      </c>
      <c r="AF5857">
        <v>5.0732745927828102E-2</v>
      </c>
      <c r="AG5857">
        <v>-0.2511815</v>
      </c>
      <c r="AH5857">
        <v>0.552522631634216</v>
      </c>
      <c r="AI5857">
        <v>114.35646100176101</v>
      </c>
      <c r="AJ5857">
        <v>84.7537997851272</v>
      </c>
      <c r="AK5857">
        <v>0.60905436203973395</v>
      </c>
      <c r="AL5857">
        <v>81.573086731834096</v>
      </c>
      <c r="AM5857">
        <v>90.9203441702345</v>
      </c>
      <c r="AN5857">
        <v>1.0000000101239099</v>
      </c>
    </row>
    <row r="5858" spans="1:40" x14ac:dyDescent="0.25">
      <c r="A5858" t="str">
        <f>"20190303162418792"</f>
        <v>20190303162418792</v>
      </c>
      <c r="B5858" t="str">
        <f>"1551601458780928"</f>
        <v>1551601458780928</v>
      </c>
      <c r="C5858" t="s">
        <v>40</v>
      </c>
      <c r="D5858">
        <v>5.386933</v>
      </c>
      <c r="E5858">
        <v>0.53896569999999899</v>
      </c>
      <c r="F5858" t="s">
        <v>42</v>
      </c>
      <c r="G5858">
        <v>-274.20139999999998</v>
      </c>
      <c r="H5858">
        <v>0.8381982</v>
      </c>
      <c r="I5858">
        <v>-62.284210000000002</v>
      </c>
      <c r="J5858">
        <v>-274.93130000000002</v>
      </c>
      <c r="K5858">
        <v>1.1207560000000001</v>
      </c>
      <c r="L5858">
        <v>-62.146790000000003</v>
      </c>
      <c r="M5858">
        <v>0.99519829999999998</v>
      </c>
      <c r="N5858">
        <v>-1.378362E-2</v>
      </c>
      <c r="O5858">
        <v>-9.6904530000000003E-2</v>
      </c>
      <c r="P5858">
        <v>0.98793419999999998</v>
      </c>
      <c r="Q5858">
        <v>0.132548</v>
      </c>
      <c r="R5858">
        <v>-8.0107339999999999E-2</v>
      </c>
      <c r="S5858">
        <v>3.133972</v>
      </c>
      <c r="T5858">
        <v>-1.05609</v>
      </c>
      <c r="U5858">
        <v>-0.55300899999999997</v>
      </c>
      <c r="V5858">
        <v>-1.5936450000000001E-2</v>
      </c>
      <c r="W5858">
        <v>0.14620429999999901</v>
      </c>
      <c r="X5858">
        <v>0.98912599999999995</v>
      </c>
      <c r="Y5858">
        <v>7.7915189999999995E-2</v>
      </c>
      <c r="Z5858">
        <v>1.691235E-2</v>
      </c>
      <c r="AA5858">
        <v>0.99681649999999999</v>
      </c>
      <c r="AB5858">
        <v>25</v>
      </c>
      <c r="AC5858">
        <v>0.72990000000004296</v>
      </c>
      <c r="AD5858">
        <v>-0.28255779999999903</v>
      </c>
      <c r="AE5858">
        <v>-0.13741999999999099</v>
      </c>
      <c r="AF5858">
        <v>5.7686765507770202E-2</v>
      </c>
      <c r="AG5858">
        <v>-0.28255779999999903</v>
      </c>
      <c r="AH5858">
        <v>0.64624997402311701</v>
      </c>
      <c r="AI5858">
        <v>113.53289462488701</v>
      </c>
      <c r="AJ5858">
        <v>84.899077154590799</v>
      </c>
      <c r="AK5858">
        <v>0.70767626933539796</v>
      </c>
      <c r="AL5858">
        <v>81.592975873004207</v>
      </c>
      <c r="AM5858">
        <v>90.923049570420901</v>
      </c>
      <c r="AN5858">
        <v>0.999999955826545</v>
      </c>
    </row>
    <row r="5859" spans="1:40" x14ac:dyDescent="0.25">
      <c r="A5859" t="str">
        <f>"20190303162418804"</f>
        <v>20190303162418804</v>
      </c>
      <c r="B5859" t="str">
        <f>"1551601458790688"</f>
        <v>1551601458790688</v>
      </c>
      <c r="C5859" t="s">
        <v>40</v>
      </c>
      <c r="D5859">
        <v>5.4005369999999999</v>
      </c>
      <c r="E5859">
        <v>0.53904810000000003</v>
      </c>
      <c r="F5859" t="s">
        <v>42</v>
      </c>
      <c r="G5859">
        <v>-274.18810000000002</v>
      </c>
      <c r="H5859">
        <v>0.87002060000000003</v>
      </c>
      <c r="I5859">
        <v>-62.278080000000003</v>
      </c>
      <c r="J5859">
        <v>-274.81549999999999</v>
      </c>
      <c r="K5859">
        <v>1.1207640000000001</v>
      </c>
      <c r="L5859">
        <v>-62.158200000000001</v>
      </c>
      <c r="M5859">
        <v>0.99519000000000002</v>
      </c>
      <c r="N5859">
        <v>-1.374015E-2</v>
      </c>
      <c r="O5859">
        <v>-9.6993770000000007E-2</v>
      </c>
      <c r="P5859">
        <v>0.98807020000000001</v>
      </c>
      <c r="Q5859">
        <v>0.13162260000000001</v>
      </c>
      <c r="R5859">
        <v>-7.9954910000000004E-2</v>
      </c>
      <c r="S5859">
        <v>3.133575</v>
      </c>
      <c r="T5859">
        <v>-1.0571140000000001</v>
      </c>
      <c r="U5859">
        <v>-0.55288700000000002</v>
      </c>
      <c r="V5859">
        <v>-1.6197710000000001E-2</v>
      </c>
      <c r="W5859">
        <v>0.1452368</v>
      </c>
      <c r="X5859">
        <v>0.98926429999999999</v>
      </c>
      <c r="Y5859">
        <v>7.7822660000000002E-2</v>
      </c>
      <c r="Z5859">
        <v>1.6981199999999998E-2</v>
      </c>
      <c r="AA5859">
        <v>0.9968226</v>
      </c>
      <c r="AB5859">
        <v>25</v>
      </c>
      <c r="AC5859">
        <v>0.62739999999996598</v>
      </c>
      <c r="AD5859">
        <v>-0.25074339999999901</v>
      </c>
      <c r="AE5859">
        <v>-0.119880000000001</v>
      </c>
      <c r="AF5859">
        <v>5.0649959276174002E-2</v>
      </c>
      <c r="AG5859">
        <v>-0.25074339999999901</v>
      </c>
      <c r="AH5859">
        <v>0.55114037261302695</v>
      </c>
      <c r="AI5859">
        <v>114.372650374315</v>
      </c>
      <c r="AJ5859">
        <v>84.749250205798802</v>
      </c>
      <c r="AK5859">
        <v>0.60761285481979799</v>
      </c>
      <c r="AL5859">
        <v>81.649007796941504</v>
      </c>
      <c r="AM5859">
        <v>90.938048102180204</v>
      </c>
      <c r="AN5859">
        <v>0.99999997456898604</v>
      </c>
    </row>
    <row r="5860" spans="1:40" x14ac:dyDescent="0.25">
      <c r="A5860" t="str">
        <f>"20190303162418814"</f>
        <v>20190303162418814</v>
      </c>
      <c r="B5860" t="str">
        <f>"1551601458800448"</f>
        <v>1551601458800448</v>
      </c>
      <c r="C5860" t="s">
        <v>40</v>
      </c>
      <c r="D5860">
        <v>5.407915</v>
      </c>
      <c r="E5860">
        <v>0.53909359999999995</v>
      </c>
      <c r="F5860" t="s">
        <v>42</v>
      </c>
      <c r="G5860">
        <v>-273.97899999999998</v>
      </c>
      <c r="H5860">
        <v>0.83741209999999899</v>
      </c>
      <c r="I5860">
        <v>-62.305810000000001</v>
      </c>
      <c r="J5860">
        <v>-274.69560000000001</v>
      </c>
      <c r="K5860">
        <v>1.1207720000000001</v>
      </c>
      <c r="L5860">
        <v>-62.169980000000002</v>
      </c>
      <c r="M5860">
        <v>0.99518490000000004</v>
      </c>
      <c r="N5860">
        <v>-1.368231E-2</v>
      </c>
      <c r="O5860">
        <v>-9.7057340000000006E-2</v>
      </c>
      <c r="P5860">
        <v>0.98827580000000004</v>
      </c>
      <c r="Q5860">
        <v>0.13046759999999999</v>
      </c>
      <c r="R5860">
        <v>-7.9305379999999995E-2</v>
      </c>
      <c r="S5860">
        <v>3.1328740000000002</v>
      </c>
      <c r="T5860">
        <v>-1.0611660000000001</v>
      </c>
      <c r="U5860">
        <v>-0.55236819999999998</v>
      </c>
      <c r="V5860">
        <v>-1.6937089999999998E-2</v>
      </c>
      <c r="W5860">
        <v>0.14402609999999999</v>
      </c>
      <c r="X5860">
        <v>0.98942889999999994</v>
      </c>
      <c r="Y5860">
        <v>7.7657729999999994E-2</v>
      </c>
      <c r="Z5860">
        <v>1.7109760000000002E-2</v>
      </c>
      <c r="AA5860">
        <v>0.99683330000000003</v>
      </c>
      <c r="AB5860">
        <v>25</v>
      </c>
      <c r="AC5860">
        <v>0.71659999999997104</v>
      </c>
      <c r="AD5860">
        <v>-0.2833599</v>
      </c>
      <c r="AE5860">
        <v>-0.13582999999999801</v>
      </c>
      <c r="AF5860">
        <v>5.7023845199958297E-2</v>
      </c>
      <c r="AG5860">
        <v>-0.2833599</v>
      </c>
      <c r="AH5860">
        <v>0.63113895725355396</v>
      </c>
      <c r="AI5860">
        <v>114.09154726340201</v>
      </c>
      <c r="AJ5860">
        <v>84.837304012470895</v>
      </c>
      <c r="AK5860">
        <v>0.69417644386171895</v>
      </c>
      <c r="AL5860">
        <v>81.719112840128403</v>
      </c>
      <c r="AM5860">
        <v>90.980696039844702</v>
      </c>
      <c r="AN5860">
        <v>0.99999996532704305</v>
      </c>
    </row>
    <row r="5861" spans="1:40" x14ac:dyDescent="0.25">
      <c r="A5861" t="str">
        <f>"20190303162418847"</f>
        <v>20190303162418847</v>
      </c>
      <c r="B5861" t="str">
        <f>"1551601458840546"</f>
        <v>1551601458840546</v>
      </c>
      <c r="C5861" t="s">
        <v>40</v>
      </c>
      <c r="D5861">
        <v>5.4190659999999999</v>
      </c>
      <c r="E5861">
        <v>0.53912040000000006</v>
      </c>
      <c r="F5861" t="s">
        <v>42</v>
      </c>
      <c r="G5861">
        <v>-273.96449999999999</v>
      </c>
      <c r="H5861">
        <v>0.87206219999999901</v>
      </c>
      <c r="I5861">
        <v>-62.29853</v>
      </c>
      <c r="J5861">
        <v>-274.32799999999997</v>
      </c>
      <c r="K5861">
        <v>1.1208049999999901</v>
      </c>
      <c r="L5861">
        <v>-62.206090000000003</v>
      </c>
      <c r="M5861">
        <v>0.9951757</v>
      </c>
      <c r="N5861">
        <v>-1.349347E-2</v>
      </c>
      <c r="O5861">
        <v>-9.7176990000000005E-2</v>
      </c>
      <c r="P5861">
        <v>0.98884179999999999</v>
      </c>
      <c r="Q5861">
        <v>0.12821150000000001</v>
      </c>
      <c r="R5861">
        <v>-7.5857129999999995E-2</v>
      </c>
      <c r="S5861">
        <v>3.1320800000000002</v>
      </c>
      <c r="T5861">
        <v>-1.065512</v>
      </c>
      <c r="U5861">
        <v>-0.55020139999999995</v>
      </c>
      <c r="V5861">
        <v>-2.057146E-2</v>
      </c>
      <c r="W5861">
        <v>0.14158370000000001</v>
      </c>
      <c r="X5861">
        <v>0.9897125</v>
      </c>
      <c r="Y5861">
        <v>7.6971650000000003E-2</v>
      </c>
      <c r="Z5861">
        <v>1.7369579999999999E-2</v>
      </c>
      <c r="AA5861">
        <v>0.99688200000000005</v>
      </c>
      <c r="AB5861">
        <v>25</v>
      </c>
      <c r="AC5861">
        <v>0.363499999999987</v>
      </c>
      <c r="AD5861">
        <v>-0.24874279999999999</v>
      </c>
      <c r="AE5861">
        <v>-9.2440000000003394E-2</v>
      </c>
      <c r="AF5861">
        <v>3.9362763290668103E-2</v>
      </c>
      <c r="AG5861">
        <v>-0.24874279999999999</v>
      </c>
      <c r="AH5861">
        <v>0.25750628061427</v>
      </c>
      <c r="AI5861">
        <v>133.67769444912901</v>
      </c>
      <c r="AJ5861">
        <v>81.308965139002197</v>
      </c>
      <c r="AK5861">
        <v>0.36018313708655503</v>
      </c>
      <c r="AL5861">
        <v>81.860501331457797</v>
      </c>
      <c r="AM5861">
        <v>91.190737858307401</v>
      </c>
      <c r="AN5861">
        <v>0.99999998086423503</v>
      </c>
    </row>
    <row r="5862" spans="1:40" x14ac:dyDescent="0.25">
      <c r="A5862" t="str">
        <f>"20190303162418858"</f>
        <v>20190303162418858</v>
      </c>
      <c r="B5862" t="str">
        <f>"1551601458851281"</f>
        <v>1551601458851281</v>
      </c>
      <c r="C5862" t="s">
        <v>40</v>
      </c>
      <c r="D5862">
        <v>5.4422569999999997</v>
      </c>
      <c r="E5862">
        <v>0.53913820000000001</v>
      </c>
      <c r="F5862" t="s">
        <v>42</v>
      </c>
      <c r="G5862">
        <v>-273.52949999999998</v>
      </c>
      <c r="H5862">
        <v>0.84709729999999905</v>
      </c>
      <c r="I5862">
        <v>-62.343859999999999</v>
      </c>
      <c r="J5862">
        <v>-274.20679999999999</v>
      </c>
      <c r="K5862">
        <v>1.1208149999999999</v>
      </c>
      <c r="L5862">
        <v>-62.217930000000003</v>
      </c>
      <c r="M5862">
        <v>0.99517520000000004</v>
      </c>
      <c r="N5862">
        <v>-1.3429089999999999E-2</v>
      </c>
      <c r="O5862">
        <v>-9.7190479999999996E-2</v>
      </c>
      <c r="P5862">
        <v>0.98901669999999997</v>
      </c>
      <c r="Q5862">
        <v>0.1278482</v>
      </c>
      <c r="R5862">
        <v>-7.4168269999999994E-2</v>
      </c>
      <c r="S5862">
        <v>3.131653</v>
      </c>
      <c r="T5862">
        <v>-1.0734680000000001</v>
      </c>
      <c r="U5862">
        <v>-0.53948969999999996</v>
      </c>
      <c r="V5862">
        <v>-2.2291109999999999E-2</v>
      </c>
      <c r="W5862">
        <v>0.141156</v>
      </c>
      <c r="X5862">
        <v>0.98973639999999996</v>
      </c>
      <c r="Y5862">
        <v>7.3865669999999994E-2</v>
      </c>
      <c r="Z5862">
        <v>1.8062849999999998E-2</v>
      </c>
      <c r="AA5862">
        <v>0.99710460000000001</v>
      </c>
      <c r="AB5862">
        <v>25</v>
      </c>
      <c r="AC5862">
        <v>0.67730000000000201</v>
      </c>
      <c r="AD5862">
        <v>-0.27371769999999901</v>
      </c>
      <c r="AE5862">
        <v>-0.12592999999999599</v>
      </c>
      <c r="AF5862">
        <v>5.13882911159858E-2</v>
      </c>
      <c r="AG5862">
        <v>-0.27371769999999901</v>
      </c>
      <c r="AH5862">
        <v>0.59275794801503201</v>
      </c>
      <c r="AI5862">
        <v>114.70452086905</v>
      </c>
      <c r="AJ5862">
        <v>85.045213677361204</v>
      </c>
      <c r="AK5862">
        <v>0.65492298836741303</v>
      </c>
      <c r="AL5862">
        <v>81.885255711609901</v>
      </c>
      <c r="AM5862">
        <v>91.290212866062603</v>
      </c>
      <c r="AN5862">
        <v>1.00000002570299</v>
      </c>
    </row>
    <row r="5863" spans="1:40" x14ac:dyDescent="0.25">
      <c r="A5863" t="str">
        <f>"20190303162418869"</f>
        <v>20190303162418869</v>
      </c>
      <c r="B5863" t="str">
        <f>"1551601458861042"</f>
        <v>1551601458861042</v>
      </c>
      <c r="C5863" t="s">
        <v>40</v>
      </c>
      <c r="D5863">
        <v>5.450043</v>
      </c>
      <c r="E5863">
        <v>0.53916969999999997</v>
      </c>
      <c r="F5863" t="s">
        <v>42</v>
      </c>
      <c r="G5863">
        <v>-273.51420000000002</v>
      </c>
      <c r="H5863">
        <v>0.883212</v>
      </c>
      <c r="I5863">
        <v>-62.336440000000003</v>
      </c>
      <c r="J5863">
        <v>-274.07960000000003</v>
      </c>
      <c r="K5863">
        <v>1.120827</v>
      </c>
      <c r="L5863">
        <v>-62.230409999999999</v>
      </c>
      <c r="M5863">
        <v>0.99517610000000001</v>
      </c>
      <c r="N5863">
        <v>-1.336236E-2</v>
      </c>
      <c r="O5863">
        <v>-9.7191589999999994E-2</v>
      </c>
      <c r="P5863">
        <v>0.98913660000000003</v>
      </c>
      <c r="Q5863">
        <v>0.12793879999999999</v>
      </c>
      <c r="R5863">
        <v>-7.2393600000000002E-2</v>
      </c>
      <c r="S5863">
        <v>3.1321409999999998</v>
      </c>
      <c r="T5863">
        <v>-1.074586</v>
      </c>
      <c r="U5863">
        <v>-0.53506469999999995</v>
      </c>
      <c r="V5863">
        <v>-2.4078240000000001E-2</v>
      </c>
      <c r="W5863">
        <v>0.14117869999999999</v>
      </c>
      <c r="X5863">
        <v>0.98969130000000005</v>
      </c>
      <c r="Y5863">
        <v>7.2550829999999997E-2</v>
      </c>
      <c r="Z5863">
        <v>1.8318330000000001E-2</v>
      </c>
      <c r="AA5863">
        <v>0.99719650000000004</v>
      </c>
      <c r="AB5863">
        <v>25</v>
      </c>
      <c r="AC5863">
        <v>0.565400000000011</v>
      </c>
      <c r="AD5863">
        <v>-0.23761499999999899</v>
      </c>
      <c r="AE5863">
        <v>-0.106030000000004</v>
      </c>
      <c r="AF5863">
        <v>4.3200171281653002E-2</v>
      </c>
      <c r="AG5863">
        <v>-0.23761499999999899</v>
      </c>
      <c r="AH5863">
        <v>0.48950963961380001</v>
      </c>
      <c r="AI5863">
        <v>115.805392838904</v>
      </c>
      <c r="AJ5863">
        <v>84.9566030332265</v>
      </c>
      <c r="AK5863">
        <v>0.54584506070733696</v>
      </c>
      <c r="AL5863">
        <v>81.883941960892898</v>
      </c>
      <c r="AM5863">
        <v>91.393676426447001</v>
      </c>
      <c r="AN5863">
        <v>1.00000002813543</v>
      </c>
    </row>
    <row r="5864" spans="1:40" x14ac:dyDescent="0.25">
      <c r="A5864" t="str">
        <f>"20190303162418880"</f>
        <v>20190303162418880</v>
      </c>
      <c r="B5864" t="str">
        <f>"1551601458870801"</f>
        <v>1551601458870801</v>
      </c>
      <c r="C5864" t="s">
        <v>40</v>
      </c>
      <c r="D5864">
        <v>5.4781060000000004</v>
      </c>
      <c r="E5864">
        <v>0.53920259999999998</v>
      </c>
      <c r="F5864" t="s">
        <v>42</v>
      </c>
      <c r="G5864">
        <v>-273.30369999999999</v>
      </c>
      <c r="H5864">
        <v>0.85476409999999903</v>
      </c>
      <c r="I5864">
        <v>-62.361930000000001</v>
      </c>
      <c r="J5864">
        <v>-273.95890000000003</v>
      </c>
      <c r="K5864">
        <v>1.1208389999999999</v>
      </c>
      <c r="L5864">
        <v>-62.242190000000001</v>
      </c>
      <c r="M5864">
        <v>0.99517750000000005</v>
      </c>
      <c r="N5864">
        <v>-1.329954E-2</v>
      </c>
      <c r="O5864">
        <v>-9.7184430000000002E-2</v>
      </c>
      <c r="P5864">
        <v>0.98924029999999996</v>
      </c>
      <c r="Q5864">
        <v>0.1280521</v>
      </c>
      <c r="R5864">
        <v>-7.0755239999999997E-2</v>
      </c>
      <c r="S5864">
        <v>3.1330870000000002</v>
      </c>
      <c r="T5864">
        <v>-1.074301</v>
      </c>
      <c r="U5864">
        <v>-0.53033450000000004</v>
      </c>
      <c r="V5864">
        <v>-2.5718890000000001E-2</v>
      </c>
      <c r="W5864">
        <v>0.14122779999999999</v>
      </c>
      <c r="X5864">
        <v>0.98964300000000005</v>
      </c>
      <c r="Y5864">
        <v>7.1128179999999999E-2</v>
      </c>
      <c r="Z5864">
        <v>1.856184E-2</v>
      </c>
      <c r="AA5864">
        <v>0.99729449999999997</v>
      </c>
      <c r="AB5864">
        <v>25</v>
      </c>
      <c r="AC5864">
        <v>0.65520000000003598</v>
      </c>
      <c r="AD5864">
        <v>-0.2660749</v>
      </c>
      <c r="AE5864">
        <v>-0.11974000000000699</v>
      </c>
      <c r="AF5864">
        <v>4.78552450062356E-2</v>
      </c>
      <c r="AG5864">
        <v>-0.2660749</v>
      </c>
      <c r="AH5864">
        <v>0.57239087881593298</v>
      </c>
      <c r="AI5864">
        <v>114.85508594231</v>
      </c>
      <c r="AJ5864">
        <v>85.220850393942996</v>
      </c>
      <c r="AK5864">
        <v>0.63302234955512704</v>
      </c>
      <c r="AL5864">
        <v>81.881100118967396</v>
      </c>
      <c r="AM5864">
        <v>91.488670402124896</v>
      </c>
      <c r="AN5864">
        <v>1.0000000101223301</v>
      </c>
    </row>
    <row r="5865" spans="1:40" x14ac:dyDescent="0.25">
      <c r="A5865" t="str">
        <f>"20190303162418891"</f>
        <v>20190303162418891</v>
      </c>
      <c r="B5865" t="str">
        <f>"1551601458880562"</f>
        <v>1551601458880562</v>
      </c>
      <c r="C5865" t="s">
        <v>40</v>
      </c>
      <c r="D5865">
        <v>5.4417339999999896</v>
      </c>
      <c r="E5865">
        <v>0.53927360000000002</v>
      </c>
      <c r="F5865" t="s">
        <v>42</v>
      </c>
      <c r="G5865">
        <v>-273.28789999999998</v>
      </c>
      <c r="H5865">
        <v>0.89090559999999996</v>
      </c>
      <c r="I5865">
        <v>-62.354909999999997</v>
      </c>
      <c r="J5865">
        <v>-273.83789999999999</v>
      </c>
      <c r="K5865">
        <v>1.120852</v>
      </c>
      <c r="L5865">
        <v>-62.25403</v>
      </c>
      <c r="M5865">
        <v>0.99518119999999999</v>
      </c>
      <c r="N5865">
        <v>-1.3238969999999999E-2</v>
      </c>
      <c r="O5865">
        <v>-9.7155969999999994E-2</v>
      </c>
      <c r="P5865">
        <v>0.98939290000000002</v>
      </c>
      <c r="Q5865">
        <v>0.12812169999999901</v>
      </c>
      <c r="R5865">
        <v>-6.8461759999999997E-2</v>
      </c>
      <c r="S5865">
        <v>3.134064</v>
      </c>
      <c r="T5865">
        <v>-1.0739299999999901</v>
      </c>
      <c r="U5865">
        <v>-0.52563479999999996</v>
      </c>
      <c r="V5865">
        <v>-2.7995229999999999E-2</v>
      </c>
      <c r="W5865">
        <v>0.14123540000000001</v>
      </c>
      <c r="X5865">
        <v>0.98958020000000002</v>
      </c>
      <c r="Y5865">
        <v>6.9731730000000006E-2</v>
      </c>
      <c r="Z5865">
        <v>1.8791749999999999E-2</v>
      </c>
      <c r="AA5865">
        <v>0.99738879999999996</v>
      </c>
      <c r="AB5865">
        <v>25</v>
      </c>
      <c r="AC5865">
        <v>0.55000000000001104</v>
      </c>
      <c r="AD5865">
        <v>-0.229946399999999</v>
      </c>
      <c r="AE5865">
        <v>-0.10087999999998901</v>
      </c>
      <c r="AF5865">
        <v>4.01693513350991E-2</v>
      </c>
      <c r="AG5865">
        <v>-0.229946399999999</v>
      </c>
      <c r="AH5865">
        <v>0.47660331916364002</v>
      </c>
      <c r="AI5865">
        <v>115.676600512227</v>
      </c>
      <c r="AJ5865">
        <v>85.182350549895602</v>
      </c>
      <c r="AK5865">
        <v>0.530697321924127</v>
      </c>
      <c r="AL5865">
        <v>81.880660765310594</v>
      </c>
      <c r="AM5865">
        <v>91.620465750809601</v>
      </c>
      <c r="AN5865">
        <v>1.0000000716739701</v>
      </c>
    </row>
    <row r="5866" spans="1:40" x14ac:dyDescent="0.25">
      <c r="A5866" t="str">
        <f>"20190303162418903"</f>
        <v>20190303162418903</v>
      </c>
      <c r="B5866" t="str">
        <f>"1551601458901058"</f>
        <v>1551601458901058</v>
      </c>
      <c r="C5866" t="s">
        <v>40</v>
      </c>
      <c r="D5866">
        <v>5.7387280000000001</v>
      </c>
      <c r="E5866">
        <v>0.53910179999999996</v>
      </c>
      <c r="F5866" t="s">
        <v>42</v>
      </c>
      <c r="G5866">
        <v>-273.07850000000002</v>
      </c>
      <c r="H5866">
        <v>0.86093719999999996</v>
      </c>
      <c r="I5866">
        <v>-62.38006</v>
      </c>
      <c r="J5866">
        <v>-273.70280000000002</v>
      </c>
      <c r="K5866">
        <v>1.12086</v>
      </c>
      <c r="L5866">
        <v>-62.267180000000003</v>
      </c>
      <c r="M5866">
        <v>0.99518589999999996</v>
      </c>
      <c r="N5866">
        <v>-1.3172359999999999E-2</v>
      </c>
      <c r="O5866">
        <v>-9.7116240000000006E-2</v>
      </c>
      <c r="P5866">
        <v>0.98958409999999997</v>
      </c>
      <c r="Q5866">
        <v>0.12786239999999999</v>
      </c>
      <c r="R5866">
        <v>-6.61413E-2</v>
      </c>
      <c r="S5866">
        <v>3.1351930000000001</v>
      </c>
      <c r="T5866">
        <v>-1.073037</v>
      </c>
      <c r="U5866">
        <v>-0.51913450000000005</v>
      </c>
      <c r="V5866">
        <v>-3.0290810000000001E-2</v>
      </c>
      <c r="W5866">
        <v>0.14090820000000001</v>
      </c>
      <c r="X5866">
        <v>0.98955919999999997</v>
      </c>
      <c r="Y5866">
        <v>6.7809739999999993E-2</v>
      </c>
      <c r="Z5866">
        <v>1.909961E-2</v>
      </c>
      <c r="AA5866">
        <v>0.99751540000000005</v>
      </c>
      <c r="AB5866">
        <v>25</v>
      </c>
      <c r="AC5866">
        <v>0.62430000000000496</v>
      </c>
      <c r="AD5866">
        <v>-0.25992280000000001</v>
      </c>
      <c r="AE5866">
        <v>-0.112879999999996</v>
      </c>
      <c r="AF5866">
        <v>4.4279003467411801E-2</v>
      </c>
      <c r="AG5866">
        <v>-0.25992280000000001</v>
      </c>
      <c r="AH5866">
        <v>0.54143070013703398</v>
      </c>
      <c r="AI5866">
        <v>115.56967992435099</v>
      </c>
      <c r="AJ5866">
        <v>85.324671076566403</v>
      </c>
      <c r="AK5866">
        <v>0.60221897608659403</v>
      </c>
      <c r="AL5866">
        <v>81.899596998320305</v>
      </c>
      <c r="AM5866">
        <v>91.753299662806498</v>
      </c>
      <c r="AN5866">
        <v>1.00000003215116</v>
      </c>
    </row>
    <row r="5867" spans="1:40" x14ac:dyDescent="0.25">
      <c r="A5867" t="str">
        <f>"20190303162418914"</f>
        <v>20190303162418914</v>
      </c>
      <c r="B5867" t="str">
        <f>"1551601458910817"</f>
        <v>1551601458910817</v>
      </c>
      <c r="C5867" t="s">
        <v>40</v>
      </c>
      <c r="D5867">
        <v>5.5343980000000004</v>
      </c>
      <c r="E5867">
        <v>0.53910179999999996</v>
      </c>
      <c r="F5867" t="s">
        <v>42</v>
      </c>
      <c r="G5867">
        <v>-272.86660000000001</v>
      </c>
      <c r="H5867">
        <v>0.83511360000000001</v>
      </c>
      <c r="I5867">
        <v>-62.40343</v>
      </c>
      <c r="J5867">
        <v>-273.57679999999999</v>
      </c>
      <c r="K5867">
        <v>1.120878</v>
      </c>
      <c r="L5867">
        <v>-62.279420000000002</v>
      </c>
      <c r="M5867">
        <v>0.99519279999999999</v>
      </c>
      <c r="N5867">
        <v>-1.31139E-2</v>
      </c>
      <c r="O5867">
        <v>-9.705358E-2</v>
      </c>
      <c r="P5867">
        <v>0.98975769999999996</v>
      </c>
      <c r="Q5867">
        <v>0.12787560000000001</v>
      </c>
      <c r="R5867">
        <v>-6.3465740000000007E-2</v>
      </c>
      <c r="S5867">
        <v>3.1358950000000001</v>
      </c>
      <c r="T5867">
        <v>-1.0715250000000001</v>
      </c>
      <c r="U5867">
        <v>-0.51071169999999999</v>
      </c>
      <c r="V5867">
        <v>-3.2915399999999997E-2</v>
      </c>
      <c r="W5867">
        <v>0.14086099999999999</v>
      </c>
      <c r="X5867">
        <v>0.98948199999999997</v>
      </c>
      <c r="Y5867">
        <v>6.5363400000000002E-2</v>
      </c>
      <c r="Z5867">
        <v>1.9480839999999999E-2</v>
      </c>
      <c r="AA5867">
        <v>0.99767139999999999</v>
      </c>
      <c r="AB5867">
        <v>25</v>
      </c>
      <c r="AC5867">
        <v>0.71019999999998595</v>
      </c>
      <c r="AD5867">
        <v>-0.28576439999999997</v>
      </c>
      <c r="AE5867">
        <v>-0.124010000000012</v>
      </c>
      <c r="AF5867">
        <v>4.7092292908572003E-2</v>
      </c>
      <c r="AG5867">
        <v>-0.28576439999999997</v>
      </c>
      <c r="AH5867">
        <v>0.62127339025221595</v>
      </c>
      <c r="AI5867">
        <v>114.63855221482</v>
      </c>
      <c r="AJ5867">
        <v>85.665290262156702</v>
      </c>
      <c r="AK5867">
        <v>0.68546305647659</v>
      </c>
      <c r="AL5867">
        <v>81.902327825066195</v>
      </c>
      <c r="AM5867">
        <v>91.905257826797794</v>
      </c>
      <c r="AN5867">
        <v>0.999999936601077</v>
      </c>
    </row>
    <row r="5868" spans="1:40" x14ac:dyDescent="0.25">
      <c r="A5868" t="str">
        <f>"20190303162418929"</f>
        <v>20190303162418929</v>
      </c>
      <c r="B5868" t="str">
        <f>"1551601458910817"</f>
        <v>1551601458910817</v>
      </c>
      <c r="C5868" t="s">
        <v>40</v>
      </c>
      <c r="D5868">
        <v>5.5343980000000004</v>
      </c>
      <c r="E5868">
        <v>0.53910179999999996</v>
      </c>
      <c r="F5868" t="s">
        <v>42</v>
      </c>
      <c r="G5868">
        <v>-272.85059999999999</v>
      </c>
      <c r="H5868">
        <v>0.8728783</v>
      </c>
      <c r="I5868">
        <v>-62.395769999999999</v>
      </c>
      <c r="J5868">
        <v>-273.4246</v>
      </c>
      <c r="K5868">
        <v>1.1209009999999999</v>
      </c>
      <c r="L5868">
        <v>-62.294220000000003</v>
      </c>
      <c r="M5868">
        <v>0.99520209999999998</v>
      </c>
      <c r="N5868">
        <v>-1.304429E-2</v>
      </c>
      <c r="O5868">
        <v>-9.6968369999999998E-2</v>
      </c>
      <c r="P5868">
        <v>0.98995610000000001</v>
      </c>
      <c r="Q5868">
        <v>0.12789819999999999</v>
      </c>
      <c r="R5868">
        <v>-6.0245559999999997E-2</v>
      </c>
      <c r="S5868">
        <v>3.137238</v>
      </c>
      <c r="T5868">
        <v>-1.0713280000000001</v>
      </c>
      <c r="U5868">
        <v>-0.50241089999999999</v>
      </c>
      <c r="V5868">
        <v>-3.6063959999999999E-2</v>
      </c>
      <c r="W5868">
        <v>0.14080999999999999</v>
      </c>
      <c r="X5868">
        <v>0.98937960000000003</v>
      </c>
      <c r="Y5868">
        <v>6.2944470000000002E-2</v>
      </c>
      <c r="Z5868">
        <v>1.987131E-2</v>
      </c>
      <c r="AA5868">
        <v>0.99781920000000002</v>
      </c>
      <c r="AB5868">
        <v>25</v>
      </c>
      <c r="AC5868">
        <v>0.57400000000001195</v>
      </c>
      <c r="AD5868">
        <v>-0.24802269999999901</v>
      </c>
      <c r="AE5868">
        <v>-0.101550000000003</v>
      </c>
      <c r="AF5868">
        <v>3.8446445837066003E-2</v>
      </c>
      <c r="AG5868">
        <v>-0.24802269999999901</v>
      </c>
      <c r="AH5868">
        <v>0.49206001939889699</v>
      </c>
      <c r="AI5868">
        <v>116.680357008095</v>
      </c>
      <c r="AJ5868">
        <v>85.532348278911996</v>
      </c>
      <c r="AK5868">
        <v>0.55237347112586399</v>
      </c>
      <c r="AL5868">
        <v>81.905280081408804</v>
      </c>
      <c r="AM5868">
        <v>92.087569090956706</v>
      </c>
      <c r="AN5868">
        <v>1.00000002910352</v>
      </c>
    </row>
    <row r="5869" spans="1:40" x14ac:dyDescent="0.25">
      <c r="A5869" t="str">
        <f>"20190303162418941"</f>
        <v>20190303162418941</v>
      </c>
      <c r="B5869" t="str">
        <f>"1551601458931313"</f>
        <v>1551601458931313</v>
      </c>
      <c r="C5869" t="s">
        <v>40</v>
      </c>
      <c r="D5869">
        <v>5.5017230000000001</v>
      </c>
      <c r="E5869">
        <v>0.49838310000000002</v>
      </c>
      <c r="F5869" t="s">
        <v>42</v>
      </c>
      <c r="G5869">
        <v>-272.63690000000003</v>
      </c>
      <c r="H5869">
        <v>0.85202180000000005</v>
      </c>
      <c r="I5869">
        <v>-62.418010000000002</v>
      </c>
      <c r="J5869">
        <v>-273.2824</v>
      </c>
      <c r="K5869">
        <v>1.1209279999999999</v>
      </c>
      <c r="L5869">
        <v>-62.307980000000001</v>
      </c>
      <c r="M5869">
        <v>0.99521179999999998</v>
      </c>
      <c r="N5869">
        <v>-1.2980459999999999E-2</v>
      </c>
      <c r="O5869">
        <v>-9.6876669999999998E-2</v>
      </c>
      <c r="P5869">
        <v>0.9900603</v>
      </c>
      <c r="Q5869">
        <v>0.12859289999999901</v>
      </c>
      <c r="R5869">
        <v>-5.6963430000000002E-2</v>
      </c>
      <c r="S5869">
        <v>3.138855</v>
      </c>
      <c r="T5869">
        <v>-1.071307</v>
      </c>
      <c r="U5869">
        <v>-0.49237059999999999</v>
      </c>
      <c r="V5869">
        <v>-3.925696E-2</v>
      </c>
      <c r="W5869">
        <v>0.14143599999999901</v>
      </c>
      <c r="X5869">
        <v>0.98916870000000001</v>
      </c>
      <c r="Y5869">
        <v>6.0007860000000003E-2</v>
      </c>
      <c r="Z5869">
        <v>2.0350050000000001E-2</v>
      </c>
      <c r="AA5869">
        <v>0.99799040000000006</v>
      </c>
      <c r="AB5869">
        <v>25</v>
      </c>
      <c r="AC5869">
        <v>0.64549999999996999</v>
      </c>
      <c r="AD5869">
        <v>-0.26890619999999998</v>
      </c>
      <c r="AE5869">
        <v>-0.110029999999987</v>
      </c>
      <c r="AF5869">
        <v>4.0194642739377999E-2</v>
      </c>
      <c r="AG5869">
        <v>-0.26890619999999998</v>
      </c>
      <c r="AH5869">
        <v>0.55887308351557397</v>
      </c>
      <c r="AI5869">
        <v>115.637200573003</v>
      </c>
      <c r="AJ5869">
        <v>85.886320310505297</v>
      </c>
      <c r="AK5869">
        <v>0.62150243537864902</v>
      </c>
      <c r="AL5869">
        <v>81.869049970190204</v>
      </c>
      <c r="AM5869">
        <v>92.272694582812704</v>
      </c>
      <c r="AN5869">
        <v>0.99999998403206503</v>
      </c>
    </row>
    <row r="5870" spans="1:40" x14ac:dyDescent="0.25">
      <c r="A5870" t="str">
        <f>"20190303162418954"</f>
        <v>20190303162418954</v>
      </c>
      <c r="B5870" t="str">
        <f>"1551601458941073"</f>
        <v>1551601458941073</v>
      </c>
      <c r="C5870" t="s">
        <v>40</v>
      </c>
      <c r="D5870">
        <v>5.8079039999999997</v>
      </c>
      <c r="E5870">
        <v>0.49838310000000002</v>
      </c>
      <c r="F5870" t="s">
        <v>42</v>
      </c>
      <c r="G5870">
        <v>-272.56779999999998</v>
      </c>
      <c r="H5870">
        <v>0.98313589999999995</v>
      </c>
      <c r="I5870">
        <v>-62.344549999999998</v>
      </c>
      <c r="J5870">
        <v>-273.14249999999998</v>
      </c>
      <c r="K5870">
        <v>1.1209480000000001</v>
      </c>
      <c r="L5870">
        <v>-62.3215</v>
      </c>
      <c r="M5870">
        <v>0.99522270000000002</v>
      </c>
      <c r="N5870">
        <v>-1.2917339999999999E-2</v>
      </c>
      <c r="O5870">
        <v>-9.6773709999999999E-2</v>
      </c>
      <c r="P5870">
        <v>0.99015050000000004</v>
      </c>
      <c r="Q5870">
        <v>0.1292249</v>
      </c>
      <c r="R5870">
        <v>-5.388188E-2</v>
      </c>
      <c r="S5870">
        <v>3.098633</v>
      </c>
      <c r="T5870">
        <v>-0.59750130000000001</v>
      </c>
      <c r="U5870">
        <v>-0.15759279999999901</v>
      </c>
      <c r="V5870">
        <v>-4.2237610000000002E-2</v>
      </c>
      <c r="W5870">
        <v>0.14199999999999999</v>
      </c>
      <c r="X5870">
        <v>0.98896510000000004</v>
      </c>
      <c r="Y5870">
        <v>-4.3703869999999999E-2</v>
      </c>
      <c r="Z5870">
        <v>2.1662379999999998E-2</v>
      </c>
      <c r="AA5870">
        <v>0.99880959999999996</v>
      </c>
      <c r="AB5870">
        <v>25</v>
      </c>
      <c r="AC5870">
        <v>0.57470000000000698</v>
      </c>
      <c r="AD5870">
        <v>-0.13781209999999999</v>
      </c>
      <c r="AE5870">
        <v>-2.3049999999997801E-2</v>
      </c>
      <c r="AF5870">
        <v>-3.09044393597139E-2</v>
      </c>
      <c r="AG5870">
        <v>-0.13781209999999999</v>
      </c>
      <c r="AH5870">
        <v>0.54305565687929502</v>
      </c>
      <c r="AI5870">
        <v>104.217378674995</v>
      </c>
      <c r="AJ5870">
        <v>93.2570991987197</v>
      </c>
      <c r="AK5870">
        <v>0.56112093682837305</v>
      </c>
      <c r="AL5870">
        <v>81.836405741403297</v>
      </c>
      <c r="AM5870">
        <v>92.445553412640905</v>
      </c>
      <c r="AN5870">
        <v>0.99999999235826098</v>
      </c>
    </row>
    <row r="5871" spans="1:40" x14ac:dyDescent="0.25">
      <c r="A5871" t="str">
        <f>"20190303162418967"</f>
        <v>20190303162418967</v>
      </c>
      <c r="B5871" t="str">
        <f>"1551601458960593"</f>
        <v>1551601458960593</v>
      </c>
      <c r="C5871" t="s">
        <v>40</v>
      </c>
      <c r="D5871">
        <v>5.721393</v>
      </c>
      <c r="E5871">
        <v>0.45123220000000003</v>
      </c>
      <c r="F5871" t="s">
        <v>42</v>
      </c>
      <c r="G5871">
        <v>-272.35129999999998</v>
      </c>
      <c r="H5871">
        <v>0.96893499999999999</v>
      </c>
      <c r="I5871">
        <v>-62.359419999999901</v>
      </c>
      <c r="J5871">
        <v>-272.99689999999998</v>
      </c>
      <c r="K5871">
        <v>1.120965</v>
      </c>
      <c r="L5871">
        <v>-62.335509999999999</v>
      </c>
      <c r="M5871">
        <v>0.99523439999999996</v>
      </c>
      <c r="N5871">
        <v>-1.285031E-2</v>
      </c>
      <c r="O5871">
        <v>-9.6661490000000003E-2</v>
      </c>
      <c r="P5871">
        <v>0.99018289999999998</v>
      </c>
      <c r="Q5871">
        <v>0.13031599999999999</v>
      </c>
      <c r="R5871">
        <v>-5.0555019999999999E-2</v>
      </c>
      <c r="S5871">
        <v>3.0994869999999999</v>
      </c>
      <c r="T5871">
        <v>-0.59554609999999997</v>
      </c>
      <c r="U5871">
        <v>-0.14825439999999901</v>
      </c>
      <c r="V5871">
        <v>-4.5447260000000003E-2</v>
      </c>
      <c r="W5871">
        <v>0.14301810000000001</v>
      </c>
      <c r="X5871">
        <v>0.98867609999999995</v>
      </c>
      <c r="Y5871">
        <v>-4.6568949999999998E-2</v>
      </c>
      <c r="Z5871">
        <v>2.1862090000000001E-2</v>
      </c>
      <c r="AA5871">
        <v>0.9986758</v>
      </c>
      <c r="AB5871">
        <v>25</v>
      </c>
      <c r="AC5871">
        <v>0.64560000000000095</v>
      </c>
      <c r="AD5871">
        <v>-0.15203</v>
      </c>
      <c r="AE5871">
        <v>-2.39099999999936E-2</v>
      </c>
      <c r="AF5871">
        <v>-3.6585748960840901E-2</v>
      </c>
      <c r="AG5871">
        <v>-0.15203</v>
      </c>
      <c r="AH5871">
        <v>0.611049124140712</v>
      </c>
      <c r="AI5871">
        <v>103.947600977448</v>
      </c>
      <c r="AJ5871">
        <v>93.426417661534998</v>
      </c>
      <c r="AK5871">
        <v>0.63073977997281605</v>
      </c>
      <c r="AL5871">
        <v>81.777471707719499</v>
      </c>
      <c r="AM5871">
        <v>92.631907899907006</v>
      </c>
      <c r="AN5871">
        <v>1.00000003054016</v>
      </c>
    </row>
    <row r="5872" spans="1:40" x14ac:dyDescent="0.25">
      <c r="A5872" t="str">
        <f>"20190303162418980"</f>
        <v>20190303162418980</v>
      </c>
      <c r="B5872" t="str">
        <f>"1551601458971329"</f>
        <v>1551601458971329</v>
      </c>
      <c r="C5872" t="s">
        <v>40</v>
      </c>
      <c r="D5872">
        <v>5.3773559999999998</v>
      </c>
      <c r="E5872">
        <v>0.45242789999999999</v>
      </c>
      <c r="F5872" t="s">
        <v>63</v>
      </c>
      <c r="G5872">
        <v>-242.13079999999999</v>
      </c>
      <c r="H5872" s="1">
        <v>2.0696799999999999E-8</v>
      </c>
      <c r="I5872">
        <v>-59.943629999999999</v>
      </c>
      <c r="J5872">
        <v>-272.84679999999997</v>
      </c>
      <c r="K5872">
        <v>1.1209899999999999</v>
      </c>
      <c r="L5872">
        <v>-62.34995</v>
      </c>
      <c r="M5872">
        <v>0.99524729999999995</v>
      </c>
      <c r="N5872">
        <v>-1.277843E-2</v>
      </c>
      <c r="O5872">
        <v>-9.6538219999999994E-2</v>
      </c>
      <c r="P5872">
        <v>0.99009979999999997</v>
      </c>
      <c r="Q5872">
        <v>0.13315099999999999</v>
      </c>
      <c r="R5872">
        <v>-4.4418880000000001E-2</v>
      </c>
      <c r="S5872">
        <v>3.0564879999999999</v>
      </c>
      <c r="T5872">
        <v>-0.1110023</v>
      </c>
      <c r="U5872">
        <v>0.2368469</v>
      </c>
      <c r="V5872">
        <v>-5.1429269999999999E-2</v>
      </c>
      <c r="W5872">
        <v>0.14576979999999901</v>
      </c>
      <c r="X5872">
        <v>0.98798079999999999</v>
      </c>
      <c r="Y5872">
        <v>-0.17297479999999901</v>
      </c>
      <c r="Z5872">
        <v>6.5095049999999996E-3</v>
      </c>
      <c r="AA5872">
        <v>0.98490469999999997</v>
      </c>
      <c r="AB5872">
        <v>25</v>
      </c>
      <c r="AC5872">
        <v>30.715999999999902</v>
      </c>
      <c r="AD5872">
        <v>-1.1209899793032001</v>
      </c>
      <c r="AE5872">
        <v>2.4063199999999898</v>
      </c>
      <c r="AF5872">
        <v>-5.3535019708375797</v>
      </c>
      <c r="AG5872">
        <v>-1.1209899793032001</v>
      </c>
      <c r="AH5872">
        <v>30.300079095626401</v>
      </c>
      <c r="AI5872">
        <v>92.086476875672105</v>
      </c>
      <c r="AJ5872">
        <v>100.019769450635</v>
      </c>
      <c r="AK5872">
        <v>30.789793683730199</v>
      </c>
      <c r="AL5872">
        <v>81.618140297147704</v>
      </c>
      <c r="AM5872">
        <v>92.979838148979198</v>
      </c>
      <c r="AN5872">
        <v>0.99999993278670396</v>
      </c>
    </row>
    <row r="5873" spans="1:40" x14ac:dyDescent="0.25">
      <c r="A5873" t="str">
        <f>"20190303162418992"</f>
        <v>20190303162418992</v>
      </c>
      <c r="B5873" t="str">
        <f>"1551601458981090"</f>
        <v>1551601458981090</v>
      </c>
      <c r="C5873" t="s">
        <v>40</v>
      </c>
      <c r="D5873">
        <v>5.65137</v>
      </c>
      <c r="E5873">
        <v>0.45371790000000001</v>
      </c>
      <c r="F5873" t="s">
        <v>63</v>
      </c>
      <c r="G5873">
        <v>-243.23589999999999</v>
      </c>
      <c r="H5873" s="1">
        <v>-4.4766589999999999E-7</v>
      </c>
      <c r="I5873">
        <v>-59.975850000000001</v>
      </c>
      <c r="J5873">
        <v>-272.71980000000002</v>
      </c>
      <c r="K5873">
        <v>1.1209899999999999</v>
      </c>
      <c r="L5873">
        <v>-62.362119999999997</v>
      </c>
      <c r="M5873">
        <v>0.9952588</v>
      </c>
      <c r="N5873">
        <v>-1.2715499999999999E-2</v>
      </c>
      <c r="O5873">
        <v>-9.6427890000000002E-2</v>
      </c>
      <c r="P5873">
        <v>0.98999870000000001</v>
      </c>
      <c r="Q5873">
        <v>0.13479829999999901</v>
      </c>
      <c r="R5873">
        <v>-4.1617719999999997E-2</v>
      </c>
      <c r="S5873">
        <v>3.056549</v>
      </c>
      <c r="T5873">
        <v>-0.1157126</v>
      </c>
      <c r="U5873">
        <v>0.2450562</v>
      </c>
      <c r="V5873">
        <v>-5.4100170000000003E-2</v>
      </c>
      <c r="W5873">
        <v>0.14734910000000001</v>
      </c>
      <c r="X5873">
        <v>0.98760389999999998</v>
      </c>
      <c r="Y5873">
        <v>-0.17547499999999999</v>
      </c>
      <c r="Z5873">
        <v>6.8514350000000003E-3</v>
      </c>
      <c r="AA5873">
        <v>0.98446009999999995</v>
      </c>
      <c r="AB5873">
        <v>25</v>
      </c>
      <c r="AC5873">
        <v>29.483899999999998</v>
      </c>
      <c r="AD5873">
        <v>-1.1209904476658901</v>
      </c>
      <c r="AE5873">
        <v>2.3862699999999899</v>
      </c>
      <c r="AF5873">
        <v>-5.2109644032053204</v>
      </c>
      <c r="AG5873">
        <v>-1.1209904476658901</v>
      </c>
      <c r="AH5873">
        <v>29.074605040495999</v>
      </c>
      <c r="AI5873">
        <v>92.173385366883494</v>
      </c>
      <c r="AJ5873">
        <v>100.161087668912</v>
      </c>
      <c r="AK5873">
        <v>29.559151338562899</v>
      </c>
      <c r="AL5873">
        <v>81.526666079264103</v>
      </c>
      <c r="AM5873">
        <v>93.135484259182903</v>
      </c>
      <c r="AN5873">
        <v>1.00000002448002</v>
      </c>
    </row>
    <row r="5874" spans="1:40" x14ac:dyDescent="0.25">
      <c r="A5874" t="str">
        <f>"20190303162419003"</f>
        <v>20190303162419003</v>
      </c>
      <c r="B5874" t="str">
        <f>"1551601458990849"</f>
        <v>1551601458990849</v>
      </c>
      <c r="C5874" t="s">
        <v>40</v>
      </c>
      <c r="D5874">
        <v>5.6411709999999999</v>
      </c>
      <c r="E5874">
        <v>0.45544810000000002</v>
      </c>
      <c r="F5874" t="s">
        <v>63</v>
      </c>
      <c r="G5874">
        <v>-246.20699999999999</v>
      </c>
      <c r="H5874" s="1">
        <v>-1.6722770000000001E-6</v>
      </c>
      <c r="I5874">
        <v>-60.257599999999996</v>
      </c>
      <c r="J5874">
        <v>-272.5926</v>
      </c>
      <c r="K5874">
        <v>1.1209849999999999</v>
      </c>
      <c r="L5874">
        <v>-62.37433</v>
      </c>
      <c r="M5874">
        <v>0.9952704</v>
      </c>
      <c r="N5874">
        <v>-1.265166E-2</v>
      </c>
      <c r="O5874">
        <v>-9.6315310000000001E-2</v>
      </c>
      <c r="P5874">
        <v>0.98993739999999997</v>
      </c>
      <c r="Q5874">
        <v>0.13607250000000001</v>
      </c>
      <c r="R5874">
        <v>-3.8836429999999998E-2</v>
      </c>
      <c r="S5874">
        <v>3.0581049999999999</v>
      </c>
      <c r="T5874">
        <v>-0.1293002</v>
      </c>
      <c r="U5874">
        <v>0.2427368</v>
      </c>
      <c r="V5874">
        <v>-5.6752230000000001E-2</v>
      </c>
      <c r="W5874">
        <v>0.148554399999999</v>
      </c>
      <c r="X5874">
        <v>0.9872744</v>
      </c>
      <c r="Y5874">
        <v>-0.17453550000000001</v>
      </c>
      <c r="Z5874">
        <v>7.6355529999999998E-3</v>
      </c>
      <c r="AA5874">
        <v>0.98462130000000003</v>
      </c>
      <c r="AB5874">
        <v>25</v>
      </c>
      <c r="AC5874">
        <v>26.3856</v>
      </c>
      <c r="AD5874">
        <v>-1.1209866722769899</v>
      </c>
      <c r="AE5874">
        <v>2.1167300000000102</v>
      </c>
      <c r="AF5874">
        <v>-4.6401066536261597</v>
      </c>
      <c r="AG5874">
        <v>-1.1209866722769899</v>
      </c>
      <c r="AH5874">
        <v>26.0123694807654</v>
      </c>
      <c r="AI5874">
        <v>92.429298639641601</v>
      </c>
      <c r="AJ5874">
        <v>100.11408528316301</v>
      </c>
      <c r="AK5874">
        <v>26.446749646796</v>
      </c>
      <c r="AL5874">
        <v>81.456838641150398</v>
      </c>
      <c r="AM5874">
        <v>93.2899554198206</v>
      </c>
      <c r="AN5874">
        <v>0.99999998313234595</v>
      </c>
    </row>
    <row r="5875" spans="1:40" x14ac:dyDescent="0.25">
      <c r="A5875" t="str">
        <f>"20190303162419014"</f>
        <v>20190303162419014</v>
      </c>
      <c r="B5875" t="str">
        <f>"1551601459000610"</f>
        <v>1551601459000610</v>
      </c>
      <c r="C5875" t="s">
        <v>40</v>
      </c>
      <c r="D5875">
        <v>5.627313</v>
      </c>
      <c r="E5875">
        <v>0.45690910000000001</v>
      </c>
      <c r="F5875" t="s">
        <v>63</v>
      </c>
      <c r="G5875">
        <v>-247.31829999999999</v>
      </c>
      <c r="H5875" s="1">
        <v>-2.1351309999999999E-6</v>
      </c>
      <c r="I5875">
        <v>-60.415500000000002</v>
      </c>
      <c r="J5875">
        <v>-272.46499999999997</v>
      </c>
      <c r="K5875">
        <v>1.1209789999999999</v>
      </c>
      <c r="L5875">
        <v>-62.386569999999899</v>
      </c>
      <c r="M5875">
        <v>0.99528260000000002</v>
      </c>
      <c r="N5875">
        <v>-1.258224E-2</v>
      </c>
      <c r="O5875">
        <v>-9.6198829999999999E-2</v>
      </c>
      <c r="P5875">
        <v>0.98997630000000003</v>
      </c>
      <c r="Q5875">
        <v>0.1365045</v>
      </c>
      <c r="R5875">
        <v>-3.6239430000000003E-2</v>
      </c>
      <c r="S5875">
        <v>3.0584410000000002</v>
      </c>
      <c r="T5875">
        <v>-0.13565050000000001</v>
      </c>
      <c r="U5875">
        <v>0.23702999999999999</v>
      </c>
      <c r="V5875">
        <v>-5.9225050000000001E-2</v>
      </c>
      <c r="W5875">
        <v>0.14891470000000001</v>
      </c>
      <c r="X5875">
        <v>0.98707489999999998</v>
      </c>
      <c r="Y5875">
        <v>-0.17256389999999999</v>
      </c>
      <c r="Z5875">
        <v>7.9559650000000006E-3</v>
      </c>
      <c r="AA5875">
        <v>0.98496620000000001</v>
      </c>
      <c r="AB5875">
        <v>25</v>
      </c>
      <c r="AC5875">
        <v>25.1466999999999</v>
      </c>
      <c r="AD5875">
        <v>-1.120981135131</v>
      </c>
      <c r="AE5875">
        <v>1.9710699999999901</v>
      </c>
      <c r="AF5875">
        <v>-4.37256568224727</v>
      </c>
      <c r="AG5875">
        <v>-1.120981135131</v>
      </c>
      <c r="AH5875">
        <v>24.791460943130701</v>
      </c>
      <c r="AI5875">
        <v>92.549646630854298</v>
      </c>
      <c r="AJ5875">
        <v>100.00260501861599</v>
      </c>
      <c r="AK5875">
        <v>25.199056828493799</v>
      </c>
      <c r="AL5875">
        <v>81.435963144935798</v>
      </c>
      <c r="AM5875">
        <v>93.433662520273998</v>
      </c>
      <c r="AN5875">
        <v>1.0000000263168001</v>
      </c>
    </row>
    <row r="5876" spans="1:40" x14ac:dyDescent="0.25">
      <c r="A5876" t="str">
        <f>"20190303162419026"</f>
        <v>20190303162419026</v>
      </c>
      <c r="B5876" t="str">
        <f>"1551601459021106"</f>
        <v>1551601459021106</v>
      </c>
      <c r="C5876" t="s">
        <v>40</v>
      </c>
      <c r="D5876">
        <v>5.6827259999999997</v>
      </c>
      <c r="E5876">
        <v>0.45953430000000001</v>
      </c>
      <c r="F5876" t="s">
        <v>63</v>
      </c>
      <c r="G5876">
        <v>-248.56890000000001</v>
      </c>
      <c r="H5876" s="1">
        <v>-2.7114870000000001E-6</v>
      </c>
      <c r="I5876">
        <v>-60.56521</v>
      </c>
      <c r="J5876">
        <v>-272.33339999999998</v>
      </c>
      <c r="K5876">
        <v>1.1209690000000001</v>
      </c>
      <c r="L5876">
        <v>-62.399140000000003</v>
      </c>
      <c r="M5876">
        <v>0.99529520000000005</v>
      </c>
      <c r="N5876">
        <v>-1.2508129999999999E-2</v>
      </c>
      <c r="O5876">
        <v>-9.6078659999999996E-2</v>
      </c>
      <c r="P5876">
        <v>0.99001099999999997</v>
      </c>
      <c r="Q5876">
        <v>0.1369572</v>
      </c>
      <c r="R5876">
        <v>-3.3482860000000003E-2</v>
      </c>
      <c r="S5876">
        <v>3.0586850000000001</v>
      </c>
      <c r="T5876">
        <v>-0.1434848</v>
      </c>
      <c r="U5876">
        <v>0.23312379999999999</v>
      </c>
      <c r="V5876">
        <v>-6.185189E-2</v>
      </c>
      <c r="W5876">
        <v>0.14929049999999999</v>
      </c>
      <c r="X5876">
        <v>0.98685699999999998</v>
      </c>
      <c r="Y5876">
        <v>-0.17115929999999999</v>
      </c>
      <c r="Z5876">
        <v>8.3764970000000001E-3</v>
      </c>
      <c r="AA5876">
        <v>0.98520770000000002</v>
      </c>
      <c r="AB5876">
        <v>25</v>
      </c>
      <c r="AC5876">
        <v>23.764499999999899</v>
      </c>
      <c r="AD5876">
        <v>-1.1209717114869999</v>
      </c>
      <c r="AE5876">
        <v>1.8339300000000001</v>
      </c>
      <c r="AF5876">
        <v>-4.0998161510580804</v>
      </c>
      <c r="AG5876">
        <v>-1.1209717114869999</v>
      </c>
      <c r="AH5876">
        <v>23.426511165366101</v>
      </c>
      <c r="AI5876">
        <v>92.698593514288703</v>
      </c>
      <c r="AJ5876">
        <v>99.926664824410906</v>
      </c>
      <c r="AK5876">
        <v>23.8089583021066</v>
      </c>
      <c r="AL5876">
        <v>81.4141879633504</v>
      </c>
      <c r="AM5876">
        <v>93.586358303680797</v>
      </c>
      <c r="AN5876">
        <v>1.0000000240679101</v>
      </c>
    </row>
    <row r="5877" spans="1:40" x14ac:dyDescent="0.25">
      <c r="A5877" t="str">
        <f>"20190303162419036"</f>
        <v>20190303162419036</v>
      </c>
      <c r="B5877" t="str">
        <f>"1551601459030866"</f>
        <v>1551601459030866</v>
      </c>
      <c r="C5877" t="s">
        <v>40</v>
      </c>
      <c r="D5877">
        <v>5.6850969999999998</v>
      </c>
      <c r="E5877">
        <v>0.46065590000000001</v>
      </c>
      <c r="F5877" t="s">
        <v>62</v>
      </c>
      <c r="G5877">
        <v>-250.16050000000001</v>
      </c>
      <c r="H5877" s="1">
        <v>7.0225999999999999E-7</v>
      </c>
      <c r="I5877">
        <v>-60.800559999999997</v>
      </c>
      <c r="J5877">
        <v>-272.21359999999999</v>
      </c>
      <c r="K5877">
        <v>1.1209610000000001</v>
      </c>
      <c r="L5877">
        <v>-62.410580000000003</v>
      </c>
      <c r="M5877">
        <v>0.99530669999999999</v>
      </c>
      <c r="N5877">
        <v>-1.2436350000000001E-2</v>
      </c>
      <c r="O5877">
        <v>-9.5968880000000006E-2</v>
      </c>
      <c r="P5877">
        <v>0.99007020000000001</v>
      </c>
      <c r="Q5877">
        <v>0.1371348</v>
      </c>
      <c r="R5877">
        <v>-3.090824E-2</v>
      </c>
      <c r="S5877">
        <v>3.059113</v>
      </c>
      <c r="T5877">
        <v>-0.15465609999999999</v>
      </c>
      <c r="U5877">
        <v>0.22055050000000001</v>
      </c>
      <c r="V5877">
        <v>-6.4310339999999994E-2</v>
      </c>
      <c r="W5877">
        <v>0.14939469999999999</v>
      </c>
      <c r="X5877">
        <v>0.98668400000000001</v>
      </c>
      <c r="Y5877">
        <v>-0.16697139999999999</v>
      </c>
      <c r="Z5877">
        <v>8.9022289999999994E-3</v>
      </c>
      <c r="AA5877">
        <v>0.98592159999999995</v>
      </c>
      <c r="AB5877">
        <v>25</v>
      </c>
      <c r="AC5877">
        <v>22.053099999999901</v>
      </c>
      <c r="AD5877">
        <v>-1.1209602977399999</v>
      </c>
      <c r="AE5877">
        <v>1.61002</v>
      </c>
      <c r="AF5877">
        <v>-3.70962867144355</v>
      </c>
      <c r="AG5877">
        <v>-1.1209602977399999</v>
      </c>
      <c r="AH5877">
        <v>21.7408967171082</v>
      </c>
      <c r="AI5877">
        <v>92.909578423607698</v>
      </c>
      <c r="AJ5877">
        <v>99.683071530604494</v>
      </c>
      <c r="AK5877">
        <v>22.083579576985901</v>
      </c>
      <c r="AL5877">
        <v>81.408149442017802</v>
      </c>
      <c r="AM5877">
        <v>93.729164066979806</v>
      </c>
      <c r="AN5877">
        <v>0.99999995603750103</v>
      </c>
    </row>
    <row r="5878" spans="1:40" x14ac:dyDescent="0.25">
      <c r="A5878" t="str">
        <f>"20190303162419048"</f>
        <v>20190303162419048</v>
      </c>
      <c r="B5878" t="str">
        <f>"1551601459040626"</f>
        <v>1551601459040626</v>
      </c>
      <c r="C5878" t="s">
        <v>40</v>
      </c>
      <c r="D5878">
        <v>5.6807829999999999</v>
      </c>
      <c r="E5878">
        <v>0.46171200000000001</v>
      </c>
      <c r="F5878" t="s">
        <v>62</v>
      </c>
      <c r="G5878">
        <v>-250.7482</v>
      </c>
      <c r="H5878" s="1">
        <v>4.3478189999999999E-7</v>
      </c>
      <c r="I5878">
        <v>-60.8696699999999</v>
      </c>
      <c r="J5878">
        <v>-272.089</v>
      </c>
      <c r="K5878">
        <v>1.1209480000000001</v>
      </c>
      <c r="L5878">
        <v>-62.422490000000003</v>
      </c>
      <c r="M5878">
        <v>0.99531840000000005</v>
      </c>
      <c r="N5878">
        <v>-1.23559E-2</v>
      </c>
      <c r="O5878">
        <v>-9.5856079999999996E-2</v>
      </c>
      <c r="P5878">
        <v>0.99015109999999995</v>
      </c>
      <c r="Q5878">
        <v>0.13704379999999999</v>
      </c>
      <c r="R5878">
        <v>-2.8633430000000001E-2</v>
      </c>
      <c r="S5878">
        <v>3.0591430000000002</v>
      </c>
      <c r="T5878">
        <v>-0.1597539</v>
      </c>
      <c r="U5878">
        <v>0.21960450000000001</v>
      </c>
      <c r="V5878">
        <v>-6.6469120000000007E-2</v>
      </c>
      <c r="W5878">
        <v>0.14922260000000001</v>
      </c>
      <c r="X5878">
        <v>0.98656699999999997</v>
      </c>
      <c r="Y5878">
        <v>-0.1665343</v>
      </c>
      <c r="Z5878">
        <v>9.1827209999999996E-3</v>
      </c>
      <c r="AA5878">
        <v>0.98599289999999995</v>
      </c>
      <c r="AB5878">
        <v>25</v>
      </c>
      <c r="AC5878">
        <v>21.340800000000002</v>
      </c>
      <c r="AD5878">
        <v>-1.1209475652181</v>
      </c>
      <c r="AE5878">
        <v>1.5528200000000101</v>
      </c>
      <c r="AF5878">
        <v>-3.58164067131825</v>
      </c>
      <c r="AG5878">
        <v>-1.1209475652181</v>
      </c>
      <c r="AH5878">
        <v>21.0359241653487</v>
      </c>
      <c r="AI5878">
        <v>93.0070583374481</v>
      </c>
      <c r="AJ5878">
        <v>99.662693165259498</v>
      </c>
      <c r="AK5878">
        <v>21.368078501182801</v>
      </c>
      <c r="AL5878">
        <v>81.418122096887004</v>
      </c>
      <c r="AM5878">
        <v>93.854429781988799</v>
      </c>
      <c r="AN5878">
        <v>0.99999998687666702</v>
      </c>
    </row>
    <row r="5879" spans="1:40" x14ac:dyDescent="0.25">
      <c r="A5879" t="str">
        <f>"20190303162419059"</f>
        <v>20190303162419059</v>
      </c>
      <c r="B5879" t="str">
        <f>"1551601459050386"</f>
        <v>1551601459050386</v>
      </c>
      <c r="C5879" t="s">
        <v>40</v>
      </c>
      <c r="D5879">
        <v>5.668927</v>
      </c>
      <c r="E5879">
        <v>0.46283669999999999</v>
      </c>
      <c r="F5879" t="s">
        <v>62</v>
      </c>
      <c r="G5879">
        <v>-251.4402</v>
      </c>
      <c r="H5879" s="1">
        <v>1.20401799999999E-7</v>
      </c>
      <c r="I5879">
        <v>-60.948410000000003</v>
      </c>
      <c r="J5879">
        <v>-271.96899999999999</v>
      </c>
      <c r="K5879">
        <v>1.120935</v>
      </c>
      <c r="L5879">
        <v>-62.433929999999997</v>
      </c>
      <c r="M5879">
        <v>0.99532989999999999</v>
      </c>
      <c r="N5879">
        <v>-1.2273569999999999E-2</v>
      </c>
      <c r="O5879">
        <v>-9.5749109999999998E-2</v>
      </c>
      <c r="P5879">
        <v>0.99023839999999996</v>
      </c>
      <c r="Q5879">
        <v>0.1368472</v>
      </c>
      <c r="R5879">
        <v>-2.6474580000000001E-2</v>
      </c>
      <c r="S5879">
        <v>3.059113</v>
      </c>
      <c r="T5879">
        <v>-0.16606860000000001</v>
      </c>
      <c r="U5879">
        <v>0.21838379999999999</v>
      </c>
      <c r="V5879">
        <v>-6.8518759999999998E-2</v>
      </c>
      <c r="W5879">
        <v>0.14894299999999999</v>
      </c>
      <c r="X5879">
        <v>0.98646900000000004</v>
      </c>
      <c r="Y5879">
        <v>-0.16601009999999999</v>
      </c>
      <c r="Z5879">
        <v>9.5305589999999992E-3</v>
      </c>
      <c r="AA5879">
        <v>0.98607800000000001</v>
      </c>
      <c r="AB5879">
        <v>25</v>
      </c>
      <c r="AC5879">
        <v>20.528799999999901</v>
      </c>
      <c r="AD5879">
        <v>-1.1209348795981999</v>
      </c>
      <c r="AE5879">
        <v>1.48552</v>
      </c>
      <c r="AF5879">
        <v>-3.43427009277335</v>
      </c>
      <c r="AG5879">
        <v>-1.1209348795981999</v>
      </c>
      <c r="AH5879">
        <v>20.232210312462001</v>
      </c>
      <c r="AI5879">
        <v>93.126512650728699</v>
      </c>
      <c r="AJ5879">
        <v>99.633716826376499</v>
      </c>
      <c r="AK5879">
        <v>20.552202806563301</v>
      </c>
      <c r="AL5879">
        <v>81.434322839905306</v>
      </c>
      <c r="AM5879">
        <v>93.973303350503599</v>
      </c>
      <c r="AN5879">
        <v>0.99999996284096804</v>
      </c>
    </row>
    <row r="5880" spans="1:40" x14ac:dyDescent="0.25">
      <c r="A5880" t="str">
        <f>"20190303162419070"</f>
        <v>20190303162419070</v>
      </c>
      <c r="B5880" t="str">
        <f>"1551601459061121"</f>
        <v>1551601459061121</v>
      </c>
      <c r="C5880" t="s">
        <v>40</v>
      </c>
      <c r="D5880">
        <v>5.6730320000000001</v>
      </c>
      <c r="E5880">
        <v>0.46380870000000002</v>
      </c>
      <c r="F5880" t="s">
        <v>62</v>
      </c>
      <c r="G5880">
        <v>-251.91970000000001</v>
      </c>
      <c r="H5880" s="1">
        <v>-1.008759E-7</v>
      </c>
      <c r="I5880">
        <v>-61.01858</v>
      </c>
      <c r="J5880">
        <v>-271.8485</v>
      </c>
      <c r="K5880">
        <v>1.1209209999999901</v>
      </c>
      <c r="L5880">
        <v>-62.445430000000002</v>
      </c>
      <c r="M5880">
        <v>0.99534120000000004</v>
      </c>
      <c r="N5880">
        <v>-1.218147E-2</v>
      </c>
      <c r="O5880">
        <v>-9.5644110000000004E-2</v>
      </c>
      <c r="P5880">
        <v>0.99022920000000003</v>
      </c>
      <c r="Q5880">
        <v>0.13721029999999901</v>
      </c>
      <c r="R5880">
        <v>-2.4896310000000001E-2</v>
      </c>
      <c r="S5880">
        <v>3.0589599999999999</v>
      </c>
      <c r="T5880">
        <v>-0.17102310000000001</v>
      </c>
      <c r="U5880">
        <v>0.21594240000000001</v>
      </c>
      <c r="V5880">
        <v>-6.9983859999999995E-2</v>
      </c>
      <c r="W5880">
        <v>0.14921319999999999</v>
      </c>
      <c r="X5880">
        <v>0.98632529999999996</v>
      </c>
      <c r="Y5880">
        <v>-0.16510520000000001</v>
      </c>
      <c r="Z5880">
        <v>9.7855540000000001E-3</v>
      </c>
      <c r="AA5880">
        <v>0.98622739999999998</v>
      </c>
      <c r="AB5880">
        <v>25</v>
      </c>
      <c r="AC5880">
        <v>19.928799999999899</v>
      </c>
      <c r="AD5880">
        <v>-1.1209211008758999</v>
      </c>
      <c r="AE5880">
        <v>1.42684999999999</v>
      </c>
      <c r="AF5880">
        <v>-3.3160838591147801</v>
      </c>
      <c r="AG5880">
        <v>-1.1209211008758999</v>
      </c>
      <c r="AH5880">
        <v>19.639130443590499</v>
      </c>
      <c r="AI5880">
        <v>93.221166255319403</v>
      </c>
      <c r="AJ5880">
        <v>99.584041089181994</v>
      </c>
      <c r="AK5880">
        <v>19.948642080488401</v>
      </c>
      <c r="AL5880">
        <v>81.418666530492601</v>
      </c>
      <c r="AM5880">
        <v>94.058570738166196</v>
      </c>
      <c r="AN5880">
        <v>0.99999995856741297</v>
      </c>
    </row>
    <row r="5881" spans="1:40" x14ac:dyDescent="0.25">
      <c r="A5881" t="str">
        <f>"20190303162419080"</f>
        <v>20190303162419080</v>
      </c>
      <c r="B5881" t="str">
        <f>"1551601459070883"</f>
        <v>1551601459070883</v>
      </c>
      <c r="C5881" t="s">
        <v>40</v>
      </c>
      <c r="D5881">
        <v>5.67164</v>
      </c>
      <c r="E5881">
        <v>0.46484750000000002</v>
      </c>
      <c r="F5881" t="s">
        <v>62</v>
      </c>
      <c r="G5881">
        <v>-252.03970000000001</v>
      </c>
      <c r="H5881" s="1">
        <v>-1.6303409999999999E-7</v>
      </c>
      <c r="I5881">
        <v>-61.06644</v>
      </c>
      <c r="J5881">
        <v>-271.72660000000002</v>
      </c>
      <c r="K5881">
        <v>1.1209070000000001</v>
      </c>
      <c r="L5881">
        <v>-62.457000000000001</v>
      </c>
      <c r="M5881">
        <v>0.99535240000000003</v>
      </c>
      <c r="N5881">
        <v>-1.208415E-2</v>
      </c>
      <c r="O5881">
        <v>-9.553884E-2</v>
      </c>
      <c r="P5881">
        <v>0.99025209999999997</v>
      </c>
      <c r="Q5881">
        <v>0.13726759999999999</v>
      </c>
      <c r="R5881">
        <v>-2.3630700000000001E-2</v>
      </c>
      <c r="S5881">
        <v>3.0589599999999999</v>
      </c>
      <c r="T5881">
        <v>-0.173098</v>
      </c>
      <c r="U5881">
        <v>0.21295169999999999</v>
      </c>
      <c r="V5881">
        <v>-7.114028E-2</v>
      </c>
      <c r="W5881">
        <v>0.14917359999999999</v>
      </c>
      <c r="X5881">
        <v>0.98624860000000003</v>
      </c>
      <c r="Y5881">
        <v>-0.1640336</v>
      </c>
      <c r="Z5881">
        <v>9.8660350000000004E-3</v>
      </c>
      <c r="AA5881">
        <v>0.98640539999999999</v>
      </c>
      <c r="AB5881">
        <v>25</v>
      </c>
      <c r="AC5881">
        <v>19.686900000000001</v>
      </c>
      <c r="AD5881">
        <v>-1.1209071630341001</v>
      </c>
      <c r="AE5881">
        <v>1.39056</v>
      </c>
      <c r="AF5881">
        <v>-3.2547004065707901</v>
      </c>
      <c r="AG5881">
        <v>-1.1209071630341001</v>
      </c>
      <c r="AH5881">
        <v>19.401387959986302</v>
      </c>
      <c r="AI5881">
        <v>93.261095983555094</v>
      </c>
      <c r="AJ5881">
        <v>99.523042146708207</v>
      </c>
      <c r="AK5881">
        <v>19.7043995690956</v>
      </c>
      <c r="AL5881">
        <v>81.420961497202796</v>
      </c>
      <c r="AM5881">
        <v>94.125724997825102</v>
      </c>
      <c r="AN5881">
        <v>1.0000000016886901</v>
      </c>
    </row>
    <row r="5882" spans="1:40" x14ac:dyDescent="0.25">
      <c r="A5882" t="str">
        <f>"20190303162419093"</f>
        <v>20190303162419093</v>
      </c>
      <c r="B5882" t="str">
        <f>"1551601459080643"</f>
        <v>1551601459080643</v>
      </c>
      <c r="C5882" t="s">
        <v>40</v>
      </c>
      <c r="D5882">
        <v>5.7304550000000001</v>
      </c>
      <c r="E5882">
        <v>0.46484750000000002</v>
      </c>
      <c r="F5882" t="s">
        <v>62</v>
      </c>
      <c r="G5882">
        <v>-252.2775</v>
      </c>
      <c r="H5882" s="1">
        <v>-2.798859E-7</v>
      </c>
      <c r="I5882">
        <v>-61.133290000000002</v>
      </c>
      <c r="J5882">
        <v>-271.59829999999999</v>
      </c>
      <c r="K5882">
        <v>1.120889</v>
      </c>
      <c r="L5882">
        <v>-62.469209999999997</v>
      </c>
      <c r="M5882">
        <v>0.99536449999999999</v>
      </c>
      <c r="N5882">
        <v>-1.1966630000000001E-2</v>
      </c>
      <c r="O5882">
        <v>-9.5428310000000002E-2</v>
      </c>
      <c r="P5882">
        <v>0.9902263</v>
      </c>
      <c r="Q5882">
        <v>0.13767550000000001</v>
      </c>
      <c r="R5882">
        <v>-2.2314179999999999E-2</v>
      </c>
      <c r="S5882">
        <v>3.058929</v>
      </c>
      <c r="T5882">
        <v>-0.17629439999999999</v>
      </c>
      <c r="U5882">
        <v>0.20819090000000001</v>
      </c>
      <c r="V5882">
        <v>-7.2338589999999994E-2</v>
      </c>
      <c r="W5882">
        <v>0.1494635</v>
      </c>
      <c r="X5882">
        <v>0.98611749999999998</v>
      </c>
      <c r="Y5882">
        <v>-0.16238459999999999</v>
      </c>
      <c r="Z5882">
        <v>9.9905519999999998E-3</v>
      </c>
      <c r="AA5882">
        <v>0.98667700000000003</v>
      </c>
      <c r="AB5882">
        <v>25</v>
      </c>
      <c r="AC5882">
        <v>19.320799999999899</v>
      </c>
      <c r="AD5882">
        <v>-1.12088927988589</v>
      </c>
      <c r="AE5882">
        <v>1.33591999999999</v>
      </c>
      <c r="AF5882">
        <v>-3.1631100637263998</v>
      </c>
      <c r="AG5882">
        <v>-1.12088927988589</v>
      </c>
      <c r="AH5882">
        <v>19.041336966150901</v>
      </c>
      <c r="AI5882">
        <v>93.323452031353995</v>
      </c>
      <c r="AJ5882">
        <v>99.431736493301699</v>
      </c>
      <c r="AK5882">
        <v>19.3347917369573</v>
      </c>
      <c r="AL5882">
        <v>81.404162822847596</v>
      </c>
      <c r="AM5882">
        <v>94.195529715521602</v>
      </c>
      <c r="AN5882">
        <v>0.99999996662084301</v>
      </c>
    </row>
    <row r="5883" spans="1:40" x14ac:dyDescent="0.25">
      <c r="A5883" t="str">
        <f>"20190303162419105"</f>
        <v>20190303162419105</v>
      </c>
      <c r="B5883" t="str">
        <f>"1551601459090402"</f>
        <v>1551601459090402</v>
      </c>
      <c r="C5883" t="s">
        <v>40</v>
      </c>
      <c r="D5883">
        <v>5.6675680000000002</v>
      </c>
      <c r="E5883">
        <v>0.48009160000000001</v>
      </c>
      <c r="F5883" t="s">
        <v>62</v>
      </c>
      <c r="G5883">
        <v>-252.02610000000001</v>
      </c>
      <c r="H5883" s="1">
        <v>-1.6754530000000001E-7</v>
      </c>
      <c r="I5883">
        <v>-61.113039999999998</v>
      </c>
      <c r="J5883">
        <v>-271.46839999999997</v>
      </c>
      <c r="K5883">
        <v>1.1208750000000001</v>
      </c>
      <c r="L5883">
        <v>-62.481569999999998</v>
      </c>
      <c r="M5883">
        <v>0.9953767</v>
      </c>
      <c r="N5883">
        <v>-1.1843370000000001E-2</v>
      </c>
      <c r="O5883">
        <v>-9.5314880000000005E-2</v>
      </c>
      <c r="P5883">
        <v>0.99022690000000002</v>
      </c>
      <c r="Q5883">
        <v>0.13786109999999999</v>
      </c>
      <c r="R5883">
        <v>-2.108964E-2</v>
      </c>
      <c r="S5883">
        <v>3.0587770000000001</v>
      </c>
      <c r="T5883">
        <v>-0.17517479999999999</v>
      </c>
      <c r="U5883">
        <v>0.21194460000000001</v>
      </c>
      <c r="V5883">
        <v>-7.3445679999999999E-2</v>
      </c>
      <c r="W5883">
        <v>0.1495253</v>
      </c>
      <c r="X5883">
        <v>0.98602630000000002</v>
      </c>
      <c r="Y5883">
        <v>-0.16348370000000001</v>
      </c>
      <c r="Z5883">
        <v>9.9609120000000006E-3</v>
      </c>
      <c r="AA5883">
        <v>0.98649569999999998</v>
      </c>
      <c r="AB5883">
        <v>25</v>
      </c>
      <c r="AC5883">
        <v>19.4422999999999</v>
      </c>
      <c r="AD5883">
        <v>-1.1208751675452999</v>
      </c>
      <c r="AE5883">
        <v>1.36852999999999</v>
      </c>
      <c r="AF5883">
        <v>-3.2049691707401702</v>
      </c>
      <c r="AG5883">
        <v>-1.1208751675452999</v>
      </c>
      <c r="AH5883">
        <v>19.159952106035899</v>
      </c>
      <c r="AI5883">
        <v>93.302263454423098</v>
      </c>
      <c r="AJ5883">
        <v>99.496197388337194</v>
      </c>
      <c r="AK5883">
        <v>19.458467391657699</v>
      </c>
      <c r="AL5883">
        <v>81.400581762908701</v>
      </c>
      <c r="AM5883">
        <v>94.2598972471434</v>
      </c>
      <c r="AN5883">
        <v>0.99999997377122096</v>
      </c>
    </row>
    <row r="5884" spans="1:40" x14ac:dyDescent="0.25">
      <c r="A5884" t="str">
        <f>"20190303162419113"</f>
        <v>20190303162419113</v>
      </c>
      <c r="B5884" t="str">
        <f>"1551601459101138"</f>
        <v>1551601459101138</v>
      </c>
      <c r="C5884" t="s">
        <v>40</v>
      </c>
      <c r="D5884">
        <v>5.6745409999999996</v>
      </c>
      <c r="E5884">
        <v>0.47998479999999999</v>
      </c>
      <c r="F5884" t="s">
        <v>62</v>
      </c>
      <c r="G5884">
        <v>-254.96549999999999</v>
      </c>
      <c r="H5884" s="1">
        <v>-1.620226E-6</v>
      </c>
      <c r="I5884">
        <v>-61.975059999999999</v>
      </c>
      <c r="J5884">
        <v>-271.3535</v>
      </c>
      <c r="K5884">
        <v>1.1208640000000001</v>
      </c>
      <c r="L5884">
        <v>-62.492460000000001</v>
      </c>
      <c r="M5884">
        <v>0.99538859999999996</v>
      </c>
      <c r="N5884">
        <v>-1.1722339999999999E-2</v>
      </c>
      <c r="O5884">
        <v>-9.5207260000000002E-2</v>
      </c>
      <c r="P5884">
        <v>0.99022909999999997</v>
      </c>
      <c r="Q5884">
        <v>0.137969799999999</v>
      </c>
      <c r="R5884">
        <v>-2.0274380000000002E-2</v>
      </c>
      <c r="S5884">
        <v>3.0605159999999998</v>
      </c>
      <c r="T5884">
        <v>-0.20787040000000001</v>
      </c>
      <c r="U5884">
        <v>9.393311E-2</v>
      </c>
      <c r="V5884">
        <v>-7.4152010000000004E-2</v>
      </c>
      <c r="W5884">
        <v>0.14951300000000001</v>
      </c>
      <c r="X5884">
        <v>0.9859753</v>
      </c>
      <c r="Y5884">
        <v>-0.1252192</v>
      </c>
      <c r="Z5884">
        <v>1.0318570000000001E-2</v>
      </c>
      <c r="AA5884">
        <v>0.99207540000000005</v>
      </c>
      <c r="AB5884">
        <v>25</v>
      </c>
      <c r="AC5884">
        <v>16.388000000000002</v>
      </c>
      <c r="AD5884">
        <v>-1.1208656202259999</v>
      </c>
      <c r="AE5884">
        <v>0.51739999999999498</v>
      </c>
      <c r="AF5884">
        <v>-2.06575904005848</v>
      </c>
      <c r="AG5884">
        <v>-1.1208656202259999</v>
      </c>
      <c r="AH5884">
        <v>16.188629079308299</v>
      </c>
      <c r="AI5884">
        <v>93.928956911828195</v>
      </c>
      <c r="AJ5884">
        <v>97.271959626624493</v>
      </c>
      <c r="AK5884">
        <v>16.358343792010601</v>
      </c>
      <c r="AL5884">
        <v>81.401294523661704</v>
      </c>
      <c r="AM5884">
        <v>94.300933488522205</v>
      </c>
      <c r="AN5884">
        <v>0.99999997498306403</v>
      </c>
    </row>
    <row r="5885" spans="1:40" x14ac:dyDescent="0.25">
      <c r="A5885" t="str">
        <f>"20190303162419127"</f>
        <v>20190303162419127</v>
      </c>
      <c r="B5885" t="str">
        <f>"1551601459120657"</f>
        <v>1551601459120657</v>
      </c>
      <c r="C5885" t="s">
        <v>40</v>
      </c>
      <c r="D5885">
        <v>5.7319250000000004</v>
      </c>
      <c r="E5885">
        <v>0.48063450000000002</v>
      </c>
      <c r="F5885" t="s">
        <v>62</v>
      </c>
      <c r="G5885">
        <v>-254.49270000000001</v>
      </c>
      <c r="H5885" s="1">
        <v>-1.413673E-6</v>
      </c>
      <c r="I5885">
        <v>-61.958390000000001</v>
      </c>
      <c r="J5885">
        <v>-271.2099</v>
      </c>
      <c r="K5885">
        <v>1.120851</v>
      </c>
      <c r="L5885">
        <v>-62.506039999999999</v>
      </c>
      <c r="M5885">
        <v>0.99540379999999995</v>
      </c>
      <c r="N5885">
        <v>-1.156825E-2</v>
      </c>
      <c r="O5885">
        <v>-9.5065800000000006E-2</v>
      </c>
      <c r="P5885">
        <v>0.99019889999999999</v>
      </c>
      <c r="Q5885">
        <v>0.1383105</v>
      </c>
      <c r="R5885">
        <v>-1.941385E-2</v>
      </c>
      <c r="S5885">
        <v>3.0599370000000001</v>
      </c>
      <c r="T5885">
        <v>-0.20341719999999999</v>
      </c>
      <c r="U5885">
        <v>9.6923830000000002E-2</v>
      </c>
      <c r="V5885">
        <v>-7.486872E-2</v>
      </c>
      <c r="W5885">
        <v>0.14969830000000001</v>
      </c>
      <c r="X5885">
        <v>0.98589300000000002</v>
      </c>
      <c r="Y5885">
        <v>-0.12607109999999999</v>
      </c>
      <c r="Z5885">
        <v>1.012221E-2</v>
      </c>
      <c r="AA5885">
        <v>0.99196960000000001</v>
      </c>
      <c r="AB5885">
        <v>25</v>
      </c>
      <c r="AC5885">
        <v>16.717199999999899</v>
      </c>
      <c r="AD5885">
        <v>-1.120852413673</v>
      </c>
      <c r="AE5885">
        <v>0.54765000000000397</v>
      </c>
      <c r="AF5885">
        <v>-2.1249672839281502</v>
      </c>
      <c r="AG5885">
        <v>-1.120852413673</v>
      </c>
      <c r="AH5885">
        <v>16.5152479276069</v>
      </c>
      <c r="AI5885">
        <v>93.850931880450204</v>
      </c>
      <c r="AJ5885">
        <v>97.331792974023998</v>
      </c>
      <c r="AK5885">
        <v>16.689074575941099</v>
      </c>
      <c r="AL5885">
        <v>81.390556612744902</v>
      </c>
      <c r="AM5885">
        <v>94.342706657158004</v>
      </c>
      <c r="AN5885">
        <v>0.99999995685316301</v>
      </c>
    </row>
    <row r="5886" spans="1:40" x14ac:dyDescent="0.25">
      <c r="A5886" t="str">
        <f>"20190303162419140"</f>
        <v>20190303162419140</v>
      </c>
      <c r="B5886" t="str">
        <f>"1551601459130418"</f>
        <v>1551601459130418</v>
      </c>
      <c r="C5886" t="s">
        <v>40</v>
      </c>
      <c r="D5886">
        <v>5.7295740000000004</v>
      </c>
      <c r="E5886">
        <v>0.48082150000000001</v>
      </c>
      <c r="F5886" t="s">
        <v>62</v>
      </c>
      <c r="G5886">
        <v>-254.63929999999999</v>
      </c>
      <c r="H5886" s="1">
        <v>-1.485246E-6</v>
      </c>
      <c r="I5886">
        <v>-61.997450000000001</v>
      </c>
      <c r="J5886">
        <v>-271.06950000000001</v>
      </c>
      <c r="K5886">
        <v>1.1208389999999999</v>
      </c>
      <c r="L5886">
        <v>-62.519319999999901</v>
      </c>
      <c r="M5886">
        <v>0.99541990000000002</v>
      </c>
      <c r="N5886">
        <v>-1.141267E-2</v>
      </c>
      <c r="O5886">
        <v>-9.4915600000000003E-2</v>
      </c>
      <c r="P5886">
        <v>0.9901527</v>
      </c>
      <c r="Q5886">
        <v>0.13872290000000001</v>
      </c>
      <c r="R5886">
        <v>-1.8806739999999999E-2</v>
      </c>
      <c r="S5886">
        <v>3.0604550000000001</v>
      </c>
      <c r="T5886">
        <v>-0.2070121</v>
      </c>
      <c r="U5886">
        <v>9.393311E-2</v>
      </c>
      <c r="V5886">
        <v>-7.5324119999999994E-2</v>
      </c>
      <c r="W5886">
        <v>0.149953799999999</v>
      </c>
      <c r="X5886">
        <v>0.98581949999999996</v>
      </c>
      <c r="Y5886">
        <v>-0.12493369999999999</v>
      </c>
      <c r="Z5886">
        <v>1.025715E-2</v>
      </c>
      <c r="AA5886">
        <v>0.99211210000000005</v>
      </c>
      <c r="AB5886">
        <v>25</v>
      </c>
      <c r="AC5886">
        <v>16.430199999999999</v>
      </c>
      <c r="AD5886">
        <v>-1.1208404852460001</v>
      </c>
      <c r="AE5886">
        <v>0.52186999999999195</v>
      </c>
      <c r="AF5886">
        <v>-2.0694763874328101</v>
      </c>
      <c r="AG5886">
        <v>-1.1208404852460001</v>
      </c>
      <c r="AH5886">
        <v>16.2310176702509</v>
      </c>
      <c r="AI5886">
        <v>93.918691639237906</v>
      </c>
      <c r="AJ5886">
        <v>97.266083595433798</v>
      </c>
      <c r="AK5886">
        <v>16.4007606690515</v>
      </c>
      <c r="AL5886">
        <v>81.375750578901702</v>
      </c>
      <c r="AM5886">
        <v>94.369344319723893</v>
      </c>
      <c r="AN5886">
        <v>0.99999997588423095</v>
      </c>
    </row>
    <row r="5887" spans="1:40" x14ac:dyDescent="0.25">
      <c r="A5887" t="str">
        <f>"20190303162419152"</f>
        <v>20190303162419152</v>
      </c>
      <c r="B5887" t="str">
        <f>"1551601459141155"</f>
        <v>1551601459141155</v>
      </c>
      <c r="C5887" t="s">
        <v>40</v>
      </c>
      <c r="D5887">
        <v>5.7263809999999999</v>
      </c>
      <c r="E5887">
        <v>0.4811647</v>
      </c>
      <c r="F5887" t="s">
        <v>62</v>
      </c>
      <c r="G5887">
        <v>-254.53739999999999</v>
      </c>
      <c r="H5887" s="1">
        <v>-1.4445169999999999E-6</v>
      </c>
      <c r="I5887">
        <v>-62.010800000000003</v>
      </c>
      <c r="J5887">
        <v>-270.93299999999999</v>
      </c>
      <c r="K5887">
        <v>1.1208400000000001</v>
      </c>
      <c r="L5887">
        <v>-62.532170000000001</v>
      </c>
      <c r="M5887">
        <v>0.99543809999999999</v>
      </c>
      <c r="N5887">
        <v>-1.1260610000000001E-2</v>
      </c>
      <c r="O5887">
        <v>-9.4743040000000001E-2</v>
      </c>
      <c r="P5887">
        <v>0.9900793</v>
      </c>
      <c r="Q5887">
        <v>0.1393279</v>
      </c>
      <c r="R5887">
        <v>-1.8181780000000002E-2</v>
      </c>
      <c r="S5887">
        <v>3.0606990000000001</v>
      </c>
      <c r="T5887">
        <v>-0.2075092</v>
      </c>
      <c r="U5887">
        <v>9.4146729999999998E-2</v>
      </c>
      <c r="V5887">
        <v>-7.5776259999999998E-2</v>
      </c>
      <c r="W5887">
        <v>0.1504036</v>
      </c>
      <c r="X5887">
        <v>0.98571629999999999</v>
      </c>
      <c r="Y5887">
        <v>-0.12482650000000001</v>
      </c>
      <c r="Z5887">
        <v>1.0272750000000001E-2</v>
      </c>
      <c r="AA5887">
        <v>0.99212540000000005</v>
      </c>
      <c r="AB5887">
        <v>25</v>
      </c>
      <c r="AC5887">
        <v>16.395600000000002</v>
      </c>
      <c r="AD5887">
        <v>-1.1208414445170001</v>
      </c>
      <c r="AE5887">
        <v>0.52136999999999001</v>
      </c>
      <c r="AF5887">
        <v>-2.0628610390791202</v>
      </c>
      <c r="AG5887">
        <v>-1.1208414445170001</v>
      </c>
      <c r="AH5887">
        <v>16.1968220957311</v>
      </c>
      <c r="AI5887">
        <v>93.927010832238494</v>
      </c>
      <c r="AJ5887">
        <v>97.258232789242896</v>
      </c>
      <c r="AK5887">
        <v>16.366084663445299</v>
      </c>
      <c r="AL5887">
        <v>81.349683115684101</v>
      </c>
      <c r="AM5887">
        <v>94.395927617709205</v>
      </c>
      <c r="AN5887">
        <v>0.99999995427911703</v>
      </c>
    </row>
    <row r="5888" spans="1:40" x14ac:dyDescent="0.25">
      <c r="A5888" t="str">
        <f>"20190303162419164"</f>
        <v>20190303162419164</v>
      </c>
      <c r="B5888" t="str">
        <f>"1551601459150914"</f>
        <v>1551601459150914</v>
      </c>
      <c r="C5888" t="s">
        <v>40</v>
      </c>
      <c r="D5888">
        <v>5.723624</v>
      </c>
      <c r="E5888">
        <v>0.4812593</v>
      </c>
      <c r="F5888" t="s">
        <v>62</v>
      </c>
      <c r="G5888">
        <v>-254.26159999999999</v>
      </c>
      <c r="H5888" s="1">
        <v>-1.329065E-6</v>
      </c>
      <c r="I5888">
        <v>-62.023690000000002</v>
      </c>
      <c r="J5888">
        <v>-270.7921</v>
      </c>
      <c r="K5888">
        <v>1.120846</v>
      </c>
      <c r="L5888">
        <v>-62.545409999999997</v>
      </c>
      <c r="M5888">
        <v>0.99545850000000002</v>
      </c>
      <c r="N5888">
        <v>-1.11036E-2</v>
      </c>
      <c r="O5888">
        <v>-9.4547030000000004E-2</v>
      </c>
      <c r="P5888">
        <v>0.99000679999999996</v>
      </c>
      <c r="Q5888">
        <v>0.13991289999999901</v>
      </c>
      <c r="R5888">
        <v>-1.7635599999999901E-2</v>
      </c>
      <c r="S5888">
        <v>3.0607600000000001</v>
      </c>
      <c r="T5888">
        <v>-0.20577880000000001</v>
      </c>
      <c r="U5888">
        <v>9.3353270000000002E-2</v>
      </c>
      <c r="V5888">
        <v>-7.6128500000000002E-2</v>
      </c>
      <c r="W5888">
        <v>0.1508274</v>
      </c>
      <c r="X5888">
        <v>0.98562439999999996</v>
      </c>
      <c r="Y5888">
        <v>-0.1243828</v>
      </c>
      <c r="Z5888">
        <v>1.0160779999999999E-2</v>
      </c>
      <c r="AA5888">
        <v>0.99218229999999996</v>
      </c>
      <c r="AB5888">
        <v>25</v>
      </c>
      <c r="AC5888">
        <v>16.5305</v>
      </c>
      <c r="AD5888">
        <v>-1.1208473290650001</v>
      </c>
      <c r="AE5888">
        <v>0.52171999999999397</v>
      </c>
      <c r="AF5888">
        <v>-2.072868092197</v>
      </c>
      <c r="AG5888">
        <v>-1.1208473290650001</v>
      </c>
      <c r="AH5888">
        <v>16.332098678241699</v>
      </c>
      <c r="AI5888">
        <v>93.894819647807495</v>
      </c>
      <c r="AJ5888">
        <v>97.233299634375797</v>
      </c>
      <c r="AK5888">
        <v>16.501228078495998</v>
      </c>
      <c r="AL5888">
        <v>81.325120978887199</v>
      </c>
      <c r="AM5888">
        <v>94.416691236502402</v>
      </c>
      <c r="AN5888">
        <v>0.99999995548918397</v>
      </c>
    </row>
    <row r="5889" spans="1:40" x14ac:dyDescent="0.25">
      <c r="A5889" t="str">
        <f>"20190303162419177"</f>
        <v>20190303162419177</v>
      </c>
      <c r="B5889" t="str">
        <f>"1551601459170434"</f>
        <v>1551601459170434</v>
      </c>
      <c r="C5889" t="s">
        <v>40</v>
      </c>
      <c r="D5889">
        <v>5.6608830000000001</v>
      </c>
      <c r="E5889">
        <v>0.48169440000000002</v>
      </c>
      <c r="F5889" t="s">
        <v>62</v>
      </c>
      <c r="G5889">
        <v>-254.01079999999999</v>
      </c>
      <c r="H5889" s="1">
        <v>-1.222531E-6</v>
      </c>
      <c r="I5889">
        <v>-62.028410000000001</v>
      </c>
      <c r="J5889">
        <v>-270.65280000000001</v>
      </c>
      <c r="K5889">
        <v>1.120862</v>
      </c>
      <c r="L5889">
        <v>-62.558410000000002</v>
      </c>
      <c r="M5889">
        <v>0.99548369999999997</v>
      </c>
      <c r="N5889">
        <v>-1.095145E-2</v>
      </c>
      <c r="O5889">
        <v>-9.4299629999999995E-2</v>
      </c>
      <c r="P5889">
        <v>0.98994819999999994</v>
      </c>
      <c r="Q5889">
        <v>0.14040620000000001</v>
      </c>
      <c r="R5889">
        <v>-1.699173E-2</v>
      </c>
      <c r="S5889">
        <v>3.0608520000000001</v>
      </c>
      <c r="T5889">
        <v>-0.2044398</v>
      </c>
      <c r="U5889">
        <v>9.4299320000000006E-2</v>
      </c>
      <c r="V5889">
        <v>-7.6533899999999905E-2</v>
      </c>
      <c r="W5889">
        <v>0.15116160000000001</v>
      </c>
      <c r="X5889">
        <v>0.98554189999999997</v>
      </c>
      <c r="Y5889">
        <v>-0.1244479</v>
      </c>
      <c r="Z5889">
        <v>1.0085820000000001E-2</v>
      </c>
      <c r="AA5889">
        <v>0.99217489999999997</v>
      </c>
      <c r="AB5889">
        <v>25</v>
      </c>
      <c r="AC5889">
        <v>16.641999999999999</v>
      </c>
      <c r="AD5889">
        <v>-1.120863222531</v>
      </c>
      <c r="AE5889">
        <v>0.52999999999999303</v>
      </c>
      <c r="AF5889">
        <v>-2.0876061555865801</v>
      </c>
      <c r="AG5889">
        <v>-1.120863222531</v>
      </c>
      <c r="AH5889">
        <v>16.443335212264</v>
      </c>
      <c r="AI5889">
        <v>93.868588613943004</v>
      </c>
      <c r="AJ5889">
        <v>97.235425505097595</v>
      </c>
      <c r="AK5889">
        <v>16.613178706296601</v>
      </c>
      <c r="AL5889">
        <v>81.305751484570607</v>
      </c>
      <c r="AM5889">
        <v>94.440487423735803</v>
      </c>
      <c r="AN5889">
        <v>1.0000000519096801</v>
      </c>
    </row>
    <row r="5890" spans="1:40" x14ac:dyDescent="0.25">
      <c r="A5890" t="str">
        <f>"20190303162419188"</f>
        <v>20190303162419188</v>
      </c>
      <c r="B5890" t="str">
        <f>"1551601459181171"</f>
        <v>1551601459181171</v>
      </c>
      <c r="C5890" t="s">
        <v>40</v>
      </c>
      <c r="D5890">
        <v>5.660501</v>
      </c>
      <c r="E5890">
        <v>0.4817031</v>
      </c>
      <c r="F5890" t="s">
        <v>62</v>
      </c>
      <c r="G5890">
        <v>-253.8426</v>
      </c>
      <c r="H5890" s="1">
        <v>-1.154909E-6</v>
      </c>
      <c r="I5890">
        <v>-62.048920000000003</v>
      </c>
      <c r="J5890">
        <v>-270.53429999999997</v>
      </c>
      <c r="K5890">
        <v>1.1208880000000001</v>
      </c>
      <c r="L5890">
        <v>-62.569400000000002</v>
      </c>
      <c r="M5890">
        <v>0.99550760000000005</v>
      </c>
      <c r="N5890">
        <v>-1.082514E-2</v>
      </c>
      <c r="O5890">
        <v>-9.4061080000000005E-2</v>
      </c>
      <c r="P5890">
        <v>0.98990549999999999</v>
      </c>
      <c r="Q5890">
        <v>0.1407513</v>
      </c>
      <c r="R5890">
        <v>-1.6627679999999999E-2</v>
      </c>
      <c r="S5890">
        <v>3.0609739999999999</v>
      </c>
      <c r="T5890">
        <v>-0.20409830000000001</v>
      </c>
      <c r="U5890">
        <v>9.2773439999999999E-2</v>
      </c>
      <c r="V5890">
        <v>-7.6670959999999996E-2</v>
      </c>
      <c r="W5890">
        <v>0.1513737</v>
      </c>
      <c r="X5890">
        <v>0.98549869999999995</v>
      </c>
      <c r="Y5890">
        <v>-0.1237183</v>
      </c>
      <c r="Z5890">
        <v>1.0030570000000001E-2</v>
      </c>
      <c r="AA5890">
        <v>0.99226669999999995</v>
      </c>
      <c r="AB5890">
        <v>25</v>
      </c>
      <c r="AC5890">
        <v>16.691699999999901</v>
      </c>
      <c r="AD5890">
        <v>-1.1208891549090001</v>
      </c>
      <c r="AE5890">
        <v>0.52048000000000605</v>
      </c>
      <c r="AF5890">
        <v>-2.07893765912221</v>
      </c>
      <c r="AG5890">
        <v>-1.1208891549090001</v>
      </c>
      <c r="AH5890">
        <v>16.494419072515399</v>
      </c>
      <c r="AI5890">
        <v>93.857172471254898</v>
      </c>
      <c r="AJ5890">
        <v>97.183615001383401</v>
      </c>
      <c r="AK5890">
        <v>16.6626598965432</v>
      </c>
      <c r="AL5890">
        <v>81.293457657240694</v>
      </c>
      <c r="AM5890">
        <v>94.448601954510096</v>
      </c>
      <c r="AN5890">
        <v>1.0000000604303401</v>
      </c>
    </row>
    <row r="5891" spans="1:40" x14ac:dyDescent="0.25">
      <c r="A5891" t="str">
        <f>"20190303162419197"</f>
        <v>20190303162419197</v>
      </c>
      <c r="B5891" t="str">
        <f>"1551601459190930"</f>
        <v>1551601459190930</v>
      </c>
      <c r="C5891" t="s">
        <v>40</v>
      </c>
      <c r="D5891">
        <v>5.7196020000000001</v>
      </c>
      <c r="E5891">
        <v>0.48201179999999899</v>
      </c>
      <c r="F5891" t="s">
        <v>62</v>
      </c>
      <c r="G5891">
        <v>-253.7422</v>
      </c>
      <c r="H5891" s="1">
        <v>-1.11294E-6</v>
      </c>
      <c r="I5891">
        <v>-62.053800000000003</v>
      </c>
      <c r="J5891">
        <v>-270.40699999999998</v>
      </c>
      <c r="K5891">
        <v>1.1209249999999999</v>
      </c>
      <c r="L5891">
        <v>-62.581209999999999</v>
      </c>
      <c r="M5891">
        <v>0.99553689999999995</v>
      </c>
      <c r="N5891">
        <v>-1.069356E-2</v>
      </c>
      <c r="O5891">
        <v>-9.3766379999999996E-2</v>
      </c>
      <c r="P5891">
        <v>0.98984910000000004</v>
      </c>
      <c r="Q5891">
        <v>0.1411674</v>
      </c>
      <c r="R5891">
        <v>-1.6459350000000001E-2</v>
      </c>
      <c r="S5891">
        <v>3.0612180000000002</v>
      </c>
      <c r="T5891">
        <v>-0.20433950000000001</v>
      </c>
      <c r="U5891">
        <v>9.3994140000000004E-2</v>
      </c>
      <c r="V5891">
        <v>-7.6560520000000007E-2</v>
      </c>
      <c r="W5891">
        <v>0.15165039999999999</v>
      </c>
      <c r="X5891">
        <v>0.98546469999999997</v>
      </c>
      <c r="Y5891">
        <v>-0.12381639999999999</v>
      </c>
      <c r="Z5891">
        <v>1.0033540000000001E-2</v>
      </c>
      <c r="AA5891">
        <v>0.99225439999999998</v>
      </c>
      <c r="AB5891">
        <v>25</v>
      </c>
      <c r="AC5891">
        <v>16.6647999999999</v>
      </c>
      <c r="AD5891">
        <v>-1.1209261129400001</v>
      </c>
      <c r="AE5891">
        <v>0.52740999999999605</v>
      </c>
      <c r="AF5891">
        <v>-2.0783793912982702</v>
      </c>
      <c r="AG5891">
        <v>-1.1209261129400001</v>
      </c>
      <c r="AH5891">
        <v>16.467484437532502</v>
      </c>
      <c r="AI5891">
        <v>93.863506898460798</v>
      </c>
      <c r="AJ5891">
        <v>97.193329726583499</v>
      </c>
      <c r="AK5891">
        <v>16.635930390129101</v>
      </c>
      <c r="AL5891">
        <v>81.277418362797107</v>
      </c>
      <c r="AM5891">
        <v>94.442372322035496</v>
      </c>
      <c r="AN5891">
        <v>1.00000001599446</v>
      </c>
    </row>
    <row r="5892" spans="1:40" x14ac:dyDescent="0.25">
      <c r="A5892" t="str">
        <f>"20190303162419208"</f>
        <v>20190303162419208</v>
      </c>
      <c r="B5892" t="str">
        <f>"1551601459200690"</f>
        <v>1551601459200690</v>
      </c>
      <c r="C5892" t="s">
        <v>40</v>
      </c>
      <c r="D5892">
        <v>5.658684</v>
      </c>
      <c r="E5892">
        <v>0.48207820000000001</v>
      </c>
      <c r="F5892" t="s">
        <v>62</v>
      </c>
      <c r="G5892">
        <v>-253.59460000000001</v>
      </c>
      <c r="H5892" s="1">
        <v>-1.0538369999999999E-6</v>
      </c>
      <c r="I5892">
        <v>-62.07273</v>
      </c>
      <c r="J5892">
        <v>-270.29829999999998</v>
      </c>
      <c r="K5892">
        <v>1.1209639999999901</v>
      </c>
      <c r="L5892">
        <v>-62.591160000000002</v>
      </c>
      <c r="M5892">
        <v>0.99556579999999995</v>
      </c>
      <c r="N5892">
        <v>-1.058632E-2</v>
      </c>
      <c r="O5892">
        <v>-9.3469659999999996E-2</v>
      </c>
      <c r="P5892">
        <v>0.98986490000000005</v>
      </c>
      <c r="Q5892">
        <v>0.141064299999999</v>
      </c>
      <c r="R5892">
        <v>-1.63795999999999E-2</v>
      </c>
      <c r="S5892">
        <v>3.0614319999999999</v>
      </c>
      <c r="T5892">
        <v>-0.20411370000000001</v>
      </c>
      <c r="U5892">
        <v>9.2590329999999998E-2</v>
      </c>
      <c r="V5892">
        <v>-7.6366690000000001E-2</v>
      </c>
      <c r="W5892">
        <v>0.1514316</v>
      </c>
      <c r="X5892">
        <v>0.98551330000000004</v>
      </c>
      <c r="Y5892">
        <v>-0.1230672</v>
      </c>
      <c r="Z5892">
        <v>9.9793299999999998E-3</v>
      </c>
      <c r="AA5892">
        <v>0.99234820000000001</v>
      </c>
      <c r="AB5892">
        <v>25</v>
      </c>
      <c r="AC5892">
        <v>16.703699999999898</v>
      </c>
      <c r="AD5892">
        <v>-1.120965053837</v>
      </c>
      <c r="AE5892">
        <v>0.51842999999998796</v>
      </c>
      <c r="AF5892">
        <v>-2.06823134867467</v>
      </c>
      <c r="AG5892">
        <v>-1.120965053837</v>
      </c>
      <c r="AH5892">
        <v>16.507831982097901</v>
      </c>
      <c r="AI5892">
        <v>93.854665092132905</v>
      </c>
      <c r="AJ5892">
        <v>97.141256583999194</v>
      </c>
      <c r="AK5892">
        <v>16.674611249223801</v>
      </c>
      <c r="AL5892">
        <v>81.290100421489598</v>
      </c>
      <c r="AM5892">
        <v>94.430952666946595</v>
      </c>
      <c r="AN5892">
        <v>0.99999993264849996</v>
      </c>
    </row>
    <row r="5893" spans="1:40" x14ac:dyDescent="0.25">
      <c r="A5893" t="str">
        <f>"20190303162419218"</f>
        <v>20190303162419218</v>
      </c>
      <c r="B5893" t="str">
        <f>"1551601459211427"</f>
        <v>1551601459211427</v>
      </c>
      <c r="C5893" t="s">
        <v>40</v>
      </c>
      <c r="D5893">
        <v>5.7164859999999997</v>
      </c>
      <c r="E5893">
        <v>0.48229300000000003</v>
      </c>
      <c r="F5893" t="s">
        <v>62</v>
      </c>
      <c r="G5893">
        <v>-253.52369999999999</v>
      </c>
      <c r="H5893" s="1">
        <v>-1.0252119999999899E-6</v>
      </c>
      <c r="I5893">
        <v>-62.080820000000003</v>
      </c>
      <c r="J5893">
        <v>-270.17910000000001</v>
      </c>
      <c r="K5893">
        <v>1.1210119999999999</v>
      </c>
      <c r="L5893">
        <v>-62.602020000000003</v>
      </c>
      <c r="M5893">
        <v>0.99560090000000001</v>
      </c>
      <c r="N5893">
        <v>-1.0472820000000001E-2</v>
      </c>
      <c r="O5893">
        <v>-9.3107599999999999E-2</v>
      </c>
      <c r="P5893">
        <v>0.98994539999999998</v>
      </c>
      <c r="Q5893">
        <v>0.1404801</v>
      </c>
      <c r="R5893">
        <v>-1.6544219999999998E-2</v>
      </c>
      <c r="S5893">
        <v>3.0614319999999999</v>
      </c>
      <c r="T5893">
        <v>-0.2045807</v>
      </c>
      <c r="U5893">
        <v>9.3139650000000004E-2</v>
      </c>
      <c r="V5893">
        <v>-7.5874490000000003E-2</v>
      </c>
      <c r="W5893">
        <v>0.15072559999999999</v>
      </c>
      <c r="X5893">
        <v>0.98565959999999997</v>
      </c>
      <c r="Y5893">
        <v>-0.1228829</v>
      </c>
      <c r="Z5893">
        <v>9.9790680000000007E-3</v>
      </c>
      <c r="AA5893">
        <v>0.992371</v>
      </c>
      <c r="AB5893">
        <v>25</v>
      </c>
      <c r="AC5893">
        <v>16.6554</v>
      </c>
      <c r="AD5893">
        <v>-1.1210130252120001</v>
      </c>
      <c r="AE5893">
        <v>0.5212</v>
      </c>
      <c r="AF5893">
        <v>-2.06044022523005</v>
      </c>
      <c r="AG5893">
        <v>-1.1210130252120001</v>
      </c>
      <c r="AH5893">
        <v>16.460018342824799</v>
      </c>
      <c r="AI5893">
        <v>93.866045279584498</v>
      </c>
      <c r="AJ5893">
        <v>97.135085461220001</v>
      </c>
      <c r="AK5893">
        <v>16.626313120189</v>
      </c>
      <c r="AL5893">
        <v>81.331021493908594</v>
      </c>
      <c r="AM5893">
        <v>94.401855957375105</v>
      </c>
      <c r="AN5893">
        <v>0.99999999590013999</v>
      </c>
    </row>
    <row r="5894" spans="1:40" x14ac:dyDescent="0.25">
      <c r="A5894" t="str">
        <f>"20190303162419228"</f>
        <v>20190303162419228</v>
      </c>
      <c r="B5894" t="str">
        <f>"1551601459221185"</f>
        <v>1551601459221185</v>
      </c>
      <c r="C5894" t="s">
        <v>40</v>
      </c>
      <c r="D5894">
        <v>5.7199549999999997</v>
      </c>
      <c r="E5894">
        <v>0.48245670000000002</v>
      </c>
      <c r="F5894" t="s">
        <v>62</v>
      </c>
      <c r="G5894">
        <v>-253.61449999999999</v>
      </c>
      <c r="H5894" s="1">
        <v>-1.0693399999999999E-6</v>
      </c>
      <c r="I5894">
        <v>-62.104179999999999</v>
      </c>
      <c r="J5894">
        <v>-270.05990000000003</v>
      </c>
      <c r="K5894">
        <v>1.1210739999999999</v>
      </c>
      <c r="L5894">
        <v>-62.612760000000002</v>
      </c>
      <c r="M5894">
        <v>0.99564219999999903</v>
      </c>
      <c r="N5894">
        <v>-1.036602E-2</v>
      </c>
      <c r="O5894">
        <v>-9.2678140000000006E-2</v>
      </c>
      <c r="P5894">
        <v>0.99007520000000004</v>
      </c>
      <c r="Q5894">
        <v>0.139578799999999</v>
      </c>
      <c r="R5894">
        <v>-1.6399420000000001E-2</v>
      </c>
      <c r="S5894">
        <v>3.061401</v>
      </c>
      <c r="T5894">
        <v>-0.207181</v>
      </c>
      <c r="U5894">
        <v>9.2010499999999995E-2</v>
      </c>
      <c r="V5894">
        <v>-7.5630639999999999E-2</v>
      </c>
      <c r="W5894">
        <v>0.14970729999999999</v>
      </c>
      <c r="X5894">
        <v>0.98583350000000003</v>
      </c>
      <c r="Y5894">
        <v>-0.12207990000000001</v>
      </c>
      <c r="Z5894">
        <v>1.005755E-2</v>
      </c>
      <c r="AA5894">
        <v>0.9924693</v>
      </c>
      <c r="AB5894">
        <v>25</v>
      </c>
      <c r="AC5894">
        <v>16.445399999999999</v>
      </c>
      <c r="AD5894">
        <v>-1.12107506934</v>
      </c>
      <c r="AE5894">
        <v>0.50857999999998704</v>
      </c>
      <c r="AF5894">
        <v>-2.0212180162861002</v>
      </c>
      <c r="AG5894">
        <v>-1.12107506934</v>
      </c>
      <c r="AH5894">
        <v>16.252024209492799</v>
      </c>
      <c r="AI5894">
        <v>93.915975317145495</v>
      </c>
      <c r="AJ5894">
        <v>97.089312069290798</v>
      </c>
      <c r="AK5894">
        <v>16.415554285079601</v>
      </c>
      <c r="AL5894">
        <v>81.390035270415794</v>
      </c>
      <c r="AM5894">
        <v>94.386993367505895</v>
      </c>
      <c r="AN5894">
        <v>0.99999997955117403</v>
      </c>
    </row>
    <row r="5895" spans="1:40" x14ac:dyDescent="0.25">
      <c r="A5895" t="str">
        <f>"20190303162419239"</f>
        <v>20190303162419239</v>
      </c>
      <c r="B5895" t="str">
        <f>"1551601459230946"</f>
        <v>1551601459230946</v>
      </c>
      <c r="C5895" t="s">
        <v>40</v>
      </c>
      <c r="D5895">
        <v>5.7216040000000001</v>
      </c>
      <c r="E5895">
        <v>0.48261399999999999</v>
      </c>
      <c r="F5895" t="s">
        <v>62</v>
      </c>
      <c r="G5895">
        <v>-253.78739999999999</v>
      </c>
      <c r="H5895" s="1">
        <v>-1.147952E-6</v>
      </c>
      <c r="I5895">
        <v>-62.124009999999998</v>
      </c>
      <c r="J5895">
        <v>-269.9314</v>
      </c>
      <c r="K5895">
        <v>1.121146</v>
      </c>
      <c r="L5895">
        <v>-62.624299999999998</v>
      </c>
      <c r="M5895">
        <v>0.99569030000000003</v>
      </c>
      <c r="N5895">
        <v>-1.0255139999999999E-2</v>
      </c>
      <c r="O5895">
        <v>-9.2171100000000006E-2</v>
      </c>
      <c r="P5895">
        <v>0.99020870000000005</v>
      </c>
      <c r="Q5895">
        <v>0.1386463</v>
      </c>
      <c r="R5895">
        <v>-1.6240480000000002E-2</v>
      </c>
      <c r="S5895">
        <v>3.06134</v>
      </c>
      <c r="T5895">
        <v>-0.21090829999999999</v>
      </c>
      <c r="U5895">
        <v>9.1949459999999997E-2</v>
      </c>
      <c r="V5895">
        <v>-7.5328759999999995E-2</v>
      </c>
      <c r="W5895">
        <v>0.14865110000000001</v>
      </c>
      <c r="X5895">
        <v>0.98601649999999996</v>
      </c>
      <c r="Y5895">
        <v>-0.12154</v>
      </c>
      <c r="Z5895">
        <v>1.0196759999999999E-2</v>
      </c>
      <c r="AA5895">
        <v>0.99253420000000003</v>
      </c>
      <c r="AB5895">
        <v>25</v>
      </c>
      <c r="AC5895">
        <v>16.143999999999998</v>
      </c>
      <c r="AD5895">
        <v>-1.1211471479520001</v>
      </c>
      <c r="AE5895">
        <v>0.50028999999999901</v>
      </c>
      <c r="AF5895">
        <v>-1.97672445098851</v>
      </c>
      <c r="AG5895">
        <v>-1.1211471479520001</v>
      </c>
      <c r="AH5895">
        <v>15.9522944341561</v>
      </c>
      <c r="AI5895">
        <v>93.989793329911393</v>
      </c>
      <c r="AJ5895">
        <v>97.063784123148395</v>
      </c>
      <c r="AK5895">
        <v>16.113351861003501</v>
      </c>
      <c r="AL5895">
        <v>81.451236550633993</v>
      </c>
      <c r="AM5895">
        <v>94.368742789558397</v>
      </c>
      <c r="AN5895">
        <v>1.0000000549432899</v>
      </c>
    </row>
    <row r="5896" spans="1:40" x14ac:dyDescent="0.25">
      <c r="A5896" t="str">
        <f>"20190303162419249"</f>
        <v>20190303162419249</v>
      </c>
      <c r="B5896" t="str">
        <f>"1551601459240707"</f>
        <v>1551601459240707</v>
      </c>
      <c r="C5896" t="s">
        <v>40</v>
      </c>
      <c r="D5896">
        <v>5.6656000000000004</v>
      </c>
      <c r="E5896">
        <v>0.4826551</v>
      </c>
      <c r="F5896" t="s">
        <v>62</v>
      </c>
      <c r="G5896">
        <v>-253.9359</v>
      </c>
      <c r="H5896" s="1">
        <v>-1.216458E-6</v>
      </c>
      <c r="I5896">
        <v>-62.14575</v>
      </c>
      <c r="J5896">
        <v>-269.83359999999999</v>
      </c>
      <c r="K5896">
        <v>1.121211</v>
      </c>
      <c r="L5896">
        <v>-62.632899999999999</v>
      </c>
      <c r="M5896">
        <v>0.99573389999999995</v>
      </c>
      <c r="N5896">
        <v>-1.017732E-2</v>
      </c>
      <c r="O5896">
        <v>-9.1709650000000004E-2</v>
      </c>
      <c r="P5896">
        <v>0.99034140000000004</v>
      </c>
      <c r="Q5896">
        <v>0.1377197</v>
      </c>
      <c r="R5896">
        <v>-1.60526E-2</v>
      </c>
      <c r="S5896">
        <v>3.0611570000000001</v>
      </c>
      <c r="T5896">
        <v>-0.21456040000000001</v>
      </c>
      <c r="U5896">
        <v>9.1583250000000005E-2</v>
      </c>
      <c r="V5896">
        <v>-7.5096289999999996E-2</v>
      </c>
      <c r="W5896">
        <v>0.147636299999999</v>
      </c>
      <c r="X5896">
        <v>0.98618660000000002</v>
      </c>
      <c r="Y5896">
        <v>-0.1209481</v>
      </c>
      <c r="Z5896">
        <v>1.033034E-2</v>
      </c>
      <c r="AA5896">
        <v>0.99260510000000002</v>
      </c>
      <c r="AB5896">
        <v>25</v>
      </c>
      <c r="AC5896">
        <v>15.897699999999899</v>
      </c>
      <c r="AD5896">
        <v>-1.1212122164579901</v>
      </c>
      <c r="AE5896">
        <v>0.48714999999999897</v>
      </c>
      <c r="AF5896">
        <v>-1.93353626224538</v>
      </c>
      <c r="AG5896">
        <v>-1.1212122164579901</v>
      </c>
      <c r="AH5896">
        <v>15.7079598297359</v>
      </c>
      <c r="AI5896">
        <v>94.052286955518696</v>
      </c>
      <c r="AJ5896">
        <v>97.017396069188607</v>
      </c>
      <c r="AK5896">
        <v>15.86618042644</v>
      </c>
      <c r="AL5896">
        <v>81.510028305399402</v>
      </c>
      <c r="AM5896">
        <v>94.354564162991807</v>
      </c>
      <c r="AN5896">
        <v>0.99999996993450602</v>
      </c>
    </row>
    <row r="5897" spans="1:40" x14ac:dyDescent="0.25">
      <c r="A5897" t="str">
        <f>"20190303162419260"</f>
        <v>20190303162419260</v>
      </c>
      <c r="B5897" t="str">
        <f>"1551601459252417"</f>
        <v>1551601459252417</v>
      </c>
      <c r="C5897" t="s">
        <v>40</v>
      </c>
      <c r="D5897">
        <v>5.659478</v>
      </c>
      <c r="E5897">
        <v>0.4827978</v>
      </c>
      <c r="F5897" t="s">
        <v>62</v>
      </c>
      <c r="G5897">
        <v>-254.0641</v>
      </c>
      <c r="H5897" s="1">
        <v>-1.274346E-6</v>
      </c>
      <c r="I5897">
        <v>-62.158729999999998</v>
      </c>
      <c r="J5897">
        <v>-269.70049999999998</v>
      </c>
      <c r="K5897">
        <v>1.1213040000000001</v>
      </c>
      <c r="L5897">
        <v>-62.644559999999998</v>
      </c>
      <c r="M5897">
        <v>0.99579569999999995</v>
      </c>
      <c r="N5897">
        <v>-1.007426E-2</v>
      </c>
      <c r="O5897">
        <v>-9.1048309999999993E-2</v>
      </c>
      <c r="P5897">
        <v>0.99047240000000003</v>
      </c>
      <c r="Q5897">
        <v>0.13683229999999999</v>
      </c>
      <c r="R5897">
        <v>-1.5538430000000001E-2</v>
      </c>
      <c r="S5897">
        <v>3.0609739999999999</v>
      </c>
      <c r="T5897">
        <v>-0.217635</v>
      </c>
      <c r="U5897">
        <v>9.2041020000000001E-2</v>
      </c>
      <c r="V5897">
        <v>-7.4999960000000004E-2</v>
      </c>
      <c r="W5897">
        <v>0.14662929999999999</v>
      </c>
      <c r="X5897">
        <v>0.9863442</v>
      </c>
      <c r="Y5897">
        <v>-0.1204267</v>
      </c>
      <c r="Z5897">
        <v>1.042511E-2</v>
      </c>
      <c r="AA5897">
        <v>0.99266750000000004</v>
      </c>
      <c r="AB5897">
        <v>26</v>
      </c>
      <c r="AC5897">
        <v>15.636399999999901</v>
      </c>
      <c r="AD5897">
        <v>-1.1213052743459999</v>
      </c>
      <c r="AE5897">
        <v>0.48582999999999199</v>
      </c>
      <c r="AF5897">
        <v>-1.8978016463610701</v>
      </c>
      <c r="AG5897">
        <v>-1.1213052743459999</v>
      </c>
      <c r="AH5897">
        <v>15.447847112216699</v>
      </c>
      <c r="AI5897">
        <v>94.120747272259393</v>
      </c>
      <c r="AJ5897">
        <v>97.003816541965605</v>
      </c>
      <c r="AK5897">
        <v>15.604324945656201</v>
      </c>
      <c r="AL5897">
        <v>81.568360366219395</v>
      </c>
      <c r="AM5897">
        <v>94.348307549975999</v>
      </c>
      <c r="AN5897">
        <v>1.00000001324606</v>
      </c>
    </row>
    <row r="5898" spans="1:40" x14ac:dyDescent="0.25">
      <c r="A5898" t="str">
        <f>"20190303162419271"</f>
        <v>20190303162419271</v>
      </c>
      <c r="B5898" t="str">
        <f>"1551601459261202"</f>
        <v>1551601459261202</v>
      </c>
      <c r="C5898" t="s">
        <v>40</v>
      </c>
      <c r="D5898">
        <v>5.6003109999999996</v>
      </c>
      <c r="E5898">
        <v>0.48284650000000001</v>
      </c>
      <c r="F5898" t="s">
        <v>62</v>
      </c>
      <c r="G5898">
        <v>-254.1294</v>
      </c>
      <c r="H5898" s="1">
        <v>-1.305377E-6</v>
      </c>
      <c r="I5898">
        <v>-62.172280000000001</v>
      </c>
      <c r="J5898">
        <v>-269.58199999999999</v>
      </c>
      <c r="K5898">
        <v>1.121399</v>
      </c>
      <c r="L5898">
        <v>-62.654719999999998</v>
      </c>
      <c r="M5898">
        <v>0.99585979999999996</v>
      </c>
      <c r="N5898">
        <v>-9.9907980000000004E-3</v>
      </c>
      <c r="O5898">
        <v>-9.0352920000000003E-2</v>
      </c>
      <c r="P5898">
        <v>0.99057490000000004</v>
      </c>
      <c r="Q5898">
        <v>0.13618859999999999</v>
      </c>
      <c r="R5898">
        <v>-1.4637000000000001E-2</v>
      </c>
      <c r="S5898">
        <v>3.06073</v>
      </c>
      <c r="T5898">
        <v>-0.2204084</v>
      </c>
      <c r="U5898">
        <v>9.2834470000000002E-2</v>
      </c>
      <c r="V5898">
        <v>-7.5251460000000006E-2</v>
      </c>
      <c r="W5898">
        <v>0.14588489999999901</v>
      </c>
      <c r="X5898">
        <v>0.98643539999999996</v>
      </c>
      <c r="Y5898">
        <v>-0.11998200000000001</v>
      </c>
      <c r="Z5898">
        <v>1.050387E-2</v>
      </c>
      <c r="AA5898">
        <v>0.99272050000000001</v>
      </c>
      <c r="AB5898">
        <v>26</v>
      </c>
      <c r="AC5898">
        <v>15.452599999999901</v>
      </c>
      <c r="AD5898">
        <v>-1.1214003053770001</v>
      </c>
      <c r="AE5898">
        <v>0.48243999999998899</v>
      </c>
      <c r="AF5898">
        <v>-1.8669012312417601</v>
      </c>
      <c r="AG5898">
        <v>-1.1214003053770001</v>
      </c>
      <c r="AH5898">
        <v>15.265480937115299</v>
      </c>
      <c r="AI5898">
        <v>94.170433827880004</v>
      </c>
      <c r="AJ5898">
        <v>96.972399360693302</v>
      </c>
      <c r="AK5898">
        <v>15.420044328520699</v>
      </c>
      <c r="AL5898">
        <v>81.611474796302602</v>
      </c>
      <c r="AM5898">
        <v>94.362430873120701</v>
      </c>
      <c r="AN5898">
        <v>0.99999999232665004</v>
      </c>
    </row>
    <row r="5899" spans="1:40" x14ac:dyDescent="0.25">
      <c r="A5899" t="str">
        <f>"20190303162419283"</f>
        <v>20190303162419283</v>
      </c>
      <c r="B5899" t="str">
        <f>"1551601459270962"</f>
        <v>1551601459270962</v>
      </c>
      <c r="C5899" t="s">
        <v>40</v>
      </c>
      <c r="D5899">
        <v>5.6641079999999997</v>
      </c>
      <c r="E5899">
        <v>0.48298049999999998</v>
      </c>
      <c r="F5899" t="s">
        <v>62</v>
      </c>
      <c r="G5899">
        <v>-254.15029999999999</v>
      </c>
      <c r="H5899" s="1">
        <v>-1.3144700000000001E-6</v>
      </c>
      <c r="I5899">
        <v>-62.172789999999999</v>
      </c>
      <c r="J5899">
        <v>-269.44380000000001</v>
      </c>
      <c r="K5899">
        <v>1.1215090000000001</v>
      </c>
      <c r="L5899">
        <v>-62.666499999999999</v>
      </c>
      <c r="M5899">
        <v>0.99593719999999997</v>
      </c>
      <c r="N5899">
        <v>-9.8959689999999993E-3</v>
      </c>
      <c r="O5899">
        <v>-8.9506840000000004E-2</v>
      </c>
      <c r="P5899">
        <v>0.99062969999999895</v>
      </c>
      <c r="Q5899">
        <v>0.135854</v>
      </c>
      <c r="R5899">
        <v>-1.4030249999999999E-2</v>
      </c>
      <c r="S5899">
        <v>3.0605470000000001</v>
      </c>
      <c r="T5899">
        <v>-0.2224054</v>
      </c>
      <c r="U5899">
        <v>9.5581050000000001E-2</v>
      </c>
      <c r="V5899">
        <v>-7.5063160000000004E-2</v>
      </c>
      <c r="W5899">
        <v>0.14543629999999999</v>
      </c>
      <c r="X5899">
        <v>0.98651599999999995</v>
      </c>
      <c r="Y5899">
        <v>-0.120022</v>
      </c>
      <c r="Z5899">
        <v>1.055381E-2</v>
      </c>
      <c r="AA5899">
        <v>0.99271509999999996</v>
      </c>
      <c r="AB5899">
        <v>26</v>
      </c>
      <c r="AC5899">
        <v>15.2935</v>
      </c>
      <c r="AD5899">
        <v>-1.12151031447</v>
      </c>
      <c r="AE5899">
        <v>0.49370999999999998</v>
      </c>
      <c r="AF5899">
        <v>-1.8507256344029701</v>
      </c>
      <c r="AG5899">
        <v>-1.12151031447</v>
      </c>
      <c r="AH5899">
        <v>15.1067621322115</v>
      </c>
      <c r="AI5899">
        <v>94.214396817091497</v>
      </c>
      <c r="AJ5899">
        <v>96.984487767998999</v>
      </c>
      <c r="AK5899">
        <v>15.260970902223599</v>
      </c>
      <c r="AL5899">
        <v>81.637454891639607</v>
      </c>
      <c r="AM5899">
        <v>94.351202679930296</v>
      </c>
      <c r="AN5899">
        <v>1.0000000068014301</v>
      </c>
    </row>
    <row r="5900" spans="1:40" x14ac:dyDescent="0.25">
      <c r="A5900" t="str">
        <f>"20190303162419292"</f>
        <v>20190303162419292</v>
      </c>
      <c r="B5900" t="str">
        <f>"1551601459280723"</f>
        <v>1551601459280723</v>
      </c>
      <c r="C5900" t="s">
        <v>40</v>
      </c>
      <c r="D5900">
        <v>5.6059299999999999</v>
      </c>
      <c r="E5900">
        <v>0.4832264</v>
      </c>
      <c r="F5900" t="s">
        <v>62</v>
      </c>
      <c r="G5900">
        <v>-254.05099999999999</v>
      </c>
      <c r="H5900" s="1">
        <v>-1.2733139999999999E-6</v>
      </c>
      <c r="I5900">
        <v>-62.179310000000001</v>
      </c>
      <c r="J5900">
        <v>-269.3329</v>
      </c>
      <c r="K5900">
        <v>1.1215999999999999</v>
      </c>
      <c r="L5900">
        <v>-62.675690000000003</v>
      </c>
      <c r="M5900">
        <v>0.99600849999999996</v>
      </c>
      <c r="N5900">
        <v>-9.8282149999999995E-3</v>
      </c>
      <c r="O5900">
        <v>-8.8717499999999894E-2</v>
      </c>
      <c r="P5900">
        <v>0.99071319999999996</v>
      </c>
      <c r="Q5900">
        <v>0.13530349999999999</v>
      </c>
      <c r="R5900">
        <v>-1.343599E-2</v>
      </c>
      <c r="S5900">
        <v>3.060333</v>
      </c>
      <c r="T5900">
        <v>-0.22297330000000001</v>
      </c>
      <c r="U5900">
        <v>9.6862790000000004E-2</v>
      </c>
      <c r="V5900">
        <v>-7.491167E-2</v>
      </c>
      <c r="W5900">
        <v>0.14480319999999999</v>
      </c>
      <c r="X5900">
        <v>0.98662070000000002</v>
      </c>
      <c r="Y5900">
        <v>-0.11965249999999999</v>
      </c>
      <c r="Z5900">
        <v>1.051937E-2</v>
      </c>
      <c r="AA5900">
        <v>0.99276010000000003</v>
      </c>
      <c r="AB5900">
        <v>26</v>
      </c>
      <c r="AC5900">
        <v>15.2819</v>
      </c>
      <c r="AD5900">
        <v>-1.1216012733139999</v>
      </c>
      <c r="AE5900">
        <v>0.49638000000000199</v>
      </c>
      <c r="AF5900">
        <v>-1.8403567398954701</v>
      </c>
      <c r="AG5900">
        <v>-1.1216012733139999</v>
      </c>
      <c r="AH5900">
        <v>15.0963615486849</v>
      </c>
      <c r="AI5900">
        <v>94.217935498664005</v>
      </c>
      <c r="AJ5900">
        <v>96.950478166290594</v>
      </c>
      <c r="AK5900">
        <v>15.2494273451494</v>
      </c>
      <c r="AL5900">
        <v>81.674117441940794</v>
      </c>
      <c r="AM5900">
        <v>94.341995790832698</v>
      </c>
      <c r="AN5900">
        <v>1.0000000653504499</v>
      </c>
    </row>
    <row r="5901" spans="1:40" x14ac:dyDescent="0.25">
      <c r="A5901" t="str">
        <f>"20190303162419317"</f>
        <v>20190303162419317</v>
      </c>
      <c r="B5901" t="str">
        <f>"1551601459311258"</f>
        <v>1551601459311258</v>
      </c>
      <c r="C5901" t="s">
        <v>40</v>
      </c>
      <c r="D5901">
        <v>5.6735379999999997</v>
      </c>
      <c r="E5901">
        <v>0.48358859999999898</v>
      </c>
      <c r="F5901" t="s">
        <v>62</v>
      </c>
      <c r="G5901">
        <v>-254.03579999999999</v>
      </c>
      <c r="H5901" s="1">
        <v>-1.268945E-6</v>
      </c>
      <c r="I5901">
        <v>-62.188890000000001</v>
      </c>
      <c r="J5901">
        <v>-269.06420000000003</v>
      </c>
      <c r="K5901">
        <v>1.12181</v>
      </c>
      <c r="L5901">
        <v>-62.697510000000001</v>
      </c>
      <c r="M5901">
        <v>0.99619170000000001</v>
      </c>
      <c r="N5901">
        <v>-9.6750910000000002E-3</v>
      </c>
      <c r="O5901">
        <v>-8.6653170000000002E-2</v>
      </c>
      <c r="P5901">
        <v>0.99077700000000002</v>
      </c>
      <c r="Q5901">
        <v>0.13498289999999999</v>
      </c>
      <c r="R5901">
        <v>-1.1862309999999999E-2</v>
      </c>
      <c r="S5901">
        <v>3.0600890000000001</v>
      </c>
      <c r="T5901">
        <v>-0.2243694</v>
      </c>
      <c r="U5901">
        <v>9.7381590000000004E-2</v>
      </c>
      <c r="V5901">
        <v>-7.4513159999999995E-2</v>
      </c>
      <c r="W5901">
        <v>0.14429310000000001</v>
      </c>
      <c r="X5901">
        <v>0.98672550000000003</v>
      </c>
      <c r="Y5901">
        <v>-0.1177681</v>
      </c>
      <c r="Z5901">
        <v>1.038319E-2</v>
      </c>
      <c r="AA5901">
        <v>0.99298690000000001</v>
      </c>
      <c r="AB5901">
        <v>26</v>
      </c>
      <c r="AC5901">
        <v>15.0284</v>
      </c>
      <c r="AD5901">
        <v>-1.1218112689449999</v>
      </c>
      <c r="AE5901">
        <v>0.50861999999999996</v>
      </c>
      <c r="AF5901">
        <v>-1.7990132358367501</v>
      </c>
      <c r="AG5901">
        <v>-1.1218112689449999</v>
      </c>
      <c r="AH5901">
        <v>14.8451671881799</v>
      </c>
      <c r="AI5901">
        <v>94.290212597314806</v>
      </c>
      <c r="AJ5901">
        <v>96.909701960054093</v>
      </c>
      <c r="AK5901">
        <v>14.9957960105778</v>
      </c>
      <c r="AL5901">
        <v>81.703653348030997</v>
      </c>
      <c r="AM5901">
        <v>94.318528186389997</v>
      </c>
      <c r="AN5901">
        <v>0.99999996103552202</v>
      </c>
    </row>
    <row r="5902" spans="1:40" x14ac:dyDescent="0.25">
      <c r="A5902" t="str">
        <f>"20190303162419328"</f>
        <v>20190303162419328</v>
      </c>
      <c r="B5902" t="str">
        <f>"1551601459321019"</f>
        <v>1551601459321019</v>
      </c>
      <c r="C5902" t="s">
        <v>40</v>
      </c>
      <c r="D5902">
        <v>5.6130979999999999</v>
      </c>
      <c r="E5902">
        <v>0.4837399</v>
      </c>
      <c r="F5902" t="s">
        <v>62</v>
      </c>
      <c r="G5902">
        <v>-253.64279999999999</v>
      </c>
      <c r="H5902" s="1">
        <v>-1.1008750000000001E-6</v>
      </c>
      <c r="I5902">
        <v>-62.191270000000003</v>
      </c>
      <c r="J5902">
        <v>-268.93270000000001</v>
      </c>
      <c r="K5902">
        <v>1.1219030000000001</v>
      </c>
      <c r="L5902">
        <v>-62.707889999999999</v>
      </c>
      <c r="M5902">
        <v>0.99628859999999997</v>
      </c>
      <c r="N5902">
        <v>-9.6078280000000005E-3</v>
      </c>
      <c r="O5902">
        <v>-8.5538169999999997E-2</v>
      </c>
      <c r="P5902">
        <v>0.99081710000000001</v>
      </c>
      <c r="Q5902">
        <v>0.13474539999999999</v>
      </c>
      <c r="R5902">
        <v>-1.11956E-2</v>
      </c>
      <c r="S5902">
        <v>3.0594480000000002</v>
      </c>
      <c r="T5902">
        <v>-0.22255620000000001</v>
      </c>
      <c r="U5902">
        <v>0.1004333</v>
      </c>
      <c r="V5902">
        <v>-7.410775E-2</v>
      </c>
      <c r="W5902">
        <v>0.1439742</v>
      </c>
      <c r="X5902">
        <v>0.98680259999999997</v>
      </c>
      <c r="Y5902">
        <v>-0.1176637</v>
      </c>
      <c r="Z5902">
        <v>1.022693E-2</v>
      </c>
      <c r="AA5902">
        <v>0.99300089999999996</v>
      </c>
      <c r="AB5902">
        <v>26</v>
      </c>
      <c r="AC5902">
        <v>15.289899999999999</v>
      </c>
      <c r="AD5902">
        <v>-1.1219041008749999</v>
      </c>
      <c r="AE5902">
        <v>0.51662000000000297</v>
      </c>
      <c r="AF5902">
        <v>-1.81290725362024</v>
      </c>
      <c r="AG5902">
        <v>-1.1219041008749999</v>
      </c>
      <c r="AH5902">
        <v>15.108412556151499</v>
      </c>
      <c r="AI5902">
        <v>94.216675606659706</v>
      </c>
      <c r="AJ5902">
        <v>96.842391141533099</v>
      </c>
      <c r="AK5902">
        <v>15.2580939664385</v>
      </c>
      <c r="AL5902">
        <v>81.722117683235595</v>
      </c>
      <c r="AM5902">
        <v>94.294785847174495</v>
      </c>
      <c r="AN5902">
        <v>0.99999995012123</v>
      </c>
    </row>
    <row r="5903" spans="1:40" x14ac:dyDescent="0.25">
      <c r="A5903" t="str">
        <f>"20190303162419341"</f>
        <v>20190303162419341</v>
      </c>
      <c r="B5903" t="str">
        <f>"1551601459330778"</f>
        <v>1551601459330778</v>
      </c>
      <c r="C5903" t="s">
        <v>40</v>
      </c>
      <c r="D5903">
        <v>5.3067149999999996</v>
      </c>
      <c r="E5903">
        <v>0.4838539</v>
      </c>
      <c r="F5903" t="s">
        <v>62</v>
      </c>
      <c r="G5903">
        <v>-253.4828</v>
      </c>
      <c r="H5903" s="1">
        <v>-1.0331009999999999E-6</v>
      </c>
      <c r="I5903">
        <v>-62.195270000000001</v>
      </c>
      <c r="J5903">
        <v>-268.78480000000002</v>
      </c>
      <c r="K5903">
        <v>1.1219939999999999</v>
      </c>
      <c r="L5903">
        <v>-62.719299999999997</v>
      </c>
      <c r="M5903">
        <v>0.99640169999999995</v>
      </c>
      <c r="N5903">
        <v>-9.536915E-3</v>
      </c>
      <c r="O5903">
        <v>-8.4217200000000006E-2</v>
      </c>
      <c r="P5903">
        <v>0.9908555</v>
      </c>
      <c r="Q5903">
        <v>0.13457759999999999</v>
      </c>
      <c r="R5903">
        <v>-9.7250759999999992E-3</v>
      </c>
      <c r="S5903">
        <v>3.0591740000000001</v>
      </c>
      <c r="T5903">
        <v>-0.2221438</v>
      </c>
      <c r="U5903">
        <v>0.10150149999999999</v>
      </c>
      <c r="V5903">
        <v>-7.4300649999999996E-2</v>
      </c>
      <c r="W5903">
        <v>0.1437175</v>
      </c>
      <c r="X5903">
        <v>0.98682559999999997</v>
      </c>
      <c r="Y5903">
        <v>-0.1167036</v>
      </c>
      <c r="Z5903">
        <v>1.008798E-2</v>
      </c>
      <c r="AA5903">
        <v>0.99311550000000004</v>
      </c>
      <c r="AB5903">
        <v>26</v>
      </c>
      <c r="AC5903">
        <v>15.302</v>
      </c>
      <c r="AD5903">
        <v>-1.121995033101</v>
      </c>
      <c r="AE5903">
        <v>0.52403000000000299</v>
      </c>
      <c r="AF5903">
        <v>-1.8012457428289901</v>
      </c>
      <c r="AG5903">
        <v>-1.121995033101</v>
      </c>
      <c r="AH5903">
        <v>15.122292015684399</v>
      </c>
      <c r="AI5903">
        <v>94.213595733315401</v>
      </c>
      <c r="AJ5903">
        <v>96.792609126988495</v>
      </c>
      <c r="AK5903">
        <v>15.2704641346618</v>
      </c>
      <c r="AL5903">
        <v>81.736980789247497</v>
      </c>
      <c r="AM5903">
        <v>94.305823059584696</v>
      </c>
      <c r="AN5903">
        <v>1.0000000356060099</v>
      </c>
    </row>
    <row r="5904" spans="1:40" x14ac:dyDescent="0.25">
      <c r="A5904" t="str">
        <f>"20190303162419362"</f>
        <v>20190303162419362</v>
      </c>
      <c r="B5904" t="str">
        <f>"1551601459351274"</f>
        <v>1551601459351274</v>
      </c>
      <c r="C5904" t="s">
        <v>40</v>
      </c>
      <c r="D5904">
        <v>5.5528009999999997</v>
      </c>
      <c r="E5904">
        <v>0.48634159999999999</v>
      </c>
      <c r="F5904" t="s">
        <v>62</v>
      </c>
      <c r="G5904">
        <v>-253.36750000000001</v>
      </c>
      <c r="H5904" s="1">
        <v>-9.8260810000000008E-7</v>
      </c>
      <c r="I5904">
        <v>-62.190649999999998</v>
      </c>
      <c r="J5904">
        <v>-268.54910000000001</v>
      </c>
      <c r="K5904">
        <v>1.1221319999999999</v>
      </c>
      <c r="L5904">
        <v>-62.736879999999999</v>
      </c>
      <c r="M5904">
        <v>0.99659249999999999</v>
      </c>
      <c r="N5904">
        <v>-9.4365109999999999E-3</v>
      </c>
      <c r="O5904">
        <v>-8.1942420000000002E-2</v>
      </c>
      <c r="P5904">
        <v>0.99083540000000003</v>
      </c>
      <c r="Q5904">
        <v>0.1349012</v>
      </c>
      <c r="R5904">
        <v>-6.8461629999999997E-3</v>
      </c>
      <c r="S5904">
        <v>3.0589599999999999</v>
      </c>
      <c r="T5904">
        <v>-0.22261619999999999</v>
      </c>
      <c r="U5904">
        <v>0.10488889999999999</v>
      </c>
      <c r="V5904">
        <v>-7.4962440000000005E-2</v>
      </c>
      <c r="W5904">
        <v>0.14391279999999901</v>
      </c>
      <c r="X5904">
        <v>0.98674700000000004</v>
      </c>
      <c r="Y5904">
        <v>-0.1155428</v>
      </c>
      <c r="Z5904">
        <v>9.9219749999999995E-3</v>
      </c>
      <c r="AA5904">
        <v>0.99325289999999999</v>
      </c>
      <c r="AB5904">
        <v>26</v>
      </c>
      <c r="AC5904">
        <v>15.1816</v>
      </c>
      <c r="AD5904">
        <v>-1.1221329826080999</v>
      </c>
      <c r="AE5904">
        <v>0.54623000000000799</v>
      </c>
      <c r="AF5904">
        <v>-1.77875989822048</v>
      </c>
      <c r="AG5904">
        <v>-1.1221329826080999</v>
      </c>
      <c r="AH5904">
        <v>15.003914700128901</v>
      </c>
      <c r="AI5904">
        <v>94.247516222679906</v>
      </c>
      <c r="AJ5904">
        <v>96.761032403765995</v>
      </c>
      <c r="AK5904">
        <v>15.150598190663001</v>
      </c>
      <c r="AL5904">
        <v>81.725672679451193</v>
      </c>
      <c r="AM5904">
        <v>94.344373227758993</v>
      </c>
      <c r="AN5904">
        <v>0.99999995171179501</v>
      </c>
    </row>
    <row r="5905" spans="1:40" x14ac:dyDescent="0.25">
      <c r="A5905" t="str">
        <f>"20190303162419375"</f>
        <v>20190303162419375</v>
      </c>
      <c r="B5905" t="str">
        <f>"1551601459361035"</f>
        <v>1551601459361035</v>
      </c>
      <c r="C5905" t="s">
        <v>40</v>
      </c>
      <c r="D5905">
        <v>5.547771</v>
      </c>
      <c r="E5905">
        <v>0.4847902</v>
      </c>
      <c r="F5905" t="s">
        <v>64</v>
      </c>
      <c r="G5905">
        <v>-238.83160000000001</v>
      </c>
      <c r="H5905" s="1">
        <v>-3.13796E-6</v>
      </c>
      <c r="I5905">
        <v>-61.84066</v>
      </c>
      <c r="J5905">
        <v>-268.39589999999998</v>
      </c>
      <c r="K5905">
        <v>1.1222110000000001</v>
      </c>
      <c r="L5905">
        <v>-62.74783</v>
      </c>
      <c r="M5905">
        <v>0.99672210000000006</v>
      </c>
      <c r="N5905">
        <v>-9.3794389999999998E-3</v>
      </c>
      <c r="O5905">
        <v>-8.0356360000000002E-2</v>
      </c>
      <c r="P5905">
        <v>0.99080849999999998</v>
      </c>
      <c r="Q5905">
        <v>0.13519300000000001</v>
      </c>
      <c r="R5905">
        <v>-4.6644829999999997E-3</v>
      </c>
      <c r="S5905">
        <v>3.0440670000000001</v>
      </c>
      <c r="T5905">
        <v>-0.1149442</v>
      </c>
      <c r="U5905">
        <v>9.1796879999999997E-2</v>
      </c>
      <c r="V5905">
        <v>-7.5591909999999998E-2</v>
      </c>
      <c r="W5905">
        <v>0.14413029999999999</v>
      </c>
      <c r="X5905">
        <v>0.98666730000000002</v>
      </c>
      <c r="Y5905">
        <v>-0.1102379</v>
      </c>
      <c r="Z5905">
        <v>4.8746579999999996E-3</v>
      </c>
      <c r="AA5905">
        <v>0.99389329999999998</v>
      </c>
      <c r="AB5905">
        <v>26</v>
      </c>
      <c r="AC5905">
        <v>29.5642999999999</v>
      </c>
      <c r="AD5905">
        <v>-1.1222141379599999</v>
      </c>
      <c r="AE5905">
        <v>0.90717000000000703</v>
      </c>
      <c r="AF5905">
        <v>-3.27530534177169</v>
      </c>
      <c r="AG5905">
        <v>-1.1222141379599999</v>
      </c>
      <c r="AH5905">
        <v>29.353532424038399</v>
      </c>
      <c r="AI5905">
        <v>92.175916693593095</v>
      </c>
      <c r="AJ5905">
        <v>96.366801741186293</v>
      </c>
      <c r="AK5905">
        <v>29.557010258521601</v>
      </c>
      <c r="AL5905">
        <v>81.713080132397593</v>
      </c>
      <c r="AM5905">
        <v>94.381064597646301</v>
      </c>
      <c r="AN5905">
        <v>1.00000002056241</v>
      </c>
    </row>
    <row r="5906" spans="1:40" x14ac:dyDescent="0.25">
      <c r="A5906" t="str">
        <f>"20190303162419387"</f>
        <v>20190303162419387</v>
      </c>
      <c r="B5906" t="str">
        <f>"1551601459380555"</f>
        <v>1551601459380555</v>
      </c>
      <c r="C5906" t="s">
        <v>40</v>
      </c>
      <c r="D5906">
        <v>5.6804129999999997</v>
      </c>
      <c r="E5906">
        <v>0.48395260000000001</v>
      </c>
      <c r="F5906" t="s">
        <v>64</v>
      </c>
      <c r="G5906">
        <v>-235.10599999999999</v>
      </c>
      <c r="H5906" s="1">
        <v>-1.4851829999999999E-6</v>
      </c>
      <c r="I5906">
        <v>-61.539630000000002</v>
      </c>
      <c r="J5906">
        <v>-268.25889999999998</v>
      </c>
      <c r="K5906">
        <v>1.1222810000000001</v>
      </c>
      <c r="L5906">
        <v>-62.757510000000003</v>
      </c>
      <c r="M5906">
        <v>0.99683869999999997</v>
      </c>
      <c r="N5906">
        <v>-9.3313059999999993E-3</v>
      </c>
      <c r="O5906">
        <v>-7.8903210000000001E-2</v>
      </c>
      <c r="P5906">
        <v>0.99076280000000005</v>
      </c>
      <c r="Q5906">
        <v>0.1355817</v>
      </c>
      <c r="R5906">
        <v>-2.6141070000000001E-3</v>
      </c>
      <c r="S5906">
        <v>3.042389</v>
      </c>
      <c r="T5906">
        <v>-0.1025597</v>
      </c>
      <c r="U5906">
        <v>0.1104126</v>
      </c>
      <c r="V5906">
        <v>-7.6218220000000003E-2</v>
      </c>
      <c r="W5906">
        <v>0.144455</v>
      </c>
      <c r="X5906">
        <v>0.98657159999999999</v>
      </c>
      <c r="Y5906">
        <v>-0.1149025</v>
      </c>
      <c r="Z5906">
        <v>4.3928769999999999E-3</v>
      </c>
      <c r="AA5906">
        <v>0.99336709999999995</v>
      </c>
      <c r="AB5906">
        <v>26</v>
      </c>
      <c r="AC5906">
        <v>33.152899999999903</v>
      </c>
      <c r="AD5906">
        <v>-1.12228248518299</v>
      </c>
      <c r="AE5906">
        <v>1.2178799999999901</v>
      </c>
      <c r="AF5906">
        <v>-3.8256884512548401</v>
      </c>
      <c r="AG5906">
        <v>-1.12228248518299</v>
      </c>
      <c r="AH5906">
        <v>32.915762175465403</v>
      </c>
      <c r="AI5906">
        <v>91.939729679549899</v>
      </c>
      <c r="AJ5906">
        <v>96.6295506858213</v>
      </c>
      <c r="AK5906">
        <v>33.156338906676901</v>
      </c>
      <c r="AL5906">
        <v>81.694279214494998</v>
      </c>
      <c r="AM5906">
        <v>94.417647227250995</v>
      </c>
      <c r="AN5906">
        <v>0.99999999300576403</v>
      </c>
    </row>
    <row r="5907" spans="1:40" x14ac:dyDescent="0.25">
      <c r="A5907" t="str">
        <f>"20190303162419398"</f>
        <v>20190303162419398</v>
      </c>
      <c r="B5907" t="str">
        <f>"1551601459391290"</f>
        <v>1551601459391290</v>
      </c>
      <c r="C5907" t="s">
        <v>40</v>
      </c>
      <c r="D5907">
        <v>5.5545229999999997</v>
      </c>
      <c r="E5907">
        <v>0.48378179999999998</v>
      </c>
      <c r="F5907" t="s">
        <v>65</v>
      </c>
      <c r="G5907">
        <v>-227.16380000000001</v>
      </c>
      <c r="H5907" s="1">
        <v>-2.3486799999999999E-6</v>
      </c>
      <c r="I5907">
        <v>-61.09149</v>
      </c>
      <c r="J5907">
        <v>-268.12470000000002</v>
      </c>
      <c r="K5907">
        <v>1.1223430000000001</v>
      </c>
      <c r="L5907">
        <v>-62.766689999999997</v>
      </c>
      <c r="M5907">
        <v>0.99695460000000002</v>
      </c>
      <c r="N5907">
        <v>-9.2885239999999994E-3</v>
      </c>
      <c r="O5907">
        <v>-7.7429020000000001E-2</v>
      </c>
      <c r="P5907">
        <v>0.99063659999999998</v>
      </c>
      <c r="Q5907">
        <v>0.13652259999999999</v>
      </c>
      <c r="R5907">
        <v>-8.0008990000000001E-4</v>
      </c>
      <c r="S5907">
        <v>3.0396730000000001</v>
      </c>
      <c r="T5907">
        <v>-8.3011630000000003E-2</v>
      </c>
      <c r="U5907">
        <v>0.12323000000000001</v>
      </c>
      <c r="V5907">
        <v>-7.658218E-2</v>
      </c>
      <c r="W5907">
        <v>0.1453391</v>
      </c>
      <c r="X5907">
        <v>0.98641350000000005</v>
      </c>
      <c r="Y5907">
        <v>-0.1176832</v>
      </c>
      <c r="Z5907">
        <v>3.5463209999999998E-3</v>
      </c>
      <c r="AA5907">
        <v>0.99304490000000001</v>
      </c>
      <c r="AB5907">
        <v>26</v>
      </c>
      <c r="AC5907">
        <v>40.960900000000002</v>
      </c>
      <c r="AD5907">
        <v>-1.1223453486799999</v>
      </c>
      <c r="AE5907">
        <v>1.6752</v>
      </c>
      <c r="AF5907">
        <v>-4.8382431536943997</v>
      </c>
      <c r="AG5907">
        <v>-1.1223453486799999</v>
      </c>
      <c r="AH5907">
        <v>40.6777155024227</v>
      </c>
      <c r="AI5907">
        <v>91.569399520243905</v>
      </c>
      <c r="AJ5907">
        <v>96.782944091482904</v>
      </c>
      <c r="AK5907">
        <v>40.979809594384598</v>
      </c>
      <c r="AL5907">
        <v>81.643083276648895</v>
      </c>
      <c r="AM5907">
        <v>94.439367008240396</v>
      </c>
      <c r="AN5907">
        <v>0.99999993863230396</v>
      </c>
    </row>
    <row r="5908" spans="1:40" x14ac:dyDescent="0.25">
      <c r="A5908" t="str">
        <f>"20190303162419410"</f>
        <v>20190303162419410</v>
      </c>
      <c r="B5908" t="str">
        <f>"1551601459401051"</f>
        <v>1551601459401051</v>
      </c>
      <c r="C5908" t="s">
        <v>40</v>
      </c>
      <c r="D5908">
        <v>5.4901150000000003</v>
      </c>
      <c r="E5908">
        <v>0.48384100000000002</v>
      </c>
      <c r="F5908" t="s">
        <v>65</v>
      </c>
      <c r="G5908">
        <v>-225.47319999999999</v>
      </c>
      <c r="H5908" s="1">
        <v>-1.588641E-6</v>
      </c>
      <c r="I5908">
        <v>-60.935119999999998</v>
      </c>
      <c r="J5908">
        <v>-267.98739999999998</v>
      </c>
      <c r="K5908">
        <v>1.1224050000000001</v>
      </c>
      <c r="L5908">
        <v>-62.775820000000003</v>
      </c>
      <c r="M5908">
        <v>0.99707389999999996</v>
      </c>
      <c r="N5908">
        <v>-9.2486760000000008E-3</v>
      </c>
      <c r="O5908">
        <v>-7.5882749999999999E-2</v>
      </c>
      <c r="P5908">
        <v>0.9905332</v>
      </c>
      <c r="Q5908">
        <v>0.13727129999999901</v>
      </c>
      <c r="R5908">
        <v>8.9461399999999996E-4</v>
      </c>
      <c r="S5908">
        <v>3.0394899999999998</v>
      </c>
      <c r="T5908">
        <v>-7.9982040000000004E-2</v>
      </c>
      <c r="U5908">
        <v>0.13052369999999999</v>
      </c>
      <c r="V5908">
        <v>-7.6757210000000006E-2</v>
      </c>
      <c r="W5908">
        <v>0.146035</v>
      </c>
      <c r="X5908">
        <v>0.98629719999999999</v>
      </c>
      <c r="Y5908">
        <v>-0.1185291</v>
      </c>
      <c r="Z5908">
        <v>3.4002889999999999E-3</v>
      </c>
      <c r="AA5908">
        <v>0.99294479999999996</v>
      </c>
      <c r="AB5908">
        <v>26</v>
      </c>
      <c r="AC5908">
        <v>42.514199999999903</v>
      </c>
      <c r="AD5908">
        <v>-1.122406588641</v>
      </c>
      <c r="AE5908">
        <v>1.84069999999999</v>
      </c>
      <c r="AF5908">
        <v>-5.0581056905061104</v>
      </c>
      <c r="AG5908">
        <v>-1.122406588641</v>
      </c>
      <c r="AH5908">
        <v>42.222552963077497</v>
      </c>
      <c r="AI5908">
        <v>91.511935850204907</v>
      </c>
      <c r="AJ5908">
        <v>96.831267756309202</v>
      </c>
      <c r="AK5908">
        <v>42.539254911745203</v>
      </c>
      <c r="AL5908">
        <v>81.602781906896595</v>
      </c>
      <c r="AM5908">
        <v>94.449995122332098</v>
      </c>
      <c r="AN5908">
        <v>1.00000002861991</v>
      </c>
    </row>
    <row r="5909" spans="1:40" x14ac:dyDescent="0.25">
      <c r="A5909" t="str">
        <f>"20190303162419421"</f>
        <v>20190303162419421</v>
      </c>
      <c r="B5909" t="str">
        <f>"1551601459410812"</f>
        <v>1551601459410812</v>
      </c>
      <c r="C5909" t="s">
        <v>40</v>
      </c>
      <c r="D5909">
        <v>5.4888399999999997</v>
      </c>
      <c r="E5909">
        <v>0.48379810000000001</v>
      </c>
      <c r="F5909" t="s">
        <v>65</v>
      </c>
      <c r="G5909">
        <v>-225.6403</v>
      </c>
      <c r="H5909" s="1">
        <v>-1.6485810000000001E-6</v>
      </c>
      <c r="I5909">
        <v>-60.882170000000002</v>
      </c>
      <c r="J5909">
        <v>-267.85289999999998</v>
      </c>
      <c r="K5909">
        <v>1.1224590000000001</v>
      </c>
      <c r="L5909">
        <v>-62.784579999999998</v>
      </c>
      <c r="M5909">
        <v>0.99719009999999997</v>
      </c>
      <c r="N5909">
        <v>-9.2115749999999996E-3</v>
      </c>
      <c r="O5909">
        <v>-7.4345809999999998E-2</v>
      </c>
      <c r="P5909">
        <v>0.99044500000000002</v>
      </c>
      <c r="Q5909">
        <v>0.13789000000000001</v>
      </c>
      <c r="R5909">
        <v>2.3080090000000002E-3</v>
      </c>
      <c r="S5909">
        <v>3.0396730000000001</v>
      </c>
      <c r="T5909">
        <v>-8.0566289999999999E-2</v>
      </c>
      <c r="U5909">
        <v>0.1359253</v>
      </c>
      <c r="V5909">
        <v>-7.6660829999999999E-2</v>
      </c>
      <c r="W5909">
        <v>0.14660670000000001</v>
      </c>
      <c r="X5909">
        <v>0.98621979999999998</v>
      </c>
      <c r="Y5909">
        <v>-0.1187563</v>
      </c>
      <c r="Z5909">
        <v>3.4041599999999998E-3</v>
      </c>
      <c r="AA5909">
        <v>0.99291759999999996</v>
      </c>
      <c r="AB5909">
        <v>26</v>
      </c>
      <c r="AC5909">
        <v>42.212599999999902</v>
      </c>
      <c r="AD5909">
        <v>-1.122460648581</v>
      </c>
      <c r="AE5909">
        <v>1.9024100000000099</v>
      </c>
      <c r="AF5909">
        <v>-5.0320566119840802</v>
      </c>
      <c r="AG5909">
        <v>-1.122460648581</v>
      </c>
      <c r="AH5909">
        <v>41.924742069642697</v>
      </c>
      <c r="AI5909">
        <v>91.522702781201801</v>
      </c>
      <c r="AJ5909">
        <v>96.844238610687796</v>
      </c>
      <c r="AK5909">
        <v>42.240567103909697</v>
      </c>
      <c r="AL5909">
        <v>81.569668865526594</v>
      </c>
      <c r="AM5909">
        <v>94.4447773060255</v>
      </c>
      <c r="AN5909">
        <v>0.99999995062660796</v>
      </c>
    </row>
    <row r="5910" spans="1:40" x14ac:dyDescent="0.25">
      <c r="A5910" t="str">
        <f>"20190303162419432"</f>
        <v>20190303162419432</v>
      </c>
      <c r="B5910" t="str">
        <f>"1551601459420571"</f>
        <v>1551601459420571</v>
      </c>
      <c r="C5910" t="s">
        <v>40</v>
      </c>
      <c r="D5910">
        <v>5.4199390000000003</v>
      </c>
      <c r="E5910">
        <v>0.48352499999999998</v>
      </c>
      <c r="F5910" t="s">
        <v>65</v>
      </c>
      <c r="G5910">
        <v>-224.61529999999999</v>
      </c>
      <c r="H5910" s="1">
        <v>-1.184551E-6</v>
      </c>
      <c r="I5910">
        <v>-60.7729199999999</v>
      </c>
      <c r="J5910">
        <v>-267.73329999999999</v>
      </c>
      <c r="K5910">
        <v>1.1224989999999999</v>
      </c>
      <c r="L5910">
        <v>-62.792050000000003</v>
      </c>
      <c r="M5910">
        <v>0.99729420000000002</v>
      </c>
      <c r="N5910">
        <v>-9.1827220000000008E-3</v>
      </c>
      <c r="O5910">
        <v>-7.2938429999999999E-2</v>
      </c>
      <c r="P5910">
        <v>0.99041069999999998</v>
      </c>
      <c r="Q5910">
        <v>0.13812369999999999</v>
      </c>
      <c r="R5910">
        <v>3.0012250000000002E-3</v>
      </c>
      <c r="S5910">
        <v>3.0395810000000001</v>
      </c>
      <c r="T5910">
        <v>-7.8908439999999996E-2</v>
      </c>
      <c r="U5910">
        <v>0.1414185</v>
      </c>
      <c r="V5910">
        <v>-7.5972880000000007E-2</v>
      </c>
      <c r="W5910">
        <v>0.1468071</v>
      </c>
      <c r="X5910">
        <v>0.98624319999999999</v>
      </c>
      <c r="Y5910">
        <v>-0.1191497</v>
      </c>
      <c r="Z5910">
        <v>3.3151639999999998E-3</v>
      </c>
      <c r="AA5910">
        <v>0.99287069999999999</v>
      </c>
      <c r="AB5910">
        <v>26</v>
      </c>
      <c r="AC5910">
        <v>43.118000000000002</v>
      </c>
      <c r="AD5910">
        <v>-1.1225001845510001</v>
      </c>
      <c r="AE5910">
        <v>2.0191300000000099</v>
      </c>
      <c r="AF5910">
        <v>-5.1553569335582701</v>
      </c>
      <c r="AG5910">
        <v>-1.1225001845510001</v>
      </c>
      <c r="AH5910">
        <v>42.826903290269399</v>
      </c>
      <c r="AI5910">
        <v>91.490631803067998</v>
      </c>
      <c r="AJ5910">
        <v>96.864043651786304</v>
      </c>
      <c r="AK5910">
        <v>43.150682001687898</v>
      </c>
      <c r="AL5910">
        <v>81.558060989161007</v>
      </c>
      <c r="AM5910">
        <v>94.404943719434499</v>
      </c>
      <c r="AN5910">
        <v>0.99999992632606904</v>
      </c>
    </row>
    <row r="5911" spans="1:40" x14ac:dyDescent="0.25">
      <c r="A5911" t="str">
        <f>"20190303162419449"</f>
        <v>20190303162419449</v>
      </c>
      <c r="B5911" t="str">
        <f>"1551601459441066"</f>
        <v>1551601459441066</v>
      </c>
      <c r="C5911" t="s">
        <v>40</v>
      </c>
      <c r="D5911">
        <v>5.4328110000000001</v>
      </c>
      <c r="E5911">
        <v>0.48398259999999999</v>
      </c>
      <c r="F5911" t="s">
        <v>65</v>
      </c>
      <c r="G5911">
        <v>-223.09350000000001</v>
      </c>
      <c r="H5911" s="1">
        <v>-5.0126759999999996E-7</v>
      </c>
      <c r="I5911">
        <v>-60.636060000000001</v>
      </c>
      <c r="J5911">
        <v>-267.5333</v>
      </c>
      <c r="K5911">
        <v>1.1225579999999999</v>
      </c>
      <c r="L5911">
        <v>-62.804229999999997</v>
      </c>
      <c r="M5911">
        <v>0.99746619999999997</v>
      </c>
      <c r="N5911">
        <v>-9.1373649999999997E-3</v>
      </c>
      <c r="O5911">
        <v>-7.0553879999999999E-2</v>
      </c>
      <c r="P5911">
        <v>0.99051330000000004</v>
      </c>
      <c r="Q5911">
        <v>0.13734060000000001</v>
      </c>
      <c r="R5911">
        <v>4.6094869999999998E-3</v>
      </c>
      <c r="S5911">
        <v>3.0392760000000001</v>
      </c>
      <c r="T5911">
        <v>-7.6424720000000002E-2</v>
      </c>
      <c r="U5911">
        <v>0.14678959999999999</v>
      </c>
      <c r="V5911">
        <v>-7.5244389999999994E-2</v>
      </c>
      <c r="W5911">
        <v>0.1459713</v>
      </c>
      <c r="X5911">
        <v>0.98642319999999994</v>
      </c>
      <c r="Y5911">
        <v>-0.11853569999999999</v>
      </c>
      <c r="Z5911">
        <v>3.1593099999999998E-3</v>
      </c>
      <c r="AA5911">
        <v>0.99294479999999996</v>
      </c>
      <c r="AB5911">
        <v>26</v>
      </c>
      <c r="AC5911">
        <v>44.439799999999899</v>
      </c>
      <c r="AD5911">
        <v>-1.1225585012676</v>
      </c>
      <c r="AE5911">
        <v>2.1681699999999999</v>
      </c>
      <c r="AF5911">
        <v>-5.2949268118909396</v>
      </c>
      <c r="AG5911">
        <v>-1.1225585012676</v>
      </c>
      <c r="AH5911">
        <v>44.147963310861599</v>
      </c>
      <c r="AI5911">
        <v>91.446196711386094</v>
      </c>
      <c r="AJ5911">
        <v>96.839154267375406</v>
      </c>
      <c r="AK5911">
        <v>44.478523492009401</v>
      </c>
      <c r="AL5911">
        <v>81.606471227864404</v>
      </c>
      <c r="AM5911">
        <v>94.362076338320804</v>
      </c>
      <c r="AN5911">
        <v>1.0000000340741999</v>
      </c>
    </row>
    <row r="5912" spans="1:40" x14ac:dyDescent="0.25">
      <c r="A5912" t="str">
        <f>"20190303162419460"</f>
        <v>20190303162419460</v>
      </c>
      <c r="B5912" t="str">
        <f>"1551601459450828"</f>
        <v>1551601459450828</v>
      </c>
      <c r="C5912" t="s">
        <v>40</v>
      </c>
      <c r="D5912">
        <v>5.3742900000000002</v>
      </c>
      <c r="E5912">
        <v>0.48432150000000002</v>
      </c>
      <c r="F5912" t="s">
        <v>65</v>
      </c>
      <c r="G5912">
        <v>-222.7209</v>
      </c>
      <c r="H5912" s="1">
        <v>-3.3274639999999998E-7</v>
      </c>
      <c r="I5912">
        <v>-60.597110000000001</v>
      </c>
      <c r="J5912">
        <v>-267.40649999999999</v>
      </c>
      <c r="K5912">
        <v>1.122593</v>
      </c>
      <c r="L5912">
        <v>-62.811709999999998</v>
      </c>
      <c r="M5912">
        <v>0.99757390000000001</v>
      </c>
      <c r="N5912">
        <v>-9.1110289999999997E-3</v>
      </c>
      <c r="O5912">
        <v>-6.9018969999999999E-2</v>
      </c>
      <c r="P5912">
        <v>0.99061359999999998</v>
      </c>
      <c r="Q5912">
        <v>0.13656879999999999</v>
      </c>
      <c r="R5912">
        <v>5.8185049999999999E-3</v>
      </c>
      <c r="S5912">
        <v>3.038605</v>
      </c>
      <c r="T5912">
        <v>-7.6117519999999994E-2</v>
      </c>
      <c r="U5912">
        <v>0.14965819999999999</v>
      </c>
      <c r="V5912">
        <v>-7.4948059999999997E-2</v>
      </c>
      <c r="W5912">
        <v>0.14516879999999999</v>
      </c>
      <c r="X5912">
        <v>0.9865642</v>
      </c>
      <c r="Y5912">
        <v>-0.1179545</v>
      </c>
      <c r="Z5912">
        <v>3.1128670000000001E-3</v>
      </c>
      <c r="AA5912">
        <v>0.99301410000000001</v>
      </c>
      <c r="AB5912">
        <v>26</v>
      </c>
      <c r="AC5912">
        <v>44.685600000000001</v>
      </c>
      <c r="AD5912">
        <v>-1.1225933327463999</v>
      </c>
      <c r="AE5912">
        <v>2.2145999999999901</v>
      </c>
      <c r="AF5912">
        <v>-5.2902695311613197</v>
      </c>
      <c r="AG5912">
        <v>-1.1225933327463999</v>
      </c>
      <c r="AH5912">
        <v>44.398224011932101</v>
      </c>
      <c r="AI5912">
        <v>91.438225245689594</v>
      </c>
      <c r="AJ5912">
        <v>96.7950399140489</v>
      </c>
      <c r="AK5912">
        <v>44.726384415876502</v>
      </c>
      <c r="AL5912">
        <v>81.652946332085804</v>
      </c>
      <c r="AM5912">
        <v>94.344344770987306</v>
      </c>
      <c r="AN5912">
        <v>1.00000005645642</v>
      </c>
    </row>
    <row r="5913" spans="1:40" x14ac:dyDescent="0.25">
      <c r="A5913" t="str">
        <f>"20190303162419473"</f>
        <v>20190303162419473</v>
      </c>
      <c r="B5913" t="str">
        <f>"1551601459460587"</f>
        <v>1551601459460587</v>
      </c>
      <c r="C5913" t="s">
        <v>40</v>
      </c>
      <c r="D5913">
        <v>5.3677739999999998</v>
      </c>
      <c r="E5913">
        <v>0.48464400000000002</v>
      </c>
      <c r="F5913" t="s">
        <v>65</v>
      </c>
      <c r="G5913">
        <v>-223.35990000000001</v>
      </c>
      <c r="H5913" s="1">
        <v>-6.11067E-7</v>
      </c>
      <c r="I5913">
        <v>-60.615920000000003</v>
      </c>
      <c r="J5913">
        <v>-267.26650000000001</v>
      </c>
      <c r="K5913">
        <v>1.1226259999999999</v>
      </c>
      <c r="L5913">
        <v>-62.819609999999997</v>
      </c>
      <c r="M5913">
        <v>0.99769180000000002</v>
      </c>
      <c r="N5913">
        <v>-9.0852789999999999E-3</v>
      </c>
      <c r="O5913">
        <v>-6.7295389999999997E-2</v>
      </c>
      <c r="P5913">
        <v>0.99074269999999998</v>
      </c>
      <c r="Q5913">
        <v>0.135539299999999</v>
      </c>
      <c r="R5913">
        <v>7.6257139999999996E-3</v>
      </c>
      <c r="S5913">
        <v>3.038208</v>
      </c>
      <c r="T5913">
        <v>-7.7433230000000006E-2</v>
      </c>
      <c r="U5913">
        <v>0.1514587</v>
      </c>
      <c r="V5913">
        <v>-7.5060989999999994E-2</v>
      </c>
      <c r="W5913">
        <v>0.14410770000000001</v>
      </c>
      <c r="X5913">
        <v>0.98671109999999995</v>
      </c>
      <c r="Y5913">
        <v>-0.116831</v>
      </c>
      <c r="Z5913">
        <v>3.1212879999999998E-3</v>
      </c>
      <c r="AA5913">
        <v>0.99314690000000005</v>
      </c>
      <c r="AB5913">
        <v>26</v>
      </c>
      <c r="AC5913">
        <v>43.906599999999997</v>
      </c>
      <c r="AD5913">
        <v>-1.122626611067</v>
      </c>
      <c r="AE5913">
        <v>2.2036899999999999</v>
      </c>
      <c r="AF5913">
        <v>-5.1501690922024999</v>
      </c>
      <c r="AG5913">
        <v>-1.122626611067</v>
      </c>
      <c r="AH5913">
        <v>43.630303848016901</v>
      </c>
      <c r="AI5913">
        <v>91.463761937176002</v>
      </c>
      <c r="AJ5913">
        <v>96.732104510084696</v>
      </c>
      <c r="AK5913">
        <v>43.947559045485498</v>
      </c>
      <c r="AL5913">
        <v>81.714388407206002</v>
      </c>
      <c r="AM5913">
        <v>94.350220348993005</v>
      </c>
      <c r="AN5913">
        <v>0.99999998814113999</v>
      </c>
    </row>
    <row r="5914" spans="1:40" x14ac:dyDescent="0.25">
      <c r="A5914" t="str">
        <f>"20190303162419484"</f>
        <v>20190303162419484</v>
      </c>
      <c r="B5914" t="str">
        <f>"1551601459470346"</f>
        <v>1551601459470346</v>
      </c>
      <c r="C5914" t="s">
        <v>40</v>
      </c>
      <c r="D5914">
        <v>5.3638110000000001</v>
      </c>
      <c r="E5914">
        <v>0.48495549999999998</v>
      </c>
      <c r="F5914" t="s">
        <v>65</v>
      </c>
      <c r="G5914">
        <v>-224.24680000000001</v>
      </c>
      <c r="H5914" s="1">
        <v>-9.9213279999999997E-7</v>
      </c>
      <c r="I5914">
        <v>-60.618470000000002</v>
      </c>
      <c r="J5914">
        <v>-267.13580000000002</v>
      </c>
      <c r="K5914">
        <v>1.1226499999999999</v>
      </c>
      <c r="L5914">
        <v>-62.826900000000002</v>
      </c>
      <c r="M5914">
        <v>0.99779980000000001</v>
      </c>
      <c r="N5914">
        <v>-9.0621539999999993E-3</v>
      </c>
      <c r="O5914">
        <v>-6.5678509999999996E-2</v>
      </c>
      <c r="P5914">
        <v>0.99086759999999996</v>
      </c>
      <c r="Q5914">
        <v>0.13451959999999999</v>
      </c>
      <c r="R5914">
        <v>9.2809369999999995E-3</v>
      </c>
      <c r="S5914">
        <v>3.0376889999999999</v>
      </c>
      <c r="T5914">
        <v>-7.9270480000000004E-2</v>
      </c>
      <c r="U5914">
        <v>0.15542600000000001</v>
      </c>
      <c r="V5914">
        <v>-7.5126139999999994E-2</v>
      </c>
      <c r="W5914">
        <v>0.1430601</v>
      </c>
      <c r="X5914">
        <v>0.98685860000000003</v>
      </c>
      <c r="Y5914">
        <v>-0.11652120000000001</v>
      </c>
      <c r="Z5914">
        <v>3.1650290000000002E-3</v>
      </c>
      <c r="AA5914">
        <v>0.99318309999999999</v>
      </c>
      <c r="AB5914">
        <v>26</v>
      </c>
      <c r="AC5914">
        <v>42.889000000000003</v>
      </c>
      <c r="AD5914">
        <v>-1.1226509921327901</v>
      </c>
      <c r="AE5914">
        <v>2.2084299999999999</v>
      </c>
      <c r="AF5914">
        <v>-5.0172336467314098</v>
      </c>
      <c r="AG5914">
        <v>-1.1226509921327901</v>
      </c>
      <c r="AH5914">
        <v>42.6222094868887</v>
      </c>
      <c r="AI5914">
        <v>91.498456496540499</v>
      </c>
      <c r="AJ5914">
        <v>96.713623681717493</v>
      </c>
      <c r="AK5914">
        <v>42.931174224102698</v>
      </c>
      <c r="AL5914">
        <v>81.775040135540095</v>
      </c>
      <c r="AM5914">
        <v>94.353333394441805</v>
      </c>
      <c r="AN5914">
        <v>1.0000000127586299</v>
      </c>
    </row>
    <row r="5915" spans="1:40" x14ac:dyDescent="0.25">
      <c r="A5915" t="str">
        <f>"20190303162419494"</f>
        <v>20190303162419494</v>
      </c>
      <c r="B5915" t="str">
        <f>"1551601459490843"</f>
        <v>1551601459490843</v>
      </c>
      <c r="C5915" t="s">
        <v>40</v>
      </c>
      <c r="D5915">
        <v>5.3670010000000001</v>
      </c>
      <c r="E5915">
        <v>0.4855544</v>
      </c>
      <c r="F5915" t="s">
        <v>65</v>
      </c>
      <c r="G5915">
        <v>-225.35650000000001</v>
      </c>
      <c r="H5915" s="1">
        <v>-1.4723409999999999E-6</v>
      </c>
      <c r="I5915">
        <v>-60.637279999999997</v>
      </c>
      <c r="J5915">
        <v>-267.00439999999998</v>
      </c>
      <c r="K5915">
        <v>1.1226700000000001</v>
      </c>
      <c r="L5915">
        <v>-62.833829999999999</v>
      </c>
      <c r="M5915">
        <v>0.99790710000000005</v>
      </c>
      <c r="N5915">
        <v>-9.0418809999999999E-3</v>
      </c>
      <c r="O5915">
        <v>-6.4030569999999995E-2</v>
      </c>
      <c r="P5915">
        <v>0.99099000000000004</v>
      </c>
      <c r="Q5915">
        <v>0.133498799999999</v>
      </c>
      <c r="R5915">
        <v>1.0816559999999999E-2</v>
      </c>
      <c r="S5915">
        <v>3.0372309999999998</v>
      </c>
      <c r="T5915">
        <v>-8.16133E-2</v>
      </c>
      <c r="U5915">
        <v>0.15917970000000001</v>
      </c>
      <c r="V5915">
        <v>-7.5038250000000001E-2</v>
      </c>
      <c r="W5915">
        <v>0.14201610000000001</v>
      </c>
      <c r="X5915">
        <v>0.98701609999999995</v>
      </c>
      <c r="Y5915">
        <v>-0.11610959999999999</v>
      </c>
      <c r="Z5915">
        <v>3.2244130000000002E-3</v>
      </c>
      <c r="AA5915">
        <v>0.99323119999999998</v>
      </c>
      <c r="AB5915">
        <v>26</v>
      </c>
      <c r="AC5915">
        <v>41.6478999999999</v>
      </c>
      <c r="AD5915">
        <v>-1.1226714723410001</v>
      </c>
      <c r="AE5915">
        <v>2.1965499999999998</v>
      </c>
      <c r="AF5915">
        <v>-4.8553713156027296</v>
      </c>
      <c r="AG5915">
        <v>-1.1226714723410001</v>
      </c>
      <c r="AH5915">
        <v>41.391783369594201</v>
      </c>
      <c r="AI5915">
        <v>91.543080555328103</v>
      </c>
      <c r="AJ5915">
        <v>96.690379678862996</v>
      </c>
      <c r="AK5915">
        <v>41.690703428493499</v>
      </c>
      <c r="AL5915">
        <v>81.835474281157602</v>
      </c>
      <c r="AM5915">
        <v>94.347568778539099</v>
      </c>
      <c r="AN5915">
        <v>1.0000000466407399</v>
      </c>
    </row>
    <row r="5916" spans="1:40" x14ac:dyDescent="0.25">
      <c r="A5916" t="str">
        <f>"20190303162419506"</f>
        <v>20190303162419506</v>
      </c>
      <c r="B5916" t="str">
        <f>"1551601459500603"</f>
        <v>1551601459500603</v>
      </c>
      <c r="C5916" t="s">
        <v>40</v>
      </c>
      <c r="D5916">
        <v>5.3702680000000003</v>
      </c>
      <c r="E5916">
        <v>0.4858556</v>
      </c>
      <c r="F5916" t="s">
        <v>65</v>
      </c>
      <c r="G5916">
        <v>-226.04490000000001</v>
      </c>
      <c r="H5916" s="1">
        <v>-1.7754190000000001E-6</v>
      </c>
      <c r="I5916">
        <v>-60.671999999999997</v>
      </c>
      <c r="J5916">
        <v>-266.87729999999999</v>
      </c>
      <c r="K5916">
        <v>1.1226860000000001</v>
      </c>
      <c r="L5916">
        <v>-62.840389999999999</v>
      </c>
      <c r="M5916">
        <v>0.99800849999999997</v>
      </c>
      <c r="N5916">
        <v>-9.0230589999999999E-3</v>
      </c>
      <c r="O5916">
        <v>-6.2433179999999998E-2</v>
      </c>
      <c r="P5916">
        <v>0.99105089999999996</v>
      </c>
      <c r="Q5916">
        <v>0.1329283</v>
      </c>
      <c r="R5916">
        <v>1.218555E-2</v>
      </c>
      <c r="S5916">
        <v>3.036743</v>
      </c>
      <c r="T5916">
        <v>-8.3235139999999999E-2</v>
      </c>
      <c r="U5916">
        <v>0.16027829999999901</v>
      </c>
      <c r="V5916">
        <v>-7.4830980000000005E-2</v>
      </c>
      <c r="W5916">
        <v>0.14142469999999999</v>
      </c>
      <c r="X5916">
        <v>0.98711669999999996</v>
      </c>
      <c r="Y5916">
        <v>-0.11488470000000001</v>
      </c>
      <c r="Z5916">
        <v>3.2385539999999998E-3</v>
      </c>
      <c r="AA5916">
        <v>0.99337359999999997</v>
      </c>
      <c r="AB5916">
        <v>26</v>
      </c>
      <c r="AC5916">
        <v>40.8323999999999</v>
      </c>
      <c r="AD5916">
        <v>-1.1226877754189999</v>
      </c>
      <c r="AE5916">
        <v>2.16839</v>
      </c>
      <c r="AF5916">
        <v>-4.7100088025976099</v>
      </c>
      <c r="AG5916">
        <v>-1.1226877754189999</v>
      </c>
      <c r="AH5916">
        <v>40.586754169419002</v>
      </c>
      <c r="AI5916">
        <v>91.573922026264498</v>
      </c>
      <c r="AJ5916">
        <v>96.619447601874498</v>
      </c>
      <c r="AK5916">
        <v>40.874554734828301</v>
      </c>
      <c r="AL5916">
        <v>81.869704120344593</v>
      </c>
      <c r="AM5916">
        <v>94.335165644527507</v>
      </c>
      <c r="AN5916">
        <v>1.00000000037837</v>
      </c>
    </row>
    <row r="5917" spans="1:40" x14ac:dyDescent="0.25">
      <c r="A5917" t="str">
        <f>"20190303162419518"</f>
        <v>20190303162419518</v>
      </c>
      <c r="B5917" t="str">
        <f>"1551601459510363"</f>
        <v>1551601459510363</v>
      </c>
      <c r="C5917" t="s">
        <v>40</v>
      </c>
      <c r="D5917">
        <v>5.3726450000000003</v>
      </c>
      <c r="E5917">
        <v>0.48611169999999998</v>
      </c>
      <c r="F5917" t="s">
        <v>65</v>
      </c>
      <c r="G5917">
        <v>-226.3494</v>
      </c>
      <c r="H5917" s="1">
        <v>-1.9039019999999999E-6</v>
      </c>
      <c r="I5917">
        <v>-60.662390000000002</v>
      </c>
      <c r="J5917">
        <v>-266.72989999999999</v>
      </c>
      <c r="K5917">
        <v>1.1227020000000001</v>
      </c>
      <c r="L5917">
        <v>-62.847720000000002</v>
      </c>
      <c r="M5917">
        <v>0.9981236</v>
      </c>
      <c r="N5917">
        <v>-9.0033930000000002E-3</v>
      </c>
      <c r="O5917">
        <v>-6.0566399999999999E-2</v>
      </c>
      <c r="P5917">
        <v>0.99105430000000005</v>
      </c>
      <c r="Q5917">
        <v>0.1327306</v>
      </c>
      <c r="R5917">
        <v>1.3935100000000001E-2</v>
      </c>
      <c r="S5917">
        <v>3.0363769999999999</v>
      </c>
      <c r="T5917">
        <v>-8.4112409999999999E-2</v>
      </c>
      <c r="U5917">
        <v>0.1631775</v>
      </c>
      <c r="V5917">
        <v>-7.4735449999999995E-2</v>
      </c>
      <c r="W5917">
        <v>0.14120469999999999</v>
      </c>
      <c r="X5917">
        <v>0.98715540000000002</v>
      </c>
      <c r="Y5917">
        <v>-0.1139781</v>
      </c>
      <c r="Z5917">
        <v>3.2221379999999998E-3</v>
      </c>
      <c r="AA5917">
        <v>0.99347810000000003</v>
      </c>
      <c r="AB5917">
        <v>26</v>
      </c>
      <c r="AC5917">
        <v>40.380499999999898</v>
      </c>
      <c r="AD5917">
        <v>-1.1227039039019999</v>
      </c>
      <c r="AE5917">
        <v>2.1853299999999898</v>
      </c>
      <c r="AF5917">
        <v>-4.6235547086274398</v>
      </c>
      <c r="AG5917">
        <v>-1.1227039039019999</v>
      </c>
      <c r="AH5917">
        <v>40.143058836396101</v>
      </c>
      <c r="AI5917">
        <v>91.591490363954193</v>
      </c>
      <c r="AJ5917">
        <v>96.570201832529193</v>
      </c>
      <c r="AK5917">
        <v>40.424038577829698</v>
      </c>
      <c r="AL5917">
        <v>81.882436715274807</v>
      </c>
      <c r="AM5917">
        <v>94.329483292856693</v>
      </c>
      <c r="AN5917">
        <v>0.99999996926897505</v>
      </c>
    </row>
    <row r="5918" spans="1:40" x14ac:dyDescent="0.25">
      <c r="A5918" t="str">
        <f>"20190303162419528"</f>
        <v>20190303162419528</v>
      </c>
      <c r="B5918" t="str">
        <f>"1551601459521099"</f>
        <v>1551601459521099</v>
      </c>
      <c r="C5918" t="s">
        <v>40</v>
      </c>
      <c r="D5918">
        <v>5.31271</v>
      </c>
      <c r="E5918">
        <v>0.48636170000000001</v>
      </c>
      <c r="F5918" t="s">
        <v>65</v>
      </c>
      <c r="G5918">
        <v>-225.82660000000001</v>
      </c>
      <c r="H5918" s="1">
        <v>-1.6635269999999999E-6</v>
      </c>
      <c r="I5918">
        <v>-60.589979999999997</v>
      </c>
      <c r="J5918">
        <v>-266.61329999999998</v>
      </c>
      <c r="K5918">
        <v>1.122714</v>
      </c>
      <c r="L5918">
        <v>-62.853299999999997</v>
      </c>
      <c r="M5918">
        <v>0.9982124</v>
      </c>
      <c r="N5918">
        <v>-8.9891380000000007E-3</v>
      </c>
      <c r="O5918">
        <v>-5.908708E-2</v>
      </c>
      <c r="P5918">
        <v>0.9910274</v>
      </c>
      <c r="Q5918">
        <v>0.13280690000000001</v>
      </c>
      <c r="R5918">
        <v>1.507611E-2</v>
      </c>
      <c r="S5918">
        <v>3.0358890000000001</v>
      </c>
      <c r="T5918">
        <v>-8.3328490000000005E-2</v>
      </c>
      <c r="U5918">
        <v>0.167572</v>
      </c>
      <c r="V5918">
        <v>-7.4412820000000005E-2</v>
      </c>
      <c r="W5918">
        <v>0.14126649999999999</v>
      </c>
      <c r="X5918">
        <v>0.98717089999999996</v>
      </c>
      <c r="Y5918">
        <v>-0.1139496</v>
      </c>
      <c r="Z5918">
        <v>3.1645599999999999E-3</v>
      </c>
      <c r="AA5918">
        <v>0.99348150000000002</v>
      </c>
      <c r="AB5918">
        <v>26</v>
      </c>
      <c r="AC5918">
        <v>40.786699999999897</v>
      </c>
      <c r="AD5918">
        <v>-1.1227156635269999</v>
      </c>
      <c r="AE5918">
        <v>2.26331999999999</v>
      </c>
      <c r="AF5918">
        <v>-4.6659050155357198</v>
      </c>
      <c r="AG5918">
        <v>-1.1227156635269999</v>
      </c>
      <c r="AH5918">
        <v>40.551063085457002</v>
      </c>
      <c r="AI5918">
        <v>91.575522681617201</v>
      </c>
      <c r="AJ5918">
        <v>96.563728277585199</v>
      </c>
      <c r="AK5918">
        <v>40.834052914642697</v>
      </c>
      <c r="AL5918">
        <v>81.878859733793405</v>
      </c>
      <c r="AM5918">
        <v>94.310796259311701</v>
      </c>
      <c r="AN5918">
        <v>0.99999993880470395</v>
      </c>
    </row>
    <row r="5919" spans="1:40" x14ac:dyDescent="0.25">
      <c r="A5919" t="str">
        <f>"20190303162419539"</f>
        <v>20190303162419539</v>
      </c>
      <c r="B5919" t="str">
        <f>"1551601459530859"</f>
        <v>1551601459530859</v>
      </c>
      <c r="C5919" t="s">
        <v>40</v>
      </c>
      <c r="D5919">
        <v>5.3674949999999999</v>
      </c>
      <c r="E5919">
        <v>0.48664609999999903</v>
      </c>
      <c r="F5919" t="s">
        <v>65</v>
      </c>
      <c r="G5919">
        <v>-225.10820000000001</v>
      </c>
      <c r="H5919" s="1">
        <v>-1.341424E-6</v>
      </c>
      <c r="I5919">
        <v>-60.527450000000002</v>
      </c>
      <c r="J5919">
        <v>-266.48270000000002</v>
      </c>
      <c r="K5919">
        <v>1.1227309999999999</v>
      </c>
      <c r="L5919">
        <v>-62.859380000000002</v>
      </c>
      <c r="M5919">
        <v>0.99830960000000002</v>
      </c>
      <c r="N5919">
        <v>-8.9741179999999997E-3</v>
      </c>
      <c r="O5919">
        <v>-5.7425610000000002E-2</v>
      </c>
      <c r="P5919">
        <v>0.99091989999999996</v>
      </c>
      <c r="Q5919">
        <v>0.1334524</v>
      </c>
      <c r="R5919">
        <v>1.637984E-2</v>
      </c>
      <c r="S5919">
        <v>3.0355530000000002</v>
      </c>
      <c r="T5919">
        <v>-8.2111840000000005E-2</v>
      </c>
      <c r="U5919">
        <v>0.17010500000000001</v>
      </c>
      <c r="V5919">
        <v>-7.4070449999999996E-2</v>
      </c>
      <c r="W5919">
        <v>0.1418962</v>
      </c>
      <c r="X5919">
        <v>0.98710640000000005</v>
      </c>
      <c r="Y5919">
        <v>-0.1131311</v>
      </c>
      <c r="Z5919">
        <v>3.0737329999999999E-3</v>
      </c>
      <c r="AA5919">
        <v>0.99357530000000005</v>
      </c>
      <c r="AB5919">
        <v>26</v>
      </c>
      <c r="AC5919">
        <v>41.374499999999998</v>
      </c>
      <c r="AD5919">
        <v>-1.122732341424</v>
      </c>
      <c r="AE5919">
        <v>2.3319299999999998</v>
      </c>
      <c r="AF5919">
        <v>-4.7006823364663397</v>
      </c>
      <c r="AG5919">
        <v>-1.122732341424</v>
      </c>
      <c r="AH5919">
        <v>41.1421007069411</v>
      </c>
      <c r="AI5919">
        <v>91.553065198224601</v>
      </c>
      <c r="AJ5919">
        <v>96.5180531158815</v>
      </c>
      <c r="AK5919">
        <v>41.424985128771297</v>
      </c>
      <c r="AL5919">
        <v>81.842413977035406</v>
      </c>
      <c r="AM5919">
        <v>94.291316072573906</v>
      </c>
      <c r="AN5919">
        <v>1.0000000040293</v>
      </c>
    </row>
    <row r="5920" spans="1:40" x14ac:dyDescent="0.25">
      <c r="A5920" t="str">
        <f>"20190303162419563"</f>
        <v>20190303162419563</v>
      </c>
      <c r="B5920" t="str">
        <f>"1551601459550378"</f>
        <v>1551601459550378</v>
      </c>
      <c r="C5920" t="s">
        <v>40</v>
      </c>
      <c r="D5920">
        <v>5.3696979999999996</v>
      </c>
      <c r="E5920">
        <v>0.48713899999999999</v>
      </c>
      <c r="F5920" t="s">
        <v>65</v>
      </c>
      <c r="G5920">
        <v>-223.0248</v>
      </c>
      <c r="H5920" s="1">
        <v>-4.161335E-7</v>
      </c>
      <c r="I5920">
        <v>-60.385779999999997</v>
      </c>
      <c r="J5920">
        <v>-266.21929999999998</v>
      </c>
      <c r="K5920">
        <v>1.1227450000000001</v>
      </c>
      <c r="L5920">
        <v>-62.870910000000002</v>
      </c>
      <c r="M5920">
        <v>0.99849710000000003</v>
      </c>
      <c r="N5920">
        <v>-8.9476019999999903E-3</v>
      </c>
      <c r="O5920">
        <v>-5.4069939999999997E-2</v>
      </c>
      <c r="P5920">
        <v>0.99046029999999996</v>
      </c>
      <c r="Q5920">
        <v>0.13649849999999999</v>
      </c>
      <c r="R5920">
        <v>1.8886130000000001E-2</v>
      </c>
      <c r="S5920">
        <v>3.0351870000000001</v>
      </c>
      <c r="T5920">
        <v>-7.8413720000000006E-2</v>
      </c>
      <c r="U5920">
        <v>0.17276</v>
      </c>
      <c r="V5920">
        <v>-7.3248709999999995E-2</v>
      </c>
      <c r="W5920">
        <v>0.1449145</v>
      </c>
      <c r="X5920">
        <v>0.98672910000000003</v>
      </c>
      <c r="Y5920">
        <v>-0.1106714</v>
      </c>
      <c r="Z5920">
        <v>2.8360429999999999E-3</v>
      </c>
      <c r="AA5920">
        <v>0.99385299999999999</v>
      </c>
      <c r="AB5920">
        <v>26</v>
      </c>
      <c r="AC5920">
        <v>43.194499999999898</v>
      </c>
      <c r="AD5920">
        <v>-1.1227454161335</v>
      </c>
      <c r="AE5920">
        <v>2.4851299999999901</v>
      </c>
      <c r="AF5920">
        <v>-4.8138701279384097</v>
      </c>
      <c r="AG5920">
        <v>-1.1227454161335</v>
      </c>
      <c r="AH5920">
        <v>42.967997224646702</v>
      </c>
      <c r="AI5920">
        <v>91.487485175867207</v>
      </c>
      <c r="AJ5920">
        <v>96.3924107056162</v>
      </c>
      <c r="AK5920">
        <v>43.251389438668397</v>
      </c>
      <c r="AL5920">
        <v>81.667671485370605</v>
      </c>
      <c r="AM5920">
        <v>94.245499799251206</v>
      </c>
      <c r="AN5920">
        <v>0.99999995130686004</v>
      </c>
    </row>
    <row r="5921" spans="1:40" x14ac:dyDescent="0.25">
      <c r="A5921" t="str">
        <f>"20190303162419574"</f>
        <v>20190303162419574</v>
      </c>
      <c r="B5921" t="str">
        <f>"1551601459561115"</f>
        <v>1551601459561115</v>
      </c>
      <c r="C5921" t="s">
        <v>40</v>
      </c>
      <c r="D5921">
        <v>5.3153699999999997</v>
      </c>
      <c r="E5921">
        <v>0.48728189999999999</v>
      </c>
      <c r="F5921" t="s">
        <v>66</v>
      </c>
      <c r="G5921">
        <v>-214.70339999999999</v>
      </c>
      <c r="H5921" s="1">
        <v>-1.082723E-6</v>
      </c>
      <c r="I5921">
        <v>-59.842700000000001</v>
      </c>
      <c r="J5921">
        <v>-266.08280000000002</v>
      </c>
      <c r="K5921">
        <v>1.1227469999999999</v>
      </c>
      <c r="L5921">
        <v>-62.876460000000002</v>
      </c>
      <c r="M5921">
        <v>0.99858990000000003</v>
      </c>
      <c r="N5921">
        <v>-8.9360869999999901E-3</v>
      </c>
      <c r="O5921">
        <v>-5.2332690000000001E-2</v>
      </c>
      <c r="P5921">
        <v>0.99026700000000001</v>
      </c>
      <c r="Q5921">
        <v>0.13771449999999999</v>
      </c>
      <c r="R5921">
        <v>2.0155860000000001E-2</v>
      </c>
      <c r="S5921">
        <v>3.0345759999999999</v>
      </c>
      <c r="T5921">
        <v>-6.6136E-2</v>
      </c>
      <c r="U5921">
        <v>0.17837520000000001</v>
      </c>
      <c r="V5921">
        <v>-7.2794780000000003E-2</v>
      </c>
      <c r="W5921">
        <v>0.14612039999999901</v>
      </c>
      <c r="X5921">
        <v>0.98658489999999999</v>
      </c>
      <c r="Y5921">
        <v>-0.1108025</v>
      </c>
      <c r="Z5921">
        <v>2.3741000000000001E-3</v>
      </c>
      <c r="AA5921">
        <v>0.99383960000000005</v>
      </c>
      <c r="AB5921">
        <v>26</v>
      </c>
      <c r="AC5921">
        <v>51.379399999999997</v>
      </c>
      <c r="AD5921">
        <v>-1.1227480827230001</v>
      </c>
      <c r="AE5921">
        <v>3.0337599999999898</v>
      </c>
      <c r="AF5921">
        <v>-5.7158117268095499</v>
      </c>
      <c r="AG5921">
        <v>-1.1227480827230001</v>
      </c>
      <c r="AH5921">
        <v>51.125889843438998</v>
      </c>
      <c r="AI5921">
        <v>91.250252817702304</v>
      </c>
      <c r="AJ5921">
        <v>96.379108408311197</v>
      </c>
      <c r="AK5921">
        <v>51.456658259520196</v>
      </c>
      <c r="AL5921">
        <v>81.5978356174151</v>
      </c>
      <c r="AM5921">
        <v>94.219899763106</v>
      </c>
      <c r="AN5921">
        <v>1.0000000080997</v>
      </c>
    </row>
    <row r="5922" spans="1:40" x14ac:dyDescent="0.25">
      <c r="A5922" t="str">
        <f>"20190303162419586"</f>
        <v>20190303162419586</v>
      </c>
      <c r="B5922" t="str">
        <f>"1551601459580635"</f>
        <v>1551601459580635</v>
      </c>
      <c r="C5922" t="s">
        <v>40</v>
      </c>
      <c r="D5922">
        <v>5.2689529999999998</v>
      </c>
      <c r="E5922">
        <v>0.48709330000000001</v>
      </c>
      <c r="F5922" t="s">
        <v>66</v>
      </c>
      <c r="G5922">
        <v>-211.1311</v>
      </c>
      <c r="H5922" s="1">
        <v>4.043005E-7</v>
      </c>
      <c r="I5922">
        <v>-59.586480000000002</v>
      </c>
      <c r="J5922">
        <v>-265.9282</v>
      </c>
      <c r="K5922">
        <v>1.1227480000000001</v>
      </c>
      <c r="L5922">
        <v>-62.882570000000001</v>
      </c>
      <c r="M5922">
        <v>0.99869079999999999</v>
      </c>
      <c r="N5922">
        <v>-8.9237910000000004E-3</v>
      </c>
      <c r="O5922">
        <v>-5.0368120000000002E-2</v>
      </c>
      <c r="P5922">
        <v>0.99014029999999997</v>
      </c>
      <c r="Q5922">
        <v>0.13839679999999999</v>
      </c>
      <c r="R5922">
        <v>2.1643530000000001E-2</v>
      </c>
      <c r="S5922">
        <v>3.0344540000000002</v>
      </c>
      <c r="T5922">
        <v>-6.1998490000000003E-2</v>
      </c>
      <c r="U5922">
        <v>0.1816711</v>
      </c>
      <c r="V5922">
        <v>-7.2335880000000005E-2</v>
      </c>
      <c r="W5922">
        <v>0.14679200000000001</v>
      </c>
      <c r="X5922">
        <v>0.98651889999999998</v>
      </c>
      <c r="Y5922">
        <v>-0.1099305</v>
      </c>
      <c r="Z5922">
        <v>2.192023E-3</v>
      </c>
      <c r="AA5922">
        <v>0.99393679999999995</v>
      </c>
      <c r="AB5922">
        <v>26</v>
      </c>
      <c r="AC5922">
        <v>54.7971</v>
      </c>
      <c r="AD5922">
        <v>-1.1227475956994999</v>
      </c>
      <c r="AE5922">
        <v>3.2960899999999902</v>
      </c>
      <c r="AF5922">
        <v>-6.0495124937127098</v>
      </c>
      <c r="AG5922">
        <v>-1.1227475956994999</v>
      </c>
      <c r="AH5922">
        <v>54.538703990198698</v>
      </c>
      <c r="AI5922">
        <v>91.172152112710194</v>
      </c>
      <c r="AJ5922">
        <v>96.329457642927196</v>
      </c>
      <c r="AK5922">
        <v>54.884673602981003</v>
      </c>
      <c r="AL5922">
        <v>81.558935878586198</v>
      </c>
      <c r="AM5922">
        <v>94.1936721567333</v>
      </c>
      <c r="AN5922">
        <v>0.99999995542829101</v>
      </c>
    </row>
    <row r="5923" spans="1:40" x14ac:dyDescent="0.25">
      <c r="A5923" t="str">
        <f>"20190303162419596"</f>
        <v>20190303162419596</v>
      </c>
      <c r="B5923" t="str">
        <f>"1551601459590395"</f>
        <v>1551601459590395</v>
      </c>
      <c r="C5923" t="s">
        <v>40</v>
      </c>
      <c r="D5923">
        <v>5.2568530000000004</v>
      </c>
      <c r="E5923">
        <v>0.46587430000000002</v>
      </c>
      <c r="F5923" t="s">
        <v>66</v>
      </c>
      <c r="G5923">
        <v>-210.25040000000001</v>
      </c>
      <c r="H5923" s="1">
        <v>6.8801150000000002E-7</v>
      </c>
      <c r="I5923">
        <v>-59.429070000000003</v>
      </c>
      <c r="J5923">
        <v>-265.81619999999998</v>
      </c>
      <c r="K5923">
        <v>1.1227499999999999</v>
      </c>
      <c r="L5923">
        <v>-62.886780000000002</v>
      </c>
      <c r="M5923">
        <v>0.99876149999999997</v>
      </c>
      <c r="N5923">
        <v>-8.9158699999999994E-3</v>
      </c>
      <c r="O5923">
        <v>-4.8948940000000003E-2</v>
      </c>
      <c r="P5923">
        <v>0.99009919999999996</v>
      </c>
      <c r="Q5923">
        <v>0.13850750000000001</v>
      </c>
      <c r="R5923">
        <v>2.279492E-2</v>
      </c>
      <c r="S5923">
        <v>3.0342709999999999</v>
      </c>
      <c r="T5923">
        <v>-6.1186310000000001E-2</v>
      </c>
      <c r="U5923">
        <v>0.18820190000000001</v>
      </c>
      <c r="V5923">
        <v>-7.2080720000000001E-2</v>
      </c>
      <c r="W5923">
        <v>0.14689630000000001</v>
      </c>
      <c r="X5923">
        <v>0.98652209999999996</v>
      </c>
      <c r="Y5923">
        <v>-0.1106538</v>
      </c>
      <c r="Z5923">
        <v>2.1584669999999999E-3</v>
      </c>
      <c r="AA5923">
        <v>0.99385670000000004</v>
      </c>
      <c r="AB5923">
        <v>26</v>
      </c>
      <c r="AC5923">
        <v>55.565799999999903</v>
      </c>
      <c r="AD5923">
        <v>-1.1227493119884999</v>
      </c>
      <c r="AE5923">
        <v>3.4577100000000001</v>
      </c>
      <c r="AF5923">
        <v>-6.1710501860342104</v>
      </c>
      <c r="AG5923">
        <v>-1.1227493119884999</v>
      </c>
      <c r="AH5923">
        <v>55.307435601605597</v>
      </c>
      <c r="AI5923">
        <v>91.155783032204994</v>
      </c>
      <c r="AJ5923">
        <v>96.366571065551</v>
      </c>
      <c r="AK5923">
        <v>55.661969595423699</v>
      </c>
      <c r="AL5923">
        <v>81.552894845884197</v>
      </c>
      <c r="AM5923">
        <v>94.178918248935105</v>
      </c>
      <c r="AN5923">
        <v>1.0000000034689001</v>
      </c>
    </row>
    <row r="5924" spans="1:40" x14ac:dyDescent="0.25">
      <c r="A5924" t="str">
        <f>"20190303162419606"</f>
        <v>20190303162419606</v>
      </c>
      <c r="B5924" t="str">
        <f>"1551601459601131"</f>
        <v>1551601459601131</v>
      </c>
      <c r="C5924" t="s">
        <v>40</v>
      </c>
      <c r="D5924">
        <v>5.3305360000000004</v>
      </c>
      <c r="E5924">
        <v>0.4636902</v>
      </c>
      <c r="F5924" t="s">
        <v>64</v>
      </c>
      <c r="G5924">
        <v>-234.3443</v>
      </c>
      <c r="H5924" s="1">
        <v>-1.0743940000000001E-6</v>
      </c>
      <c r="I5924">
        <v>-59.123429999999999</v>
      </c>
      <c r="J5924">
        <v>-265.69549999999998</v>
      </c>
      <c r="K5924">
        <v>1.1227499999999999</v>
      </c>
      <c r="L5924">
        <v>-62.891170000000002</v>
      </c>
      <c r="M5924">
        <v>0.99883520000000003</v>
      </c>
      <c r="N5924">
        <v>-8.9077840000000002E-3</v>
      </c>
      <c r="O5924">
        <v>-4.7423430000000003E-2</v>
      </c>
      <c r="P5924">
        <v>0.99002559999999995</v>
      </c>
      <c r="Q5924">
        <v>0.1387795</v>
      </c>
      <c r="R5924">
        <v>2.428487E-2</v>
      </c>
      <c r="S5924">
        <v>3.0368040000000001</v>
      </c>
      <c r="T5924">
        <v>-0.108337</v>
      </c>
      <c r="U5924">
        <v>0.36312870000000003</v>
      </c>
      <c r="V5924">
        <v>-7.2057629999999998E-2</v>
      </c>
      <c r="W5924">
        <v>0.14716089999999901</v>
      </c>
      <c r="X5924">
        <v>0.98648429999999998</v>
      </c>
      <c r="Y5924">
        <v>-0.1655394</v>
      </c>
      <c r="Z5924">
        <v>4.9469249999999996E-3</v>
      </c>
      <c r="AA5924">
        <v>0.98619080000000003</v>
      </c>
      <c r="AB5924">
        <v>26</v>
      </c>
      <c r="AC5924">
        <v>31.351199999999899</v>
      </c>
      <c r="AD5924">
        <v>-1.1227510743939999</v>
      </c>
      <c r="AE5924">
        <v>3.7677399999999799</v>
      </c>
      <c r="AF5924">
        <v>-5.2437115214527896</v>
      </c>
      <c r="AG5924">
        <v>-1.1227510743939999</v>
      </c>
      <c r="AH5924">
        <v>31.097921612807401</v>
      </c>
      <c r="AI5924">
        <v>92.038935432859105</v>
      </c>
      <c r="AJ5924">
        <v>99.571144679825395</v>
      </c>
      <c r="AK5924">
        <v>31.5568979643371</v>
      </c>
      <c r="AL5924">
        <v>81.537567384786897</v>
      </c>
      <c r="AM5924">
        <v>94.177743843441505</v>
      </c>
      <c r="AN5924">
        <v>0.99999995333825697</v>
      </c>
    </row>
    <row r="5925" spans="1:40" x14ac:dyDescent="0.25">
      <c r="A5925" t="str">
        <f>"20190303162419617"</f>
        <v>20190303162419617</v>
      </c>
      <c r="B5925" t="str">
        <f>"1551601459610891"</f>
        <v>1551601459610891</v>
      </c>
      <c r="C5925" t="s">
        <v>40</v>
      </c>
      <c r="D5925">
        <v>5.2660869999999997</v>
      </c>
      <c r="E5925">
        <v>0.46294679999999999</v>
      </c>
      <c r="F5925" t="s">
        <v>64</v>
      </c>
      <c r="G5925">
        <v>-234.20330000000001</v>
      </c>
      <c r="H5925" s="1">
        <v>-1.054123E-6</v>
      </c>
      <c r="I5925">
        <v>-58.896740000000001</v>
      </c>
      <c r="J5925">
        <v>-265.55669999999998</v>
      </c>
      <c r="K5925">
        <v>1.1227469999999999</v>
      </c>
      <c r="L5925">
        <v>-62.895969999999998</v>
      </c>
      <c r="M5925">
        <v>0.99891680000000005</v>
      </c>
      <c r="N5925">
        <v>-8.8992729999999992E-3</v>
      </c>
      <c r="O5925">
        <v>-4.567595E-2</v>
      </c>
      <c r="P5925">
        <v>0.98995250000000001</v>
      </c>
      <c r="Q5925">
        <v>0.13894779999999901</v>
      </c>
      <c r="R5925">
        <v>2.6226300000000001E-2</v>
      </c>
      <c r="S5925">
        <v>3.0359500000000001</v>
      </c>
      <c r="T5925">
        <v>-0.10823679999999999</v>
      </c>
      <c r="U5925">
        <v>0.38507079999999999</v>
      </c>
      <c r="V5925">
        <v>-7.2265239999999994E-2</v>
      </c>
      <c r="W5925">
        <v>0.14731939999999999</v>
      </c>
      <c r="X5925">
        <v>0.98644549999999998</v>
      </c>
      <c r="Y5925">
        <v>-0.17086219999999999</v>
      </c>
      <c r="Z5925">
        <v>5.0138630000000003E-3</v>
      </c>
      <c r="AA5925">
        <v>0.9852822</v>
      </c>
      <c r="AB5925">
        <v>27</v>
      </c>
      <c r="AC5925">
        <v>31.353399999999901</v>
      </c>
      <c r="AD5925">
        <v>-1.1227480541229999</v>
      </c>
      <c r="AE5925">
        <v>3.9992299999999901</v>
      </c>
      <c r="AF5925">
        <v>-5.4203692100990697</v>
      </c>
      <c r="AG5925">
        <v>-1.1227480541229999</v>
      </c>
      <c r="AH5925">
        <v>31.098758288190901</v>
      </c>
      <c r="AI5925">
        <v>92.0369501409386</v>
      </c>
      <c r="AJ5925">
        <v>99.887067497343494</v>
      </c>
      <c r="AK5925">
        <v>31.5875566106996</v>
      </c>
      <c r="AL5925">
        <v>81.528386309421094</v>
      </c>
      <c r="AM5925">
        <v>94.189902024204301</v>
      </c>
      <c r="AN5925">
        <v>0.99999999749943302</v>
      </c>
    </row>
    <row r="5926" spans="1:40" x14ac:dyDescent="0.25">
      <c r="A5926" t="str">
        <f>"20190303162419629"</f>
        <v>20190303162419629</v>
      </c>
      <c r="B5926" t="str">
        <f>"1551601459620651"</f>
        <v>1551601459620651</v>
      </c>
      <c r="C5926" t="s">
        <v>40</v>
      </c>
      <c r="D5926">
        <v>5.2672509999999999</v>
      </c>
      <c r="E5926">
        <v>0.46252510000000002</v>
      </c>
      <c r="F5926" t="s">
        <v>64</v>
      </c>
      <c r="G5926">
        <v>-235.46209999999999</v>
      </c>
      <c r="H5926" s="1">
        <v>-1.582851E-6</v>
      </c>
      <c r="I5926">
        <v>-58.960360000000001</v>
      </c>
      <c r="J5926">
        <v>-265.42840000000001</v>
      </c>
      <c r="K5926">
        <v>1.122744</v>
      </c>
      <c r="L5926">
        <v>-62.900210000000001</v>
      </c>
      <c r="M5926">
        <v>0.99898869999999895</v>
      </c>
      <c r="N5926">
        <v>-8.8921250000000007E-3</v>
      </c>
      <c r="O5926">
        <v>-4.4072970000000003E-2</v>
      </c>
      <c r="P5926">
        <v>0.98978820000000001</v>
      </c>
      <c r="Q5926">
        <v>0.1397882</v>
      </c>
      <c r="R5926">
        <v>2.7899529999999999E-2</v>
      </c>
      <c r="S5926">
        <v>3.035828</v>
      </c>
      <c r="T5926">
        <v>-0.1132587</v>
      </c>
      <c r="U5926">
        <v>0.3970032</v>
      </c>
      <c r="V5926">
        <v>-7.2347369999999994E-2</v>
      </c>
      <c r="W5926">
        <v>0.14815220000000001</v>
      </c>
      <c r="X5926">
        <v>0.98631480000000005</v>
      </c>
      <c r="Y5926">
        <v>-0.1730805</v>
      </c>
      <c r="Z5926">
        <v>5.2344599999999998E-3</v>
      </c>
      <c r="AA5926">
        <v>0.98489380000000004</v>
      </c>
      <c r="AB5926">
        <v>27</v>
      </c>
      <c r="AC5926">
        <v>29.9663</v>
      </c>
      <c r="AD5926">
        <v>-1.122745582851</v>
      </c>
      <c r="AE5926">
        <v>3.9398499999999999</v>
      </c>
      <c r="AF5926">
        <v>-5.2495335850141398</v>
      </c>
      <c r="AG5926">
        <v>-1.122745582851</v>
      </c>
      <c r="AH5926">
        <v>29.7225174637035</v>
      </c>
      <c r="AI5926">
        <v>92.130335599788395</v>
      </c>
      <c r="AJ5926">
        <v>100.016174314549</v>
      </c>
      <c r="AK5926">
        <v>30.203413795201399</v>
      </c>
      <c r="AL5926">
        <v>81.480141434906898</v>
      </c>
      <c r="AM5926">
        <v>94.1952007557217</v>
      </c>
      <c r="AN5926">
        <v>1.00000005050489</v>
      </c>
    </row>
    <row r="5927" spans="1:40" x14ac:dyDescent="0.25">
      <c r="A5927" t="str">
        <f>"20190303162419639"</f>
        <v>20190303162419639</v>
      </c>
      <c r="B5927" t="str">
        <f>"1551601459630411"</f>
        <v>1551601459630411</v>
      </c>
      <c r="C5927" t="s">
        <v>40</v>
      </c>
      <c r="D5927">
        <v>5.2653249999999998</v>
      </c>
      <c r="E5927">
        <v>0.4630069</v>
      </c>
      <c r="F5927" t="s">
        <v>64</v>
      </c>
      <c r="G5927">
        <v>-234.3177</v>
      </c>
      <c r="H5927" s="1">
        <v>-1.1294900000000001E-6</v>
      </c>
      <c r="I5927">
        <v>-58.748330000000003</v>
      </c>
      <c r="J5927">
        <v>-265.30520000000001</v>
      </c>
      <c r="K5927">
        <v>1.122741</v>
      </c>
      <c r="L5927">
        <v>-62.904110000000003</v>
      </c>
      <c r="M5927">
        <v>0.99905540000000004</v>
      </c>
      <c r="N5927">
        <v>-8.8856919999999902E-3</v>
      </c>
      <c r="O5927">
        <v>-4.253854E-2</v>
      </c>
      <c r="P5927">
        <v>0.98955800000000005</v>
      </c>
      <c r="Q5927">
        <v>0.14106250000000001</v>
      </c>
      <c r="R5927">
        <v>2.960689E-2</v>
      </c>
      <c r="S5927">
        <v>3.0350039999999998</v>
      </c>
      <c r="T5927">
        <v>-0.109529</v>
      </c>
      <c r="U5927">
        <v>0.40502929999999998</v>
      </c>
      <c r="V5927">
        <v>-7.2531390000000001E-2</v>
      </c>
      <c r="W5927">
        <v>0.14941869999999999</v>
      </c>
      <c r="X5927">
        <v>0.98611020000000005</v>
      </c>
      <c r="Y5927">
        <v>-0.17417170000000001</v>
      </c>
      <c r="Z5927">
        <v>5.0580640000000001E-3</v>
      </c>
      <c r="AA5927">
        <v>0.98470230000000003</v>
      </c>
      <c r="AB5927">
        <v>27</v>
      </c>
      <c r="AC5927">
        <v>30.987500000000001</v>
      </c>
      <c r="AD5927">
        <v>-1.12274212949</v>
      </c>
      <c r="AE5927">
        <v>4.1557799999999903</v>
      </c>
      <c r="AF5927">
        <v>-5.4631877685689201</v>
      </c>
      <c r="AG5927">
        <v>-1.12274212949</v>
      </c>
      <c r="AH5927">
        <v>30.743015655893799</v>
      </c>
      <c r="AI5927">
        <v>92.059291671962796</v>
      </c>
      <c r="AJ5927">
        <v>100.076556137674</v>
      </c>
      <c r="AK5927">
        <v>31.2448392875128</v>
      </c>
      <c r="AL5927">
        <v>81.406759447632396</v>
      </c>
      <c r="AM5927">
        <v>94.206702767085005</v>
      </c>
      <c r="AN5927">
        <v>1.00000003849453</v>
      </c>
    </row>
    <row r="5928" spans="1:40" x14ac:dyDescent="0.25">
      <c r="A5928" t="str">
        <f>"20190303162419650"</f>
        <v>20190303162419650</v>
      </c>
      <c r="B5928" t="str">
        <f>"1551601459641146"</f>
        <v>1551601459641146</v>
      </c>
      <c r="C5928" t="s">
        <v>40</v>
      </c>
      <c r="D5928">
        <v>5.2666459999999997</v>
      </c>
      <c r="E5928">
        <v>0.46311530000000001</v>
      </c>
      <c r="F5928" t="s">
        <v>64</v>
      </c>
      <c r="G5928">
        <v>-233.73220000000001</v>
      </c>
      <c r="H5928" s="1">
        <v>-8.9001970000000005E-7</v>
      </c>
      <c r="I5928">
        <v>-58.682499999999997</v>
      </c>
      <c r="J5928">
        <v>-265.17599999999999</v>
      </c>
      <c r="K5928">
        <v>1.1227320000000001</v>
      </c>
      <c r="L5928">
        <v>-62.907960000000003</v>
      </c>
      <c r="M5928">
        <v>0.99912199999999995</v>
      </c>
      <c r="N5928">
        <v>-8.8796529999999995E-3</v>
      </c>
      <c r="O5928">
        <v>-4.0947499999999998E-2</v>
      </c>
      <c r="P5928">
        <v>0.98933570000000004</v>
      </c>
      <c r="Q5928">
        <v>0.14237729999999901</v>
      </c>
      <c r="R5928">
        <v>3.072188E-2</v>
      </c>
      <c r="S5928">
        <v>3.0349119999999998</v>
      </c>
      <c r="T5928">
        <v>-0.1079222</v>
      </c>
      <c r="U5928">
        <v>0.40579219999999999</v>
      </c>
      <c r="V5928">
        <v>-7.2067359999999997E-2</v>
      </c>
      <c r="W5928">
        <v>0.15073029999999901</v>
      </c>
      <c r="X5928">
        <v>0.98594459999999995</v>
      </c>
      <c r="Y5928">
        <v>-0.17285639999999999</v>
      </c>
      <c r="Z5928">
        <v>4.9181509999999999E-3</v>
      </c>
      <c r="AA5928">
        <v>0.98493470000000005</v>
      </c>
      <c r="AB5928">
        <v>27</v>
      </c>
      <c r="AC5928">
        <v>31.4437999999999</v>
      </c>
      <c r="AD5928">
        <v>-1.1227328900197</v>
      </c>
      <c r="AE5928">
        <v>4.2254599999999902</v>
      </c>
      <c r="AF5928">
        <v>-5.5026204255931797</v>
      </c>
      <c r="AG5928">
        <v>-1.1227328900197</v>
      </c>
      <c r="AH5928">
        <v>31.205318595156399</v>
      </c>
      <c r="AI5928">
        <v>92.029268912029593</v>
      </c>
      <c r="AJ5928">
        <v>100.000500054787</v>
      </c>
      <c r="AK5928">
        <v>31.7066439301876</v>
      </c>
      <c r="AL5928">
        <v>81.330749485550101</v>
      </c>
      <c r="AM5928">
        <v>94.180585041791801</v>
      </c>
      <c r="AN5928">
        <v>1.0000000409923</v>
      </c>
    </row>
    <row r="5929" spans="1:40" x14ac:dyDescent="0.25">
      <c r="A5929" t="str">
        <f>"20190303162419661"</f>
        <v>20190303162419661</v>
      </c>
      <c r="B5929" t="str">
        <f>"1551601459650908"</f>
        <v>1551601459650908</v>
      </c>
      <c r="C5929" t="s">
        <v>40</v>
      </c>
      <c r="D5929">
        <v>5.2627459999999999</v>
      </c>
      <c r="E5929">
        <v>0.46338659999999998</v>
      </c>
      <c r="F5929" t="s">
        <v>64</v>
      </c>
      <c r="G5929">
        <v>-232.22229999999999</v>
      </c>
      <c r="H5929" s="1">
        <v>-2.7861770000000001E-7</v>
      </c>
      <c r="I5929">
        <v>-58.47766</v>
      </c>
      <c r="J5929">
        <v>-265.04430000000002</v>
      </c>
      <c r="K5929">
        <v>1.122719</v>
      </c>
      <c r="L5929">
        <v>-62.911769999999997</v>
      </c>
      <c r="M5929">
        <v>0.99918689999999999</v>
      </c>
      <c r="N5929">
        <v>-8.8737829999999997E-3</v>
      </c>
      <c r="O5929">
        <v>-3.9331669999999999E-2</v>
      </c>
      <c r="P5929">
        <v>0.98913430000000002</v>
      </c>
      <c r="Q5929">
        <v>0.14343590000000001</v>
      </c>
      <c r="R5929">
        <v>3.2246280000000002E-2</v>
      </c>
      <c r="S5929">
        <v>3.0345460000000002</v>
      </c>
      <c r="T5929">
        <v>-0.1033871</v>
      </c>
      <c r="U5929">
        <v>0.40795900000000002</v>
      </c>
      <c r="V5929">
        <v>-7.1987910000000002E-2</v>
      </c>
      <c r="W5929">
        <v>0.15178420000000001</v>
      </c>
      <c r="X5929">
        <v>0.98578860000000001</v>
      </c>
      <c r="Y5929">
        <v>-0.17198260000000001</v>
      </c>
      <c r="Z5929">
        <v>4.6695909999999998E-3</v>
      </c>
      <c r="AA5929">
        <v>0.98508890000000005</v>
      </c>
      <c r="AB5929">
        <v>27</v>
      </c>
      <c r="AC5929">
        <v>32.822000000000003</v>
      </c>
      <c r="AD5929">
        <v>-1.1227192786176901</v>
      </c>
      <c r="AE5929">
        <v>4.4341099999999898</v>
      </c>
      <c r="AF5929">
        <v>-5.71510622198163</v>
      </c>
      <c r="AG5929">
        <v>-1.1227192786176901</v>
      </c>
      <c r="AH5929">
        <v>32.584749774578199</v>
      </c>
      <c r="AI5929">
        <v>91.943719069256701</v>
      </c>
      <c r="AJ5929">
        <v>99.948039656627799</v>
      </c>
      <c r="AK5929">
        <v>33.101191150455399</v>
      </c>
      <c r="AL5929">
        <v>81.2696616758099</v>
      </c>
      <c r="AM5929">
        <v>94.176651015795201</v>
      </c>
      <c r="AN5929">
        <v>0.99999993322288105</v>
      </c>
    </row>
    <row r="5930" spans="1:40" x14ac:dyDescent="0.25">
      <c r="A5930" t="str">
        <f>"20190303162419674"</f>
        <v>20190303162419674</v>
      </c>
      <c r="B5930" t="str">
        <f>"1551601459660667"</f>
        <v>1551601459660667</v>
      </c>
      <c r="C5930" t="s">
        <v>40</v>
      </c>
      <c r="D5930">
        <v>5.2021410000000001</v>
      </c>
      <c r="E5930">
        <v>0.46368239999999999</v>
      </c>
      <c r="F5930" t="s">
        <v>64</v>
      </c>
      <c r="G5930">
        <v>-231.11179999999999</v>
      </c>
      <c r="H5930" s="1">
        <v>8.7571269999999997E-8</v>
      </c>
      <c r="I5930">
        <v>-58.328130000000002</v>
      </c>
      <c r="J5930">
        <v>-264.90370000000001</v>
      </c>
      <c r="K5930">
        <v>1.1226969999999901</v>
      </c>
      <c r="L5930">
        <v>-62.915500000000002</v>
      </c>
      <c r="M5930">
        <v>0.99925229999999998</v>
      </c>
      <c r="N5930">
        <v>-8.8681760000000002E-3</v>
      </c>
      <c r="O5930">
        <v>-3.7635160000000001E-2</v>
      </c>
      <c r="P5930">
        <v>0.9889791</v>
      </c>
      <c r="Q5930">
        <v>0.1441993</v>
      </c>
      <c r="R5930">
        <v>3.3573199999999997E-2</v>
      </c>
      <c r="S5930">
        <v>3.0341490000000002</v>
      </c>
      <c r="T5930">
        <v>-0.1003904</v>
      </c>
      <c r="U5930">
        <v>0.40985110000000002</v>
      </c>
      <c r="V5930">
        <v>-7.1629670000000006E-2</v>
      </c>
      <c r="W5930">
        <v>0.15254670000000001</v>
      </c>
      <c r="X5930">
        <v>0.98569700000000005</v>
      </c>
      <c r="Y5930">
        <v>-0.17093889999999901</v>
      </c>
      <c r="Z5930">
        <v>4.4838259999999998E-3</v>
      </c>
      <c r="AA5930">
        <v>0.98527149999999997</v>
      </c>
      <c r="AB5930">
        <v>27</v>
      </c>
      <c r="AC5930">
        <v>33.791899999999998</v>
      </c>
      <c r="AD5930">
        <v>-1.1226969124287201</v>
      </c>
      <c r="AE5930">
        <v>4.5873699999999999</v>
      </c>
      <c r="AF5930">
        <v>-5.8495931683303697</v>
      </c>
      <c r="AG5930">
        <v>-1.1226969124287201</v>
      </c>
      <c r="AH5930">
        <v>33.558932114603998</v>
      </c>
      <c r="AI5930">
        <v>91.887645560847801</v>
      </c>
      <c r="AJ5930">
        <v>99.887775159876895</v>
      </c>
      <c r="AK5930">
        <v>34.083428719316899</v>
      </c>
      <c r="AL5930">
        <v>81.225458964883302</v>
      </c>
      <c r="AM5930">
        <v>94.156324228394993</v>
      </c>
      <c r="AN5930">
        <v>0.99999994055709696</v>
      </c>
    </row>
    <row r="5931" spans="1:40" x14ac:dyDescent="0.25">
      <c r="A5931" t="str">
        <f>"20190303162419684"</f>
        <v>20190303162419684</v>
      </c>
      <c r="B5931" t="str">
        <f>"1551601459671404"</f>
        <v>1551601459671404</v>
      </c>
      <c r="C5931" t="s">
        <v>40</v>
      </c>
      <c r="D5931">
        <v>5.3179540000000003</v>
      </c>
      <c r="E5931">
        <v>0.46395239999999999</v>
      </c>
      <c r="F5931" t="s">
        <v>65</v>
      </c>
      <c r="G5931">
        <v>-229.75040000000001</v>
      </c>
      <c r="H5931" s="1">
        <v>-3.7939269999999999E-6</v>
      </c>
      <c r="I5931">
        <v>-58.153759999999998</v>
      </c>
      <c r="J5931">
        <v>-264.78129999999999</v>
      </c>
      <c r="K5931">
        <v>1.122681</v>
      </c>
      <c r="L5931">
        <v>-62.918669999999999</v>
      </c>
      <c r="M5931">
        <v>0.99930669999999999</v>
      </c>
      <c r="N5931">
        <v>-8.8634509999999996E-3</v>
      </c>
      <c r="O5931">
        <v>-3.6161319999999997E-2</v>
      </c>
      <c r="P5931">
        <v>0.98891430000000002</v>
      </c>
      <c r="Q5931">
        <v>0.1442244</v>
      </c>
      <c r="R5931">
        <v>3.5329020000000003E-2</v>
      </c>
      <c r="S5931">
        <v>3.0335999999999999</v>
      </c>
      <c r="T5931">
        <v>-9.6884609999999996E-2</v>
      </c>
      <c r="U5931">
        <v>0.41091919999999998</v>
      </c>
      <c r="V5931">
        <v>-7.1919910000000004E-2</v>
      </c>
      <c r="W5931">
        <v>0.15256800000000001</v>
      </c>
      <c r="X5931">
        <v>0.98567269999999896</v>
      </c>
      <c r="Y5931">
        <v>-0.16985919999999999</v>
      </c>
      <c r="Z5931">
        <v>4.286855E-3</v>
      </c>
      <c r="AA5931">
        <v>0.98545899999999997</v>
      </c>
      <c r="AB5931">
        <v>27</v>
      </c>
      <c r="AC5931">
        <v>35.030899999999903</v>
      </c>
      <c r="AD5931">
        <v>-1.1226847939269999</v>
      </c>
      <c r="AE5931">
        <v>4.7649099999999898</v>
      </c>
      <c r="AF5931">
        <v>-6.0225332522413701</v>
      </c>
      <c r="AG5931">
        <v>-1.1226847939269999</v>
      </c>
      <c r="AH5931">
        <v>34.8005801836578</v>
      </c>
      <c r="AI5931">
        <v>91.820706175571999</v>
      </c>
      <c r="AJ5931">
        <v>99.818271050264102</v>
      </c>
      <c r="AK5931">
        <v>35.335700205883398</v>
      </c>
      <c r="AL5931">
        <v>81.224225253438604</v>
      </c>
      <c r="AM5931">
        <v>94.173208594912893</v>
      </c>
      <c r="AN5931">
        <v>1.0000000698018401</v>
      </c>
    </row>
    <row r="5932" spans="1:40" x14ac:dyDescent="0.25">
      <c r="A5932" t="str">
        <f>"20190303162419695"</f>
        <v>20190303162419695</v>
      </c>
      <c r="B5932" t="str">
        <f>"1551601459690923"</f>
        <v>1551601459690923</v>
      </c>
      <c r="C5932" t="s">
        <v>40</v>
      </c>
      <c r="D5932">
        <v>5.2584589999999896</v>
      </c>
      <c r="E5932">
        <v>0.46432970000000001</v>
      </c>
      <c r="F5932" t="s">
        <v>65</v>
      </c>
      <c r="G5932">
        <v>-229.29750000000001</v>
      </c>
      <c r="H5932" s="1">
        <v>-3.6152640000000002E-6</v>
      </c>
      <c r="I5932">
        <v>-58.083170000000003</v>
      </c>
      <c r="J5932">
        <v>-264.63569999999999</v>
      </c>
      <c r="K5932">
        <v>1.122657</v>
      </c>
      <c r="L5932">
        <v>-62.922089999999997</v>
      </c>
      <c r="M5932">
        <v>0.99936769999999997</v>
      </c>
      <c r="N5932">
        <v>-8.8584419999999994E-3</v>
      </c>
      <c r="O5932">
        <v>-3.4437170000000003E-2</v>
      </c>
      <c r="P5932">
        <v>0.98878189999999999</v>
      </c>
      <c r="Q5932">
        <v>0.1446644</v>
      </c>
      <c r="R5932">
        <v>3.718341E-2</v>
      </c>
      <c r="S5932">
        <v>3.032867</v>
      </c>
      <c r="T5932">
        <v>-9.5957990000000007E-2</v>
      </c>
      <c r="U5932">
        <v>0.41329959999999999</v>
      </c>
      <c r="V5932">
        <v>-7.206021E-2</v>
      </c>
      <c r="W5932">
        <v>0.15300520000000001</v>
      </c>
      <c r="X5932">
        <v>0.98559459999999999</v>
      </c>
      <c r="Y5932">
        <v>-0.16895309999999999</v>
      </c>
      <c r="Z5932">
        <v>4.193146E-3</v>
      </c>
      <c r="AA5932">
        <v>0.98561520000000002</v>
      </c>
      <c r="AB5932">
        <v>27</v>
      </c>
      <c r="AC5932">
        <v>35.338199999999901</v>
      </c>
      <c r="AD5932">
        <v>-1.122660615264</v>
      </c>
      <c r="AE5932">
        <v>4.8389199999999999</v>
      </c>
      <c r="AF5932">
        <v>-6.0470540853099202</v>
      </c>
      <c r="AG5932">
        <v>-1.122660615264</v>
      </c>
      <c r="AH5932">
        <v>35.115803709449402</v>
      </c>
      <c r="AI5932">
        <v>91.804592809017905</v>
      </c>
      <c r="AJ5932">
        <v>99.770689351859005</v>
      </c>
      <c r="AK5932">
        <v>35.650342216145802</v>
      </c>
      <c r="AL5932">
        <v>81.198877237531207</v>
      </c>
      <c r="AM5932">
        <v>94.1816509241429</v>
      </c>
      <c r="AN5932">
        <v>0.99999999032072195</v>
      </c>
    </row>
    <row r="5933" spans="1:40" x14ac:dyDescent="0.25">
      <c r="A5933" t="str">
        <f>"20190303162419707"</f>
        <v>20190303162419707</v>
      </c>
      <c r="B5933" t="str">
        <f>"1551601459700683"</f>
        <v>1551601459700683</v>
      </c>
      <c r="C5933" t="s">
        <v>40</v>
      </c>
      <c r="D5933">
        <v>5.261781</v>
      </c>
      <c r="E5933">
        <v>0.46450930000000001</v>
      </c>
      <c r="F5933" t="s">
        <v>65</v>
      </c>
      <c r="G5933">
        <v>-228.84559999999999</v>
      </c>
      <c r="H5933" s="1">
        <v>-3.4348449999999999E-6</v>
      </c>
      <c r="I5933">
        <v>-58.022359999999999</v>
      </c>
      <c r="J5933">
        <v>-264.5009</v>
      </c>
      <c r="K5933">
        <v>1.122641</v>
      </c>
      <c r="L5933">
        <v>-62.925170000000001</v>
      </c>
      <c r="M5933">
        <v>0.99942109999999995</v>
      </c>
      <c r="N5933">
        <v>-8.854209E-3</v>
      </c>
      <c r="O5933">
        <v>-3.285213E-2</v>
      </c>
      <c r="P5933">
        <v>0.98863979999999996</v>
      </c>
      <c r="Q5933">
        <v>0.1450418</v>
      </c>
      <c r="R5933">
        <v>3.9427370000000003E-2</v>
      </c>
      <c r="S5933">
        <v>3.0323180000000001</v>
      </c>
      <c r="T5933">
        <v>-9.5117569999999999E-2</v>
      </c>
      <c r="U5933">
        <v>0.41513060000000002</v>
      </c>
      <c r="V5933">
        <v>-7.2727990000000006E-2</v>
      </c>
      <c r="W5933">
        <v>0.15337709999999999</v>
      </c>
      <c r="X5933">
        <v>0.98548780000000002</v>
      </c>
      <c r="Y5933">
        <v>-0.16800090000000001</v>
      </c>
      <c r="Z5933">
        <v>4.1060549999999999E-3</v>
      </c>
      <c r="AA5933">
        <v>0.9857783</v>
      </c>
      <c r="AB5933">
        <v>27</v>
      </c>
      <c r="AC5933">
        <v>35.655299999999997</v>
      </c>
      <c r="AD5933">
        <v>-1.122644434845</v>
      </c>
      <c r="AE5933">
        <v>4.9028099999999899</v>
      </c>
      <c r="AF5933">
        <v>-6.0656599929755197</v>
      </c>
      <c r="AG5933">
        <v>-1.122644434845</v>
      </c>
      <c r="AH5933">
        <v>35.440495846170002</v>
      </c>
      <c r="AI5933">
        <v>91.788358560884205</v>
      </c>
      <c r="AJ5933">
        <v>99.712102576405897</v>
      </c>
      <c r="AK5933">
        <v>35.973341622649798</v>
      </c>
      <c r="AL5933">
        <v>81.1773149492562</v>
      </c>
      <c r="AM5933">
        <v>94.220718507627197</v>
      </c>
      <c r="AN5933">
        <v>1.0000000496413399</v>
      </c>
    </row>
    <row r="5934" spans="1:40" x14ac:dyDescent="0.25">
      <c r="A5934" t="str">
        <f>"20190303162419719"</f>
        <v>20190303162419719</v>
      </c>
      <c r="B5934" t="str">
        <f>"1551601459710443"</f>
        <v>1551601459710443</v>
      </c>
      <c r="C5934" t="s">
        <v>40</v>
      </c>
      <c r="D5934">
        <v>5.2550970000000001</v>
      </c>
      <c r="E5934">
        <v>0.46464450000000002</v>
      </c>
      <c r="F5934" t="s">
        <v>65</v>
      </c>
      <c r="G5934">
        <v>-228.0797</v>
      </c>
      <c r="H5934" s="1">
        <v>-3.136955E-6</v>
      </c>
      <c r="I5934">
        <v>-57.883629999999997</v>
      </c>
      <c r="J5934">
        <v>-264.36020000000002</v>
      </c>
      <c r="K5934">
        <v>1.1226229999999999</v>
      </c>
      <c r="L5934">
        <v>-62.928100000000001</v>
      </c>
      <c r="M5934">
        <v>0.99947350000000001</v>
      </c>
      <c r="N5934">
        <v>-8.8503219999999903E-3</v>
      </c>
      <c r="O5934">
        <v>-3.1214889999999999E-2</v>
      </c>
      <c r="P5934">
        <v>0.98841020000000002</v>
      </c>
      <c r="Q5934">
        <v>0.14585719999999999</v>
      </c>
      <c r="R5934">
        <v>4.2080699999999999E-2</v>
      </c>
      <c r="S5934">
        <v>3.0314030000000001</v>
      </c>
      <c r="T5934">
        <v>-9.3439820000000007E-2</v>
      </c>
      <c r="U5934">
        <v>0.41961670000000001</v>
      </c>
      <c r="V5934">
        <v>-7.3752869999999998E-2</v>
      </c>
      <c r="W5934">
        <v>0.15418509999999999</v>
      </c>
      <c r="X5934">
        <v>0.98528550000000004</v>
      </c>
      <c r="Y5934">
        <v>-0.16786180000000001</v>
      </c>
      <c r="Z5934">
        <v>4.0037629999999996E-3</v>
      </c>
      <c r="AA5934">
        <v>0.98580239999999997</v>
      </c>
      <c r="AB5934">
        <v>27</v>
      </c>
      <c r="AC5934">
        <v>36.280500000000004</v>
      </c>
      <c r="AD5934">
        <v>-1.1226261369549999</v>
      </c>
      <c r="AE5934">
        <v>5.0444699999999898</v>
      </c>
      <c r="AF5934">
        <v>-6.1687534477396699</v>
      </c>
      <c r="AG5934">
        <v>-1.1226261369549999</v>
      </c>
      <c r="AH5934">
        <v>36.0714680433437</v>
      </c>
      <c r="AI5934">
        <v>91.757106887507504</v>
      </c>
      <c r="AJ5934">
        <v>99.704544194281397</v>
      </c>
      <c r="AK5934">
        <v>36.612356047437601</v>
      </c>
      <c r="AL5934">
        <v>81.130462417563706</v>
      </c>
      <c r="AM5934">
        <v>94.280852724709803</v>
      </c>
      <c r="AN5934">
        <v>1.00000002370274</v>
      </c>
    </row>
    <row r="5935" spans="1:40" x14ac:dyDescent="0.25">
      <c r="A5935" t="str">
        <f>"20190303162419729"</f>
        <v>20190303162419729</v>
      </c>
      <c r="B5935" t="str">
        <f>"1551601459720204"</f>
        <v>1551601459720204</v>
      </c>
      <c r="C5935" t="s">
        <v>40</v>
      </c>
      <c r="D5935">
        <v>5.1966549999999998</v>
      </c>
      <c r="E5935">
        <v>0.46491939999999998</v>
      </c>
      <c r="F5935" t="s">
        <v>65</v>
      </c>
      <c r="G5935">
        <v>-227.37090000000001</v>
      </c>
      <c r="H5935" s="1">
        <v>-2.8666190000000001E-6</v>
      </c>
      <c r="I5935">
        <v>-57.73095</v>
      </c>
      <c r="J5935">
        <v>-264.2396</v>
      </c>
      <c r="K5935">
        <v>1.122614</v>
      </c>
      <c r="L5935">
        <v>-62.93045</v>
      </c>
      <c r="M5935">
        <v>0.99951610000000002</v>
      </c>
      <c r="N5935">
        <v>-8.8475089999999999E-3</v>
      </c>
      <c r="O5935">
        <v>-2.9826289999999998E-2</v>
      </c>
      <c r="P5935">
        <v>0.98823830000000001</v>
      </c>
      <c r="Q5935">
        <v>0.14637229999999901</v>
      </c>
      <c r="R5935">
        <v>4.4276410000000002E-2</v>
      </c>
      <c r="S5935">
        <v>3.0306090000000001</v>
      </c>
      <c r="T5935">
        <v>-9.1978909999999997E-2</v>
      </c>
      <c r="U5935">
        <v>0.42581180000000002</v>
      </c>
      <c r="V5935">
        <v>-7.4568060000000005E-2</v>
      </c>
      <c r="W5935">
        <v>0.1546949</v>
      </c>
      <c r="X5935">
        <v>0.98514420000000003</v>
      </c>
      <c r="Y5935">
        <v>-0.16850699999999999</v>
      </c>
      <c r="Z5935">
        <v>3.9318419999999996E-3</v>
      </c>
      <c r="AA5935">
        <v>0.98569260000000003</v>
      </c>
      <c r="AB5935">
        <v>27</v>
      </c>
      <c r="AC5935">
        <v>36.868699999999897</v>
      </c>
      <c r="AD5935">
        <v>-1.122616866619</v>
      </c>
      <c r="AE5935">
        <v>5.1994999999999996</v>
      </c>
      <c r="AF5935">
        <v>-6.2911668758486199</v>
      </c>
      <c r="AG5935">
        <v>-1.122616866619</v>
      </c>
      <c r="AH5935">
        <v>36.663878066249502</v>
      </c>
      <c r="AI5935">
        <v>91.728553414363603</v>
      </c>
      <c r="AJ5935">
        <v>99.736581707825707</v>
      </c>
      <c r="AK5935">
        <v>37.216649555619597</v>
      </c>
      <c r="AL5935">
        <v>81.100898122896695</v>
      </c>
      <c r="AM5935">
        <v>94.328608563284405</v>
      </c>
      <c r="AN5935">
        <v>1.0000000012259</v>
      </c>
    </row>
    <row r="5936" spans="1:40" x14ac:dyDescent="0.25">
      <c r="A5936" t="str">
        <f>"20190303162419740"</f>
        <v>20190303162419740</v>
      </c>
      <c r="B5936" t="str">
        <f>"1551601459730939"</f>
        <v>1551601459730939</v>
      </c>
      <c r="C5936" t="s">
        <v>40</v>
      </c>
      <c r="D5936">
        <v>5.127885</v>
      </c>
      <c r="E5936">
        <v>0.4651284</v>
      </c>
      <c r="F5936" t="s">
        <v>65</v>
      </c>
      <c r="G5936">
        <v>-226.5727</v>
      </c>
      <c r="H5936" s="1">
        <v>-2.5555240000000002E-6</v>
      </c>
      <c r="I5936">
        <v>-57.589399999999998</v>
      </c>
      <c r="J5936">
        <v>-264.10849999999999</v>
      </c>
      <c r="K5936">
        <v>1.122598</v>
      </c>
      <c r="L5936">
        <v>-62.93289</v>
      </c>
      <c r="M5936">
        <v>0.9995598</v>
      </c>
      <c r="N5936">
        <v>-8.8447590000000006E-3</v>
      </c>
      <c r="O5936">
        <v>-2.8324459999999999E-2</v>
      </c>
      <c r="P5936">
        <v>0.98798540000000001</v>
      </c>
      <c r="Q5936">
        <v>0.1472446</v>
      </c>
      <c r="R5936">
        <v>4.6948410000000003E-2</v>
      </c>
      <c r="S5936">
        <v>3.0298769999999999</v>
      </c>
      <c r="T5936">
        <v>-9.0301870000000006E-2</v>
      </c>
      <c r="U5936">
        <v>0.42962650000000002</v>
      </c>
      <c r="V5936">
        <v>-7.574844E-2</v>
      </c>
      <c r="W5936">
        <v>0.15555920000000001</v>
      </c>
      <c r="X5936">
        <v>0.98491799999999996</v>
      </c>
      <c r="Y5936">
        <v>-0.1682795</v>
      </c>
      <c r="Z5936">
        <v>3.8337699999999998E-3</v>
      </c>
      <c r="AA5936">
        <v>0.98573180000000005</v>
      </c>
      <c r="AB5936">
        <v>27</v>
      </c>
      <c r="AC5936">
        <v>37.535800000000002</v>
      </c>
      <c r="AD5936">
        <v>-1.122600555524</v>
      </c>
      <c r="AE5936">
        <v>5.3434900000000001</v>
      </c>
      <c r="AF5936">
        <v>-6.3989587225854496</v>
      </c>
      <c r="AG5936">
        <v>-1.122600555524</v>
      </c>
      <c r="AH5936">
        <v>37.336648763641101</v>
      </c>
      <c r="AI5936">
        <v>91.697458172647799</v>
      </c>
      <c r="AJ5936">
        <v>99.725178948732193</v>
      </c>
      <c r="AK5936">
        <v>37.897654883120602</v>
      </c>
      <c r="AL5936">
        <v>81.050770358849903</v>
      </c>
      <c r="AM5936">
        <v>94.397867783928305</v>
      </c>
      <c r="AN5936">
        <v>0.99999997879553604</v>
      </c>
    </row>
    <row r="5937" spans="1:40" x14ac:dyDescent="0.25">
      <c r="A5937" t="str">
        <f>"20190303162419752"</f>
        <v>20190303162419752</v>
      </c>
      <c r="B5937" t="str">
        <f>"1551601459740699"</f>
        <v>1551601459740699</v>
      </c>
      <c r="C5937" t="s">
        <v>40</v>
      </c>
      <c r="D5937">
        <v>5.1854399999999998</v>
      </c>
      <c r="E5937">
        <v>0.4651284</v>
      </c>
      <c r="F5937" t="s">
        <v>65</v>
      </c>
      <c r="G5937">
        <v>-225.97900000000001</v>
      </c>
      <c r="H5937" s="1">
        <v>-2.3309910000000002E-6</v>
      </c>
      <c r="I5937">
        <v>-57.453000000000003</v>
      </c>
      <c r="J5937">
        <v>-263.96730000000002</v>
      </c>
      <c r="K5937">
        <v>1.1225889999999901</v>
      </c>
      <c r="L5937">
        <v>-62.935180000000003</v>
      </c>
      <c r="M5937">
        <v>0.99960369999999998</v>
      </c>
      <c r="N5937">
        <v>-8.8422180000000006E-3</v>
      </c>
      <c r="O5937">
        <v>-2.6726409999999999E-2</v>
      </c>
      <c r="P5937">
        <v>0.98770579999999997</v>
      </c>
      <c r="Q5937">
        <v>0.1482773</v>
      </c>
      <c r="R5937">
        <v>4.950918E-2</v>
      </c>
      <c r="S5937">
        <v>3.029083</v>
      </c>
      <c r="T5937">
        <v>-8.9181659999999996E-2</v>
      </c>
      <c r="U5937">
        <v>0.43533329999999998</v>
      </c>
      <c r="V5937">
        <v>-7.6723470000000002E-2</v>
      </c>
      <c r="W5937">
        <v>0.1565851</v>
      </c>
      <c r="X5937">
        <v>0.98467990000000005</v>
      </c>
      <c r="Y5937">
        <v>-0.16856199999999999</v>
      </c>
      <c r="Z5937">
        <v>3.7654350000000001E-3</v>
      </c>
      <c r="AA5937">
        <v>0.98568389999999995</v>
      </c>
      <c r="AB5937">
        <v>27</v>
      </c>
      <c r="AC5937">
        <v>37.988300000000002</v>
      </c>
      <c r="AD5937">
        <v>-1.1225913309909901</v>
      </c>
      <c r="AE5937">
        <v>5.4821799999999996</v>
      </c>
      <c r="AF5937">
        <v>-6.4900002497004703</v>
      </c>
      <c r="AG5937">
        <v>-1.1225913309909901</v>
      </c>
      <c r="AH5937">
        <v>37.795871984206897</v>
      </c>
      <c r="AI5937">
        <v>91.676740821745994</v>
      </c>
      <c r="AJ5937">
        <v>99.7433468000049</v>
      </c>
      <c r="AK5937">
        <v>38.365456514735797</v>
      </c>
      <c r="AL5937">
        <v>80.991261063365499</v>
      </c>
      <c r="AM5937">
        <v>94.455323259803507</v>
      </c>
      <c r="AN5937">
        <v>0.99999994492742805</v>
      </c>
    </row>
    <row r="5938" spans="1:40" x14ac:dyDescent="0.25">
      <c r="A5938" t="str">
        <f>"20190303162419763"</f>
        <v>20190303162419763</v>
      </c>
      <c r="B5938" t="str">
        <f>"1551601459750459"</f>
        <v>1551601459750459</v>
      </c>
      <c r="C5938" t="s">
        <v>40</v>
      </c>
      <c r="D5938">
        <v>5.2607429999999997</v>
      </c>
      <c r="E5938">
        <v>0.46535460000000001</v>
      </c>
      <c r="F5938" t="s">
        <v>65</v>
      </c>
      <c r="G5938">
        <v>-224.5899</v>
      </c>
      <c r="H5938" s="1">
        <v>-1.7955509999999999E-6</v>
      </c>
      <c r="I5938">
        <v>-57.17933</v>
      </c>
      <c r="J5938">
        <v>-263.83920000000001</v>
      </c>
      <c r="K5938">
        <v>1.1225799999999999</v>
      </c>
      <c r="L5938">
        <v>-62.937260000000002</v>
      </c>
      <c r="M5938">
        <v>0.99964120000000001</v>
      </c>
      <c r="N5938">
        <v>-8.8400509999999998E-3</v>
      </c>
      <c r="O5938">
        <v>-2.52813E-2</v>
      </c>
      <c r="P5938">
        <v>0.98740450000000002</v>
      </c>
      <c r="Q5938">
        <v>0.149403799999999</v>
      </c>
      <c r="R5938">
        <v>5.206831E-2</v>
      </c>
      <c r="S5938">
        <v>3.0281370000000001</v>
      </c>
      <c r="T5938">
        <v>-8.6327669999999995E-2</v>
      </c>
      <c r="U5938">
        <v>0.44262699999999999</v>
      </c>
      <c r="V5938">
        <v>-7.7850359999999993E-2</v>
      </c>
      <c r="W5938">
        <v>0.1577035</v>
      </c>
      <c r="X5938">
        <v>0.98441299999999998</v>
      </c>
      <c r="Y5938">
        <v>-0.1695111</v>
      </c>
      <c r="Z5938">
        <v>3.6512739999999999E-3</v>
      </c>
      <c r="AA5938">
        <v>0.98552150000000005</v>
      </c>
      <c r="AB5938">
        <v>27</v>
      </c>
      <c r="AC5938">
        <v>39.249299999999998</v>
      </c>
      <c r="AD5938">
        <v>-1.122581795551</v>
      </c>
      <c r="AE5938">
        <v>5.7579299999999796</v>
      </c>
      <c r="AF5938">
        <v>-6.7430018753646301</v>
      </c>
      <c r="AG5938">
        <v>-1.122581795551</v>
      </c>
      <c r="AH5938">
        <v>39.059901159165499</v>
      </c>
      <c r="AI5938">
        <v>91.622245451758502</v>
      </c>
      <c r="AJ5938">
        <v>99.794566544127704</v>
      </c>
      <c r="AK5938">
        <v>39.653551451826601</v>
      </c>
      <c r="AL5938">
        <v>80.926375920489505</v>
      </c>
      <c r="AM5938">
        <v>94.5217129034599</v>
      </c>
      <c r="AN5938">
        <v>1.00000001351668</v>
      </c>
    </row>
    <row r="5939" spans="1:40" x14ac:dyDescent="0.25">
      <c r="A5939" t="str">
        <f>"20190303162419775"</f>
        <v>20190303162419775</v>
      </c>
      <c r="B5939" t="str">
        <f>"1551601459760219"</f>
        <v>1551601459760219</v>
      </c>
      <c r="C5939" t="s">
        <v>40</v>
      </c>
      <c r="D5939">
        <v>5.2638610000000003</v>
      </c>
      <c r="E5939">
        <v>0.46558159999999998</v>
      </c>
      <c r="F5939" t="s">
        <v>65</v>
      </c>
      <c r="G5939">
        <v>-223.51990000000001</v>
      </c>
      <c r="H5939" s="1">
        <v>-1.382473E-6</v>
      </c>
      <c r="I5939">
        <v>-56.971519999999998</v>
      </c>
      <c r="J5939">
        <v>-263.68599999999998</v>
      </c>
      <c r="K5939">
        <v>1.1225700000000001</v>
      </c>
      <c r="L5939">
        <v>-62.939300000000003</v>
      </c>
      <c r="M5939">
        <v>0.99968319999999999</v>
      </c>
      <c r="N5939">
        <v>-8.8381610000000006E-3</v>
      </c>
      <c r="O5939">
        <v>-2.3571539999999998E-2</v>
      </c>
      <c r="P5939">
        <v>0.98713050000000002</v>
      </c>
      <c r="Q5939">
        <v>0.15032229999999999</v>
      </c>
      <c r="R5939">
        <v>5.4557130000000002E-2</v>
      </c>
      <c r="S5939">
        <v>3.027374</v>
      </c>
      <c r="T5939">
        <v>-8.4289069999999994E-2</v>
      </c>
      <c r="U5939">
        <v>0.44793699999999997</v>
      </c>
      <c r="V5939">
        <v>-7.8646530000000006E-2</v>
      </c>
      <c r="W5939">
        <v>0.15861600000000001</v>
      </c>
      <c r="X5939">
        <v>0.9842031</v>
      </c>
      <c r="Y5939">
        <v>-0.16955729999999999</v>
      </c>
      <c r="Z5939">
        <v>3.546497E-3</v>
      </c>
      <c r="AA5939">
        <v>0.98551390000000005</v>
      </c>
      <c r="AB5939">
        <v>27</v>
      </c>
      <c r="AC5939">
        <v>40.166099999999901</v>
      </c>
      <c r="AD5939">
        <v>-1.1225713824729999</v>
      </c>
      <c r="AE5939">
        <v>5.9677800000000003</v>
      </c>
      <c r="AF5939">
        <v>-6.9076563843196199</v>
      </c>
      <c r="AG5939">
        <v>-1.1225713824729999</v>
      </c>
      <c r="AH5939">
        <v>39.9837069796923</v>
      </c>
      <c r="AI5939">
        <v>91.584734453111395</v>
      </c>
      <c r="AJ5939">
        <v>99.801768494632697</v>
      </c>
      <c r="AK5939">
        <v>40.591534918877798</v>
      </c>
      <c r="AL5939">
        <v>80.873427206784498</v>
      </c>
      <c r="AM5939">
        <v>94.568731467267895</v>
      </c>
      <c r="AN5939">
        <v>1.00000002709332</v>
      </c>
    </row>
    <row r="5940" spans="1:40" x14ac:dyDescent="0.25">
      <c r="A5940" t="str">
        <f>"20190303162419788"</f>
        <v>20190303162419788</v>
      </c>
      <c r="B5940" t="str">
        <f>"1551601459780715"</f>
        <v>1551601459780715</v>
      </c>
      <c r="C5940" t="s">
        <v>40</v>
      </c>
      <c r="D5940">
        <v>5.3153160000000002</v>
      </c>
      <c r="E5940">
        <v>0.46592159999999999</v>
      </c>
      <c r="F5940" t="s">
        <v>65</v>
      </c>
      <c r="G5940">
        <v>-222.702</v>
      </c>
      <c r="H5940" s="1">
        <v>-1.151397E-6</v>
      </c>
      <c r="I5940">
        <v>-56.800190000000001</v>
      </c>
      <c r="J5940">
        <v>-263.53840000000002</v>
      </c>
      <c r="K5940">
        <v>1.122566</v>
      </c>
      <c r="L5940">
        <v>-62.941130000000001</v>
      </c>
      <c r="M5940">
        <v>0.99972039999999995</v>
      </c>
      <c r="N5940">
        <v>-8.8366139999999996E-3</v>
      </c>
      <c r="O5940">
        <v>-2.1929839999999999E-2</v>
      </c>
      <c r="P5940">
        <v>0.98686010000000002</v>
      </c>
      <c r="Q5940">
        <v>0.15111849999999999</v>
      </c>
      <c r="R5940">
        <v>5.7185140000000002E-2</v>
      </c>
      <c r="S5940">
        <v>3.0266419999999998</v>
      </c>
      <c r="T5940">
        <v>-8.2901119999999995E-2</v>
      </c>
      <c r="U5940">
        <v>0.45336910000000002</v>
      </c>
      <c r="V5940">
        <v>-7.9650399999999996E-2</v>
      </c>
      <c r="W5940">
        <v>0.1594045</v>
      </c>
      <c r="X5940">
        <v>0.98399490000000001</v>
      </c>
      <c r="Y5940">
        <v>-0.16970669999999999</v>
      </c>
      <c r="Z5940">
        <v>3.4698379999999998E-3</v>
      </c>
      <c r="AA5940">
        <v>0.98548849999999999</v>
      </c>
      <c r="AB5940">
        <v>27</v>
      </c>
      <c r="AC5940">
        <v>40.836399999999998</v>
      </c>
      <c r="AD5940">
        <v>-1.1225671513969999</v>
      </c>
      <c r="AE5940">
        <v>6.1409399999999996</v>
      </c>
      <c r="AF5940">
        <v>-7.0298390645896003</v>
      </c>
      <c r="AG5940">
        <v>-1.1225671513969999</v>
      </c>
      <c r="AH5940">
        <v>40.661856187333797</v>
      </c>
      <c r="AI5940">
        <v>91.558279586838793</v>
      </c>
      <c r="AJ5940">
        <v>99.808642968664699</v>
      </c>
      <c r="AK5940">
        <v>41.280326341767797</v>
      </c>
      <c r="AL5940">
        <v>80.827666768523102</v>
      </c>
      <c r="AM5940">
        <v>94.627771355769895</v>
      </c>
      <c r="AN5940">
        <v>0.99999997203320901</v>
      </c>
    </row>
    <row r="5941" spans="1:40" x14ac:dyDescent="0.25">
      <c r="A5941" t="str">
        <f>"20190303162419799"</f>
        <v>20190303162419799</v>
      </c>
      <c r="B5941" t="str">
        <f>"1551601459790475"</f>
        <v>1551601459790475</v>
      </c>
      <c r="C5941" t="s">
        <v>40</v>
      </c>
      <c r="D5941">
        <v>5.3230979999999999</v>
      </c>
      <c r="E5941">
        <v>0.46619769999999999</v>
      </c>
      <c r="F5941" t="s">
        <v>65</v>
      </c>
      <c r="G5941">
        <v>-222.5548</v>
      </c>
      <c r="H5941" s="1">
        <v>-1.123233E-6</v>
      </c>
      <c r="I5941">
        <v>-56.729399999999998</v>
      </c>
      <c r="J5941">
        <v>-263.40010000000001</v>
      </c>
      <c r="K5941">
        <v>1.122563</v>
      </c>
      <c r="L5941">
        <v>-62.942630000000001</v>
      </c>
      <c r="M5941">
        <v>0.999753</v>
      </c>
      <c r="N5941">
        <v>-8.8354899999999997E-3</v>
      </c>
      <c r="O5941">
        <v>-2.0398030000000001E-2</v>
      </c>
      <c r="P5941">
        <v>0.98649390000000003</v>
      </c>
      <c r="Q5941">
        <v>0.1526469</v>
      </c>
      <c r="R5941">
        <v>5.9405039999999999E-2</v>
      </c>
      <c r="S5941">
        <v>3.026062</v>
      </c>
      <c r="T5941">
        <v>-8.2885739999999999E-2</v>
      </c>
      <c r="U5941">
        <v>0.45864870000000002</v>
      </c>
      <c r="V5941">
        <v>-8.0359420000000001E-2</v>
      </c>
      <c r="W5941">
        <v>0.16092670000000001</v>
      </c>
      <c r="X5941">
        <v>0.98368949999999999</v>
      </c>
      <c r="Y5941">
        <v>-0.1699058</v>
      </c>
      <c r="Z5941">
        <v>3.4448339999999999E-3</v>
      </c>
      <c r="AA5941">
        <v>0.98545430000000001</v>
      </c>
      <c r="AB5941">
        <v>27</v>
      </c>
      <c r="AC5941">
        <v>40.845300000000002</v>
      </c>
      <c r="AD5941">
        <v>-1.1225641232329999</v>
      </c>
      <c r="AE5941">
        <v>6.2132300000000003</v>
      </c>
      <c r="AF5941">
        <v>-7.0399360254707197</v>
      </c>
      <c r="AG5941">
        <v>-1.1225641232329999</v>
      </c>
      <c r="AH5941">
        <v>40.6800263966364</v>
      </c>
      <c r="AI5941">
        <v>91.557535001725697</v>
      </c>
      <c r="AJ5941">
        <v>99.818154990635406</v>
      </c>
      <c r="AK5941">
        <v>41.2999442745935</v>
      </c>
      <c r="AL5941">
        <v>80.739311050660902</v>
      </c>
      <c r="AM5941">
        <v>94.670227922123104</v>
      </c>
      <c r="AN5941">
        <v>1.00000003578293</v>
      </c>
    </row>
    <row r="5942" spans="1:40" x14ac:dyDescent="0.25">
      <c r="A5942" t="str">
        <f>"20190303162419819"</f>
        <v>20190303162419819</v>
      </c>
      <c r="B5942" t="str">
        <f>"1551601459810970"</f>
        <v>1551601459810970</v>
      </c>
      <c r="C5942" t="s">
        <v>40</v>
      </c>
      <c r="D5942">
        <v>5.319229</v>
      </c>
      <c r="E5942">
        <v>0.46679159999999997</v>
      </c>
      <c r="F5942" t="s">
        <v>65</v>
      </c>
      <c r="G5942">
        <v>-220.89</v>
      </c>
      <c r="H5942" s="1">
        <v>-6.5020529999999999E-7</v>
      </c>
      <c r="I5942">
        <v>-56.427630000000001</v>
      </c>
      <c r="J5942">
        <v>-263.15480000000002</v>
      </c>
      <c r="K5942">
        <v>1.1225689999999999</v>
      </c>
      <c r="L5942">
        <v>-62.944760000000002</v>
      </c>
      <c r="M5942">
        <v>0.99980460000000004</v>
      </c>
      <c r="N5942">
        <v>-8.8342790000000004E-3</v>
      </c>
      <c r="O5942">
        <v>-1.769095E-2</v>
      </c>
      <c r="P5942">
        <v>0.98582619999999999</v>
      </c>
      <c r="Q5942">
        <v>0.1555735</v>
      </c>
      <c r="R5942">
        <v>6.2802549999999999E-2</v>
      </c>
      <c r="S5942">
        <v>3.0255130000000001</v>
      </c>
      <c r="T5942">
        <v>-7.9894779999999999E-2</v>
      </c>
      <c r="U5942">
        <v>0.46368409999999899</v>
      </c>
      <c r="V5942">
        <v>-8.1091540000000004E-2</v>
      </c>
      <c r="W5942">
        <v>0.1638434</v>
      </c>
      <c r="X5942">
        <v>0.98314769999999896</v>
      </c>
      <c r="Y5942">
        <v>-0.1688732</v>
      </c>
      <c r="Z5942">
        <v>3.2760430000000002E-3</v>
      </c>
      <c r="AA5942">
        <v>0.98563239999999996</v>
      </c>
      <c r="AB5942">
        <v>27</v>
      </c>
      <c r="AC5942">
        <v>42.264800000000001</v>
      </c>
      <c r="AD5942">
        <v>-1.1225696502053</v>
      </c>
      <c r="AE5942">
        <v>6.5171299999999803</v>
      </c>
      <c r="AF5942">
        <v>-7.2588417033052899</v>
      </c>
      <c r="AG5942">
        <v>-1.1225696502053</v>
      </c>
      <c r="AH5942">
        <v>42.113867039198702</v>
      </c>
      <c r="AI5942">
        <v>91.5047132469671</v>
      </c>
      <c r="AJ5942">
        <v>99.779540147882301</v>
      </c>
      <c r="AK5942">
        <v>42.749605173481001</v>
      </c>
      <c r="AL5942">
        <v>80.569947693524696</v>
      </c>
      <c r="AM5942">
        <v>94.715170914484403</v>
      </c>
      <c r="AN5942">
        <v>0.99999994879920895</v>
      </c>
    </row>
    <row r="5943" spans="1:40" x14ac:dyDescent="0.25">
      <c r="A5943" t="str">
        <f>"20190303162419831"</f>
        <v>20190303162419831</v>
      </c>
      <c r="B5943" t="str">
        <f>"1551601459820731"</f>
        <v>1551601459820731</v>
      </c>
      <c r="C5943" t="s">
        <v>40</v>
      </c>
      <c r="D5943">
        <v>5.3171999999999997</v>
      </c>
      <c r="E5943">
        <v>0.46703539999999999</v>
      </c>
      <c r="F5943" t="s">
        <v>66</v>
      </c>
      <c r="G5943">
        <v>-216.86170000000001</v>
      </c>
      <c r="H5943" s="1">
        <v>-2.7362670000000001E-6</v>
      </c>
      <c r="I5943">
        <v>-55.7406199999999</v>
      </c>
      <c r="J5943">
        <v>-263.01780000000002</v>
      </c>
      <c r="K5943">
        <v>1.122574</v>
      </c>
      <c r="L5943">
        <v>-62.945619999999998</v>
      </c>
      <c r="M5943">
        <v>0.99983</v>
      </c>
      <c r="N5943">
        <v>-8.8340329999999998E-3</v>
      </c>
      <c r="O5943">
        <v>-1.618153E-2</v>
      </c>
      <c r="P5943">
        <v>0.9855102</v>
      </c>
      <c r="Q5943">
        <v>0.156862</v>
      </c>
      <c r="R5943">
        <v>6.4528559999999999E-2</v>
      </c>
      <c r="S5943">
        <v>3.0247190000000002</v>
      </c>
      <c r="T5943">
        <v>-7.3346969999999997E-2</v>
      </c>
      <c r="U5943">
        <v>0.47070309999999999</v>
      </c>
      <c r="V5943">
        <v>-8.1332639999999998E-2</v>
      </c>
      <c r="W5943">
        <v>0.16512839999999901</v>
      </c>
      <c r="X5943">
        <v>0.98291280000000003</v>
      </c>
      <c r="Y5943">
        <v>-0.16966889999999901</v>
      </c>
      <c r="Z5943">
        <v>3.0466930000000001E-3</v>
      </c>
      <c r="AA5943">
        <v>0.98549640000000005</v>
      </c>
      <c r="AB5943">
        <v>27</v>
      </c>
      <c r="AC5943">
        <v>46.156100000000002</v>
      </c>
      <c r="AD5943">
        <v>-1.1225767362670001</v>
      </c>
      <c r="AE5943">
        <v>7.2050000000000001</v>
      </c>
      <c r="AF5943">
        <v>-7.9463734014118099</v>
      </c>
      <c r="AG5943">
        <v>-1.1225767362670001</v>
      </c>
      <c r="AH5943">
        <v>46.006896943034903</v>
      </c>
      <c r="AI5943">
        <v>91.377363994205396</v>
      </c>
      <c r="AJ5943">
        <v>99.7995192152908</v>
      </c>
      <c r="AK5943">
        <v>46.701601633033</v>
      </c>
      <c r="AL5943">
        <v>80.495306240061893</v>
      </c>
      <c r="AM5943">
        <v>94.730251545642204</v>
      </c>
      <c r="AN5943">
        <v>0.99999997960988396</v>
      </c>
    </row>
    <row r="5944" spans="1:40" x14ac:dyDescent="0.25">
      <c r="A5944" t="str">
        <f>"20190303162419842"</f>
        <v>20190303162419842</v>
      </c>
      <c r="B5944" t="str">
        <f>"1551601459830491"</f>
        <v>1551601459830491</v>
      </c>
      <c r="C5944" t="s">
        <v>40</v>
      </c>
      <c r="D5944">
        <v>5.0643330000000004</v>
      </c>
      <c r="E5944">
        <v>0.46726099999999998</v>
      </c>
      <c r="F5944" t="s">
        <v>66</v>
      </c>
      <c r="G5944">
        <v>-214.77459999999999</v>
      </c>
      <c r="H5944" s="1">
        <v>-1.9327769999999999E-6</v>
      </c>
      <c r="I5944">
        <v>-55.365650000000002</v>
      </c>
      <c r="J5944">
        <v>-262.87819999999999</v>
      </c>
      <c r="K5944">
        <v>1.1225889999999901</v>
      </c>
      <c r="L5944">
        <v>-62.94641</v>
      </c>
      <c r="M5944">
        <v>0.99985380000000001</v>
      </c>
      <c r="N5944">
        <v>-8.8339089999999992E-3</v>
      </c>
      <c r="O5944">
        <v>-1.4643740000000001E-2</v>
      </c>
      <c r="P5944">
        <v>0.9852571</v>
      </c>
      <c r="Q5944">
        <v>0.15800169999999999</v>
      </c>
      <c r="R5944">
        <v>6.5603239999999993E-2</v>
      </c>
      <c r="S5944">
        <v>3.0242</v>
      </c>
      <c r="T5944">
        <v>-7.0370440000000006E-2</v>
      </c>
      <c r="U5944">
        <v>0.47515869999999999</v>
      </c>
      <c r="V5944">
        <v>-8.0896510000000005E-2</v>
      </c>
      <c r="W5944">
        <v>0.1662682</v>
      </c>
      <c r="X5944">
        <v>0.98275670000000004</v>
      </c>
      <c r="Y5944">
        <v>-0.1696011</v>
      </c>
      <c r="Z5944">
        <v>2.9249639999999999E-3</v>
      </c>
      <c r="AA5944">
        <v>0.98550839999999995</v>
      </c>
      <c r="AB5944">
        <v>27</v>
      </c>
      <c r="AC5944">
        <v>48.1036</v>
      </c>
      <c r="AD5944">
        <v>-1.1225909327769901</v>
      </c>
      <c r="AE5944">
        <v>7.58075999999999</v>
      </c>
      <c r="AF5944">
        <v>-8.2799910399379595</v>
      </c>
      <c r="AG5944">
        <v>-1.1225909327769901</v>
      </c>
      <c r="AH5944">
        <v>47.961938976368998</v>
      </c>
      <c r="AI5944">
        <v>91.321275155283203</v>
      </c>
      <c r="AJ5944">
        <v>99.794809693837195</v>
      </c>
      <c r="AK5944">
        <v>48.684351206488799</v>
      </c>
      <c r="AL5944">
        <v>80.429085733589403</v>
      </c>
      <c r="AM5944">
        <v>94.7057446807041</v>
      </c>
      <c r="AN5944">
        <v>1.0000000455281499</v>
      </c>
    </row>
    <row r="5945" spans="1:40" x14ac:dyDescent="0.25">
      <c r="A5945" t="str">
        <f>"20190303162419852"</f>
        <v>20190303162419852</v>
      </c>
      <c r="B5945" t="str">
        <f>"1551601459840251"</f>
        <v>1551601459840251</v>
      </c>
      <c r="C5945" t="s">
        <v>40</v>
      </c>
      <c r="D5945">
        <v>5.2647449999999996</v>
      </c>
      <c r="E5945">
        <v>0.46726099999999998</v>
      </c>
      <c r="F5945" t="s">
        <v>66</v>
      </c>
      <c r="G5945">
        <v>-213.11179999999999</v>
      </c>
      <c r="H5945" s="1">
        <v>-1.4402429999999999E-6</v>
      </c>
      <c r="I5945">
        <v>-55.090060000000001</v>
      </c>
      <c r="J5945">
        <v>-262.76240000000001</v>
      </c>
      <c r="K5945">
        <v>1.122595</v>
      </c>
      <c r="L5945">
        <v>-62.946750000000002</v>
      </c>
      <c r="M5945">
        <v>0.99987170000000003</v>
      </c>
      <c r="N5945">
        <v>-8.8341519999999996E-3</v>
      </c>
      <c r="O5945">
        <v>-1.3367489999999999E-2</v>
      </c>
      <c r="P5945">
        <v>0.98506389999999999</v>
      </c>
      <c r="Q5945">
        <v>0.1587895</v>
      </c>
      <c r="R5945">
        <v>6.659648E-2</v>
      </c>
      <c r="S5945">
        <v>3.0240480000000001</v>
      </c>
      <c r="T5945">
        <v>-6.8214060000000007E-2</v>
      </c>
      <c r="U5945">
        <v>0.47738649999999999</v>
      </c>
      <c r="V5945">
        <v>-8.0635830000000006E-2</v>
      </c>
      <c r="W5945">
        <v>0.16705619999999999</v>
      </c>
      <c r="X5945">
        <v>0.98264439999999997</v>
      </c>
      <c r="Y5945">
        <v>-0.16906299999999999</v>
      </c>
      <c r="Z5945">
        <v>2.8287099999999999E-3</v>
      </c>
      <c r="AA5945">
        <v>0.98560119999999896</v>
      </c>
      <c r="AB5945">
        <v>27</v>
      </c>
      <c r="AC5945">
        <v>49.650599999999997</v>
      </c>
      <c r="AD5945">
        <v>-1.122596440243</v>
      </c>
      <c r="AE5945">
        <v>7.8566899999999897</v>
      </c>
      <c r="AF5945">
        <v>-8.5154708648503199</v>
      </c>
      <c r="AG5945">
        <v>-1.122596440243</v>
      </c>
      <c r="AH5945">
        <v>49.516440227223001</v>
      </c>
      <c r="AI5945">
        <v>91.279958001361393</v>
      </c>
      <c r="AJ5945">
        <v>99.757856349238494</v>
      </c>
      <c r="AK5945">
        <v>50.255858559912298</v>
      </c>
      <c r="AL5945">
        <v>80.383295458811702</v>
      </c>
      <c r="AM5945">
        <v>94.691182385263005</v>
      </c>
      <c r="AN5945">
        <v>0.99999996394479296</v>
      </c>
    </row>
    <row r="5946" spans="1:40" x14ac:dyDescent="0.25">
      <c r="A5946" t="str">
        <f>"20190303162419863"</f>
        <v>20190303162419863</v>
      </c>
      <c r="B5946" t="str">
        <f>"1551601459850988"</f>
        <v>1551601459850988</v>
      </c>
      <c r="C5946" t="s">
        <v>40</v>
      </c>
      <c r="D5946">
        <v>5.3816680000000003</v>
      </c>
      <c r="E5946">
        <v>0.4746225</v>
      </c>
      <c r="F5946" t="s">
        <v>66</v>
      </c>
      <c r="G5946">
        <v>-211.0951</v>
      </c>
      <c r="H5946" s="1">
        <v>-8.4874939999999997E-7</v>
      </c>
      <c r="I5946">
        <v>-54.733809999999998</v>
      </c>
      <c r="J5946">
        <v>-262.6234</v>
      </c>
      <c r="K5946">
        <v>1.1226020000000001</v>
      </c>
      <c r="L5946">
        <v>-62.947110000000002</v>
      </c>
      <c r="M5946">
        <v>0.99989090000000003</v>
      </c>
      <c r="N5946">
        <v>-8.83445699999999E-3</v>
      </c>
      <c r="O5946">
        <v>-1.183708E-2</v>
      </c>
      <c r="P5946">
        <v>0.98484320000000003</v>
      </c>
      <c r="Q5946">
        <v>0.15961059999999999</v>
      </c>
      <c r="R5946">
        <v>6.7887429999999999E-2</v>
      </c>
      <c r="S5946">
        <v>3.02359</v>
      </c>
      <c r="T5946">
        <v>-6.5694810000000006E-2</v>
      </c>
      <c r="U5946">
        <v>0.48062129999999997</v>
      </c>
      <c r="V5946">
        <v>-8.0424389999999998E-2</v>
      </c>
      <c r="W5946">
        <v>0.167877</v>
      </c>
      <c r="X5946">
        <v>0.98252189999999995</v>
      </c>
      <c r="Y5946">
        <v>-0.16861010000000001</v>
      </c>
      <c r="Z5946">
        <v>2.7213810000000001E-3</v>
      </c>
      <c r="AA5946">
        <v>0.98567910000000003</v>
      </c>
      <c r="AB5946">
        <v>27</v>
      </c>
      <c r="AC5946">
        <v>51.528300000000002</v>
      </c>
      <c r="AD5946">
        <v>-1.1226028487494</v>
      </c>
      <c r="AE5946">
        <v>8.2132999999999896</v>
      </c>
      <c r="AF5946">
        <v>-8.8186110231732098</v>
      </c>
      <c r="AG5946">
        <v>-1.1226028487494</v>
      </c>
      <c r="AH5946">
        <v>51.403670802880399</v>
      </c>
      <c r="AI5946">
        <v>91.233073202114795</v>
      </c>
      <c r="AJ5946">
        <v>99.734674195036604</v>
      </c>
      <c r="AK5946">
        <v>52.166708824162498</v>
      </c>
      <c r="AL5946">
        <v>80.335594033004</v>
      </c>
      <c r="AM5946">
        <v>94.679516819720703</v>
      </c>
      <c r="AN5946">
        <v>1.00000002680774</v>
      </c>
    </row>
    <row r="5947" spans="1:40" x14ac:dyDescent="0.25">
      <c r="A5947" t="str">
        <f>"20190303162419875"</f>
        <v>20190303162419875</v>
      </c>
      <c r="B5947" t="str">
        <f>"1551601459870507"</f>
        <v>1551601459870507</v>
      </c>
      <c r="C5947" t="s">
        <v>40</v>
      </c>
      <c r="D5947">
        <v>5.3700609999999998</v>
      </c>
      <c r="E5947">
        <v>0.47488639999999999</v>
      </c>
      <c r="F5947" t="s">
        <v>64</v>
      </c>
      <c r="G5947">
        <v>-231.20140000000001</v>
      </c>
      <c r="H5947" s="1">
        <v>1.076575E-7</v>
      </c>
      <c r="I5947">
        <v>-58.518180000000001</v>
      </c>
      <c r="J5947">
        <v>-262.48320000000001</v>
      </c>
      <c r="K5947">
        <v>1.122609</v>
      </c>
      <c r="L5947">
        <v>-62.9471699999999</v>
      </c>
      <c r="M5947">
        <v>0.99990809999999997</v>
      </c>
      <c r="N5947">
        <v>-8.8350659999999904E-3</v>
      </c>
      <c r="O5947">
        <v>-1.0290580000000001E-2</v>
      </c>
      <c r="P5947">
        <v>0.98466140000000002</v>
      </c>
      <c r="Q5947">
        <v>0.16041559999999999</v>
      </c>
      <c r="R5947">
        <v>6.8621189999999999E-2</v>
      </c>
      <c r="S5947">
        <v>3.0342709999999999</v>
      </c>
      <c r="T5947">
        <v>-0.1084039</v>
      </c>
      <c r="U5947">
        <v>0.42767329999999998</v>
      </c>
      <c r="V5947">
        <v>-7.9639699999999994E-2</v>
      </c>
      <c r="W5947">
        <v>0.16868549999999999</v>
      </c>
      <c r="X5947">
        <v>0.98244730000000002</v>
      </c>
      <c r="Y5947">
        <v>-0.14963019999999999</v>
      </c>
      <c r="Z5947">
        <v>3.5987689999999999E-3</v>
      </c>
      <c r="AA5947">
        <v>0.98873549999999999</v>
      </c>
      <c r="AB5947">
        <v>27</v>
      </c>
      <c r="AC5947">
        <v>31.2818</v>
      </c>
      <c r="AD5947">
        <v>-1.1226088923424999</v>
      </c>
      <c r="AE5947">
        <v>4.4289899999999802</v>
      </c>
      <c r="AF5947">
        <v>-4.7446853990731501</v>
      </c>
      <c r="AG5947">
        <v>-1.1226088923424999</v>
      </c>
      <c r="AH5947">
        <v>31.1951789239316</v>
      </c>
      <c r="AI5947">
        <v>92.037578536632793</v>
      </c>
      <c r="AJ5947">
        <v>98.648220811032402</v>
      </c>
      <c r="AK5947">
        <v>31.573905022303599</v>
      </c>
      <c r="AL5947">
        <v>80.288599841788695</v>
      </c>
      <c r="AM5947">
        <v>94.634409570138601</v>
      </c>
      <c r="AN5947">
        <v>0.99999998850181404</v>
      </c>
    </row>
    <row r="5948" spans="1:40" x14ac:dyDescent="0.25">
      <c r="A5948" t="str">
        <f>"20190303162419886"</f>
        <v>20190303162419886</v>
      </c>
      <c r="B5948" t="str">
        <f>"1551601459880267"</f>
        <v>1551601459880267</v>
      </c>
      <c r="C5948" t="s">
        <v>40</v>
      </c>
      <c r="D5948">
        <v>5.3097310000000002</v>
      </c>
      <c r="E5948">
        <v>0.47551569999999999</v>
      </c>
      <c r="F5948" t="s">
        <v>64</v>
      </c>
      <c r="G5948">
        <v>-231.8434</v>
      </c>
      <c r="H5948" s="1">
        <v>-8.9581699999999905E-8</v>
      </c>
      <c r="I5948">
        <v>-58.626809999999999</v>
      </c>
      <c r="J5948">
        <v>-262.3492</v>
      </c>
      <c r="K5948">
        <v>1.1226130000000001</v>
      </c>
      <c r="L5948">
        <v>-62.94708</v>
      </c>
      <c r="M5948">
        <v>0.99992230000000004</v>
      </c>
      <c r="N5948">
        <v>-8.8357190000000006E-3</v>
      </c>
      <c r="O5948">
        <v>-8.8122700000000005E-3</v>
      </c>
      <c r="P5948">
        <v>0.98452240000000002</v>
      </c>
      <c r="Q5948">
        <v>0.16114700000000001</v>
      </c>
      <c r="R5948">
        <v>6.8902130000000006E-2</v>
      </c>
      <c r="S5948">
        <v>3.035034</v>
      </c>
      <c r="T5948">
        <v>-0.1112002</v>
      </c>
      <c r="U5948">
        <v>0.427948</v>
      </c>
      <c r="V5948">
        <v>-7.8470600000000001E-2</v>
      </c>
      <c r="W5948">
        <v>0.1694224</v>
      </c>
      <c r="X5948">
        <v>0.98241460000000003</v>
      </c>
      <c r="Y5948">
        <v>-0.1482176</v>
      </c>
      <c r="Z5948">
        <v>3.603087E-3</v>
      </c>
      <c r="AA5948">
        <v>0.98894820000000005</v>
      </c>
      <c r="AB5948">
        <v>27</v>
      </c>
      <c r="AC5948">
        <v>30.505799999999901</v>
      </c>
      <c r="AD5948">
        <v>-1.1226130895816999</v>
      </c>
      <c r="AE5948">
        <v>4.3202699999999998</v>
      </c>
      <c r="AF5948">
        <v>-4.5828537810143697</v>
      </c>
      <c r="AG5948">
        <v>-1.1226130895816999</v>
      </c>
      <c r="AH5948">
        <v>30.426148424920399</v>
      </c>
      <c r="AI5948">
        <v>92.089497159490193</v>
      </c>
      <c r="AJ5948">
        <v>98.565628072838706</v>
      </c>
      <c r="AK5948">
        <v>30.7898248923625</v>
      </c>
      <c r="AL5948">
        <v>80.2457622725384</v>
      </c>
      <c r="AM5948">
        <v>94.566818312465401</v>
      </c>
      <c r="AN5948">
        <v>1.00000001548963</v>
      </c>
    </row>
    <row r="5949" spans="1:40" x14ac:dyDescent="0.25">
      <c r="A5949" t="str">
        <f>"20190303162419897"</f>
        <v>20190303162419897</v>
      </c>
      <c r="B5949" t="str">
        <f>"1551601459890534"</f>
        <v>1551601459890534</v>
      </c>
      <c r="C5949" t="s">
        <v>40</v>
      </c>
      <c r="D5949">
        <v>5.4864319999999998</v>
      </c>
      <c r="E5949">
        <v>0.47551569999999999</v>
      </c>
      <c r="F5949" t="s">
        <v>64</v>
      </c>
      <c r="G5949">
        <v>-230.13149999999999</v>
      </c>
      <c r="H5949" s="1">
        <v>4.5331649999999999E-7</v>
      </c>
      <c r="I5949">
        <v>-58.44896</v>
      </c>
      <c r="J5949">
        <v>-262.20670000000001</v>
      </c>
      <c r="K5949">
        <v>1.122617</v>
      </c>
      <c r="L5949">
        <v>-62.946779999999997</v>
      </c>
      <c r="M5949">
        <v>0.99993469999999995</v>
      </c>
      <c r="N5949">
        <v>-8.8365790000000007E-3</v>
      </c>
      <c r="O5949">
        <v>-7.2410959999999998E-3</v>
      </c>
      <c r="P5949">
        <v>0.98442569999999996</v>
      </c>
      <c r="Q5949">
        <v>0.16166040000000001</v>
      </c>
      <c r="R5949">
        <v>6.9080160000000002E-2</v>
      </c>
      <c r="S5949">
        <v>3.034821</v>
      </c>
      <c r="T5949">
        <v>-0.1057472</v>
      </c>
      <c r="U5949">
        <v>0.42370609999999997</v>
      </c>
      <c r="V5949">
        <v>-7.7105939999999998E-2</v>
      </c>
      <c r="W5949">
        <v>0.16994310000000001</v>
      </c>
      <c r="X5949">
        <v>0.98243270000000005</v>
      </c>
      <c r="Y5949">
        <v>-0.14533070000000001</v>
      </c>
      <c r="Z5949">
        <v>3.3518829999999999E-3</v>
      </c>
      <c r="AA5949">
        <v>0.98937739999999996</v>
      </c>
      <c r="AB5949">
        <v>27</v>
      </c>
      <c r="AC5949">
        <v>32.075200000000002</v>
      </c>
      <c r="AD5949">
        <v>-1.1226165466834901</v>
      </c>
      <c r="AE5949">
        <v>4.4978199999999999</v>
      </c>
      <c r="AF5949">
        <v>-4.7242952500307496</v>
      </c>
      <c r="AG5949">
        <v>-1.1226165466834901</v>
      </c>
      <c r="AH5949">
        <v>32.0033415933448</v>
      </c>
      <c r="AI5949">
        <v>91.987482905201006</v>
      </c>
      <c r="AJ5949">
        <v>98.397289346571696</v>
      </c>
      <c r="AK5949">
        <v>32.369632476453397</v>
      </c>
      <c r="AL5949">
        <v>80.215489178509799</v>
      </c>
      <c r="AM5949">
        <v>94.487643001760006</v>
      </c>
      <c r="AN5949">
        <v>0.99999999662509098</v>
      </c>
    </row>
    <row r="5950" spans="1:40" x14ac:dyDescent="0.25">
      <c r="A5950" t="str">
        <f>"20190303162419908"</f>
        <v>20190303162419908</v>
      </c>
      <c r="B5950" t="str">
        <f>"1551601459900295"</f>
        <v>1551601459900295</v>
      </c>
      <c r="C5950" t="s">
        <v>40</v>
      </c>
      <c r="D5950">
        <v>5.2598159999999998</v>
      </c>
      <c r="E5950">
        <v>0.4946932</v>
      </c>
      <c r="F5950" t="s">
        <v>65</v>
      </c>
      <c r="G5950">
        <v>-229.4813</v>
      </c>
      <c r="H5950" s="1">
        <v>-3.6308189999999999E-6</v>
      </c>
      <c r="I5950">
        <v>-58.369500000000002</v>
      </c>
      <c r="J5950">
        <v>-262.08019999999999</v>
      </c>
      <c r="K5950">
        <v>1.1226130000000001</v>
      </c>
      <c r="L5950">
        <v>-62.946289999999998</v>
      </c>
      <c r="M5950">
        <v>0.99994380000000005</v>
      </c>
      <c r="N5950">
        <v>-8.8374170000000002E-3</v>
      </c>
      <c r="O5950">
        <v>-5.8479059999999999E-3</v>
      </c>
      <c r="P5950">
        <v>0.98441809999999996</v>
      </c>
      <c r="Q5950">
        <v>0.16176389999999999</v>
      </c>
      <c r="R5950">
        <v>6.8945740000000005E-2</v>
      </c>
      <c r="S5950">
        <v>3.0347599999999999</v>
      </c>
      <c r="T5950">
        <v>-0.10410519999999999</v>
      </c>
      <c r="U5950">
        <v>0.42446899999999999</v>
      </c>
      <c r="V5950">
        <v>-7.5602000000000003E-2</v>
      </c>
      <c r="W5950">
        <v>0.17005590000000001</v>
      </c>
      <c r="X5950">
        <v>0.98253009999999996</v>
      </c>
      <c r="Y5950">
        <v>-0.1442032</v>
      </c>
      <c r="Z5950">
        <v>3.2494059999999998E-3</v>
      </c>
      <c r="AA5950">
        <v>0.98954279999999994</v>
      </c>
      <c r="AB5950">
        <v>27</v>
      </c>
      <c r="AC5950">
        <v>32.598899999999901</v>
      </c>
      <c r="AD5950">
        <v>-1.12261663081899</v>
      </c>
      <c r="AE5950">
        <v>4.5767899999999999</v>
      </c>
      <c r="AF5950">
        <v>-4.7618164980084998</v>
      </c>
      <c r="AG5950">
        <v>-1.12261663081899</v>
      </c>
      <c r="AH5950">
        <v>32.533740111177103</v>
      </c>
      <c r="AI5950">
        <v>91.955458743047402</v>
      </c>
      <c r="AJ5950">
        <v>98.3269975414253</v>
      </c>
      <c r="AK5950">
        <v>32.899535104346199</v>
      </c>
      <c r="AL5950">
        <v>80.208931125225007</v>
      </c>
      <c r="AM5950">
        <v>94.400024873226897</v>
      </c>
      <c r="AN5950">
        <v>1.0000000344674</v>
      </c>
    </row>
    <row r="5951" spans="1:40" x14ac:dyDescent="0.25">
      <c r="A5951" t="str">
        <f>"20190303162419918"</f>
        <v>20190303162419918</v>
      </c>
      <c r="B5951" t="str">
        <f>"1551601459911030"</f>
        <v>1551601459911030</v>
      </c>
      <c r="C5951" t="s">
        <v>40</v>
      </c>
      <c r="D5951">
        <v>5.2965229999999996</v>
      </c>
      <c r="E5951">
        <v>0.50309799999999905</v>
      </c>
      <c r="F5951" t="s">
        <v>66</v>
      </c>
      <c r="G5951">
        <v>-213.6396</v>
      </c>
      <c r="H5951" s="1">
        <v>-8.4000199999999995E-7</v>
      </c>
      <c r="I5951">
        <v>-58.638420000000004</v>
      </c>
      <c r="J5951">
        <v>-261.94600000000003</v>
      </c>
      <c r="K5951">
        <v>1.122611</v>
      </c>
      <c r="L5951">
        <v>-62.945650000000001</v>
      </c>
      <c r="M5951">
        <v>0.99995149999999999</v>
      </c>
      <c r="N5951">
        <v>-8.838383E-3</v>
      </c>
      <c r="O5951">
        <v>-4.3717519999999996E-3</v>
      </c>
      <c r="P5951">
        <v>0.9844425</v>
      </c>
      <c r="Q5951">
        <v>0.16178719999999999</v>
      </c>
      <c r="R5951">
        <v>6.8543759999999995E-2</v>
      </c>
      <c r="S5951">
        <v>3.0400999999999998</v>
      </c>
      <c r="T5951">
        <v>-7.045448E-2</v>
      </c>
      <c r="U5951">
        <v>0.27035520000000002</v>
      </c>
      <c r="V5951">
        <v>-7.3748480000000005E-2</v>
      </c>
      <c r="W5951">
        <v>0.1700911</v>
      </c>
      <c r="X5951">
        <v>0.9826648</v>
      </c>
      <c r="Y5951">
        <v>-9.2899319999999994E-2</v>
      </c>
      <c r="Z5951">
        <v>1.5481900000000001E-3</v>
      </c>
      <c r="AA5951">
        <v>0.99567430000000001</v>
      </c>
      <c r="AB5951">
        <v>27</v>
      </c>
      <c r="AC5951">
        <v>48.306399999999897</v>
      </c>
      <c r="AD5951">
        <v>-1.122611840002</v>
      </c>
      <c r="AE5951">
        <v>4.3072299999999997</v>
      </c>
      <c r="AF5951">
        <v>-4.5159609649372703</v>
      </c>
      <c r="AG5951">
        <v>-1.122611840002</v>
      </c>
      <c r="AH5951">
        <v>48.261248610435899</v>
      </c>
      <c r="AI5951">
        <v>91.326731409468707</v>
      </c>
      <c r="AJ5951">
        <v>95.345785001905796</v>
      </c>
      <c r="AK5951">
        <v>48.485072736033402</v>
      </c>
      <c r="AL5951">
        <v>80.206883809123596</v>
      </c>
      <c r="AM5951">
        <v>94.291972325230702</v>
      </c>
      <c r="AN5951">
        <v>0.99999996488027898</v>
      </c>
    </row>
    <row r="5952" spans="1:40" x14ac:dyDescent="0.25">
      <c r="A5952" t="str">
        <f>"20190303162419929"</f>
        <v>20190303162419929</v>
      </c>
      <c r="B5952" t="str">
        <f>"1551601459920791"</f>
        <v>1551601459920791</v>
      </c>
      <c r="C5952" t="s">
        <v>40</v>
      </c>
      <c r="D5952">
        <v>5.2722480000000003</v>
      </c>
      <c r="E5952">
        <v>0.51073489999999999</v>
      </c>
      <c r="F5952" t="s">
        <v>66</v>
      </c>
      <c r="G5952">
        <v>-217.89359999999999</v>
      </c>
      <c r="H5952" s="1">
        <v>-2.4203279999999999E-6</v>
      </c>
      <c r="I5952">
        <v>-60.01726</v>
      </c>
      <c r="J5952">
        <v>-261.81720000000001</v>
      </c>
      <c r="K5952">
        <v>1.122606</v>
      </c>
      <c r="L5952">
        <v>-62.944760000000002</v>
      </c>
      <c r="M5952">
        <v>0.99995650000000003</v>
      </c>
      <c r="N5952">
        <v>-8.8393159999999998E-3</v>
      </c>
      <c r="O5952">
        <v>-2.961413E-3</v>
      </c>
      <c r="P5952">
        <v>0.98460409999999998</v>
      </c>
      <c r="Q5952">
        <v>0.16116279999999999</v>
      </c>
      <c r="R5952">
        <v>6.7684679999999997E-2</v>
      </c>
      <c r="S5952">
        <v>3.0460820000000002</v>
      </c>
      <c r="T5952">
        <v>-7.762492E-2</v>
      </c>
      <c r="U5952">
        <v>0.2024841</v>
      </c>
      <c r="V5952">
        <v>-7.1497850000000002E-2</v>
      </c>
      <c r="W5952">
        <v>0.16948260000000001</v>
      </c>
      <c r="X5952">
        <v>0.98293629999999999</v>
      </c>
      <c r="Y5952">
        <v>-6.9251380000000001E-2</v>
      </c>
      <c r="Z5952">
        <v>1.2369760000000001E-3</v>
      </c>
      <c r="AA5952">
        <v>0.99759850000000005</v>
      </c>
      <c r="AB5952">
        <v>27</v>
      </c>
      <c r="AC5952">
        <v>43.9236</v>
      </c>
      <c r="AD5952">
        <v>-1.122608420328</v>
      </c>
      <c r="AE5952">
        <v>2.92749999999999</v>
      </c>
      <c r="AF5952">
        <v>-3.05558102492961</v>
      </c>
      <c r="AG5952">
        <v>-1.122608420328</v>
      </c>
      <c r="AH5952">
        <v>43.886196862963999</v>
      </c>
      <c r="AI5952">
        <v>91.461768597664403</v>
      </c>
      <c r="AJ5952">
        <v>93.982797168931896</v>
      </c>
      <c r="AK5952">
        <v>44.006761982224198</v>
      </c>
      <c r="AL5952">
        <v>80.242262616774397</v>
      </c>
      <c r="AM5952">
        <v>94.160313375851899</v>
      </c>
      <c r="AN5952">
        <v>1.00000003205753</v>
      </c>
    </row>
    <row r="5953" spans="1:40" x14ac:dyDescent="0.25">
      <c r="A5953" t="str">
        <f>"20190303162419944"</f>
        <v>20190303162419944</v>
      </c>
      <c r="B5953" t="str">
        <f>"1551601459931528"</f>
        <v>1551601459931528</v>
      </c>
      <c r="C5953" t="s">
        <v>40</v>
      </c>
      <c r="D5953">
        <v>5.2605449999999996</v>
      </c>
      <c r="E5953">
        <v>0.51537250000000001</v>
      </c>
      <c r="F5953" t="s">
        <v>65</v>
      </c>
      <c r="G5953">
        <v>-222.30869999999999</v>
      </c>
      <c r="H5953" s="1">
        <v>-2.7778570000000002E-7</v>
      </c>
      <c r="I5953">
        <v>-61.145060000000001</v>
      </c>
      <c r="J5953">
        <v>-261.65469999999999</v>
      </c>
      <c r="K5953">
        <v>1.1225959999999999</v>
      </c>
      <c r="L5953">
        <v>-62.943510000000003</v>
      </c>
      <c r="M5953">
        <v>0.99996039999999997</v>
      </c>
      <c r="N5953">
        <v>-8.8405010000000006E-3</v>
      </c>
      <c r="O5953">
        <v>-1.187144E-3</v>
      </c>
      <c r="P5953">
        <v>0.98475440000000003</v>
      </c>
      <c r="Q5953">
        <v>0.1607364</v>
      </c>
      <c r="R5953">
        <v>6.6503939999999998E-2</v>
      </c>
      <c r="S5953">
        <v>3.0516049999999999</v>
      </c>
      <c r="T5953">
        <v>-8.6709259999999996E-2</v>
      </c>
      <c r="U5953">
        <v>0.13900760000000001</v>
      </c>
      <c r="V5953">
        <v>-6.8566459999999996E-2</v>
      </c>
      <c r="W5953">
        <v>0.16907559999999999</v>
      </c>
      <c r="X5953">
        <v>0.98321519999999996</v>
      </c>
      <c r="Y5953">
        <v>-4.6666140000000002E-2</v>
      </c>
      <c r="Z5953">
        <v>8.9217699999999997E-4</v>
      </c>
      <c r="AA5953">
        <v>0.99891010000000002</v>
      </c>
      <c r="AB5953">
        <v>27</v>
      </c>
      <c r="AC5953">
        <v>39.345999999999997</v>
      </c>
      <c r="AD5953">
        <v>-1.1225962777856999</v>
      </c>
      <c r="AE5953">
        <v>1.7984499999999899</v>
      </c>
      <c r="AF5953">
        <v>-1.84366223061043</v>
      </c>
      <c r="AG5953">
        <v>-1.1225962777856999</v>
      </c>
      <c r="AH5953">
        <v>39.311902409482897</v>
      </c>
      <c r="AI5953">
        <v>91.633907026122202</v>
      </c>
      <c r="AJ5953">
        <v>92.685108441223093</v>
      </c>
      <c r="AK5953">
        <v>39.371118651572303</v>
      </c>
      <c r="AL5953">
        <v>80.265923386376201</v>
      </c>
      <c r="AM5953">
        <v>93.989176286161296</v>
      </c>
      <c r="AN5953">
        <v>1.00000002373166</v>
      </c>
    </row>
    <row r="5954" spans="1:40" x14ac:dyDescent="0.25">
      <c r="A5954" t="str">
        <f>"20190303162419954"</f>
        <v>20190303162419954</v>
      </c>
      <c r="B5954" t="str">
        <f>"1551601459940309"</f>
        <v>1551601459940309</v>
      </c>
      <c r="C5954" t="s">
        <v>40</v>
      </c>
      <c r="D5954">
        <v>5.2965609999999996</v>
      </c>
      <c r="E5954">
        <v>0.5182388</v>
      </c>
      <c r="F5954" t="s">
        <v>65</v>
      </c>
      <c r="G5954">
        <v>-224.70500000000001</v>
      </c>
      <c r="H5954" s="1">
        <v>-1.4413949999999999E-6</v>
      </c>
      <c r="I5954">
        <v>-61.754980000000003</v>
      </c>
      <c r="J5954">
        <v>-261.51220000000001</v>
      </c>
      <c r="K5954">
        <v>1.1225810000000001</v>
      </c>
      <c r="L5954">
        <v>-62.942079999999997</v>
      </c>
      <c r="M5954">
        <v>0.99996090000000004</v>
      </c>
      <c r="N5954">
        <v>-8.8414569999999901E-3</v>
      </c>
      <c r="O5954">
        <v>3.4844720000000001E-4</v>
      </c>
      <c r="P5954">
        <v>0.98492849999999998</v>
      </c>
      <c r="Q5954">
        <v>0.1602914</v>
      </c>
      <c r="R5954">
        <v>6.4982429999999994E-2</v>
      </c>
      <c r="S5954">
        <v>3.0549620000000002</v>
      </c>
      <c r="T5954">
        <v>-9.2815159999999994E-2</v>
      </c>
      <c r="U5954">
        <v>9.8266599999999996E-2</v>
      </c>
      <c r="V5954">
        <v>-6.5526810000000005E-2</v>
      </c>
      <c r="W5954">
        <v>0.1686512</v>
      </c>
      <c r="X5954">
        <v>0.98349529999999996</v>
      </c>
      <c r="Y5954">
        <v>-3.1782480000000002E-2</v>
      </c>
      <c r="Z5954">
        <v>6.1564879999999897E-4</v>
      </c>
      <c r="AA5954">
        <v>0.99949460000000001</v>
      </c>
      <c r="AB5954">
        <v>27</v>
      </c>
      <c r="AC5954">
        <v>36.807200000000002</v>
      </c>
      <c r="AD5954">
        <v>-1.1225824413950001</v>
      </c>
      <c r="AE5954">
        <v>1.1871</v>
      </c>
      <c r="AF5954">
        <v>-1.1731839132983</v>
      </c>
      <c r="AG5954">
        <v>-1.1225824413950001</v>
      </c>
      <c r="AH5954">
        <v>36.773440738183801</v>
      </c>
      <c r="AI5954">
        <v>91.7476360529445</v>
      </c>
      <c r="AJ5954">
        <v>91.827288780607304</v>
      </c>
      <c r="AK5954">
        <v>36.809271869419902</v>
      </c>
      <c r="AL5954">
        <v>80.290593741909802</v>
      </c>
      <c r="AM5954">
        <v>93.811781333696203</v>
      </c>
      <c r="AN5954">
        <v>0.99999999760615299</v>
      </c>
    </row>
    <row r="5955" spans="1:40" x14ac:dyDescent="0.25">
      <c r="A5955" t="str">
        <f>"20190303162419966"</f>
        <v>20190303162419966</v>
      </c>
      <c r="B5955" t="str">
        <f>"1551601459960806"</f>
        <v>1551601459960806</v>
      </c>
      <c r="C5955" t="s">
        <v>40</v>
      </c>
      <c r="D5955">
        <v>5.2261249999999997</v>
      </c>
      <c r="E5955">
        <v>0.52217139999999995</v>
      </c>
      <c r="F5955" t="s">
        <v>65</v>
      </c>
      <c r="G5955">
        <v>-229.36160000000001</v>
      </c>
      <c r="H5955" s="1">
        <v>-3.437029E-6</v>
      </c>
      <c r="I5955">
        <v>-62.197850000000003</v>
      </c>
      <c r="J5955">
        <v>-261.37270000000001</v>
      </c>
      <c r="K5955">
        <v>1.122565</v>
      </c>
      <c r="L5955">
        <v>-62.940550000000002</v>
      </c>
      <c r="M5955">
        <v>0.99995919999999905</v>
      </c>
      <c r="N5955">
        <v>-8.8423900000000003E-3</v>
      </c>
      <c r="O5955">
        <v>1.8442759999999999E-3</v>
      </c>
      <c r="P5955">
        <v>0.9851936</v>
      </c>
      <c r="Q5955">
        <v>0.15950889999999901</v>
      </c>
      <c r="R5955">
        <v>6.2852660000000005E-2</v>
      </c>
      <c r="S5955">
        <v>3.0585939999999998</v>
      </c>
      <c r="T5955">
        <v>-0.1067953</v>
      </c>
      <c r="U5955">
        <v>7.0800779999999994E-2</v>
      </c>
      <c r="V5955">
        <v>-6.1914080000000003E-2</v>
      </c>
      <c r="W5955">
        <v>0.16789389999999901</v>
      </c>
      <c r="X5955">
        <v>0.98385889999999998</v>
      </c>
      <c r="Y5955">
        <v>-2.128244E-2</v>
      </c>
      <c r="Z5955">
        <v>4.174704E-4</v>
      </c>
      <c r="AA5955">
        <v>0.99977340000000003</v>
      </c>
      <c r="AB5955">
        <v>27</v>
      </c>
      <c r="AC5955">
        <v>32.011099999999999</v>
      </c>
      <c r="AD5955">
        <v>-1.1225684370290001</v>
      </c>
      <c r="AE5955">
        <v>0.74269999999999903</v>
      </c>
      <c r="AF5955">
        <v>-0.68281986423987395</v>
      </c>
      <c r="AG5955">
        <v>-1.1225684370290001</v>
      </c>
      <c r="AH5955">
        <v>31.973116875953</v>
      </c>
      <c r="AI5955">
        <v>92.010357042661596</v>
      </c>
      <c r="AJ5955">
        <v>91.223426244501596</v>
      </c>
      <c r="AK5955">
        <v>32.000103212742403</v>
      </c>
      <c r="AL5955">
        <v>80.334611775637597</v>
      </c>
      <c r="AM5955">
        <v>93.600865722751095</v>
      </c>
      <c r="AN5955">
        <v>1.0000000250343299</v>
      </c>
    </row>
    <row r="5956" spans="1:40" x14ac:dyDescent="0.25">
      <c r="A5956" t="str">
        <f>"20190303162419978"</f>
        <v>20190303162419978</v>
      </c>
      <c r="B5956" t="str">
        <f>"1551601459970567"</f>
        <v>1551601459970567</v>
      </c>
      <c r="C5956" t="s">
        <v>40</v>
      </c>
      <c r="D5956">
        <v>5.2260949999999999</v>
      </c>
      <c r="E5956">
        <v>0.52343019999999996</v>
      </c>
      <c r="F5956" t="s">
        <v>64</v>
      </c>
      <c r="G5956">
        <v>-232.85159999999999</v>
      </c>
      <c r="H5956" s="1">
        <v>-8.1046550000000001E-7</v>
      </c>
      <c r="I5956">
        <v>-62.638660000000002</v>
      </c>
      <c r="J5956">
        <v>-261.21820000000002</v>
      </c>
      <c r="K5956">
        <v>1.1225459999999901</v>
      </c>
      <c r="L5956">
        <v>-62.938630000000003</v>
      </c>
      <c r="M5956">
        <v>0.99995489999999998</v>
      </c>
      <c r="N5956">
        <v>-8.8433839999999993E-3</v>
      </c>
      <c r="O5956">
        <v>3.484203E-3</v>
      </c>
      <c r="P5956">
        <v>0.98547910000000005</v>
      </c>
      <c r="Q5956">
        <v>0.15880469999999999</v>
      </c>
      <c r="R5956">
        <v>6.0101839999999997E-2</v>
      </c>
      <c r="S5956">
        <v>3.0625610000000001</v>
      </c>
      <c r="T5956">
        <v>-0.1205394</v>
      </c>
      <c r="U5956">
        <v>3.2409670000000002E-2</v>
      </c>
      <c r="V5956">
        <v>-5.7536520000000001E-2</v>
      </c>
      <c r="W5956">
        <v>0.167218899999999</v>
      </c>
      <c r="X5956">
        <v>0.98423950000000004</v>
      </c>
      <c r="Y5956">
        <v>-7.0926330000000001E-3</v>
      </c>
      <c r="Z5956" s="1">
        <v>6.4625159999999996E-5</v>
      </c>
      <c r="AA5956">
        <v>0.99997480000000005</v>
      </c>
      <c r="AB5956">
        <v>27</v>
      </c>
      <c r="AC5956">
        <v>28.366599999999998</v>
      </c>
      <c r="AD5956">
        <v>-1.1225468104655001</v>
      </c>
      <c r="AE5956">
        <v>0.29997000000000801</v>
      </c>
      <c r="AF5956">
        <v>-0.200814885766437</v>
      </c>
      <c r="AG5956">
        <v>-1.1225468104655001</v>
      </c>
      <c r="AH5956">
        <v>28.323123685453002</v>
      </c>
      <c r="AI5956">
        <v>92.269592013153002</v>
      </c>
      <c r="AJ5956">
        <v>90.406228237800207</v>
      </c>
      <c r="AK5956">
        <v>28.346071566647499</v>
      </c>
      <c r="AL5956">
        <v>80.373840811615906</v>
      </c>
      <c r="AM5956">
        <v>93.345580284427598</v>
      </c>
      <c r="AN5956">
        <v>1.00000000250558</v>
      </c>
    </row>
    <row r="5957" spans="1:40" x14ac:dyDescent="0.25">
      <c r="A5957" t="str">
        <f>"20190303162419991"</f>
        <v>20190303162419991</v>
      </c>
      <c r="B5957" t="str">
        <f>"1551601459980326"</f>
        <v>1551601459980326</v>
      </c>
      <c r="C5957" t="s">
        <v>40</v>
      </c>
      <c r="D5957">
        <v>5.227144</v>
      </c>
      <c r="E5957">
        <v>0.52426170000000005</v>
      </c>
      <c r="F5957" t="s">
        <v>64</v>
      </c>
      <c r="G5957">
        <v>-234.51669999999999</v>
      </c>
      <c r="H5957" s="1">
        <v>-1.5743279999999901E-6</v>
      </c>
      <c r="I5957">
        <v>-62.824750000000002</v>
      </c>
      <c r="J5957">
        <v>-261.0686</v>
      </c>
      <c r="K5957">
        <v>1.12252</v>
      </c>
      <c r="L5957">
        <v>-62.936489999999999</v>
      </c>
      <c r="M5957">
        <v>0.99994810000000001</v>
      </c>
      <c r="N5957">
        <v>-8.8442160000000002E-3</v>
      </c>
      <c r="O5957">
        <v>5.047401E-3</v>
      </c>
      <c r="P5957">
        <v>0.98582420000000004</v>
      </c>
      <c r="Q5957">
        <v>0.15793470000000001</v>
      </c>
      <c r="R5957">
        <v>5.6631790000000001E-2</v>
      </c>
      <c r="S5957">
        <v>3.0641780000000001</v>
      </c>
      <c r="T5957">
        <v>-0.12882009999999999</v>
      </c>
      <c r="U5957">
        <v>1.306152E-2</v>
      </c>
      <c r="V5957">
        <v>-5.2510790000000002E-2</v>
      </c>
      <c r="W5957">
        <v>0.16638249999999999</v>
      </c>
      <c r="X5957">
        <v>0.98466209999999998</v>
      </c>
      <c r="Y5957">
        <v>7.8138009999999996E-4</v>
      </c>
      <c r="Z5957">
        <v>-1.8734930000000001E-4</v>
      </c>
      <c r="AA5957">
        <v>0.99999970000000005</v>
      </c>
      <c r="AB5957">
        <v>27</v>
      </c>
      <c r="AC5957">
        <v>26.5519</v>
      </c>
      <c r="AD5957">
        <v>-1.1225215743279999</v>
      </c>
      <c r="AE5957">
        <v>0.11173999999999699</v>
      </c>
      <c r="AF5957">
        <v>2.2245000765214001E-2</v>
      </c>
      <c r="AG5957">
        <v>-1.1225215743279999</v>
      </c>
      <c r="AH5957">
        <v>26.504754579933898</v>
      </c>
      <c r="AI5957">
        <v>92.425123894975201</v>
      </c>
      <c r="AJ5957">
        <v>89.951912614168606</v>
      </c>
      <c r="AK5957">
        <v>26.528523608889699</v>
      </c>
      <c r="AL5957">
        <v>80.422443735022995</v>
      </c>
      <c r="AM5957">
        <v>93.052620133720794</v>
      </c>
      <c r="AN5957">
        <v>0.99999998527454104</v>
      </c>
    </row>
    <row r="5958" spans="1:40" x14ac:dyDescent="0.25">
      <c r="A5958" t="str">
        <f>"20190303162420005"</f>
        <v>20190303162420005</v>
      </c>
      <c r="B5958" t="str">
        <f>"1551601459990594"</f>
        <v>1551601459990594</v>
      </c>
      <c r="C5958" t="s">
        <v>40</v>
      </c>
      <c r="D5958">
        <v>5.2582849999999999</v>
      </c>
      <c r="E5958">
        <v>0.52494759999999996</v>
      </c>
      <c r="F5958" t="s">
        <v>64</v>
      </c>
      <c r="G5958">
        <v>-235.71180000000001</v>
      </c>
      <c r="H5958" s="1">
        <v>-2.1293990000000001E-6</v>
      </c>
      <c r="I5958">
        <v>-62.98415</v>
      </c>
      <c r="J5958">
        <v>-260.9049</v>
      </c>
      <c r="K5958">
        <v>1.122487</v>
      </c>
      <c r="L5958">
        <v>-62.934019999999997</v>
      </c>
      <c r="M5958">
        <v>0.99993810000000005</v>
      </c>
      <c r="N5958">
        <v>-8.8450969999999997E-3</v>
      </c>
      <c r="O5958">
        <v>6.7382450000000003E-3</v>
      </c>
      <c r="P5958">
        <v>0.9861607</v>
      </c>
      <c r="Q5958">
        <v>0.1568513</v>
      </c>
      <c r="R5958">
        <v>5.3709630000000001E-2</v>
      </c>
      <c r="S5958">
        <v>3.0652159999999999</v>
      </c>
      <c r="T5958">
        <v>-0.13569410000000001</v>
      </c>
      <c r="U5958">
        <v>-5.7678219999999997E-3</v>
      </c>
      <c r="V5958">
        <v>-4.790341E-2</v>
      </c>
      <c r="W5958">
        <v>0.16532959999999999</v>
      </c>
      <c r="X5958">
        <v>0.98507429999999996</v>
      </c>
      <c r="Y5958">
        <v>8.6058149999999993E-3</v>
      </c>
      <c r="Z5958">
        <v>-4.670446E-4</v>
      </c>
      <c r="AA5958">
        <v>0.99996289999999999</v>
      </c>
      <c r="AB5958">
        <v>28</v>
      </c>
      <c r="AC5958">
        <v>25.193099999999902</v>
      </c>
      <c r="AD5958">
        <v>-1.122489129399</v>
      </c>
      <c r="AE5958">
        <v>-5.0130000000002797E-2</v>
      </c>
      <c r="AF5958">
        <v>0.219457134804937</v>
      </c>
      <c r="AG5958">
        <v>-1.122489129399</v>
      </c>
      <c r="AH5958">
        <v>25.1422783285782</v>
      </c>
      <c r="AI5958">
        <v>92.556202915155694</v>
      </c>
      <c r="AJ5958">
        <v>89.499900202856693</v>
      </c>
      <c r="AK5958">
        <v>25.168279695508101</v>
      </c>
      <c r="AL5958">
        <v>80.483617819359793</v>
      </c>
      <c r="AM5958">
        <v>92.784056748873397</v>
      </c>
      <c r="AN5958">
        <v>0.99999999492313896</v>
      </c>
    </row>
    <row r="5959" spans="1:40" x14ac:dyDescent="0.25">
      <c r="A5959" t="str">
        <f>"20190303162420014"</f>
        <v>20190303162420014</v>
      </c>
      <c r="B5959" t="str">
        <f>"1551601460000355"</f>
        <v>1551601460000355</v>
      </c>
      <c r="C5959" t="s">
        <v>40</v>
      </c>
      <c r="D5959">
        <v>5.2575019999999997</v>
      </c>
      <c r="E5959">
        <v>0.52564769999999905</v>
      </c>
      <c r="F5959" t="s">
        <v>64</v>
      </c>
      <c r="G5959">
        <v>-236.33199999999999</v>
      </c>
      <c r="H5959" s="1">
        <v>-2.4278209999999998E-6</v>
      </c>
      <c r="I5959">
        <v>-63.105690000000003</v>
      </c>
      <c r="J5959">
        <v>-260.77609999999999</v>
      </c>
      <c r="K5959">
        <v>1.122452</v>
      </c>
      <c r="L5959">
        <v>-62.931820000000002</v>
      </c>
      <c r="M5959">
        <v>0.9999287</v>
      </c>
      <c r="N5959">
        <v>-8.845716E-3</v>
      </c>
      <c r="O5959">
        <v>8.0319429999999997E-3</v>
      </c>
      <c r="P5959">
        <v>0.98666830000000005</v>
      </c>
      <c r="Q5959">
        <v>0.15495120000000001</v>
      </c>
      <c r="R5959">
        <v>4.9760730000000003E-2</v>
      </c>
      <c r="S5959">
        <v>3.0655519999999998</v>
      </c>
      <c r="T5959">
        <v>-0.140034299999999</v>
      </c>
      <c r="U5959">
        <v>-2.1423339999999999E-2</v>
      </c>
      <c r="V5959">
        <v>-4.2654400000000002E-2</v>
      </c>
      <c r="W5959">
        <v>0.1634642</v>
      </c>
      <c r="X5959">
        <v>0.98562680000000003</v>
      </c>
      <c r="Y5959">
        <v>1.4995959999999999E-2</v>
      </c>
      <c r="Z5959">
        <v>-7.0437720000000002E-4</v>
      </c>
      <c r="AA5959">
        <v>0.99988730000000003</v>
      </c>
      <c r="AB5959">
        <v>28</v>
      </c>
      <c r="AC5959">
        <v>24.444099999999899</v>
      </c>
      <c r="AD5959">
        <v>-1.122454427821</v>
      </c>
      <c r="AE5959">
        <v>-0.17387000000000699</v>
      </c>
      <c r="AF5959">
        <v>0.36942674948822601</v>
      </c>
      <c r="AG5959">
        <v>-1.122454427821</v>
      </c>
      <c r="AH5959">
        <v>24.3904882821341</v>
      </c>
      <c r="AI5959">
        <v>92.634600712188799</v>
      </c>
      <c r="AJ5959">
        <v>89.132244711914694</v>
      </c>
      <c r="AK5959">
        <v>24.4190970084213</v>
      </c>
      <c r="AL5959">
        <v>80.591972288515706</v>
      </c>
      <c r="AM5959">
        <v>92.478010048277795</v>
      </c>
      <c r="AN5959">
        <v>1.00000006569961</v>
      </c>
    </row>
    <row r="5960" spans="1:40" x14ac:dyDescent="0.25">
      <c r="A5960" t="str">
        <f>"20190303162420030"</f>
        <v>20190303162420030</v>
      </c>
      <c r="B5960" t="str">
        <f>"1551601460020851"</f>
        <v>1551601460020851</v>
      </c>
      <c r="C5960" t="s">
        <v>40</v>
      </c>
      <c r="D5960">
        <v>5.2895009999999996</v>
      </c>
      <c r="E5960">
        <v>0.52626899999999999</v>
      </c>
      <c r="F5960" t="s">
        <v>64</v>
      </c>
      <c r="G5960">
        <v>-237.50409999999999</v>
      </c>
      <c r="H5960" s="1">
        <v>-2.9345559999999999E-6</v>
      </c>
      <c r="I5960">
        <v>-63.240780000000001</v>
      </c>
      <c r="J5960">
        <v>-260.58690000000001</v>
      </c>
      <c r="K5960">
        <v>1.1224000000000001</v>
      </c>
      <c r="L5960">
        <v>-62.92841</v>
      </c>
      <c r="M5960">
        <v>0.99991180000000002</v>
      </c>
      <c r="N5960">
        <v>-8.8467130000000008E-3</v>
      </c>
      <c r="O5960">
        <v>9.9008589999999997E-3</v>
      </c>
      <c r="P5960">
        <v>0.98745530000000004</v>
      </c>
      <c r="Q5960">
        <v>0.15223709999999999</v>
      </c>
      <c r="R5960">
        <v>4.1904829999999997E-2</v>
      </c>
      <c r="S5960">
        <v>3.0658259999999999</v>
      </c>
      <c r="T5960">
        <v>-0.1478708</v>
      </c>
      <c r="U5960">
        <v>-4.0710450000000002E-2</v>
      </c>
      <c r="V5960">
        <v>-3.2916260000000003E-2</v>
      </c>
      <c r="W5960">
        <v>0.16081039999999999</v>
      </c>
      <c r="X5960">
        <v>0.98643619999999999</v>
      </c>
      <c r="Y5960">
        <v>2.3137830000000002E-2</v>
      </c>
      <c r="Z5960">
        <v>-1.0497620000000001E-3</v>
      </c>
      <c r="AA5960">
        <v>0.9997317</v>
      </c>
      <c r="AB5960">
        <v>28</v>
      </c>
      <c r="AC5960">
        <v>23.082799999999999</v>
      </c>
      <c r="AD5960">
        <v>-1.122402934556</v>
      </c>
      <c r="AE5960">
        <v>-0.31237000000000797</v>
      </c>
      <c r="AF5960">
        <v>0.53962753078397097</v>
      </c>
      <c r="AG5960">
        <v>-1.122402934556</v>
      </c>
      <c r="AH5960">
        <v>23.024147378350001</v>
      </c>
      <c r="AI5960">
        <v>92.790134469536099</v>
      </c>
      <c r="AJ5960">
        <v>88.657378270079406</v>
      </c>
      <c r="AK5960">
        <v>23.057804507789999</v>
      </c>
      <c r="AL5960">
        <v>80.746061407850505</v>
      </c>
      <c r="AM5960">
        <v>91.911186195134803</v>
      </c>
      <c r="AN5960">
        <v>0.99999992079549005</v>
      </c>
    </row>
    <row r="5961" spans="1:40" x14ac:dyDescent="0.25">
      <c r="A5961" t="str">
        <f>"20190303162420041"</f>
        <v>20190303162420041</v>
      </c>
      <c r="B5961" t="str">
        <f>"1551601460030611"</f>
        <v>1551601460030611</v>
      </c>
      <c r="C5961" t="s">
        <v>40</v>
      </c>
      <c r="D5961">
        <v>5.2670709999999996</v>
      </c>
      <c r="E5961">
        <v>0.52631470000000002</v>
      </c>
      <c r="F5961" t="s">
        <v>64</v>
      </c>
      <c r="G5961">
        <v>-239.05410000000001</v>
      </c>
      <c r="H5961" s="1">
        <v>-3.4974569999999998E-6</v>
      </c>
      <c r="I5961">
        <v>-63.44061</v>
      </c>
      <c r="J5961">
        <v>-260.44740000000002</v>
      </c>
      <c r="K5961">
        <v>1.122369</v>
      </c>
      <c r="L5961">
        <v>-62.925719999999998</v>
      </c>
      <c r="M5961">
        <v>0.99989749999999999</v>
      </c>
      <c r="N5961">
        <v>-8.847532E-3</v>
      </c>
      <c r="O5961">
        <v>1.1255309999999999E-2</v>
      </c>
      <c r="P5961">
        <v>0.98770329999999995</v>
      </c>
      <c r="Q5961">
        <v>0.15149290000000001</v>
      </c>
      <c r="R5961">
        <v>3.8630709999999999E-2</v>
      </c>
      <c r="S5961">
        <v>3.0658569999999998</v>
      </c>
      <c r="T5961">
        <v>-0.15980829999999999</v>
      </c>
      <c r="U5961">
        <v>-7.2937009999999997E-2</v>
      </c>
      <c r="V5961">
        <v>-2.8285169999999998E-2</v>
      </c>
      <c r="W5961">
        <v>0.1600946</v>
      </c>
      <c r="X5961">
        <v>0.98669640000000003</v>
      </c>
      <c r="Y5961">
        <v>3.496838E-2</v>
      </c>
      <c r="Z5961">
        <v>-1.552161E-3</v>
      </c>
      <c r="AA5961">
        <v>0.99938720000000003</v>
      </c>
      <c r="AB5961">
        <v>28</v>
      </c>
      <c r="AC5961">
        <v>21.3933</v>
      </c>
      <c r="AD5961">
        <v>-1.122372497457</v>
      </c>
      <c r="AE5961">
        <v>-0.51489000000000096</v>
      </c>
      <c r="AF5961">
        <v>0.75358204303486298</v>
      </c>
      <c r="AG5961">
        <v>-1.122372497457</v>
      </c>
      <c r="AH5961">
        <v>21.327480595818098</v>
      </c>
      <c r="AI5961">
        <v>93.010573377308901</v>
      </c>
      <c r="AJ5961">
        <v>87.976361284145796</v>
      </c>
      <c r="AK5961">
        <v>21.370283912097001</v>
      </c>
      <c r="AL5961">
        <v>80.787613362048006</v>
      </c>
      <c r="AM5961">
        <v>91.642021959818905</v>
      </c>
      <c r="AN5961">
        <v>1.0000000587820199</v>
      </c>
    </row>
    <row r="5962" spans="1:40" x14ac:dyDescent="0.25">
      <c r="A5962" t="str">
        <f>"20190303162420054"</f>
        <v>20190303162420054</v>
      </c>
      <c r="B5962" t="str">
        <f>"1551601460040371"</f>
        <v>1551601460040371</v>
      </c>
      <c r="C5962" t="s">
        <v>40</v>
      </c>
      <c r="D5962">
        <v>5.3161630000000004</v>
      </c>
      <c r="E5962">
        <v>0.52630219999999905</v>
      </c>
      <c r="F5962" t="s">
        <v>64</v>
      </c>
      <c r="G5962">
        <v>-239.6474</v>
      </c>
      <c r="H5962" s="1">
        <v>-3.7102819999999998E-6</v>
      </c>
      <c r="I5962">
        <v>-63.502029999999998</v>
      </c>
      <c r="J5962">
        <v>-260.30290000000002</v>
      </c>
      <c r="K5962">
        <v>1.122333</v>
      </c>
      <c r="L5962">
        <v>-62.922669999999997</v>
      </c>
      <c r="M5962">
        <v>0.99988140000000003</v>
      </c>
      <c r="N5962">
        <v>-8.8482439999999999E-3</v>
      </c>
      <c r="O5962">
        <v>1.260813E-2</v>
      </c>
      <c r="P5962">
        <v>0.98766370000000003</v>
      </c>
      <c r="Q5962">
        <v>0.15247839999999999</v>
      </c>
      <c r="R5962">
        <v>3.5650729999999999E-2</v>
      </c>
      <c r="S5962">
        <v>3.0660400000000001</v>
      </c>
      <c r="T5962">
        <v>-0.1654446</v>
      </c>
      <c r="U5962">
        <v>-8.4960939999999999E-2</v>
      </c>
      <c r="V5962">
        <v>-2.3958980000000001E-2</v>
      </c>
      <c r="W5962">
        <v>0.1611032</v>
      </c>
      <c r="X5962">
        <v>0.98664669999999999</v>
      </c>
      <c r="Y5962">
        <v>4.0220369999999998E-2</v>
      </c>
      <c r="Z5962">
        <v>-1.830545E-3</v>
      </c>
      <c r="AA5962">
        <v>0.99918910000000005</v>
      </c>
      <c r="AB5962">
        <v>28</v>
      </c>
      <c r="AC5962">
        <v>20.6555</v>
      </c>
      <c r="AD5962">
        <v>-1.1223367102820001</v>
      </c>
      <c r="AE5962">
        <v>-0.57936000000000798</v>
      </c>
      <c r="AF5962">
        <v>0.83728131637108805</v>
      </c>
      <c r="AG5962">
        <v>-1.1223367102820001</v>
      </c>
      <c r="AH5962">
        <v>20.585823357057301</v>
      </c>
      <c r="AI5962">
        <v>93.118096818804105</v>
      </c>
      <c r="AJ5962">
        <v>87.670908866089107</v>
      </c>
      <c r="AK5962">
        <v>20.633390486828802</v>
      </c>
      <c r="AL5962">
        <v>80.729064242923599</v>
      </c>
      <c r="AM5962">
        <v>91.391053864921602</v>
      </c>
      <c r="AN5962">
        <v>0.99999999219688496</v>
      </c>
    </row>
    <row r="5963" spans="1:40" x14ac:dyDescent="0.25">
      <c r="A5963" t="str">
        <f>"20190303162420064"</f>
        <v>20190303162420064</v>
      </c>
      <c r="B5963" t="str">
        <f>"1551601460051107"</f>
        <v>1551601460051107</v>
      </c>
      <c r="C5963" t="s">
        <v>40</v>
      </c>
      <c r="D5963">
        <v>5.316236</v>
      </c>
      <c r="E5963">
        <v>0.52617209999999903</v>
      </c>
      <c r="F5963" t="s">
        <v>64</v>
      </c>
      <c r="G5963">
        <v>-239.2431</v>
      </c>
      <c r="H5963" s="1">
        <v>-3.586405E-6</v>
      </c>
      <c r="I5963">
        <v>-63.579320000000003</v>
      </c>
      <c r="J5963">
        <v>-260.15940000000001</v>
      </c>
      <c r="K5963">
        <v>1.1222989999999999</v>
      </c>
      <c r="L5963">
        <v>-62.919589999999999</v>
      </c>
      <c r="M5963">
        <v>0.99986370000000002</v>
      </c>
      <c r="N5963">
        <v>-8.8489929999999994E-3</v>
      </c>
      <c r="O5963">
        <v>1.3936199999999999E-2</v>
      </c>
      <c r="P5963">
        <v>0.98756270000000002</v>
      </c>
      <c r="Q5963">
        <v>0.1537154</v>
      </c>
      <c r="R5963">
        <v>3.3040859999999998E-2</v>
      </c>
      <c r="S5963">
        <v>3.0661010000000002</v>
      </c>
      <c r="T5963">
        <v>-0.1634012</v>
      </c>
      <c r="U5963">
        <v>-9.5611570000000007E-2</v>
      </c>
      <c r="V5963">
        <v>-2.0029020000000002E-2</v>
      </c>
      <c r="W5963">
        <v>0.16236</v>
      </c>
      <c r="X5963">
        <v>0.98652830000000002</v>
      </c>
      <c r="Y5963">
        <v>4.5007070000000003E-2</v>
      </c>
      <c r="Z5963">
        <v>-2.016285E-3</v>
      </c>
      <c r="AA5963">
        <v>0.9989846</v>
      </c>
      <c r="AB5963">
        <v>28</v>
      </c>
      <c r="AC5963">
        <v>20.9163</v>
      </c>
      <c r="AD5963">
        <v>-1.122302586405</v>
      </c>
      <c r="AE5963">
        <v>-0.65972999999999604</v>
      </c>
      <c r="AF5963">
        <v>0.94844318054973098</v>
      </c>
      <c r="AG5963">
        <v>-1.122302586405</v>
      </c>
      <c r="AH5963">
        <v>20.845119462924401</v>
      </c>
      <c r="AI5963">
        <v>93.078654024659599</v>
      </c>
      <c r="AJ5963">
        <v>87.394865576696603</v>
      </c>
      <c r="AK5963">
        <v>20.896844570072599</v>
      </c>
      <c r="AL5963">
        <v>80.656094393581</v>
      </c>
      <c r="AM5963">
        <v>91.163089470718802</v>
      </c>
      <c r="AN5963">
        <v>1.00000000897152</v>
      </c>
    </row>
    <row r="5964" spans="1:40" x14ac:dyDescent="0.25">
      <c r="A5964" t="str">
        <f>"20190303162420075"</f>
        <v>20190303162420075</v>
      </c>
      <c r="B5964" t="str">
        <f>"1551601460060867"</f>
        <v>1551601460060867</v>
      </c>
      <c r="C5964" t="s">
        <v>40</v>
      </c>
      <c r="D5964">
        <v>5.3358410000000003</v>
      </c>
      <c r="E5964">
        <v>0.52604719999999905</v>
      </c>
      <c r="F5964" t="s">
        <v>64</v>
      </c>
      <c r="G5964">
        <v>-238.75219999999999</v>
      </c>
      <c r="H5964" s="1">
        <v>-3.4307909999999998E-6</v>
      </c>
      <c r="I5964">
        <v>-63.643920000000001</v>
      </c>
      <c r="J5964">
        <v>-260.0283</v>
      </c>
      <c r="K5964">
        <v>1.1222669999999999</v>
      </c>
      <c r="L5964">
        <v>-62.916559999999997</v>
      </c>
      <c r="M5964">
        <v>0.99984689999999998</v>
      </c>
      <c r="N5964">
        <v>-8.8495740000000007E-3</v>
      </c>
      <c r="O5964">
        <v>1.5106680000000001E-2</v>
      </c>
      <c r="P5964">
        <v>0.9873807</v>
      </c>
      <c r="Q5964">
        <v>0.155339</v>
      </c>
      <c r="R5964">
        <v>3.0813500000000001E-2</v>
      </c>
      <c r="S5964">
        <v>3.066284</v>
      </c>
      <c r="T5964">
        <v>-0.160753799999999</v>
      </c>
      <c r="U5964">
        <v>-0.1037598</v>
      </c>
      <c r="V5964">
        <v>-1.6641119999999999E-2</v>
      </c>
      <c r="W5964">
        <v>0.16399999999999901</v>
      </c>
      <c r="X5964">
        <v>0.98631999999999997</v>
      </c>
      <c r="Y5964">
        <v>4.8821719999999999E-2</v>
      </c>
      <c r="Z5964">
        <v>-2.152466E-3</v>
      </c>
      <c r="AA5964">
        <v>0.99880519999999995</v>
      </c>
      <c r="AB5964">
        <v>28</v>
      </c>
      <c r="AC5964">
        <v>21.2761</v>
      </c>
      <c r="AD5964">
        <v>-1.1222704307910001</v>
      </c>
      <c r="AE5964">
        <v>-0.72735999999999701</v>
      </c>
      <c r="AF5964">
        <v>1.04579439304754</v>
      </c>
      <c r="AG5964">
        <v>-1.1222704307910001</v>
      </c>
      <c r="AH5964">
        <v>21.203756223712599</v>
      </c>
      <c r="AI5964">
        <v>93.026047202037205</v>
      </c>
      <c r="AJ5964">
        <v>87.176392299459593</v>
      </c>
      <c r="AK5964">
        <v>21.259173427652101</v>
      </c>
      <c r="AL5964">
        <v>80.560852959301897</v>
      </c>
      <c r="AM5964">
        <v>90.966598554215594</v>
      </c>
      <c r="AN5964">
        <v>1.00000003463742</v>
      </c>
    </row>
    <row r="5965" spans="1:40" x14ac:dyDescent="0.25">
      <c r="A5965" t="str">
        <f>"20190303162420087"</f>
        <v>20190303162420087</v>
      </c>
      <c r="B5965" t="str">
        <f>"1551601460080388"</f>
        <v>1551601460080388</v>
      </c>
      <c r="C5965" t="s">
        <v>40</v>
      </c>
      <c r="D5965">
        <v>5.4327550000000002</v>
      </c>
      <c r="E5965">
        <v>0.52697709999999998</v>
      </c>
      <c r="F5965" t="s">
        <v>64</v>
      </c>
      <c r="G5965">
        <v>-238.0112</v>
      </c>
      <c r="H5965" s="1">
        <v>-3.1900930000000002E-6</v>
      </c>
      <c r="I5965">
        <v>-63.708620000000003</v>
      </c>
      <c r="J5965">
        <v>-259.88499999999999</v>
      </c>
      <c r="K5965">
        <v>1.1222319999999999</v>
      </c>
      <c r="L5965">
        <v>-62.913150000000002</v>
      </c>
      <c r="M5965">
        <v>0.99982700000000002</v>
      </c>
      <c r="N5965">
        <v>-8.8503149999999992E-3</v>
      </c>
      <c r="O5965">
        <v>1.6365709999999999E-2</v>
      </c>
      <c r="P5965">
        <v>0.9872689</v>
      </c>
      <c r="Q5965">
        <v>0.15645909999999999</v>
      </c>
      <c r="R5965">
        <v>2.8653350000000001E-2</v>
      </c>
      <c r="S5965">
        <v>3.0664060000000002</v>
      </c>
      <c r="T5965">
        <v>-0.15630229999999901</v>
      </c>
      <c r="U5965">
        <v>-0.110321</v>
      </c>
      <c r="V5965">
        <v>-1.3228230000000001E-2</v>
      </c>
      <c r="W5965">
        <v>0.16513630000000001</v>
      </c>
      <c r="X5965">
        <v>0.986182</v>
      </c>
      <c r="Y5965">
        <v>5.2211019999999997E-2</v>
      </c>
      <c r="Z5965">
        <v>-2.2493769999999999E-3</v>
      </c>
      <c r="AA5965">
        <v>0.99863360000000001</v>
      </c>
      <c r="AB5965">
        <v>28</v>
      </c>
      <c r="AC5965">
        <v>21.8737999999999</v>
      </c>
      <c r="AD5965">
        <v>-1.1222351900930001</v>
      </c>
      <c r="AE5965">
        <v>-0.79546999999999402</v>
      </c>
      <c r="AF5965">
        <v>1.1503337976628201</v>
      </c>
      <c r="AG5965">
        <v>-1.1222351900930001</v>
      </c>
      <c r="AH5965">
        <v>21.800543679449198</v>
      </c>
      <c r="AI5965">
        <v>92.942749663990099</v>
      </c>
      <c r="AJ5965">
        <v>86.979515529188703</v>
      </c>
      <c r="AK5965">
        <v>21.859697719490601</v>
      </c>
      <c r="AL5965">
        <v>80.4948471184087</v>
      </c>
      <c r="AM5965">
        <v>90.7684953671899</v>
      </c>
      <c r="AN5965">
        <v>0.99999996038531003</v>
      </c>
    </row>
    <row r="5966" spans="1:40" x14ac:dyDescent="0.25">
      <c r="A5966" t="str">
        <f>"20190303162420097"</f>
        <v>20190303162420097</v>
      </c>
      <c r="B5966" t="str">
        <f>"1551601460091126"</f>
        <v>1551601460091126</v>
      </c>
      <c r="C5966" t="s">
        <v>40</v>
      </c>
      <c r="D5966">
        <v>5.4048379999999998</v>
      </c>
      <c r="E5966">
        <v>0.52697709999999998</v>
      </c>
      <c r="F5966" t="s">
        <v>64</v>
      </c>
      <c r="G5966">
        <v>-237.7885</v>
      </c>
      <c r="H5966" s="1">
        <v>-3.1331569999999998E-6</v>
      </c>
      <c r="I5966">
        <v>-63.814770000000003</v>
      </c>
      <c r="J5966">
        <v>-259.74369999999999</v>
      </c>
      <c r="K5966">
        <v>1.122196</v>
      </c>
      <c r="L5966">
        <v>-62.909610000000001</v>
      </c>
      <c r="M5966">
        <v>0.99980650000000004</v>
      </c>
      <c r="N5966">
        <v>-8.8511289999999992E-3</v>
      </c>
      <c r="O5966">
        <v>1.7576120000000001E-2</v>
      </c>
      <c r="P5966">
        <v>0.98719109999999999</v>
      </c>
      <c r="Q5966">
        <v>0.15728719999999999</v>
      </c>
      <c r="R5966">
        <v>2.6726719999999999E-2</v>
      </c>
      <c r="S5966">
        <v>3.066986</v>
      </c>
      <c r="T5966">
        <v>-0.15576570000000001</v>
      </c>
      <c r="U5966">
        <v>-0.1251526</v>
      </c>
      <c r="V5966">
        <v>-1.0096279999999999E-2</v>
      </c>
      <c r="W5966">
        <v>0.16597899999999999</v>
      </c>
      <c r="X5966">
        <v>0.9860776</v>
      </c>
      <c r="Y5966">
        <v>5.822488E-2</v>
      </c>
      <c r="Z5966">
        <v>-2.471315E-3</v>
      </c>
      <c r="AA5966">
        <v>0.99830039999999998</v>
      </c>
      <c r="AB5966">
        <v>28</v>
      </c>
      <c r="AC5966">
        <v>21.955199999999898</v>
      </c>
      <c r="AD5966">
        <v>-1.122199133157</v>
      </c>
      <c r="AE5966">
        <v>-0.90515999999999497</v>
      </c>
      <c r="AF5966">
        <v>1.2875643339446801</v>
      </c>
      <c r="AG5966">
        <v>-1.122199133157</v>
      </c>
      <c r="AH5966">
        <v>21.878835829761499</v>
      </c>
      <c r="AI5966">
        <v>92.931153083324503</v>
      </c>
      <c r="AJ5966">
        <v>86.632041368018605</v>
      </c>
      <c r="AK5966">
        <v>21.945400658775</v>
      </c>
      <c r="AL5966">
        <v>80.445888701138202</v>
      </c>
      <c r="AM5966">
        <v>90.586621194455304</v>
      </c>
      <c r="AN5966">
        <v>0.99999999826629904</v>
      </c>
    </row>
    <row r="5967" spans="1:40" x14ac:dyDescent="0.25">
      <c r="A5967" t="str">
        <f>"20190303162420108"</f>
        <v>20190303162420108</v>
      </c>
      <c r="B5967" t="str">
        <f>"1551601460100934"</f>
        <v>1551601460100934</v>
      </c>
      <c r="C5967" t="s">
        <v>40</v>
      </c>
      <c r="D5967">
        <v>5.3972119999999997</v>
      </c>
      <c r="E5967">
        <v>0.54621509999999995</v>
      </c>
      <c r="F5967" t="s">
        <v>64</v>
      </c>
      <c r="G5967">
        <v>-237.2508</v>
      </c>
      <c r="H5967" s="1">
        <v>-2.9607810000000002E-6</v>
      </c>
      <c r="I5967">
        <v>-63.874659999999999</v>
      </c>
      <c r="J5967">
        <v>-259.61840000000001</v>
      </c>
      <c r="K5967">
        <v>1.1221639999999999</v>
      </c>
      <c r="L5967">
        <v>-62.90634</v>
      </c>
      <c r="M5967">
        <v>0.99978730000000005</v>
      </c>
      <c r="N5967">
        <v>-8.851958E-3</v>
      </c>
      <c r="O5967">
        <v>1.862836E-2</v>
      </c>
      <c r="P5967">
        <v>0.9872358</v>
      </c>
      <c r="Q5967">
        <v>0.15729360000000001</v>
      </c>
      <c r="R5967">
        <v>2.4981920000000001E-2</v>
      </c>
      <c r="S5967">
        <v>3.0668639999999998</v>
      </c>
      <c r="T5967">
        <v>-0.15300910000000001</v>
      </c>
      <c r="U5967">
        <v>-0.13159179999999901</v>
      </c>
      <c r="V5967">
        <v>-7.2994799999999997E-3</v>
      </c>
      <c r="W5967">
        <v>0.16599920000000001</v>
      </c>
      <c r="X5967">
        <v>0.9860989</v>
      </c>
      <c r="Y5967">
        <v>6.1367280000000003E-2</v>
      </c>
      <c r="Z5967">
        <v>-2.5648300000000001E-3</v>
      </c>
      <c r="AA5967">
        <v>0.998112</v>
      </c>
      <c r="AB5967">
        <v>28</v>
      </c>
      <c r="AC5967">
        <v>22.367599999999999</v>
      </c>
      <c r="AD5967">
        <v>-1.1221669607810001</v>
      </c>
      <c r="AE5967">
        <v>-0.96831999999999796</v>
      </c>
      <c r="AF5967">
        <v>1.3813696408048799</v>
      </c>
      <c r="AG5967">
        <v>-1.1221669607810001</v>
      </c>
      <c r="AH5967">
        <v>22.289682208420999</v>
      </c>
      <c r="AI5967">
        <v>92.876594956236005</v>
      </c>
      <c r="AJ5967">
        <v>86.453715404427399</v>
      </c>
      <c r="AK5967">
        <v>22.3606210496221</v>
      </c>
      <c r="AL5967">
        <v>80.444715338428495</v>
      </c>
      <c r="AM5967">
        <v>90.424117457079305</v>
      </c>
      <c r="AN5967">
        <v>1.0000000286950499</v>
      </c>
    </row>
    <row r="5968" spans="1:40" x14ac:dyDescent="0.25">
      <c r="A5968" t="str">
        <f>"20190303162420119"</f>
        <v>20190303162420119</v>
      </c>
      <c r="B5968" t="str">
        <f>"1551601460110099"</f>
        <v>1551601460110099</v>
      </c>
      <c r="C5968" t="s">
        <v>40</v>
      </c>
      <c r="D5968">
        <v>5.3135719999999997</v>
      </c>
      <c r="E5968">
        <v>0.54691789999999996</v>
      </c>
      <c r="F5968" t="s">
        <v>63</v>
      </c>
      <c r="G5968">
        <v>-243.4496</v>
      </c>
      <c r="H5968" s="1">
        <v>-1.5434929999999999E-6</v>
      </c>
      <c r="I5968">
        <v>-64.429410000000004</v>
      </c>
      <c r="J5968">
        <v>-259.48180000000002</v>
      </c>
      <c r="K5968">
        <v>1.122133</v>
      </c>
      <c r="L5968">
        <v>-62.902709999999999</v>
      </c>
      <c r="M5968">
        <v>0.99976560000000003</v>
      </c>
      <c r="N5968">
        <v>-8.8529539999999997E-3</v>
      </c>
      <c r="O5968">
        <v>1.975851E-2</v>
      </c>
      <c r="P5968">
        <v>0.98727880000000001</v>
      </c>
      <c r="Q5968">
        <v>0.1573329</v>
      </c>
      <c r="R5968">
        <v>2.296285E-2</v>
      </c>
      <c r="S5968">
        <v>3.0802</v>
      </c>
      <c r="T5968">
        <v>-0.2137752</v>
      </c>
      <c r="U5968">
        <v>-0.29016110000000001</v>
      </c>
      <c r="V5968">
        <v>-4.1508919999999998E-3</v>
      </c>
      <c r="W5968">
        <v>0.166053799999999</v>
      </c>
      <c r="X5968">
        <v>0.98610790000000004</v>
      </c>
      <c r="Y5968">
        <v>0.1131003</v>
      </c>
      <c r="Z5968">
        <v>-5.6063980000000003E-3</v>
      </c>
      <c r="AA5968">
        <v>0.9935678</v>
      </c>
      <c r="AB5968">
        <v>28</v>
      </c>
      <c r="AC5968">
        <v>16.0322</v>
      </c>
      <c r="AD5968">
        <v>-1.1221345434929999</v>
      </c>
      <c r="AE5968">
        <v>-1.5266999999999999</v>
      </c>
      <c r="AF5968">
        <v>1.83428141993577</v>
      </c>
      <c r="AG5968">
        <v>-1.1221345434929999</v>
      </c>
      <c r="AH5968">
        <v>15.921605174025</v>
      </c>
      <c r="AI5968">
        <v>94.005063340491404</v>
      </c>
      <c r="AJ5968">
        <v>83.428094713971504</v>
      </c>
      <c r="AK5968">
        <v>16.066153415760802</v>
      </c>
      <c r="AL5968">
        <v>80.441542128062295</v>
      </c>
      <c r="AM5968">
        <v>90.241177652213693</v>
      </c>
      <c r="AN5968">
        <v>0.99999994242062096</v>
      </c>
    </row>
    <row r="5969" spans="1:40" x14ac:dyDescent="0.25">
      <c r="A5969" t="str">
        <f>"20190303162420130"</f>
        <v>20190303162420130</v>
      </c>
      <c r="B5969" t="str">
        <f>"1551601460121065"</f>
        <v>1551601460121065</v>
      </c>
      <c r="C5969" t="s">
        <v>40</v>
      </c>
      <c r="D5969">
        <v>5.3775040000000001</v>
      </c>
      <c r="E5969">
        <v>0.54585519999999998</v>
      </c>
      <c r="F5969" t="s">
        <v>63</v>
      </c>
      <c r="G5969">
        <v>-241.5428</v>
      </c>
      <c r="H5969" s="1">
        <v>-7.8780739999999995E-7</v>
      </c>
      <c r="I5969">
        <v>-64.663700000000006</v>
      </c>
      <c r="J5969">
        <v>-259.3476</v>
      </c>
      <c r="K5969">
        <v>1.122109</v>
      </c>
      <c r="L5969">
        <v>-62.89893</v>
      </c>
      <c r="M5969">
        <v>0.99974350000000001</v>
      </c>
      <c r="N5969">
        <v>-8.8541690000000003E-3</v>
      </c>
      <c r="O5969">
        <v>2.084834E-2</v>
      </c>
      <c r="P5969">
        <v>0.98728050000000001</v>
      </c>
      <c r="Q5969">
        <v>0.1575841</v>
      </c>
      <c r="R5969">
        <v>2.10885E-2</v>
      </c>
      <c r="S5969">
        <v>3.076355</v>
      </c>
      <c r="T5969">
        <v>-0.19243399999999999</v>
      </c>
      <c r="U5969">
        <v>-0.30200199999999999</v>
      </c>
      <c r="V5969">
        <v>-1.191774E-3</v>
      </c>
      <c r="W5969">
        <v>0.16631760000000001</v>
      </c>
      <c r="X5969">
        <v>0.98607149999999999</v>
      </c>
      <c r="Y5969">
        <v>0.11813609999999999</v>
      </c>
      <c r="Z5969">
        <v>-5.323291E-3</v>
      </c>
      <c r="AA5969">
        <v>0.99298319999999995</v>
      </c>
      <c r="AB5969">
        <v>28</v>
      </c>
      <c r="AC5969">
        <v>17.8048</v>
      </c>
      <c r="AD5969">
        <v>-1.1221097878074</v>
      </c>
      <c r="AE5969">
        <v>-1.76476999999999</v>
      </c>
      <c r="AF5969">
        <v>2.1272345221813</v>
      </c>
      <c r="AG5969">
        <v>-1.1221097878074</v>
      </c>
      <c r="AH5969">
        <v>17.694538948131299</v>
      </c>
      <c r="AI5969">
        <v>93.602715001727006</v>
      </c>
      <c r="AJ5969">
        <v>83.144810192475902</v>
      </c>
      <c r="AK5969">
        <v>17.8572384672208</v>
      </c>
      <c r="AL5969">
        <v>80.426214759252204</v>
      </c>
      <c r="AM5969">
        <v>90.069248109376801</v>
      </c>
      <c r="AN5969">
        <v>0.99999998375363797</v>
      </c>
    </row>
    <row r="5970" spans="1:40" x14ac:dyDescent="0.25">
      <c r="A5970" t="str">
        <f>"20190303162420155"</f>
        <v>20190303162420155</v>
      </c>
      <c r="B5970" t="str">
        <f>"1551601460140587"</f>
        <v>1551601460140587</v>
      </c>
      <c r="C5970" t="s">
        <v>40</v>
      </c>
      <c r="D5970">
        <v>5.3817360000000001</v>
      </c>
      <c r="E5970">
        <v>0.54452909999999999</v>
      </c>
      <c r="F5970" t="s">
        <v>63</v>
      </c>
      <c r="G5970">
        <v>-242.1995</v>
      </c>
      <c r="H5970" s="1">
        <v>-1.043475E-6</v>
      </c>
      <c r="I5970">
        <v>-64.565659999999994</v>
      </c>
      <c r="J5970">
        <v>-259.0444</v>
      </c>
      <c r="K5970">
        <v>1.1220760000000001</v>
      </c>
      <c r="L5970">
        <v>-62.889980000000001</v>
      </c>
      <c r="M5970">
        <v>0.99969010000000003</v>
      </c>
      <c r="N5970">
        <v>-8.8574780000000002E-3</v>
      </c>
      <c r="O5970">
        <v>2.32698E-2</v>
      </c>
      <c r="P5970">
        <v>0.98705540000000003</v>
      </c>
      <c r="Q5970">
        <v>0.1593398</v>
      </c>
      <c r="R5970">
        <v>1.824665E-2</v>
      </c>
      <c r="S5970">
        <v>3.0771790000000001</v>
      </c>
      <c r="T5970">
        <v>-0.2013597</v>
      </c>
      <c r="U5970">
        <v>-0.2991028</v>
      </c>
      <c r="V5970">
        <v>4.044555E-3</v>
      </c>
      <c r="W5970">
        <v>0.1680951</v>
      </c>
      <c r="X5970">
        <v>0.98576249999999999</v>
      </c>
      <c r="Y5970">
        <v>0.1195548</v>
      </c>
      <c r="Z5970">
        <v>-5.7420860000000004E-3</v>
      </c>
      <c r="AA5970">
        <v>0.992811</v>
      </c>
      <c r="AB5970">
        <v>28</v>
      </c>
      <c r="AC5970">
        <v>16.8448999999999</v>
      </c>
      <c r="AD5970">
        <v>-1.122077043475</v>
      </c>
      <c r="AE5970">
        <v>-1.6756799999999901</v>
      </c>
      <c r="AF5970">
        <v>2.0581759712512802</v>
      </c>
      <c r="AG5970">
        <v>-1.122077043475</v>
      </c>
      <c r="AH5970">
        <v>16.727846737808999</v>
      </c>
      <c r="AI5970">
        <v>93.808922847788907</v>
      </c>
      <c r="AJ5970">
        <v>82.985643950071406</v>
      </c>
      <c r="AK5970">
        <v>16.891299585992702</v>
      </c>
      <c r="AL5970">
        <v>80.322917557253106</v>
      </c>
      <c r="AM5970">
        <v>89.764918394496206</v>
      </c>
      <c r="AN5970">
        <v>1.0000000137377001</v>
      </c>
    </row>
    <row r="5971" spans="1:40" x14ac:dyDescent="0.25">
      <c r="A5971" t="str">
        <f>"20190303162420166"</f>
        <v>20190303162420166</v>
      </c>
      <c r="B5971" t="str">
        <f>"1551601460161081"</f>
        <v>1551601460161081</v>
      </c>
      <c r="C5971" t="s">
        <v>40</v>
      </c>
      <c r="D5971">
        <v>5.4463480000000004</v>
      </c>
      <c r="E5971">
        <v>0.54297720000000005</v>
      </c>
      <c r="F5971" t="s">
        <v>63</v>
      </c>
      <c r="G5971">
        <v>-242.18940000000001</v>
      </c>
      <c r="H5971" s="1">
        <v>-1.024311E-6</v>
      </c>
      <c r="I5971">
        <v>-64.509950000000003</v>
      </c>
      <c r="J5971">
        <v>-258.90109999999999</v>
      </c>
      <c r="K5971">
        <v>1.12207099999999</v>
      </c>
      <c r="L5971">
        <v>-62.885530000000003</v>
      </c>
      <c r="M5971">
        <v>0.99966310000000003</v>
      </c>
      <c r="N5971">
        <v>-8.8592219999999999E-3</v>
      </c>
      <c r="O5971">
        <v>2.4399520000000001E-2</v>
      </c>
      <c r="P5971">
        <v>0.98691519999999999</v>
      </c>
      <c r="Q5971">
        <v>0.16034039999999999</v>
      </c>
      <c r="R5971">
        <v>1.701252E-2</v>
      </c>
      <c r="S5971">
        <v>3.0779269999999999</v>
      </c>
      <c r="T5971">
        <v>-0.20490549999999999</v>
      </c>
      <c r="U5971">
        <v>-0.29583739999999997</v>
      </c>
      <c r="V5971">
        <v>6.3913959999999997E-3</v>
      </c>
      <c r="W5971">
        <v>0.16910559999999999</v>
      </c>
      <c r="X5971">
        <v>0.98557720000000004</v>
      </c>
      <c r="Y5971">
        <v>0.11959699999999999</v>
      </c>
      <c r="Z5971">
        <v>-5.9028450000000003E-3</v>
      </c>
      <c r="AA5971">
        <v>0.99280489999999999</v>
      </c>
      <c r="AB5971">
        <v>28</v>
      </c>
      <c r="AC5971">
        <v>16.711699999999901</v>
      </c>
      <c r="AD5971">
        <v>-1.1220720243109901</v>
      </c>
      <c r="AE5971">
        <v>-1.62442</v>
      </c>
      <c r="AF5971">
        <v>2.0226765657050501</v>
      </c>
      <c r="AG5971">
        <v>-1.1220720243109901</v>
      </c>
      <c r="AH5971">
        <v>16.592983884310399</v>
      </c>
      <c r="AI5971">
        <v>93.8402976260424</v>
      </c>
      <c r="AJ5971">
        <v>83.049962003827403</v>
      </c>
      <c r="AK5971">
        <v>16.753428911783399</v>
      </c>
      <c r="AL5971">
        <v>80.264179024953805</v>
      </c>
      <c r="AM5971">
        <v>89.628446272193699</v>
      </c>
      <c r="AN5971">
        <v>0.99999998552701397</v>
      </c>
    </row>
    <row r="5972" spans="1:40" x14ac:dyDescent="0.25">
      <c r="A5972" t="str">
        <f>"20190303162420178"</f>
        <v>20190303162420178</v>
      </c>
      <c r="B5972" t="str">
        <f>"1551601460170843"</f>
        <v>1551601460170843</v>
      </c>
      <c r="C5972" t="s">
        <v>40</v>
      </c>
      <c r="D5972">
        <v>5.3249050000000002</v>
      </c>
      <c r="E5972">
        <v>0.54259440000000003</v>
      </c>
      <c r="F5972" t="s">
        <v>63</v>
      </c>
      <c r="G5972">
        <v>-241.971</v>
      </c>
      <c r="H5972" s="1">
        <v>-9.1763039999999996E-7</v>
      </c>
      <c r="I5972">
        <v>-64.461240000000004</v>
      </c>
      <c r="J5972">
        <v>-258.7466</v>
      </c>
      <c r="K5972">
        <v>1.122074</v>
      </c>
      <c r="L5972">
        <v>-62.880549999999999</v>
      </c>
      <c r="M5972">
        <v>0.99963290000000005</v>
      </c>
      <c r="N5972">
        <v>-8.8611479999999992E-3</v>
      </c>
      <c r="O5972">
        <v>2.5608180000000001E-2</v>
      </c>
      <c r="P5972">
        <v>0.98678149999999998</v>
      </c>
      <c r="Q5972">
        <v>0.16124459999999999</v>
      </c>
      <c r="R5972">
        <v>1.621599E-2</v>
      </c>
      <c r="S5972">
        <v>3.07782</v>
      </c>
      <c r="T5972">
        <v>-0.20398759999999999</v>
      </c>
      <c r="U5972">
        <v>-0.28646850000000001</v>
      </c>
      <c r="V5972">
        <v>8.3764749999999995E-3</v>
      </c>
      <c r="W5972">
        <v>0.17001830000000001</v>
      </c>
      <c r="X5972">
        <v>0.98540530000000004</v>
      </c>
      <c r="Y5972">
        <v>0.1178104</v>
      </c>
      <c r="Z5972">
        <v>-5.8810399999999997E-3</v>
      </c>
      <c r="AA5972">
        <v>0.99301870000000003</v>
      </c>
      <c r="AB5972">
        <v>28</v>
      </c>
      <c r="AC5972">
        <v>16.775600000000001</v>
      </c>
      <c r="AD5972">
        <v>-1.1220749176303999</v>
      </c>
      <c r="AE5972">
        <v>-1.5806899999999999</v>
      </c>
      <c r="AF5972">
        <v>2.0009078745617201</v>
      </c>
      <c r="AG5972">
        <v>-1.1220749176303999</v>
      </c>
      <c r="AH5972">
        <v>16.655757297027801</v>
      </c>
      <c r="AI5972">
        <v>93.826680655499999</v>
      </c>
      <c r="AJ5972">
        <v>83.149708495152794</v>
      </c>
      <c r="AK5972">
        <v>16.812999006148601</v>
      </c>
      <c r="AL5972">
        <v>80.211116906382003</v>
      </c>
      <c r="AM5972">
        <v>89.512966791166306</v>
      </c>
      <c r="AN5972">
        <v>0.99999999646820203</v>
      </c>
    </row>
    <row r="5973" spans="1:40" x14ac:dyDescent="0.25">
      <c r="A5973" t="str">
        <f>"20190303162420190"</f>
        <v>20190303162420190</v>
      </c>
      <c r="B5973" t="str">
        <f>"1551601460180602"</f>
        <v>1551601460180602</v>
      </c>
      <c r="C5973" t="s">
        <v>40</v>
      </c>
      <c r="D5973">
        <v>5.4066210000000003</v>
      </c>
      <c r="E5973">
        <v>0.54220429999999997</v>
      </c>
      <c r="F5973" t="s">
        <v>63</v>
      </c>
      <c r="G5973">
        <v>-241.31970000000001</v>
      </c>
      <c r="H5973" s="1">
        <v>-6.4713780000000002E-7</v>
      </c>
      <c r="I5973">
        <v>-64.494659999999996</v>
      </c>
      <c r="J5973">
        <v>-258.59719999999999</v>
      </c>
      <c r="K5973">
        <v>1.12207099999999</v>
      </c>
      <c r="L5973">
        <v>-62.875520000000002</v>
      </c>
      <c r="M5973">
        <v>0.99960230000000005</v>
      </c>
      <c r="N5973">
        <v>-8.8631279999999996E-3</v>
      </c>
      <c r="O5973">
        <v>2.6773640000000001E-2</v>
      </c>
      <c r="P5973">
        <v>0.98663650000000003</v>
      </c>
      <c r="Q5973">
        <v>0.16213949999999999</v>
      </c>
      <c r="R5973">
        <v>1.6110869999999999E-2</v>
      </c>
      <c r="S5973">
        <v>3.077286</v>
      </c>
      <c r="T5973">
        <v>-0.19813910000000001</v>
      </c>
      <c r="U5973">
        <v>-0.28503420000000002</v>
      </c>
      <c r="V5973">
        <v>9.6259889999999997E-3</v>
      </c>
      <c r="W5973">
        <v>0.1709185</v>
      </c>
      <c r="X5973">
        <v>0.98523810000000001</v>
      </c>
      <c r="Y5973">
        <v>0.1185397</v>
      </c>
      <c r="Z5973">
        <v>-5.8135249999999999E-3</v>
      </c>
      <c r="AA5973">
        <v>0.99293229999999999</v>
      </c>
      <c r="AB5973">
        <v>28</v>
      </c>
      <c r="AC5973">
        <v>17.2774999999999</v>
      </c>
      <c r="AD5973">
        <v>-1.1220716471377901</v>
      </c>
      <c r="AE5973">
        <v>-1.61914</v>
      </c>
      <c r="AF5973">
        <v>2.07249409775266</v>
      </c>
      <c r="AG5973">
        <v>-1.1220716471377901</v>
      </c>
      <c r="AH5973">
        <v>17.156223475037802</v>
      </c>
      <c r="AI5973">
        <v>93.715064698836699</v>
      </c>
      <c r="AJ5973">
        <v>83.111971517099207</v>
      </c>
      <c r="AK5973">
        <v>17.317340456662699</v>
      </c>
      <c r="AL5973">
        <v>80.1587726675846</v>
      </c>
      <c r="AM5973">
        <v>89.440225672113499</v>
      </c>
      <c r="AN5973">
        <v>0.99999995349904303</v>
      </c>
    </row>
    <row r="5974" spans="1:40" x14ac:dyDescent="0.25">
      <c r="A5974" t="str">
        <f>"20190303162420200"</f>
        <v>20190303162420200</v>
      </c>
      <c r="B5974" t="str">
        <f>"1551601460190362"</f>
        <v>1551601460190362</v>
      </c>
      <c r="C5974" t="s">
        <v>40</v>
      </c>
      <c r="D5974">
        <v>5.3392809999999997</v>
      </c>
      <c r="E5974">
        <v>0.5420201</v>
      </c>
      <c r="F5974" t="s">
        <v>63</v>
      </c>
      <c r="G5974">
        <v>-240.9795</v>
      </c>
      <c r="H5974" s="1">
        <v>-4.9881419999999899E-7</v>
      </c>
      <c r="I5974">
        <v>-64.485730000000004</v>
      </c>
      <c r="J5974">
        <v>-258.47030000000001</v>
      </c>
      <c r="K5974">
        <v>1.122069</v>
      </c>
      <c r="L5974">
        <v>-62.871189999999999</v>
      </c>
      <c r="M5974">
        <v>0.99957530000000006</v>
      </c>
      <c r="N5974">
        <v>-8.8648609999999999E-3</v>
      </c>
      <c r="O5974">
        <v>2.7762160000000001E-2</v>
      </c>
      <c r="P5974">
        <v>0.98656219999999994</v>
      </c>
      <c r="Q5974">
        <v>0.16260920000000001</v>
      </c>
      <c r="R5974">
        <v>1.591391E-2</v>
      </c>
      <c r="S5974">
        <v>3.0774379999999999</v>
      </c>
      <c r="T5974">
        <v>-0.1960018</v>
      </c>
      <c r="U5974">
        <v>-0.28128049999999999</v>
      </c>
      <c r="V5974">
        <v>1.079511E-2</v>
      </c>
      <c r="W5974">
        <v>0.17139389999999999</v>
      </c>
      <c r="X5974">
        <v>0.9851434</v>
      </c>
      <c r="Y5974">
        <v>0.1183217</v>
      </c>
      <c r="Z5974">
        <v>-5.8002569999999996E-3</v>
      </c>
      <c r="AA5974">
        <v>0.99295840000000002</v>
      </c>
      <c r="AB5974">
        <v>28</v>
      </c>
      <c r="AC5974">
        <v>17.4908</v>
      </c>
      <c r="AD5974">
        <v>-1.1220694988141999</v>
      </c>
      <c r="AE5974">
        <v>-1.6145399999999901</v>
      </c>
      <c r="AF5974">
        <v>2.0909863809159499</v>
      </c>
      <c r="AG5974">
        <v>-1.1220694988141999</v>
      </c>
      <c r="AH5974">
        <v>17.368357722168799</v>
      </c>
      <c r="AI5974">
        <v>93.669985953102298</v>
      </c>
      <c r="AJ5974">
        <v>83.135167606158404</v>
      </c>
      <c r="AK5974">
        <v>17.5297208754323</v>
      </c>
      <c r="AL5974">
        <v>80.1311263743967</v>
      </c>
      <c r="AM5974">
        <v>89.372183290290906</v>
      </c>
      <c r="AN5974">
        <v>0.99999996096034005</v>
      </c>
    </row>
    <row r="5975" spans="1:40" x14ac:dyDescent="0.25">
      <c r="A5975" t="str">
        <f>"20190303162420209"</f>
        <v>20190303162420209</v>
      </c>
      <c r="B5975" t="str">
        <f>"1551601460201097"</f>
        <v>1551601460201097</v>
      </c>
      <c r="C5975" t="s">
        <v>40</v>
      </c>
      <c r="D5975">
        <v>5.3569649999999998</v>
      </c>
      <c r="E5975">
        <v>0.54159539999999995</v>
      </c>
      <c r="F5975" t="s">
        <v>63</v>
      </c>
      <c r="G5975">
        <v>-240.596</v>
      </c>
      <c r="H5975" s="1">
        <v>-3.3676740000000001E-7</v>
      </c>
      <c r="I5975">
        <v>-64.495059999999995</v>
      </c>
      <c r="J5975">
        <v>-258.34809999999999</v>
      </c>
      <c r="K5975">
        <v>1.1220699999999999</v>
      </c>
      <c r="L5975">
        <v>-62.866790000000002</v>
      </c>
      <c r="M5975">
        <v>0.9995484</v>
      </c>
      <c r="N5975">
        <v>-8.8666300000000003E-3</v>
      </c>
      <c r="O5975">
        <v>2.871373E-2</v>
      </c>
      <c r="P5975">
        <v>0.98656849999999996</v>
      </c>
      <c r="Q5975">
        <v>0.1625877</v>
      </c>
      <c r="R5975">
        <v>1.575553E-2</v>
      </c>
      <c r="S5975">
        <v>3.0771790000000001</v>
      </c>
      <c r="T5975">
        <v>-0.1931717</v>
      </c>
      <c r="U5975">
        <v>-0.27957149999999997</v>
      </c>
      <c r="V5975">
        <v>1.189258E-2</v>
      </c>
      <c r="W5975">
        <v>0.17137839999999999</v>
      </c>
      <c r="X5975">
        <v>0.9851335</v>
      </c>
      <c r="Y5975">
        <v>0.11873400000000001</v>
      </c>
      <c r="Z5975">
        <v>-5.7872219999999999E-3</v>
      </c>
      <c r="AA5975">
        <v>0.99290929999999999</v>
      </c>
      <c r="AB5975">
        <v>28</v>
      </c>
      <c r="AC5975">
        <v>17.752099999999999</v>
      </c>
      <c r="AD5975">
        <v>-1.1220703367673901</v>
      </c>
      <c r="AE5975">
        <v>-1.6282699999999899</v>
      </c>
      <c r="AF5975">
        <v>2.1289130751680698</v>
      </c>
      <c r="AG5975">
        <v>-1.1220703367673901</v>
      </c>
      <c r="AH5975">
        <v>17.6281833700695</v>
      </c>
      <c r="AI5975">
        <v>93.615878915883599</v>
      </c>
      <c r="AJ5975">
        <v>83.113875651096293</v>
      </c>
      <c r="AK5975">
        <v>17.7916879933037</v>
      </c>
      <c r="AL5975">
        <v>80.132028196916593</v>
      </c>
      <c r="AM5975">
        <v>89.308356132906994</v>
      </c>
      <c r="AN5975">
        <v>1.0000000011339301</v>
      </c>
    </row>
    <row r="5976" spans="1:40" x14ac:dyDescent="0.25">
      <c r="A5976" t="str">
        <f>"20190303162420220"</f>
        <v>20190303162420220</v>
      </c>
      <c r="B5976" t="str">
        <f>"1551601460210858"</f>
        <v>1551601460210858</v>
      </c>
      <c r="C5976" t="s">
        <v>40</v>
      </c>
      <c r="D5976">
        <v>5.3405959999999997</v>
      </c>
      <c r="E5976">
        <v>0.54128219999999905</v>
      </c>
      <c r="F5976" t="s">
        <v>63</v>
      </c>
      <c r="G5976">
        <v>-240.27950000000001</v>
      </c>
      <c r="H5976" s="1">
        <v>-1.995758E-7</v>
      </c>
      <c r="I5976">
        <v>-64.489729999999994</v>
      </c>
      <c r="J5976">
        <v>-258.22190000000001</v>
      </c>
      <c r="K5976">
        <v>1.12207099999999</v>
      </c>
      <c r="L5976">
        <v>-62.862209999999997</v>
      </c>
      <c r="M5976">
        <v>0.99951959999999995</v>
      </c>
      <c r="N5976">
        <v>-8.8684780000000008E-3</v>
      </c>
      <c r="O5976">
        <v>2.969755E-2</v>
      </c>
      <c r="P5976">
        <v>0.98658290000000004</v>
      </c>
      <c r="Q5976">
        <v>0.1624989</v>
      </c>
      <c r="R5976">
        <v>1.575733E-2</v>
      </c>
      <c r="S5976">
        <v>3.0767519999999999</v>
      </c>
      <c r="T5976">
        <v>-0.1910675</v>
      </c>
      <c r="U5976">
        <v>-0.27636719999999998</v>
      </c>
      <c r="V5976">
        <v>1.2862119999999999E-2</v>
      </c>
      <c r="W5976">
        <v>0.17129529999999901</v>
      </c>
      <c r="X5976">
        <v>0.98513580000000001</v>
      </c>
      <c r="Y5976">
        <v>0.1187029</v>
      </c>
      <c r="Z5976">
        <v>-5.7794250000000004E-3</v>
      </c>
      <c r="AA5976">
        <v>0.99291300000000005</v>
      </c>
      <c r="AB5976">
        <v>28</v>
      </c>
      <c r="AC5976">
        <v>17.9423999999999</v>
      </c>
      <c r="AD5976">
        <v>-1.1220711995757999</v>
      </c>
      <c r="AE5976">
        <v>-1.6275200000000101</v>
      </c>
      <c r="AF5976">
        <v>2.1513233565443799</v>
      </c>
      <c r="AG5976">
        <v>-1.1220711995757999</v>
      </c>
      <c r="AH5976">
        <v>17.8170377867513</v>
      </c>
      <c r="AI5976">
        <v>93.577664144245503</v>
      </c>
      <c r="AJ5976">
        <v>83.115134634202406</v>
      </c>
      <c r="AK5976">
        <v>17.9814924701998</v>
      </c>
      <c r="AL5976">
        <v>80.136861219810399</v>
      </c>
      <c r="AM5976">
        <v>89.251977928685506</v>
      </c>
      <c r="AN5976">
        <v>1.0000000291873099</v>
      </c>
    </row>
    <row r="5977" spans="1:40" x14ac:dyDescent="0.25">
      <c r="A5977" t="str">
        <f>"20190303162420231"</f>
        <v>20190303162420231</v>
      </c>
      <c r="B5977" t="str">
        <f>"1551601460220618"</f>
        <v>1551601460220618</v>
      </c>
      <c r="C5977" t="s">
        <v>40</v>
      </c>
      <c r="D5977">
        <v>5.3625509999999998</v>
      </c>
      <c r="E5977">
        <v>0.54097510000000004</v>
      </c>
      <c r="F5977" t="s">
        <v>63</v>
      </c>
      <c r="G5977">
        <v>-240.06880000000001</v>
      </c>
      <c r="H5977" s="1">
        <v>-1.055707E-7</v>
      </c>
      <c r="I5977">
        <v>-64.476129999999998</v>
      </c>
      <c r="J5977">
        <v>-258.08269999999999</v>
      </c>
      <c r="K5977">
        <v>1.122069</v>
      </c>
      <c r="L5977">
        <v>-62.856960000000001</v>
      </c>
      <c r="M5977">
        <v>0.99948669999999995</v>
      </c>
      <c r="N5977">
        <v>-8.8706310000000003E-3</v>
      </c>
      <c r="O5977">
        <v>3.078527E-2</v>
      </c>
      <c r="P5977">
        <v>0.98656140000000003</v>
      </c>
      <c r="Q5977">
        <v>0.16261419999999999</v>
      </c>
      <c r="R5977">
        <v>1.5923119999999999E-2</v>
      </c>
      <c r="S5977">
        <v>3.076492</v>
      </c>
      <c r="T5977">
        <v>-0.190163</v>
      </c>
      <c r="U5977">
        <v>-0.27352910000000002</v>
      </c>
      <c r="V5977">
        <v>1.3767980000000001E-2</v>
      </c>
      <c r="W5977">
        <v>0.1714165</v>
      </c>
      <c r="X5977">
        <v>0.98510240000000004</v>
      </c>
      <c r="Y5977">
        <v>0.118883</v>
      </c>
      <c r="Z5977">
        <v>-5.8178650000000002E-3</v>
      </c>
      <c r="AA5977">
        <v>0.99289130000000003</v>
      </c>
      <c r="AB5977">
        <v>28</v>
      </c>
      <c r="AC5977">
        <v>18.0138999999999</v>
      </c>
      <c r="AD5977">
        <v>-1.1220691055706999</v>
      </c>
      <c r="AE5977">
        <v>-1.61916999999999</v>
      </c>
      <c r="AF5977">
        <v>2.1646556614991099</v>
      </c>
      <c r="AG5977">
        <v>-1.1220691055706999</v>
      </c>
      <c r="AH5977">
        <v>17.886669775498401</v>
      </c>
      <c r="AI5977">
        <v>93.563649195377593</v>
      </c>
      <c r="AJ5977">
        <v>83.099587111307898</v>
      </c>
      <c r="AK5977">
        <v>18.0520837818869</v>
      </c>
      <c r="AL5977">
        <v>80.129811990069598</v>
      </c>
      <c r="AM5977">
        <v>89.199275334658495</v>
      </c>
      <c r="AN5977">
        <v>0.99999995611564396</v>
      </c>
    </row>
    <row r="5978" spans="1:40" x14ac:dyDescent="0.25">
      <c r="A5978" t="str">
        <f>"20190303162420243"</f>
        <v>20190303162420243</v>
      </c>
      <c r="B5978" t="str">
        <f>"1551601460230378"</f>
        <v>1551601460230378</v>
      </c>
      <c r="C5978" t="s">
        <v>40</v>
      </c>
      <c r="D5978">
        <v>5.3788609999999997</v>
      </c>
      <c r="E5978">
        <v>0.5406919</v>
      </c>
      <c r="F5978" t="s">
        <v>64</v>
      </c>
      <c r="G5978">
        <v>-239.93100000000001</v>
      </c>
      <c r="H5978" s="1">
        <v>-3.9752539999999999E-6</v>
      </c>
      <c r="I5978">
        <v>-64.451800000000006</v>
      </c>
      <c r="J5978">
        <v>-257.93599999999998</v>
      </c>
      <c r="K5978">
        <v>1.122066</v>
      </c>
      <c r="L5978">
        <v>-62.851349999999996</v>
      </c>
      <c r="M5978">
        <v>0.99945059999999997</v>
      </c>
      <c r="N5978">
        <v>-8.8729210000000006E-3</v>
      </c>
      <c r="O5978">
        <v>3.1932179999999998E-2</v>
      </c>
      <c r="P5978">
        <v>0.9865737</v>
      </c>
      <c r="Q5978">
        <v>0.16250529999999999</v>
      </c>
      <c r="R5978">
        <v>1.626476E-2</v>
      </c>
      <c r="S5978">
        <v>3.076584</v>
      </c>
      <c r="T5978">
        <v>-0.19018360000000001</v>
      </c>
      <c r="U5978">
        <v>-0.27032469999999997</v>
      </c>
      <c r="V5978">
        <v>1.4558349999999999E-2</v>
      </c>
      <c r="W5978">
        <v>0.1713132</v>
      </c>
      <c r="X5978">
        <v>0.98510900000000001</v>
      </c>
      <c r="Y5978">
        <v>0.11899170000000001</v>
      </c>
      <c r="Z5978">
        <v>-5.8829829999999996E-3</v>
      </c>
      <c r="AA5978">
        <v>0.99287780000000003</v>
      </c>
      <c r="AB5978">
        <v>28</v>
      </c>
      <c r="AC5978">
        <v>18.0049999999999</v>
      </c>
      <c r="AD5978">
        <v>-1.122069975254</v>
      </c>
      <c r="AE5978">
        <v>-1.6004499999999999</v>
      </c>
      <c r="AF5978">
        <v>2.1662480737476399</v>
      </c>
      <c r="AG5978">
        <v>-1.122069975254</v>
      </c>
      <c r="AH5978">
        <v>17.875828162360701</v>
      </c>
      <c r="AI5978">
        <v>93.5657387450686</v>
      </c>
      <c r="AJ5978">
        <v>83.090412228542306</v>
      </c>
      <c r="AK5978">
        <v>18.041532757408099</v>
      </c>
      <c r="AL5978">
        <v>80.135819448497699</v>
      </c>
      <c r="AM5978">
        <v>89.153320805732093</v>
      </c>
      <c r="AN5978">
        <v>0.99999994996497998</v>
      </c>
    </row>
    <row r="5979" spans="1:40" x14ac:dyDescent="0.25">
      <c r="A5979" t="str">
        <f>"20190303162420255"</f>
        <v>20190303162420255</v>
      </c>
      <c r="B5979" t="str">
        <f>"1551601460241115"</f>
        <v>1551601460241115</v>
      </c>
      <c r="C5979" t="s">
        <v>40</v>
      </c>
      <c r="D5979">
        <v>5.3554449999999996</v>
      </c>
      <c r="E5979">
        <v>0.54069100000000003</v>
      </c>
      <c r="F5979" t="s">
        <v>64</v>
      </c>
      <c r="G5979">
        <v>-239.79249999999999</v>
      </c>
      <c r="H5979" s="1">
        <v>-3.9230840000000002E-6</v>
      </c>
      <c r="I5979">
        <v>-64.423339999999996</v>
      </c>
      <c r="J5979">
        <v>-257.78030000000001</v>
      </c>
      <c r="K5979">
        <v>1.1220650000000001</v>
      </c>
      <c r="L5979">
        <v>-62.845059999999997</v>
      </c>
      <c r="M5979">
        <v>0.99941089999999999</v>
      </c>
      <c r="N5979">
        <v>-8.8755480000000005E-3</v>
      </c>
      <c r="O5979">
        <v>3.3153759999999997E-2</v>
      </c>
      <c r="P5979">
        <v>0.98661239999999994</v>
      </c>
      <c r="Q5979">
        <v>0.16223599999999999</v>
      </c>
      <c r="R5979">
        <v>1.6608069999999999E-2</v>
      </c>
      <c r="S5979">
        <v>3.0765690000000001</v>
      </c>
      <c r="T5979">
        <v>-0.19026779999999999</v>
      </c>
      <c r="U5979">
        <v>-0.266571</v>
      </c>
      <c r="V5979">
        <v>1.5422389999999999E-2</v>
      </c>
      <c r="W5979">
        <v>0.17105010000000001</v>
      </c>
      <c r="X5979">
        <v>0.98514159999999995</v>
      </c>
      <c r="Y5979">
        <v>0.11900139999999999</v>
      </c>
      <c r="Z5979">
        <v>-5.9507070000000004E-3</v>
      </c>
      <c r="AA5979">
        <v>0.99287619999999999</v>
      </c>
      <c r="AB5979">
        <v>28</v>
      </c>
      <c r="AC5979">
        <v>17.9878</v>
      </c>
      <c r="AD5979">
        <v>-1.122068923084</v>
      </c>
      <c r="AE5979">
        <v>-1.5782799999999899</v>
      </c>
      <c r="AF5979">
        <v>2.1654371956209402</v>
      </c>
      <c r="AG5979">
        <v>-1.122068923084</v>
      </c>
      <c r="AH5979">
        <v>17.856629902902402</v>
      </c>
      <c r="AI5979">
        <v>93.569523041899501</v>
      </c>
      <c r="AJ5979">
        <v>83.085619537144893</v>
      </c>
      <c r="AK5979">
        <v>18.022413501125701</v>
      </c>
      <c r="AL5979">
        <v>80.151120103290594</v>
      </c>
      <c r="AM5979">
        <v>89.103107938392398</v>
      </c>
      <c r="AN5979">
        <v>0.99999997943693997</v>
      </c>
    </row>
    <row r="5980" spans="1:40" x14ac:dyDescent="0.25">
      <c r="A5980" t="str">
        <f>"20190303162420266"</f>
        <v>20190303162420266</v>
      </c>
      <c r="B5980" t="str">
        <f>"1551601460260634"</f>
        <v>1551601460260634</v>
      </c>
      <c r="C5980" t="s">
        <v>40</v>
      </c>
      <c r="D5980">
        <v>5.3454189999999997</v>
      </c>
      <c r="E5980">
        <v>0.54044479999999995</v>
      </c>
      <c r="F5980" t="s">
        <v>64</v>
      </c>
      <c r="G5980">
        <v>-239.6575</v>
      </c>
      <c r="H5980" s="1">
        <v>-3.874136E-6</v>
      </c>
      <c r="I5980">
        <v>-64.406490000000005</v>
      </c>
      <c r="J5980">
        <v>-257.64699999999999</v>
      </c>
      <c r="K5980">
        <v>1.1220619999999999</v>
      </c>
      <c r="L5980">
        <v>-62.839660000000002</v>
      </c>
      <c r="M5980">
        <v>0.99937560000000003</v>
      </c>
      <c r="N5980">
        <v>-8.8777630000000003E-3</v>
      </c>
      <c r="O5980">
        <v>3.4200290000000001E-2</v>
      </c>
      <c r="P5980">
        <v>0.98665619999999998</v>
      </c>
      <c r="Q5980">
        <v>0.16191359999999999</v>
      </c>
      <c r="R5980">
        <v>1.7131859999999999E-2</v>
      </c>
      <c r="S5980">
        <v>3.076492</v>
      </c>
      <c r="T5980">
        <v>-0.1904805</v>
      </c>
      <c r="U5980">
        <v>-0.26507570000000003</v>
      </c>
      <c r="V5980">
        <v>1.593406E-2</v>
      </c>
      <c r="W5980">
        <v>0.17073250000000001</v>
      </c>
      <c r="X5980">
        <v>0.98518859999999997</v>
      </c>
      <c r="Y5980">
        <v>0.11956079999999999</v>
      </c>
      <c r="Z5980">
        <v>-6.0325129999999998E-3</v>
      </c>
      <c r="AA5980">
        <v>0.99280860000000004</v>
      </c>
      <c r="AB5980">
        <v>28</v>
      </c>
      <c r="AC5980">
        <v>17.9894999999999</v>
      </c>
      <c r="AD5980">
        <v>-1.1220658741359999</v>
      </c>
      <c r="AE5980">
        <v>-1.5668300000000099</v>
      </c>
      <c r="AF5980">
        <v>2.1727941943728801</v>
      </c>
      <c r="AG5980">
        <v>-1.1220658741359999</v>
      </c>
      <c r="AH5980">
        <v>17.856440783105999</v>
      </c>
      <c r="AI5980">
        <v>93.569374934290707</v>
      </c>
      <c r="AJ5980">
        <v>83.062283963538306</v>
      </c>
      <c r="AK5980">
        <v>18.023111381711299</v>
      </c>
      <c r="AL5980">
        <v>80.169589415741399</v>
      </c>
      <c r="AM5980">
        <v>89.073400975505393</v>
      </c>
      <c r="AN5980">
        <v>1.00000002919714</v>
      </c>
    </row>
    <row r="5981" spans="1:40" x14ac:dyDescent="0.25">
      <c r="A5981" t="str">
        <f>"20190303162420276"</f>
        <v>20190303162420276</v>
      </c>
      <c r="B5981" t="str">
        <f>"1551601460270394"</f>
        <v>1551601460270394</v>
      </c>
      <c r="C5981" t="s">
        <v>40</v>
      </c>
      <c r="D5981">
        <v>5.3444789999999998</v>
      </c>
      <c r="E5981">
        <v>0.54051439999999995</v>
      </c>
      <c r="F5981" t="s">
        <v>64</v>
      </c>
      <c r="G5981">
        <v>-239.51990000000001</v>
      </c>
      <c r="H5981" s="1">
        <v>-3.8221950000000001E-6</v>
      </c>
      <c r="I5981">
        <v>-64.377610000000004</v>
      </c>
      <c r="J5981">
        <v>-257.50970000000001</v>
      </c>
      <c r="K5981">
        <v>1.122058</v>
      </c>
      <c r="L5981">
        <v>-62.833860000000001</v>
      </c>
      <c r="M5981">
        <v>0.99933799999999995</v>
      </c>
      <c r="N5981">
        <v>-8.8799819999999998E-3</v>
      </c>
      <c r="O5981">
        <v>3.5280020000000002E-2</v>
      </c>
      <c r="P5981">
        <v>0.98673730000000004</v>
      </c>
      <c r="Q5981">
        <v>0.1613185</v>
      </c>
      <c r="R5981">
        <v>1.8059309999999999E-2</v>
      </c>
      <c r="S5981">
        <v>3.076355</v>
      </c>
      <c r="T5981">
        <v>-0.19042609999999999</v>
      </c>
      <c r="U5981">
        <v>-0.26101679999999999</v>
      </c>
      <c r="V5981">
        <v>1.6077480000000002E-2</v>
      </c>
      <c r="W5981">
        <v>0.17014089999999901</v>
      </c>
      <c r="X5981">
        <v>0.98528859999999996</v>
      </c>
      <c r="Y5981">
        <v>0.11933589999999999</v>
      </c>
      <c r="Z5981">
        <v>-6.0806059999999997E-3</v>
      </c>
      <c r="AA5981">
        <v>0.99283529999999998</v>
      </c>
      <c r="AB5981">
        <v>28</v>
      </c>
      <c r="AC5981">
        <v>17.989799999999999</v>
      </c>
      <c r="AD5981">
        <v>-1.1220618221950001</v>
      </c>
      <c r="AE5981">
        <v>-1.5437500000000099</v>
      </c>
      <c r="AF5981">
        <v>2.1691176346496199</v>
      </c>
      <c r="AG5981">
        <v>-1.1220618221950001</v>
      </c>
      <c r="AH5981">
        <v>17.8551802852893</v>
      </c>
      <c r="AI5981">
        <v>93.569697580634696</v>
      </c>
      <c r="AJ5981">
        <v>83.073424867271996</v>
      </c>
      <c r="AK5981">
        <v>18.021419396539201</v>
      </c>
      <c r="AL5981">
        <v>80.2039888020022</v>
      </c>
      <c r="AM5981">
        <v>89.065157148255196</v>
      </c>
      <c r="AN5981">
        <v>1.00000001825296</v>
      </c>
    </row>
    <row r="5982" spans="1:40" x14ac:dyDescent="0.25">
      <c r="A5982" t="str">
        <f>"20190303162420287"</f>
        <v>20190303162420287</v>
      </c>
      <c r="B5982" t="str">
        <f>"1551601460281130"</f>
        <v>1551601460281130</v>
      </c>
      <c r="C5982" t="s">
        <v>40</v>
      </c>
      <c r="D5982">
        <v>5.3611380000000004</v>
      </c>
      <c r="E5982">
        <v>0.54060069999999905</v>
      </c>
      <c r="F5982" t="s">
        <v>64</v>
      </c>
      <c r="G5982">
        <v>-239.4588</v>
      </c>
      <c r="H5982" s="1">
        <v>-3.7962420000000001E-6</v>
      </c>
      <c r="I5982">
        <v>-64.348529999999997</v>
      </c>
      <c r="J5982">
        <v>-257.36790000000002</v>
      </c>
      <c r="K5982">
        <v>1.122053</v>
      </c>
      <c r="L5982">
        <v>-62.827730000000003</v>
      </c>
      <c r="M5982">
        <v>0.99929809999999997</v>
      </c>
      <c r="N5982">
        <v>-8.8822569999999993E-3</v>
      </c>
      <c r="O5982">
        <v>3.6394540000000003E-2</v>
      </c>
      <c r="P5982">
        <v>0.98678489999999996</v>
      </c>
      <c r="Q5982">
        <v>0.16093859999999999</v>
      </c>
      <c r="R5982">
        <v>1.8830010000000001E-2</v>
      </c>
      <c r="S5982">
        <v>3.0763090000000002</v>
      </c>
      <c r="T5982">
        <v>-0.19122620000000001</v>
      </c>
      <c r="U5982">
        <v>-0.25814819999999999</v>
      </c>
      <c r="V5982">
        <v>1.6410790000000001E-2</v>
      </c>
      <c r="W5982">
        <v>0.16976550000000001</v>
      </c>
      <c r="X5982">
        <v>0.98534790000000005</v>
      </c>
      <c r="Y5982">
        <v>0.1195206</v>
      </c>
      <c r="Z5982">
        <v>-6.1713109999999996E-3</v>
      </c>
      <c r="AA5982">
        <v>0.99281249999999999</v>
      </c>
      <c r="AB5982">
        <v>28</v>
      </c>
      <c r="AC5982">
        <v>17.909099999999999</v>
      </c>
      <c r="AD5982">
        <v>-1.1220567962420001</v>
      </c>
      <c r="AE5982">
        <v>-1.5207999999999999</v>
      </c>
      <c r="AF5982">
        <v>2.1631809864653002</v>
      </c>
      <c r="AG5982">
        <v>-1.1220567962420001</v>
      </c>
      <c r="AH5982">
        <v>17.772618394723001</v>
      </c>
      <c r="AI5982">
        <v>93.586122536248695</v>
      </c>
      <c r="AJ5982">
        <v>83.060421084673607</v>
      </c>
      <c r="AK5982">
        <v>17.938905430338998</v>
      </c>
      <c r="AL5982">
        <v>80.225815591463103</v>
      </c>
      <c r="AM5982">
        <v>89.045837432910403</v>
      </c>
      <c r="AN5982">
        <v>1.0000000615265401</v>
      </c>
    </row>
    <row r="5983" spans="1:40" x14ac:dyDescent="0.25">
      <c r="A5983" t="str">
        <f>"20190303162420299"</f>
        <v>20190303162420299</v>
      </c>
      <c r="B5983" t="str">
        <f>"1551601460290890"</f>
        <v>1551601460290890</v>
      </c>
      <c r="C5983" t="s">
        <v>40</v>
      </c>
      <c r="D5983">
        <v>5.3751300000000004</v>
      </c>
      <c r="E5983">
        <v>0.54062500000000002</v>
      </c>
      <c r="F5983" t="s">
        <v>64</v>
      </c>
      <c r="G5983">
        <v>-239.33199999999999</v>
      </c>
      <c r="H5983" s="1">
        <v>-3.7495669999999998E-6</v>
      </c>
      <c r="I5983">
        <v>-64.328639999999993</v>
      </c>
      <c r="J5983">
        <v>-257.22500000000002</v>
      </c>
      <c r="K5983">
        <v>1.1220479999999999</v>
      </c>
      <c r="L5983">
        <v>-62.82141</v>
      </c>
      <c r="M5983">
        <v>0.99925660000000005</v>
      </c>
      <c r="N5983">
        <v>-8.8845239999999995E-3</v>
      </c>
      <c r="O5983">
        <v>3.7514609999999997E-2</v>
      </c>
      <c r="P5983">
        <v>0.98682820000000004</v>
      </c>
      <c r="Q5983">
        <v>0.1605287</v>
      </c>
      <c r="R5983">
        <v>2.0026209999999999E-2</v>
      </c>
      <c r="S5983">
        <v>3.0762480000000001</v>
      </c>
      <c r="T5983">
        <v>-0.1913813</v>
      </c>
      <c r="U5983">
        <v>-0.25601200000000002</v>
      </c>
      <c r="V5983">
        <v>1.6324720000000001E-2</v>
      </c>
      <c r="W5983">
        <v>0.16935799999999901</v>
      </c>
      <c r="X5983">
        <v>0.98541939999999995</v>
      </c>
      <c r="Y5983">
        <v>0.11994730000000001</v>
      </c>
      <c r="Z5983">
        <v>-6.2511779999999996E-3</v>
      </c>
      <c r="AA5983">
        <v>0.99276059999999999</v>
      </c>
      <c r="AB5983">
        <v>28</v>
      </c>
      <c r="AC5983">
        <v>17.893000000000001</v>
      </c>
      <c r="AD5983">
        <v>-1.1220517495669999</v>
      </c>
      <c r="AE5983">
        <v>-1.5072300000000001</v>
      </c>
      <c r="AF5983">
        <v>2.1689751275992899</v>
      </c>
      <c r="AG5983">
        <v>-1.1220517495669999</v>
      </c>
      <c r="AH5983">
        <v>17.754532085946298</v>
      </c>
      <c r="AI5983">
        <v>93.589556295839699</v>
      </c>
      <c r="AJ5983">
        <v>83.034996779824795</v>
      </c>
      <c r="AK5983">
        <v>17.921686941349801</v>
      </c>
      <c r="AL5983">
        <v>80.249506182754601</v>
      </c>
      <c r="AM5983">
        <v>89.050909687008101</v>
      </c>
      <c r="AN5983">
        <v>1.00000001127171</v>
      </c>
    </row>
    <row r="5984" spans="1:40" x14ac:dyDescent="0.25">
      <c r="A5984" t="str">
        <f>"20190303162420310"</f>
        <v>20190303162420310</v>
      </c>
      <c r="B5984" t="str">
        <f>"1551601460300650"</f>
        <v>1551601460300650</v>
      </c>
      <c r="C5984" t="s">
        <v>40</v>
      </c>
      <c r="D5984">
        <v>5.3482180000000001</v>
      </c>
      <c r="E5984">
        <v>0.54049060000000004</v>
      </c>
      <c r="F5984" t="s">
        <v>64</v>
      </c>
      <c r="G5984">
        <v>-239.25460000000001</v>
      </c>
      <c r="H5984" s="1">
        <v>-3.7170550000000002E-6</v>
      </c>
      <c r="I5984">
        <v>-64.293819999999997</v>
      </c>
      <c r="J5984">
        <v>-257.09980000000002</v>
      </c>
      <c r="K5984">
        <v>1.122045</v>
      </c>
      <c r="L5984">
        <v>-62.815730000000002</v>
      </c>
      <c r="M5984">
        <v>0.99921950000000004</v>
      </c>
      <c r="N5984">
        <v>-8.8864479999999999E-3</v>
      </c>
      <c r="O5984">
        <v>3.849114E-2</v>
      </c>
      <c r="P5984">
        <v>0.98690829999999996</v>
      </c>
      <c r="Q5984">
        <v>0.1599197</v>
      </c>
      <c r="R5984">
        <v>2.0925010000000001E-2</v>
      </c>
      <c r="S5984">
        <v>3.0764010000000002</v>
      </c>
      <c r="T5984">
        <v>-0.1920869</v>
      </c>
      <c r="U5984">
        <v>-0.2520752</v>
      </c>
      <c r="V5984">
        <v>1.6397729999999999E-2</v>
      </c>
      <c r="W5984">
        <v>0.16875179999999901</v>
      </c>
      <c r="X5984">
        <v>0.98552220000000001</v>
      </c>
      <c r="Y5984">
        <v>0.11964859999999999</v>
      </c>
      <c r="Z5984">
        <v>-6.314984E-3</v>
      </c>
      <c r="AA5984">
        <v>0.99279620000000002</v>
      </c>
      <c r="AB5984">
        <v>28</v>
      </c>
      <c r="AC5984">
        <v>17.845199999999998</v>
      </c>
      <c r="AD5984">
        <v>-1.122048717055</v>
      </c>
      <c r="AE5984">
        <v>-1.4780899999999899</v>
      </c>
      <c r="AF5984">
        <v>2.1554402800346701</v>
      </c>
      <c r="AG5984">
        <v>-1.122048717055</v>
      </c>
      <c r="AH5984">
        <v>17.705557231593399</v>
      </c>
      <c r="AI5984">
        <v>93.5996335007017</v>
      </c>
      <c r="AJ5984">
        <v>83.059076715391598</v>
      </c>
      <c r="AK5984">
        <v>17.871532475013801</v>
      </c>
      <c r="AL5984">
        <v>80.284746300252806</v>
      </c>
      <c r="AM5984">
        <v>89.0467652206476</v>
      </c>
      <c r="AN5984">
        <v>1.00000003112261</v>
      </c>
    </row>
    <row r="5985" spans="1:40" x14ac:dyDescent="0.25">
      <c r="A5985" t="str">
        <f>"20190303162420320"</f>
        <v>20190303162420320</v>
      </c>
      <c r="B5985" t="str">
        <f>"1551601460310411"</f>
        <v>1551601460310411</v>
      </c>
      <c r="C5985" t="s">
        <v>40</v>
      </c>
      <c r="D5985">
        <v>5.4424910000000004</v>
      </c>
      <c r="E5985">
        <v>0.54028679999999996</v>
      </c>
      <c r="F5985" t="s">
        <v>64</v>
      </c>
      <c r="G5985">
        <v>-239.2346</v>
      </c>
      <c r="H5985" s="1">
        <v>-3.703041E-6</v>
      </c>
      <c r="I5985">
        <v>-64.253299999999996</v>
      </c>
      <c r="J5985">
        <v>-256.96050000000002</v>
      </c>
      <c r="K5985">
        <v>1.122037</v>
      </c>
      <c r="L5985">
        <v>-62.809330000000003</v>
      </c>
      <c r="M5985">
        <v>0.99917710000000004</v>
      </c>
      <c r="N5985">
        <v>-8.8885479999999996E-3</v>
      </c>
      <c r="O5985">
        <v>3.9574409999999997E-2</v>
      </c>
      <c r="P5985">
        <v>0.98696150000000005</v>
      </c>
      <c r="Q5985">
        <v>0.15943579999999999</v>
      </c>
      <c r="R5985">
        <v>2.2079339999999999E-2</v>
      </c>
      <c r="S5985">
        <v>3.0763850000000001</v>
      </c>
      <c r="T5985">
        <v>-0.19321630000000001</v>
      </c>
      <c r="U5985">
        <v>-0.24755859999999999</v>
      </c>
      <c r="V5985">
        <v>1.631954E-2</v>
      </c>
      <c r="W5985">
        <v>0.16827</v>
      </c>
      <c r="X5985">
        <v>0.98560579999999998</v>
      </c>
      <c r="Y5985">
        <v>0.1192728</v>
      </c>
      <c r="Z5985">
        <v>-6.3961199999999999E-3</v>
      </c>
      <c r="AA5985">
        <v>0.99284090000000003</v>
      </c>
      <c r="AB5985">
        <v>28</v>
      </c>
      <c r="AC5985">
        <v>17.725899999999999</v>
      </c>
      <c r="AD5985">
        <v>-1.122040703041</v>
      </c>
      <c r="AE5985">
        <v>-1.44396999999999</v>
      </c>
      <c r="AF5985">
        <v>2.1358568890893701</v>
      </c>
      <c r="AG5985">
        <v>-1.122040703041</v>
      </c>
      <c r="AH5985">
        <v>17.584871315360498</v>
      </c>
      <c r="AI5985">
        <v>93.624367017061104</v>
      </c>
      <c r="AJ5985">
        <v>83.074781609042105</v>
      </c>
      <c r="AK5985">
        <v>17.749607296155599</v>
      </c>
      <c r="AL5985">
        <v>80.312751163583798</v>
      </c>
      <c r="AM5985">
        <v>89.051390192346403</v>
      </c>
      <c r="AN5985">
        <v>0.99999995663972496</v>
      </c>
    </row>
    <row r="5986" spans="1:40" x14ac:dyDescent="0.25">
      <c r="A5986" t="str">
        <f>"20190303162420331"</f>
        <v>20190303162420331</v>
      </c>
      <c r="B5986" t="str">
        <f>"1551601460322122"</f>
        <v>1551601460322122</v>
      </c>
      <c r="C5986" t="s">
        <v>40</v>
      </c>
      <c r="D5986">
        <v>5.4381570000000004</v>
      </c>
      <c r="E5986">
        <v>0.5400104</v>
      </c>
      <c r="F5986" t="s">
        <v>64</v>
      </c>
      <c r="G5986">
        <v>-239.4178</v>
      </c>
      <c r="H5986" s="1">
        <v>-3.753388E-6</v>
      </c>
      <c r="I5986">
        <v>-64.185569999999998</v>
      </c>
      <c r="J5986">
        <v>-256.81689999999998</v>
      </c>
      <c r="K5986">
        <v>1.1220239999999999</v>
      </c>
      <c r="L5986">
        <v>-62.802520000000001</v>
      </c>
      <c r="M5986">
        <v>0.99913300000000005</v>
      </c>
      <c r="N5986">
        <v>-8.8905589999999993E-3</v>
      </c>
      <c r="O5986">
        <v>4.06732E-2</v>
      </c>
      <c r="P5986">
        <v>0.98709179999999996</v>
      </c>
      <c r="Q5986">
        <v>0.15851390000000001</v>
      </c>
      <c r="R5986">
        <v>2.28738E-2</v>
      </c>
      <c r="S5986">
        <v>3.0768589999999998</v>
      </c>
      <c r="T5986">
        <v>-0.19679749999999999</v>
      </c>
      <c r="U5986">
        <v>-0.241394</v>
      </c>
      <c r="V5986">
        <v>1.6624389999999999E-2</v>
      </c>
      <c r="W5986">
        <v>0.16735239999999901</v>
      </c>
      <c r="X5986">
        <v>0.98575699999999999</v>
      </c>
      <c r="Y5986">
        <v>0.11836439999999999</v>
      </c>
      <c r="Z5986">
        <v>-6.5379349999999999E-3</v>
      </c>
      <c r="AA5986">
        <v>0.99294870000000002</v>
      </c>
      <c r="AB5986">
        <v>28</v>
      </c>
      <c r="AC5986">
        <v>17.399099999999901</v>
      </c>
      <c r="AD5986">
        <v>-1.1220277533880001</v>
      </c>
      <c r="AE5986">
        <v>-1.3830499999999999</v>
      </c>
      <c r="AF5986">
        <v>2.0810105670735002</v>
      </c>
      <c r="AG5986">
        <v>-1.1220277533880001</v>
      </c>
      <c r="AH5986">
        <v>17.257129917517599</v>
      </c>
      <c r="AI5986">
        <v>93.693351335604206</v>
      </c>
      <c r="AJ5986">
        <v>83.123991755468694</v>
      </c>
      <c r="AK5986">
        <v>17.418326103553301</v>
      </c>
      <c r="AL5986">
        <v>80.366082761968102</v>
      </c>
      <c r="AM5986">
        <v>89.033821624304906</v>
      </c>
      <c r="AN5986">
        <v>1.0000000295888101</v>
      </c>
    </row>
    <row r="5987" spans="1:40" x14ac:dyDescent="0.25">
      <c r="A5987" t="str">
        <f>"20190303162420344"</f>
        <v>20190303162420344</v>
      </c>
      <c r="B5987" t="str">
        <f>"1551601460330906"</f>
        <v>1551601460330906</v>
      </c>
      <c r="C5987" t="s">
        <v>40</v>
      </c>
      <c r="D5987">
        <v>5.3894869999999999</v>
      </c>
      <c r="E5987">
        <v>0.54012530000000003</v>
      </c>
      <c r="F5987" t="s">
        <v>64</v>
      </c>
      <c r="G5987">
        <v>-239.6541</v>
      </c>
      <c r="H5987" s="1">
        <v>-3.8219169999999996E-6</v>
      </c>
      <c r="I5987">
        <v>-64.118600000000001</v>
      </c>
      <c r="J5987">
        <v>-256.6576</v>
      </c>
      <c r="K5987">
        <v>1.1220079999999999</v>
      </c>
      <c r="L5987">
        <v>-62.794829999999997</v>
      </c>
      <c r="M5987">
        <v>0.99908300000000005</v>
      </c>
      <c r="N5987">
        <v>-8.8927109999999993E-3</v>
      </c>
      <c r="O5987">
        <v>4.188103E-2</v>
      </c>
      <c r="P5987">
        <v>0.98720050000000004</v>
      </c>
      <c r="Q5987">
        <v>0.1576804</v>
      </c>
      <c r="R5987">
        <v>2.3926840000000001E-2</v>
      </c>
      <c r="S5987">
        <v>3.0769959999999998</v>
      </c>
      <c r="T5987">
        <v>-0.2011607</v>
      </c>
      <c r="U5987">
        <v>-0.2359619</v>
      </c>
      <c r="V5987">
        <v>1.6779160000000001E-2</v>
      </c>
      <c r="W5987">
        <v>0.16652259999999999</v>
      </c>
      <c r="X5987">
        <v>0.98589490000000002</v>
      </c>
      <c r="Y5987">
        <v>0.11780350000000001</v>
      </c>
      <c r="Z5987">
        <v>-6.7263119999999999E-3</v>
      </c>
      <c r="AA5987">
        <v>0.99301419999999996</v>
      </c>
      <c r="AB5987">
        <v>28</v>
      </c>
      <c r="AC5987">
        <v>17.003499999999999</v>
      </c>
      <c r="AD5987">
        <v>-1.1220118219170001</v>
      </c>
      <c r="AE5987">
        <v>-1.3237699999999899</v>
      </c>
      <c r="AF5987">
        <v>2.0259920845311399</v>
      </c>
      <c r="AG5987">
        <v>-1.1220118219170001</v>
      </c>
      <c r="AH5987">
        <v>16.8601650763602</v>
      </c>
      <c r="AI5987">
        <v>93.780196491960098</v>
      </c>
      <c r="AJ5987">
        <v>83.147939501002199</v>
      </c>
      <c r="AK5987">
        <v>17.018481743599299</v>
      </c>
      <c r="AL5987">
        <v>80.414303511911299</v>
      </c>
      <c r="AM5987">
        <v>89.024964784854205</v>
      </c>
      <c r="AN5987">
        <v>1.0000000351835301</v>
      </c>
    </row>
    <row r="5988" spans="1:40" x14ac:dyDescent="0.25">
      <c r="A5988" t="str">
        <f>"20190303162420357"</f>
        <v>20190303162420357</v>
      </c>
      <c r="B5988" t="str">
        <f>"1551601460350427"</f>
        <v>1551601460350427</v>
      </c>
      <c r="C5988" t="s">
        <v>40</v>
      </c>
      <c r="D5988">
        <v>5.4275979999999997</v>
      </c>
      <c r="E5988">
        <v>0.53986140000000005</v>
      </c>
      <c r="F5988" t="s">
        <v>64</v>
      </c>
      <c r="G5988">
        <v>-239.69120000000001</v>
      </c>
      <c r="H5988" s="1">
        <v>-3.8270629999999998E-6</v>
      </c>
      <c r="I5988">
        <v>-64.076490000000007</v>
      </c>
      <c r="J5988">
        <v>-256.49</v>
      </c>
      <c r="K5988">
        <v>1.121983</v>
      </c>
      <c r="L5988">
        <v>-62.786529999999999</v>
      </c>
      <c r="M5988">
        <v>0.99903050000000004</v>
      </c>
      <c r="N5988">
        <v>-8.8945669999999904E-3</v>
      </c>
      <c r="O5988">
        <v>4.3115140000000003E-2</v>
      </c>
      <c r="P5988">
        <v>0.98737909999999995</v>
      </c>
      <c r="Q5988">
        <v>0.15645020000000001</v>
      </c>
      <c r="R5988">
        <v>2.461584E-2</v>
      </c>
      <c r="S5988">
        <v>3.077026</v>
      </c>
      <c r="T5988">
        <v>-0.20348740000000001</v>
      </c>
      <c r="U5988">
        <v>-0.2324524</v>
      </c>
      <c r="V5988">
        <v>1.7333479999999998E-2</v>
      </c>
      <c r="W5988">
        <v>0.16529669999999999</v>
      </c>
      <c r="X5988">
        <v>0.98609159999999996</v>
      </c>
      <c r="Y5988">
        <v>0.117893</v>
      </c>
      <c r="Z5988">
        <v>-6.8762090000000003E-3</v>
      </c>
      <c r="AA5988">
        <v>0.99300250000000001</v>
      </c>
      <c r="AB5988">
        <v>28</v>
      </c>
      <c r="AC5988">
        <v>16.7988</v>
      </c>
      <c r="AD5988">
        <v>-1.121986827063</v>
      </c>
      <c r="AE5988">
        <v>-1.28996</v>
      </c>
      <c r="AF5988">
        <v>2.0041836783232001</v>
      </c>
      <c r="AG5988">
        <v>-1.121986827063</v>
      </c>
      <c r="AH5988">
        <v>16.6537042918991</v>
      </c>
      <c r="AI5988">
        <v>93.826755776960795</v>
      </c>
      <c r="AJ5988">
        <v>83.137762528766899</v>
      </c>
      <c r="AK5988">
        <v>16.811349538290401</v>
      </c>
      <c r="AL5988">
        <v>80.485529639453304</v>
      </c>
      <c r="AM5988">
        <v>88.992960715454899</v>
      </c>
      <c r="AN5988">
        <v>1.0000000460751699</v>
      </c>
    </row>
    <row r="5989" spans="1:40" x14ac:dyDescent="0.25">
      <c r="A5989" t="str">
        <f>"20190303162420370"</f>
        <v>20190303162420370</v>
      </c>
      <c r="B5989" t="str">
        <f>"1551601460361161"</f>
        <v>1551601460361161</v>
      </c>
      <c r="C5989" t="s">
        <v>40</v>
      </c>
      <c r="D5989">
        <v>5.347677</v>
      </c>
      <c r="E5989">
        <v>0.53984989999999999</v>
      </c>
      <c r="F5989" t="s">
        <v>64</v>
      </c>
      <c r="G5989">
        <v>-239.97880000000001</v>
      </c>
      <c r="H5989" s="1">
        <v>-3.9120059999999997E-6</v>
      </c>
      <c r="I5989">
        <v>-64.003619999999998</v>
      </c>
      <c r="J5989">
        <v>-256.3279</v>
      </c>
      <c r="K5989">
        <v>1.1219479999999999</v>
      </c>
      <c r="L5989">
        <v>-62.778350000000003</v>
      </c>
      <c r="M5989">
        <v>0.99897970000000003</v>
      </c>
      <c r="N5989">
        <v>-8.8963299999999992E-3</v>
      </c>
      <c r="O5989">
        <v>4.4277030000000002E-2</v>
      </c>
      <c r="P5989">
        <v>0.98744730000000003</v>
      </c>
      <c r="Q5989">
        <v>0.155857299999999</v>
      </c>
      <c r="R5989">
        <v>2.5623690000000001E-2</v>
      </c>
      <c r="S5989">
        <v>3.0771329999999999</v>
      </c>
      <c r="T5989">
        <v>-0.2091006</v>
      </c>
      <c r="U5989">
        <v>-0.22683719999999999</v>
      </c>
      <c r="V5989">
        <v>1.7493140000000001E-2</v>
      </c>
      <c r="W5989">
        <v>0.1647055</v>
      </c>
      <c r="X5989">
        <v>0.98618760000000005</v>
      </c>
      <c r="Y5989">
        <v>0.1172232</v>
      </c>
      <c r="Z5989">
        <v>-7.1044979999999999E-3</v>
      </c>
      <c r="AA5989">
        <v>0.99308019999999997</v>
      </c>
      <c r="AB5989">
        <v>28</v>
      </c>
      <c r="AC5989">
        <v>16.3490999999999</v>
      </c>
      <c r="AD5989">
        <v>-1.121951912006</v>
      </c>
      <c r="AE5989">
        <v>-1.2252699999999901</v>
      </c>
      <c r="AF5989">
        <v>1.93890650950048</v>
      </c>
      <c r="AG5989">
        <v>-1.121951912006</v>
      </c>
      <c r="AH5989">
        <v>16.2029325024372</v>
      </c>
      <c r="AI5989">
        <v>93.933081698815599</v>
      </c>
      <c r="AJ5989">
        <v>83.176209640886796</v>
      </c>
      <c r="AK5989">
        <v>16.357052186258201</v>
      </c>
      <c r="AL5989">
        <v>80.519872695789203</v>
      </c>
      <c r="AM5989">
        <v>88.983785648686094</v>
      </c>
      <c r="AN5989">
        <v>0.99999994703553297</v>
      </c>
    </row>
    <row r="5990" spans="1:40" x14ac:dyDescent="0.25">
      <c r="A5990" t="str">
        <f>"20190303162420384"</f>
        <v>20190303162420384</v>
      </c>
      <c r="B5990" t="str">
        <f>"1551601460370921"</f>
        <v>1551601460370921</v>
      </c>
      <c r="C5990" t="s">
        <v>40</v>
      </c>
      <c r="D5990">
        <v>5.3655369999999998</v>
      </c>
      <c r="E5990">
        <v>0.53983910000000002</v>
      </c>
      <c r="F5990" t="s">
        <v>64</v>
      </c>
      <c r="G5990">
        <v>-239.86779999999999</v>
      </c>
      <c r="H5990" s="1">
        <v>-3.8681630000000001E-6</v>
      </c>
      <c r="I5990">
        <v>-63.969360000000002</v>
      </c>
      <c r="J5990">
        <v>-256.15929999999997</v>
      </c>
      <c r="K5990">
        <v>1.1219049999999999</v>
      </c>
      <c r="L5990">
        <v>-62.769680000000001</v>
      </c>
      <c r="M5990">
        <v>0.9989266</v>
      </c>
      <c r="N5990">
        <v>-8.8981559999999904E-3</v>
      </c>
      <c r="O5990">
        <v>4.5459069999999997E-2</v>
      </c>
      <c r="P5990">
        <v>0.98746080000000003</v>
      </c>
      <c r="Q5990">
        <v>0.15563089999999999</v>
      </c>
      <c r="R5990">
        <v>2.64654E-2</v>
      </c>
      <c r="S5990">
        <v>3.077026</v>
      </c>
      <c r="T5990">
        <v>-0.20973530000000001</v>
      </c>
      <c r="U5990">
        <v>-0.2226563</v>
      </c>
      <c r="V5990">
        <v>1.7838E-2</v>
      </c>
      <c r="W5990">
        <v>0.16448070000000001</v>
      </c>
      <c r="X5990">
        <v>0.98621899999999996</v>
      </c>
      <c r="Y5990">
        <v>0.11705459999999999</v>
      </c>
      <c r="Z5990">
        <v>-7.1895700000000002E-3</v>
      </c>
      <c r="AA5990">
        <v>0.99309950000000002</v>
      </c>
      <c r="AB5990">
        <v>29</v>
      </c>
      <c r="AC5990">
        <v>16.2914999999999</v>
      </c>
      <c r="AD5990">
        <v>-1.1219088681629901</v>
      </c>
      <c r="AE5990">
        <v>-1.1996799999999801</v>
      </c>
      <c r="AF5990">
        <v>1.9299622330878601</v>
      </c>
      <c r="AG5990">
        <v>-1.1219088681629901</v>
      </c>
      <c r="AH5990">
        <v>16.143970715124599</v>
      </c>
      <c r="AI5990">
        <v>93.947304277485799</v>
      </c>
      <c r="AJ5990">
        <v>83.182818116785398</v>
      </c>
      <c r="AK5990">
        <v>16.297583384674201</v>
      </c>
      <c r="AL5990">
        <v>80.532931439130394</v>
      </c>
      <c r="AM5990">
        <v>88.963789296822895</v>
      </c>
      <c r="AN5990">
        <v>1.0000000054387399</v>
      </c>
    </row>
    <row r="5991" spans="1:40" x14ac:dyDescent="0.25">
      <c r="A5991" t="str">
        <f>"20190303162420398"</f>
        <v>20190303162420398</v>
      </c>
      <c r="B5991" t="str">
        <f>"1551601460391419"</f>
        <v>1551601460391419</v>
      </c>
      <c r="C5991" t="s">
        <v>40</v>
      </c>
      <c r="D5991">
        <v>5.3925489999999998</v>
      </c>
      <c r="E5991">
        <v>0.53977039999999998</v>
      </c>
      <c r="F5991" t="s">
        <v>64</v>
      </c>
      <c r="G5991">
        <v>-239.64160000000001</v>
      </c>
      <c r="H5991" s="1">
        <v>-3.787402E-6</v>
      </c>
      <c r="I5991">
        <v>-63.948030000000003</v>
      </c>
      <c r="J5991">
        <v>-255.98859999999999</v>
      </c>
      <c r="K5991">
        <v>1.1218520000000001</v>
      </c>
      <c r="L5991">
        <v>-62.760710000000003</v>
      </c>
      <c r="M5991">
        <v>0.99887510000000002</v>
      </c>
      <c r="N5991">
        <v>-8.8996370000000002E-3</v>
      </c>
      <c r="O5991">
        <v>4.6578050000000003E-2</v>
      </c>
      <c r="P5991">
        <v>0.98739929999999998</v>
      </c>
      <c r="Q5991">
        <v>0.1557905</v>
      </c>
      <c r="R5991">
        <v>2.7787220000000001E-2</v>
      </c>
      <c r="S5991">
        <v>3.0769199999999999</v>
      </c>
      <c r="T5991">
        <v>-0.2089888</v>
      </c>
      <c r="U5991">
        <v>-0.21951290000000001</v>
      </c>
      <c r="V5991">
        <v>1.764317E-2</v>
      </c>
      <c r="W5991">
        <v>0.16463829999999999</v>
      </c>
      <c r="X5991">
        <v>0.98619619999999997</v>
      </c>
      <c r="Y5991">
        <v>0.11716070000000001</v>
      </c>
      <c r="Z5991">
        <v>-7.2348689999999997E-3</v>
      </c>
      <c r="AA5991">
        <v>0.99308660000000004</v>
      </c>
      <c r="AB5991">
        <v>29</v>
      </c>
      <c r="AC5991">
        <v>16.346999999999898</v>
      </c>
      <c r="AD5991">
        <v>-1.1218557874019901</v>
      </c>
      <c r="AE5991">
        <v>-1.1873199999999999</v>
      </c>
      <c r="AF5991">
        <v>1.9383912816076201</v>
      </c>
      <c r="AG5991">
        <v>-1.1218557874019901</v>
      </c>
      <c r="AH5991">
        <v>16.198062709784999</v>
      </c>
      <c r="AI5991">
        <v>93.933922487025697</v>
      </c>
      <c r="AJ5991">
        <v>83.175974213686999</v>
      </c>
      <c r="AK5991">
        <v>16.352160613156499</v>
      </c>
      <c r="AL5991">
        <v>80.523776750524306</v>
      </c>
      <c r="AM5991">
        <v>88.975080868489997</v>
      </c>
      <c r="AN5991">
        <v>0.99999999808448903</v>
      </c>
    </row>
    <row r="5992" spans="1:40" x14ac:dyDescent="0.25">
      <c r="A5992" t="str">
        <f>"20190303162420411"</f>
        <v>20190303162420411</v>
      </c>
      <c r="B5992" t="str">
        <f>"1551601460401178"</f>
        <v>1551601460401178</v>
      </c>
      <c r="C5992" t="s">
        <v>40</v>
      </c>
      <c r="D5992">
        <v>5.3810399999999996</v>
      </c>
      <c r="E5992">
        <v>0.53980349999999999</v>
      </c>
      <c r="F5992" t="s">
        <v>64</v>
      </c>
      <c r="G5992">
        <v>-239.1748</v>
      </c>
      <c r="H5992" s="1">
        <v>-3.6264059999999999E-6</v>
      </c>
      <c r="I5992">
        <v>-63.935899999999997</v>
      </c>
      <c r="J5992">
        <v>-255.80170000000001</v>
      </c>
      <c r="K5992">
        <v>1.121788</v>
      </c>
      <c r="L5992">
        <v>-62.75076</v>
      </c>
      <c r="M5992">
        <v>0.99882040000000005</v>
      </c>
      <c r="N5992">
        <v>-8.9011750000000008E-3</v>
      </c>
      <c r="O5992">
        <v>4.7737559999999998E-2</v>
      </c>
      <c r="P5992">
        <v>0.98713850000000003</v>
      </c>
      <c r="Q5992">
        <v>0.15695909999999999</v>
      </c>
      <c r="R5992">
        <v>3.035786E-2</v>
      </c>
      <c r="S5992">
        <v>3.0767359999999999</v>
      </c>
      <c r="T5992">
        <v>-0.20528750000000001</v>
      </c>
      <c r="U5992">
        <v>-0.21505740000000001</v>
      </c>
      <c r="V5992">
        <v>1.623457E-2</v>
      </c>
      <c r="W5992">
        <v>0.1657989</v>
      </c>
      <c r="X5992">
        <v>0.98602590000000001</v>
      </c>
      <c r="Y5992">
        <v>0.11689860000000001</v>
      </c>
      <c r="Z5992">
        <v>-7.1666179999999996E-3</v>
      </c>
      <c r="AA5992">
        <v>0.99311799999999995</v>
      </c>
      <c r="AB5992">
        <v>29</v>
      </c>
      <c r="AC5992">
        <v>16.626899999999999</v>
      </c>
      <c r="AD5992">
        <v>-1.1217916264059999</v>
      </c>
      <c r="AE5992">
        <v>-1.1851399999999901</v>
      </c>
      <c r="AF5992">
        <v>1.9686317899429899</v>
      </c>
      <c r="AG5992">
        <v>-1.1217916264059999</v>
      </c>
      <c r="AH5992">
        <v>16.4767415401381</v>
      </c>
      <c r="AI5992">
        <v>93.867455107445494</v>
      </c>
      <c r="AJ5992">
        <v>83.186631104154799</v>
      </c>
      <c r="AK5992">
        <v>16.6318050541113</v>
      </c>
      <c r="AL5992">
        <v>80.456352247737598</v>
      </c>
      <c r="AM5992">
        <v>89.056730350529406</v>
      </c>
      <c r="AN5992">
        <v>0.99999995598755098</v>
      </c>
    </row>
    <row r="5993" spans="1:40" x14ac:dyDescent="0.25">
      <c r="A5993" t="str">
        <f>"20190303162420424"</f>
        <v>20190303162420424</v>
      </c>
      <c r="B5993" t="str">
        <f>"1551601460410939"</f>
        <v>1551601460410939</v>
      </c>
      <c r="C5993" t="s">
        <v>40</v>
      </c>
      <c r="D5993">
        <v>5.4052579999999999</v>
      </c>
      <c r="E5993">
        <v>0.5397246</v>
      </c>
      <c r="F5993" t="s">
        <v>64</v>
      </c>
      <c r="G5993">
        <v>-238.63059999999999</v>
      </c>
      <c r="H5993" s="1">
        <v>-3.4371589999999998E-6</v>
      </c>
      <c r="I5993">
        <v>-63.913179999999997</v>
      </c>
      <c r="J5993">
        <v>-255.64189999999999</v>
      </c>
      <c r="K5993">
        <v>1.121718</v>
      </c>
      <c r="L5993">
        <v>-62.742159999999998</v>
      </c>
      <c r="M5993">
        <v>0.99877490000000002</v>
      </c>
      <c r="N5993">
        <v>-8.9024689999999997E-3</v>
      </c>
      <c r="O5993">
        <v>4.8679340000000001E-2</v>
      </c>
      <c r="P5993">
        <v>0.9869462</v>
      </c>
      <c r="Q5993">
        <v>0.15778809999999999</v>
      </c>
      <c r="R5993">
        <v>3.2258050000000003E-2</v>
      </c>
      <c r="S5993">
        <v>3.0774840000000001</v>
      </c>
      <c r="T5993">
        <v>-0.20105210000000001</v>
      </c>
      <c r="U5993">
        <v>-0.20834349999999999</v>
      </c>
      <c r="V5993">
        <v>1.5283929999999999E-2</v>
      </c>
      <c r="W5993">
        <v>0.1666223</v>
      </c>
      <c r="X5993">
        <v>0.98590230000000001</v>
      </c>
      <c r="Y5993">
        <v>0.1156783</v>
      </c>
      <c r="Z5993">
        <v>-7.0275839999999999E-3</v>
      </c>
      <c r="AA5993">
        <v>0.99326190000000003</v>
      </c>
      <c r="AB5993">
        <v>29</v>
      </c>
      <c r="AC5993">
        <v>17.011299999999999</v>
      </c>
      <c r="AD5993">
        <v>-1.1217214371590001</v>
      </c>
      <c r="AE5993">
        <v>-1.1710199999999999</v>
      </c>
      <c r="AF5993">
        <v>1.98915500963995</v>
      </c>
      <c r="AG5993">
        <v>-1.1217214371590001</v>
      </c>
      <c r="AH5993">
        <v>16.861156594159599</v>
      </c>
      <c r="AI5993">
        <v>93.779969131566801</v>
      </c>
      <c r="AJ5993">
        <v>83.271764622076802</v>
      </c>
      <c r="AK5993">
        <v>17.015099127766799</v>
      </c>
      <c r="AL5993">
        <v>80.408509527950997</v>
      </c>
      <c r="AM5993">
        <v>89.111844508628906</v>
      </c>
      <c r="AN5993">
        <v>0.99999996725941098</v>
      </c>
    </row>
    <row r="5994" spans="1:40" x14ac:dyDescent="0.25">
      <c r="A5994" t="str">
        <f>"20190303162420436"</f>
        <v>20190303162420436</v>
      </c>
      <c r="B5994" t="str">
        <f>"1551601460431434"</f>
        <v>1551601460431434</v>
      </c>
      <c r="C5994" t="s">
        <v>40</v>
      </c>
      <c r="D5994">
        <v>5.4514620000000003</v>
      </c>
      <c r="E5994">
        <v>0.53375799999999995</v>
      </c>
      <c r="F5994" t="s">
        <v>64</v>
      </c>
      <c r="G5994">
        <v>-238.46860000000001</v>
      </c>
      <c r="H5994" s="1">
        <v>-3.3746050000000002E-6</v>
      </c>
      <c r="I5994">
        <v>-63.871139999999997</v>
      </c>
      <c r="J5994">
        <v>-255.4873</v>
      </c>
      <c r="K5994">
        <v>1.121631</v>
      </c>
      <c r="L5994">
        <v>-62.733730000000001</v>
      </c>
      <c r="M5994">
        <v>0.99873520000000005</v>
      </c>
      <c r="N5994">
        <v>-8.9035499999999997E-3</v>
      </c>
      <c r="O5994">
        <v>4.9483069999999997E-2</v>
      </c>
      <c r="P5994">
        <v>0.98680000000000001</v>
      </c>
      <c r="Q5994">
        <v>0.15831589999999901</v>
      </c>
      <c r="R5994">
        <v>3.4086190000000002E-2</v>
      </c>
      <c r="S5994">
        <v>3.0784760000000002</v>
      </c>
      <c r="T5994">
        <v>-0.2010796</v>
      </c>
      <c r="U5994">
        <v>-0.20239260000000001</v>
      </c>
      <c r="V5994">
        <v>1.4278819999999999E-2</v>
      </c>
      <c r="W5994">
        <v>0.1671446</v>
      </c>
      <c r="X5994">
        <v>0.98582899999999996</v>
      </c>
      <c r="Y5994">
        <v>0.114546</v>
      </c>
      <c r="Z5994">
        <v>-7.0299400000000001E-3</v>
      </c>
      <c r="AA5994">
        <v>0.99339310000000003</v>
      </c>
      <c r="AB5994">
        <v>29</v>
      </c>
      <c r="AC5994">
        <v>17.0186999999999</v>
      </c>
      <c r="AD5994">
        <v>-1.1216343746049999</v>
      </c>
      <c r="AE5994">
        <v>-1.13741</v>
      </c>
      <c r="AF5994">
        <v>1.9696700733384001</v>
      </c>
      <c r="AG5994">
        <v>-1.1216343746049999</v>
      </c>
      <c r="AH5994">
        <v>16.8686202975809</v>
      </c>
      <c r="AI5994">
        <v>93.778535658721694</v>
      </c>
      <c r="AJ5994">
        <v>83.339997741870306</v>
      </c>
      <c r="AK5994">
        <v>17.020223694536401</v>
      </c>
      <c r="AL5994">
        <v>80.378158726131204</v>
      </c>
      <c r="AM5994">
        <v>89.170181726034997</v>
      </c>
      <c r="AN5994">
        <v>1.0000000096253701</v>
      </c>
    </row>
    <row r="5995" spans="1:40" x14ac:dyDescent="0.25">
      <c r="A5995" t="str">
        <f>"20190303162420448"</f>
        <v>20190303162420448</v>
      </c>
      <c r="B5995" t="str">
        <f>"1551601460441195"</f>
        <v>1551601460441195</v>
      </c>
      <c r="C5995" t="s">
        <v>40</v>
      </c>
      <c r="D5995">
        <v>5.4222409999999996</v>
      </c>
      <c r="E5995">
        <v>0.53272719999999996</v>
      </c>
      <c r="F5995" t="s">
        <v>42</v>
      </c>
      <c r="G5995">
        <v>-254.69880000000001</v>
      </c>
      <c r="H5995">
        <v>0.9922183</v>
      </c>
      <c r="I5995">
        <v>-62.769590000000001</v>
      </c>
      <c r="J5995">
        <v>-255.33439999999999</v>
      </c>
      <c r="K5995">
        <v>1.12154</v>
      </c>
      <c r="L5995">
        <v>-62.725340000000003</v>
      </c>
      <c r="M5995">
        <v>0.99869870000000005</v>
      </c>
      <c r="N5995">
        <v>-8.9047009999999992E-3</v>
      </c>
      <c r="O5995">
        <v>5.0216919999999998E-2</v>
      </c>
      <c r="P5995">
        <v>0.98674919999999999</v>
      </c>
      <c r="Q5995">
        <v>0.158198799999999</v>
      </c>
      <c r="R5995">
        <v>3.604802E-2</v>
      </c>
      <c r="S5995">
        <v>3.12738</v>
      </c>
      <c r="T5995">
        <v>-0.51319619999999999</v>
      </c>
      <c r="U5995">
        <v>-0.14218140000000001</v>
      </c>
      <c r="V5995">
        <v>1.3080420000000001E-2</v>
      </c>
      <c r="W5995">
        <v>0.1670219</v>
      </c>
      <c r="X5995">
        <v>0.98586640000000003</v>
      </c>
      <c r="Y5995">
        <v>9.3607949999999995E-2</v>
      </c>
      <c r="Z5995">
        <v>-1.5782629999999999E-2</v>
      </c>
      <c r="AA5995">
        <v>0.99548409999999998</v>
      </c>
      <c r="AB5995">
        <v>29</v>
      </c>
      <c r="AC5995">
        <v>0.63559999999998196</v>
      </c>
      <c r="AD5995">
        <v>-0.12932169999999901</v>
      </c>
      <c r="AE5995">
        <v>-4.4249999999998103E-2</v>
      </c>
      <c r="AF5995">
        <v>7.31016689222833E-2</v>
      </c>
      <c r="AG5995">
        <v>-0.12932169999999901</v>
      </c>
      <c r="AH5995">
        <v>0.60754620279809202</v>
      </c>
      <c r="AI5995">
        <v>101.933003588167</v>
      </c>
      <c r="AJ5995">
        <v>83.138993948800007</v>
      </c>
      <c r="AK5995">
        <v>0.62544411790702203</v>
      </c>
      <c r="AL5995">
        <v>80.385288918501303</v>
      </c>
      <c r="AM5995">
        <v>89.239847420070703</v>
      </c>
      <c r="AN5995">
        <v>0.99999998555797298</v>
      </c>
    </row>
    <row r="5996" spans="1:40" x14ac:dyDescent="0.25">
      <c r="A5996" t="str">
        <f>"20190303162420458"</f>
        <v>20190303162420458</v>
      </c>
      <c r="B5996" t="str">
        <f>"1551601460450955"</f>
        <v>1551601460450955</v>
      </c>
      <c r="C5996" t="s">
        <v>40</v>
      </c>
      <c r="D5996">
        <v>5.3807720000000003</v>
      </c>
      <c r="E5996">
        <v>0.53292169999999905</v>
      </c>
      <c r="F5996" t="s">
        <v>42</v>
      </c>
      <c r="G5996">
        <v>-254.45679999999999</v>
      </c>
      <c r="H5996">
        <v>0.96130340000000003</v>
      </c>
      <c r="I5996">
        <v>-62.761490000000002</v>
      </c>
      <c r="J5996">
        <v>-255.18719999999999</v>
      </c>
      <c r="K5996">
        <v>1.1214379999999999</v>
      </c>
      <c r="L5996">
        <v>-62.717289999999998</v>
      </c>
      <c r="M5996">
        <v>0.99866659999999996</v>
      </c>
      <c r="N5996">
        <v>-8.9058560000000002E-3</v>
      </c>
      <c r="O5996">
        <v>5.0851349999999997E-2</v>
      </c>
      <c r="P5996">
        <v>0.98668140000000004</v>
      </c>
      <c r="Q5996">
        <v>0.1581852</v>
      </c>
      <c r="R5996">
        <v>3.7913049999999997E-2</v>
      </c>
      <c r="S5996">
        <v>3.1367950000000002</v>
      </c>
      <c r="T5996">
        <v>-0.57276830000000001</v>
      </c>
      <c r="U5996">
        <v>-0.12823490000000001</v>
      </c>
      <c r="V5996">
        <v>1.188225E-2</v>
      </c>
      <c r="W5996">
        <v>0.16700309999999999</v>
      </c>
      <c r="X5996">
        <v>0.98588480000000001</v>
      </c>
      <c r="Y5996">
        <v>8.9297479999999999E-2</v>
      </c>
      <c r="Z5996">
        <v>-1.723937E-2</v>
      </c>
      <c r="AA5996">
        <v>0.99585579999999996</v>
      </c>
      <c r="AB5996">
        <v>29</v>
      </c>
      <c r="AC5996">
        <v>0.73040000000000205</v>
      </c>
      <c r="AD5996">
        <v>-0.16013459999999999</v>
      </c>
      <c r="AE5996">
        <v>-4.4199999999996402E-2</v>
      </c>
      <c r="AF5996">
        <v>7.7571086783754004E-2</v>
      </c>
      <c r="AG5996">
        <v>-0.16013459999999999</v>
      </c>
      <c r="AH5996">
        <v>0.69397167355036005</v>
      </c>
      <c r="AI5996">
        <v>102.915904330789</v>
      </c>
      <c r="AJ5996">
        <v>83.622040897801398</v>
      </c>
      <c r="AK5996">
        <v>0.71641960282522998</v>
      </c>
      <c r="AL5996">
        <v>80.386381865364896</v>
      </c>
      <c r="AM5996">
        <v>89.309483405567903</v>
      </c>
      <c r="AN5996">
        <v>1.0000000310728501</v>
      </c>
    </row>
    <row r="5997" spans="1:40" x14ac:dyDescent="0.25">
      <c r="A5997" t="str">
        <f>"20190303162420469"</f>
        <v>20190303162420469</v>
      </c>
      <c r="B5997" t="str">
        <f>"1551601460460714"</f>
        <v>1551601460460714</v>
      </c>
      <c r="C5997" t="s">
        <v>40</v>
      </c>
      <c r="D5997">
        <v>5.4344089999999996</v>
      </c>
      <c r="E5997">
        <v>0.53301540000000003</v>
      </c>
      <c r="F5997" t="s">
        <v>42</v>
      </c>
      <c r="G5997">
        <v>-254.44900000000001</v>
      </c>
      <c r="H5997">
        <v>0.97910799999999998</v>
      </c>
      <c r="I5997">
        <v>-62.746960000000001</v>
      </c>
      <c r="J5997">
        <v>-255.06319999999999</v>
      </c>
      <c r="K5997">
        <v>1.121343</v>
      </c>
      <c r="L5997">
        <v>-62.710450000000002</v>
      </c>
      <c r="M5997">
        <v>0.99864359999999996</v>
      </c>
      <c r="N5997">
        <v>-8.9069419999999993E-3</v>
      </c>
      <c r="O5997">
        <v>5.1300430000000001E-2</v>
      </c>
      <c r="P5997">
        <v>0.98663230000000002</v>
      </c>
      <c r="Q5997">
        <v>0.15792329999999999</v>
      </c>
      <c r="R5997">
        <v>4.0215349999999997E-2</v>
      </c>
      <c r="S5997">
        <v>3.1424259999999999</v>
      </c>
      <c r="T5997">
        <v>-0.60577250000000005</v>
      </c>
      <c r="U5997">
        <v>-0.1251526</v>
      </c>
      <c r="V5997">
        <v>1.0062700000000001E-2</v>
      </c>
      <c r="W5997">
        <v>0.1667361</v>
      </c>
      <c r="X5997">
        <v>0.9859502</v>
      </c>
      <c r="Y5997">
        <v>8.8443709999999995E-2</v>
      </c>
      <c r="Z5997">
        <v>-1.8183250000000001E-2</v>
      </c>
      <c r="AA5997">
        <v>0.9959152</v>
      </c>
      <c r="AB5997">
        <v>29</v>
      </c>
      <c r="AC5997">
        <v>0.61419999999998198</v>
      </c>
      <c r="AD5997">
        <v>-0.142235</v>
      </c>
      <c r="AE5997">
        <v>-3.6509999999992701E-2</v>
      </c>
      <c r="AF5997">
        <v>6.4523783215449299E-2</v>
      </c>
      <c r="AG5997">
        <v>-0.142235</v>
      </c>
      <c r="AH5997">
        <v>0.58049675487528696</v>
      </c>
      <c r="AI5997">
        <v>103.686448609802</v>
      </c>
      <c r="AJ5997">
        <v>83.657454303338497</v>
      </c>
      <c r="AK5997">
        <v>0.60114107848838005</v>
      </c>
      <c r="AL5997">
        <v>80.401896992549894</v>
      </c>
      <c r="AM5997">
        <v>89.415254215580305</v>
      </c>
      <c r="AN5997">
        <v>0.99999999092726999</v>
      </c>
    </row>
    <row r="5998" spans="1:40" x14ac:dyDescent="0.25">
      <c r="A5998" t="str">
        <f>"20190303162420479"</f>
        <v>20190303162420479</v>
      </c>
      <c r="B5998" t="str">
        <f>"1551601460471450"</f>
        <v>1551601460471450</v>
      </c>
      <c r="C5998" t="s">
        <v>40</v>
      </c>
      <c r="D5998">
        <v>5.4763580000000003</v>
      </c>
      <c r="E5998">
        <v>0.53328030000000004</v>
      </c>
      <c r="F5998" t="s">
        <v>42</v>
      </c>
      <c r="G5998">
        <v>-254.20439999999999</v>
      </c>
      <c r="H5998">
        <v>0.95188019999999995</v>
      </c>
      <c r="I5998">
        <v>-62.743360000000003</v>
      </c>
      <c r="J5998">
        <v>-254.9341</v>
      </c>
      <c r="K5998">
        <v>1.121237</v>
      </c>
      <c r="L5998">
        <v>-62.703339999999997</v>
      </c>
      <c r="M5998">
        <v>0.9986218</v>
      </c>
      <c r="N5998">
        <v>-8.9081739999999996E-3</v>
      </c>
      <c r="O5998">
        <v>5.1725159999999999E-2</v>
      </c>
      <c r="P5998">
        <v>0.98660400000000004</v>
      </c>
      <c r="Q5998">
        <v>0.15749959999999999</v>
      </c>
      <c r="R5998">
        <v>4.2504390000000003E-2</v>
      </c>
      <c r="S5998">
        <v>3.1449129999999998</v>
      </c>
      <c r="T5998">
        <v>-0.62062869999999903</v>
      </c>
      <c r="U5998">
        <v>-0.120697</v>
      </c>
      <c r="V5998">
        <v>8.2376240000000007E-3</v>
      </c>
      <c r="W5998">
        <v>0.1663077</v>
      </c>
      <c r="X5998">
        <v>0.98603949999999996</v>
      </c>
      <c r="Y5998">
        <v>8.7320140000000004E-2</v>
      </c>
      <c r="Z5998">
        <v>-1.8572789999999999E-2</v>
      </c>
      <c r="AA5998">
        <v>0.99600710000000003</v>
      </c>
      <c r="AB5998">
        <v>29</v>
      </c>
      <c r="AC5998">
        <v>0.72970000000000801</v>
      </c>
      <c r="AD5998">
        <v>-0.1693568</v>
      </c>
      <c r="AE5998">
        <v>-4.0019999999991202E-2</v>
      </c>
      <c r="AF5998">
        <v>7.3750989551405105E-2</v>
      </c>
      <c r="AG5998">
        <v>-0.1693568</v>
      </c>
      <c r="AH5998">
        <v>0.68961730821025902</v>
      </c>
      <c r="AI5998">
        <v>103.722424308424</v>
      </c>
      <c r="AJ5998">
        <v>83.895715351837296</v>
      </c>
      <c r="AK5998">
        <v>0.71392784365733697</v>
      </c>
      <c r="AL5998">
        <v>80.4267901803792</v>
      </c>
      <c r="AM5998">
        <v>89.521347665622699</v>
      </c>
      <c r="AN5998">
        <v>1.0000000025443501</v>
      </c>
    </row>
    <row r="5999" spans="1:40" x14ac:dyDescent="0.25">
      <c r="A5999" t="str">
        <f>"20190303162420489"</f>
        <v>20190303162420489</v>
      </c>
      <c r="B5999" t="str">
        <f>"1551601460481210"</f>
        <v>1551601460481210</v>
      </c>
      <c r="C5999" t="s">
        <v>40</v>
      </c>
      <c r="D5999">
        <v>5.447832</v>
      </c>
      <c r="E5999">
        <v>0.53355140000000001</v>
      </c>
      <c r="F5999" t="s">
        <v>42</v>
      </c>
      <c r="G5999">
        <v>-254.19479999999999</v>
      </c>
      <c r="H5999">
        <v>0.97285569999999999</v>
      </c>
      <c r="I5999">
        <v>-62.730879999999999</v>
      </c>
      <c r="J5999">
        <v>-254.7972</v>
      </c>
      <c r="K5999">
        <v>1.12112099999999</v>
      </c>
      <c r="L5999">
        <v>-62.695799999999998</v>
      </c>
      <c r="M5999">
        <v>0.99860349999999998</v>
      </c>
      <c r="N5999">
        <v>-8.9097269999999992E-3</v>
      </c>
      <c r="O5999">
        <v>5.2075110000000001E-2</v>
      </c>
      <c r="P5999">
        <v>0.98652890000000004</v>
      </c>
      <c r="Q5999">
        <v>0.1572692</v>
      </c>
      <c r="R5999">
        <v>4.5026339999999998E-2</v>
      </c>
      <c r="S5999">
        <v>3.1466219999999998</v>
      </c>
      <c r="T5999">
        <v>-0.6316001</v>
      </c>
      <c r="U5999">
        <v>-0.1174316</v>
      </c>
      <c r="V5999">
        <v>6.1080609999999997E-3</v>
      </c>
      <c r="W5999">
        <v>0.1660731</v>
      </c>
      <c r="X5999">
        <v>0.98609449999999998</v>
      </c>
      <c r="Y5999">
        <v>8.6534719999999996E-2</v>
      </c>
      <c r="Z5999">
        <v>-1.8871140000000002E-2</v>
      </c>
      <c r="AA5999">
        <v>0.99607009999999996</v>
      </c>
      <c r="AB5999">
        <v>29</v>
      </c>
      <c r="AC5999">
        <v>0.60240000000001703</v>
      </c>
      <c r="AD5999">
        <v>-0.14826529999999899</v>
      </c>
      <c r="AE5999">
        <v>-3.5080000000007702E-2</v>
      </c>
      <c r="AF5999">
        <v>6.2622984418229805E-2</v>
      </c>
      <c r="AG5999">
        <v>-0.14826529999999899</v>
      </c>
      <c r="AH5999">
        <v>0.56560853778027198</v>
      </c>
      <c r="AI5999">
        <v>104.603304053855</v>
      </c>
      <c r="AJ5999">
        <v>83.682064313629297</v>
      </c>
      <c r="AK5999">
        <v>0.58806228868332699</v>
      </c>
      <c r="AL5999">
        <v>80.440421043689398</v>
      </c>
      <c r="AM5999">
        <v>89.645103343976601</v>
      </c>
      <c r="AN5999">
        <v>0.99999997294151899</v>
      </c>
    </row>
    <row r="6000" spans="1:40" x14ac:dyDescent="0.25">
      <c r="A6000" t="str">
        <f>"20190303162420499"</f>
        <v>20190303162420499</v>
      </c>
      <c r="B6000" t="str">
        <f>"1551601460490970"</f>
        <v>1551601460490970</v>
      </c>
      <c r="C6000" t="s">
        <v>40</v>
      </c>
      <c r="D6000">
        <v>5.4574930000000004</v>
      </c>
      <c r="E6000">
        <v>0.53385990000000005</v>
      </c>
      <c r="F6000" t="s">
        <v>42</v>
      </c>
      <c r="G6000">
        <v>-253.94800000000001</v>
      </c>
      <c r="H6000">
        <v>0.94938449999999996</v>
      </c>
      <c r="I6000">
        <v>-62.726649999999999</v>
      </c>
      <c r="J6000">
        <v>-254.66370000000001</v>
      </c>
      <c r="K6000">
        <v>1.121003</v>
      </c>
      <c r="L6000">
        <v>-62.688479999999998</v>
      </c>
      <c r="M6000">
        <v>0.99858800000000003</v>
      </c>
      <c r="N6000">
        <v>-8.9113999999999999E-3</v>
      </c>
      <c r="O6000">
        <v>5.2369829999999999E-2</v>
      </c>
      <c r="P6000">
        <v>0.98644670000000001</v>
      </c>
      <c r="Q6000">
        <v>0.15691099999999999</v>
      </c>
      <c r="R6000">
        <v>4.7980149999999999E-2</v>
      </c>
      <c r="S6000">
        <v>3.147583</v>
      </c>
      <c r="T6000">
        <v>-0.6364573</v>
      </c>
      <c r="U6000">
        <v>-0.11346440000000001</v>
      </c>
      <c r="V6000">
        <v>3.492715E-3</v>
      </c>
      <c r="W6000">
        <v>0.165711</v>
      </c>
      <c r="X6000">
        <v>0.98616809999999999</v>
      </c>
      <c r="Y6000">
        <v>8.553856E-2</v>
      </c>
      <c r="Z6000">
        <v>-1.896082E-2</v>
      </c>
      <c r="AA6000">
        <v>0.9961544</v>
      </c>
      <c r="AB6000">
        <v>29</v>
      </c>
      <c r="AC6000">
        <v>0.71570000000002598</v>
      </c>
      <c r="AD6000">
        <v>-0.17161850000000001</v>
      </c>
      <c r="AE6000">
        <v>-3.8169999999993799E-2</v>
      </c>
      <c r="AF6000">
        <v>7.1500585823257204E-2</v>
      </c>
      <c r="AG6000">
        <v>-0.17161850000000001</v>
      </c>
      <c r="AH6000">
        <v>0.67406983799851405</v>
      </c>
      <c r="AI6000">
        <v>104.207604794757</v>
      </c>
      <c r="AJ6000">
        <v>83.945107911496194</v>
      </c>
      <c r="AK6000">
        <v>0.69923915065924502</v>
      </c>
      <c r="AL6000">
        <v>80.461458922204798</v>
      </c>
      <c r="AM6000">
        <v>89.797076186289701</v>
      </c>
      <c r="AN6000">
        <v>0.99999992801833804</v>
      </c>
    </row>
    <row r="6001" spans="1:40" x14ac:dyDescent="0.25">
      <c r="A6001" t="str">
        <f>"20190303162420510"</f>
        <v>20190303162420510</v>
      </c>
      <c r="B6001" t="str">
        <f>"1551601460500731"</f>
        <v>1551601460500731</v>
      </c>
      <c r="C6001" t="s">
        <v>40</v>
      </c>
      <c r="D6001">
        <v>5.4533740000000002</v>
      </c>
      <c r="E6001">
        <v>0.53412789999999999</v>
      </c>
      <c r="F6001" t="s">
        <v>42</v>
      </c>
      <c r="G6001">
        <v>-253.93729999999999</v>
      </c>
      <c r="H6001">
        <v>0.97264119999999998</v>
      </c>
      <c r="I6001">
        <v>-62.713909999999998</v>
      </c>
      <c r="J6001">
        <v>-254.52709999999999</v>
      </c>
      <c r="K6001">
        <v>1.120884</v>
      </c>
      <c r="L6001">
        <v>-62.68103</v>
      </c>
      <c r="M6001">
        <v>0.99857790000000002</v>
      </c>
      <c r="N6001">
        <v>-8.9132869999999902E-3</v>
      </c>
      <c r="O6001">
        <v>5.2564350000000003E-2</v>
      </c>
      <c r="P6001">
        <v>0.986236</v>
      </c>
      <c r="Q6001">
        <v>0.15705720000000001</v>
      </c>
      <c r="R6001">
        <v>5.1689760000000001E-2</v>
      </c>
      <c r="S6001">
        <v>3.1487729999999998</v>
      </c>
      <c r="T6001">
        <v>-0.64300409999999997</v>
      </c>
      <c r="U6001">
        <v>-0.109191899999999</v>
      </c>
      <c r="V6001" s="1">
        <v>1.707347E-5</v>
      </c>
      <c r="W6001">
        <v>0.165854</v>
      </c>
      <c r="X6001">
        <v>0.98615030000000004</v>
      </c>
      <c r="Y6001">
        <v>8.4336289999999994E-2</v>
      </c>
      <c r="Z6001">
        <v>-1.9056739999999999E-2</v>
      </c>
      <c r="AA6001">
        <v>0.99625509999999995</v>
      </c>
      <c r="AB6001">
        <v>29</v>
      </c>
      <c r="AC6001">
        <v>0.58979999999999599</v>
      </c>
      <c r="AD6001">
        <v>-0.14824279999999901</v>
      </c>
      <c r="AE6001">
        <v>-3.2879999999991499E-2</v>
      </c>
      <c r="AF6001">
        <v>6.0056004406569899E-2</v>
      </c>
      <c r="AG6001">
        <v>-0.14824279999999901</v>
      </c>
      <c r="AH6001">
        <v>0.55246306031772596</v>
      </c>
      <c r="AI6001">
        <v>104.936366100135</v>
      </c>
      <c r="AJ6001">
        <v>83.795970750544996</v>
      </c>
      <c r="AK6001">
        <v>0.57515048850952899</v>
      </c>
      <c r="AL6001">
        <v>80.453151177397999</v>
      </c>
      <c r="AM6001">
        <v>89.999008023652607</v>
      </c>
      <c r="AN6001">
        <v>0.99999998189879602</v>
      </c>
    </row>
    <row r="6002" spans="1:40" x14ac:dyDescent="0.25">
      <c r="A6002" t="str">
        <f>"20190303162420523"</f>
        <v>20190303162420523</v>
      </c>
      <c r="B6002" t="str">
        <f>"1551601460511466"</f>
        <v>1551601460511466</v>
      </c>
      <c r="C6002" t="s">
        <v>40</v>
      </c>
      <c r="D6002">
        <v>5.4850159999999999</v>
      </c>
      <c r="E6002">
        <v>0.53446349999999998</v>
      </c>
      <c r="F6002" t="s">
        <v>42</v>
      </c>
      <c r="G6002">
        <v>-253.68969999999999</v>
      </c>
      <c r="H6002">
        <v>0.94970109999999996</v>
      </c>
      <c r="I6002">
        <v>-62.70861</v>
      </c>
      <c r="J6002">
        <v>-254.37350000000001</v>
      </c>
      <c r="K6002">
        <v>1.1207499999999999</v>
      </c>
      <c r="L6002">
        <v>-62.672669999999997</v>
      </c>
      <c r="M6002">
        <v>0.99856809999999996</v>
      </c>
      <c r="N6002">
        <v>-8.9155039999999994E-3</v>
      </c>
      <c r="O6002">
        <v>5.2746830000000001E-2</v>
      </c>
      <c r="P6002">
        <v>0.98600259999999995</v>
      </c>
      <c r="Q6002">
        <v>0.1570366</v>
      </c>
      <c r="R6002">
        <v>5.6020559999999997E-2</v>
      </c>
      <c r="S6002">
        <v>3.1497959999999998</v>
      </c>
      <c r="T6002">
        <v>-0.64382890000000004</v>
      </c>
      <c r="U6002">
        <v>-0.1030273</v>
      </c>
      <c r="V6002">
        <v>-4.0861580000000003E-3</v>
      </c>
      <c r="W6002">
        <v>0.16583139999999999</v>
      </c>
      <c r="X6002">
        <v>0.98614570000000001</v>
      </c>
      <c r="Y6002">
        <v>8.2588220000000004E-2</v>
      </c>
      <c r="Z6002">
        <v>-1.8925770000000001E-2</v>
      </c>
      <c r="AA6002">
        <v>0.99640410000000001</v>
      </c>
      <c r="AB6002">
        <v>29</v>
      </c>
      <c r="AC6002">
        <v>0.68380000000001895</v>
      </c>
      <c r="AD6002">
        <v>-0.171048899999999</v>
      </c>
      <c r="AE6002">
        <v>-3.5940000000003601E-2</v>
      </c>
      <c r="AF6002">
        <v>6.77331361645198E-2</v>
      </c>
      <c r="AG6002">
        <v>-0.171048899999999</v>
      </c>
      <c r="AH6002">
        <v>0.64095655834724097</v>
      </c>
      <c r="AI6002">
        <v>104.862961674586</v>
      </c>
      <c r="AJ6002">
        <v>83.967652240462499</v>
      </c>
      <c r="AK6002">
        <v>0.66683642193137005</v>
      </c>
      <c r="AL6002">
        <v>80.454464860510399</v>
      </c>
      <c r="AM6002">
        <v>90.237407381040299</v>
      </c>
      <c r="AN6002">
        <v>1.00000004577082</v>
      </c>
    </row>
    <row r="6003" spans="1:40" x14ac:dyDescent="0.25">
      <c r="A6003" t="str">
        <f>"20190303162420545"</f>
        <v>20190303162420545</v>
      </c>
      <c r="B6003" t="str">
        <f>"1551601460540746"</f>
        <v>1551601460540746</v>
      </c>
      <c r="C6003" t="s">
        <v>40</v>
      </c>
      <c r="D6003">
        <v>5.4727379999999997</v>
      </c>
      <c r="E6003">
        <v>0.53517590000000004</v>
      </c>
      <c r="F6003" t="s">
        <v>42</v>
      </c>
      <c r="G6003">
        <v>-253.43979999999999</v>
      </c>
      <c r="H6003">
        <v>0.93025119999999895</v>
      </c>
      <c r="I6003">
        <v>-62.7012199999999</v>
      </c>
      <c r="J6003">
        <v>-254.08170000000001</v>
      </c>
      <c r="K6003">
        <v>1.1205069999999999</v>
      </c>
      <c r="L6003">
        <v>-62.656979999999997</v>
      </c>
      <c r="M6003">
        <v>0.99856599999999995</v>
      </c>
      <c r="N6003">
        <v>-8.9199799999999992E-3</v>
      </c>
      <c r="O6003">
        <v>5.2786769999999997E-2</v>
      </c>
      <c r="P6003">
        <v>0.98553349999999995</v>
      </c>
      <c r="Q6003">
        <v>0.15606349999999999</v>
      </c>
      <c r="R6003">
        <v>6.6090350000000006E-2</v>
      </c>
      <c r="S6003">
        <v>3.1504210000000001</v>
      </c>
      <c r="T6003">
        <v>-0.64275629999999995</v>
      </c>
      <c r="U6003">
        <v>-9.5977779999999999E-2</v>
      </c>
      <c r="V6003">
        <v>-1.403254E-2</v>
      </c>
      <c r="W6003">
        <v>0.16486219999999999</v>
      </c>
      <c r="X6003">
        <v>0.9862168</v>
      </c>
      <c r="Y6003">
        <v>8.0449359999999998E-2</v>
      </c>
      <c r="Z6003">
        <v>-1.8673559999999999E-2</v>
      </c>
      <c r="AA6003">
        <v>0.99658380000000002</v>
      </c>
      <c r="AB6003">
        <v>29</v>
      </c>
      <c r="AC6003">
        <v>0.64190000000002101</v>
      </c>
      <c r="AD6003">
        <v>-0.1902558</v>
      </c>
      <c r="AE6003">
        <v>-4.4239999999987803E-2</v>
      </c>
      <c r="AF6003">
        <v>7.1786841096470794E-2</v>
      </c>
      <c r="AG6003">
        <v>-0.1902558</v>
      </c>
      <c r="AH6003">
        <v>0.58731775781623696</v>
      </c>
      <c r="AI6003">
        <v>107.82504565726499</v>
      </c>
      <c r="AJ6003">
        <v>83.031401114568993</v>
      </c>
      <c r="AK6003">
        <v>0.62152455191612599</v>
      </c>
      <c r="AL6003">
        <v>80.510770679168999</v>
      </c>
      <c r="AM6003">
        <v>90.815186951012905</v>
      </c>
      <c r="AN6003">
        <v>1.0000000168849601</v>
      </c>
    </row>
    <row r="6004" spans="1:40" x14ac:dyDescent="0.25">
      <c r="A6004" t="str">
        <f>"20190303162420556"</f>
        <v>20190303162420556</v>
      </c>
      <c r="B6004" t="str">
        <f>"1551601460550506"</f>
        <v>1551601460550506</v>
      </c>
      <c r="C6004" t="s">
        <v>40</v>
      </c>
      <c r="D6004">
        <v>5.4966599999999897</v>
      </c>
      <c r="E6004">
        <v>0.53544809999999998</v>
      </c>
      <c r="F6004" t="s">
        <v>42</v>
      </c>
      <c r="G6004">
        <v>-253.17840000000001</v>
      </c>
      <c r="H6004">
        <v>0.93532040000000005</v>
      </c>
      <c r="I6004">
        <v>-62.679270000000002</v>
      </c>
      <c r="J6004">
        <v>-253.93559999999999</v>
      </c>
      <c r="K6004">
        <v>1.120404</v>
      </c>
      <c r="L6004">
        <v>-62.649259999999998</v>
      </c>
      <c r="M6004">
        <v>0.99857050000000003</v>
      </c>
      <c r="N6004">
        <v>-8.9221579999999995E-3</v>
      </c>
      <c r="O6004">
        <v>5.2701329999999998E-2</v>
      </c>
      <c r="P6004">
        <v>0.98521590000000003</v>
      </c>
      <c r="Q6004">
        <v>0.15554599999999999</v>
      </c>
      <c r="R6004">
        <v>7.1801920000000005E-2</v>
      </c>
      <c r="S6004">
        <v>3.1515200000000001</v>
      </c>
      <c r="T6004">
        <v>-0.64601809999999904</v>
      </c>
      <c r="U6004">
        <v>-7.7423099999999995E-2</v>
      </c>
      <c r="V6004">
        <v>-1.979614E-2</v>
      </c>
      <c r="W6004">
        <v>0.16434949999999901</v>
      </c>
      <c r="X6004">
        <v>0.98620350000000001</v>
      </c>
      <c r="Y6004">
        <v>7.4591920000000006E-2</v>
      </c>
      <c r="Z6004">
        <v>-1.8124439999999999E-2</v>
      </c>
      <c r="AA6004">
        <v>0.99704950000000003</v>
      </c>
      <c r="AB6004">
        <v>29</v>
      </c>
      <c r="AC6004">
        <v>0.757199999999983</v>
      </c>
      <c r="AD6004">
        <v>-0.18508359999999999</v>
      </c>
      <c r="AE6004">
        <v>-3.0009999999997199E-2</v>
      </c>
      <c r="AF6004">
        <v>6.5941699424362898E-2</v>
      </c>
      <c r="AG6004">
        <v>-0.18508359999999999</v>
      </c>
      <c r="AH6004">
        <v>0.71208777597773498</v>
      </c>
      <c r="AI6004">
        <v>104.510306567161</v>
      </c>
      <c r="AJ6004">
        <v>84.709308807388993</v>
      </c>
      <c r="AK6004">
        <v>0.73869699296047597</v>
      </c>
      <c r="AL6004">
        <v>80.540552250862106</v>
      </c>
      <c r="AM6004">
        <v>91.149948231686096</v>
      </c>
      <c r="AN6004">
        <v>0.99999999436069897</v>
      </c>
    </row>
    <row r="6005" spans="1:40" x14ac:dyDescent="0.25">
      <c r="A6005" t="str">
        <f>"20190303162420569"</f>
        <v>20190303162420569</v>
      </c>
      <c r="B6005" t="str">
        <f>"1551601460561242"</f>
        <v>1551601460561242</v>
      </c>
      <c r="C6005" t="s">
        <v>40</v>
      </c>
      <c r="D6005">
        <v>5.5007260000000002</v>
      </c>
      <c r="E6005">
        <v>0.53573009999999999</v>
      </c>
      <c r="F6005" t="s">
        <v>42</v>
      </c>
      <c r="G6005">
        <v>-253.16589999999999</v>
      </c>
      <c r="H6005">
        <v>0.96211420000000003</v>
      </c>
      <c r="I6005">
        <v>-62.6652699999999</v>
      </c>
      <c r="J6005">
        <v>-253.77590000000001</v>
      </c>
      <c r="K6005">
        <v>1.120301</v>
      </c>
      <c r="L6005">
        <v>-62.6408699999999</v>
      </c>
      <c r="M6005">
        <v>0.99857850000000004</v>
      </c>
      <c r="N6005">
        <v>-8.9244819999999992E-3</v>
      </c>
      <c r="O6005">
        <v>5.2550220000000002E-2</v>
      </c>
      <c r="P6005">
        <v>0.98472199999999999</v>
      </c>
      <c r="Q6005">
        <v>0.15619179999999999</v>
      </c>
      <c r="R6005">
        <v>7.6986029999999997E-2</v>
      </c>
      <c r="S6005">
        <v>3.1521150000000002</v>
      </c>
      <c r="T6005">
        <v>-0.64823409999999904</v>
      </c>
      <c r="U6005">
        <v>-6.5185549999999995E-2</v>
      </c>
      <c r="V6005">
        <v>-2.510604E-2</v>
      </c>
      <c r="W6005">
        <v>0.16500139999999999</v>
      </c>
      <c r="X6005">
        <v>0.98597380000000001</v>
      </c>
      <c r="Y6005">
        <v>7.0639069999999998E-2</v>
      </c>
      <c r="Z6005">
        <v>-1.7733450000000001E-2</v>
      </c>
      <c r="AA6005">
        <v>0.99734429999999996</v>
      </c>
      <c r="AB6005">
        <v>29</v>
      </c>
      <c r="AC6005">
        <v>0.61000000000001298</v>
      </c>
      <c r="AD6005">
        <v>-0.15818679999999899</v>
      </c>
      <c r="AE6005">
        <v>-2.4399999999999901E-2</v>
      </c>
      <c r="AF6005">
        <v>5.2873239682060001E-2</v>
      </c>
      <c r="AG6005">
        <v>-0.15818679999999899</v>
      </c>
      <c r="AH6005">
        <v>0.56962943455353199</v>
      </c>
      <c r="AI6005">
        <v>105.45679390597</v>
      </c>
      <c r="AJ6005">
        <v>84.696976845214607</v>
      </c>
      <c r="AK6005">
        <v>0.59354556343931497</v>
      </c>
      <c r="AL6005">
        <v>80.502684727604802</v>
      </c>
      <c r="AM6005">
        <v>91.458618235322405</v>
      </c>
      <c r="AN6005">
        <v>1.0000000547664301</v>
      </c>
    </row>
    <row r="6006" spans="1:40" x14ac:dyDescent="0.25">
      <c r="A6006" t="str">
        <f>"20190303162420579"</f>
        <v>20190303162420579</v>
      </c>
      <c r="B6006" t="str">
        <f>"1551601460571002"</f>
        <v>1551601460571002</v>
      </c>
      <c r="C6006" t="s">
        <v>40</v>
      </c>
      <c r="D6006">
        <v>5.4939999999999998</v>
      </c>
      <c r="E6006">
        <v>0.53573009999999999</v>
      </c>
      <c r="F6006" t="s">
        <v>42</v>
      </c>
      <c r="G6006">
        <v>-252.9151</v>
      </c>
      <c r="H6006">
        <v>0.943048</v>
      </c>
      <c r="I6006">
        <v>-62.655900000000003</v>
      </c>
      <c r="J6006">
        <v>-253.6327</v>
      </c>
      <c r="K6006">
        <v>1.12022</v>
      </c>
      <c r="L6006">
        <v>-62.633420000000001</v>
      </c>
      <c r="M6006">
        <v>0.99858820000000004</v>
      </c>
      <c r="N6006">
        <v>-8.9264979999999997E-3</v>
      </c>
      <c r="O6006">
        <v>5.2363159999999999E-2</v>
      </c>
      <c r="P6006">
        <v>0.98425200000000002</v>
      </c>
      <c r="Q6006">
        <v>0.15671679999999999</v>
      </c>
      <c r="R6006">
        <v>8.1780900000000004E-2</v>
      </c>
      <c r="S6006">
        <v>3.1537929999999998</v>
      </c>
      <c r="T6006">
        <v>-0.64934040000000004</v>
      </c>
      <c r="U6006">
        <v>-5.4382319999999998E-2</v>
      </c>
      <c r="V6006">
        <v>-3.006963E-2</v>
      </c>
      <c r="W6006">
        <v>0.16553380000000001</v>
      </c>
      <c r="X6006">
        <v>0.9857456</v>
      </c>
      <c r="Y6006">
        <v>6.7100699999999999E-2</v>
      </c>
      <c r="Z6006">
        <v>-1.7341430000000001E-2</v>
      </c>
      <c r="AA6006">
        <v>0.99759549999999997</v>
      </c>
      <c r="AB6006">
        <v>29</v>
      </c>
      <c r="AC6006">
        <v>0.71760000000000401</v>
      </c>
      <c r="AD6006">
        <v>-0.177172</v>
      </c>
      <c r="AE6006">
        <v>-2.2480000000008701E-2</v>
      </c>
      <c r="AF6006">
        <v>5.6580828723668597E-2</v>
      </c>
      <c r="AG6006">
        <v>-0.177172</v>
      </c>
      <c r="AH6006">
        <v>0.67437079887928697</v>
      </c>
      <c r="AI6006">
        <v>104.670887029982</v>
      </c>
      <c r="AJ6006">
        <v>85.204021748656203</v>
      </c>
      <c r="AK6006">
        <v>0.69954791268657501</v>
      </c>
      <c r="AL6006">
        <v>80.471754654763799</v>
      </c>
      <c r="AM6006">
        <v>91.747234582242896</v>
      </c>
      <c r="AN6006">
        <v>1.0000000047550599</v>
      </c>
    </row>
    <row r="6007" spans="1:40" x14ac:dyDescent="0.25">
      <c r="A6007" t="str">
        <f>"20190303162420592"</f>
        <v>20190303162420592</v>
      </c>
      <c r="B6007" t="str">
        <f>"1551601460580763"</f>
        <v>1551601460580763</v>
      </c>
      <c r="C6007" t="s">
        <v>40</v>
      </c>
      <c r="D6007">
        <v>5.5014919999999998</v>
      </c>
      <c r="E6007">
        <v>0.53372889999999995</v>
      </c>
      <c r="F6007" t="s">
        <v>42</v>
      </c>
      <c r="G6007">
        <v>-252.9023</v>
      </c>
      <c r="H6007">
        <v>0.97041829999999996</v>
      </c>
      <c r="I6007">
        <v>-62.643270000000001</v>
      </c>
      <c r="J6007">
        <v>-253.47630000000001</v>
      </c>
      <c r="K6007">
        <v>1.1201410000000001</v>
      </c>
      <c r="L6007">
        <v>-62.625399999999999</v>
      </c>
      <c r="M6007">
        <v>0.99860269999999995</v>
      </c>
      <c r="N6007">
        <v>-8.9287629999999993E-3</v>
      </c>
      <c r="O6007">
        <v>5.2086830000000001E-2</v>
      </c>
      <c r="P6007">
        <v>0.98358710000000005</v>
      </c>
      <c r="Q6007">
        <v>0.1587094</v>
      </c>
      <c r="R6007">
        <v>8.5836780000000001E-2</v>
      </c>
      <c r="S6007">
        <v>3.1544949999999998</v>
      </c>
      <c r="T6007">
        <v>-0.64688319999999999</v>
      </c>
      <c r="U6007">
        <v>-4.1748050000000002E-2</v>
      </c>
      <c r="V6007">
        <v>-3.4392730000000003E-2</v>
      </c>
      <c r="W6007">
        <v>0.1675325</v>
      </c>
      <c r="X6007">
        <v>0.98526639999999999</v>
      </c>
      <c r="Y6007">
        <v>6.2940880000000005E-2</v>
      </c>
      <c r="Z6007">
        <v>-1.6778390000000001E-2</v>
      </c>
      <c r="AA6007">
        <v>0.99787619999999999</v>
      </c>
      <c r="AB6007">
        <v>29</v>
      </c>
      <c r="AC6007">
        <v>0.57400000000001195</v>
      </c>
      <c r="AD6007">
        <v>-0.14972269999999999</v>
      </c>
      <c r="AE6007">
        <v>-1.78699999999949E-2</v>
      </c>
      <c r="AF6007">
        <v>4.4706009140986998E-2</v>
      </c>
      <c r="AG6007">
        <v>-0.14972269999999999</v>
      </c>
      <c r="AH6007">
        <v>0.53586599307404903</v>
      </c>
      <c r="AI6007">
        <v>105.55911423675001</v>
      </c>
      <c r="AJ6007">
        <v>85.230995004442306</v>
      </c>
      <c r="AK6007">
        <v>0.55818265530365696</v>
      </c>
      <c r="AL6007">
        <v>80.3556151364524</v>
      </c>
      <c r="AM6007">
        <v>91.999214104648004</v>
      </c>
      <c r="AN6007">
        <v>0.99999993870102899</v>
      </c>
    </row>
    <row r="6008" spans="1:40" x14ac:dyDescent="0.25">
      <c r="A6008" t="str">
        <f>"20190303162420605"</f>
        <v>20190303162420605</v>
      </c>
      <c r="B6008" t="str">
        <f>"1551601460601257"</f>
        <v>1551601460601257</v>
      </c>
      <c r="C6008" t="s">
        <v>40</v>
      </c>
      <c r="D6008">
        <v>5.5054040000000004</v>
      </c>
      <c r="E6008">
        <v>0.53344759999999902</v>
      </c>
      <c r="F6008" t="s">
        <v>42</v>
      </c>
      <c r="G6008">
        <v>-252.67439999999999</v>
      </c>
      <c r="H6008">
        <v>0.900155699999999</v>
      </c>
      <c r="I6008">
        <v>-62.629399999999997</v>
      </c>
      <c r="J6008">
        <v>-253.30779999999999</v>
      </c>
      <c r="K6008">
        <v>1.120061</v>
      </c>
      <c r="L6008">
        <v>-62.616819999999997</v>
      </c>
      <c r="M6008">
        <v>0.99861999999999995</v>
      </c>
      <c r="N6008">
        <v>-8.9312019999999992E-3</v>
      </c>
      <c r="O6008">
        <v>5.1752230000000003E-2</v>
      </c>
      <c r="P6008">
        <v>0.98296749999999999</v>
      </c>
      <c r="Q6008">
        <v>0.16068579999999999</v>
      </c>
      <c r="R6008">
        <v>8.9190930000000002E-2</v>
      </c>
      <c r="S6008">
        <v>3.1927490000000001</v>
      </c>
      <c r="T6008">
        <v>-0.87586430000000004</v>
      </c>
      <c r="U6008">
        <v>-1.556396E-2</v>
      </c>
      <c r="V6008">
        <v>-3.8068339999999999E-2</v>
      </c>
      <c r="W6008">
        <v>0.1695169</v>
      </c>
      <c r="X6008">
        <v>0.98479179999999999</v>
      </c>
      <c r="Y6008">
        <v>5.2816299999999997E-2</v>
      </c>
      <c r="Z6008">
        <v>-2.083436E-2</v>
      </c>
      <c r="AA6008">
        <v>0.99838689999999997</v>
      </c>
      <c r="AB6008">
        <v>29</v>
      </c>
      <c r="AC6008">
        <v>0.63339999999999397</v>
      </c>
      <c r="AD6008">
        <v>-0.2199053</v>
      </c>
      <c r="AE6008">
        <v>-1.25799999999998E-2</v>
      </c>
      <c r="AF6008">
        <v>4.0468357676067497E-2</v>
      </c>
      <c r="AG6008">
        <v>-0.2199053</v>
      </c>
      <c r="AH6008">
        <v>0.56395074967261205</v>
      </c>
      <c r="AI6008">
        <v>111.252898544887</v>
      </c>
      <c r="AJ6008">
        <v>85.895566218037104</v>
      </c>
      <c r="AK6008">
        <v>0.60666010005388504</v>
      </c>
      <c r="AL6008">
        <v>80.240268532857996</v>
      </c>
      <c r="AM6008">
        <v>92.213736702121494</v>
      </c>
      <c r="AN6008">
        <v>1.0000000336215999</v>
      </c>
    </row>
    <row r="6009" spans="1:40" x14ac:dyDescent="0.25">
      <c r="A6009" t="str">
        <f>"20190303162420614"</f>
        <v>20190303162420614</v>
      </c>
      <c r="B6009" t="str">
        <f>"1551601460611018"</f>
        <v>1551601460611018</v>
      </c>
      <c r="C6009" t="s">
        <v>40</v>
      </c>
      <c r="D6009">
        <v>5.5180009999999999</v>
      </c>
      <c r="E6009">
        <v>0.53358530000000004</v>
      </c>
      <c r="F6009" t="s">
        <v>42</v>
      </c>
      <c r="G6009">
        <v>-252.4299</v>
      </c>
      <c r="H6009">
        <v>0.86021669999999995</v>
      </c>
      <c r="I6009">
        <v>-62.618290000000002</v>
      </c>
      <c r="J6009">
        <v>-253.16890000000001</v>
      </c>
      <c r="K6009">
        <v>1.1200060000000001</v>
      </c>
      <c r="L6009">
        <v>-62.609859999999998</v>
      </c>
      <c r="M6009">
        <v>0.9986372</v>
      </c>
      <c r="N6009">
        <v>-8.9332690000000006E-3</v>
      </c>
      <c r="O6009">
        <v>5.1421170000000002E-2</v>
      </c>
      <c r="P6009">
        <v>0.98245260000000001</v>
      </c>
      <c r="Q6009">
        <v>0.16209399999999999</v>
      </c>
      <c r="R6009">
        <v>9.2264879999999994E-2</v>
      </c>
      <c r="S6009">
        <v>3.207611</v>
      </c>
      <c r="T6009">
        <v>-0.9493703</v>
      </c>
      <c r="U6009">
        <v>-4.8217770000000002E-3</v>
      </c>
      <c r="V6009">
        <v>-4.1465580000000002E-2</v>
      </c>
      <c r="W6009">
        <v>0.1709331</v>
      </c>
      <c r="X6009">
        <v>0.98440970000000005</v>
      </c>
      <c r="Y6009">
        <v>4.8698020000000002E-2</v>
      </c>
      <c r="Z6009">
        <v>-2.1722450000000001E-2</v>
      </c>
      <c r="AA6009">
        <v>0.9985773</v>
      </c>
      <c r="AB6009">
        <v>29</v>
      </c>
      <c r="AC6009">
        <v>0.73900000000000399</v>
      </c>
      <c r="AD6009">
        <v>-0.2597893</v>
      </c>
      <c r="AE6009">
        <v>-8.4300000000041495E-3</v>
      </c>
      <c r="AF6009">
        <v>4.1315441861752497E-2</v>
      </c>
      <c r="AG6009">
        <v>-0.2597893</v>
      </c>
      <c r="AH6009">
        <v>0.656471551908832</v>
      </c>
      <c r="AI6009">
        <v>111.551759583608</v>
      </c>
      <c r="AJ6009">
        <v>86.398804428140807</v>
      </c>
      <c r="AK6009">
        <v>0.70721449687935001</v>
      </c>
      <c r="AL6009">
        <v>80.157924000212205</v>
      </c>
      <c r="AM6009">
        <v>92.412002954534799</v>
      </c>
      <c r="AN6009">
        <v>0.99999998822721803</v>
      </c>
    </row>
    <row r="6010" spans="1:40" x14ac:dyDescent="0.25">
      <c r="A6010" t="str">
        <f>"20190303162420626"</f>
        <v>20190303162420626</v>
      </c>
      <c r="B6010" t="str">
        <f>"1551601460620779"</f>
        <v>1551601460620779</v>
      </c>
      <c r="C6010" t="s">
        <v>40</v>
      </c>
      <c r="D6010">
        <v>5.5098500000000001</v>
      </c>
      <c r="E6010">
        <v>0.53385450000000001</v>
      </c>
      <c r="F6010" t="s">
        <v>42</v>
      </c>
      <c r="G6010">
        <v>-252.41579999999999</v>
      </c>
      <c r="H6010">
        <v>0.89444219999999897</v>
      </c>
      <c r="I6010">
        <v>-62.609589999999997</v>
      </c>
      <c r="J6010">
        <v>-253.02969999999999</v>
      </c>
      <c r="K6010">
        <v>1.1199509999999999</v>
      </c>
      <c r="L6010">
        <v>-62.602939999999997</v>
      </c>
      <c r="M6010">
        <v>0.99865490000000001</v>
      </c>
      <c r="N6010">
        <v>-8.9353399999999999E-3</v>
      </c>
      <c r="O6010">
        <v>5.107536E-2</v>
      </c>
      <c r="P6010">
        <v>0.9820991</v>
      </c>
      <c r="Q6010">
        <v>0.16277910000000001</v>
      </c>
      <c r="R6010">
        <v>9.4787040000000003E-2</v>
      </c>
      <c r="S6010">
        <v>3.2121430000000002</v>
      </c>
      <c r="T6010">
        <v>-0.9621828</v>
      </c>
      <c r="U6010">
        <v>1.8310550000000001E-3</v>
      </c>
      <c r="V6010">
        <v>-4.4319119999999997E-2</v>
      </c>
      <c r="W6010">
        <v>0.171627</v>
      </c>
      <c r="X6010">
        <v>0.98416459999999995</v>
      </c>
      <c r="Y6010">
        <v>4.6303209999999997E-2</v>
      </c>
      <c r="Z6010">
        <v>-2.1516170000000001E-2</v>
      </c>
      <c r="AA6010">
        <v>0.99869569999999996</v>
      </c>
      <c r="AB6010">
        <v>29</v>
      </c>
      <c r="AC6010">
        <v>0.613900000000001</v>
      </c>
      <c r="AD6010">
        <v>-0.22550880000000001</v>
      </c>
      <c r="AE6010">
        <v>-6.6500000000004802E-3</v>
      </c>
      <c r="AF6010">
        <v>3.34804979255146E-2</v>
      </c>
      <c r="AG6010">
        <v>-0.22550880000000001</v>
      </c>
      <c r="AH6010">
        <v>0.53991318075919004</v>
      </c>
      <c r="AI6010">
        <v>112.630049420467</v>
      </c>
      <c r="AJ6010">
        <v>86.451581256525003</v>
      </c>
      <c r="AK6010">
        <v>0.58607286695110405</v>
      </c>
      <c r="AL6010">
        <v>80.117570098175406</v>
      </c>
      <c r="AM6010">
        <v>92.578414353764501</v>
      </c>
      <c r="AN6010">
        <v>0.99999998570986703</v>
      </c>
    </row>
    <row r="6011" spans="1:40" x14ac:dyDescent="0.25">
      <c r="A6011" t="str">
        <f>"20190303162420637"</f>
        <v>20190303162420637</v>
      </c>
      <c r="B6011" t="str">
        <f>"1551601460631513"</f>
        <v>1551601460631513</v>
      </c>
      <c r="C6011" t="s">
        <v>40</v>
      </c>
      <c r="D6011">
        <v>5.5348850000000001</v>
      </c>
      <c r="E6011">
        <v>0.53408840000000002</v>
      </c>
      <c r="F6011" t="s">
        <v>42</v>
      </c>
      <c r="G6011">
        <v>-252.16820000000001</v>
      </c>
      <c r="H6011">
        <v>0.86110620000000004</v>
      </c>
      <c r="I6011">
        <v>-62.601660000000003</v>
      </c>
      <c r="J6011">
        <v>-252.875</v>
      </c>
      <c r="K6011">
        <v>1.1198950000000001</v>
      </c>
      <c r="L6011">
        <v>-62.59534</v>
      </c>
      <c r="M6011">
        <v>0.99867629999999996</v>
      </c>
      <c r="N6011">
        <v>-8.9377039999999994E-3</v>
      </c>
      <c r="O6011">
        <v>5.0656119999999999E-2</v>
      </c>
      <c r="P6011">
        <v>0.98187400000000002</v>
      </c>
      <c r="Q6011">
        <v>0.16297249999999999</v>
      </c>
      <c r="R6011">
        <v>9.6764359999999994E-2</v>
      </c>
      <c r="S6011">
        <v>3.2142490000000001</v>
      </c>
      <c r="T6011">
        <v>-0.96578310000000001</v>
      </c>
      <c r="U6011">
        <v>5.2490230000000002E-3</v>
      </c>
      <c r="V6011">
        <v>-4.6694239999999998E-2</v>
      </c>
      <c r="W6011">
        <v>0.17183039999999999</v>
      </c>
      <c r="X6011">
        <v>0.98401930000000004</v>
      </c>
      <c r="Y6011">
        <v>4.4878929999999997E-2</v>
      </c>
      <c r="Z6011">
        <v>-2.124502E-2</v>
      </c>
      <c r="AA6011">
        <v>0.9987665</v>
      </c>
      <c r="AB6011">
        <v>29</v>
      </c>
      <c r="AC6011">
        <v>0.70679999999998699</v>
      </c>
      <c r="AD6011">
        <v>-0.25878879999999999</v>
      </c>
      <c r="AE6011">
        <v>-6.3199999999952097E-3</v>
      </c>
      <c r="AF6011">
        <v>3.7138660809926997E-2</v>
      </c>
      <c r="AG6011">
        <v>-0.25878879999999999</v>
      </c>
      <c r="AH6011">
        <v>0.622171025011232</v>
      </c>
      <c r="AI6011">
        <v>112.548505207361</v>
      </c>
      <c r="AJ6011">
        <v>86.583951191215206</v>
      </c>
      <c r="AK6011">
        <v>0.67486865944102203</v>
      </c>
      <c r="AL6011">
        <v>80.105740646393798</v>
      </c>
      <c r="AM6011">
        <v>92.716793760104395</v>
      </c>
      <c r="AN6011">
        <v>1.0000000105929101</v>
      </c>
    </row>
    <row r="6012" spans="1:40" x14ac:dyDescent="0.25">
      <c r="A6012" t="str">
        <f>"20190303162420648"</f>
        <v>20190303162420648</v>
      </c>
      <c r="B6012" t="str">
        <f>"1551601460641274"</f>
        <v>1551601460641274</v>
      </c>
      <c r="C6012" t="s">
        <v>40</v>
      </c>
      <c r="D6012">
        <v>5.4905980000000003</v>
      </c>
      <c r="E6012">
        <v>0.53436629999999996</v>
      </c>
      <c r="F6012" t="s">
        <v>42</v>
      </c>
      <c r="G6012">
        <v>-252.15119999999999</v>
      </c>
      <c r="H6012">
        <v>0.90163919999999997</v>
      </c>
      <c r="I6012">
        <v>-62.59393</v>
      </c>
      <c r="J6012">
        <v>-252.74299999999999</v>
      </c>
      <c r="K6012">
        <v>1.1198589999999999</v>
      </c>
      <c r="L6012">
        <v>-62.58896</v>
      </c>
      <c r="M6012">
        <v>0.99869509999999995</v>
      </c>
      <c r="N6012">
        <v>-8.9397190000000005E-3</v>
      </c>
      <c r="O6012">
        <v>5.0282210000000001E-2</v>
      </c>
      <c r="P6012">
        <v>0.98163549999999999</v>
      </c>
      <c r="Q6012">
        <v>0.1630422</v>
      </c>
      <c r="R6012">
        <v>9.9041749999999998E-2</v>
      </c>
      <c r="S6012">
        <v>3.2156829999999998</v>
      </c>
      <c r="T6012">
        <v>-0.96962389999999998</v>
      </c>
      <c r="U6012">
        <v>6.8664549999999996E-3</v>
      </c>
      <c r="V6012">
        <v>-4.9331779999999999E-2</v>
      </c>
      <c r="W6012">
        <v>0.17190929999999999</v>
      </c>
      <c r="X6012">
        <v>0.9838768</v>
      </c>
      <c r="Y6012">
        <v>4.4028989999999997E-2</v>
      </c>
      <c r="Z6012">
        <v>-2.1081450000000002E-2</v>
      </c>
      <c r="AA6012">
        <v>0.99880780000000002</v>
      </c>
      <c r="AB6012">
        <v>29</v>
      </c>
      <c r="AC6012">
        <v>0.59180000000000599</v>
      </c>
      <c r="AD6012">
        <v>-0.21821979999999999</v>
      </c>
      <c r="AE6012">
        <v>-4.9700000000072403E-3</v>
      </c>
      <c r="AF6012">
        <v>3.05661682007521E-2</v>
      </c>
      <c r="AG6012">
        <v>-0.21821979999999999</v>
      </c>
      <c r="AH6012">
        <v>0.52009048167983496</v>
      </c>
      <c r="AI6012">
        <v>112.726748399442</v>
      </c>
      <c r="AJ6012">
        <v>86.636546310975802</v>
      </c>
      <c r="AK6012">
        <v>0.56484358975249005</v>
      </c>
      <c r="AL6012">
        <v>80.101151566455201</v>
      </c>
      <c r="AM6012">
        <v>92.870418033682199</v>
      </c>
      <c r="AN6012">
        <v>0.99999999476134904</v>
      </c>
    </row>
    <row r="6013" spans="1:40" x14ac:dyDescent="0.25">
      <c r="A6013" t="str">
        <f>"20190303162420658"</f>
        <v>20190303162420658</v>
      </c>
      <c r="B6013" t="str">
        <f>"1551601460651034"</f>
        <v>1551601460651034</v>
      </c>
      <c r="C6013" t="s">
        <v>40</v>
      </c>
      <c r="D6013">
        <v>5.5338880000000001</v>
      </c>
      <c r="E6013">
        <v>0.53463109999999903</v>
      </c>
      <c r="F6013" t="s">
        <v>42</v>
      </c>
      <c r="G6013">
        <v>-251.9041</v>
      </c>
      <c r="H6013">
        <v>0.86649080000000001</v>
      </c>
      <c r="I6013">
        <v>-62.586869999999998</v>
      </c>
      <c r="J6013">
        <v>-252.59119999999999</v>
      </c>
      <c r="K6013">
        <v>1.1198170000000001</v>
      </c>
      <c r="L6013">
        <v>-62.581629999999997</v>
      </c>
      <c r="M6013">
        <v>0.99871750000000004</v>
      </c>
      <c r="N6013">
        <v>-8.9420330000000003E-3</v>
      </c>
      <c r="O6013">
        <v>4.9835209999999998E-2</v>
      </c>
      <c r="P6013">
        <v>0.98144730000000002</v>
      </c>
      <c r="Q6013">
        <v>0.16290560000000001</v>
      </c>
      <c r="R6013">
        <v>0.10111009999999999</v>
      </c>
      <c r="S6013">
        <v>3.2165530000000002</v>
      </c>
      <c r="T6013">
        <v>-0.97126349999999995</v>
      </c>
      <c r="U6013">
        <v>8.7585449999999995E-3</v>
      </c>
      <c r="V6013">
        <v>-5.1829600000000003E-2</v>
      </c>
      <c r="W6013">
        <v>0.171782399999999</v>
      </c>
      <c r="X6013">
        <v>0.98377049999999999</v>
      </c>
      <c r="Y6013">
        <v>4.3047269999999999E-2</v>
      </c>
      <c r="Z6013">
        <v>-2.083289E-2</v>
      </c>
      <c r="AA6013">
        <v>0.99885579999999996</v>
      </c>
      <c r="AB6013">
        <v>29</v>
      </c>
      <c r="AC6013">
        <v>0.68709999999998606</v>
      </c>
      <c r="AD6013">
        <v>-0.253326199999999</v>
      </c>
      <c r="AE6013">
        <v>-5.2399999999934704E-3</v>
      </c>
      <c r="AF6013">
        <v>3.47528880204876E-2</v>
      </c>
      <c r="AG6013">
        <v>-0.253326199999999</v>
      </c>
      <c r="AH6013">
        <v>0.60390064514814301</v>
      </c>
      <c r="AI6013">
        <v>112.72346561721299</v>
      </c>
      <c r="AJ6013">
        <v>86.706411717236506</v>
      </c>
      <c r="AK6013">
        <v>0.65580326016462298</v>
      </c>
      <c r="AL6013">
        <v>80.108531734348304</v>
      </c>
      <c r="AM6013">
        <v>93.015819583428794</v>
      </c>
      <c r="AN6013">
        <v>0.99999994852808305</v>
      </c>
    </row>
    <row r="6014" spans="1:40" x14ac:dyDescent="0.25">
      <c r="A6014" t="str">
        <f>"20190303162420669"</f>
        <v>20190303162420669</v>
      </c>
      <c r="B6014" t="str">
        <f>"1551601460660946"</f>
        <v>1551601460660946</v>
      </c>
      <c r="C6014" t="s">
        <v>40</v>
      </c>
      <c r="D6014">
        <v>5.5513019999999997</v>
      </c>
      <c r="E6014">
        <v>0.53479500000000002</v>
      </c>
      <c r="F6014" t="s">
        <v>42</v>
      </c>
      <c r="G6014">
        <v>-251.88720000000001</v>
      </c>
      <c r="H6014">
        <v>0.90614570000000005</v>
      </c>
      <c r="I6014">
        <v>-62.579569999999997</v>
      </c>
      <c r="J6014">
        <v>-252.46879999999999</v>
      </c>
      <c r="K6014">
        <v>1.119785</v>
      </c>
      <c r="L6014">
        <v>-62.575839999999999</v>
      </c>
      <c r="M6014">
        <v>0.99873610000000002</v>
      </c>
      <c r="N6014">
        <v>-8.9439140000000007E-3</v>
      </c>
      <c r="O6014">
        <v>4.9461930000000001E-2</v>
      </c>
      <c r="P6014">
        <v>0.98134949999999999</v>
      </c>
      <c r="Q6014">
        <v>0.16265160000000001</v>
      </c>
      <c r="R6014">
        <v>0.1024588</v>
      </c>
      <c r="S6014">
        <v>3.217743</v>
      </c>
      <c r="T6014">
        <v>-0.97647050000000002</v>
      </c>
      <c r="U6014">
        <v>1.031494E-2</v>
      </c>
      <c r="V6014">
        <v>-5.3536540000000001E-2</v>
      </c>
      <c r="W6014">
        <v>0.17153669999999999</v>
      </c>
      <c r="X6014">
        <v>0.98372199999999999</v>
      </c>
      <c r="Y6014">
        <v>4.220645E-2</v>
      </c>
      <c r="Z6014">
        <v>-2.0697500000000001E-2</v>
      </c>
      <c r="AA6014">
        <v>0.99889450000000002</v>
      </c>
      <c r="AB6014">
        <v>29</v>
      </c>
      <c r="AC6014">
        <v>0.58159999999998002</v>
      </c>
      <c r="AD6014">
        <v>-0.2136393</v>
      </c>
      <c r="AE6014">
        <v>-3.72999999999734E-3</v>
      </c>
      <c r="AF6014">
        <v>2.8630623902571799E-2</v>
      </c>
      <c r="AG6014">
        <v>-0.2136393</v>
      </c>
      <c r="AH6014">
        <v>0.51166646270628402</v>
      </c>
      <c r="AI6014">
        <v>112.630480636119</v>
      </c>
      <c r="AJ6014">
        <v>86.797317824476707</v>
      </c>
      <c r="AK6014">
        <v>0.55521530255199303</v>
      </c>
      <c r="AL6014">
        <v>80.122821802535896</v>
      </c>
      <c r="AM6014">
        <v>93.115102439468203</v>
      </c>
      <c r="AN6014">
        <v>0.99999998692303005</v>
      </c>
    </row>
    <row r="6015" spans="1:40" x14ac:dyDescent="0.25">
      <c r="A6015" t="str">
        <f>"20190303162420679"</f>
        <v>20190303162420679</v>
      </c>
      <c r="B6015" t="str">
        <f>"1551601460670705"</f>
        <v>1551601460670705</v>
      </c>
      <c r="C6015" t="s">
        <v>40</v>
      </c>
      <c r="D6015">
        <v>5.5797559999999997</v>
      </c>
      <c r="E6015">
        <v>0.53490419999999905</v>
      </c>
      <c r="F6015" t="s">
        <v>42</v>
      </c>
      <c r="G6015">
        <v>-251.6412</v>
      </c>
      <c r="H6015">
        <v>0.86737439999999999</v>
      </c>
      <c r="I6015">
        <v>-62.573160000000001</v>
      </c>
      <c r="J6015">
        <v>-252.32859999999999</v>
      </c>
      <c r="K6015">
        <v>1.1197549999999901</v>
      </c>
      <c r="L6015">
        <v>-62.569240000000001</v>
      </c>
      <c r="M6015">
        <v>0.99875749999999996</v>
      </c>
      <c r="N6015">
        <v>-8.9460649999999996E-3</v>
      </c>
      <c r="O6015">
        <v>4.9027359999999999E-2</v>
      </c>
      <c r="P6015">
        <v>0.98116789999999998</v>
      </c>
      <c r="Q6015">
        <v>0.16285759999999999</v>
      </c>
      <c r="R6015">
        <v>0.1038608</v>
      </c>
      <c r="S6015">
        <v>3.2185969999999999</v>
      </c>
      <c r="T6015">
        <v>-0.98164019999999996</v>
      </c>
      <c r="U6015">
        <v>1.0986330000000001E-2</v>
      </c>
      <c r="V6015">
        <v>-5.5360939999999997E-2</v>
      </c>
      <c r="W6015">
        <v>0.1717505</v>
      </c>
      <c r="X6015">
        <v>0.98358369999999995</v>
      </c>
      <c r="Y6015">
        <v>4.1572240000000003E-2</v>
      </c>
      <c r="Z6015">
        <v>-2.0575119999999999E-2</v>
      </c>
      <c r="AA6015">
        <v>0.99892360000000002</v>
      </c>
      <c r="AB6015">
        <v>29</v>
      </c>
      <c r="AC6015">
        <v>0.68739999999999601</v>
      </c>
      <c r="AD6015">
        <v>-0.25238059999999901</v>
      </c>
      <c r="AE6015">
        <v>-3.9199999999937002E-3</v>
      </c>
      <c r="AF6015">
        <v>3.3149587351025203E-2</v>
      </c>
      <c r="AG6015">
        <v>-0.25238059999999901</v>
      </c>
      <c r="AH6015">
        <v>0.60484947723983196</v>
      </c>
      <c r="AI6015">
        <v>112.618395447379</v>
      </c>
      <c r="AJ6015">
        <v>86.862966336264293</v>
      </c>
      <c r="AK6015">
        <v>0.65622995399113004</v>
      </c>
      <c r="AL6015">
        <v>80.110387372507205</v>
      </c>
      <c r="AM6015">
        <v>93.221489939334901</v>
      </c>
      <c r="AN6015">
        <v>0.99999998141681101</v>
      </c>
    </row>
    <row r="6016" spans="1:40" x14ac:dyDescent="0.25">
      <c r="A6016" t="str">
        <f>"20190303162420690"</f>
        <v>20190303162420690</v>
      </c>
      <c r="B6016" t="str">
        <f>"1551601460681444"</f>
        <v>1551601460681444</v>
      </c>
      <c r="C6016" t="s">
        <v>40</v>
      </c>
      <c r="D6016">
        <v>5.5407289999999998</v>
      </c>
      <c r="E6016">
        <v>0.53503990000000001</v>
      </c>
      <c r="F6016" t="s">
        <v>42</v>
      </c>
      <c r="G6016">
        <v>-251.62520000000001</v>
      </c>
      <c r="H6016">
        <v>0.9048351</v>
      </c>
      <c r="I6016">
        <v>-62.566569999999999</v>
      </c>
      <c r="J6016">
        <v>-252.1935</v>
      </c>
      <c r="K6016">
        <v>1.119729</v>
      </c>
      <c r="L6016">
        <v>-62.563020000000002</v>
      </c>
      <c r="M6016">
        <v>0.99877819999999995</v>
      </c>
      <c r="N6016">
        <v>-8.9481430000000004E-3</v>
      </c>
      <c r="O6016">
        <v>4.8600030000000002E-2</v>
      </c>
      <c r="P6016">
        <v>0.98101519999999998</v>
      </c>
      <c r="Q6016">
        <v>0.1636282</v>
      </c>
      <c r="R6016">
        <v>0.10409119999999999</v>
      </c>
      <c r="S6016">
        <v>3.2194980000000002</v>
      </c>
      <c r="T6016">
        <v>-0.98372660000000001</v>
      </c>
      <c r="U6016">
        <v>1.2908940000000001E-2</v>
      </c>
      <c r="V6016">
        <v>-5.6008429999999998E-2</v>
      </c>
      <c r="W6016">
        <v>0.17252600000000001</v>
      </c>
      <c r="X6016">
        <v>0.98341129999999999</v>
      </c>
      <c r="Y6016">
        <v>4.0598660000000002E-2</v>
      </c>
      <c r="Z6016">
        <v>-2.033811E-2</v>
      </c>
      <c r="AA6016">
        <v>0.99896850000000004</v>
      </c>
      <c r="AB6016">
        <v>29</v>
      </c>
      <c r="AC6016">
        <v>0.56829999999999303</v>
      </c>
      <c r="AD6016">
        <v>-0.2148939</v>
      </c>
      <c r="AE6016">
        <v>-3.5500000000041601E-3</v>
      </c>
      <c r="AF6016">
        <v>2.72675838428563E-2</v>
      </c>
      <c r="AG6016">
        <v>-0.2148939</v>
      </c>
      <c r="AH6016">
        <v>0.49647041815762599</v>
      </c>
      <c r="AI6016">
        <v>113.373611799824</v>
      </c>
      <c r="AJ6016">
        <v>86.856309399621793</v>
      </c>
      <c r="AK6016">
        <v>0.54166944301062903</v>
      </c>
      <c r="AL6016">
        <v>80.065281119311294</v>
      </c>
      <c r="AM6016">
        <v>93.259657174148202</v>
      </c>
      <c r="AN6016">
        <v>0.99999997493737702</v>
      </c>
    </row>
    <row r="6017" spans="1:40" x14ac:dyDescent="0.25">
      <c r="A6017" t="str">
        <f>"20190303162420700"</f>
        <v>20190303162420700</v>
      </c>
      <c r="B6017" t="str">
        <f>"1551601460691202"</f>
        <v>1551601460691202</v>
      </c>
      <c r="C6017" t="s">
        <v>40</v>
      </c>
      <c r="D6017">
        <v>5.5393520000000001</v>
      </c>
      <c r="E6017">
        <v>0.53518330000000003</v>
      </c>
      <c r="F6017" t="s">
        <v>42</v>
      </c>
      <c r="G6017">
        <v>-251.37700000000001</v>
      </c>
      <c r="H6017">
        <v>0.87042399999999998</v>
      </c>
      <c r="I6017">
        <v>-62.560090000000002</v>
      </c>
      <c r="J6017">
        <v>-252.0504</v>
      </c>
      <c r="K6017">
        <v>1.119707</v>
      </c>
      <c r="L6017">
        <v>-62.556429999999999</v>
      </c>
      <c r="M6017">
        <v>0.99880049999999998</v>
      </c>
      <c r="N6017">
        <v>-8.950342E-3</v>
      </c>
      <c r="O6017">
        <v>4.8142740000000003E-2</v>
      </c>
      <c r="P6017">
        <v>0.9808249</v>
      </c>
      <c r="Q6017">
        <v>0.1647429</v>
      </c>
      <c r="R6017">
        <v>0.1041251</v>
      </c>
      <c r="S6017">
        <v>3.2207180000000002</v>
      </c>
      <c r="T6017">
        <v>-0.98328499999999996</v>
      </c>
      <c r="U6017">
        <v>1.2634279999999999E-2</v>
      </c>
      <c r="V6017">
        <v>-5.6490449999999998E-2</v>
      </c>
      <c r="W6017">
        <v>0.1736452</v>
      </c>
      <c r="X6017">
        <v>0.98318680000000003</v>
      </c>
      <c r="Y6017">
        <v>4.0269579999999999E-2</v>
      </c>
      <c r="Z6017">
        <v>-2.0138759999999999E-2</v>
      </c>
      <c r="AA6017">
        <v>0.99898589999999998</v>
      </c>
      <c r="AB6017">
        <v>29</v>
      </c>
      <c r="AC6017">
        <v>0.67339999999998601</v>
      </c>
      <c r="AD6017">
        <v>-0.249283</v>
      </c>
      <c r="AE6017">
        <v>-3.65999999999644E-3</v>
      </c>
      <c r="AF6017">
        <v>3.1728507464422601E-2</v>
      </c>
      <c r="AG6017">
        <v>-0.249283</v>
      </c>
      <c r="AH6017">
        <v>0.59140120958489895</v>
      </c>
      <c r="AI6017">
        <v>112.826575226473</v>
      </c>
      <c r="AJ6017">
        <v>86.929041763523301</v>
      </c>
      <c r="AK6017">
        <v>0.64257614566166499</v>
      </c>
      <c r="AL6017">
        <v>80.000173795843395</v>
      </c>
      <c r="AM6017">
        <v>93.288398227119202</v>
      </c>
      <c r="AN6017">
        <v>1.0000000550592301</v>
      </c>
    </row>
    <row r="6018" spans="1:40" x14ac:dyDescent="0.25">
      <c r="A6018" t="str">
        <f>"20190303162420711"</f>
        <v>20190303162420711</v>
      </c>
      <c r="B6018" t="str">
        <f>"1551601460700962"</f>
        <v>1551601460700962</v>
      </c>
      <c r="C6018" t="s">
        <v>40</v>
      </c>
      <c r="D6018">
        <v>5.567043</v>
      </c>
      <c r="E6018">
        <v>0.53527630000000004</v>
      </c>
      <c r="F6018" t="s">
        <v>42</v>
      </c>
      <c r="G6018">
        <v>-251.36019999999999</v>
      </c>
      <c r="H6018">
        <v>0.90942449999999997</v>
      </c>
      <c r="I6018">
        <v>-62.554000000000002</v>
      </c>
      <c r="J6018">
        <v>-251.90629999999999</v>
      </c>
      <c r="K6018">
        <v>1.1196980000000001</v>
      </c>
      <c r="L6018">
        <v>-62.549959999999999</v>
      </c>
      <c r="M6018">
        <v>0.99882269999999895</v>
      </c>
      <c r="N6018">
        <v>-8.9526789999999998E-3</v>
      </c>
      <c r="O6018">
        <v>4.7677299999999999E-2</v>
      </c>
      <c r="P6018">
        <v>0.9807264</v>
      </c>
      <c r="Q6018">
        <v>0.16535150000000001</v>
      </c>
      <c r="R6018">
        <v>0.10409060000000001</v>
      </c>
      <c r="S6018">
        <v>3.2221980000000001</v>
      </c>
      <c r="T6018">
        <v>-0.98169289999999998</v>
      </c>
      <c r="U6018">
        <v>1.2634279999999999E-2</v>
      </c>
      <c r="V6018">
        <v>-5.6911280000000002E-2</v>
      </c>
      <c r="W6018">
        <v>0.17425839999999901</v>
      </c>
      <c r="X6018">
        <v>0.98305399999999998</v>
      </c>
      <c r="Y6018">
        <v>3.9861029999999999E-2</v>
      </c>
      <c r="Z6018">
        <v>-1.9900979999999999E-2</v>
      </c>
      <c r="AA6018">
        <v>0.99900699999999998</v>
      </c>
      <c r="AB6018">
        <v>29</v>
      </c>
      <c r="AC6018">
        <v>0.54609999999999503</v>
      </c>
      <c r="AD6018">
        <v>-0.210273499999999</v>
      </c>
      <c r="AE6018">
        <v>-4.0399999999962601E-3</v>
      </c>
      <c r="AF6018">
        <v>2.61902595409675E-2</v>
      </c>
      <c r="AG6018">
        <v>-0.210273499999999</v>
      </c>
      <c r="AH6018">
        <v>0.47488376300995599</v>
      </c>
      <c r="AI6018">
        <v>113.851062361616</v>
      </c>
      <c r="AJ6018">
        <v>86.843285002013303</v>
      </c>
      <c r="AK6018">
        <v>0.52001486792934004</v>
      </c>
      <c r="AL6018">
        <v>79.964495787545005</v>
      </c>
      <c r="AM6018">
        <v>93.313287576573302</v>
      </c>
      <c r="AN6018">
        <v>1.0000000253388901</v>
      </c>
    </row>
    <row r="6019" spans="1:40" x14ac:dyDescent="0.25">
      <c r="A6019" t="str">
        <f>"20190303162420724"</f>
        <v>20190303162420724</v>
      </c>
      <c r="B6019" t="str">
        <f>"1551601460710722"</f>
        <v>1551601460710722</v>
      </c>
      <c r="C6019" t="s">
        <v>40</v>
      </c>
      <c r="D6019">
        <v>5.5409730000000001</v>
      </c>
      <c r="E6019">
        <v>0.53541110000000003</v>
      </c>
      <c r="F6019" t="s">
        <v>42</v>
      </c>
      <c r="G6019">
        <v>-251.11080000000001</v>
      </c>
      <c r="H6019">
        <v>0.8770597</v>
      </c>
      <c r="I6019">
        <v>-62.546919999999901</v>
      </c>
      <c r="J6019">
        <v>-251.74770000000001</v>
      </c>
      <c r="K6019">
        <v>1.1196839999999999</v>
      </c>
      <c r="L6019">
        <v>-62.542819999999899</v>
      </c>
      <c r="M6019">
        <v>0.99884700000000004</v>
      </c>
      <c r="N6019">
        <v>-8.9552650000000004E-3</v>
      </c>
      <c r="O6019">
        <v>4.7163410000000003E-2</v>
      </c>
      <c r="P6019">
        <v>0.98063129999999998</v>
      </c>
      <c r="Q6019">
        <v>0.16631689999999999</v>
      </c>
      <c r="R6019">
        <v>0.10344730000000001</v>
      </c>
      <c r="S6019">
        <v>3.2234340000000001</v>
      </c>
      <c r="T6019">
        <v>-0.98318410000000001</v>
      </c>
      <c r="U6019">
        <v>1.2146000000000001E-2</v>
      </c>
      <c r="V6019">
        <v>-5.6771050000000003E-2</v>
      </c>
      <c r="W6019">
        <v>0.17522650000000001</v>
      </c>
      <c r="X6019">
        <v>0.98289000000000004</v>
      </c>
      <c r="Y6019">
        <v>3.9528679999999997E-2</v>
      </c>
      <c r="Z6019">
        <v>-1.9723129999999998E-2</v>
      </c>
      <c r="AA6019">
        <v>0.99902369999999996</v>
      </c>
      <c r="AB6019">
        <v>29</v>
      </c>
      <c r="AC6019">
        <v>0.63689999999999702</v>
      </c>
      <c r="AD6019">
        <v>-0.24262429999999999</v>
      </c>
      <c r="AE6019">
        <v>-4.1000000000011002E-3</v>
      </c>
      <c r="AF6019">
        <v>2.9809286166098299E-2</v>
      </c>
      <c r="AG6019">
        <v>-0.24262429999999999</v>
      </c>
      <c r="AH6019">
        <v>0.55540150654756504</v>
      </c>
      <c r="AI6019">
        <v>113.567649586607</v>
      </c>
      <c r="AJ6019">
        <v>86.927791690877697</v>
      </c>
      <c r="AK6019">
        <v>0.60681626376319797</v>
      </c>
      <c r="AL6019">
        <v>79.9081608822856</v>
      </c>
      <c r="AM6019">
        <v>93.305691978191902</v>
      </c>
      <c r="AN6019">
        <v>1.00000001526017</v>
      </c>
    </row>
    <row r="6020" spans="1:40" x14ac:dyDescent="0.25">
      <c r="A6020" t="str">
        <f>"20190303162420735"</f>
        <v>20190303162420735</v>
      </c>
      <c r="B6020" t="str">
        <f>"1551601460731218"</f>
        <v>1551601460731218</v>
      </c>
      <c r="C6020" t="s">
        <v>40</v>
      </c>
      <c r="D6020">
        <v>5.536562</v>
      </c>
      <c r="E6020">
        <v>0.53548490000000004</v>
      </c>
      <c r="F6020" t="s">
        <v>42</v>
      </c>
      <c r="G6020">
        <v>-250.85830000000001</v>
      </c>
      <c r="H6020">
        <v>0.84887780000000002</v>
      </c>
      <c r="I6020">
        <v>-62.540219999999998</v>
      </c>
      <c r="J6020">
        <v>-251.5942</v>
      </c>
      <c r="K6020">
        <v>1.1196740000000001</v>
      </c>
      <c r="L6020">
        <v>-62.536070000000002</v>
      </c>
      <c r="M6020">
        <v>0.99887040000000005</v>
      </c>
      <c r="N6020">
        <v>-8.9578090000000006E-3</v>
      </c>
      <c r="O6020">
        <v>4.6665230000000002E-2</v>
      </c>
      <c r="P6020">
        <v>0.98055990000000004</v>
      </c>
      <c r="Q6020">
        <v>0.1669253</v>
      </c>
      <c r="R6020">
        <v>0.10314130000000001</v>
      </c>
      <c r="S6020">
        <v>3.2247469999999998</v>
      </c>
      <c r="T6020">
        <v>-0.98185610000000001</v>
      </c>
      <c r="U6020">
        <v>9.6130369999999996E-3</v>
      </c>
      <c r="V6020">
        <v>-5.6954560000000001E-2</v>
      </c>
      <c r="W6020">
        <v>0.1758382</v>
      </c>
      <c r="X6020">
        <v>0.98277009999999998</v>
      </c>
      <c r="Y6020">
        <v>3.9836879999999998E-2</v>
      </c>
      <c r="Z6020">
        <v>-1.9593030000000001E-2</v>
      </c>
      <c r="AA6020">
        <v>0.99901410000000002</v>
      </c>
      <c r="AB6020">
        <v>29</v>
      </c>
      <c r="AC6020">
        <v>0.73589999999998601</v>
      </c>
      <c r="AD6020">
        <v>-0.27079619999999999</v>
      </c>
      <c r="AE6020">
        <v>-4.15000000000276E-3</v>
      </c>
      <c r="AF6020">
        <v>3.3897869296170599E-2</v>
      </c>
      <c r="AG6020">
        <v>-0.27079619999999999</v>
      </c>
      <c r="AH6020">
        <v>0.64726222419468304</v>
      </c>
      <c r="AI6020">
        <v>112.67513014635099</v>
      </c>
      <c r="AJ6020">
        <v>87.002092759051706</v>
      </c>
      <c r="AK6020">
        <v>0.70244432828994297</v>
      </c>
      <c r="AL6020">
        <v>79.872559966675993</v>
      </c>
      <c r="AM6020">
        <v>93.316757373704903</v>
      </c>
      <c r="AN6020">
        <v>0.99999998196902096</v>
      </c>
    </row>
    <row r="6021" spans="1:40" x14ac:dyDescent="0.25">
      <c r="A6021" t="str">
        <f>"20190303162420746"</f>
        <v>20190303162420746</v>
      </c>
      <c r="B6021" t="str">
        <f>"1551601460740979"</f>
        <v>1551601460740979</v>
      </c>
      <c r="C6021" t="s">
        <v>40</v>
      </c>
      <c r="D6021">
        <v>5.5122749999999998</v>
      </c>
      <c r="E6021">
        <v>0.53453549999999905</v>
      </c>
      <c r="F6021" t="s">
        <v>42</v>
      </c>
      <c r="G6021">
        <v>-250.84129999999999</v>
      </c>
      <c r="H6021">
        <v>0.88998500000000003</v>
      </c>
      <c r="I6021">
        <v>-62.534280000000003</v>
      </c>
      <c r="J6021">
        <v>-251.45189999999999</v>
      </c>
      <c r="K6021">
        <v>1.119669</v>
      </c>
      <c r="L6021">
        <v>-62.529850000000003</v>
      </c>
      <c r="M6021">
        <v>0.9988918</v>
      </c>
      <c r="N6021">
        <v>-8.9601619999999903E-3</v>
      </c>
      <c r="O6021">
        <v>4.6204500000000003E-2</v>
      </c>
      <c r="P6021">
        <v>0.98050870000000001</v>
      </c>
      <c r="Q6021">
        <v>0.16725889999999999</v>
      </c>
      <c r="R6021">
        <v>0.1030871</v>
      </c>
      <c r="S6021">
        <v>3.2261660000000001</v>
      </c>
      <c r="T6021">
        <v>-0.98412790000000006</v>
      </c>
      <c r="U6021">
        <v>7.9040529999999994E-3</v>
      </c>
      <c r="V6021">
        <v>-5.7352649999999998E-2</v>
      </c>
      <c r="W6021">
        <v>0.17617469999999999</v>
      </c>
      <c r="X6021">
        <v>0.98268670000000002</v>
      </c>
      <c r="Y6021">
        <v>3.9908659999999999E-2</v>
      </c>
      <c r="Z6021">
        <v>-1.950636E-2</v>
      </c>
      <c r="AA6021">
        <v>0.99901289999999998</v>
      </c>
      <c r="AB6021">
        <v>29</v>
      </c>
      <c r="AC6021">
        <v>0.61060000000000503</v>
      </c>
      <c r="AD6021">
        <v>-0.229684</v>
      </c>
      <c r="AE6021">
        <v>-4.4299999999992601E-3</v>
      </c>
      <c r="AF6021">
        <v>2.8593220985235802E-2</v>
      </c>
      <c r="AG6021">
        <v>-0.229684</v>
      </c>
      <c r="AH6021">
        <v>0.53416434577792105</v>
      </c>
      <c r="AI6021">
        <v>113.23736996767001</v>
      </c>
      <c r="AJ6021">
        <v>86.935945186955706</v>
      </c>
      <c r="AK6021">
        <v>0.58215449877387804</v>
      </c>
      <c r="AL6021">
        <v>79.852974376814501</v>
      </c>
      <c r="AM6021">
        <v>93.340170718099799</v>
      </c>
      <c r="AN6021">
        <v>1.0000000008695</v>
      </c>
    </row>
    <row r="6022" spans="1:40" x14ac:dyDescent="0.25">
      <c r="A6022" t="str">
        <f>"20190303162420758"</f>
        <v>20190303162420758</v>
      </c>
      <c r="B6022" t="str">
        <f>"1551601460750737"</f>
        <v>1551601460750737</v>
      </c>
      <c r="C6022" t="s">
        <v>40</v>
      </c>
      <c r="D6022">
        <v>5.5272059999999996</v>
      </c>
      <c r="E6022">
        <v>0.53424589999999905</v>
      </c>
      <c r="F6022" t="s">
        <v>42</v>
      </c>
      <c r="G6022">
        <v>-250.60419999999999</v>
      </c>
      <c r="H6022">
        <v>0.82298760000000004</v>
      </c>
      <c r="I6022">
        <v>-62.526560000000003</v>
      </c>
      <c r="J6022">
        <v>-251.29490000000001</v>
      </c>
      <c r="K6022">
        <v>1.119667</v>
      </c>
      <c r="L6022">
        <v>-62.523040000000002</v>
      </c>
      <c r="M6022">
        <v>0.998915</v>
      </c>
      <c r="N6022">
        <v>-8.9627619999999904E-3</v>
      </c>
      <c r="O6022">
        <v>4.5699289999999997E-2</v>
      </c>
      <c r="P6022">
        <v>0.98051929999999998</v>
      </c>
      <c r="Q6022">
        <v>0.16730789999999901</v>
      </c>
      <c r="R6022">
        <v>0.1029091</v>
      </c>
      <c r="S6022">
        <v>3.2525019999999998</v>
      </c>
      <c r="T6022">
        <v>-1.138404</v>
      </c>
      <c r="U6022">
        <v>1.242065E-2</v>
      </c>
      <c r="V6022">
        <v>-5.7670739999999998E-2</v>
      </c>
      <c r="W6022">
        <v>0.1762273</v>
      </c>
      <c r="X6022">
        <v>0.98265860000000005</v>
      </c>
      <c r="Y6022">
        <v>3.7043600000000003E-2</v>
      </c>
      <c r="Z6022">
        <v>-2.1596879999999999E-2</v>
      </c>
      <c r="AA6022">
        <v>0.99908019999999997</v>
      </c>
      <c r="AB6022">
        <v>30</v>
      </c>
      <c r="AC6022">
        <v>0.69070000000002096</v>
      </c>
      <c r="AD6022">
        <v>-0.29667939999999898</v>
      </c>
      <c r="AE6022">
        <v>-3.5199999999946299E-3</v>
      </c>
      <c r="AF6022">
        <v>2.96177618252828E-2</v>
      </c>
      <c r="AG6022">
        <v>-0.29667939999999898</v>
      </c>
      <c r="AH6022">
        <v>0.58237262414330904</v>
      </c>
      <c r="AI6022">
        <v>116.965841582078</v>
      </c>
      <c r="AJ6022">
        <v>87.088613188134602</v>
      </c>
      <c r="AK6022">
        <v>0.654258168884014</v>
      </c>
      <c r="AL6022">
        <v>79.849912193233294</v>
      </c>
      <c r="AM6022">
        <v>93.358749546699002</v>
      </c>
      <c r="AN6022">
        <v>0.99999994983569696</v>
      </c>
    </row>
    <row r="6023" spans="1:40" x14ac:dyDescent="0.25">
      <c r="A6023" t="str">
        <f>"20190303162420770"</f>
        <v>20190303162420770</v>
      </c>
      <c r="B6023" t="str">
        <f>"1551601460761474"</f>
        <v>1551601460761474</v>
      </c>
      <c r="C6023" t="s">
        <v>40</v>
      </c>
      <c r="D6023">
        <v>5.50481</v>
      </c>
      <c r="E6023">
        <v>0.53427539999999996</v>
      </c>
      <c r="F6023" t="s">
        <v>42</v>
      </c>
      <c r="G6023">
        <v>-250.58600000000001</v>
      </c>
      <c r="H6023">
        <v>0.86895129999999998</v>
      </c>
      <c r="I6023">
        <v>-62.520130000000002</v>
      </c>
      <c r="J6023">
        <v>-251.14429999999999</v>
      </c>
      <c r="K6023">
        <v>1.119664</v>
      </c>
      <c r="L6023">
        <v>-62.516599999999997</v>
      </c>
      <c r="M6023">
        <v>0.99893690000000002</v>
      </c>
      <c r="N6023">
        <v>-8.9652580000000003E-3</v>
      </c>
      <c r="O6023">
        <v>4.5220290000000003E-2</v>
      </c>
      <c r="P6023">
        <v>0.98047169999999895</v>
      </c>
      <c r="Q6023">
        <v>0.16761189999999901</v>
      </c>
      <c r="R6023">
        <v>0.1028676</v>
      </c>
      <c r="S6023">
        <v>3.2545929999999998</v>
      </c>
      <c r="T6023">
        <v>-1.1509320000000001</v>
      </c>
      <c r="U6023">
        <v>1.312256E-2</v>
      </c>
      <c r="V6023">
        <v>-5.8102309999999997E-2</v>
      </c>
      <c r="W6023">
        <v>0.17653379999999999</v>
      </c>
      <c r="X6023">
        <v>0.98257819999999996</v>
      </c>
      <c r="Y6023">
        <v>3.6325070000000001E-2</v>
      </c>
      <c r="Z6023">
        <v>-2.1523520000000001E-2</v>
      </c>
      <c r="AA6023">
        <v>0.9991082</v>
      </c>
      <c r="AB6023">
        <v>30</v>
      </c>
      <c r="AC6023">
        <v>0.55830000000000202</v>
      </c>
      <c r="AD6023">
        <v>-0.25071269999999901</v>
      </c>
      <c r="AE6023">
        <v>-3.5300000000049099E-3</v>
      </c>
      <c r="AF6023">
        <v>2.3945299103934201E-2</v>
      </c>
      <c r="AG6023">
        <v>-0.25071269999999901</v>
      </c>
      <c r="AH6023">
        <v>0.46400266987015198</v>
      </c>
      <c r="AI6023">
        <v>118.351651031746</v>
      </c>
      <c r="AJ6023">
        <v>87.045817443747296</v>
      </c>
      <c r="AK6023">
        <v>0.52794764223083301</v>
      </c>
      <c r="AL6023">
        <v>79.832071740825</v>
      </c>
      <c r="AM6023">
        <v>93.384102276851394</v>
      </c>
      <c r="AN6023">
        <v>0.99999999004250795</v>
      </c>
    </row>
    <row r="6024" spans="1:40" x14ac:dyDescent="0.25">
      <c r="A6024" t="str">
        <f>"20190303162420782"</f>
        <v>20190303162420782</v>
      </c>
      <c r="B6024" t="str">
        <f>"1551601460771233"</f>
        <v>1551601460771233</v>
      </c>
      <c r="C6024" t="s">
        <v>40</v>
      </c>
      <c r="D6024">
        <v>5.5172699999999999</v>
      </c>
      <c r="E6024">
        <v>0.5343426</v>
      </c>
      <c r="F6024" t="s">
        <v>42</v>
      </c>
      <c r="G6024">
        <v>-250.33529999999999</v>
      </c>
      <c r="H6024">
        <v>0.83374490000000001</v>
      </c>
      <c r="I6024">
        <v>-62.51361</v>
      </c>
      <c r="J6024">
        <v>-250.97190000000001</v>
      </c>
      <c r="K6024">
        <v>1.1196600000000001</v>
      </c>
      <c r="L6024">
        <v>-62.509309999999999</v>
      </c>
      <c r="M6024">
        <v>0.9989614</v>
      </c>
      <c r="N6024">
        <v>-8.9681190000000001E-3</v>
      </c>
      <c r="O6024">
        <v>4.4676590000000002E-2</v>
      </c>
      <c r="P6024">
        <v>0.98056109999999996</v>
      </c>
      <c r="Q6024">
        <v>0.16710120000000001</v>
      </c>
      <c r="R6024">
        <v>0.1028464</v>
      </c>
      <c r="S6024">
        <v>3.2551420000000002</v>
      </c>
      <c r="T6024">
        <v>-1.15035</v>
      </c>
      <c r="U6024">
        <v>1.2207030000000001E-2</v>
      </c>
      <c r="V6024">
        <v>-5.8613730000000003E-2</v>
      </c>
      <c r="W6024">
        <v>0.1760274</v>
      </c>
      <c r="X6024">
        <v>0.98263869999999998</v>
      </c>
      <c r="Y6024">
        <v>3.6113770000000003E-2</v>
      </c>
      <c r="Z6024">
        <v>-2.1290819999999998E-2</v>
      </c>
      <c r="AA6024">
        <v>0.99912089999999998</v>
      </c>
      <c r="AB6024">
        <v>30</v>
      </c>
      <c r="AC6024">
        <v>0.63660000000001504</v>
      </c>
      <c r="AD6024">
        <v>-0.28591509999999998</v>
      </c>
      <c r="AE6024">
        <v>-4.3000000000006297E-3</v>
      </c>
      <c r="AF6024">
        <v>2.7242881265367402E-2</v>
      </c>
      <c r="AG6024">
        <v>-0.28591509999999998</v>
      </c>
      <c r="AH6024">
        <v>0.52905754585158504</v>
      </c>
      <c r="AI6024">
        <v>118.356108504058</v>
      </c>
      <c r="AJ6024">
        <v>87.052258839286907</v>
      </c>
      <c r="AK6024">
        <v>0.60198962267646405</v>
      </c>
      <c r="AL6024">
        <v>79.861548176329606</v>
      </c>
      <c r="AM6024">
        <v>93.413609517894102</v>
      </c>
      <c r="AN6024">
        <v>1.00000001481648</v>
      </c>
    </row>
    <row r="6025" spans="1:40" x14ac:dyDescent="0.25">
      <c r="A6025" t="str">
        <f>"20190303162420795"</f>
        <v>20190303162420795</v>
      </c>
      <c r="B6025" t="str">
        <f>"1551601460790754"</f>
        <v>1551601460790754</v>
      </c>
      <c r="C6025" t="s">
        <v>40</v>
      </c>
      <c r="D6025">
        <v>5.5494719999999997</v>
      </c>
      <c r="E6025">
        <v>0.53463309999999997</v>
      </c>
      <c r="F6025" t="s">
        <v>42</v>
      </c>
      <c r="G6025">
        <v>-250.31360000000001</v>
      </c>
      <c r="H6025">
        <v>0.88647759999999998</v>
      </c>
      <c r="I6025">
        <v>-62.5068699999999</v>
      </c>
      <c r="J6025">
        <v>-250.8135</v>
      </c>
      <c r="K6025">
        <v>1.1196630000000001</v>
      </c>
      <c r="L6025">
        <v>-62.502749999999999</v>
      </c>
      <c r="M6025">
        <v>0.9989827</v>
      </c>
      <c r="N6025">
        <v>-8.9707840000000007E-3</v>
      </c>
      <c r="O6025">
        <v>4.4192309999999999E-2</v>
      </c>
      <c r="P6025">
        <v>0.98063829999999996</v>
      </c>
      <c r="Q6025">
        <v>0.16646749999999999</v>
      </c>
      <c r="R6025">
        <v>0.1031368</v>
      </c>
      <c r="S6025">
        <v>3.2546080000000002</v>
      </c>
      <c r="T6025">
        <v>-1.1527080000000001</v>
      </c>
      <c r="U6025">
        <v>1.229858E-2</v>
      </c>
      <c r="V6025">
        <v>-5.9381419999999997E-2</v>
      </c>
      <c r="W6025">
        <v>0.1753979</v>
      </c>
      <c r="X6025">
        <v>0.98270519999999995</v>
      </c>
      <c r="Y6025">
        <v>3.5637490000000001E-2</v>
      </c>
      <c r="Z6025">
        <v>-2.108958E-2</v>
      </c>
      <c r="AA6025">
        <v>0.99914219999999998</v>
      </c>
      <c r="AB6025">
        <v>30</v>
      </c>
      <c r="AC6025">
        <v>0.49989999999999601</v>
      </c>
      <c r="AD6025">
        <v>-0.23318539999999899</v>
      </c>
      <c r="AE6025">
        <v>-4.1199999999932402E-3</v>
      </c>
      <c r="AF6025">
        <v>2.1525263683040901E-2</v>
      </c>
      <c r="AG6025">
        <v>-0.23318539999999899</v>
      </c>
      <c r="AH6025">
        <v>0.41001985240473998</v>
      </c>
      <c r="AI6025">
        <v>119.593769996079</v>
      </c>
      <c r="AJ6025">
        <v>86.994839137647006</v>
      </c>
      <c r="AK6025">
        <v>0.47218115921305998</v>
      </c>
      <c r="AL6025">
        <v>79.898186187789506</v>
      </c>
      <c r="AM6025">
        <v>93.457977817746993</v>
      </c>
      <c r="AN6025">
        <v>1.0000000432363301</v>
      </c>
    </row>
    <row r="6026" spans="1:40" x14ac:dyDescent="0.25">
      <c r="A6026" t="str">
        <f>"20190303162420810"</f>
        <v>20190303162420810</v>
      </c>
      <c r="B6026" t="str">
        <f>"1551601460802466"</f>
        <v>1551601460802466</v>
      </c>
      <c r="C6026" t="s">
        <v>40</v>
      </c>
      <c r="D6026">
        <v>5.5279249999999998</v>
      </c>
      <c r="E6026">
        <v>0.5346727</v>
      </c>
      <c r="F6026" t="s">
        <v>42</v>
      </c>
      <c r="G6026">
        <v>-250.06190000000001</v>
      </c>
      <c r="H6026">
        <v>0.85412119999999903</v>
      </c>
      <c r="I6026">
        <v>-62.499940000000002</v>
      </c>
      <c r="J6026">
        <v>-250.60730000000001</v>
      </c>
      <c r="K6026">
        <v>1.1196699999999999</v>
      </c>
      <c r="L6026">
        <v>-62.494230000000002</v>
      </c>
      <c r="M6026">
        <v>0.99901010000000001</v>
      </c>
      <c r="N6026">
        <v>-8.9743169999999903E-3</v>
      </c>
      <c r="O6026">
        <v>4.357399E-2</v>
      </c>
      <c r="P6026">
        <v>0.98081059999999998</v>
      </c>
      <c r="Q6026">
        <v>0.1652711</v>
      </c>
      <c r="R6026">
        <v>0.1034243</v>
      </c>
      <c r="S6026">
        <v>3.2529599999999999</v>
      </c>
      <c r="T6026">
        <v>-1.149173</v>
      </c>
      <c r="U6026">
        <v>1.275635E-2</v>
      </c>
      <c r="V6026">
        <v>-6.027718E-2</v>
      </c>
      <c r="W6026">
        <v>0.17420579999999999</v>
      </c>
      <c r="X6026">
        <v>0.98286269999999998</v>
      </c>
      <c r="Y6026">
        <v>3.497712E-2</v>
      </c>
      <c r="Z6026">
        <v>-2.0715210000000001E-2</v>
      </c>
      <c r="AA6026">
        <v>0.99917339999999999</v>
      </c>
      <c r="AB6026">
        <v>30</v>
      </c>
      <c r="AC6026">
        <v>0.5454</v>
      </c>
      <c r="AD6026">
        <v>-0.26554879999999997</v>
      </c>
      <c r="AE6026">
        <v>-5.7100000000005402E-3</v>
      </c>
      <c r="AF6026">
        <v>2.38237431502888E-2</v>
      </c>
      <c r="AG6026">
        <v>-0.26554879999999997</v>
      </c>
      <c r="AH6026">
        <v>0.44027333092923199</v>
      </c>
      <c r="AI6026">
        <v>121.059052121067</v>
      </c>
      <c r="AJ6026">
        <v>86.902674039412403</v>
      </c>
      <c r="AK6026">
        <v>0.51470801610879602</v>
      </c>
      <c r="AL6026">
        <v>79.967556538280704</v>
      </c>
      <c r="AM6026">
        <v>93.509450398315593</v>
      </c>
      <c r="AN6026">
        <v>1.0000000431168401</v>
      </c>
    </row>
    <row r="6027" spans="1:40" x14ac:dyDescent="0.25">
      <c r="A6027" t="str">
        <f>"20190303162420824"</f>
        <v>20190303162420824</v>
      </c>
      <c r="B6027" t="str">
        <f>"1551601460821010"</f>
        <v>1551601460821010</v>
      </c>
      <c r="C6027" t="s">
        <v>40</v>
      </c>
      <c r="D6027">
        <v>5.5234540000000001</v>
      </c>
      <c r="E6027">
        <v>0.53472240000000004</v>
      </c>
      <c r="F6027" t="s">
        <v>42</v>
      </c>
      <c r="G6027">
        <v>-249.804</v>
      </c>
      <c r="H6027">
        <v>0.83481559999999899</v>
      </c>
      <c r="I6027">
        <v>-62.490580000000001</v>
      </c>
      <c r="J6027">
        <v>-250.40950000000001</v>
      </c>
      <c r="K6027">
        <v>1.1196740000000001</v>
      </c>
      <c r="L6027">
        <v>-62.486150000000002</v>
      </c>
      <c r="M6027">
        <v>0.99903500000000001</v>
      </c>
      <c r="N6027">
        <v>-8.9777829999999996E-3</v>
      </c>
      <c r="O6027">
        <v>4.2997489999999999E-2</v>
      </c>
      <c r="P6027">
        <v>0.9809696</v>
      </c>
      <c r="Q6027">
        <v>0.16339020000000001</v>
      </c>
      <c r="R6027">
        <v>0.1048931</v>
      </c>
      <c r="S6027">
        <v>3.251328</v>
      </c>
      <c r="T6027">
        <v>-1.1528969999999901</v>
      </c>
      <c r="U6027">
        <v>1.5716549999999999E-2</v>
      </c>
      <c r="V6027">
        <v>-6.2315049999999997E-2</v>
      </c>
      <c r="W6027">
        <v>0.17233200000000001</v>
      </c>
      <c r="X6027">
        <v>0.98306590000000005</v>
      </c>
      <c r="Y6027">
        <v>3.3575609999999999E-2</v>
      </c>
      <c r="Z6027">
        <v>-2.034822E-2</v>
      </c>
      <c r="AA6027">
        <v>0.99922900000000003</v>
      </c>
      <c r="AB6027">
        <v>30</v>
      </c>
      <c r="AC6027">
        <v>0.60550000000000603</v>
      </c>
      <c r="AD6027">
        <v>-0.28485840000000001</v>
      </c>
      <c r="AE6027">
        <v>-4.4299999999992601E-3</v>
      </c>
      <c r="AF6027">
        <v>2.49419544640474E-2</v>
      </c>
      <c r="AG6027">
        <v>-0.28485840000000001</v>
      </c>
      <c r="AH6027">
        <v>0.49516347766866398</v>
      </c>
      <c r="AI6027">
        <v>119.879654593922</v>
      </c>
      <c r="AJ6027">
        <v>87.116382793993793</v>
      </c>
      <c r="AK6027">
        <v>0.57179828502713503</v>
      </c>
      <c r="AL6027">
        <v>80.076566008067104</v>
      </c>
      <c r="AM6027">
        <v>93.627039450489505</v>
      </c>
      <c r="AN6027">
        <v>1.00000002371165</v>
      </c>
    </row>
    <row r="6028" spans="1:40" x14ac:dyDescent="0.25">
      <c r="A6028" t="str">
        <f>"20190303162420835"</f>
        <v>20190303162420835</v>
      </c>
      <c r="B6028" t="str">
        <f>"1551601460830770"</f>
        <v>1551601460830770</v>
      </c>
      <c r="C6028" t="s">
        <v>40</v>
      </c>
      <c r="D6028">
        <v>5.5373910000000004</v>
      </c>
      <c r="E6028">
        <v>0.53470359999999995</v>
      </c>
      <c r="F6028" t="s">
        <v>42</v>
      </c>
      <c r="G6028">
        <v>-249.54679999999999</v>
      </c>
      <c r="H6028">
        <v>0.81179299999999999</v>
      </c>
      <c r="I6028">
        <v>-62.48</v>
      </c>
      <c r="J6028">
        <v>-250.26660000000001</v>
      </c>
      <c r="K6028">
        <v>1.119688</v>
      </c>
      <c r="L6028">
        <v>-62.480409999999999</v>
      </c>
      <c r="M6028">
        <v>0.99905200000000005</v>
      </c>
      <c r="N6028">
        <v>-8.9803580000000008E-3</v>
      </c>
      <c r="O6028">
        <v>4.2596559999999999E-2</v>
      </c>
      <c r="P6028">
        <v>0.98093350000000001</v>
      </c>
      <c r="Q6028">
        <v>0.16307539999999901</v>
      </c>
      <c r="R6028">
        <v>0.1057152</v>
      </c>
      <c r="S6028">
        <v>3.2488100000000002</v>
      </c>
      <c r="T6028">
        <v>-1.1594599999999999</v>
      </c>
      <c r="U6028">
        <v>2.368164E-2</v>
      </c>
      <c r="V6028">
        <v>-6.3538709999999998E-2</v>
      </c>
      <c r="W6028">
        <v>0.17201920000000001</v>
      </c>
      <c r="X6028">
        <v>0.98304239999999998</v>
      </c>
      <c r="Y6028">
        <v>3.085854E-2</v>
      </c>
      <c r="Z6028">
        <v>-1.9855330000000001E-2</v>
      </c>
      <c r="AA6028">
        <v>0.99932650000000001</v>
      </c>
      <c r="AB6028">
        <v>30</v>
      </c>
      <c r="AC6028">
        <v>0.71980000000001998</v>
      </c>
      <c r="AD6028">
        <v>-0.30789499999999997</v>
      </c>
      <c r="AE6028">
        <v>4.1000000000224098E-4</v>
      </c>
      <c r="AF6028">
        <v>2.5573425780473301E-2</v>
      </c>
      <c r="AG6028">
        <v>-0.30789499999999997</v>
      </c>
      <c r="AH6028">
        <v>0.60793062388957897</v>
      </c>
      <c r="AI6028">
        <v>116.840163944493</v>
      </c>
      <c r="AJ6028">
        <v>87.591195553042397</v>
      </c>
      <c r="AK6028">
        <v>0.68193326256600895</v>
      </c>
      <c r="AL6028">
        <v>80.094760257370794</v>
      </c>
      <c r="AM6028">
        <v>93.698154837858695</v>
      </c>
      <c r="AN6028">
        <v>1.00000006651743</v>
      </c>
    </row>
    <row r="6029" spans="1:40" x14ac:dyDescent="0.25">
      <c r="A6029" t="str">
        <f>"20190303162420847"</f>
        <v>20190303162420847</v>
      </c>
      <c r="B6029" t="str">
        <f>"1551601460840530"</f>
        <v>1551601460840530</v>
      </c>
      <c r="C6029" t="s">
        <v>40</v>
      </c>
      <c r="D6029">
        <v>5.5464000000000002</v>
      </c>
      <c r="E6029">
        <v>0.53476000000000001</v>
      </c>
      <c r="F6029" t="s">
        <v>42</v>
      </c>
      <c r="G6029">
        <v>-249.5292</v>
      </c>
      <c r="H6029">
        <v>0.85604049999999998</v>
      </c>
      <c r="I6029">
        <v>-62.474359999999997</v>
      </c>
      <c r="J6029">
        <v>-250.11359999999999</v>
      </c>
      <c r="K6029">
        <v>1.119707</v>
      </c>
      <c r="L6029">
        <v>-62.474269999999997</v>
      </c>
      <c r="M6029">
        <v>0.99906989999999996</v>
      </c>
      <c r="N6029">
        <v>-8.9831230000000008E-3</v>
      </c>
      <c r="O6029">
        <v>4.2174370000000003E-2</v>
      </c>
      <c r="P6029">
        <v>0.98080780000000001</v>
      </c>
      <c r="Q6029">
        <v>0.1633965</v>
      </c>
      <c r="R6029">
        <v>0.10638350000000001</v>
      </c>
      <c r="S6029">
        <v>3.248459</v>
      </c>
      <c r="T6029">
        <v>-1.161394</v>
      </c>
      <c r="U6029">
        <v>2.7282710000000002E-2</v>
      </c>
      <c r="V6029">
        <v>-6.4632800000000004E-2</v>
      </c>
      <c r="W6029">
        <v>0.17234189999999999</v>
      </c>
      <c r="X6029">
        <v>0.98291450000000002</v>
      </c>
      <c r="Y6029">
        <v>2.9428079999999999E-2</v>
      </c>
      <c r="Z6029">
        <v>-1.9491499999999998E-2</v>
      </c>
      <c r="AA6029">
        <v>0.99937679999999995</v>
      </c>
      <c r="AB6029">
        <v>30</v>
      </c>
      <c r="AC6029">
        <v>0.58439999999998704</v>
      </c>
      <c r="AD6029">
        <v>-0.26366649999999903</v>
      </c>
      <c r="AE6029" s="1">
        <v>-9.0000000000145506E-5</v>
      </c>
      <c r="AF6029">
        <v>2.0553727505965201E-2</v>
      </c>
      <c r="AG6029">
        <v>-0.26366649999999903</v>
      </c>
      <c r="AH6029">
        <v>0.48512485795272697</v>
      </c>
      <c r="AI6029">
        <v>118.50263289966399</v>
      </c>
      <c r="AJ6029">
        <v>87.573948355913998</v>
      </c>
      <c r="AK6029">
        <v>0.55252928134198698</v>
      </c>
      <c r="AL6029">
        <v>80.075990145165704</v>
      </c>
      <c r="AM6029">
        <v>93.762141136456293</v>
      </c>
      <c r="AN6029">
        <v>1.00000002182084</v>
      </c>
    </row>
    <row r="6030" spans="1:40" x14ac:dyDescent="0.25">
      <c r="A6030" t="str">
        <f>"20190303162420857"</f>
        <v>20190303162420857</v>
      </c>
      <c r="B6030" t="str">
        <f>"1551601460851266"</f>
        <v>1551601460851266</v>
      </c>
      <c r="C6030" t="s">
        <v>40</v>
      </c>
      <c r="D6030">
        <v>5.5312199999999896</v>
      </c>
      <c r="E6030">
        <v>0.53493389999999996</v>
      </c>
      <c r="F6030" t="s">
        <v>42</v>
      </c>
      <c r="G6030">
        <v>-249.27670000000001</v>
      </c>
      <c r="H6030">
        <v>0.82112299999999905</v>
      </c>
      <c r="I6030">
        <v>-62.467089999999999</v>
      </c>
      <c r="J6030">
        <v>-249.9699</v>
      </c>
      <c r="K6030">
        <v>1.119726</v>
      </c>
      <c r="L6030">
        <v>-62.468600000000002</v>
      </c>
      <c r="M6030">
        <v>0.99908609999999998</v>
      </c>
      <c r="N6030">
        <v>-8.9857319999999997E-3</v>
      </c>
      <c r="O6030">
        <v>4.1789439999999997E-2</v>
      </c>
      <c r="P6030">
        <v>0.98055840000000005</v>
      </c>
      <c r="Q6030">
        <v>0.1645027</v>
      </c>
      <c r="R6030">
        <v>0.1069782</v>
      </c>
      <c r="S6030">
        <v>3.2487180000000002</v>
      </c>
      <c r="T6030">
        <v>-1.159063</v>
      </c>
      <c r="U6030">
        <v>2.8228759999999999E-2</v>
      </c>
      <c r="V6030">
        <v>-6.5620940000000003E-2</v>
      </c>
      <c r="W6030">
        <v>0.17344789999999999</v>
      </c>
      <c r="X6030">
        <v>0.98265440000000004</v>
      </c>
      <c r="Y6030">
        <v>2.88309E-2</v>
      </c>
      <c r="Z6030">
        <v>-1.9216710000000001E-2</v>
      </c>
      <c r="AA6030">
        <v>0.9993995</v>
      </c>
      <c r="AB6030">
        <v>30</v>
      </c>
      <c r="AC6030">
        <v>0.69319999999999005</v>
      </c>
      <c r="AD6030">
        <v>-0.29860300000000001</v>
      </c>
      <c r="AE6030">
        <v>1.5100000000032299E-3</v>
      </c>
      <c r="AF6030">
        <v>2.3162958449280902E-2</v>
      </c>
      <c r="AG6030">
        <v>-0.29860300000000001</v>
      </c>
      <c r="AH6030">
        <v>0.58424820166955804</v>
      </c>
      <c r="AI6030">
        <v>117.052860434652</v>
      </c>
      <c r="AJ6030">
        <v>87.729654819581796</v>
      </c>
      <c r="AK6030">
        <v>0.65654111478812605</v>
      </c>
      <c r="AL6030">
        <v>80.011651633496896</v>
      </c>
      <c r="AM6030">
        <v>93.820497731854502</v>
      </c>
      <c r="AN6030">
        <v>0.99999997581012601</v>
      </c>
    </row>
    <row r="6031" spans="1:40" x14ac:dyDescent="0.25">
      <c r="A6031" t="str">
        <f>"20190303162420868"</f>
        <v>20190303162420868</v>
      </c>
      <c r="B6031" t="str">
        <f>"1551601460861026"</f>
        <v>1551601460861026</v>
      </c>
      <c r="C6031" t="s">
        <v>40</v>
      </c>
      <c r="D6031">
        <v>5.5256319999999999</v>
      </c>
      <c r="E6031">
        <v>0.53502349999999999</v>
      </c>
      <c r="F6031" t="s">
        <v>42</v>
      </c>
      <c r="G6031">
        <v>-249.25800000000001</v>
      </c>
      <c r="H6031">
        <v>0.86733510000000003</v>
      </c>
      <c r="I6031">
        <v>-62.462560000000003</v>
      </c>
      <c r="J6031">
        <v>-249.82409999999999</v>
      </c>
      <c r="K6031">
        <v>1.119745</v>
      </c>
      <c r="L6031">
        <v>-62.462859999999999</v>
      </c>
      <c r="M6031">
        <v>0.99910189999999999</v>
      </c>
      <c r="N6031">
        <v>-8.9883910000000001E-3</v>
      </c>
      <c r="O6031">
        <v>4.1411009999999998E-2</v>
      </c>
      <c r="P6031">
        <v>0.98032560000000002</v>
      </c>
      <c r="Q6031">
        <v>0.165404299999999</v>
      </c>
      <c r="R6031">
        <v>0.1077188</v>
      </c>
      <c r="S6031">
        <v>3.249695</v>
      </c>
      <c r="T6031">
        <v>-1.152045</v>
      </c>
      <c r="U6031">
        <v>2.792358E-2</v>
      </c>
      <c r="V6031">
        <v>-6.6747780000000007E-2</v>
      </c>
      <c r="W6031">
        <v>0.17434949999999999</v>
      </c>
      <c r="X6031">
        <v>0.98241900000000004</v>
      </c>
      <c r="Y6031">
        <v>2.8636060000000001E-2</v>
      </c>
      <c r="Z6031">
        <v>-1.893883E-2</v>
      </c>
      <c r="AA6031">
        <v>0.99941049999999998</v>
      </c>
      <c r="AB6031">
        <v>30</v>
      </c>
      <c r="AC6031">
        <v>0.56610000000000504</v>
      </c>
      <c r="AD6031">
        <v>-0.25240990000000002</v>
      </c>
      <c r="AE6031">
        <v>3.00000000002853E-4</v>
      </c>
      <c r="AF6031">
        <v>1.9305877547961401E-2</v>
      </c>
      <c r="AG6031">
        <v>-0.25240990000000002</v>
      </c>
      <c r="AH6031">
        <v>0.47182568506797701</v>
      </c>
      <c r="AI6031">
        <v>118.125263093108</v>
      </c>
      <c r="AJ6031">
        <v>87.656913045189796</v>
      </c>
      <c r="AK6031">
        <v>0.53544649743533901</v>
      </c>
      <c r="AL6031">
        <v>79.959195276960699</v>
      </c>
      <c r="AM6031">
        <v>93.886832107184702</v>
      </c>
      <c r="AN6031">
        <v>1.0000000529230799</v>
      </c>
    </row>
    <row r="6032" spans="1:40" x14ac:dyDescent="0.25">
      <c r="A6032" t="str">
        <f>"20190303162420879"</f>
        <v>20190303162420879</v>
      </c>
      <c r="B6032" t="str">
        <f>"1551601460870786"</f>
        <v>1551601460870786</v>
      </c>
      <c r="C6032" t="s">
        <v>40</v>
      </c>
      <c r="D6032">
        <v>5.8083980000000004</v>
      </c>
      <c r="E6032">
        <v>0.53502349999999999</v>
      </c>
      <c r="F6032" t="s">
        <v>42</v>
      </c>
      <c r="G6032">
        <v>-249.00579999999999</v>
      </c>
      <c r="H6032">
        <v>0.83077529999999999</v>
      </c>
      <c r="I6032">
        <v>-62.455530000000003</v>
      </c>
      <c r="J6032">
        <v>-249.6781</v>
      </c>
      <c r="K6032">
        <v>1.1197629999999901</v>
      </c>
      <c r="L6032">
        <v>-62.457180000000001</v>
      </c>
      <c r="M6032">
        <v>0.99911700000000003</v>
      </c>
      <c r="N6032">
        <v>-8.9910549999999995E-3</v>
      </c>
      <c r="O6032">
        <v>4.1041889999999998E-2</v>
      </c>
      <c r="P6032">
        <v>0.98013589999999995</v>
      </c>
      <c r="Q6032">
        <v>0.16618829999999901</v>
      </c>
      <c r="R6032">
        <v>0.1082369</v>
      </c>
      <c r="S6032">
        <v>3.2506560000000002</v>
      </c>
      <c r="T6032">
        <v>-1.1479520000000001</v>
      </c>
      <c r="U6032">
        <v>2.9418949999999999E-2</v>
      </c>
      <c r="V6032">
        <v>-6.7642789999999994E-2</v>
      </c>
      <c r="W6032">
        <v>0.17513310000000001</v>
      </c>
      <c r="X6032">
        <v>0.98221829999999999</v>
      </c>
      <c r="Y6032">
        <v>2.7907709999999999E-2</v>
      </c>
      <c r="Z6032">
        <v>-1.8617660000000001E-2</v>
      </c>
      <c r="AA6032">
        <v>0.99943709999999997</v>
      </c>
      <c r="AB6032">
        <v>30</v>
      </c>
      <c r="AC6032">
        <v>0.672300000000007</v>
      </c>
      <c r="AD6032">
        <v>-0.28898769999999901</v>
      </c>
      <c r="AE6032">
        <v>1.65000000000503E-3</v>
      </c>
      <c r="AF6032">
        <v>2.18987502246164E-2</v>
      </c>
      <c r="AG6032">
        <v>-0.28898769999999901</v>
      </c>
      <c r="AH6032">
        <v>0.56703123409242995</v>
      </c>
      <c r="AI6032">
        <v>116.988413819388</v>
      </c>
      <c r="AJ6032">
        <v>87.7883357270657</v>
      </c>
      <c r="AK6032">
        <v>0.63680284739397497</v>
      </c>
      <c r="AL6032">
        <v>79.913595891369098</v>
      </c>
      <c r="AM6032">
        <v>93.939589325300204</v>
      </c>
      <c r="AN6032">
        <v>0.999999969304741</v>
      </c>
    </row>
    <row r="6033" spans="1:40" x14ac:dyDescent="0.25">
      <c r="A6033" t="str">
        <f>"20190303162420891"</f>
        <v>20190303162420891</v>
      </c>
      <c r="B6033" t="str">
        <f>"1551601460880546"</f>
        <v>1551601460880546</v>
      </c>
      <c r="C6033" t="s">
        <v>40</v>
      </c>
      <c r="D6033">
        <v>6.133724</v>
      </c>
      <c r="E6033">
        <v>0.53502349999999999</v>
      </c>
      <c r="F6033" t="s">
        <v>42</v>
      </c>
      <c r="G6033">
        <v>-248.98699999999999</v>
      </c>
      <c r="H6033">
        <v>0.87631320000000001</v>
      </c>
      <c r="I6033">
        <v>-62.45055</v>
      </c>
      <c r="J6033">
        <v>-249.53270000000001</v>
      </c>
      <c r="K6033">
        <v>1.1197839999999999</v>
      </c>
      <c r="L6033">
        <v>-62.451569999999997</v>
      </c>
      <c r="M6033">
        <v>0.9991314</v>
      </c>
      <c r="N6033">
        <v>-8.9937090000000008E-3</v>
      </c>
      <c r="O6033">
        <v>4.06918E-2</v>
      </c>
      <c r="P6033">
        <v>0.97999720000000001</v>
      </c>
      <c r="Q6033">
        <v>0.1667565</v>
      </c>
      <c r="R6033">
        <v>0.10861999999999999</v>
      </c>
      <c r="S6033">
        <v>3.2515260000000001</v>
      </c>
      <c r="T6033">
        <v>-1.145408</v>
      </c>
      <c r="U6033">
        <v>3.1555180000000002E-2</v>
      </c>
      <c r="V6033">
        <v>-6.8382299999999993E-2</v>
      </c>
      <c r="W6033">
        <v>0.1757011</v>
      </c>
      <c r="X6033">
        <v>0.98206570000000004</v>
      </c>
      <c r="Y6033">
        <v>2.6999479999999999E-2</v>
      </c>
      <c r="Z6033">
        <v>-1.8297219999999999E-2</v>
      </c>
      <c r="AA6033">
        <v>0.99946800000000002</v>
      </c>
      <c r="AB6033">
        <v>30</v>
      </c>
      <c r="AC6033">
        <v>0.54570000000000995</v>
      </c>
      <c r="AD6033">
        <v>-0.24347079999999999</v>
      </c>
      <c r="AE6033">
        <v>1.0199999999969101E-3</v>
      </c>
      <c r="AF6033">
        <v>1.7669885224829901E-2</v>
      </c>
      <c r="AG6033">
        <v>-0.24347079999999999</v>
      </c>
      <c r="AH6033">
        <v>0.45476408305057298</v>
      </c>
      <c r="AI6033">
        <v>118.145648622992</v>
      </c>
      <c r="AJ6033">
        <v>87.774888424704997</v>
      </c>
      <c r="AK6033">
        <v>0.51614012296015799</v>
      </c>
      <c r="AL6033">
        <v>79.880539911779906</v>
      </c>
      <c r="AM6033">
        <v>93.983138182719102</v>
      </c>
      <c r="AN6033">
        <v>1.0000000273054901</v>
      </c>
    </row>
    <row r="6034" spans="1:40" x14ac:dyDescent="0.25">
      <c r="A6034" t="str">
        <f>"20190303162421025"</f>
        <v>20190303162421025</v>
      </c>
      <c r="B6034" t="str">
        <f>"1551601461020856"</f>
        <v>1551601461020856</v>
      </c>
      <c r="C6034" t="s">
        <v>40</v>
      </c>
      <c r="D6034">
        <v>6.7780990000000001</v>
      </c>
      <c r="E6034">
        <v>0.53502349999999999</v>
      </c>
      <c r="F6034" t="s">
        <v>42</v>
      </c>
      <c r="G6034">
        <v>-247.1146</v>
      </c>
      <c r="H6034">
        <v>0.85465100000000005</v>
      </c>
      <c r="I6034">
        <v>-62.386099999999999</v>
      </c>
      <c r="J6034">
        <v>-247.72190000000001</v>
      </c>
      <c r="K6034">
        <v>1.1200619999999999</v>
      </c>
      <c r="L6034">
        <v>-62.3842199999999</v>
      </c>
      <c r="M6034">
        <v>0.99925730000000001</v>
      </c>
      <c r="N6034">
        <v>-9.0266860000000008E-3</v>
      </c>
      <c r="O6034">
        <v>3.74665E-2</v>
      </c>
      <c r="P6034">
        <v>0.98074760000000005</v>
      </c>
      <c r="Q6034">
        <v>0.16750479999999901</v>
      </c>
      <c r="R6034">
        <v>0.1003817</v>
      </c>
      <c r="S6034">
        <v>3.2525789999999999</v>
      </c>
      <c r="T6034">
        <v>-1.142822</v>
      </c>
      <c r="U6034">
        <v>1.550293E-2</v>
      </c>
      <c r="V6034">
        <v>-6.3408699999999998E-2</v>
      </c>
      <c r="W6034">
        <v>0.17643429999999999</v>
      </c>
      <c r="X6034">
        <v>0.98226789999999997</v>
      </c>
      <c r="Y6034">
        <v>2.8801179999999999E-2</v>
      </c>
      <c r="Z6034">
        <v>-1.7496270000000001E-2</v>
      </c>
      <c r="AA6034">
        <v>0.99943199999999999</v>
      </c>
      <c r="AB6034">
        <v>30</v>
      </c>
      <c r="AC6034">
        <v>0.60730000000000905</v>
      </c>
      <c r="AD6034">
        <v>-0.26541100000000001</v>
      </c>
      <c r="AE6034">
        <v>-1.88000000000698E-3</v>
      </c>
      <c r="AF6034">
        <v>2.0682674287931899E-2</v>
      </c>
      <c r="AG6034">
        <v>-0.26541100000000001</v>
      </c>
      <c r="AH6034">
        <v>0.509491630653646</v>
      </c>
      <c r="AI6034">
        <v>117.497170775547</v>
      </c>
      <c r="AJ6034">
        <v>87.6753697847316</v>
      </c>
      <c r="AK6034">
        <v>0.57484997490024503</v>
      </c>
      <c r="AL6034">
        <v>79.837863442598803</v>
      </c>
      <c r="AM6034">
        <v>93.693510701907499</v>
      </c>
      <c r="AN6034">
        <v>0.99999997641129401</v>
      </c>
    </row>
    <row r="6035" spans="1:40" x14ac:dyDescent="0.25">
      <c r="A6035" t="str">
        <f>"20190303162421036"</f>
        <v>20190303162421036</v>
      </c>
      <c r="B6035" t="str">
        <f>"1551601461030823"</f>
        <v>1551601461030823</v>
      </c>
      <c r="C6035" t="s">
        <v>40</v>
      </c>
      <c r="D6035">
        <v>6.0332059999999998</v>
      </c>
      <c r="E6035">
        <v>0.53502349999999999</v>
      </c>
      <c r="F6035" t="s">
        <v>42</v>
      </c>
      <c r="G6035">
        <v>-246.85929999999999</v>
      </c>
      <c r="H6035">
        <v>0.81710039999999995</v>
      </c>
      <c r="I6035">
        <v>-62.380989999999997</v>
      </c>
      <c r="J6035">
        <v>-247.5583</v>
      </c>
      <c r="K6035">
        <v>1.1200909999999999</v>
      </c>
      <c r="L6035">
        <v>-62.378300000000003</v>
      </c>
      <c r="M6035">
        <v>0.99926349999999997</v>
      </c>
      <c r="N6035">
        <v>-9.0322990000000006E-3</v>
      </c>
      <c r="O6035">
        <v>3.7296129999999997E-2</v>
      </c>
      <c r="P6035">
        <v>0.98098490000000005</v>
      </c>
      <c r="Q6035">
        <v>0.1673876</v>
      </c>
      <c r="R6035">
        <v>9.8236169999999998E-2</v>
      </c>
      <c r="S6035">
        <v>3.2527309999999998</v>
      </c>
      <c r="T6035">
        <v>-1.1424270000000001</v>
      </c>
      <c r="U6035">
        <v>1.248169E-2</v>
      </c>
      <c r="V6035">
        <v>-6.143705E-2</v>
      </c>
      <c r="W6035">
        <v>0.1763179</v>
      </c>
      <c r="X6035">
        <v>0.98241409999999996</v>
      </c>
      <c r="Y6035">
        <v>2.9527290000000001E-2</v>
      </c>
      <c r="Z6035">
        <v>-1.75602999999999E-2</v>
      </c>
      <c r="AA6035">
        <v>0.99940969999999996</v>
      </c>
      <c r="AB6035">
        <v>30</v>
      </c>
      <c r="AC6035">
        <v>0.69900000000001195</v>
      </c>
      <c r="AD6035">
        <v>-0.3029906</v>
      </c>
      <c r="AE6035">
        <v>-2.6900000000011901E-3</v>
      </c>
      <c r="AF6035">
        <v>2.4210364025087101E-2</v>
      </c>
      <c r="AG6035">
        <v>-0.3029906</v>
      </c>
      <c r="AH6035">
        <v>0.58794574177618997</v>
      </c>
      <c r="AI6035">
        <v>117.243999246626</v>
      </c>
      <c r="AJ6035">
        <v>87.642012943348504</v>
      </c>
      <c r="AK6035">
        <v>0.66186829557498905</v>
      </c>
      <c r="AL6035">
        <v>79.844639014538302</v>
      </c>
      <c r="AM6035">
        <v>93.578435574994103</v>
      </c>
      <c r="AN6035">
        <v>0.99999998842596105</v>
      </c>
    </row>
    <row r="6036" spans="1:40" x14ac:dyDescent="0.25">
      <c r="A6036" t="str">
        <f>"20190303162421048"</f>
        <v>20190303162421048</v>
      </c>
      <c r="B6036" t="str">
        <f>"1551601461040582"</f>
        <v>1551601461040582</v>
      </c>
      <c r="C6036" t="s">
        <v>40</v>
      </c>
      <c r="D6036">
        <v>8.6667629999999996</v>
      </c>
      <c r="E6036">
        <v>0.46648499999999998</v>
      </c>
      <c r="F6036" t="s">
        <v>42</v>
      </c>
      <c r="G6036">
        <v>-246.839</v>
      </c>
      <c r="H6036">
        <v>0.86718139999999999</v>
      </c>
      <c r="I6036">
        <v>-62.3763199999999</v>
      </c>
      <c r="J6036">
        <v>-247.41249999999999</v>
      </c>
      <c r="K6036">
        <v>1.1201159999999999</v>
      </c>
      <c r="L6036">
        <v>-62.372990000000001</v>
      </c>
      <c r="M6036">
        <v>0.9992685</v>
      </c>
      <c r="N6036">
        <v>-9.0382310000000007E-3</v>
      </c>
      <c r="O6036">
        <v>3.7163290000000002E-2</v>
      </c>
      <c r="P6036">
        <v>0.9813132</v>
      </c>
      <c r="Q6036">
        <v>0.16666929999999999</v>
      </c>
      <c r="R6036">
        <v>9.6155920000000006E-2</v>
      </c>
      <c r="S6036">
        <v>3.2523499999999999</v>
      </c>
      <c r="T6036">
        <v>-1.143554</v>
      </c>
      <c r="U6036">
        <v>9.2773439999999999E-3</v>
      </c>
      <c r="V6036">
        <v>-5.9489819999999999E-2</v>
      </c>
      <c r="W6036">
        <v>0.1756016</v>
      </c>
      <c r="X6036">
        <v>0.98266220000000004</v>
      </c>
      <c r="Y6036">
        <v>3.0328279999999999E-2</v>
      </c>
      <c r="Z6036">
        <v>-1.7675050000000001E-2</v>
      </c>
      <c r="AA6036">
        <v>0.99938369999999999</v>
      </c>
      <c r="AB6036">
        <v>30</v>
      </c>
      <c r="AC6036">
        <v>0.57349999999996704</v>
      </c>
      <c r="AD6036">
        <v>-0.25293459999999901</v>
      </c>
      <c r="AE6036">
        <v>-3.3299999999911699E-3</v>
      </c>
      <c r="AF6036">
        <v>2.0629193041091301E-2</v>
      </c>
      <c r="AG6036">
        <v>-0.25293459999999901</v>
      </c>
      <c r="AH6036">
        <v>0.47967913938248402</v>
      </c>
      <c r="AI6036">
        <v>117.78082686201699</v>
      </c>
      <c r="AJ6036">
        <v>87.537441780272502</v>
      </c>
      <c r="AK6036">
        <v>0.54267260133657702</v>
      </c>
      <c r="AL6036">
        <v>79.886330393175697</v>
      </c>
      <c r="AM6036">
        <v>93.464426174081694</v>
      </c>
      <c r="AN6036">
        <v>0.99999997995751599</v>
      </c>
    </row>
    <row r="6037" spans="1:40" x14ac:dyDescent="0.25">
      <c r="A6037" t="str">
        <f>"20190303162421058"</f>
        <v>20190303162421058</v>
      </c>
      <c r="B6037" t="str">
        <f>"1551601461051318"</f>
        <v>1551601461051318</v>
      </c>
      <c r="C6037" t="s">
        <v>40</v>
      </c>
      <c r="D6037">
        <v>5.8313309999999996</v>
      </c>
      <c r="E6037">
        <v>0.46744720000000001</v>
      </c>
      <c r="F6037" t="s">
        <v>64</v>
      </c>
      <c r="G6037">
        <v>-233.8604</v>
      </c>
      <c r="H6037" s="1">
        <v>-7.2611699999999996E-7</v>
      </c>
      <c r="I6037">
        <v>-59.916550000000001</v>
      </c>
      <c r="J6037">
        <v>-247.26939999999999</v>
      </c>
      <c r="K6037">
        <v>1.120144</v>
      </c>
      <c r="L6037">
        <v>-62.367829999999998</v>
      </c>
      <c r="M6037">
        <v>0.99927250000000001</v>
      </c>
      <c r="N6037">
        <v>-9.0449510000000007E-3</v>
      </c>
      <c r="O6037">
        <v>3.7051439999999998E-2</v>
      </c>
      <c r="P6037">
        <v>0.98161220000000005</v>
      </c>
      <c r="Q6037">
        <v>0.166026799999999</v>
      </c>
      <c r="R6037">
        <v>9.4195219999999996E-2</v>
      </c>
      <c r="S6037">
        <v>3.0457920000000001</v>
      </c>
      <c r="T6037">
        <v>-0.2517431</v>
      </c>
      <c r="U6037">
        <v>0.55206299999999997</v>
      </c>
      <c r="V6037">
        <v>-5.7642720000000001E-2</v>
      </c>
      <c r="W6037">
        <v>0.1749627</v>
      </c>
      <c r="X6037">
        <v>0.98288629999999999</v>
      </c>
      <c r="Y6037">
        <v>-0.14134539999999901</v>
      </c>
      <c r="Z6037">
        <v>3.7327480000000001E-3</v>
      </c>
      <c r="AA6037">
        <v>0.98995330000000004</v>
      </c>
      <c r="AB6037">
        <v>30</v>
      </c>
      <c r="AC6037">
        <v>13.408999999999899</v>
      </c>
      <c r="AD6037">
        <v>-1.1201447261169999</v>
      </c>
      <c r="AE6037">
        <v>2.4512800000000001</v>
      </c>
      <c r="AF6037">
        <v>-1.93965570725061</v>
      </c>
      <c r="AG6037">
        <v>-1.1201447261169999</v>
      </c>
      <c r="AH6037">
        <v>13.4001318441876</v>
      </c>
      <c r="AI6037">
        <v>94.729302585120806</v>
      </c>
      <c r="AJ6037">
        <v>98.236301721756803</v>
      </c>
      <c r="AK6037">
        <v>13.5860414364055</v>
      </c>
      <c r="AL6037">
        <v>79.923513064959593</v>
      </c>
      <c r="AM6037">
        <v>93.356345444334096</v>
      </c>
      <c r="AN6037">
        <v>1.00000005414398</v>
      </c>
    </row>
    <row r="6038" spans="1:40" x14ac:dyDescent="0.25">
      <c r="A6038" t="str">
        <f>"20190303162421069"</f>
        <v>20190303162421069</v>
      </c>
      <c r="B6038" t="str">
        <f>"1551601461061078"</f>
        <v>1551601461061078</v>
      </c>
      <c r="C6038" t="s">
        <v>40</v>
      </c>
      <c r="D6038">
        <v>5.7582570000000004</v>
      </c>
      <c r="E6038">
        <v>0.46794740000000001</v>
      </c>
      <c r="F6038" t="s">
        <v>65</v>
      </c>
      <c r="G6038">
        <v>-226.09780000000001</v>
      </c>
      <c r="H6038" s="1">
        <v>-2.128546E-6</v>
      </c>
      <c r="I6038">
        <v>-58.5991</v>
      </c>
      <c r="J6038">
        <v>-247.11770000000001</v>
      </c>
      <c r="K6038">
        <v>1.1201719999999999</v>
      </c>
      <c r="L6038">
        <v>-62.362299999999998</v>
      </c>
      <c r="M6038">
        <v>0.99927589999999999</v>
      </c>
      <c r="N6038">
        <v>-9.0523099999999992E-3</v>
      </c>
      <c r="O6038">
        <v>3.6957799999999999E-2</v>
      </c>
      <c r="P6038">
        <v>0.98186119999999999</v>
      </c>
      <c r="Q6038">
        <v>0.16520309999999999</v>
      </c>
      <c r="R6038">
        <v>9.304287E-2</v>
      </c>
      <c r="S6038">
        <v>3.031555</v>
      </c>
      <c r="T6038">
        <v>-0.16039320000000001</v>
      </c>
      <c r="U6038">
        <v>0.53964230000000002</v>
      </c>
      <c r="V6038">
        <v>-5.6589010000000002E-2</v>
      </c>
      <c r="W6038">
        <v>0.17414250000000001</v>
      </c>
      <c r="X6038">
        <v>0.98309310000000005</v>
      </c>
      <c r="Y6038">
        <v>-0.13856019999999999</v>
      </c>
      <c r="Z6038">
        <v>2.6621650000000002E-3</v>
      </c>
      <c r="AA6038">
        <v>0.99035039999999996</v>
      </c>
      <c r="AB6038">
        <v>30</v>
      </c>
      <c r="AC6038">
        <v>21.0199</v>
      </c>
      <c r="AD6038">
        <v>-1.1201741285459901</v>
      </c>
      <c r="AE6038">
        <v>3.7631999999999901</v>
      </c>
      <c r="AF6038">
        <v>-2.9755598561324899</v>
      </c>
      <c r="AG6038">
        <v>-1.1201741285459901</v>
      </c>
      <c r="AH6038">
        <v>21.086598927980699</v>
      </c>
      <c r="AI6038">
        <v>93.011064911829195</v>
      </c>
      <c r="AJ6038">
        <v>98.032056222390096</v>
      </c>
      <c r="AK6038">
        <v>21.3249478518755</v>
      </c>
      <c r="AL6038">
        <v>79.9712390671869</v>
      </c>
      <c r="AM6038">
        <v>93.294436212483106</v>
      </c>
      <c r="AN6038">
        <v>0.99999998481331998</v>
      </c>
    </row>
    <row r="6039" spans="1:40" x14ac:dyDescent="0.25">
      <c r="A6039" t="str">
        <f>"20190303162421079"</f>
        <v>20190303162421079</v>
      </c>
      <c r="B6039" t="str">
        <f>"1551601461070838"</f>
        <v>1551601461070838</v>
      </c>
      <c r="C6039" t="s">
        <v>40</v>
      </c>
      <c r="D6039">
        <v>5.0643789999999997</v>
      </c>
      <c r="E6039">
        <v>0.4700009</v>
      </c>
      <c r="F6039" t="s">
        <v>66</v>
      </c>
      <c r="G6039">
        <v>-212.1362</v>
      </c>
      <c r="H6039" s="1">
        <v>-8.1493240000000003E-7</v>
      </c>
      <c r="I6039">
        <v>-56.192399999999999</v>
      </c>
      <c r="J6039">
        <v>-246.97839999999999</v>
      </c>
      <c r="K6039">
        <v>1.120198</v>
      </c>
      <c r="L6039">
        <v>-62.3572699999999</v>
      </c>
      <c r="M6039">
        <v>0.99927849999999996</v>
      </c>
      <c r="N6039">
        <v>-9.0591869999999998E-3</v>
      </c>
      <c r="O6039">
        <v>3.6884699999999999E-2</v>
      </c>
      <c r="P6039">
        <v>0.98215870000000005</v>
      </c>
      <c r="Q6039">
        <v>0.1641503</v>
      </c>
      <c r="R6039">
        <v>9.1755589999999998E-2</v>
      </c>
      <c r="S6039">
        <v>3.0212249999999998</v>
      </c>
      <c r="T6039">
        <v>-9.6745250000000005E-2</v>
      </c>
      <c r="U6039">
        <v>0.53286739999999999</v>
      </c>
      <c r="V6039">
        <v>-5.5377259999999998E-2</v>
      </c>
      <c r="W6039">
        <v>0.17309379999999999</v>
      </c>
      <c r="X6039">
        <v>0.98334730000000004</v>
      </c>
      <c r="Y6039">
        <v>-0.1371715</v>
      </c>
      <c r="Z6039">
        <v>1.9664079999999998E-3</v>
      </c>
      <c r="AA6039">
        <v>0.99054529999999996</v>
      </c>
      <c r="AB6039">
        <v>30</v>
      </c>
      <c r="AC6039">
        <v>34.842199999999899</v>
      </c>
      <c r="AD6039">
        <v>-1.12019881493239</v>
      </c>
      <c r="AE6039">
        <v>6.1648699999999899</v>
      </c>
      <c r="AF6039">
        <v>-4.8705961208727597</v>
      </c>
      <c r="AG6039">
        <v>-1.12019881493239</v>
      </c>
      <c r="AH6039">
        <v>35.010796816362202</v>
      </c>
      <c r="AI6039">
        <v>91.815131136636793</v>
      </c>
      <c r="AJ6039">
        <v>97.919983316720604</v>
      </c>
      <c r="AK6039">
        <v>35.365710026439999</v>
      </c>
      <c r="AL6039">
        <v>80.032251990185202</v>
      </c>
      <c r="AM6039">
        <v>93.223210661548094</v>
      </c>
      <c r="AN6039">
        <v>1.0000000084704099</v>
      </c>
    </row>
    <row r="6040" spans="1:40" x14ac:dyDescent="0.25">
      <c r="A6040" t="str">
        <f>"20190303162421092"</f>
        <v>20190303162421092</v>
      </c>
      <c r="B6040" t="str">
        <f>"1551601461080599"</f>
        <v>1551601461080599</v>
      </c>
      <c r="C6040" t="s">
        <v>40</v>
      </c>
      <c r="D6040">
        <v>5.498024</v>
      </c>
      <c r="E6040">
        <v>0.47013490000000002</v>
      </c>
      <c r="F6040" t="s">
        <v>56</v>
      </c>
      <c r="G6040">
        <v>-203.83510000000001</v>
      </c>
      <c r="H6040" s="1">
        <v>-4.936514E-6</v>
      </c>
      <c r="I6040">
        <v>-55.026119999999999</v>
      </c>
      <c r="J6040">
        <v>-246.82259999999999</v>
      </c>
      <c r="K6040">
        <v>1.120231</v>
      </c>
      <c r="L6040">
        <v>-62.351619999999997</v>
      </c>
      <c r="M6040">
        <v>0.99928039999999996</v>
      </c>
      <c r="N6040">
        <v>-9.0687819999999992E-3</v>
      </c>
      <c r="O6040">
        <v>3.683297E-2</v>
      </c>
      <c r="P6040">
        <v>0.98241750000000005</v>
      </c>
      <c r="Q6040">
        <v>0.1632575</v>
      </c>
      <c r="R6040">
        <v>9.0570010000000006E-2</v>
      </c>
      <c r="S6040">
        <v>3.0196839999999998</v>
      </c>
      <c r="T6040">
        <v>-7.8405260000000004E-2</v>
      </c>
      <c r="U6040">
        <v>0.51312259999999998</v>
      </c>
      <c r="V6040">
        <v>-5.4249650000000003E-2</v>
      </c>
      <c r="W6040">
        <v>0.1722071</v>
      </c>
      <c r="X6040">
        <v>0.98356580000000005</v>
      </c>
      <c r="Y6040">
        <v>-0.13104370000000001</v>
      </c>
      <c r="Z6040">
        <v>1.6708929999999999E-3</v>
      </c>
      <c r="AA6040">
        <v>0.99137520000000001</v>
      </c>
      <c r="AB6040">
        <v>30</v>
      </c>
      <c r="AC6040">
        <v>42.987499999999898</v>
      </c>
      <c r="AD6040">
        <v>-1.120235936514</v>
      </c>
      <c r="AE6040">
        <v>7.3254999999999901</v>
      </c>
      <c r="AF6040">
        <v>-5.7333229075696197</v>
      </c>
      <c r="AG6040">
        <v>-1.120235936514</v>
      </c>
      <c r="AH6040">
        <v>43.199649769043297</v>
      </c>
      <c r="AI6040">
        <v>91.472532147174704</v>
      </c>
      <c r="AJ6040">
        <v>97.559937567699805</v>
      </c>
      <c r="AK6040">
        <v>43.592839552888996</v>
      </c>
      <c r="AL6040">
        <v>80.083830587585496</v>
      </c>
      <c r="AM6040">
        <v>93.157012710416197</v>
      </c>
      <c r="AN6040">
        <v>0.99999999637258596</v>
      </c>
    </row>
    <row r="6041" spans="1:40" x14ac:dyDescent="0.25">
      <c r="A6041" t="str">
        <f>"20190303162421104"</f>
        <v>20190303162421104</v>
      </c>
      <c r="B6041" t="str">
        <f>"1551601461091335"</f>
        <v>1551601461091335</v>
      </c>
      <c r="C6041" t="s">
        <v>40</v>
      </c>
      <c r="D6041">
        <v>5.0473290000000004</v>
      </c>
      <c r="E6041">
        <v>0.46915430000000002</v>
      </c>
      <c r="F6041" t="s">
        <v>56</v>
      </c>
      <c r="G6041">
        <v>-200.23519999999999</v>
      </c>
      <c r="H6041" s="1">
        <v>-6.5386109999999996E-6</v>
      </c>
      <c r="I6041">
        <v>-54.497450000000001</v>
      </c>
      <c r="J6041">
        <v>-246.66159999999999</v>
      </c>
      <c r="K6041">
        <v>1.120263</v>
      </c>
      <c r="L6041">
        <v>-62.345759999999999</v>
      </c>
      <c r="M6041">
        <v>0.9992818</v>
      </c>
      <c r="N6041">
        <v>-9.0793799999999997E-3</v>
      </c>
      <c r="O6041">
        <v>3.6790959999999998E-2</v>
      </c>
      <c r="P6041">
        <v>0.98260780000000003</v>
      </c>
      <c r="Q6041">
        <v>0.1626341</v>
      </c>
      <c r="R6041">
        <v>8.9622300000000002E-2</v>
      </c>
      <c r="S6041">
        <v>3.0188139999999999</v>
      </c>
      <c r="T6041">
        <v>-7.2590109999999999E-2</v>
      </c>
      <c r="U6041">
        <v>0.50894170000000005</v>
      </c>
      <c r="V6041">
        <v>-5.3353100000000001E-2</v>
      </c>
      <c r="W6041">
        <v>0.17159079999999999</v>
      </c>
      <c r="X6041">
        <v>0.9837226</v>
      </c>
      <c r="Y6041">
        <v>-0.12980439999999999</v>
      </c>
      <c r="Z6041">
        <v>1.597472E-3</v>
      </c>
      <c r="AA6041">
        <v>0.99153829999999998</v>
      </c>
      <c r="AB6041">
        <v>30</v>
      </c>
      <c r="AC6041">
        <v>46.426400000000001</v>
      </c>
      <c r="AD6041">
        <v>-1.120269538611</v>
      </c>
      <c r="AE6041">
        <v>7.8483099999999899</v>
      </c>
      <c r="AF6041">
        <v>-6.1313831463950503</v>
      </c>
      <c r="AG6041">
        <v>-1.120269538611</v>
      </c>
      <c r="AH6041">
        <v>46.657312926715001</v>
      </c>
      <c r="AI6041">
        <v>91.363720668487801</v>
      </c>
      <c r="AJ6041">
        <v>97.486518027583998</v>
      </c>
      <c r="AK6041">
        <v>47.071793174558799</v>
      </c>
      <c r="AL6041">
        <v>80.119676127663695</v>
      </c>
      <c r="AM6041">
        <v>93.104447737087597</v>
      </c>
      <c r="AN6041">
        <v>1.0000000548375001</v>
      </c>
    </row>
    <row r="6042" spans="1:40" x14ac:dyDescent="0.25">
      <c r="A6042" t="str">
        <f>"20190303162421114"</f>
        <v>20190303162421114</v>
      </c>
      <c r="B6042" t="str">
        <f>"1551601461100627"</f>
        <v>1551601461100627</v>
      </c>
      <c r="C6042" t="s">
        <v>40</v>
      </c>
      <c r="D6042">
        <v>5.530208</v>
      </c>
      <c r="E6042">
        <v>0.46951470000000001</v>
      </c>
      <c r="F6042" t="s">
        <v>56</v>
      </c>
      <c r="G6042">
        <v>-194.25749999999999</v>
      </c>
      <c r="H6042" s="1">
        <v>-9.1272740000000004E-6</v>
      </c>
      <c r="I6042">
        <v>-53.409779999999998</v>
      </c>
      <c r="J6042">
        <v>-246.51179999999999</v>
      </c>
      <c r="K6042">
        <v>1.120293</v>
      </c>
      <c r="L6042">
        <v>-62.340240000000001</v>
      </c>
      <c r="M6042">
        <v>0.9992818</v>
      </c>
      <c r="N6042">
        <v>-9.0907760000000001E-3</v>
      </c>
      <c r="O6042">
        <v>3.6789160000000001E-2</v>
      </c>
      <c r="P6042">
        <v>0.98277009999999998</v>
      </c>
      <c r="Q6042">
        <v>0.16220109999999999</v>
      </c>
      <c r="R6042">
        <v>8.8622179999999995E-2</v>
      </c>
      <c r="S6042">
        <v>3.0168460000000001</v>
      </c>
      <c r="T6042">
        <v>-6.4492820000000006E-2</v>
      </c>
      <c r="U6042">
        <v>0.51443479999999997</v>
      </c>
      <c r="V6042">
        <v>-5.23635E-2</v>
      </c>
      <c r="W6042">
        <v>0.17116519999999999</v>
      </c>
      <c r="X6042">
        <v>0.98384990000000005</v>
      </c>
      <c r="Y6042">
        <v>-0.13167419999999999</v>
      </c>
      <c r="Z6042">
        <v>1.552452E-3</v>
      </c>
      <c r="AA6042">
        <v>0.99129179999999995</v>
      </c>
      <c r="AB6042">
        <v>30</v>
      </c>
      <c r="AC6042">
        <v>52.254300000000001</v>
      </c>
      <c r="AD6042">
        <v>-1.1203021272739999</v>
      </c>
      <c r="AE6042">
        <v>8.9304599999999894</v>
      </c>
      <c r="AF6042">
        <v>-6.9988172699543698</v>
      </c>
      <c r="AG6042">
        <v>-1.1203021272739999</v>
      </c>
      <c r="AH6042">
        <v>52.524023722279701</v>
      </c>
      <c r="AI6042">
        <v>91.211193059903096</v>
      </c>
      <c r="AJ6042">
        <v>97.589942539485506</v>
      </c>
      <c r="AK6042">
        <v>53.000109320766398</v>
      </c>
      <c r="AL6042">
        <v>80.144427286522699</v>
      </c>
      <c r="AM6042">
        <v>93.046582070894502</v>
      </c>
      <c r="AN6042">
        <v>1.0000000437766401</v>
      </c>
    </row>
    <row r="6043" spans="1:40" x14ac:dyDescent="0.25">
      <c r="A6043" t="str">
        <f>"20190303162421126"</f>
        <v>20190303162421126</v>
      </c>
      <c r="B6043" t="str">
        <f>"1551601461121123"</f>
        <v>1551601461121123</v>
      </c>
      <c r="C6043" t="s">
        <v>40</v>
      </c>
      <c r="D6043">
        <v>5.5442130000000001</v>
      </c>
      <c r="E6043">
        <v>0.46798580000000001</v>
      </c>
      <c r="F6043" t="s">
        <v>56</v>
      </c>
      <c r="G6043">
        <v>-194.83940000000001</v>
      </c>
      <c r="H6043" s="1">
        <v>-9.1088770000000006E-6</v>
      </c>
      <c r="I6043">
        <v>-53.620260000000002</v>
      </c>
      <c r="J6043">
        <v>-246.3552</v>
      </c>
      <c r="K6043">
        <v>1.120323</v>
      </c>
      <c r="L6043">
        <v>-62.334530000000001</v>
      </c>
      <c r="M6043">
        <v>0.99928130000000004</v>
      </c>
      <c r="N6043">
        <v>-9.1034940000000002E-3</v>
      </c>
      <c r="O6043">
        <v>3.6798440000000002E-2</v>
      </c>
      <c r="P6043">
        <v>0.98290319999999998</v>
      </c>
      <c r="Q6043">
        <v>0.16175580000000001</v>
      </c>
      <c r="R6043">
        <v>8.7958120000000001E-2</v>
      </c>
      <c r="S6043">
        <v>3.017487</v>
      </c>
      <c r="T6043">
        <v>-6.5421699999999999E-2</v>
      </c>
      <c r="U6043">
        <v>0.50921629999999996</v>
      </c>
      <c r="V6043">
        <v>-5.1700820000000001E-2</v>
      </c>
      <c r="W6043">
        <v>0.1707282</v>
      </c>
      <c r="X6043">
        <v>0.98396079999999997</v>
      </c>
      <c r="Y6043">
        <v>-0.1299631</v>
      </c>
      <c r="Z6043">
        <v>1.5361839999999999E-3</v>
      </c>
      <c r="AA6043">
        <v>0.99151769999999995</v>
      </c>
      <c r="AB6043">
        <v>30</v>
      </c>
      <c r="AC6043">
        <v>51.515799999999899</v>
      </c>
      <c r="AD6043">
        <v>-1.120332108877</v>
      </c>
      <c r="AE6043">
        <v>8.7142700000000097</v>
      </c>
      <c r="AF6043">
        <v>-6.8094569588028797</v>
      </c>
      <c r="AG6043">
        <v>-1.120332108877</v>
      </c>
      <c r="AH6043">
        <v>51.777783743421899</v>
      </c>
      <c r="AI6043">
        <v>91.228954333210197</v>
      </c>
      <c r="AJ6043">
        <v>97.492149155404107</v>
      </c>
      <c r="AK6043">
        <v>52.235646234047302</v>
      </c>
      <c r="AL6043">
        <v>80.169838915752607</v>
      </c>
      <c r="AM6043">
        <v>93.007759265890698</v>
      </c>
      <c r="AN6043">
        <v>0.999999974500275</v>
      </c>
    </row>
    <row r="6044" spans="1:40" x14ac:dyDescent="0.25">
      <c r="A6044" t="str">
        <f>"20190303162421136"</f>
        <v>20190303162421136</v>
      </c>
      <c r="B6044" t="str">
        <f>"1551601461130883"</f>
        <v>1551601461130883</v>
      </c>
      <c r="C6044" t="s">
        <v>40</v>
      </c>
      <c r="D6044">
        <v>5.7037100000000001</v>
      </c>
      <c r="E6044">
        <v>0.46770810000000002</v>
      </c>
      <c r="F6044" t="s">
        <v>56</v>
      </c>
      <c r="G6044">
        <v>-202.08</v>
      </c>
      <c r="H6044" s="1">
        <v>-5.8085509999999999E-6</v>
      </c>
      <c r="I6044">
        <v>-54.701700000000002</v>
      </c>
      <c r="J6044">
        <v>-246.1985</v>
      </c>
      <c r="K6044">
        <v>1.120358</v>
      </c>
      <c r="L6044">
        <v>-62.328740000000003</v>
      </c>
      <c r="M6044">
        <v>0.99927980000000005</v>
      </c>
      <c r="N6044">
        <v>-9.1181969999999998E-3</v>
      </c>
      <c r="O6044">
        <v>3.6835470000000002E-2</v>
      </c>
      <c r="P6044">
        <v>0.98309999999999997</v>
      </c>
      <c r="Q6044">
        <v>0.16087299999999999</v>
      </c>
      <c r="R6044">
        <v>8.7373939999999997E-2</v>
      </c>
      <c r="S6044">
        <v>3.0182039999999999</v>
      </c>
      <c r="T6044">
        <v>-7.6371910000000001E-2</v>
      </c>
      <c r="U6044">
        <v>0.52032469999999997</v>
      </c>
      <c r="V6044">
        <v>-5.108741E-2</v>
      </c>
      <c r="W6044">
        <v>0.16985749999999999</v>
      </c>
      <c r="X6044">
        <v>0.98414360000000001</v>
      </c>
      <c r="Y6044">
        <v>-0.1334205</v>
      </c>
      <c r="Z6044">
        <v>1.697762E-3</v>
      </c>
      <c r="AA6044">
        <v>0.99105810000000005</v>
      </c>
      <c r="AB6044">
        <v>30</v>
      </c>
      <c r="AC6044">
        <v>44.118499999999898</v>
      </c>
      <c r="AD6044">
        <v>-1.1203638085509999</v>
      </c>
      <c r="AE6044">
        <v>7.62704</v>
      </c>
      <c r="AF6044">
        <v>-5.9929177343184596</v>
      </c>
      <c r="AG6044">
        <v>-1.1203638085509999</v>
      </c>
      <c r="AH6044">
        <v>44.341748322039301</v>
      </c>
      <c r="AI6044">
        <v>91.434324664395305</v>
      </c>
      <c r="AJ6044">
        <v>97.697053674410796</v>
      </c>
      <c r="AK6044">
        <v>44.758920030412803</v>
      </c>
      <c r="AL6044">
        <v>80.220466676638296</v>
      </c>
      <c r="AM6044">
        <v>92.971586674071006</v>
      </c>
      <c r="AN6044">
        <v>1.0000000595938501</v>
      </c>
    </row>
    <row r="6045" spans="1:40" x14ac:dyDescent="0.25">
      <c r="A6045" t="str">
        <f>"20190303162421159"</f>
        <v>20190303162421159</v>
      </c>
      <c r="B6045" t="str">
        <f>"1551601461151378"</f>
        <v>1551601461151378</v>
      </c>
      <c r="C6045" t="s">
        <v>40</v>
      </c>
      <c r="D6045">
        <v>5.7662440000000004</v>
      </c>
      <c r="E6045">
        <v>0.46679749999999998</v>
      </c>
      <c r="F6045" t="s">
        <v>56</v>
      </c>
      <c r="G6045">
        <v>-200.0959</v>
      </c>
      <c r="H6045" s="1">
        <v>-6.6123540000000004E-6</v>
      </c>
      <c r="I6045">
        <v>-54.362879999999997</v>
      </c>
      <c r="J6045">
        <v>-245.90549999999999</v>
      </c>
      <c r="K6045">
        <v>1.1204190000000001</v>
      </c>
      <c r="L6045">
        <v>-62.3178699999999</v>
      </c>
      <c r="M6045">
        <v>0.99927509999999997</v>
      </c>
      <c r="N6045">
        <v>-9.147779E-3</v>
      </c>
      <c r="O6045">
        <v>3.695731E-2</v>
      </c>
      <c r="P6045">
        <v>0.98334739999999998</v>
      </c>
      <c r="Q6045">
        <v>0.15947520000000001</v>
      </c>
      <c r="R6045">
        <v>8.7153129999999995E-2</v>
      </c>
      <c r="S6045">
        <v>3.0172270000000001</v>
      </c>
      <c r="T6045">
        <v>-7.3323250000000006E-2</v>
      </c>
      <c r="U6045">
        <v>0.52133180000000001</v>
      </c>
      <c r="V6045">
        <v>-5.0763089999999997E-2</v>
      </c>
      <c r="W6045">
        <v>0.16848339999999901</v>
      </c>
      <c r="X6045">
        <v>0.98439650000000001</v>
      </c>
      <c r="Y6045">
        <v>-0.13367770000000001</v>
      </c>
      <c r="Z6045">
        <v>1.673534E-3</v>
      </c>
      <c r="AA6045">
        <v>0.9910234</v>
      </c>
      <c r="AB6045">
        <v>30</v>
      </c>
      <c r="AC6045">
        <v>45.809599999999897</v>
      </c>
      <c r="AD6045">
        <v>-1.120425612354</v>
      </c>
      <c r="AE6045">
        <v>7.95498999999998</v>
      </c>
      <c r="AF6045">
        <v>-6.2528538205032103</v>
      </c>
      <c r="AG6045">
        <v>-1.120425612354</v>
      </c>
      <c r="AH6045">
        <v>46.045571071553297</v>
      </c>
      <c r="AI6045">
        <v>91.381229201171294</v>
      </c>
      <c r="AJ6045">
        <v>97.733294575875803</v>
      </c>
      <c r="AK6045">
        <v>46.481696932866598</v>
      </c>
      <c r="AL6045">
        <v>80.3003476540013</v>
      </c>
      <c r="AM6045">
        <v>92.951998289541606</v>
      </c>
      <c r="AN6045">
        <v>1.0000000082970699</v>
      </c>
    </row>
    <row r="6046" spans="1:40" x14ac:dyDescent="0.25">
      <c r="A6046" t="str">
        <f>"20190303162421171"</f>
        <v>20190303162421171</v>
      </c>
      <c r="B6046" t="str">
        <f>"1551601461161436"</f>
        <v>1551601461161436</v>
      </c>
      <c r="C6046" t="s">
        <v>40</v>
      </c>
      <c r="D6046">
        <v>5.7630809999999997</v>
      </c>
      <c r="E6046">
        <v>0.46654990000000002</v>
      </c>
      <c r="F6046" t="s">
        <v>56</v>
      </c>
      <c r="G6046">
        <v>-198.10480000000001</v>
      </c>
      <c r="H6046" s="1">
        <v>-9.341308E-6</v>
      </c>
      <c r="I6046">
        <v>-53.937019999999997</v>
      </c>
      <c r="J6046">
        <v>-245.751</v>
      </c>
      <c r="K6046">
        <v>1.1204449999999999</v>
      </c>
      <c r="L6046">
        <v>-62.312069999999999</v>
      </c>
      <c r="M6046">
        <v>0.99927129999999997</v>
      </c>
      <c r="N6046">
        <v>-9.1653240000000007E-3</v>
      </c>
      <c r="O6046">
        <v>3.705336E-2</v>
      </c>
      <c r="P6046">
        <v>0.98344089999999995</v>
      </c>
      <c r="Q6046">
        <v>0.15868589999999999</v>
      </c>
      <c r="R6046">
        <v>8.7536799999999998E-2</v>
      </c>
      <c r="S6046">
        <v>3.015396</v>
      </c>
      <c r="T6046">
        <v>-7.0679660000000005E-2</v>
      </c>
      <c r="U6046">
        <v>0.52868649999999995</v>
      </c>
      <c r="V6046">
        <v>-5.1060950000000001E-2</v>
      </c>
      <c r="W6046">
        <v>0.16770869999999999</v>
      </c>
      <c r="X6046">
        <v>0.98451330000000004</v>
      </c>
      <c r="Y6046">
        <v>-0.13603090000000001</v>
      </c>
      <c r="Z6046">
        <v>1.6865719999999999E-3</v>
      </c>
      <c r="AA6046">
        <v>0.99070320000000001</v>
      </c>
      <c r="AB6046">
        <v>30</v>
      </c>
      <c r="AC6046">
        <v>47.646199999999901</v>
      </c>
      <c r="AD6046">
        <v>-1.1204543413079999</v>
      </c>
      <c r="AE6046">
        <v>8.3750499999999999</v>
      </c>
      <c r="AF6046">
        <v>-6.6002318016804402</v>
      </c>
      <c r="AG6046">
        <v>-1.1204543413079999</v>
      </c>
      <c r="AH6046">
        <v>47.898120632733701</v>
      </c>
      <c r="AI6046">
        <v>91.327504632270504</v>
      </c>
      <c r="AJ6046">
        <v>97.845793921577695</v>
      </c>
      <c r="AK6046">
        <v>48.363709927121803</v>
      </c>
      <c r="AL6046">
        <v>80.345374681017503</v>
      </c>
      <c r="AM6046">
        <v>92.968937035035694</v>
      </c>
      <c r="AN6046">
        <v>0.99999993327373804</v>
      </c>
    </row>
    <row r="6047" spans="1:40" x14ac:dyDescent="0.25">
      <c r="A6047" t="str">
        <f>"20190303162421183"</f>
        <v>20190303162421183</v>
      </c>
      <c r="B6047" t="str">
        <f>"1551601461171301"</f>
        <v>1551601461171301</v>
      </c>
      <c r="C6047" t="s">
        <v>40</v>
      </c>
      <c r="D6047">
        <v>5.7640900000000004</v>
      </c>
      <c r="E6047">
        <v>0.4663236</v>
      </c>
      <c r="F6047" t="s">
        <v>56</v>
      </c>
      <c r="G6047">
        <v>-198.23310000000001</v>
      </c>
      <c r="H6047" s="1">
        <v>-9.3611999999999994E-6</v>
      </c>
      <c r="I6047">
        <v>-53.9214699999999</v>
      </c>
      <c r="J6047">
        <v>-245.57169999999999</v>
      </c>
      <c r="K6047">
        <v>1.1204809999999901</v>
      </c>
      <c r="L6047">
        <v>-62.30536</v>
      </c>
      <c r="M6047">
        <v>0.99926630000000005</v>
      </c>
      <c r="N6047">
        <v>-9.186652E-3</v>
      </c>
      <c r="O6047">
        <v>3.7179520000000001E-2</v>
      </c>
      <c r="P6047">
        <v>0.98347819999999997</v>
      </c>
      <c r="Q6047">
        <v>0.15830239999999901</v>
      </c>
      <c r="R6047">
        <v>8.7811879999999995E-2</v>
      </c>
      <c r="S6047">
        <v>3.0146329999999999</v>
      </c>
      <c r="T6047">
        <v>-7.1084019999999998E-2</v>
      </c>
      <c r="U6047">
        <v>0.53231809999999902</v>
      </c>
      <c r="V6047">
        <v>-5.1224270000000002E-2</v>
      </c>
      <c r="W6047">
        <v>0.16734250000000001</v>
      </c>
      <c r="X6047">
        <v>0.98456719999999998</v>
      </c>
      <c r="Y6047">
        <v>-0.13710510000000001</v>
      </c>
      <c r="Z6047">
        <v>1.7088330000000001E-3</v>
      </c>
      <c r="AA6047">
        <v>0.99055499999999996</v>
      </c>
      <c r="AB6047">
        <v>31</v>
      </c>
      <c r="AC6047">
        <v>47.3385999999999</v>
      </c>
      <c r="AD6047">
        <v>-1.1204903611999999</v>
      </c>
      <c r="AE6047">
        <v>8.3838899999999992</v>
      </c>
      <c r="AF6047">
        <v>-6.6143990317054504</v>
      </c>
      <c r="AG6047">
        <v>-1.1204903611999999</v>
      </c>
      <c r="AH6047">
        <v>47.591737036826999</v>
      </c>
      <c r="AI6047">
        <v>91.335875763037095</v>
      </c>
      <c r="AJ6047">
        <v>97.912401549179094</v>
      </c>
      <c r="AK6047">
        <v>48.062243054009201</v>
      </c>
      <c r="AL6047">
        <v>80.366657861886594</v>
      </c>
      <c r="AM6047">
        <v>92.978253439865</v>
      </c>
      <c r="AN6047">
        <v>1.0000000047295601</v>
      </c>
    </row>
    <row r="6048" spans="1:40" x14ac:dyDescent="0.25">
      <c r="A6048" t="str">
        <f>"20190303162421196"</f>
        <v>20190303162421196</v>
      </c>
      <c r="B6048" t="str">
        <f>"1551601461190918"</f>
        <v>1551601461190918</v>
      </c>
      <c r="C6048" t="s">
        <v>40</v>
      </c>
      <c r="D6048">
        <v>5.558236</v>
      </c>
      <c r="E6048">
        <v>0.46589160000000002</v>
      </c>
      <c r="F6048" t="s">
        <v>56</v>
      </c>
      <c r="G6048">
        <v>-197.10990000000001</v>
      </c>
      <c r="H6048" s="1">
        <v>-9.3134100000000003E-6</v>
      </c>
      <c r="I6048">
        <v>-53.697670000000002</v>
      </c>
      <c r="J6048">
        <v>-245.3912</v>
      </c>
      <c r="K6048">
        <v>1.1205149999999999</v>
      </c>
      <c r="L6048">
        <v>-62.298490000000001</v>
      </c>
      <c r="M6048">
        <v>0.99926040000000005</v>
      </c>
      <c r="N6048">
        <v>-9.2093890000000001E-3</v>
      </c>
      <c r="O6048">
        <v>3.7337059999999998E-2</v>
      </c>
      <c r="P6048">
        <v>0.98344069999999995</v>
      </c>
      <c r="Q6048">
        <v>0.15822259999999999</v>
      </c>
      <c r="R6048">
        <v>8.837486E-2</v>
      </c>
      <c r="S6048">
        <v>3.0138240000000001</v>
      </c>
      <c r="T6048">
        <v>-6.9682839999999996E-2</v>
      </c>
      <c r="U6048">
        <v>0.53530880000000003</v>
      </c>
      <c r="V6048">
        <v>-5.164593E-2</v>
      </c>
      <c r="W6048">
        <v>0.1672805</v>
      </c>
      <c r="X6048">
        <v>0.98455570000000003</v>
      </c>
      <c r="Y6048">
        <v>-0.1379486</v>
      </c>
      <c r="Z6048">
        <v>1.7083459999999999E-3</v>
      </c>
      <c r="AA6048">
        <v>0.99043789999999998</v>
      </c>
      <c r="AB6048">
        <v>31</v>
      </c>
      <c r="AC6048">
        <v>48.281299999999902</v>
      </c>
      <c r="AD6048">
        <v>-1.12052431341</v>
      </c>
      <c r="AE6048">
        <v>8.6008200000000006</v>
      </c>
      <c r="AF6048">
        <v>-6.7885203514616199</v>
      </c>
      <c r="AG6048">
        <v>-1.12052431341</v>
      </c>
      <c r="AH6048">
        <v>48.5434325259247</v>
      </c>
      <c r="AI6048">
        <v>91.309580399312907</v>
      </c>
      <c r="AJ6048">
        <v>97.960858440520397</v>
      </c>
      <c r="AK6048">
        <v>49.028608227219301</v>
      </c>
      <c r="AL6048">
        <v>80.370260915262307</v>
      </c>
      <c r="AM6048">
        <v>93.002759691350704</v>
      </c>
      <c r="AN6048">
        <v>0.99999999708415199</v>
      </c>
    </row>
    <row r="6049" spans="1:40" x14ac:dyDescent="0.25">
      <c r="A6049" t="str">
        <f>"20190303162421209"</f>
        <v>20190303162421209</v>
      </c>
      <c r="B6049" t="str">
        <f>"1551601461201303"</f>
        <v>1551601461201303</v>
      </c>
      <c r="C6049" t="s">
        <v>40</v>
      </c>
      <c r="D6049">
        <v>5.6893880000000001</v>
      </c>
      <c r="E6049">
        <v>0.46569100000000002</v>
      </c>
      <c r="F6049" t="s">
        <v>56</v>
      </c>
      <c r="G6049">
        <v>-193.9751</v>
      </c>
      <c r="H6049" s="1">
        <v>-9.222071E-6</v>
      </c>
      <c r="I6049">
        <v>-53.071469999999998</v>
      </c>
      <c r="J6049">
        <v>-245.22239999999999</v>
      </c>
      <c r="K6049">
        <v>1.1205499999999999</v>
      </c>
      <c r="L6049">
        <v>-62.292079999999999</v>
      </c>
      <c r="M6049">
        <v>0.99925419999999998</v>
      </c>
      <c r="N6049">
        <v>-9.2304039999999993E-3</v>
      </c>
      <c r="O6049">
        <v>3.7495859999999999E-2</v>
      </c>
      <c r="P6049">
        <v>0.9833961</v>
      </c>
      <c r="Q6049">
        <v>0.15833249999999999</v>
      </c>
      <c r="R6049">
        <v>8.8673260000000004E-2</v>
      </c>
      <c r="S6049">
        <v>3.0125120000000001</v>
      </c>
      <c r="T6049">
        <v>-6.5652489999999994E-2</v>
      </c>
      <c r="U6049">
        <v>0.54061890000000001</v>
      </c>
      <c r="V6049">
        <v>-5.1799730000000002E-2</v>
      </c>
      <c r="W6049">
        <v>0.16740739999999901</v>
      </c>
      <c r="X6049">
        <v>0.98452600000000001</v>
      </c>
      <c r="Y6049">
        <v>-0.13956079999999901</v>
      </c>
      <c r="Z6049">
        <v>1.6917690000000001E-3</v>
      </c>
      <c r="AA6049">
        <v>0.99021210000000004</v>
      </c>
      <c r="AB6049">
        <v>31</v>
      </c>
      <c r="AC6049">
        <v>51.247300000000003</v>
      </c>
      <c r="AD6049">
        <v>-1.1205592220709999</v>
      </c>
      <c r="AE6049">
        <v>9.2206100000000006</v>
      </c>
      <c r="AF6049">
        <v>-7.2891062874966801</v>
      </c>
      <c r="AG6049">
        <v>-1.1205592220709999</v>
      </c>
      <c r="AH6049">
        <v>51.533142472774699</v>
      </c>
      <c r="AI6049">
        <v>91.233395096763303</v>
      </c>
      <c r="AJ6049">
        <v>98.050796132471802</v>
      </c>
      <c r="AK6049">
        <v>52.058154947711003</v>
      </c>
      <c r="AL6049">
        <v>80.362885599296106</v>
      </c>
      <c r="AM6049">
        <v>93.011776065858399</v>
      </c>
      <c r="AN6049">
        <v>0.99999994713941498</v>
      </c>
    </row>
    <row r="6050" spans="1:40" x14ac:dyDescent="0.25">
      <c r="A6050" t="str">
        <f>"20190303162421221"</f>
        <v>20190303162421221</v>
      </c>
      <c r="B6050" t="str">
        <f>"1551601461210592"</f>
        <v>1551601461210592</v>
      </c>
      <c r="C6050" t="s">
        <v>40</v>
      </c>
      <c r="D6050">
        <v>5.7549720000000004</v>
      </c>
      <c r="E6050">
        <v>0.46564670000000002</v>
      </c>
      <c r="F6050" t="s">
        <v>56</v>
      </c>
      <c r="G6050">
        <v>-191.822</v>
      </c>
      <c r="H6050" s="1">
        <v>-9.1546539999999998E-6</v>
      </c>
      <c r="I6050">
        <v>-52.665300000000002</v>
      </c>
      <c r="J6050">
        <v>-245.04769999999999</v>
      </c>
      <c r="K6050">
        <v>1.120579</v>
      </c>
      <c r="L6050">
        <v>-62.285369999999901</v>
      </c>
      <c r="M6050">
        <v>0.99924740000000001</v>
      </c>
      <c r="N6050">
        <v>-9.2519060000000007E-3</v>
      </c>
      <c r="O6050">
        <v>3.7671339999999998E-2</v>
      </c>
      <c r="P6050">
        <v>0.98324529999999999</v>
      </c>
      <c r="Q6050">
        <v>0.15891079999999999</v>
      </c>
      <c r="R6050">
        <v>8.9308369999999998E-2</v>
      </c>
      <c r="S6050">
        <v>3.0118870000000002</v>
      </c>
      <c r="T6050">
        <v>-6.3201670000000001E-2</v>
      </c>
      <c r="U6050">
        <v>0.54296880000000003</v>
      </c>
      <c r="V6050">
        <v>-5.2277900000000002E-2</v>
      </c>
      <c r="W6050">
        <v>0.1680025</v>
      </c>
      <c r="X6050">
        <v>0.98439940000000004</v>
      </c>
      <c r="Y6050">
        <v>-0.1401733</v>
      </c>
      <c r="Z6050">
        <v>1.675317E-3</v>
      </c>
      <c r="AA6050">
        <v>0.99012560000000005</v>
      </c>
      <c r="AB6050">
        <v>31</v>
      </c>
      <c r="AC6050">
        <v>53.225699999999897</v>
      </c>
      <c r="AD6050">
        <v>-1.120588154654</v>
      </c>
      <c r="AE6050">
        <v>9.6200699999999895</v>
      </c>
      <c r="AF6050">
        <v>-7.6048075577092504</v>
      </c>
      <c r="AG6050">
        <v>-1.120588154654</v>
      </c>
      <c r="AH6050">
        <v>53.527357208498898</v>
      </c>
      <c r="AI6050">
        <v>91.1873841596083</v>
      </c>
      <c r="AJ6050">
        <v>98.086084105977903</v>
      </c>
      <c r="AK6050">
        <v>54.076490136919702</v>
      </c>
      <c r="AL6050">
        <v>80.328299541291102</v>
      </c>
      <c r="AM6050">
        <v>93.039916434275497</v>
      </c>
      <c r="AN6050">
        <v>0.99999999877751</v>
      </c>
    </row>
    <row r="6051" spans="1:40" x14ac:dyDescent="0.25">
      <c r="A6051" t="str">
        <f>"20190303162421230"</f>
        <v>20190303162421230</v>
      </c>
      <c r="B6051" t="str">
        <f>"1551601461221328"</f>
        <v>1551601461221328</v>
      </c>
      <c r="C6051" t="s">
        <v>40</v>
      </c>
      <c r="D6051">
        <v>5.8693589999999896</v>
      </c>
      <c r="E6051">
        <v>0.46576849999999997</v>
      </c>
      <c r="F6051" t="s">
        <v>56</v>
      </c>
      <c r="G6051">
        <v>-187.16640000000001</v>
      </c>
      <c r="H6051" s="1">
        <v>-1.0809339999999999E-5</v>
      </c>
      <c r="I6051">
        <v>-51.810389999999998</v>
      </c>
      <c r="J6051">
        <v>-244.92609999999999</v>
      </c>
      <c r="K6051">
        <v>1.1205969999999901</v>
      </c>
      <c r="L6051">
        <v>-62.280669999999901</v>
      </c>
      <c r="M6051">
        <v>0.99924239999999998</v>
      </c>
      <c r="N6051">
        <v>-9.2661310000000004E-3</v>
      </c>
      <c r="O6051">
        <v>3.78029E-2</v>
      </c>
      <c r="P6051">
        <v>0.98316400000000004</v>
      </c>
      <c r="Q6051">
        <v>0.15936449999999999</v>
      </c>
      <c r="R6051">
        <v>8.9396989999999996E-2</v>
      </c>
      <c r="S6051">
        <v>3.011063</v>
      </c>
      <c r="T6051">
        <v>-5.8294529999999997E-2</v>
      </c>
      <c r="U6051">
        <v>0.54492189999999996</v>
      </c>
      <c r="V6051">
        <v>-5.2246000000000001E-2</v>
      </c>
      <c r="W6051">
        <v>0.16846739999999999</v>
      </c>
      <c r="X6051">
        <v>0.98432169999999997</v>
      </c>
      <c r="Y6051">
        <v>-0.14071689999999901</v>
      </c>
      <c r="Z6051">
        <v>1.631012E-3</v>
      </c>
      <c r="AA6051">
        <v>0.9900485</v>
      </c>
      <c r="AB6051">
        <v>31</v>
      </c>
      <c r="AC6051">
        <v>57.759699999999903</v>
      </c>
      <c r="AD6051">
        <v>-1.12060780933999</v>
      </c>
      <c r="AE6051">
        <v>10.470279999999899</v>
      </c>
      <c r="AF6051">
        <v>-8.2762016641636595</v>
      </c>
      <c r="AG6051">
        <v>-1.12060780933999</v>
      </c>
      <c r="AH6051">
        <v>58.093063629910198</v>
      </c>
      <c r="AI6051">
        <v>91.094047270109797</v>
      </c>
      <c r="AJ6051">
        <v>98.108056620877406</v>
      </c>
      <c r="AK6051">
        <v>58.690334108412202</v>
      </c>
      <c r="AL6051">
        <v>80.301278179198903</v>
      </c>
      <c r="AM6051">
        <v>93.038304320058003</v>
      </c>
      <c r="AN6051">
        <v>1.0000000592348199</v>
      </c>
    </row>
    <row r="6052" spans="1:40" x14ac:dyDescent="0.25">
      <c r="A6052" t="str">
        <f>"20190303162421240"</f>
        <v>20190303162421240</v>
      </c>
      <c r="B6052" t="str">
        <f>"1551601461231088"</f>
        <v>1551601461231088</v>
      </c>
      <c r="C6052" t="s">
        <v>40</v>
      </c>
      <c r="D6052">
        <v>5.8776010000000003</v>
      </c>
      <c r="E6052">
        <v>0.46614420000000001</v>
      </c>
      <c r="F6052" t="s">
        <v>56</v>
      </c>
      <c r="G6052">
        <v>-183.47919999999999</v>
      </c>
      <c r="H6052" s="1">
        <v>-1.128275E-5</v>
      </c>
      <c r="I6052">
        <v>-51.173630000000003</v>
      </c>
      <c r="J6052">
        <v>-244.77950000000001</v>
      </c>
      <c r="K6052">
        <v>1.120617</v>
      </c>
      <c r="L6052">
        <v>-62.275019999999998</v>
      </c>
      <c r="M6052">
        <v>0.99923609999999896</v>
      </c>
      <c r="N6052">
        <v>-9.2831440000000001E-3</v>
      </c>
      <c r="O6052">
        <v>3.796273E-2</v>
      </c>
      <c r="P6052">
        <v>0.98309219999999997</v>
      </c>
      <c r="Q6052">
        <v>0.1596349</v>
      </c>
      <c r="R6052">
        <v>8.9703729999999995E-2</v>
      </c>
      <c r="S6052">
        <v>3.0107569999999999</v>
      </c>
      <c r="T6052">
        <v>-5.4907320000000003E-2</v>
      </c>
      <c r="U6052">
        <v>0.54422000000000004</v>
      </c>
      <c r="V6052">
        <v>-5.240392E-2</v>
      </c>
      <c r="W6052">
        <v>0.16875219999999999</v>
      </c>
      <c r="X6052">
        <v>0.98426440000000004</v>
      </c>
      <c r="Y6052">
        <v>-0.1403558</v>
      </c>
      <c r="Z6052">
        <v>1.59019E-3</v>
      </c>
      <c r="AA6052">
        <v>0.99009979999999997</v>
      </c>
      <c r="AB6052">
        <v>31</v>
      </c>
      <c r="AC6052">
        <v>61.3003</v>
      </c>
      <c r="AD6052">
        <v>-1.12062828275</v>
      </c>
      <c r="AE6052">
        <v>11.10139</v>
      </c>
      <c r="AF6052">
        <v>-8.7633244258477792</v>
      </c>
      <c r="AG6052">
        <v>-1.12062828275</v>
      </c>
      <c r="AH6052">
        <v>61.657614193823797</v>
      </c>
      <c r="AI6052">
        <v>91.030879351029895</v>
      </c>
      <c r="AJ6052">
        <v>98.089203395457801</v>
      </c>
      <c r="AK6052">
        <v>62.287342621235503</v>
      </c>
      <c r="AL6052">
        <v>80.284722178859496</v>
      </c>
      <c r="AM6052">
        <v>93.047647763543395</v>
      </c>
      <c r="AN6052">
        <v>0.99999994247178103</v>
      </c>
    </row>
    <row r="6053" spans="1:40" x14ac:dyDescent="0.25">
      <c r="A6053" t="str">
        <f>"20190303162421252"</f>
        <v>20190303162421252</v>
      </c>
      <c r="B6053" t="str">
        <f>"1551601461240849"</f>
        <v>1551601461240849</v>
      </c>
      <c r="C6053" t="s">
        <v>40</v>
      </c>
      <c r="D6053">
        <v>5.8313009999999998</v>
      </c>
      <c r="E6053">
        <v>0.46635009999999999</v>
      </c>
      <c r="F6053" t="s">
        <v>56</v>
      </c>
      <c r="G6053">
        <v>-184.3519</v>
      </c>
      <c r="H6053" s="1">
        <v>-1.119412E-5</v>
      </c>
      <c r="I6053">
        <v>-51.392960000000002</v>
      </c>
      <c r="J6053">
        <v>-244.6327</v>
      </c>
      <c r="K6053">
        <v>1.120628</v>
      </c>
      <c r="L6053">
        <v>-62.269289999999998</v>
      </c>
      <c r="M6053">
        <v>0.99922960000000005</v>
      </c>
      <c r="N6053">
        <v>-9.2992869999999998E-3</v>
      </c>
      <c r="O6053">
        <v>3.8130150000000002E-2</v>
      </c>
      <c r="P6053">
        <v>0.98308580000000001</v>
      </c>
      <c r="Q6053">
        <v>0.15975139999999999</v>
      </c>
      <c r="R6053">
        <v>8.9564729999999995E-2</v>
      </c>
      <c r="S6053">
        <v>3.0111849999999998</v>
      </c>
      <c r="T6053">
        <v>-5.5842280000000001E-2</v>
      </c>
      <c r="U6053">
        <v>0.54226680000000005</v>
      </c>
      <c r="V6053">
        <v>-5.2104709999999999E-2</v>
      </c>
      <c r="W6053">
        <v>0.16888339999999999</v>
      </c>
      <c r="X6053">
        <v>0.98425790000000002</v>
      </c>
      <c r="Y6053">
        <v>-0.13954259999999999</v>
      </c>
      <c r="Z6053">
        <v>1.58899E-3</v>
      </c>
      <c r="AA6053">
        <v>0.99021479999999995</v>
      </c>
      <c r="AB6053">
        <v>31</v>
      </c>
      <c r="AC6053">
        <v>60.280799999999999</v>
      </c>
      <c r="AD6053">
        <v>-1.12063919412</v>
      </c>
      <c r="AE6053">
        <v>10.876329999999999</v>
      </c>
      <c r="AF6053">
        <v>-8.5669373291495905</v>
      </c>
      <c r="AG6053">
        <v>-1.12063919412</v>
      </c>
      <c r="AH6053">
        <v>60.631399321917002</v>
      </c>
      <c r="AI6053">
        <v>91.048455170128804</v>
      </c>
      <c r="AJ6053">
        <v>98.042391141779504</v>
      </c>
      <c r="AK6053">
        <v>61.243896276598299</v>
      </c>
      <c r="AL6053">
        <v>80.277096649253195</v>
      </c>
      <c r="AM6053">
        <v>93.030299146184205</v>
      </c>
      <c r="AN6053">
        <v>1.00000005865607</v>
      </c>
    </row>
    <row r="6054" spans="1:40" x14ac:dyDescent="0.25">
      <c r="A6054" t="str">
        <f>"20190303162421263"</f>
        <v>20190303162421263</v>
      </c>
      <c r="B6054" t="str">
        <f>"1551601461250609"</f>
        <v>1551601461250609</v>
      </c>
      <c r="C6054" t="s">
        <v>40</v>
      </c>
      <c r="D6054">
        <v>5.8835129999999998</v>
      </c>
      <c r="E6054">
        <v>0.46660869999999999</v>
      </c>
      <c r="F6054" t="s">
        <v>56</v>
      </c>
      <c r="G6054">
        <v>-188.31399999999999</v>
      </c>
      <c r="H6054" s="1">
        <v>-1.07095E-5</v>
      </c>
      <c r="I6054">
        <v>-52.161029999999997</v>
      </c>
      <c r="J6054">
        <v>-244.47640000000001</v>
      </c>
      <c r="K6054">
        <v>1.120638</v>
      </c>
      <c r="L6054">
        <v>-62.263179999999998</v>
      </c>
      <c r="M6054">
        <v>0.99922259999999996</v>
      </c>
      <c r="N6054">
        <v>-9.3162399999999999E-3</v>
      </c>
      <c r="O6054">
        <v>3.8309719999999998E-2</v>
      </c>
      <c r="P6054">
        <v>0.9832149</v>
      </c>
      <c r="Q6054">
        <v>0.15895970000000001</v>
      </c>
      <c r="R6054">
        <v>8.9560050000000002E-2</v>
      </c>
      <c r="S6054">
        <v>3.0120849999999999</v>
      </c>
      <c r="T6054">
        <v>-5.9934969999999997E-2</v>
      </c>
      <c r="U6054">
        <v>0.54061890000000001</v>
      </c>
      <c r="V6054">
        <v>-5.1922540000000003E-2</v>
      </c>
      <c r="W6054">
        <v>0.16810829999999999</v>
      </c>
      <c r="X6054">
        <v>0.98440019999999995</v>
      </c>
      <c r="Y6054">
        <v>-0.13878450000000001</v>
      </c>
      <c r="Z6054">
        <v>1.6204469999999999E-3</v>
      </c>
      <c r="AA6054">
        <v>0.99032129999999996</v>
      </c>
      <c r="AB6054">
        <v>31</v>
      </c>
      <c r="AC6054">
        <v>56.162399999999899</v>
      </c>
      <c r="AD6054">
        <v>-1.1206487095</v>
      </c>
      <c r="AE6054">
        <v>10.10215</v>
      </c>
      <c r="AF6054">
        <v>-7.9400123126813797</v>
      </c>
      <c r="AG6054">
        <v>-1.1206487095</v>
      </c>
      <c r="AH6054">
        <v>56.486410384221998</v>
      </c>
      <c r="AI6054">
        <v>91.125495114416793</v>
      </c>
      <c r="AJ6054">
        <v>98.001357783929194</v>
      </c>
      <c r="AK6054">
        <v>57.052731811459999</v>
      </c>
      <c r="AL6054">
        <v>80.322150711193601</v>
      </c>
      <c r="AM6054">
        <v>93.019288460425003</v>
      </c>
      <c r="AN6054">
        <v>1.0000000522244801</v>
      </c>
    </row>
    <row r="6055" spans="1:40" x14ac:dyDescent="0.25">
      <c r="A6055" t="str">
        <f>"20190303162421275"</f>
        <v>20190303162421275</v>
      </c>
      <c r="B6055" t="str">
        <f>"1551601461261345"</f>
        <v>1551601461261345</v>
      </c>
      <c r="C6055" t="s">
        <v>40</v>
      </c>
      <c r="D6055">
        <v>5.8169879999999896</v>
      </c>
      <c r="E6055">
        <v>0.46687529999999999</v>
      </c>
      <c r="F6055" t="s">
        <v>56</v>
      </c>
      <c r="G6055">
        <v>-194.31549999999999</v>
      </c>
      <c r="H6055" s="1">
        <v>-9.1759350000000004E-6</v>
      </c>
      <c r="I6055">
        <v>-53.291879999999999</v>
      </c>
      <c r="J6055">
        <v>-244.31450000000001</v>
      </c>
      <c r="K6055">
        <v>1.1206370000000001</v>
      </c>
      <c r="L6055">
        <v>-62.256810000000002</v>
      </c>
      <c r="M6055">
        <v>0.99921519999999997</v>
      </c>
      <c r="N6055">
        <v>-9.332679E-3</v>
      </c>
      <c r="O6055">
        <v>3.8499980000000003E-2</v>
      </c>
      <c r="P6055">
        <v>0.98343659999999999</v>
      </c>
      <c r="Q6055">
        <v>0.15782360000000001</v>
      </c>
      <c r="R6055">
        <v>8.9130070000000006E-2</v>
      </c>
      <c r="S6055">
        <v>3.0130159999999999</v>
      </c>
      <c r="T6055">
        <v>-6.7313910000000005E-2</v>
      </c>
      <c r="U6055">
        <v>0.53887940000000001</v>
      </c>
      <c r="V6055">
        <v>-5.1299200000000003E-2</v>
      </c>
      <c r="W6055">
        <v>0.1669899</v>
      </c>
      <c r="X6055">
        <v>0.98462309999999997</v>
      </c>
      <c r="Y6055">
        <v>-0.13798160000000001</v>
      </c>
      <c r="Z6055">
        <v>1.682539E-3</v>
      </c>
      <c r="AA6055">
        <v>0.99043340000000002</v>
      </c>
      <c r="AB6055">
        <v>31</v>
      </c>
      <c r="AC6055">
        <v>49.999000000000002</v>
      </c>
      <c r="AD6055">
        <v>-1.1206461759349999</v>
      </c>
      <c r="AE6055">
        <v>8.9649299999999794</v>
      </c>
      <c r="AF6055">
        <v>-7.0298173506450796</v>
      </c>
      <c r="AG6055">
        <v>-1.1206461759349999</v>
      </c>
      <c r="AH6055">
        <v>50.282619022251097</v>
      </c>
      <c r="AI6055">
        <v>91.264443371808596</v>
      </c>
      <c r="AJ6055">
        <v>97.958714560715407</v>
      </c>
      <c r="AK6055">
        <v>50.784012795090597</v>
      </c>
      <c r="AL6055">
        <v>80.387148075362504</v>
      </c>
      <c r="AM6055">
        <v>92.982433092950401</v>
      </c>
      <c r="AN6055">
        <v>0.99999994183812801</v>
      </c>
    </row>
    <row r="6056" spans="1:40" x14ac:dyDescent="0.25">
      <c r="A6056" t="str">
        <f>"20190303162421287"</f>
        <v>20190303162421287</v>
      </c>
      <c r="B6056" t="str">
        <f>"1551601461281840"</f>
        <v>1551601461281840</v>
      </c>
      <c r="C6056" t="s">
        <v>40</v>
      </c>
      <c r="D6056">
        <v>5.9329499999999999</v>
      </c>
      <c r="E6056">
        <v>0.46730690000000003</v>
      </c>
      <c r="F6056" t="s">
        <v>56</v>
      </c>
      <c r="G6056">
        <v>-199.57599999999999</v>
      </c>
      <c r="H6056" s="1">
        <v>-9.3773799999999997E-6</v>
      </c>
      <c r="I6056">
        <v>-54.305700000000002</v>
      </c>
      <c r="J6056">
        <v>-244.13990000000001</v>
      </c>
      <c r="K6056">
        <v>1.1206400000000001</v>
      </c>
      <c r="L6056">
        <v>-62.24991</v>
      </c>
      <c r="M6056">
        <v>0.99920699999999996</v>
      </c>
      <c r="N6056">
        <v>-9.3498680000000008E-3</v>
      </c>
      <c r="O6056">
        <v>3.8706150000000002E-2</v>
      </c>
      <c r="P6056">
        <v>0.98368259999999996</v>
      </c>
      <c r="Q6056">
        <v>0.15639690000000001</v>
      </c>
      <c r="R6056">
        <v>8.8931389999999999E-2</v>
      </c>
      <c r="S6056">
        <v>3.014084</v>
      </c>
      <c r="T6056">
        <v>-7.5499300000000005E-2</v>
      </c>
      <c r="U6056">
        <v>0.53567500000000001</v>
      </c>
      <c r="V6056">
        <v>-5.0889839999999999E-2</v>
      </c>
      <c r="W6056">
        <v>0.1655817</v>
      </c>
      <c r="X6056">
        <v>0.98488220000000004</v>
      </c>
      <c r="Y6056">
        <v>-0.13668739999999999</v>
      </c>
      <c r="Z6056">
        <v>1.7410590000000001E-3</v>
      </c>
      <c r="AA6056">
        <v>0.99061270000000001</v>
      </c>
      <c r="AB6056">
        <v>31</v>
      </c>
      <c r="AC6056">
        <v>44.563899999999997</v>
      </c>
      <c r="AD6056">
        <v>-1.1206493773799999</v>
      </c>
      <c r="AE6056">
        <v>7.9442099999999902</v>
      </c>
      <c r="AF6056">
        <v>-6.2094784015864697</v>
      </c>
      <c r="AG6056">
        <v>-1.1206493773799999</v>
      </c>
      <c r="AH6056">
        <v>44.810541515354501</v>
      </c>
      <c r="AI6056">
        <v>91.419035361347198</v>
      </c>
      <c r="AJ6056">
        <v>97.889339166599498</v>
      </c>
      <c r="AK6056">
        <v>45.252603327831899</v>
      </c>
      <c r="AL6056">
        <v>80.468971848793799</v>
      </c>
      <c r="AM6056">
        <v>92.957899197128995</v>
      </c>
      <c r="AN6056">
        <v>1.00000001153347</v>
      </c>
    </row>
    <row r="6057" spans="1:40" x14ac:dyDescent="0.25">
      <c r="A6057" t="str">
        <f>"20190303162421298"</f>
        <v>20190303162421298</v>
      </c>
      <c r="B6057" t="str">
        <f>"1551601461290898"</f>
        <v>1551601461290898</v>
      </c>
      <c r="C6057" t="s">
        <v>40</v>
      </c>
      <c r="D6057">
        <v>5.8099629999999998</v>
      </c>
      <c r="E6057">
        <v>0.46752830000000001</v>
      </c>
      <c r="F6057" t="s">
        <v>56</v>
      </c>
      <c r="G6057">
        <v>-206.20179999999999</v>
      </c>
      <c r="H6057" s="1">
        <v>-3.5657149999999998E-6</v>
      </c>
      <c r="I6057">
        <v>-55.560070000000003</v>
      </c>
      <c r="J6057">
        <v>-243.9853</v>
      </c>
      <c r="K6057">
        <v>1.1206389999999999</v>
      </c>
      <c r="L6057">
        <v>-62.243769999999998</v>
      </c>
      <c r="M6057">
        <v>0.99919970000000002</v>
      </c>
      <c r="N6057">
        <v>-9.3643890000000007E-3</v>
      </c>
      <c r="O6057">
        <v>3.8889409999999999E-2</v>
      </c>
      <c r="P6057">
        <v>0.98389230000000005</v>
      </c>
      <c r="Q6057">
        <v>0.15507950000000001</v>
      </c>
      <c r="R6057">
        <v>8.8920299999999994E-2</v>
      </c>
      <c r="S6057">
        <v>3.0158390000000002</v>
      </c>
      <c r="T6057">
        <v>-8.9084029999999995E-2</v>
      </c>
      <c r="U6057">
        <v>0.53179929999999997</v>
      </c>
      <c r="V6057">
        <v>-5.069063E-2</v>
      </c>
      <c r="W6057">
        <v>0.16427990000000001</v>
      </c>
      <c r="X6057">
        <v>0.9851105</v>
      </c>
      <c r="Y6057">
        <v>-0.13515669999999999</v>
      </c>
      <c r="Z6057">
        <v>1.8415409999999999E-3</v>
      </c>
      <c r="AA6057">
        <v>0.9908226</v>
      </c>
      <c r="AB6057">
        <v>31</v>
      </c>
      <c r="AC6057">
        <v>37.783499999999997</v>
      </c>
      <c r="AD6057">
        <v>-1.1206425657150001</v>
      </c>
      <c r="AE6057">
        <v>6.6837</v>
      </c>
      <c r="AF6057">
        <v>-5.20476145634498</v>
      </c>
      <c r="AG6057">
        <v>-1.1206425657150001</v>
      </c>
      <c r="AH6057">
        <v>37.982452614857998</v>
      </c>
      <c r="AI6057">
        <v>91.674339180203702</v>
      </c>
      <c r="AJ6057">
        <v>97.802683958694502</v>
      </c>
      <c r="AK6057">
        <v>38.353775410218503</v>
      </c>
      <c r="AL6057">
        <v>80.5445956254664</v>
      </c>
      <c r="AM6057">
        <v>92.945659228476998</v>
      </c>
      <c r="AN6057">
        <v>1.0000000613620199</v>
      </c>
    </row>
    <row r="6058" spans="1:40" x14ac:dyDescent="0.25">
      <c r="A6058" t="str">
        <f>"20190303162421309"</f>
        <v>20190303162421309</v>
      </c>
      <c r="B6058" t="str">
        <f>"1551601461300817"</f>
        <v>1551601461300817</v>
      </c>
      <c r="C6058" t="s">
        <v>40</v>
      </c>
      <c r="D6058">
        <v>5.86754</v>
      </c>
      <c r="E6058">
        <v>0.46767300000000001</v>
      </c>
      <c r="F6058" t="s">
        <v>56</v>
      </c>
      <c r="G6058">
        <v>-209.0067</v>
      </c>
      <c r="H6058" s="1">
        <v>-1.7448800000000001E-6</v>
      </c>
      <c r="I6058">
        <v>-56.091839999999998</v>
      </c>
      <c r="J6058">
        <v>-243.84219999999999</v>
      </c>
      <c r="K6058">
        <v>1.1206419999999999</v>
      </c>
      <c r="L6058">
        <v>-62.238069999999901</v>
      </c>
      <c r="M6058">
        <v>0.99919279999999999</v>
      </c>
      <c r="N6058">
        <v>-9.3771180000000003E-3</v>
      </c>
      <c r="O6058">
        <v>3.9058780000000001E-2</v>
      </c>
      <c r="P6058">
        <v>0.98411179999999998</v>
      </c>
      <c r="Q6058">
        <v>0.1538254</v>
      </c>
      <c r="R6058">
        <v>8.8666190000000006E-2</v>
      </c>
      <c r="S6058">
        <v>3.0164029999999999</v>
      </c>
      <c r="T6058">
        <v>-9.6639390000000006E-2</v>
      </c>
      <c r="U6058">
        <v>0.53051759999999903</v>
      </c>
      <c r="V6058">
        <v>-5.0261430000000003E-2</v>
      </c>
      <c r="W6058">
        <v>0.1630404</v>
      </c>
      <c r="X6058">
        <v>0.9853383</v>
      </c>
      <c r="Y6058">
        <v>-0.1345394</v>
      </c>
      <c r="Z6058">
        <v>1.8976209999999999E-3</v>
      </c>
      <c r="AA6058">
        <v>0.99090639999999997</v>
      </c>
      <c r="AB6058">
        <v>31</v>
      </c>
      <c r="AC6058">
        <v>34.835500000000003</v>
      </c>
      <c r="AD6058">
        <v>-1.12064374488</v>
      </c>
      <c r="AE6058">
        <v>6.1462299999999797</v>
      </c>
      <c r="AF6058">
        <v>-4.7760539402614901</v>
      </c>
      <c r="AG6058">
        <v>-1.12064374488</v>
      </c>
      <c r="AH6058">
        <v>35.0138487402143</v>
      </c>
      <c r="AI6058">
        <v>91.816358895136801</v>
      </c>
      <c r="AJ6058">
        <v>97.767476481399598</v>
      </c>
      <c r="AK6058">
        <v>35.355850113465401</v>
      </c>
      <c r="AL6058">
        <v>80.616583561847506</v>
      </c>
      <c r="AM6058">
        <v>92.9200874792881</v>
      </c>
      <c r="AN6058">
        <v>0.999999974412347</v>
      </c>
    </row>
    <row r="6059" spans="1:40" x14ac:dyDescent="0.25">
      <c r="A6059" t="str">
        <f>"20190303162421319"</f>
        <v>20190303162421319</v>
      </c>
      <c r="B6059" t="str">
        <f>"1551601461310576"</f>
        <v>1551601461310576</v>
      </c>
      <c r="C6059" t="s">
        <v>40</v>
      </c>
      <c r="D6059">
        <v>5.8665849999999997</v>
      </c>
      <c r="E6059">
        <v>0.46778039999999999</v>
      </c>
      <c r="F6059" t="s">
        <v>66</v>
      </c>
      <c r="G6059">
        <v>-211.19909999999999</v>
      </c>
      <c r="H6059" s="1">
        <v>-4.1062969999999999E-7</v>
      </c>
      <c r="I6059">
        <v>-56.51343</v>
      </c>
      <c r="J6059">
        <v>-243.69810000000001</v>
      </c>
      <c r="K6059">
        <v>1.1206419999999999</v>
      </c>
      <c r="L6059">
        <v>-62.2322699999999</v>
      </c>
      <c r="M6059">
        <v>0.99918620000000002</v>
      </c>
      <c r="N6059">
        <v>-9.3895490000000005E-3</v>
      </c>
      <c r="O6059">
        <v>3.922863E-2</v>
      </c>
      <c r="P6059">
        <v>0.98426449999999999</v>
      </c>
      <c r="Q6059">
        <v>0.1530203</v>
      </c>
      <c r="R6059">
        <v>8.8365079999999999E-2</v>
      </c>
      <c r="S6059">
        <v>3.0169679999999999</v>
      </c>
      <c r="T6059">
        <v>-0.1035732</v>
      </c>
      <c r="U6059">
        <v>0.52908330000000003</v>
      </c>
      <c r="V6059">
        <v>-4.9787829999999998E-2</v>
      </c>
      <c r="W6059">
        <v>0.162249</v>
      </c>
      <c r="X6059">
        <v>0.98549299999999995</v>
      </c>
      <c r="Y6059">
        <v>-0.13387349999999901</v>
      </c>
      <c r="Z6059">
        <v>1.9445249999999999E-3</v>
      </c>
      <c r="AA6059">
        <v>0.99099649999999995</v>
      </c>
      <c r="AB6059">
        <v>31</v>
      </c>
      <c r="AC6059">
        <v>32.499000000000002</v>
      </c>
      <c r="AD6059">
        <v>-1.1206424106296999</v>
      </c>
      <c r="AE6059">
        <v>5.7188399999999797</v>
      </c>
      <c r="AF6059">
        <v>-4.4343759625288</v>
      </c>
      <c r="AG6059">
        <v>-1.1206424106296999</v>
      </c>
      <c r="AH6059">
        <v>32.660665967302599</v>
      </c>
      <c r="AI6059">
        <v>91.947291580075401</v>
      </c>
      <c r="AJ6059">
        <v>97.731835760567193</v>
      </c>
      <c r="AK6059">
        <v>32.979366746759602</v>
      </c>
      <c r="AL6059">
        <v>80.662539690262903</v>
      </c>
      <c r="AM6059">
        <v>92.892165924013995</v>
      </c>
      <c r="AN6059">
        <v>1.0000000095330499</v>
      </c>
    </row>
    <row r="6060" spans="1:40" x14ac:dyDescent="0.25">
      <c r="A6060" t="str">
        <f>"20190303162421331"</f>
        <v>20190303162421331</v>
      </c>
      <c r="B6060" t="str">
        <f>"1551601461321312"</f>
        <v>1551601461321312</v>
      </c>
      <c r="C6060" t="s">
        <v>40</v>
      </c>
      <c r="D6060">
        <v>5.9870229999999998</v>
      </c>
      <c r="E6060">
        <v>0.46799390000000002</v>
      </c>
      <c r="F6060" t="s">
        <v>66</v>
      </c>
      <c r="G6060">
        <v>-212.601</v>
      </c>
      <c r="H6060" s="1">
        <v>-8.1333530000000005E-7</v>
      </c>
      <c r="I6060">
        <v>-56.792929999999998</v>
      </c>
      <c r="J6060">
        <v>-243.5504</v>
      </c>
      <c r="K6060">
        <v>1.1206400000000001</v>
      </c>
      <c r="L6060">
        <v>-62.226320000000001</v>
      </c>
      <c r="M6060">
        <v>0.99917929999999999</v>
      </c>
      <c r="N6060">
        <v>-9.4014979999999995E-3</v>
      </c>
      <c r="O6060">
        <v>3.9401449999999998E-2</v>
      </c>
      <c r="P6060">
        <v>0.98431860000000004</v>
      </c>
      <c r="Q6060">
        <v>0.15276960000000001</v>
      </c>
      <c r="R6060">
        <v>8.8197929999999994E-2</v>
      </c>
      <c r="S6060">
        <v>3.0175019999999999</v>
      </c>
      <c r="T6060">
        <v>-0.10874159999999999</v>
      </c>
      <c r="U6060">
        <v>0.52780150000000003</v>
      </c>
      <c r="V6060">
        <v>-4.9448619999999999E-2</v>
      </c>
      <c r="W6060">
        <v>0.1620104</v>
      </c>
      <c r="X6060">
        <v>0.98554929999999996</v>
      </c>
      <c r="Y6060">
        <v>-0.13325719999999999</v>
      </c>
      <c r="Z6060">
        <v>1.974305E-3</v>
      </c>
      <c r="AA6060">
        <v>0.9910795</v>
      </c>
      <c r="AB6060">
        <v>31</v>
      </c>
      <c r="AC6060">
        <v>30.949400000000001</v>
      </c>
      <c r="AD6060">
        <v>-1.1206408133353001</v>
      </c>
      <c r="AE6060">
        <v>5.4333899999999797</v>
      </c>
      <c r="AF6060">
        <v>-4.2043179612130697</v>
      </c>
      <c r="AG6060">
        <v>-1.1206408133353001</v>
      </c>
      <c r="AH6060">
        <v>31.099902086091099</v>
      </c>
      <c r="AI6060">
        <v>92.045092116826297</v>
      </c>
      <c r="AJ6060">
        <v>97.698998085983902</v>
      </c>
      <c r="AK6060">
        <v>31.402802981834999</v>
      </c>
      <c r="AL6060">
        <v>80.676393474967796</v>
      </c>
      <c r="AM6060">
        <v>92.872330573638806</v>
      </c>
      <c r="AN6060">
        <v>0.99999997922927697</v>
      </c>
    </row>
    <row r="6061" spans="1:40" x14ac:dyDescent="0.25">
      <c r="A6061" t="str">
        <f>"20190303162421341"</f>
        <v>20190303162421341</v>
      </c>
      <c r="B6061" t="str">
        <f>"1551601461331073"</f>
        <v>1551601461331073</v>
      </c>
      <c r="C6061" t="s">
        <v>40</v>
      </c>
      <c r="D6061">
        <v>5.924283</v>
      </c>
      <c r="E6061">
        <v>0.4681323</v>
      </c>
      <c r="F6061" t="s">
        <v>66</v>
      </c>
      <c r="G6061">
        <v>-213.07419999999999</v>
      </c>
      <c r="H6061" s="1">
        <v>-9.4235320000000003E-7</v>
      </c>
      <c r="I6061">
        <v>-56.91319</v>
      </c>
      <c r="J6061">
        <v>-243.39660000000001</v>
      </c>
      <c r="K6061">
        <v>1.120638</v>
      </c>
      <c r="L6061">
        <v>-62.220089999999999</v>
      </c>
      <c r="M6061">
        <v>0.99917210000000001</v>
      </c>
      <c r="N6061">
        <v>-9.4136600000000008E-3</v>
      </c>
      <c r="O6061">
        <v>3.9581180000000001E-2</v>
      </c>
      <c r="P6061">
        <v>0.98442439999999998</v>
      </c>
      <c r="Q6061">
        <v>0.1521885</v>
      </c>
      <c r="R6061">
        <v>8.8019819999999999E-2</v>
      </c>
      <c r="S6061">
        <v>3.0178829999999999</v>
      </c>
      <c r="T6061">
        <v>-0.1109705</v>
      </c>
      <c r="U6061">
        <v>0.52612300000000001</v>
      </c>
      <c r="V6061">
        <v>-4.908904E-2</v>
      </c>
      <c r="W6061">
        <v>0.161442899999999</v>
      </c>
      <c r="X6061">
        <v>0.98566039999999999</v>
      </c>
      <c r="Y6061">
        <v>-0.1325201</v>
      </c>
      <c r="Z6061">
        <v>1.973678E-3</v>
      </c>
      <c r="AA6061">
        <v>0.99117829999999996</v>
      </c>
      <c r="AB6061">
        <v>31</v>
      </c>
      <c r="AC6061">
        <v>30.322399999999998</v>
      </c>
      <c r="AD6061">
        <v>-1.1206389423531999</v>
      </c>
      <c r="AE6061">
        <v>5.30689999999999</v>
      </c>
      <c r="AF6061">
        <v>-4.0970617966916096</v>
      </c>
      <c r="AG6061">
        <v>-1.1206389423531999</v>
      </c>
      <c r="AH6061">
        <v>30.468320183926298</v>
      </c>
      <c r="AI6061">
        <v>92.087642786753193</v>
      </c>
      <c r="AJ6061">
        <v>97.658598026267697</v>
      </c>
      <c r="AK6061">
        <v>30.762969327346799</v>
      </c>
      <c r="AL6061">
        <v>80.709342630901205</v>
      </c>
      <c r="AM6061">
        <v>92.851157307770393</v>
      </c>
      <c r="AN6061">
        <v>0.999999983968345</v>
      </c>
    </row>
    <row r="6062" spans="1:40" x14ac:dyDescent="0.25">
      <c r="A6062" t="str">
        <f>"20190303162421353"</f>
        <v>20190303162421353</v>
      </c>
      <c r="B6062" t="str">
        <f>"1551601461340834"</f>
        <v>1551601461340834</v>
      </c>
      <c r="C6062" t="s">
        <v>40</v>
      </c>
      <c r="D6062">
        <v>5.8676009999999996</v>
      </c>
      <c r="E6062">
        <v>0.46828209999999998</v>
      </c>
      <c r="F6062" t="s">
        <v>66</v>
      </c>
      <c r="G6062">
        <v>-214.03790000000001</v>
      </c>
      <c r="H6062" s="1">
        <v>-1.281087E-6</v>
      </c>
      <c r="I6062">
        <v>-57.115049999999997</v>
      </c>
      <c r="J6062">
        <v>-243.24109999999999</v>
      </c>
      <c r="K6062">
        <v>1.1206400000000001</v>
      </c>
      <c r="L6062">
        <v>-62.21378</v>
      </c>
      <c r="M6062">
        <v>0.99916479999999996</v>
      </c>
      <c r="N6062">
        <v>-9.4273310000000006E-3</v>
      </c>
      <c r="O6062">
        <v>3.976085E-2</v>
      </c>
      <c r="P6062">
        <v>0.98441579999999995</v>
      </c>
      <c r="Q6062">
        <v>0.15228910000000001</v>
      </c>
      <c r="R6062">
        <v>8.7942380000000001E-2</v>
      </c>
      <c r="S6062">
        <v>3.0183559999999998</v>
      </c>
      <c r="T6062">
        <v>-0.1152126</v>
      </c>
      <c r="U6062">
        <v>0.52484129999999996</v>
      </c>
      <c r="V6062">
        <v>-4.8835259999999998E-2</v>
      </c>
      <c r="W6062">
        <v>0.16155630000000001</v>
      </c>
      <c r="X6062">
        <v>0.98565440000000004</v>
      </c>
      <c r="Y6062">
        <v>-0.1319015</v>
      </c>
      <c r="Z6062">
        <v>1.9924890000000001E-3</v>
      </c>
      <c r="AA6062">
        <v>0.99126080000000005</v>
      </c>
      <c r="AB6062">
        <v>31</v>
      </c>
      <c r="AC6062">
        <v>29.203199999999899</v>
      </c>
      <c r="AD6062">
        <v>-1.1206412810869999</v>
      </c>
      <c r="AE6062">
        <v>5.0987299999999998</v>
      </c>
      <c r="AF6062">
        <v>-3.92788915030077</v>
      </c>
      <c r="AG6062">
        <v>-1.1206412810869999</v>
      </c>
      <c r="AH6062">
        <v>29.3409155350753</v>
      </c>
      <c r="AI6062">
        <v>92.167959381567002</v>
      </c>
      <c r="AJ6062">
        <v>97.624892759657001</v>
      </c>
      <c r="AK6062">
        <v>29.623866636452899</v>
      </c>
      <c r="AL6062">
        <v>80.702758623583705</v>
      </c>
      <c r="AM6062">
        <v>92.836458796292007</v>
      </c>
      <c r="AN6062">
        <v>0.99999995846415701</v>
      </c>
    </row>
    <row r="6063" spans="1:40" x14ac:dyDescent="0.25">
      <c r="A6063" t="str">
        <f>"20190303162421365"</f>
        <v>20190303162421365</v>
      </c>
      <c r="B6063" t="str">
        <f>"1551601461350593"</f>
        <v>1551601461350593</v>
      </c>
      <c r="C6063" t="s">
        <v>40</v>
      </c>
      <c r="D6063">
        <v>5.8640160000000003</v>
      </c>
      <c r="E6063">
        <v>0.46842289999999998</v>
      </c>
      <c r="F6063" t="s">
        <v>66</v>
      </c>
      <c r="G6063">
        <v>-214.273</v>
      </c>
      <c r="H6063" s="1">
        <v>-1.3692979999999999E-6</v>
      </c>
      <c r="I6063">
        <v>-57.186390000000003</v>
      </c>
      <c r="J6063">
        <v>-243.08109999999999</v>
      </c>
      <c r="K6063">
        <v>1.120644</v>
      </c>
      <c r="L6063">
        <v>-62.207239999999999</v>
      </c>
      <c r="M6063">
        <v>0.99915730000000003</v>
      </c>
      <c r="N6063">
        <v>-9.4416840000000005E-3</v>
      </c>
      <c r="O6063">
        <v>3.9945330000000001E-2</v>
      </c>
      <c r="P6063">
        <v>0.98445859999999996</v>
      </c>
      <c r="Q6063">
        <v>0.15221860000000001</v>
      </c>
      <c r="R6063">
        <v>8.7583910000000001E-2</v>
      </c>
      <c r="S6063">
        <v>3.0187529999999998</v>
      </c>
      <c r="T6063">
        <v>-0.1167815</v>
      </c>
      <c r="U6063">
        <v>0.52389529999999995</v>
      </c>
      <c r="V6063">
        <v>-4.8293780000000001E-2</v>
      </c>
      <c r="W6063">
        <v>0.161500799999999</v>
      </c>
      <c r="X6063">
        <v>0.98569019999999996</v>
      </c>
      <c r="Y6063">
        <v>-0.13139310000000001</v>
      </c>
      <c r="Z6063">
        <v>1.9899100000000001E-3</v>
      </c>
      <c r="AA6063">
        <v>0.9913284</v>
      </c>
      <c r="AB6063">
        <v>31</v>
      </c>
      <c r="AC6063">
        <v>28.8081</v>
      </c>
      <c r="AD6063">
        <v>-1.1206453692980001</v>
      </c>
      <c r="AE6063">
        <v>5.0208500000000003</v>
      </c>
      <c r="AF6063">
        <v>-3.8603725796205302</v>
      </c>
      <c r="AG6063">
        <v>-1.1206453692980001</v>
      </c>
      <c r="AH6063">
        <v>28.943166967108802</v>
      </c>
      <c r="AI6063">
        <v>92.197873450646398</v>
      </c>
      <c r="AJ6063">
        <v>97.597140077709696</v>
      </c>
      <c r="AK6063">
        <v>29.220972546839601</v>
      </c>
      <c r="AL6063">
        <v>80.705981092943503</v>
      </c>
      <c r="AM6063">
        <v>92.804957247413597</v>
      </c>
      <c r="AN6063">
        <v>0.99999998398168399</v>
      </c>
    </row>
    <row r="6064" spans="1:40" x14ac:dyDescent="0.25">
      <c r="A6064" t="str">
        <f>"20190303162421377"</f>
        <v>20190303162421377</v>
      </c>
      <c r="B6064" t="str">
        <f>"1551601461371088"</f>
        <v>1551601461371088</v>
      </c>
      <c r="C6064" t="s">
        <v>40</v>
      </c>
      <c r="D6064">
        <v>5.8659739999999996</v>
      </c>
      <c r="E6064">
        <v>0.46866229999999998</v>
      </c>
      <c r="F6064" t="s">
        <v>66</v>
      </c>
      <c r="G6064">
        <v>-214.63839999999999</v>
      </c>
      <c r="H6064" s="1">
        <v>-1.5078500000000001E-6</v>
      </c>
      <c r="I6064">
        <v>-57.288899999999998</v>
      </c>
      <c r="J6064">
        <v>-242.89940000000001</v>
      </c>
      <c r="K6064">
        <v>1.120641</v>
      </c>
      <c r="L6064">
        <v>-62.199770000000001</v>
      </c>
      <c r="M6064">
        <v>0.99914879999999995</v>
      </c>
      <c r="N6064">
        <v>-9.4588829999999995E-3</v>
      </c>
      <c r="O6064">
        <v>4.015341E-2</v>
      </c>
      <c r="P6064">
        <v>0.98456149999999998</v>
      </c>
      <c r="Q6064">
        <v>0.15160309999999999</v>
      </c>
      <c r="R6064">
        <v>8.7494370000000002E-2</v>
      </c>
      <c r="S6064">
        <v>3.0193020000000002</v>
      </c>
      <c r="T6064">
        <v>-0.1189607</v>
      </c>
      <c r="U6064">
        <v>0.52209470000000002</v>
      </c>
      <c r="V6064">
        <v>-4.7995360000000001E-2</v>
      </c>
      <c r="W6064">
        <v>0.16090360000000001</v>
      </c>
      <c r="X6064">
        <v>0.98580250000000003</v>
      </c>
      <c r="Y6064">
        <v>-0.1305799</v>
      </c>
      <c r="Z6064">
        <v>1.9841189999999999E-3</v>
      </c>
      <c r="AA6064">
        <v>0.99143579999999998</v>
      </c>
      <c r="AB6064">
        <v>31</v>
      </c>
      <c r="AC6064">
        <v>28.260999999999999</v>
      </c>
      <c r="AD6064">
        <v>-1.12064250785</v>
      </c>
      <c r="AE6064">
        <v>4.9108699999999903</v>
      </c>
      <c r="AF6064">
        <v>-3.7663343731824299</v>
      </c>
      <c r="AG6064">
        <v>-1.12064250785</v>
      </c>
      <c r="AH6064">
        <v>28.392068434055801</v>
      </c>
      <c r="AI6064">
        <v>92.240697637050403</v>
      </c>
      <c r="AJ6064">
        <v>97.556422550273794</v>
      </c>
      <c r="AK6064">
        <v>28.662705109691299</v>
      </c>
      <c r="AL6064">
        <v>80.740652154622893</v>
      </c>
      <c r="AM6064">
        <v>92.787335040671906</v>
      </c>
      <c r="AN6064">
        <v>1.00000004604036</v>
      </c>
    </row>
    <row r="6065" spans="1:40" x14ac:dyDescent="0.25">
      <c r="A6065" t="str">
        <f>"20190303162421392"</f>
        <v>20190303162421392</v>
      </c>
      <c r="B6065" t="str">
        <f>"1551601461380848"</f>
        <v>1551601461380848</v>
      </c>
      <c r="C6065" t="s">
        <v>40</v>
      </c>
      <c r="D6065">
        <v>5.8700799999999997</v>
      </c>
      <c r="E6065">
        <v>0.46883380000000002</v>
      </c>
      <c r="F6065" t="s">
        <v>66</v>
      </c>
      <c r="G6065">
        <v>-215.69370000000001</v>
      </c>
      <c r="H6065" s="1">
        <v>-1.9208509999999998E-6</v>
      </c>
      <c r="I6065">
        <v>-57.51285</v>
      </c>
      <c r="J6065">
        <v>-242.70609999999999</v>
      </c>
      <c r="K6065">
        <v>1.1206400000000001</v>
      </c>
      <c r="L6065">
        <v>-62.191769999999998</v>
      </c>
      <c r="M6065">
        <v>0.99913980000000002</v>
      </c>
      <c r="N6065">
        <v>-9.4767289999999997E-3</v>
      </c>
      <c r="O6065">
        <v>4.0373640000000002E-2</v>
      </c>
      <c r="P6065">
        <v>0.98465270000000005</v>
      </c>
      <c r="Q6065">
        <v>0.15103469999999999</v>
      </c>
      <c r="R6065">
        <v>8.7451730000000005E-2</v>
      </c>
      <c r="S6065">
        <v>3.0199579999999999</v>
      </c>
      <c r="T6065">
        <v>-0.1243968</v>
      </c>
      <c r="U6065">
        <v>0.5202637</v>
      </c>
      <c r="V6065">
        <v>-4.7731759999999998E-2</v>
      </c>
      <c r="W6065">
        <v>0.160353</v>
      </c>
      <c r="X6065">
        <v>0.98590500000000003</v>
      </c>
      <c r="Y6065">
        <v>-0.12973419999999999</v>
      </c>
      <c r="Z6065">
        <v>2.002551E-3</v>
      </c>
      <c r="AA6065">
        <v>0.99154679999999995</v>
      </c>
      <c r="AB6065">
        <v>31</v>
      </c>
      <c r="AC6065">
        <v>27.0123999999999</v>
      </c>
      <c r="AD6065">
        <v>-1.1206419208509999</v>
      </c>
      <c r="AE6065">
        <v>4.67891999999999</v>
      </c>
      <c r="AF6065">
        <v>-3.5784873717254002</v>
      </c>
      <c r="AG6065">
        <v>-1.1206419208509999</v>
      </c>
      <c r="AH6065">
        <v>27.133946985988601</v>
      </c>
      <c r="AI6065">
        <v>92.344712689832704</v>
      </c>
      <c r="AJ6065">
        <v>97.512942073835404</v>
      </c>
      <c r="AK6065">
        <v>27.391832527649701</v>
      </c>
      <c r="AL6065">
        <v>80.772614156815493</v>
      </c>
      <c r="AM6065">
        <v>92.7717626418127</v>
      </c>
      <c r="AN6065">
        <v>1.00000003727334</v>
      </c>
    </row>
    <row r="6066" spans="1:40" x14ac:dyDescent="0.25">
      <c r="A6066" t="str">
        <f>"20190303162421407"</f>
        <v>20190303162421407</v>
      </c>
      <c r="B6066" t="str">
        <f>"1551601461401345"</f>
        <v>1551601461401345</v>
      </c>
      <c r="C6066" t="s">
        <v>40</v>
      </c>
      <c r="D6066">
        <v>5.5207499999999996</v>
      </c>
      <c r="E6066">
        <v>0.46901290000000001</v>
      </c>
      <c r="F6066" t="s">
        <v>66</v>
      </c>
      <c r="G6066">
        <v>-216.12739999999999</v>
      </c>
      <c r="H6066" s="1">
        <v>-2.0873520000000001E-6</v>
      </c>
      <c r="I6066">
        <v>-57.623159999999999</v>
      </c>
      <c r="J6066">
        <v>-242.49799999999999</v>
      </c>
      <c r="K6066">
        <v>1.120638</v>
      </c>
      <c r="L6066">
        <v>-62.183169999999997</v>
      </c>
      <c r="M6066">
        <v>0.99912999999999996</v>
      </c>
      <c r="N6066">
        <v>-9.4962320000000003E-3</v>
      </c>
      <c r="O6066">
        <v>4.0610189999999997E-2</v>
      </c>
      <c r="P6066">
        <v>0.98501099999999997</v>
      </c>
      <c r="Q6066">
        <v>0.1490831</v>
      </c>
      <c r="R6066">
        <v>8.6763370000000006E-2</v>
      </c>
      <c r="S6066">
        <v>3.020187</v>
      </c>
      <c r="T6066">
        <v>-0.12734100000000001</v>
      </c>
      <c r="U6066">
        <v>0.51913450000000005</v>
      </c>
      <c r="V6066">
        <v>-4.679498E-2</v>
      </c>
      <c r="W6066">
        <v>0.15842479999999901</v>
      </c>
      <c r="X6066">
        <v>0.98626150000000001</v>
      </c>
      <c r="Y6066">
        <v>-0.12912299999999999</v>
      </c>
      <c r="Z6066">
        <v>2.0049270000000001E-3</v>
      </c>
      <c r="AA6066">
        <v>0.99162660000000002</v>
      </c>
      <c r="AB6066">
        <v>31</v>
      </c>
      <c r="AC6066">
        <v>26.3706</v>
      </c>
      <c r="AD6066">
        <v>-1.1206400873519999</v>
      </c>
      <c r="AE6066">
        <v>4.5600099999999903</v>
      </c>
      <c r="AF6066">
        <v>-3.4791840321815801</v>
      </c>
      <c r="AG6066">
        <v>-1.1206400873519999</v>
      </c>
      <c r="AH6066">
        <v>26.487590233641502</v>
      </c>
      <c r="AI6066">
        <v>92.402023577212702</v>
      </c>
      <c r="AJ6066">
        <v>97.483045830199401</v>
      </c>
      <c r="AK6066">
        <v>26.738604902284401</v>
      </c>
      <c r="AL6066">
        <v>80.884521897702797</v>
      </c>
      <c r="AM6066">
        <v>92.716465794975804</v>
      </c>
      <c r="AN6066">
        <v>0.99999996689524395</v>
      </c>
    </row>
    <row r="6067" spans="1:40" x14ac:dyDescent="0.25">
      <c r="A6067" t="str">
        <f>"20190303162421433"</f>
        <v>20190303162421433</v>
      </c>
      <c r="B6067" t="str">
        <f>"1551601461420865"</f>
        <v>1551601461420865</v>
      </c>
      <c r="C6067" t="s">
        <v>40</v>
      </c>
      <c r="D6067">
        <v>5.8610550000000003</v>
      </c>
      <c r="E6067">
        <v>0.4691517</v>
      </c>
      <c r="F6067" t="s">
        <v>66</v>
      </c>
      <c r="G6067">
        <v>-217.3459</v>
      </c>
      <c r="H6067" s="1">
        <v>-2.5628019999999999E-6</v>
      </c>
      <c r="I6067">
        <v>-57.889560000000003</v>
      </c>
      <c r="J6067">
        <v>-242.13409999999999</v>
      </c>
      <c r="K6067">
        <v>1.120638</v>
      </c>
      <c r="L6067">
        <v>-62.167940000000002</v>
      </c>
      <c r="M6067">
        <v>0.99911269999999996</v>
      </c>
      <c r="N6067">
        <v>-9.5338769999999996E-3</v>
      </c>
      <c r="O6067">
        <v>4.1023329999999997E-2</v>
      </c>
      <c r="P6067">
        <v>0.98517010000000005</v>
      </c>
      <c r="Q6067">
        <v>0.1483814</v>
      </c>
      <c r="R6067">
        <v>8.6157139999999993E-2</v>
      </c>
      <c r="S6067">
        <v>3.0205989999999998</v>
      </c>
      <c r="T6067">
        <v>-0.13458100000000001</v>
      </c>
      <c r="U6067">
        <v>0.515625</v>
      </c>
      <c r="V6067">
        <v>-4.577465E-2</v>
      </c>
      <c r="W6067">
        <v>0.1577624</v>
      </c>
      <c r="X6067">
        <v>0.98641559999999995</v>
      </c>
      <c r="Y6067">
        <v>-0.1275616</v>
      </c>
      <c r="Z6067">
        <v>2.0095360000000001E-3</v>
      </c>
      <c r="AA6067">
        <v>0.99182859999999995</v>
      </c>
      <c r="AB6067">
        <v>31</v>
      </c>
      <c r="AC6067">
        <v>24.7881999999999</v>
      </c>
      <c r="AD6067">
        <v>-1.120640562802</v>
      </c>
      <c r="AE6067">
        <v>4.2783800000000003</v>
      </c>
      <c r="AF6067">
        <v>-3.2513843446251398</v>
      </c>
      <c r="AG6067">
        <v>-1.120640562802</v>
      </c>
      <c r="AH6067">
        <v>24.893446558943101</v>
      </c>
      <c r="AI6067">
        <v>92.555892308440093</v>
      </c>
      <c r="AJ6067">
        <v>97.441395094073002</v>
      </c>
      <c r="AK6067">
        <v>25.1298829486018</v>
      </c>
      <c r="AL6067">
        <v>80.922958428811498</v>
      </c>
      <c r="AM6067">
        <v>92.656906570241105</v>
      </c>
      <c r="AN6067">
        <v>1.00000001467987</v>
      </c>
    </row>
    <row r="6068" spans="1:40" x14ac:dyDescent="0.25">
      <c r="A6068" t="str">
        <f>"20190303162421445"</f>
        <v>20190303162421445</v>
      </c>
      <c r="B6068" t="str">
        <f>"1551601461441361"</f>
        <v>1551601461441361</v>
      </c>
      <c r="C6068" t="s">
        <v>40</v>
      </c>
      <c r="D6068">
        <v>5.8702589999999999</v>
      </c>
      <c r="E6068">
        <v>0.46946290000000002</v>
      </c>
      <c r="F6068" t="s">
        <v>66</v>
      </c>
      <c r="G6068">
        <v>-217.5051</v>
      </c>
      <c r="H6068" s="1">
        <v>-2.613277E-6</v>
      </c>
      <c r="I6068">
        <v>-57.990139999999997</v>
      </c>
      <c r="J6068">
        <v>-241.95830000000001</v>
      </c>
      <c r="K6068">
        <v>1.12064599999999</v>
      </c>
      <c r="L6068">
        <v>-62.160519999999998</v>
      </c>
      <c r="M6068">
        <v>0.9991044</v>
      </c>
      <c r="N6068">
        <v>-9.5525309999999995E-3</v>
      </c>
      <c r="O6068">
        <v>4.1222620000000001E-2</v>
      </c>
      <c r="P6068">
        <v>0.98519159999999995</v>
      </c>
      <c r="Q6068">
        <v>0.14848459999999999</v>
      </c>
      <c r="R6068">
        <v>8.5733149999999994E-2</v>
      </c>
      <c r="S6068">
        <v>3.0210569999999999</v>
      </c>
      <c r="T6068">
        <v>-0.13746059999999999</v>
      </c>
      <c r="U6068">
        <v>0.5124512</v>
      </c>
      <c r="V6068">
        <v>-4.5152869999999998E-2</v>
      </c>
      <c r="W6068">
        <v>0.15788429999999901</v>
      </c>
      <c r="X6068">
        <v>0.98642470000000004</v>
      </c>
      <c r="Y6068">
        <v>-0.12632309999999999</v>
      </c>
      <c r="Z6068">
        <v>1.9919500000000001E-3</v>
      </c>
      <c r="AA6068">
        <v>0.99198719999999996</v>
      </c>
      <c r="AB6068">
        <v>31</v>
      </c>
      <c r="AC6068">
        <v>24.453199999999999</v>
      </c>
      <c r="AD6068">
        <v>-1.1206486132769899</v>
      </c>
      <c r="AE6068">
        <v>4.17037999999999</v>
      </c>
      <c r="AF6068">
        <v>-3.1523304052340602</v>
      </c>
      <c r="AG6068">
        <v>-1.1206486132769899</v>
      </c>
      <c r="AH6068">
        <v>24.5542223296267</v>
      </c>
      <c r="AI6068">
        <v>92.591908464743696</v>
      </c>
      <c r="AJ6068">
        <v>97.315752936973496</v>
      </c>
      <c r="AK6068">
        <v>24.781099138475302</v>
      </c>
      <c r="AL6068">
        <v>80.915884941158296</v>
      </c>
      <c r="AM6068">
        <v>92.620843000931799</v>
      </c>
      <c r="AN6068">
        <v>0.99999996131290703</v>
      </c>
    </row>
    <row r="6069" spans="1:40" x14ac:dyDescent="0.25">
      <c r="A6069" t="str">
        <f>"20190303162421459"</f>
        <v>20190303162421459</v>
      </c>
      <c r="B6069" t="str">
        <f>"1551601461451121"</f>
        <v>1551601461451121</v>
      </c>
      <c r="C6069" t="s">
        <v>40</v>
      </c>
      <c r="D6069">
        <v>5.7367900000000001</v>
      </c>
      <c r="E6069">
        <v>0.46954659999999898</v>
      </c>
      <c r="F6069" t="s">
        <v>66</v>
      </c>
      <c r="G6069">
        <v>-217.58369999999999</v>
      </c>
      <c r="H6069" s="1">
        <v>-2.6352880000000001E-6</v>
      </c>
      <c r="I6069">
        <v>-58.056159999999998</v>
      </c>
      <c r="J6069">
        <v>-241.756</v>
      </c>
      <c r="K6069">
        <v>1.120649</v>
      </c>
      <c r="L6069">
        <v>-62.151949999999999</v>
      </c>
      <c r="M6069">
        <v>0.9990947</v>
      </c>
      <c r="N6069">
        <v>-9.5735300000000002E-3</v>
      </c>
      <c r="O6069">
        <v>4.1452299999999997E-2</v>
      </c>
      <c r="P6069">
        <v>0.98533230000000005</v>
      </c>
      <c r="Q6069">
        <v>0.14806259999999999</v>
      </c>
      <c r="R6069">
        <v>8.4840949999999998E-2</v>
      </c>
      <c r="S6069">
        <v>3.0217740000000002</v>
      </c>
      <c r="T6069">
        <v>-0.1389292</v>
      </c>
      <c r="U6069">
        <v>0.50881960000000004</v>
      </c>
      <c r="V6069">
        <v>-4.4028699999999997E-2</v>
      </c>
      <c r="W6069">
        <v>0.1574845</v>
      </c>
      <c r="X6069">
        <v>0.98653950000000001</v>
      </c>
      <c r="Y6069">
        <v>-0.1248966</v>
      </c>
      <c r="Z6069">
        <v>1.956878E-3</v>
      </c>
      <c r="AA6069">
        <v>0.99216780000000004</v>
      </c>
      <c r="AB6069">
        <v>31</v>
      </c>
      <c r="AC6069">
        <v>24.1722999999999</v>
      </c>
      <c r="AD6069">
        <v>-1.120651635288</v>
      </c>
      <c r="AE6069">
        <v>4.09579</v>
      </c>
      <c r="AF6069">
        <v>-3.0837828951551902</v>
      </c>
      <c r="AG6069">
        <v>-1.120651635288</v>
      </c>
      <c r="AH6069">
        <v>24.270599412325499</v>
      </c>
      <c r="AI6069">
        <v>92.622597920503907</v>
      </c>
      <c r="AJ6069">
        <v>97.241108514989804</v>
      </c>
      <c r="AK6069">
        <v>24.491377520786799</v>
      </c>
      <c r="AL6069">
        <v>80.939082715751297</v>
      </c>
      <c r="AM6069">
        <v>92.555382547190405</v>
      </c>
      <c r="AN6069">
        <v>1.0000000396120901</v>
      </c>
    </row>
    <row r="6070" spans="1:40" x14ac:dyDescent="0.25">
      <c r="A6070" t="str">
        <f>"20190303162421471"</f>
        <v>20190303162421471</v>
      </c>
      <c r="B6070" t="str">
        <f>"1551601461460880"</f>
        <v>1551601461460880</v>
      </c>
      <c r="C6070" t="s">
        <v>40</v>
      </c>
      <c r="D6070">
        <v>5.8372999999999999</v>
      </c>
      <c r="E6070">
        <v>0.46986489999999997</v>
      </c>
      <c r="F6070" t="s">
        <v>66</v>
      </c>
      <c r="G6070">
        <v>-217.6831</v>
      </c>
      <c r="H6070" s="1">
        <v>-2.6652459999999999E-6</v>
      </c>
      <c r="I6070">
        <v>-58.12753</v>
      </c>
      <c r="J6070">
        <v>-241.60069999999999</v>
      </c>
      <c r="K6070">
        <v>1.120644</v>
      </c>
      <c r="L6070">
        <v>-62.145319999999998</v>
      </c>
      <c r="M6070">
        <v>0.99908730000000001</v>
      </c>
      <c r="N6070">
        <v>-9.5888659999999997E-3</v>
      </c>
      <c r="O6070">
        <v>4.1628360000000003E-2</v>
      </c>
      <c r="P6070">
        <v>0.98548749999999996</v>
      </c>
      <c r="Q6070">
        <v>0.14717910000000001</v>
      </c>
      <c r="R6070">
        <v>8.4576199999999893E-2</v>
      </c>
      <c r="S6070">
        <v>3.0222929999999999</v>
      </c>
      <c r="T6070">
        <v>-0.14069509999999999</v>
      </c>
      <c r="U6070">
        <v>0.50524899999999995</v>
      </c>
      <c r="V6070">
        <v>-4.358364E-2</v>
      </c>
      <c r="W6070">
        <v>0.15661800000000001</v>
      </c>
      <c r="X6070">
        <v>0.98669709999999999</v>
      </c>
      <c r="Y6070">
        <v>-0.1235527</v>
      </c>
      <c r="Z6070">
        <v>1.9265879999999999E-3</v>
      </c>
      <c r="AA6070">
        <v>0.9923362</v>
      </c>
      <c r="AB6070">
        <v>31</v>
      </c>
      <c r="AC6070">
        <v>23.9176</v>
      </c>
      <c r="AD6070">
        <v>-1.1206466652460001</v>
      </c>
      <c r="AE6070">
        <v>4.01778999999999</v>
      </c>
      <c r="AF6070">
        <v>-3.01217954456878</v>
      </c>
      <c r="AG6070">
        <v>-1.1206466652460001</v>
      </c>
      <c r="AH6070">
        <v>24.012857471781601</v>
      </c>
      <c r="AI6070">
        <v>92.651228183376205</v>
      </c>
      <c r="AJ6070">
        <v>97.149853044456094</v>
      </c>
      <c r="AK6070">
        <v>24.2269766689355</v>
      </c>
      <c r="AL6070">
        <v>80.989352524196093</v>
      </c>
      <c r="AM6070">
        <v>92.529181912614007</v>
      </c>
      <c r="AN6070">
        <v>0.99999994937402803</v>
      </c>
    </row>
    <row r="6071" spans="1:40" x14ac:dyDescent="0.25">
      <c r="A6071" t="str">
        <f>"20190303162421482"</f>
        <v>20190303162421482</v>
      </c>
      <c r="B6071" t="str">
        <f>"1551601461470641"</f>
        <v>1551601461470641</v>
      </c>
      <c r="C6071" t="s">
        <v>40</v>
      </c>
      <c r="D6071">
        <v>5.9024020000000004</v>
      </c>
      <c r="E6071">
        <v>0.46986489999999997</v>
      </c>
      <c r="F6071" t="s">
        <v>66</v>
      </c>
      <c r="G6071">
        <v>-218.16079999999999</v>
      </c>
      <c r="H6071" s="1">
        <v>-2.8475210000000002E-6</v>
      </c>
      <c r="I6071">
        <v>-58.2551699999999</v>
      </c>
      <c r="J6071">
        <v>-241.44460000000001</v>
      </c>
      <c r="K6071">
        <v>1.120641</v>
      </c>
      <c r="L6071">
        <v>-62.138669999999998</v>
      </c>
      <c r="M6071">
        <v>0.99907970000000001</v>
      </c>
      <c r="N6071">
        <v>-9.6040459999999998E-3</v>
      </c>
      <c r="O6071">
        <v>4.1805380000000003E-2</v>
      </c>
      <c r="P6071">
        <v>0.98564629999999998</v>
      </c>
      <c r="Q6071">
        <v>0.14614289999999999</v>
      </c>
      <c r="R6071">
        <v>8.4522050000000001E-2</v>
      </c>
      <c r="S6071">
        <v>3.0227050000000002</v>
      </c>
      <c r="T6071">
        <v>-0.14451339999999999</v>
      </c>
      <c r="U6071">
        <v>0.50164790000000004</v>
      </c>
      <c r="V6071">
        <v>-4.3346990000000002E-2</v>
      </c>
      <c r="W6071">
        <v>0.15559829999999999</v>
      </c>
      <c r="X6071">
        <v>0.98686890000000005</v>
      </c>
      <c r="Y6071">
        <v>-0.1222003</v>
      </c>
      <c r="Z6071">
        <v>1.9080729999999999E-3</v>
      </c>
      <c r="AA6071">
        <v>0.99250360000000004</v>
      </c>
      <c r="AB6071">
        <v>31</v>
      </c>
      <c r="AC6071">
        <v>23.283799999999999</v>
      </c>
      <c r="AD6071">
        <v>-1.1206438475210001</v>
      </c>
      <c r="AE6071">
        <v>3.8835000000000002</v>
      </c>
      <c r="AF6071">
        <v>-2.9001354516050601</v>
      </c>
      <c r="AG6071">
        <v>-1.1206438475210001</v>
      </c>
      <c r="AH6071">
        <v>23.373123657510899</v>
      </c>
      <c r="AI6071">
        <v>92.724133459951304</v>
      </c>
      <c r="AJ6071">
        <v>97.073105143194297</v>
      </c>
      <c r="AK6071">
        <v>23.5790062933097</v>
      </c>
      <c r="AL6071">
        <v>81.048502752881106</v>
      </c>
      <c r="AM6071">
        <v>92.515029329612403</v>
      </c>
      <c r="AN6071">
        <v>1.0000000091460799</v>
      </c>
    </row>
    <row r="6072" spans="1:40" x14ac:dyDescent="0.25">
      <c r="A6072" t="str">
        <f>"20190303162421495"</f>
        <v>20190303162421495</v>
      </c>
      <c r="B6072" t="str">
        <f>"1551601461481377"</f>
        <v>1551601461481377</v>
      </c>
      <c r="C6072" t="s">
        <v>40</v>
      </c>
      <c r="D6072">
        <v>5.6034329999999999</v>
      </c>
      <c r="E6072">
        <v>0.51088639999999996</v>
      </c>
      <c r="F6072" t="s">
        <v>66</v>
      </c>
      <c r="G6072">
        <v>-218.52099999999999</v>
      </c>
      <c r="H6072" s="1">
        <v>-2.987586E-6</v>
      </c>
      <c r="I6072">
        <v>-58.336880000000001</v>
      </c>
      <c r="J6072">
        <v>-241.27600000000001</v>
      </c>
      <c r="K6072">
        <v>1.120636</v>
      </c>
      <c r="L6072">
        <v>-62.13138</v>
      </c>
      <c r="M6072">
        <v>0.9990715</v>
      </c>
      <c r="N6072">
        <v>-9.6193589999999992E-3</v>
      </c>
      <c r="O6072">
        <v>4.199688E-2</v>
      </c>
      <c r="P6072">
        <v>0.98575690000000005</v>
      </c>
      <c r="Q6072">
        <v>0.14546300000000001</v>
      </c>
      <c r="R6072">
        <v>8.4403430000000002E-2</v>
      </c>
      <c r="S6072">
        <v>3.0226139999999999</v>
      </c>
      <c r="T6072">
        <v>-0.14776359999999999</v>
      </c>
      <c r="U6072">
        <v>0.50128170000000005</v>
      </c>
      <c r="V6072">
        <v>-4.3033889999999998E-2</v>
      </c>
      <c r="W6072">
        <v>0.15493509999999999</v>
      </c>
      <c r="X6072">
        <v>0.9869869</v>
      </c>
      <c r="Y6072">
        <v>-0.1218933</v>
      </c>
      <c r="Z6072">
        <v>1.9139389999999999E-3</v>
      </c>
      <c r="AA6072">
        <v>0.99254140000000002</v>
      </c>
      <c r="AB6072">
        <v>31</v>
      </c>
      <c r="AC6072">
        <v>22.7549999999999</v>
      </c>
      <c r="AD6072">
        <v>-1.1206389875859999</v>
      </c>
      <c r="AE6072">
        <v>3.79449999999999</v>
      </c>
      <c r="AF6072">
        <v>-2.8287935556971799</v>
      </c>
      <c r="AG6072">
        <v>-1.1206389875859999</v>
      </c>
      <c r="AH6072">
        <v>22.840389253445998</v>
      </c>
      <c r="AI6072">
        <v>92.787638575841598</v>
      </c>
      <c r="AJ6072">
        <v>97.060158774366897</v>
      </c>
      <c r="AK6072">
        <v>23.0421632224534</v>
      </c>
      <c r="AL6072">
        <v>81.086967451412093</v>
      </c>
      <c r="AM6072">
        <v>92.496587935867595</v>
      </c>
      <c r="AN6072">
        <v>0.99999997083607495</v>
      </c>
    </row>
    <row r="6073" spans="1:40" x14ac:dyDescent="0.25">
      <c r="A6073" t="str">
        <f>"20190303162421507"</f>
        <v>20190303162421507</v>
      </c>
      <c r="B6073" t="str">
        <f>"1551601461500897"</f>
        <v>1551601461500897</v>
      </c>
      <c r="C6073" t="s">
        <v>40</v>
      </c>
      <c r="D6073">
        <v>5.5299290000000001</v>
      </c>
      <c r="E6073">
        <v>0.53636309999999998</v>
      </c>
      <c r="F6073" t="s">
        <v>42</v>
      </c>
      <c r="G6073">
        <v>-240.44409999999999</v>
      </c>
      <c r="H6073">
        <v>1.026259</v>
      </c>
      <c r="I6073">
        <v>-62.083669999999998</v>
      </c>
      <c r="J6073">
        <v>-241.09829999999999</v>
      </c>
      <c r="K6073">
        <v>1.1206389999999999</v>
      </c>
      <c r="L6073">
        <v>-62.123719999999999</v>
      </c>
      <c r="M6073">
        <v>0.99906289999999998</v>
      </c>
      <c r="N6073">
        <v>-9.635022E-3</v>
      </c>
      <c r="O6073">
        <v>4.2198449999999998E-2</v>
      </c>
      <c r="P6073">
        <v>0.98585339999999999</v>
      </c>
      <c r="Q6073">
        <v>0.14480799999999999</v>
      </c>
      <c r="R6073">
        <v>8.4405469999999996E-2</v>
      </c>
      <c r="S6073">
        <v>3.0797270000000001</v>
      </c>
      <c r="T6073">
        <v>-0.349354</v>
      </c>
      <c r="U6073">
        <v>0.1773682</v>
      </c>
      <c r="V6073">
        <v>-4.2832559999999999E-2</v>
      </c>
      <c r="W6073">
        <v>0.15429679999999901</v>
      </c>
      <c r="X6073">
        <v>0.98709570000000002</v>
      </c>
      <c r="Y6073">
        <v>-1.543361E-2</v>
      </c>
      <c r="Z6073">
        <v>-3.4133190000000002E-3</v>
      </c>
      <c r="AA6073">
        <v>0.99987510000000002</v>
      </c>
      <c r="AB6073">
        <v>31</v>
      </c>
      <c r="AC6073">
        <v>0.654200000000002</v>
      </c>
      <c r="AD6073">
        <v>-9.4379999999999895E-2</v>
      </c>
      <c r="AE6073">
        <v>4.00500000000008E-2</v>
      </c>
      <c r="AF6073">
        <v>-1.21547823556078E-2</v>
      </c>
      <c r="AG6073">
        <v>-9.4379999999999895E-2</v>
      </c>
      <c r="AH6073">
        <v>0.64199525858936601</v>
      </c>
      <c r="AI6073">
        <v>98.361694834477007</v>
      </c>
      <c r="AJ6073">
        <v>91.084641245754398</v>
      </c>
      <c r="AK6073">
        <v>0.64900942611439705</v>
      </c>
      <c r="AL6073">
        <v>81.123984984142893</v>
      </c>
      <c r="AM6073">
        <v>92.484649009041505</v>
      </c>
      <c r="AN6073">
        <v>1.00000002582244</v>
      </c>
    </row>
    <row r="6074" spans="1:40" x14ac:dyDescent="0.25">
      <c r="A6074" t="str">
        <f>"20190303162421517"</f>
        <v>20190303162421517</v>
      </c>
      <c r="B6074" t="str">
        <f>"1551601461510657"</f>
        <v>1551601461510657</v>
      </c>
      <c r="C6074" t="s">
        <v>40</v>
      </c>
      <c r="D6074">
        <v>5.4819870000000002</v>
      </c>
      <c r="E6074">
        <v>0.53742809999999996</v>
      </c>
      <c r="F6074" t="s">
        <v>42</v>
      </c>
      <c r="G6074">
        <v>-240.21600000000001</v>
      </c>
      <c r="H6074">
        <v>0.91702099999999998</v>
      </c>
      <c r="I6074">
        <v>-62.129559999999998</v>
      </c>
      <c r="J6074">
        <v>-240.94970000000001</v>
      </c>
      <c r="K6074">
        <v>1.1206370000000001</v>
      </c>
      <c r="L6074">
        <v>-62.117310000000003</v>
      </c>
      <c r="M6074">
        <v>0.99905569999999999</v>
      </c>
      <c r="N6074">
        <v>-9.6474479999999994E-3</v>
      </c>
      <c r="O6074">
        <v>4.2367009999999997E-2</v>
      </c>
      <c r="P6074">
        <v>0.98587849999999999</v>
      </c>
      <c r="Q6074">
        <v>0.14455660000000001</v>
      </c>
      <c r="R6074">
        <v>8.4540760000000006E-2</v>
      </c>
      <c r="S6074">
        <v>3.1516570000000002</v>
      </c>
      <c r="T6074">
        <v>-0.72739709999999902</v>
      </c>
      <c r="U6074">
        <v>-2.062988E-2</v>
      </c>
      <c r="V6074">
        <v>-4.2799339999999998E-2</v>
      </c>
      <c r="W6074">
        <v>0.1540579</v>
      </c>
      <c r="X6074">
        <v>0.98713450000000003</v>
      </c>
      <c r="Y6074">
        <v>4.6607830000000003E-2</v>
      </c>
      <c r="Z6074">
        <v>-1.478222E-2</v>
      </c>
      <c r="AA6074">
        <v>0.99880389999999997</v>
      </c>
      <c r="AB6074">
        <v>31</v>
      </c>
      <c r="AC6074">
        <v>0.733700000000027</v>
      </c>
      <c r="AD6074">
        <v>-0.20361599999999999</v>
      </c>
      <c r="AE6074">
        <v>-1.22500000000016E-2</v>
      </c>
      <c r="AF6074">
        <v>4.02277577177238E-2</v>
      </c>
      <c r="AG6074">
        <v>-0.20361599999999999</v>
      </c>
      <c r="AH6074">
        <v>0.68015334866424004</v>
      </c>
      <c r="AI6074">
        <v>106.638540668709</v>
      </c>
      <c r="AJ6074">
        <v>86.615176908866502</v>
      </c>
      <c r="AK6074">
        <v>0.71111625325692995</v>
      </c>
      <c r="AL6074">
        <v>81.137838990269799</v>
      </c>
      <c r="AM6074">
        <v>92.482626918551006</v>
      </c>
      <c r="AN6074">
        <v>1.0000000705735399</v>
      </c>
    </row>
    <row r="6075" spans="1:40" x14ac:dyDescent="0.25">
      <c r="A6075" t="str">
        <f>"20190303162421528"</f>
        <v>20190303162421528</v>
      </c>
      <c r="B6075" t="str">
        <f>"1551601461521392"</f>
        <v>1551601461521392</v>
      </c>
      <c r="C6075" t="s">
        <v>40</v>
      </c>
      <c r="D6075">
        <v>5.5390739999999896</v>
      </c>
      <c r="E6075">
        <v>0.53751479999999996</v>
      </c>
      <c r="F6075" t="s">
        <v>42</v>
      </c>
      <c r="G6075">
        <v>-240.20949999999999</v>
      </c>
      <c r="H6075">
        <v>0.93162129999999999</v>
      </c>
      <c r="I6075">
        <v>-62.124029999999998</v>
      </c>
      <c r="J6075">
        <v>-240.80760000000001</v>
      </c>
      <c r="K6075">
        <v>1.1206400000000001</v>
      </c>
      <c r="L6075">
        <v>-62.111109999999996</v>
      </c>
      <c r="M6075">
        <v>0.99904870000000001</v>
      </c>
      <c r="N6075">
        <v>-9.6589229999999998E-3</v>
      </c>
      <c r="O6075">
        <v>4.2527589999999997E-2</v>
      </c>
      <c r="P6075">
        <v>0.98592670000000004</v>
      </c>
      <c r="Q6075">
        <v>0.14426259999999999</v>
      </c>
      <c r="R6075">
        <v>8.4480429999999995E-2</v>
      </c>
      <c r="S6075">
        <v>3.1638790000000001</v>
      </c>
      <c r="T6075">
        <v>-0.80792390000000003</v>
      </c>
      <c r="U6075">
        <v>-2.8411869999999999E-2</v>
      </c>
      <c r="V6075">
        <v>-4.2578119999999997E-2</v>
      </c>
      <c r="W6075">
        <v>0.1537761</v>
      </c>
      <c r="X6075">
        <v>0.98718790000000001</v>
      </c>
      <c r="Y6075">
        <v>4.8615699999999998E-2</v>
      </c>
      <c r="Z6075">
        <v>-1.662926E-2</v>
      </c>
      <c r="AA6075">
        <v>0.99867910000000004</v>
      </c>
      <c r="AB6075">
        <v>31</v>
      </c>
      <c r="AC6075">
        <v>0.59810000000001595</v>
      </c>
      <c r="AD6075">
        <v>-0.18901869999999901</v>
      </c>
      <c r="AE6075">
        <v>-1.2920000000008199E-2</v>
      </c>
      <c r="AF6075">
        <v>3.4864715218376197E-2</v>
      </c>
      <c r="AG6075">
        <v>-0.18901869999999901</v>
      </c>
      <c r="AH6075">
        <v>0.54281987172656398</v>
      </c>
      <c r="AI6075">
        <v>109.162349962505</v>
      </c>
      <c r="AJ6075">
        <v>86.325003956491202</v>
      </c>
      <c r="AK6075">
        <v>0.57584462353849497</v>
      </c>
      <c r="AL6075">
        <v>81.1541787403645</v>
      </c>
      <c r="AM6075">
        <v>92.469677284995797</v>
      </c>
      <c r="AN6075">
        <v>0.99999996757017595</v>
      </c>
    </row>
    <row r="6076" spans="1:40" x14ac:dyDescent="0.25">
      <c r="A6076" t="str">
        <f>"20190303162421538"</f>
        <v>20190303162421538</v>
      </c>
      <c r="B6076" t="str">
        <f>"1551601461531153"</f>
        <v>1551601461531153</v>
      </c>
      <c r="C6076" t="s">
        <v>40</v>
      </c>
      <c r="D6076">
        <v>5.5007999999999999</v>
      </c>
      <c r="E6076">
        <v>0.53737969999999902</v>
      </c>
      <c r="F6076" t="s">
        <v>42</v>
      </c>
      <c r="G6076">
        <v>-239.95070000000001</v>
      </c>
      <c r="H6076">
        <v>0.88465819999999995</v>
      </c>
      <c r="I6076">
        <v>-62.119430000000001</v>
      </c>
      <c r="J6076">
        <v>-240.65719999999999</v>
      </c>
      <c r="K6076">
        <v>1.1206419999999999</v>
      </c>
      <c r="L6076">
        <v>-62.104550000000003</v>
      </c>
      <c r="M6076">
        <v>0.99904139999999997</v>
      </c>
      <c r="N6076">
        <v>-9.6706910000000004E-3</v>
      </c>
      <c r="O6076">
        <v>4.26968E-2</v>
      </c>
      <c r="P6076">
        <v>0.98593120000000001</v>
      </c>
      <c r="Q6076">
        <v>0.14425070000000001</v>
      </c>
      <c r="R6076">
        <v>8.4447990000000001E-2</v>
      </c>
      <c r="S6076">
        <v>3.1732179999999999</v>
      </c>
      <c r="T6076">
        <v>-0.87389300000000003</v>
      </c>
      <c r="U6076">
        <v>-2.9418949999999999E-2</v>
      </c>
      <c r="V6076">
        <v>-4.2378069999999997E-2</v>
      </c>
      <c r="W6076">
        <v>0.15377569999999999</v>
      </c>
      <c r="X6076">
        <v>0.98719659999999998</v>
      </c>
      <c r="Y6076">
        <v>4.8604559999999998E-2</v>
      </c>
      <c r="Z6076">
        <v>-1.794542E-2</v>
      </c>
      <c r="AA6076">
        <v>0.99865689999999996</v>
      </c>
      <c r="AB6076">
        <v>31</v>
      </c>
      <c r="AC6076">
        <v>0.70649999999997704</v>
      </c>
      <c r="AD6076">
        <v>-0.23598379999999899</v>
      </c>
      <c r="AE6076">
        <v>-1.4879999999998001E-2</v>
      </c>
      <c r="AF6076">
        <v>4.0514953042495298E-2</v>
      </c>
      <c r="AG6076">
        <v>-0.23598379999999899</v>
      </c>
      <c r="AH6076">
        <v>0.63446557321917596</v>
      </c>
      <c r="AI6076">
        <v>110.36417273028999</v>
      </c>
      <c r="AJ6076">
        <v>86.346234721380398</v>
      </c>
      <c r="AK6076">
        <v>0.678141857492083</v>
      </c>
      <c r="AL6076">
        <v>81.154202195987693</v>
      </c>
      <c r="AM6076">
        <v>92.458066327688201</v>
      </c>
      <c r="AN6076">
        <v>0.99999999688948704</v>
      </c>
    </row>
    <row r="6077" spans="1:40" x14ac:dyDescent="0.25">
      <c r="A6077" t="str">
        <f>"20190303162421550"</f>
        <v>20190303162421550</v>
      </c>
      <c r="B6077" t="str">
        <f>"1551601461540913"</f>
        <v>1551601461540913</v>
      </c>
      <c r="C6077" t="s">
        <v>40</v>
      </c>
      <c r="D6077">
        <v>5.4678339999999999</v>
      </c>
      <c r="E6077">
        <v>0.53724620000000001</v>
      </c>
      <c r="F6077" t="s">
        <v>42</v>
      </c>
      <c r="G6077">
        <v>-239.93889999999999</v>
      </c>
      <c r="H6077">
        <v>0.91195570000000004</v>
      </c>
      <c r="I6077">
        <v>-62.111379999999997</v>
      </c>
      <c r="J6077">
        <v>-240.50120000000001</v>
      </c>
      <c r="K6077">
        <v>1.1206400000000001</v>
      </c>
      <c r="L6077">
        <v>-62.09769</v>
      </c>
      <c r="M6077">
        <v>0.99903390000000003</v>
      </c>
      <c r="N6077">
        <v>-9.6822569999999997E-3</v>
      </c>
      <c r="O6077">
        <v>4.2867719999999998E-2</v>
      </c>
      <c r="P6077">
        <v>0.98595639999999996</v>
      </c>
      <c r="Q6077">
        <v>0.14417170000000001</v>
      </c>
      <c r="R6077">
        <v>8.4289279999999994E-2</v>
      </c>
      <c r="S6077">
        <v>3.1804199999999998</v>
      </c>
      <c r="T6077">
        <v>-0.9239271</v>
      </c>
      <c r="U6077">
        <v>-2.8533940000000001E-2</v>
      </c>
      <c r="V6077">
        <v>-4.2048519999999999E-2</v>
      </c>
      <c r="W6077">
        <v>0.15370880000000001</v>
      </c>
      <c r="X6077">
        <v>0.98722109999999996</v>
      </c>
      <c r="Y6077">
        <v>4.811754E-2</v>
      </c>
      <c r="Z6077">
        <v>-1.887689E-2</v>
      </c>
      <c r="AA6077">
        <v>0.99866330000000003</v>
      </c>
      <c r="AB6077">
        <v>31</v>
      </c>
      <c r="AC6077">
        <v>0.56230000000002101</v>
      </c>
      <c r="AD6077">
        <v>-0.20868429999999999</v>
      </c>
      <c r="AE6077">
        <v>-1.36900000000039E-2</v>
      </c>
      <c r="AF6077">
        <v>3.32114081172444E-2</v>
      </c>
      <c r="AG6077">
        <v>-0.20868429999999999</v>
      </c>
      <c r="AH6077">
        <v>0.49329287498397401</v>
      </c>
      <c r="AI6077">
        <v>112.88401846095</v>
      </c>
      <c r="AJ6077">
        <v>86.148320190193601</v>
      </c>
      <c r="AK6077">
        <v>0.53664699310214603</v>
      </c>
      <c r="AL6077">
        <v>81.158081313308003</v>
      </c>
      <c r="AM6077">
        <v>92.4389140705796</v>
      </c>
      <c r="AN6077">
        <v>0.99999998675841995</v>
      </c>
    </row>
    <row r="6078" spans="1:40" x14ac:dyDescent="0.25">
      <c r="A6078" t="str">
        <f>"20190303162421560"</f>
        <v>20190303162421560</v>
      </c>
      <c r="B6078" t="str">
        <f>"1551601461550673"</f>
        <v>1551601461550673</v>
      </c>
      <c r="C6078" t="s">
        <v>40</v>
      </c>
      <c r="D6078">
        <v>5.4765350000000002</v>
      </c>
      <c r="E6078">
        <v>0.53736349999999999</v>
      </c>
      <c r="F6078" t="s">
        <v>42</v>
      </c>
      <c r="G6078">
        <v>-239.67580000000001</v>
      </c>
      <c r="H6078">
        <v>0.8732818</v>
      </c>
      <c r="I6078">
        <v>-62.105110000000003</v>
      </c>
      <c r="J6078">
        <v>-240.35130000000001</v>
      </c>
      <c r="K6078">
        <v>1.1206370000000001</v>
      </c>
      <c r="L6078">
        <v>-62.091090000000001</v>
      </c>
      <c r="M6078">
        <v>0.999027</v>
      </c>
      <c r="N6078">
        <v>-9.6930539999999996E-3</v>
      </c>
      <c r="O6078">
        <v>4.3029640000000001E-2</v>
      </c>
      <c r="P6078">
        <v>0.98594590000000004</v>
      </c>
      <c r="Q6078">
        <v>0.14413819999999999</v>
      </c>
      <c r="R6078">
        <v>8.4470320000000002E-2</v>
      </c>
      <c r="S6078">
        <v>3.1847080000000001</v>
      </c>
      <c r="T6078">
        <v>-0.95436120000000002</v>
      </c>
      <c r="U6078">
        <v>-2.8228759999999999E-2</v>
      </c>
      <c r="V6078">
        <v>-4.2068439999999999E-2</v>
      </c>
      <c r="W6078">
        <v>0.15368660000000001</v>
      </c>
      <c r="X6078">
        <v>0.98722370000000004</v>
      </c>
      <c r="Y6078">
        <v>4.793853E-2</v>
      </c>
      <c r="Z6078">
        <v>-1.947223E-2</v>
      </c>
      <c r="AA6078">
        <v>0.9986604</v>
      </c>
      <c r="AB6078">
        <v>31</v>
      </c>
      <c r="AC6078">
        <v>0.67549999999999899</v>
      </c>
      <c r="AD6078">
        <v>-0.2473552</v>
      </c>
      <c r="AE6078">
        <v>-1.4019999999995E-2</v>
      </c>
      <c r="AF6078">
        <v>3.7983886654449101E-2</v>
      </c>
      <c r="AG6078">
        <v>-0.2473552</v>
      </c>
      <c r="AH6078">
        <v>0.59457912088761</v>
      </c>
      <c r="AI6078">
        <v>112.546806671124</v>
      </c>
      <c r="AJ6078">
        <v>86.344703432612903</v>
      </c>
      <c r="AK6078">
        <v>0.64509821082367103</v>
      </c>
      <c r="AL6078">
        <v>81.159368508093607</v>
      </c>
      <c r="AM6078">
        <v>92.440061663214294</v>
      </c>
      <c r="AN6078">
        <v>0.99999997925264095</v>
      </c>
    </row>
    <row r="6079" spans="1:40" x14ac:dyDescent="0.25">
      <c r="A6079" t="str">
        <f>"20190303162421572"</f>
        <v>20190303162421572</v>
      </c>
      <c r="B6079" t="str">
        <f>"1551601461561408"</f>
        <v>1551601461561408</v>
      </c>
      <c r="C6079" t="s">
        <v>40</v>
      </c>
      <c r="D6079">
        <v>5.4673319999999999</v>
      </c>
      <c r="E6079">
        <v>0.53734179999999998</v>
      </c>
      <c r="F6079" t="s">
        <v>42</v>
      </c>
      <c r="G6079">
        <v>-239.65960000000001</v>
      </c>
      <c r="H6079">
        <v>0.91094030000000004</v>
      </c>
      <c r="I6079">
        <v>-62.097560000000001</v>
      </c>
      <c r="J6079">
        <v>-240.1978</v>
      </c>
      <c r="K6079">
        <v>1.1206339999999999</v>
      </c>
      <c r="L6079">
        <v>-62.084350000000001</v>
      </c>
      <c r="M6079">
        <v>0.99902000000000002</v>
      </c>
      <c r="N6079">
        <v>-9.7033310000000008E-3</v>
      </c>
      <c r="O6079">
        <v>4.3185679999999997E-2</v>
      </c>
      <c r="P6079">
        <v>0.98601369999999999</v>
      </c>
      <c r="Q6079">
        <v>0.1436558</v>
      </c>
      <c r="R6079">
        <v>8.4499550000000007E-2</v>
      </c>
      <c r="S6079">
        <v>3.186493</v>
      </c>
      <c r="T6079">
        <v>-0.96592739999999999</v>
      </c>
      <c r="U6079">
        <v>-2.9296880000000001E-2</v>
      </c>
      <c r="V6079">
        <v>-4.1936910000000001E-2</v>
      </c>
      <c r="W6079">
        <v>0.15321589999999999</v>
      </c>
      <c r="X6079">
        <v>0.98730249999999997</v>
      </c>
      <c r="Y6079">
        <v>4.8310150000000003E-2</v>
      </c>
      <c r="Z6079">
        <v>-1.979125E-2</v>
      </c>
      <c r="AA6079">
        <v>0.99863630000000003</v>
      </c>
      <c r="AB6079">
        <v>31</v>
      </c>
      <c r="AC6079">
        <v>0.53819999999998902</v>
      </c>
      <c r="AD6079">
        <v>-0.20969369999999901</v>
      </c>
      <c r="AE6079">
        <v>-1.3209999999993701E-2</v>
      </c>
      <c r="AF6079">
        <v>3.16409656161874E-2</v>
      </c>
      <c r="AG6079">
        <v>-0.20969369999999901</v>
      </c>
      <c r="AH6079">
        <v>0.466372695182174</v>
      </c>
      <c r="AI6079">
        <v>114.16079637363499</v>
      </c>
      <c r="AJ6079">
        <v>86.118726650980307</v>
      </c>
      <c r="AK6079">
        <v>0.512324203348133</v>
      </c>
      <c r="AL6079">
        <v>81.186661252225207</v>
      </c>
      <c r="AM6079">
        <v>92.432247904592899</v>
      </c>
      <c r="AN6079">
        <v>1.0000000214697</v>
      </c>
    </row>
    <row r="6080" spans="1:40" x14ac:dyDescent="0.25">
      <c r="A6080" t="str">
        <f>"20190303162421585"</f>
        <v>20190303162421585</v>
      </c>
      <c r="B6080" t="str">
        <f>"1551601461580928"</f>
        <v>1551601461580928</v>
      </c>
      <c r="C6080" t="s">
        <v>40</v>
      </c>
      <c r="D6080">
        <v>5.4266909999999999</v>
      </c>
      <c r="E6080">
        <v>0.53750620000000005</v>
      </c>
      <c r="F6080" t="s">
        <v>42</v>
      </c>
      <c r="G6080">
        <v>-239.39519999999999</v>
      </c>
      <c r="H6080">
        <v>0.87456350000000005</v>
      </c>
      <c r="I6080">
        <v>-62.091869999999901</v>
      </c>
      <c r="J6080">
        <v>-240.0275</v>
      </c>
      <c r="K6080">
        <v>1.1206229999999999</v>
      </c>
      <c r="L6080">
        <v>-62.076810000000002</v>
      </c>
      <c r="M6080">
        <v>0.99901260000000003</v>
      </c>
      <c r="N6080">
        <v>-9.7141680000000005E-3</v>
      </c>
      <c r="O6080">
        <v>4.335373E-2</v>
      </c>
      <c r="P6080">
        <v>0.98602939999999994</v>
      </c>
      <c r="Q6080">
        <v>0.1433855</v>
      </c>
      <c r="R6080">
        <v>8.4774349999999998E-2</v>
      </c>
      <c r="S6080">
        <v>3.1874539999999998</v>
      </c>
      <c r="T6080">
        <v>-0.97729180000000004</v>
      </c>
      <c r="U6080">
        <v>-2.9174800000000001E-2</v>
      </c>
      <c r="V6080">
        <v>-4.2041240000000001E-2</v>
      </c>
      <c r="W6080">
        <v>0.15295719999999999</v>
      </c>
      <c r="X6080">
        <v>0.9873381</v>
      </c>
      <c r="Y6080">
        <v>4.8336520000000001E-2</v>
      </c>
      <c r="Z6080">
        <v>-2.0062960000000001E-2</v>
      </c>
      <c r="AA6080">
        <v>0.99862960000000001</v>
      </c>
      <c r="AB6080">
        <v>31</v>
      </c>
      <c r="AC6080">
        <v>0.63230000000001496</v>
      </c>
      <c r="AD6080">
        <v>-0.24605949999999899</v>
      </c>
      <c r="AE6080">
        <v>-1.50599999999982E-2</v>
      </c>
      <c r="AF6080">
        <v>3.68781240919668E-2</v>
      </c>
      <c r="AG6080">
        <v>-0.24605949999999899</v>
      </c>
      <c r="AH6080">
        <v>0.54809703184265701</v>
      </c>
      <c r="AI6080">
        <v>114.12863079480201</v>
      </c>
      <c r="AJ6080">
        <v>86.150716334045498</v>
      </c>
      <c r="AK6080">
        <v>0.60192659842502705</v>
      </c>
      <c r="AL6080">
        <v>81.201659811370703</v>
      </c>
      <c r="AM6080">
        <v>92.438203709373397</v>
      </c>
      <c r="AN6080">
        <v>0.99999994730209196</v>
      </c>
    </row>
    <row r="6081" spans="1:40" x14ac:dyDescent="0.25">
      <c r="A6081" t="str">
        <f>"20190303162421596"</f>
        <v>20190303162421596</v>
      </c>
      <c r="B6081" t="str">
        <f>"1551601461590689"</f>
        <v>1551601461590689</v>
      </c>
      <c r="C6081" t="s">
        <v>40</v>
      </c>
      <c r="D6081">
        <v>5.4500919999999997</v>
      </c>
      <c r="E6081">
        <v>0.53744609999999904</v>
      </c>
      <c r="F6081" t="s">
        <v>42</v>
      </c>
      <c r="G6081">
        <v>-239.12790000000001</v>
      </c>
      <c r="H6081">
        <v>0.84108609999999995</v>
      </c>
      <c r="I6081">
        <v>-62.085329999999999</v>
      </c>
      <c r="J6081">
        <v>-239.84889999999999</v>
      </c>
      <c r="K6081">
        <v>1.120601</v>
      </c>
      <c r="L6081">
        <v>-62.068910000000002</v>
      </c>
      <c r="M6081">
        <v>0.9990059</v>
      </c>
      <c r="N6081">
        <v>-9.7220529999999996E-3</v>
      </c>
      <c r="O6081">
        <v>4.350913E-2</v>
      </c>
      <c r="P6081">
        <v>0.98609829999999998</v>
      </c>
      <c r="Q6081">
        <v>0.1428005</v>
      </c>
      <c r="R6081">
        <v>8.4961620000000002E-2</v>
      </c>
      <c r="S6081">
        <v>3.1891940000000001</v>
      </c>
      <c r="T6081">
        <v>-0.99099479999999995</v>
      </c>
      <c r="U6081">
        <v>-2.996826E-2</v>
      </c>
      <c r="V6081">
        <v>-4.2064789999999998E-2</v>
      </c>
      <c r="W6081">
        <v>0.15238270000000001</v>
      </c>
      <c r="X6081">
        <v>0.98742600000000003</v>
      </c>
      <c r="Y6081">
        <v>4.8604389999999997E-2</v>
      </c>
      <c r="Z6081">
        <v>-2.0411189999999999E-2</v>
      </c>
      <c r="AA6081">
        <v>0.99860950000000004</v>
      </c>
      <c r="AB6081">
        <v>31</v>
      </c>
      <c r="AC6081">
        <v>0.72099999999997499</v>
      </c>
      <c r="AD6081">
        <v>-0.27951490000000001</v>
      </c>
      <c r="AE6081">
        <v>-1.64200000000107E-2</v>
      </c>
      <c r="AF6081">
        <v>4.1536578907315699E-2</v>
      </c>
      <c r="AG6081">
        <v>-0.27951490000000001</v>
      </c>
      <c r="AH6081">
        <v>0.62562435733166899</v>
      </c>
      <c r="AI6081">
        <v>114.02712564447501</v>
      </c>
      <c r="AJ6081">
        <v>86.201581516789105</v>
      </c>
      <c r="AK6081">
        <v>0.68648357824204198</v>
      </c>
      <c r="AL6081">
        <v>81.234967326868698</v>
      </c>
      <c r="AM6081">
        <v>92.439350947929697</v>
      </c>
      <c r="AN6081">
        <v>1.00000001964651</v>
      </c>
    </row>
    <row r="6082" spans="1:40" x14ac:dyDescent="0.25">
      <c r="A6082" t="str">
        <f>"20190303162421609"</f>
        <v>20190303162421609</v>
      </c>
      <c r="B6082" t="str">
        <f>"1551601461600448"</f>
        <v>1551601461600448</v>
      </c>
      <c r="C6082" t="s">
        <v>40</v>
      </c>
      <c r="D6082">
        <v>5.425675</v>
      </c>
      <c r="E6082">
        <v>0.53742239999999997</v>
      </c>
      <c r="F6082" t="s">
        <v>42</v>
      </c>
      <c r="G6082">
        <v>-239.1088</v>
      </c>
      <c r="H6082">
        <v>0.88853219999999999</v>
      </c>
      <c r="I6082">
        <v>-62.075719999999997</v>
      </c>
      <c r="J6082">
        <v>-239.6832</v>
      </c>
      <c r="K6082">
        <v>1.1205799999999999</v>
      </c>
      <c r="L6082">
        <v>-62.061520000000002</v>
      </c>
      <c r="M6082">
        <v>0.99899990000000005</v>
      </c>
      <c r="N6082">
        <v>-9.7280019999999995E-3</v>
      </c>
      <c r="O6082">
        <v>4.364146E-2</v>
      </c>
      <c r="P6082">
        <v>0.98614789999999997</v>
      </c>
      <c r="Q6082">
        <v>0.14221249999999999</v>
      </c>
      <c r="R6082">
        <v>8.5369719999999996E-2</v>
      </c>
      <c r="S6082">
        <v>3.1896209999999998</v>
      </c>
      <c r="T6082">
        <v>-1.000189</v>
      </c>
      <c r="U6082">
        <v>-2.9083250000000001E-2</v>
      </c>
      <c r="V6082">
        <v>-4.2332750000000002E-2</v>
      </c>
      <c r="W6082">
        <v>0.1518031</v>
      </c>
      <c r="X6082">
        <v>0.98750380000000004</v>
      </c>
      <c r="Y6082">
        <v>4.8385709999999998E-2</v>
      </c>
      <c r="Z6082">
        <v>-2.0595599999999999E-2</v>
      </c>
      <c r="AA6082">
        <v>0.99861630000000001</v>
      </c>
      <c r="AB6082">
        <v>31</v>
      </c>
      <c r="AC6082">
        <v>0.57439999999999702</v>
      </c>
      <c r="AD6082">
        <v>-0.232047799999999</v>
      </c>
      <c r="AE6082">
        <v>-1.42000000000024E-2</v>
      </c>
      <c r="AF6082">
        <v>3.3750515798268099E-2</v>
      </c>
      <c r="AG6082">
        <v>-0.232047799999999</v>
      </c>
      <c r="AH6082">
        <v>0.49284816929937603</v>
      </c>
      <c r="AI6082">
        <v>115.160855352076</v>
      </c>
      <c r="AJ6082">
        <v>86.082469488681596</v>
      </c>
      <c r="AK6082">
        <v>0.54578805115469098</v>
      </c>
      <c r="AL6082">
        <v>81.268566668486002</v>
      </c>
      <c r="AM6082">
        <v>92.454677916694905</v>
      </c>
      <c r="AN6082">
        <v>0.99999999895330605</v>
      </c>
    </row>
    <row r="6083" spans="1:40" x14ac:dyDescent="0.25">
      <c r="A6083" t="str">
        <f>"20190303162421621"</f>
        <v>20190303162421621</v>
      </c>
      <c r="B6083" t="str">
        <f>"1551601461611185"</f>
        <v>1551601461611185</v>
      </c>
      <c r="C6083" t="s">
        <v>40</v>
      </c>
      <c r="D6083">
        <v>5.4426639999999997</v>
      </c>
      <c r="E6083">
        <v>0.53745849999999995</v>
      </c>
      <c r="F6083" t="s">
        <v>42</v>
      </c>
      <c r="G6083">
        <v>-238.84180000000001</v>
      </c>
      <c r="H6083">
        <v>0.8550529</v>
      </c>
      <c r="I6083">
        <v>-62.06915</v>
      </c>
      <c r="J6083">
        <v>-239.49180000000001</v>
      </c>
      <c r="K6083">
        <v>1.1205510000000001</v>
      </c>
      <c r="L6083">
        <v>-62.053040000000003</v>
      </c>
      <c r="M6083">
        <v>0.99899380000000004</v>
      </c>
      <c r="N6083">
        <v>-9.7332259999999993E-3</v>
      </c>
      <c r="O6083">
        <v>4.3779150000000003E-2</v>
      </c>
      <c r="P6083">
        <v>0.98624710000000004</v>
      </c>
      <c r="Q6083">
        <v>0.14129820000000001</v>
      </c>
      <c r="R6083">
        <v>8.5740689999999994E-2</v>
      </c>
      <c r="S6083">
        <v>3.1897280000000001</v>
      </c>
      <c r="T6083">
        <v>-1.006615</v>
      </c>
      <c r="U6083">
        <v>-2.8015140000000001E-2</v>
      </c>
      <c r="V6083">
        <v>-4.255345E-2</v>
      </c>
      <c r="W6083">
        <v>0.15089759999999999</v>
      </c>
      <c r="X6083">
        <v>0.98763310000000004</v>
      </c>
      <c r="Y6083">
        <v>4.8139710000000002E-2</v>
      </c>
      <c r="Z6083">
        <v>-2.0724269999999999E-2</v>
      </c>
      <c r="AA6083">
        <v>0.9986256</v>
      </c>
      <c r="AB6083">
        <v>31</v>
      </c>
      <c r="AC6083">
        <v>0.65000000000000502</v>
      </c>
      <c r="AD6083">
        <v>-0.26549810000000001</v>
      </c>
      <c r="AE6083">
        <v>-1.6109999999997598E-2</v>
      </c>
      <c r="AF6083">
        <v>3.81854576871824E-2</v>
      </c>
      <c r="AG6083">
        <v>-0.26549810000000001</v>
      </c>
      <c r="AH6083">
        <v>0.55597103104419998</v>
      </c>
      <c r="AI6083">
        <v>115.47392744139199</v>
      </c>
      <c r="AJ6083">
        <v>86.070955340339907</v>
      </c>
      <c r="AK6083">
        <v>0.61729341292673801</v>
      </c>
      <c r="AL6083">
        <v>81.321052732887694</v>
      </c>
      <c r="AM6083">
        <v>92.467136861775501</v>
      </c>
      <c r="AN6083">
        <v>1.0000000110041301</v>
      </c>
    </row>
    <row r="6084" spans="1:40" x14ac:dyDescent="0.25">
      <c r="A6084" t="str">
        <f>"20190303162421635"</f>
        <v>20190303162421635</v>
      </c>
      <c r="B6084" t="str">
        <f>"1551601461630705"</f>
        <v>1551601461630705</v>
      </c>
      <c r="C6084" t="s">
        <v>40</v>
      </c>
      <c r="D6084">
        <v>5.4653219999999996</v>
      </c>
      <c r="E6084">
        <v>0.53737819999999903</v>
      </c>
      <c r="F6084" t="s">
        <v>42</v>
      </c>
      <c r="G6084">
        <v>-238.81989999999999</v>
      </c>
      <c r="H6084">
        <v>0.90719490000000003</v>
      </c>
      <c r="I6084">
        <v>-62.059100000000001</v>
      </c>
      <c r="J6084">
        <v>-239.3177</v>
      </c>
      <c r="K6084">
        <v>1.1205179999999999</v>
      </c>
      <c r="L6084">
        <v>-62.045259999999999</v>
      </c>
      <c r="M6084">
        <v>0.99898980000000004</v>
      </c>
      <c r="N6084">
        <v>-9.7367779999999998E-3</v>
      </c>
      <c r="O6084">
        <v>4.387162E-2</v>
      </c>
      <c r="P6084">
        <v>0.98633720000000003</v>
      </c>
      <c r="Q6084">
        <v>0.14046020000000001</v>
      </c>
      <c r="R6084">
        <v>8.6081039999999998E-2</v>
      </c>
      <c r="S6084">
        <v>3.1893310000000001</v>
      </c>
      <c r="T6084">
        <v>-1.0128010000000001</v>
      </c>
      <c r="U6084">
        <v>-2.758789E-2</v>
      </c>
      <c r="V6084">
        <v>-4.2787319999999997E-2</v>
      </c>
      <c r="W6084">
        <v>0.15006700000000001</v>
      </c>
      <c r="X6084">
        <v>0.98774949999999995</v>
      </c>
      <c r="Y6084">
        <v>4.8045419999999998E-2</v>
      </c>
      <c r="Z6084">
        <v>-2.086199E-2</v>
      </c>
      <c r="AA6084">
        <v>0.99862720000000005</v>
      </c>
      <c r="AB6084">
        <v>31</v>
      </c>
      <c r="AC6084">
        <v>0.49780000000001201</v>
      </c>
      <c r="AD6084">
        <v>-0.21332309999999999</v>
      </c>
      <c r="AE6084">
        <v>-1.3840000000001801E-2</v>
      </c>
      <c r="AF6084">
        <v>3.0136942414287798E-2</v>
      </c>
      <c r="AG6084">
        <v>-0.21332309999999999</v>
      </c>
      <c r="AH6084">
        <v>0.41969957821270698</v>
      </c>
      <c r="AI6084">
        <v>116.88365882840399</v>
      </c>
      <c r="AJ6084">
        <v>85.892869252631996</v>
      </c>
      <c r="AK6084">
        <v>0.47176553100413798</v>
      </c>
      <c r="AL6084">
        <v>81.369190387697103</v>
      </c>
      <c r="AM6084">
        <v>92.480387168465597</v>
      </c>
      <c r="AN6084">
        <v>0.99999996699601501</v>
      </c>
    </row>
    <row r="6085" spans="1:40" x14ac:dyDescent="0.25">
      <c r="A6085" t="str">
        <f>"20190303162421647"</f>
        <v>20190303162421647</v>
      </c>
      <c r="B6085" t="str">
        <f>"1551601461640464"</f>
        <v>1551601461640464</v>
      </c>
      <c r="C6085" t="s">
        <v>40</v>
      </c>
      <c r="D6085">
        <v>5.4462989999999998</v>
      </c>
      <c r="E6085">
        <v>0.53729550000000004</v>
      </c>
      <c r="F6085" t="s">
        <v>42</v>
      </c>
      <c r="G6085">
        <v>-238.55250000000001</v>
      </c>
      <c r="H6085">
        <v>0.87536939999999996</v>
      </c>
      <c r="I6085">
        <v>-62.0518199999999</v>
      </c>
      <c r="J6085">
        <v>-239.1551</v>
      </c>
      <c r="K6085">
        <v>1.1204860000000001</v>
      </c>
      <c r="L6085">
        <v>-62.038020000000003</v>
      </c>
      <c r="M6085">
        <v>0.9989865</v>
      </c>
      <c r="N6085">
        <v>-9.7399089999999997E-3</v>
      </c>
      <c r="O6085">
        <v>4.3946270000000003E-2</v>
      </c>
      <c r="P6085">
        <v>0.98638119999999996</v>
      </c>
      <c r="Q6085">
        <v>0.13978479999999999</v>
      </c>
      <c r="R6085">
        <v>8.6674180000000003E-2</v>
      </c>
      <c r="S6085">
        <v>3.1894070000000001</v>
      </c>
      <c r="T6085">
        <v>-1.021782</v>
      </c>
      <c r="U6085">
        <v>-2.682495E-2</v>
      </c>
      <c r="V6085">
        <v>-4.3293360000000003E-2</v>
      </c>
      <c r="W6085">
        <v>0.149398</v>
      </c>
      <c r="X6085">
        <v>0.98782890000000001</v>
      </c>
      <c r="Y6085">
        <v>4.781154E-2</v>
      </c>
      <c r="Z6085">
        <v>-2.1024339999999999E-2</v>
      </c>
      <c r="AA6085">
        <v>0.9986351</v>
      </c>
      <c r="AB6085">
        <v>31</v>
      </c>
      <c r="AC6085">
        <v>0.60259999999999503</v>
      </c>
      <c r="AD6085">
        <v>-0.24511659999999999</v>
      </c>
      <c r="AE6085">
        <v>-1.3799999999996201E-2</v>
      </c>
      <c r="AF6085">
        <v>3.4555468595954798E-2</v>
      </c>
      <c r="AG6085">
        <v>-0.24511659999999999</v>
      </c>
      <c r="AH6085">
        <v>0.51606849360057305</v>
      </c>
      <c r="AI6085">
        <v>115.356643914695</v>
      </c>
      <c r="AJ6085">
        <v>86.169245899325304</v>
      </c>
      <c r="AK6085">
        <v>0.57236607000468798</v>
      </c>
      <c r="AL6085">
        <v>81.407958657211495</v>
      </c>
      <c r="AM6085">
        <v>92.509483625328798</v>
      </c>
      <c r="AN6085">
        <v>1.0000000065496399</v>
      </c>
    </row>
    <row r="6086" spans="1:40" x14ac:dyDescent="0.25">
      <c r="A6086" t="str">
        <f>"20190303162421660"</f>
        <v>20190303162421660</v>
      </c>
      <c r="B6086" t="str">
        <f>"1551601461651200"</f>
        <v>1551601461651200</v>
      </c>
      <c r="C6086" t="s">
        <v>40</v>
      </c>
      <c r="D6086">
        <v>5.4546519999999896</v>
      </c>
      <c r="E6086">
        <v>0.53722639999999999</v>
      </c>
      <c r="F6086" t="s">
        <v>42</v>
      </c>
      <c r="G6086">
        <v>-238.28479999999999</v>
      </c>
      <c r="H6086">
        <v>0.8403233</v>
      </c>
      <c r="I6086">
        <v>-62.045319999999997</v>
      </c>
      <c r="J6086">
        <v>-238.93879999999999</v>
      </c>
      <c r="K6086">
        <v>1.120444</v>
      </c>
      <c r="L6086">
        <v>-62.028410000000001</v>
      </c>
      <c r="M6086">
        <v>0.99898359999999997</v>
      </c>
      <c r="N6086">
        <v>-9.7436290000000002E-3</v>
      </c>
      <c r="O6086">
        <v>4.4012740000000002E-2</v>
      </c>
      <c r="P6086">
        <v>0.9863982</v>
      </c>
      <c r="Q6086">
        <v>0.13938510000000001</v>
      </c>
      <c r="R6086">
        <v>8.7125170000000002E-2</v>
      </c>
      <c r="S6086">
        <v>3.189117</v>
      </c>
      <c r="T6086">
        <v>-1.0266150000000001</v>
      </c>
      <c r="U6086">
        <v>-2.5360110000000002E-2</v>
      </c>
      <c r="V6086">
        <v>-4.3663380000000002E-2</v>
      </c>
      <c r="W6086">
        <v>0.14900620000000001</v>
      </c>
      <c r="X6086">
        <v>0.98787179999999997</v>
      </c>
      <c r="Y6086">
        <v>4.739554E-2</v>
      </c>
      <c r="Z6086">
        <v>-2.1074559999999999E-2</v>
      </c>
      <c r="AA6086">
        <v>0.99865380000000004</v>
      </c>
      <c r="AB6086">
        <v>31</v>
      </c>
      <c r="AC6086">
        <v>0.65399999999999603</v>
      </c>
      <c r="AD6086">
        <v>-0.2801207</v>
      </c>
      <c r="AE6086">
        <v>-1.6909999999995699E-2</v>
      </c>
      <c r="AF6086">
        <v>3.8602186311347597E-2</v>
      </c>
      <c r="AG6086">
        <v>-0.2801207</v>
      </c>
      <c r="AH6086">
        <v>0.55151083326274197</v>
      </c>
      <c r="AI6086">
        <v>116.870217056878</v>
      </c>
      <c r="AJ6086">
        <v>85.996196342411096</v>
      </c>
      <c r="AK6086">
        <v>0.61977571311134005</v>
      </c>
      <c r="AL6086">
        <v>81.43066134016</v>
      </c>
      <c r="AM6086">
        <v>92.530794161008103</v>
      </c>
      <c r="AN6086">
        <v>1.00000001581335</v>
      </c>
    </row>
    <row r="6087" spans="1:40" x14ac:dyDescent="0.25">
      <c r="A6087" t="str">
        <f>"20190303162421672"</f>
        <v>20190303162421672</v>
      </c>
      <c r="B6087" t="str">
        <f>"1551601461660961"</f>
        <v>1551601461660961</v>
      </c>
      <c r="C6087" t="s">
        <v>40</v>
      </c>
      <c r="D6087">
        <v>5.4384839999999999</v>
      </c>
      <c r="E6087">
        <v>0.53719340000000004</v>
      </c>
      <c r="F6087" t="s">
        <v>42</v>
      </c>
      <c r="G6087">
        <v>-238.25980000000001</v>
      </c>
      <c r="H6087">
        <v>0.90123509999999996</v>
      </c>
      <c r="I6087">
        <v>-62.033999999999999</v>
      </c>
      <c r="J6087">
        <v>-238.7824</v>
      </c>
      <c r="K6087">
        <v>1.1204099999999999</v>
      </c>
      <c r="L6087">
        <v>-62.021479999999997</v>
      </c>
      <c r="M6087">
        <v>0.9989827</v>
      </c>
      <c r="N6087">
        <v>-9.7460229999999995E-3</v>
      </c>
      <c r="O6087">
        <v>4.4028709999999999E-2</v>
      </c>
      <c r="P6087">
        <v>0.98635030000000001</v>
      </c>
      <c r="Q6087">
        <v>0.13966689999999901</v>
      </c>
      <c r="R6087">
        <v>8.7215600000000004E-2</v>
      </c>
      <c r="S6087">
        <v>3.1889949999999998</v>
      </c>
      <c r="T6087">
        <v>-1.0294270000000001</v>
      </c>
      <c r="U6087">
        <v>-2.44751E-2</v>
      </c>
      <c r="V6087">
        <v>-4.3729289999999997E-2</v>
      </c>
      <c r="W6087">
        <v>0.14929329999999999</v>
      </c>
      <c r="X6087">
        <v>0.98782550000000002</v>
      </c>
      <c r="Y6087">
        <v>4.7123270000000002E-2</v>
      </c>
      <c r="Z6087">
        <v>-2.1091459999999999E-2</v>
      </c>
      <c r="AA6087">
        <v>0.99866639999999995</v>
      </c>
      <c r="AB6087">
        <v>31</v>
      </c>
      <c r="AC6087">
        <v>0.52259999999998197</v>
      </c>
      <c r="AD6087">
        <v>-0.21917490000000001</v>
      </c>
      <c r="AE6087">
        <v>-1.25199999999949E-2</v>
      </c>
      <c r="AF6087">
        <v>3.0208082727503301E-2</v>
      </c>
      <c r="AG6087">
        <v>-0.21917490000000001</v>
      </c>
      <c r="AH6087">
        <v>0.44356730266706001</v>
      </c>
      <c r="AI6087">
        <v>116.242228862293</v>
      </c>
      <c r="AJ6087">
        <v>86.104024643086902</v>
      </c>
      <c r="AK6087">
        <v>0.49568348474345297</v>
      </c>
      <c r="AL6087">
        <v>81.414025329965497</v>
      </c>
      <c r="AM6087">
        <v>92.534728067716699</v>
      </c>
      <c r="AN6087">
        <v>0.99999997933952101</v>
      </c>
    </row>
    <row r="6088" spans="1:40" x14ac:dyDescent="0.25">
      <c r="A6088" t="str">
        <f>"20190303162421684"</f>
        <v>20190303162421684</v>
      </c>
      <c r="B6088" t="str">
        <f>"1551601461680480"</f>
        <v>1551601461680480</v>
      </c>
      <c r="C6088" t="s">
        <v>40</v>
      </c>
      <c r="D6088">
        <v>5.4490819999999998</v>
      </c>
      <c r="E6088">
        <v>0.53713559999999905</v>
      </c>
      <c r="F6088" t="s">
        <v>42</v>
      </c>
      <c r="G6088">
        <v>-237.99289999999999</v>
      </c>
      <c r="H6088">
        <v>0.86566379999999998</v>
      </c>
      <c r="I6088">
        <v>-62.02731</v>
      </c>
      <c r="J6088">
        <v>-238.61510000000001</v>
      </c>
      <c r="K6088">
        <v>1.120377</v>
      </c>
      <c r="L6088">
        <v>-62.014099999999999</v>
      </c>
      <c r="M6088">
        <v>0.99898240000000005</v>
      </c>
      <c r="N6088">
        <v>-9.7484830000000005E-3</v>
      </c>
      <c r="O6088">
        <v>4.4033740000000002E-2</v>
      </c>
      <c r="P6088">
        <v>0.98633839999999995</v>
      </c>
      <c r="Q6088">
        <v>0.13958690000000001</v>
      </c>
      <c r="R6088">
        <v>8.747721E-2</v>
      </c>
      <c r="S6088">
        <v>3.1892849999999999</v>
      </c>
      <c r="T6088">
        <v>-1.0291490000000001</v>
      </c>
      <c r="U6088">
        <v>-2.3284909999999999E-2</v>
      </c>
      <c r="V6088">
        <v>-4.3973779999999997E-2</v>
      </c>
      <c r="W6088">
        <v>0.14921879999999901</v>
      </c>
      <c r="X6088">
        <v>0.98782590000000003</v>
      </c>
      <c r="Y6088">
        <v>4.6776140000000001E-2</v>
      </c>
      <c r="Z6088">
        <v>-2.1029269999999999E-2</v>
      </c>
      <c r="AA6088">
        <v>0.99868400000000002</v>
      </c>
      <c r="AB6088">
        <v>32</v>
      </c>
      <c r="AC6088">
        <v>0.62220000000001996</v>
      </c>
      <c r="AD6088">
        <v>-0.25471319999999897</v>
      </c>
      <c r="AE6088">
        <v>-1.3210000000000799E-2</v>
      </c>
      <c r="AF6088">
        <v>3.4771605008556999E-2</v>
      </c>
      <c r="AG6088">
        <v>-0.25471319999999897</v>
      </c>
      <c r="AH6088">
        <v>0.53191270561081605</v>
      </c>
      <c r="AI6088">
        <v>115.540471104517</v>
      </c>
      <c r="AJ6088">
        <v>86.259845719640595</v>
      </c>
      <c r="AK6088">
        <v>0.59077830457738501</v>
      </c>
      <c r="AL6088">
        <v>81.418342193412798</v>
      </c>
      <c r="AM6088">
        <v>92.548880036686199</v>
      </c>
      <c r="AN6088">
        <v>0.999999976155868</v>
      </c>
    </row>
    <row r="6089" spans="1:40" x14ac:dyDescent="0.25">
      <c r="A6089" t="str">
        <f>"20190303162421695"</f>
        <v>20190303162421695</v>
      </c>
      <c r="B6089" t="str">
        <f>"1551601461691216"</f>
        <v>1551601461691216</v>
      </c>
      <c r="C6089" t="s">
        <v>40</v>
      </c>
      <c r="D6089">
        <v>5.4558989999999996</v>
      </c>
      <c r="E6089">
        <v>0.53714659999999903</v>
      </c>
      <c r="F6089" t="s">
        <v>42</v>
      </c>
      <c r="G6089">
        <v>-237.72370000000001</v>
      </c>
      <c r="H6089">
        <v>0.83217909999999995</v>
      </c>
      <c r="I6089">
        <v>-62.020290000000003</v>
      </c>
      <c r="J6089">
        <v>-238.45699999999999</v>
      </c>
      <c r="K6089">
        <v>1.1203379999999901</v>
      </c>
      <c r="L6089">
        <v>-62.00714</v>
      </c>
      <c r="M6089">
        <v>0.99898419999999999</v>
      </c>
      <c r="N6089">
        <v>-9.7505149999999995E-3</v>
      </c>
      <c r="O6089">
        <v>4.3995569999999998E-2</v>
      </c>
      <c r="P6089">
        <v>0.98627100000000001</v>
      </c>
      <c r="Q6089">
        <v>0.13990929999999999</v>
      </c>
      <c r="R6089">
        <v>8.7720969999999995E-2</v>
      </c>
      <c r="S6089">
        <v>3.1894070000000001</v>
      </c>
      <c r="T6089">
        <v>-1.031101</v>
      </c>
      <c r="U6089">
        <v>-2.163696E-2</v>
      </c>
      <c r="V6089">
        <v>-4.4244760000000001E-2</v>
      </c>
      <c r="W6089">
        <v>0.14954700000000001</v>
      </c>
      <c r="X6089">
        <v>0.98776419999999998</v>
      </c>
      <c r="Y6089">
        <v>4.6235320000000003E-2</v>
      </c>
      <c r="Z6089">
        <v>-2.096717E-2</v>
      </c>
      <c r="AA6089">
        <v>0.99871049999999995</v>
      </c>
      <c r="AB6089">
        <v>32</v>
      </c>
      <c r="AC6089">
        <v>0.73329999999998496</v>
      </c>
      <c r="AD6089">
        <v>-0.288158899999999</v>
      </c>
      <c r="AE6089">
        <v>-1.31500000000031E-2</v>
      </c>
      <c r="AF6089">
        <v>3.9329482763999203E-2</v>
      </c>
      <c r="AG6089">
        <v>-0.288158899999999</v>
      </c>
      <c r="AH6089">
        <v>0.63412228492996203</v>
      </c>
      <c r="AI6089">
        <v>114.396675415952</v>
      </c>
      <c r="AJ6089">
        <v>86.450951715405793</v>
      </c>
      <c r="AK6089">
        <v>0.69763416781898702</v>
      </c>
      <c r="AL6089">
        <v>81.399324614685398</v>
      </c>
      <c r="AM6089">
        <v>92.564726095352995</v>
      </c>
      <c r="AN6089">
        <v>1.00000000939904</v>
      </c>
    </row>
    <row r="6090" spans="1:40" x14ac:dyDescent="0.25">
      <c r="A6090" t="str">
        <f>"20190303162421707"</f>
        <v>20190303162421707</v>
      </c>
      <c r="B6090" t="str">
        <f>"1551601461700507"</f>
        <v>1551601461700507</v>
      </c>
      <c r="C6090" t="s">
        <v>40</v>
      </c>
      <c r="D6090">
        <v>5.4308500000000004</v>
      </c>
      <c r="E6090">
        <v>0.53722179999999997</v>
      </c>
      <c r="F6090" t="s">
        <v>42</v>
      </c>
      <c r="G6090">
        <v>-237.70570000000001</v>
      </c>
      <c r="H6090">
        <v>0.87759379999999998</v>
      </c>
      <c r="I6090">
        <v>-62.0122199999999</v>
      </c>
      <c r="J6090">
        <v>-238.2921</v>
      </c>
      <c r="K6090">
        <v>1.120293</v>
      </c>
      <c r="L6090">
        <v>-61.99991</v>
      </c>
      <c r="M6090">
        <v>0.99898679999999995</v>
      </c>
      <c r="N6090">
        <v>-9.7525549999999996E-3</v>
      </c>
      <c r="O6090">
        <v>4.3935059999999998E-2</v>
      </c>
      <c r="P6090">
        <v>0.98628990000000005</v>
      </c>
      <c r="Q6090">
        <v>0.13958110000000001</v>
      </c>
      <c r="R6090">
        <v>8.8031250000000005E-2</v>
      </c>
      <c r="S6090">
        <v>3.189835</v>
      </c>
      <c r="T6090">
        <v>-1.0306040000000001</v>
      </c>
      <c r="U6090">
        <v>-2.0935059999999998E-2</v>
      </c>
      <c r="V6090">
        <v>-4.4599729999999997E-2</v>
      </c>
      <c r="W6090">
        <v>0.14922539999999901</v>
      </c>
      <c r="X6090">
        <v>0.98779680000000003</v>
      </c>
      <c r="Y6090">
        <v>4.5976179999999998E-2</v>
      </c>
      <c r="Z6090">
        <v>-2.089413E-2</v>
      </c>
      <c r="AA6090">
        <v>0.99872399999999995</v>
      </c>
      <c r="AB6090">
        <v>32</v>
      </c>
      <c r="AC6090">
        <v>0.58639999999999703</v>
      </c>
      <c r="AD6090">
        <v>-0.2426992</v>
      </c>
      <c r="AE6090">
        <v>-1.23099999999922E-2</v>
      </c>
      <c r="AF6090">
        <v>3.2498436496703399E-2</v>
      </c>
      <c r="AG6090">
        <v>-0.2426992</v>
      </c>
      <c r="AH6090">
        <v>0.49972871753644299</v>
      </c>
      <c r="AI6090">
        <v>115.856599533921</v>
      </c>
      <c r="AJ6090">
        <v>86.279171312737205</v>
      </c>
      <c r="AK6090">
        <v>0.55649603878732901</v>
      </c>
      <c r="AL6090">
        <v>81.417959420890995</v>
      </c>
      <c r="AM6090">
        <v>92.585189550184197</v>
      </c>
      <c r="AN6090">
        <v>0.99999993700573397</v>
      </c>
    </row>
    <row r="6091" spans="1:40" x14ac:dyDescent="0.25">
      <c r="A6091" t="str">
        <f>"20190303162421718"</f>
        <v>20190303162421718</v>
      </c>
      <c r="B6091" t="str">
        <f>"1551601461711243"</f>
        <v>1551601461711243</v>
      </c>
      <c r="C6091" t="s">
        <v>40</v>
      </c>
      <c r="D6091">
        <v>5.4445430000000004</v>
      </c>
      <c r="E6091">
        <v>0.53733949999999997</v>
      </c>
      <c r="F6091" t="s">
        <v>42</v>
      </c>
      <c r="G6091">
        <v>-237.4367</v>
      </c>
      <c r="H6091">
        <v>0.84336730000000004</v>
      </c>
      <c r="I6091">
        <v>-62.005690000000001</v>
      </c>
      <c r="J6091">
        <v>-238.13</v>
      </c>
      <c r="K6091">
        <v>1.12025</v>
      </c>
      <c r="L6091">
        <v>-61.992829999999998</v>
      </c>
      <c r="M6091">
        <v>0.99899079999999996</v>
      </c>
      <c r="N6091">
        <v>-9.754436E-3</v>
      </c>
      <c r="O6091">
        <v>4.384424E-2</v>
      </c>
      <c r="P6091">
        <v>0.98622969999999999</v>
      </c>
      <c r="Q6091">
        <v>0.13957749999999999</v>
      </c>
      <c r="R6091">
        <v>8.870873E-2</v>
      </c>
      <c r="S6091">
        <v>3.1896969999999998</v>
      </c>
      <c r="T6091">
        <v>-1.032543</v>
      </c>
      <c r="U6091">
        <v>-2.114868E-2</v>
      </c>
      <c r="V6091">
        <v>-4.5353810000000001E-2</v>
      </c>
      <c r="W6091">
        <v>0.14922779999999899</v>
      </c>
      <c r="X6091">
        <v>0.98776220000000003</v>
      </c>
      <c r="Y6091">
        <v>4.5941639999999999E-2</v>
      </c>
      <c r="Z6091">
        <v>-2.0899350000000001E-2</v>
      </c>
      <c r="AA6091">
        <v>0.99872550000000004</v>
      </c>
      <c r="AB6091">
        <v>32</v>
      </c>
      <c r="AC6091">
        <v>0.69329999999999303</v>
      </c>
      <c r="AD6091">
        <v>-0.27688269999999898</v>
      </c>
      <c r="AE6091">
        <v>-1.28599999999963E-2</v>
      </c>
      <c r="AF6091">
        <v>3.7299259901397798E-2</v>
      </c>
      <c r="AG6091">
        <v>-0.27688269999999898</v>
      </c>
      <c r="AH6091">
        <v>0.59689921052484896</v>
      </c>
      <c r="AI6091">
        <v>114.842504956889</v>
      </c>
      <c r="AJ6091">
        <v>86.424329269636104</v>
      </c>
      <c r="AK6091">
        <v>0.65904774627766605</v>
      </c>
      <c r="AL6091">
        <v>81.417821193118101</v>
      </c>
      <c r="AM6091">
        <v>92.628930372360699</v>
      </c>
      <c r="AN6091">
        <v>1.00000003406159</v>
      </c>
    </row>
    <row r="6092" spans="1:40" x14ac:dyDescent="0.25">
      <c r="A6092" t="str">
        <f>"20190303162421728"</f>
        <v>20190303162421728</v>
      </c>
      <c r="B6092" t="str">
        <f>"1551601461721003"</f>
        <v>1551601461721003</v>
      </c>
      <c r="C6092" t="s">
        <v>40</v>
      </c>
      <c r="D6092">
        <v>5.3894960000000003</v>
      </c>
      <c r="E6092">
        <v>0.53746549999999904</v>
      </c>
      <c r="F6092" t="s">
        <v>42</v>
      </c>
      <c r="G6092">
        <v>-237.4178</v>
      </c>
      <c r="H6092">
        <v>0.88959359999999998</v>
      </c>
      <c r="I6092">
        <v>-61.997680000000003</v>
      </c>
      <c r="J6092">
        <v>-237.98779999999999</v>
      </c>
      <c r="K6092">
        <v>1.1202099999999999</v>
      </c>
      <c r="L6092">
        <v>-61.986629999999998</v>
      </c>
      <c r="M6092">
        <v>0.99899579999999999</v>
      </c>
      <c r="N6092">
        <v>-9.7547729999999996E-3</v>
      </c>
      <c r="O6092">
        <v>4.3733130000000002E-2</v>
      </c>
      <c r="P6092">
        <v>0.98610339999999996</v>
      </c>
      <c r="Q6092">
        <v>0.13978979999999999</v>
      </c>
      <c r="R6092">
        <v>8.9772110000000002E-2</v>
      </c>
      <c r="S6092">
        <v>3.1900179999999998</v>
      </c>
      <c r="T6092">
        <v>-1.033188</v>
      </c>
      <c r="U6092">
        <v>-2.1270750000000001E-2</v>
      </c>
      <c r="V6092">
        <v>-4.6516549999999997E-2</v>
      </c>
      <c r="W6092">
        <v>0.1494442</v>
      </c>
      <c r="X6092">
        <v>0.98767539999999998</v>
      </c>
      <c r="Y6092">
        <v>4.5872429999999999E-2</v>
      </c>
      <c r="Z6092">
        <v>-2.0864589999999999E-2</v>
      </c>
      <c r="AA6092">
        <v>0.99872939999999999</v>
      </c>
      <c r="AB6092">
        <v>32</v>
      </c>
      <c r="AC6092">
        <v>0.56999999999999296</v>
      </c>
      <c r="AD6092">
        <v>-0.230616399999999</v>
      </c>
      <c r="AE6092">
        <v>-1.10499999999973E-2</v>
      </c>
      <c r="AF6092">
        <v>3.0910546929041501E-2</v>
      </c>
      <c r="AG6092">
        <v>-0.230616399999999</v>
      </c>
      <c r="AH6092">
        <v>0.48896168693591202</v>
      </c>
      <c r="AI6092">
        <v>115.20662491048</v>
      </c>
      <c r="AJ6092">
        <v>86.382763043651195</v>
      </c>
      <c r="AK6092">
        <v>0.54150061602146504</v>
      </c>
      <c r="AL6092">
        <v>81.405281715483</v>
      </c>
      <c r="AM6092">
        <v>92.696466900928797</v>
      </c>
      <c r="AN6092">
        <v>1.00000002705135</v>
      </c>
    </row>
    <row r="6093" spans="1:40" x14ac:dyDescent="0.25">
      <c r="A6093" t="str">
        <f>"20190303162421738"</f>
        <v>20190303162421738</v>
      </c>
      <c r="B6093" t="str">
        <f>"1551601461730764"</f>
        <v>1551601461730764</v>
      </c>
      <c r="C6093" t="s">
        <v>40</v>
      </c>
      <c r="D6093">
        <v>5.4319419999999896</v>
      </c>
      <c r="E6093">
        <v>0.53760980000000003</v>
      </c>
      <c r="F6093" t="s">
        <v>42</v>
      </c>
      <c r="G6093">
        <v>-237.15119999999999</v>
      </c>
      <c r="H6093">
        <v>0.84940450000000001</v>
      </c>
      <c r="I6093">
        <v>-61.99203</v>
      </c>
      <c r="J6093">
        <v>-237.83920000000001</v>
      </c>
      <c r="K6093">
        <v>1.1201730000000001</v>
      </c>
      <c r="L6093">
        <v>-61.980220000000003</v>
      </c>
      <c r="M6093">
        <v>0.99900160000000005</v>
      </c>
      <c r="N6093">
        <v>-9.7542259999999995E-3</v>
      </c>
      <c r="O6093">
        <v>4.3596210000000003E-2</v>
      </c>
      <c r="P6093">
        <v>0.98591569999999995</v>
      </c>
      <c r="Q6093">
        <v>0.14020360000000001</v>
      </c>
      <c r="R6093">
        <v>9.1176090000000001E-2</v>
      </c>
      <c r="S6093">
        <v>3.1904910000000002</v>
      </c>
      <c r="T6093">
        <v>-1.0327500000000001</v>
      </c>
      <c r="U6093">
        <v>-1.9897459999999999E-2</v>
      </c>
      <c r="V6093">
        <v>-4.8046390000000001E-2</v>
      </c>
      <c r="W6093">
        <v>0.14986189999999999</v>
      </c>
      <c r="X6093">
        <v>0.98753880000000005</v>
      </c>
      <c r="Y6093">
        <v>4.5344179999999998E-2</v>
      </c>
      <c r="Z6093">
        <v>-2.0725219999999999E-2</v>
      </c>
      <c r="AA6093">
        <v>0.99875639999999999</v>
      </c>
      <c r="AB6093">
        <v>32</v>
      </c>
      <c r="AC6093">
        <v>0.68800000000001604</v>
      </c>
      <c r="AD6093">
        <v>-0.27076849999999902</v>
      </c>
      <c r="AE6093">
        <v>-1.18100000000112E-2</v>
      </c>
      <c r="AF6093">
        <v>3.6190540111495799E-2</v>
      </c>
      <c r="AG6093">
        <v>-0.27076849999999902</v>
      </c>
      <c r="AH6093">
        <v>0.59473966694957903</v>
      </c>
      <c r="AI6093">
        <v>114.438554703892</v>
      </c>
      <c r="AJ6093">
        <v>86.517784797605401</v>
      </c>
      <c r="AK6093">
        <v>0.65447735425231301</v>
      </c>
      <c r="AL6093">
        <v>81.381076130140798</v>
      </c>
      <c r="AM6093">
        <v>92.785395743403299</v>
      </c>
      <c r="AN6093">
        <v>0.99999996308453998</v>
      </c>
    </row>
    <row r="6094" spans="1:40" x14ac:dyDescent="0.25">
      <c r="A6094" t="str">
        <f>"20190303162421750"</f>
        <v>20190303162421750</v>
      </c>
      <c r="B6094" t="str">
        <f>"1551601461740523"</f>
        <v>1551601461740523</v>
      </c>
      <c r="C6094" t="s">
        <v>40</v>
      </c>
      <c r="D6094">
        <v>5.4096950000000001</v>
      </c>
      <c r="E6094">
        <v>0.53771919999999995</v>
      </c>
      <c r="F6094" t="s">
        <v>42</v>
      </c>
      <c r="G6094">
        <v>-237.1336</v>
      </c>
      <c r="H6094">
        <v>0.89220650000000001</v>
      </c>
      <c r="I6094">
        <v>-61.984189999999998</v>
      </c>
      <c r="J6094">
        <v>-237.6808</v>
      </c>
      <c r="K6094">
        <v>1.120123</v>
      </c>
      <c r="L6094">
        <v>-61.973419999999997</v>
      </c>
      <c r="M6094">
        <v>0.99900979999999995</v>
      </c>
      <c r="N6094">
        <v>-9.7524689999999997E-3</v>
      </c>
      <c r="O6094">
        <v>4.3405680000000002E-2</v>
      </c>
      <c r="P6094">
        <v>0.98568330000000004</v>
      </c>
      <c r="Q6094">
        <v>0.1408567</v>
      </c>
      <c r="R6094">
        <v>9.2671660000000003E-2</v>
      </c>
      <c r="S6094">
        <v>3.1910099999999999</v>
      </c>
      <c r="T6094">
        <v>-1.0308729999999999</v>
      </c>
      <c r="U6094">
        <v>-1.7059330000000001E-2</v>
      </c>
      <c r="V6094">
        <v>-4.9720529999999999E-2</v>
      </c>
      <c r="W6094">
        <v>0.1505186</v>
      </c>
      <c r="X6094">
        <v>0.98735609999999996</v>
      </c>
      <c r="Y6094">
        <v>4.434345E-2</v>
      </c>
      <c r="Z6094">
        <v>-2.0464980000000001E-2</v>
      </c>
      <c r="AA6094">
        <v>0.99880670000000005</v>
      </c>
      <c r="AB6094">
        <v>32</v>
      </c>
      <c r="AC6094">
        <v>0.54720000000000302</v>
      </c>
      <c r="AD6094">
        <v>-0.22791649999999999</v>
      </c>
      <c r="AE6094">
        <v>-1.07700000000079E-2</v>
      </c>
      <c r="AF6094">
        <v>2.9412029508282499E-2</v>
      </c>
      <c r="AG6094">
        <v>-0.22791649999999999</v>
      </c>
      <c r="AH6094">
        <v>0.46549251082215098</v>
      </c>
      <c r="AI6094">
        <v>116.042445845202</v>
      </c>
      <c r="AJ6094">
        <v>86.384586476357299</v>
      </c>
      <c r="AK6094">
        <v>0.51912838111931103</v>
      </c>
      <c r="AL6094">
        <v>81.3430188364988</v>
      </c>
      <c r="AM6094">
        <v>92.882822272863194</v>
      </c>
      <c r="AN6094">
        <v>1.00000002412832</v>
      </c>
    </row>
    <row r="6095" spans="1:40" x14ac:dyDescent="0.25">
      <c r="A6095" t="str">
        <f>"20190303162421761"</f>
        <v>20190303162421761</v>
      </c>
      <c r="B6095" t="str">
        <f>"1551601461751258"</f>
        <v>1551601461751258</v>
      </c>
      <c r="C6095" t="s">
        <v>40</v>
      </c>
      <c r="D6095">
        <v>5.4138840000000004</v>
      </c>
      <c r="E6095">
        <v>0.53782069999999904</v>
      </c>
      <c r="F6095" t="s">
        <v>42</v>
      </c>
      <c r="G6095">
        <v>-236.8648</v>
      </c>
      <c r="H6095">
        <v>0.85699840000000005</v>
      </c>
      <c r="I6095">
        <v>-61.9769199999999</v>
      </c>
      <c r="J6095">
        <v>-237.5206</v>
      </c>
      <c r="K6095">
        <v>1.120069</v>
      </c>
      <c r="L6095">
        <v>-61.966610000000003</v>
      </c>
      <c r="M6095">
        <v>0.99901930000000005</v>
      </c>
      <c r="N6095">
        <v>-9.7501589999999996E-3</v>
      </c>
      <c r="O6095">
        <v>4.3193120000000002E-2</v>
      </c>
      <c r="P6095">
        <v>0.98541109999999998</v>
      </c>
      <c r="Q6095">
        <v>0.1417418</v>
      </c>
      <c r="R6095">
        <v>9.42051E-2</v>
      </c>
      <c r="S6095">
        <v>3.1919249999999999</v>
      </c>
      <c r="T6095">
        <v>-1.0292269999999999</v>
      </c>
      <c r="U6095">
        <v>-1.3549800000000001E-2</v>
      </c>
      <c r="V6095">
        <v>-5.145396E-2</v>
      </c>
      <c r="W6095">
        <v>0.15140719999999999</v>
      </c>
      <c r="X6095">
        <v>0.98713139999999999</v>
      </c>
      <c r="Y6095">
        <v>4.3121510000000002E-2</v>
      </c>
      <c r="Z6095">
        <v>-2.0164899999999999E-2</v>
      </c>
      <c r="AA6095">
        <v>0.99886629999999998</v>
      </c>
      <c r="AB6095">
        <v>32</v>
      </c>
      <c r="AC6095">
        <v>0.65579999999999905</v>
      </c>
      <c r="AD6095">
        <v>-0.26307059999999899</v>
      </c>
      <c r="AE6095">
        <v>-1.03099999999969E-2</v>
      </c>
      <c r="AF6095">
        <v>3.3274637636429703E-2</v>
      </c>
      <c r="AG6095">
        <v>-0.26307059999999899</v>
      </c>
      <c r="AH6095">
        <v>0.56400674676197504</v>
      </c>
      <c r="AI6095">
        <v>114.96772417125</v>
      </c>
      <c r="AJ6095">
        <v>86.623641502369296</v>
      </c>
      <c r="AK6095">
        <v>0.62323105866702599</v>
      </c>
      <c r="AL6095">
        <v>81.291515561546902</v>
      </c>
      <c r="AM6095">
        <v>92.9838267856844</v>
      </c>
      <c r="AN6095">
        <v>1.00000002553874</v>
      </c>
    </row>
    <row r="6096" spans="1:40" x14ac:dyDescent="0.25">
      <c r="A6096" t="str">
        <f>"20190303162421774"</f>
        <v>20190303162421774</v>
      </c>
      <c r="B6096" t="str">
        <f>"1551601461761019"</f>
        <v>1551601461761019</v>
      </c>
      <c r="C6096" t="s">
        <v>40</v>
      </c>
      <c r="D6096">
        <v>5.5492089999999896</v>
      </c>
      <c r="E6096">
        <v>0.53793789999999997</v>
      </c>
      <c r="F6096" t="s">
        <v>42</v>
      </c>
      <c r="G6096">
        <v>-236.84540000000001</v>
      </c>
      <c r="H6096">
        <v>0.90282799999999996</v>
      </c>
      <c r="I6096">
        <v>-61.968780000000002</v>
      </c>
      <c r="J6096">
        <v>-237.34829999999999</v>
      </c>
      <c r="K6096">
        <v>1.120007</v>
      </c>
      <c r="L6096">
        <v>-61.959380000000003</v>
      </c>
      <c r="M6096">
        <v>0.99903209999999998</v>
      </c>
      <c r="N6096">
        <v>-9.7474080000000008E-3</v>
      </c>
      <c r="O6096">
        <v>4.2894290000000002E-2</v>
      </c>
      <c r="P6096">
        <v>0.98506329999999998</v>
      </c>
      <c r="Q6096">
        <v>0.1429029</v>
      </c>
      <c r="R6096">
        <v>9.6069509999999997E-2</v>
      </c>
      <c r="S6096">
        <v>3.1931609999999999</v>
      </c>
      <c r="T6096">
        <v>-1.0273019999999999</v>
      </c>
      <c r="U6096">
        <v>-1.00708E-2</v>
      </c>
      <c r="V6096">
        <v>-5.3602280000000002E-2</v>
      </c>
      <c r="W6096">
        <v>0.15257270000000001</v>
      </c>
      <c r="X6096">
        <v>0.98683759999999998</v>
      </c>
      <c r="Y6096">
        <v>4.1833170000000003E-2</v>
      </c>
      <c r="Z6096">
        <v>-1.9821660000000001E-2</v>
      </c>
      <c r="AA6096">
        <v>0.99892800000000004</v>
      </c>
      <c r="AB6096">
        <v>32</v>
      </c>
      <c r="AC6096">
        <v>0.50289999999998203</v>
      </c>
      <c r="AD6096">
        <v>-0.21717899999999901</v>
      </c>
      <c r="AE6096">
        <v>-9.3999999999994002E-3</v>
      </c>
      <c r="AF6096">
        <v>2.60983416006287E-2</v>
      </c>
      <c r="AG6096">
        <v>-0.21717899999999901</v>
      </c>
      <c r="AH6096">
        <v>0.42314589385790602</v>
      </c>
      <c r="AI6096">
        <v>117.124932338595</v>
      </c>
      <c r="AJ6096">
        <v>86.470642703339493</v>
      </c>
      <c r="AK6096">
        <v>0.476340517869422</v>
      </c>
      <c r="AL6096">
        <v>81.223952518413995</v>
      </c>
      <c r="AM6096">
        <v>93.109092503397903</v>
      </c>
      <c r="AN6096">
        <v>1.00000004099012</v>
      </c>
    </row>
    <row r="6097" spans="1:40" x14ac:dyDescent="0.25">
      <c r="A6097" t="str">
        <f>"20190303162421785"</f>
        <v>20190303162421785</v>
      </c>
      <c r="B6097" t="str">
        <f>"1551601461780540"</f>
        <v>1551601461780540</v>
      </c>
      <c r="C6097" t="s">
        <v>40</v>
      </c>
      <c r="D6097">
        <v>5.353472</v>
      </c>
      <c r="E6097">
        <v>0.53004010000000001</v>
      </c>
      <c r="F6097" t="s">
        <v>42</v>
      </c>
      <c r="G6097">
        <v>-236.5746</v>
      </c>
      <c r="H6097">
        <v>0.87229939999999995</v>
      </c>
      <c r="I6097">
        <v>-61.96114</v>
      </c>
      <c r="J6097">
        <v>-237.19130000000001</v>
      </c>
      <c r="K6097">
        <v>1.1199479999999999</v>
      </c>
      <c r="L6097">
        <v>-61.95288</v>
      </c>
      <c r="M6097">
        <v>0.99904470000000001</v>
      </c>
      <c r="N6097">
        <v>-9.7449289999999994E-3</v>
      </c>
      <c r="O6097">
        <v>4.2601760000000002E-2</v>
      </c>
      <c r="P6097">
        <v>0.98471019999999998</v>
      </c>
      <c r="Q6097">
        <v>0.14397750000000001</v>
      </c>
      <c r="R6097">
        <v>9.8064269999999995E-2</v>
      </c>
      <c r="S6097">
        <v>3.194458</v>
      </c>
      <c r="T6097">
        <v>-1.0226109999999999</v>
      </c>
      <c r="U6097">
        <v>-6.4086909999999898E-3</v>
      </c>
      <c r="V6097">
        <v>-5.5876299999999997E-2</v>
      </c>
      <c r="W6097">
        <v>0.15365219999999999</v>
      </c>
      <c r="X6097">
        <v>0.98654390000000003</v>
      </c>
      <c r="Y6097">
        <v>4.051693E-2</v>
      </c>
      <c r="Z6097">
        <v>-1.9426120000000002E-2</v>
      </c>
      <c r="AA6097">
        <v>0.99899000000000004</v>
      </c>
      <c r="AB6097">
        <v>32</v>
      </c>
      <c r="AC6097">
        <v>0.61670000000000802</v>
      </c>
      <c r="AD6097">
        <v>-0.247648599999999</v>
      </c>
      <c r="AE6097">
        <v>-8.2599999999928304E-3</v>
      </c>
      <c r="AF6097">
        <v>2.97324816829737E-2</v>
      </c>
      <c r="AG6097">
        <v>-0.247648599999999</v>
      </c>
      <c r="AH6097">
        <v>0.53028955365112795</v>
      </c>
      <c r="AI6097">
        <v>114.99841789877399</v>
      </c>
      <c r="AJ6097">
        <v>86.790877856465102</v>
      </c>
      <c r="AK6097">
        <v>0.58602121144246999</v>
      </c>
      <c r="AL6097">
        <v>81.161363476056493</v>
      </c>
      <c r="AM6097">
        <v>93.241679754479904</v>
      </c>
      <c r="AN6097">
        <v>1.00000001304687</v>
      </c>
    </row>
    <row r="6098" spans="1:40" x14ac:dyDescent="0.25">
      <c r="A6098" t="str">
        <f>"20190303162421797"</f>
        <v>20190303162421797</v>
      </c>
      <c r="B6098" t="str">
        <f>"1551601461790596"</f>
        <v>1551601461790596</v>
      </c>
      <c r="C6098" t="s">
        <v>40</v>
      </c>
      <c r="D6098">
        <v>5.6105499999999999</v>
      </c>
      <c r="E6098">
        <v>0.53004010000000001</v>
      </c>
      <c r="F6098" t="s">
        <v>42</v>
      </c>
      <c r="G6098">
        <v>-236.2696</v>
      </c>
      <c r="H6098">
        <v>0.91950330000000002</v>
      </c>
      <c r="I6098">
        <v>-61.935589999999998</v>
      </c>
      <c r="J6098">
        <v>-237.01130000000001</v>
      </c>
      <c r="K6098">
        <v>1.119877</v>
      </c>
      <c r="L6098">
        <v>-61.945529999999998</v>
      </c>
      <c r="M6098">
        <v>0.9990618</v>
      </c>
      <c r="N6098">
        <v>-9.7424030000000002E-3</v>
      </c>
      <c r="O6098">
        <v>4.220057E-2</v>
      </c>
      <c r="P6098">
        <v>0.98441809999999996</v>
      </c>
      <c r="Q6098">
        <v>0.14477979999999999</v>
      </c>
      <c r="R6098">
        <v>9.9800349999999996E-2</v>
      </c>
      <c r="S6098">
        <v>3.1405029999999998</v>
      </c>
      <c r="T6098">
        <v>-0.68293809999999999</v>
      </c>
      <c r="U6098">
        <v>5.9356689999999997E-2</v>
      </c>
      <c r="V6098">
        <v>-5.799083E-2</v>
      </c>
      <c r="W6098">
        <v>0.15446209999999999</v>
      </c>
      <c r="X6098">
        <v>0.98629529999999999</v>
      </c>
      <c r="Y6098">
        <v>2.1881390000000001E-2</v>
      </c>
      <c r="Z6098">
        <v>-1.111995E-2</v>
      </c>
      <c r="AA6098">
        <v>0.9996988</v>
      </c>
      <c r="AB6098">
        <v>32</v>
      </c>
      <c r="AC6098">
        <v>0.74170000000000802</v>
      </c>
      <c r="AD6098">
        <v>-0.20037369999999899</v>
      </c>
      <c r="AE6098">
        <v>9.9400000000002802E-3</v>
      </c>
      <c r="AF6098">
        <v>1.9917137640011202E-2</v>
      </c>
      <c r="AG6098">
        <v>-0.20037369999999899</v>
      </c>
      <c r="AH6098">
        <v>0.691033672625049</v>
      </c>
      <c r="AI6098">
        <v>106.163803821481</v>
      </c>
      <c r="AJ6098">
        <v>88.349064406270301</v>
      </c>
      <c r="AK6098">
        <v>0.71977347042324702</v>
      </c>
      <c r="AL6098">
        <v>81.114398373270504</v>
      </c>
      <c r="AM6098">
        <v>93.364924184026606</v>
      </c>
      <c r="AN6098">
        <v>0.99999994775129297</v>
      </c>
    </row>
    <row r="6099" spans="1:40" x14ac:dyDescent="0.25">
      <c r="A6099" t="str">
        <f>"20190303162421809"</f>
        <v>20190303162421809</v>
      </c>
      <c r="B6099" t="str">
        <f>"1551601461801333"</f>
        <v>1551601461801333</v>
      </c>
      <c r="C6099" t="s">
        <v>40</v>
      </c>
      <c r="D6099">
        <v>5.699986</v>
      </c>
      <c r="E6099">
        <v>0.48986790000000002</v>
      </c>
      <c r="F6099" t="s">
        <v>42</v>
      </c>
      <c r="G6099">
        <v>-236.25309999999999</v>
      </c>
      <c r="H6099">
        <v>0.95572270000000004</v>
      </c>
      <c r="I6099">
        <v>-61.930390000000003</v>
      </c>
      <c r="J6099">
        <v>-236.84829999999999</v>
      </c>
      <c r="K6099">
        <v>1.1198159999999999</v>
      </c>
      <c r="L6099">
        <v>-61.938960000000002</v>
      </c>
      <c r="M6099">
        <v>0.99907869999999999</v>
      </c>
      <c r="N6099">
        <v>-9.7403190000000008E-3</v>
      </c>
      <c r="O6099">
        <v>4.179911E-2</v>
      </c>
      <c r="P6099">
        <v>0.98408949999999995</v>
      </c>
      <c r="Q6099">
        <v>0.14560399999999901</v>
      </c>
      <c r="R6099">
        <v>0.1018213</v>
      </c>
      <c r="S6099">
        <v>3.1410979999999999</v>
      </c>
      <c r="T6099">
        <v>-0.67998210000000003</v>
      </c>
      <c r="U6099">
        <v>6.3232419999999998E-2</v>
      </c>
      <c r="V6099">
        <v>-6.039485E-2</v>
      </c>
      <c r="W6099">
        <v>0.1552945</v>
      </c>
      <c r="X6099">
        <v>0.98602029999999996</v>
      </c>
      <c r="Y6099">
        <v>2.0309770000000001E-2</v>
      </c>
      <c r="Z6099">
        <v>-1.081151E-2</v>
      </c>
      <c r="AA6099">
        <v>0.99973529999999999</v>
      </c>
      <c r="AB6099">
        <v>32</v>
      </c>
      <c r="AC6099">
        <v>0.59520000000000495</v>
      </c>
      <c r="AD6099">
        <v>-0.1640933</v>
      </c>
      <c r="AE6099">
        <v>8.5699999999917491E-3</v>
      </c>
      <c r="AF6099">
        <v>1.51650783363404E-2</v>
      </c>
      <c r="AG6099">
        <v>-0.1640933</v>
      </c>
      <c r="AH6099">
        <v>0.55301359172762399</v>
      </c>
      <c r="AI6099">
        <v>106.521099838437</v>
      </c>
      <c r="AJ6099">
        <v>88.429193616702904</v>
      </c>
      <c r="AK6099">
        <v>0.57704473253061095</v>
      </c>
      <c r="AL6099">
        <v>81.066123101300803</v>
      </c>
      <c r="AM6099">
        <v>93.505051874736793</v>
      </c>
      <c r="AN6099">
        <v>0.99999997582443101</v>
      </c>
    </row>
    <row r="6100" spans="1:40" x14ac:dyDescent="0.25">
      <c r="A6100" t="str">
        <f>"20190303162421851"</f>
        <v>20190303162421851</v>
      </c>
      <c r="B6100" t="str">
        <f>"1551601461840968"</f>
        <v>1551601461840968</v>
      </c>
      <c r="C6100" t="s">
        <v>40</v>
      </c>
      <c r="D6100">
        <v>5.6244540000000001</v>
      </c>
      <c r="E6100">
        <v>0.49187520000000001</v>
      </c>
      <c r="F6100" t="s">
        <v>56</v>
      </c>
      <c r="G6100">
        <v>-207.06280000000001</v>
      </c>
      <c r="H6100" s="1">
        <v>-2.4365100000000002E-6</v>
      </c>
      <c r="I6100">
        <v>-58.136389999999999</v>
      </c>
      <c r="J6100">
        <v>-236.245</v>
      </c>
      <c r="K6100">
        <v>1.119583</v>
      </c>
      <c r="L6100">
        <v>-61.915649999999999</v>
      </c>
      <c r="M6100">
        <v>0.99915299999999996</v>
      </c>
      <c r="N6100">
        <v>-9.7340139999999992E-3</v>
      </c>
      <c r="O6100">
        <v>3.9984789999999999E-2</v>
      </c>
      <c r="P6100">
        <v>0.98306079999999996</v>
      </c>
      <c r="Q6100">
        <v>0.14791190000000001</v>
      </c>
      <c r="R6100">
        <v>0.1082293</v>
      </c>
      <c r="S6100">
        <v>3.0253450000000002</v>
      </c>
      <c r="T6100">
        <v>-0.11374090000000001</v>
      </c>
      <c r="U6100">
        <v>0.38623049999999998</v>
      </c>
      <c r="V6100">
        <v>-6.8539450000000002E-2</v>
      </c>
      <c r="W6100">
        <v>0.1576371</v>
      </c>
      <c r="X6100">
        <v>0.98511559999999998</v>
      </c>
      <c r="Y6100">
        <v>-8.6810209999999999E-2</v>
      </c>
      <c r="Z6100">
        <v>9.4155889999999998E-4</v>
      </c>
      <c r="AA6100">
        <v>0.99622440000000001</v>
      </c>
      <c r="AB6100">
        <v>32</v>
      </c>
      <c r="AC6100">
        <v>29.182199999999899</v>
      </c>
      <c r="AD6100">
        <v>-1.11958543651</v>
      </c>
      <c r="AE6100">
        <v>3.7792599999999901</v>
      </c>
      <c r="AF6100">
        <v>-2.6055662478777499</v>
      </c>
      <c r="AG6100">
        <v>-1.11958543651</v>
      </c>
      <c r="AH6100">
        <v>29.267612092284299</v>
      </c>
      <c r="AI6100">
        <v>92.1820681725778</v>
      </c>
      <c r="AJ6100">
        <v>95.087378400250998</v>
      </c>
      <c r="AK6100">
        <v>29.4046860994323</v>
      </c>
      <c r="AL6100">
        <v>80.9302277714106</v>
      </c>
      <c r="AM6100">
        <v>93.979942114831204</v>
      </c>
      <c r="AN6100">
        <v>0.99999992843303298</v>
      </c>
    </row>
    <row r="6101" spans="1:40" x14ac:dyDescent="0.25">
      <c r="A6101" t="str">
        <f>"20190303162421862"</f>
        <v>20190303162421862</v>
      </c>
      <c r="B6101" t="str">
        <f>"1551601461850728"</f>
        <v>1551601461850728</v>
      </c>
      <c r="C6101" t="s">
        <v>40</v>
      </c>
      <c r="D6101">
        <v>5.2070670000000003</v>
      </c>
      <c r="E6101">
        <v>0.49354530000000002</v>
      </c>
      <c r="F6101" t="s">
        <v>56</v>
      </c>
      <c r="G6101">
        <v>-206.0163</v>
      </c>
      <c r="H6101" s="1">
        <v>-3.1168450000000001E-6</v>
      </c>
      <c r="I6101">
        <v>-58.041910000000001</v>
      </c>
      <c r="J6101">
        <v>-236.08760000000001</v>
      </c>
      <c r="K6101">
        <v>1.1195310000000001</v>
      </c>
      <c r="L6101">
        <v>-61.909759999999999</v>
      </c>
      <c r="M6101">
        <v>0.99917440000000002</v>
      </c>
      <c r="N6101">
        <v>-9.7326319999999997E-3</v>
      </c>
      <c r="O6101">
        <v>3.9445979999999999E-2</v>
      </c>
      <c r="P6101">
        <v>0.98289059999999995</v>
      </c>
      <c r="Q6101">
        <v>0.14844360000000001</v>
      </c>
      <c r="R6101">
        <v>0.1090443</v>
      </c>
      <c r="S6101">
        <v>3.0258479999999999</v>
      </c>
      <c r="T6101">
        <v>-0.1120691</v>
      </c>
      <c r="U6101">
        <v>0.3877563</v>
      </c>
      <c r="V6101">
        <v>-6.987061E-2</v>
      </c>
      <c r="W6101">
        <v>0.15817719999999999</v>
      </c>
      <c r="X6101">
        <v>0.98493560000000002</v>
      </c>
      <c r="Y6101">
        <v>-8.7821189999999993E-2</v>
      </c>
      <c r="Z6101">
        <v>9.777048999999999E-4</v>
      </c>
      <c r="AA6101">
        <v>0.99613580000000002</v>
      </c>
      <c r="AB6101">
        <v>32</v>
      </c>
      <c r="AC6101">
        <v>30.071300000000001</v>
      </c>
      <c r="AD6101">
        <v>-1.1195341168449999</v>
      </c>
      <c r="AE6101">
        <v>3.8678499999999998</v>
      </c>
      <c r="AF6101">
        <v>-2.67494422106037</v>
      </c>
      <c r="AG6101">
        <v>-1.1195341168449999</v>
      </c>
      <c r="AH6101">
        <v>30.1593505379454</v>
      </c>
      <c r="AI6101">
        <v>92.117574294958999</v>
      </c>
      <c r="AJ6101">
        <v>95.068511524156904</v>
      </c>
      <c r="AK6101">
        <v>30.298434086520601</v>
      </c>
      <c r="AL6101">
        <v>80.898890097322095</v>
      </c>
      <c r="AM6101">
        <v>94.057723072203203</v>
      </c>
      <c r="AN6101">
        <v>1.00000003244448</v>
      </c>
    </row>
    <row r="6102" spans="1:40" x14ac:dyDescent="0.25">
      <c r="A6102" t="str">
        <f>"20190303162421874"</f>
        <v>20190303162421874</v>
      </c>
      <c r="B6102" t="str">
        <f>"1551601461860487"</f>
        <v>1551601461860487</v>
      </c>
      <c r="C6102" t="s">
        <v>40</v>
      </c>
      <c r="D6102">
        <v>5.3370249999999997</v>
      </c>
      <c r="E6102">
        <v>0.4949249</v>
      </c>
      <c r="F6102" t="s">
        <v>56</v>
      </c>
      <c r="G6102">
        <v>-208.1891</v>
      </c>
      <c r="H6102" s="1">
        <v>-1.639286E-6</v>
      </c>
      <c r="I6102">
        <v>-58.441870000000002</v>
      </c>
      <c r="J6102">
        <v>-235.9247</v>
      </c>
      <c r="K6102">
        <v>1.1194850000000001</v>
      </c>
      <c r="L6102">
        <v>-61.9039</v>
      </c>
      <c r="M6102">
        <v>0.99919840000000004</v>
      </c>
      <c r="N6102">
        <v>-9.7315460000000006E-3</v>
      </c>
      <c r="O6102">
        <v>3.8836170000000003E-2</v>
      </c>
      <c r="P6102">
        <v>0.98268940000000005</v>
      </c>
      <c r="Q6102">
        <v>0.1490408</v>
      </c>
      <c r="R6102">
        <v>0.110039</v>
      </c>
      <c r="S6102">
        <v>3.0288240000000002</v>
      </c>
      <c r="T6102">
        <v>-0.1215432</v>
      </c>
      <c r="U6102">
        <v>0.37649539999999998</v>
      </c>
      <c r="V6102">
        <v>-7.1453260000000005E-2</v>
      </c>
      <c r="W6102">
        <v>0.1587836</v>
      </c>
      <c r="X6102">
        <v>0.9847245</v>
      </c>
      <c r="Y6102">
        <v>-8.4654450000000006E-2</v>
      </c>
      <c r="Z6102">
        <v>9.3110739999999995E-4</v>
      </c>
      <c r="AA6102">
        <v>0.99641000000000002</v>
      </c>
      <c r="AB6102">
        <v>32</v>
      </c>
      <c r="AC6102">
        <v>27.735600000000002</v>
      </c>
      <c r="AD6102">
        <v>-1.1194866392859999</v>
      </c>
      <c r="AE6102">
        <v>3.4620299999999999</v>
      </c>
      <c r="AF6102">
        <v>-2.37840734461615</v>
      </c>
      <c r="AG6102">
        <v>-1.1194866392859999</v>
      </c>
      <c r="AH6102">
        <v>27.8045294023987</v>
      </c>
      <c r="AI6102">
        <v>92.297259608705403</v>
      </c>
      <c r="AJ6102">
        <v>94.889195461302407</v>
      </c>
      <c r="AK6102">
        <v>27.928514588522599</v>
      </c>
      <c r="AL6102">
        <v>80.863701574738002</v>
      </c>
      <c r="AM6102">
        <v>94.150204100696399</v>
      </c>
      <c r="AN6102">
        <v>1.0000000704469101</v>
      </c>
    </row>
    <row r="6103" spans="1:40" x14ac:dyDescent="0.25">
      <c r="A6103" t="str">
        <f>"20190303162421886"</f>
        <v>20190303162421886</v>
      </c>
      <c r="B6103" t="str">
        <f>"1551601461880983"</f>
        <v>1551601461880983</v>
      </c>
      <c r="C6103" t="s">
        <v>40</v>
      </c>
      <c r="D6103">
        <v>5.5359930000000004</v>
      </c>
      <c r="E6103">
        <v>0.49660070000000001</v>
      </c>
      <c r="F6103" t="s">
        <v>56</v>
      </c>
      <c r="G6103">
        <v>-209.67740000000001</v>
      </c>
      <c r="H6103" s="1">
        <v>-6.2003040000000005E-7</v>
      </c>
      <c r="I6103">
        <v>-58.71734</v>
      </c>
      <c r="J6103">
        <v>-235.74119999999999</v>
      </c>
      <c r="K6103">
        <v>1.119432</v>
      </c>
      <c r="L6103">
        <v>-61.897399999999998</v>
      </c>
      <c r="M6103">
        <v>0.99922529999999998</v>
      </c>
      <c r="N6103">
        <v>-9.7303990000000007E-3</v>
      </c>
      <c r="O6103">
        <v>3.8133319999999998E-2</v>
      </c>
      <c r="P6103">
        <v>0.98251319999999998</v>
      </c>
      <c r="Q6103">
        <v>0.14984749999999999</v>
      </c>
      <c r="R6103">
        <v>0.11051469999999999</v>
      </c>
      <c r="S6103">
        <v>3.0312649999999999</v>
      </c>
      <c r="T6103">
        <v>-0.12928770000000001</v>
      </c>
      <c r="U6103">
        <v>0.36801149999999999</v>
      </c>
      <c r="V6103">
        <v>-7.2606149999999994E-2</v>
      </c>
      <c r="W6103">
        <v>0.15959889999999999</v>
      </c>
      <c r="X6103">
        <v>0.9845083</v>
      </c>
      <c r="Y6103">
        <v>-8.2504880000000003E-2</v>
      </c>
      <c r="Z6103">
        <v>9.0667579999999996E-4</v>
      </c>
      <c r="AA6103">
        <v>0.99659030000000004</v>
      </c>
      <c r="AB6103">
        <v>32</v>
      </c>
      <c r="AC6103">
        <v>26.063799999999901</v>
      </c>
      <c r="AD6103">
        <v>-1.1194326200303999</v>
      </c>
      <c r="AE6103">
        <v>3.1800599999999899</v>
      </c>
      <c r="AF6103">
        <v>-2.1798384157766901</v>
      </c>
      <c r="AG6103">
        <v>-1.1194326200303999</v>
      </c>
      <c r="AH6103">
        <v>26.118639213351901</v>
      </c>
      <c r="AI6103">
        <v>92.445675814158903</v>
      </c>
      <c r="AJ6103">
        <v>94.770798459608301</v>
      </c>
      <c r="AK6103">
        <v>26.233340223214601</v>
      </c>
      <c r="AL6103">
        <v>80.816384535288194</v>
      </c>
      <c r="AM6103">
        <v>94.217850212401302</v>
      </c>
      <c r="AN6103">
        <v>1.00000002733396</v>
      </c>
    </row>
    <row r="6104" spans="1:40" x14ac:dyDescent="0.25">
      <c r="A6104" t="str">
        <f>"20190303162421897"</f>
        <v>20190303162421897</v>
      </c>
      <c r="B6104" t="str">
        <f>"1551601461890743"</f>
        <v>1551601461890743</v>
      </c>
      <c r="C6104" t="s">
        <v>40</v>
      </c>
      <c r="D6104">
        <v>5.4840519999999904</v>
      </c>
      <c r="E6104">
        <v>0.49680400000000002</v>
      </c>
      <c r="F6104" t="s">
        <v>66</v>
      </c>
      <c r="G6104">
        <v>-212.3879</v>
      </c>
      <c r="H6104" s="1">
        <v>-2.106002E-7</v>
      </c>
      <c r="I6104">
        <v>-59.15934</v>
      </c>
      <c r="J6104">
        <v>-235.5823</v>
      </c>
      <c r="K6104">
        <v>1.119391</v>
      </c>
      <c r="L6104">
        <v>-61.89188</v>
      </c>
      <c r="M6104">
        <v>0.99924939999999995</v>
      </c>
      <c r="N6104">
        <v>-9.7296420000000002E-3</v>
      </c>
      <c r="O6104">
        <v>3.7495899999999999E-2</v>
      </c>
      <c r="P6104">
        <v>0.98234120000000003</v>
      </c>
      <c r="Q6104">
        <v>0.15068519999999999</v>
      </c>
      <c r="R6104">
        <v>0.1109045</v>
      </c>
      <c r="S6104">
        <v>3.0355530000000002</v>
      </c>
      <c r="T6104">
        <v>-0.14550779999999999</v>
      </c>
      <c r="U6104">
        <v>0.35589599999999999</v>
      </c>
      <c r="V6104">
        <v>-7.3611800000000005E-2</v>
      </c>
      <c r="W6104">
        <v>0.1604438</v>
      </c>
      <c r="X6104">
        <v>0.98429630000000001</v>
      </c>
      <c r="Y6104">
        <v>-7.9039620000000005E-2</v>
      </c>
      <c r="Z6104">
        <v>8.4770570000000005E-4</v>
      </c>
      <c r="AA6104">
        <v>0.99687110000000001</v>
      </c>
      <c r="AB6104">
        <v>32</v>
      </c>
      <c r="AC6104">
        <v>23.194400000000002</v>
      </c>
      <c r="AD6104">
        <v>-1.1193912106002</v>
      </c>
      <c r="AE6104">
        <v>2.7325400000000002</v>
      </c>
      <c r="AF6104">
        <v>-1.8566170190131399</v>
      </c>
      <c r="AG6104">
        <v>-1.1193912106002</v>
      </c>
      <c r="AH6104">
        <v>23.227192585225598</v>
      </c>
      <c r="AI6104">
        <v>92.750369516725996</v>
      </c>
      <c r="AJ6104">
        <v>94.570101525728006</v>
      </c>
      <c r="AK6104">
        <v>23.328149065642101</v>
      </c>
      <c r="AL6104">
        <v>80.767343651294894</v>
      </c>
      <c r="AM6104">
        <v>94.276972977572598</v>
      </c>
      <c r="AN6104">
        <v>1.00000005812568</v>
      </c>
    </row>
    <row r="6105" spans="1:40" x14ac:dyDescent="0.25">
      <c r="A6105" t="str">
        <f>"20190303162421908"</f>
        <v>20190303162421908</v>
      </c>
      <c r="B6105" t="str">
        <f>"1551601461900503"</f>
        <v>1551601461900503</v>
      </c>
      <c r="C6105" t="s">
        <v>40</v>
      </c>
      <c r="D6105">
        <v>5.4815569999999996</v>
      </c>
      <c r="E6105">
        <v>0.49712440000000002</v>
      </c>
      <c r="F6105" t="s">
        <v>66</v>
      </c>
      <c r="G6105">
        <v>-212.7106</v>
      </c>
      <c r="H6105" s="1">
        <v>-3.3922160000000002E-7</v>
      </c>
      <c r="I6105">
        <v>-59.214660000000002</v>
      </c>
      <c r="J6105">
        <v>-235.42910000000001</v>
      </c>
      <c r="K6105">
        <v>1.1193569999999999</v>
      </c>
      <c r="L6105">
        <v>-61.886690000000002</v>
      </c>
      <c r="M6105">
        <v>0.99927290000000002</v>
      </c>
      <c r="N6105">
        <v>-9.7290710000000006E-3</v>
      </c>
      <c r="O6105">
        <v>3.686594E-2</v>
      </c>
      <c r="P6105">
        <v>0.98217489999999996</v>
      </c>
      <c r="Q6105">
        <v>0.15175859999999999</v>
      </c>
      <c r="R6105">
        <v>0.1109151</v>
      </c>
      <c r="S6105">
        <v>3.0366209999999998</v>
      </c>
      <c r="T6105">
        <v>-0.14861849999999999</v>
      </c>
      <c r="U6105">
        <v>0.35543819999999998</v>
      </c>
      <c r="V6105">
        <v>-7.4233099999999996E-2</v>
      </c>
      <c r="W6105">
        <v>0.16152339999999901</v>
      </c>
      <c r="X6105">
        <v>0.98407299999999998</v>
      </c>
      <c r="Y6105">
        <v>-7.947543E-2</v>
      </c>
      <c r="Z6105">
        <v>8.8701410000000002E-4</v>
      </c>
      <c r="AA6105">
        <v>0.99683639999999996</v>
      </c>
      <c r="AB6105">
        <v>32</v>
      </c>
      <c r="AC6105">
        <v>22.718499999999999</v>
      </c>
      <c r="AD6105">
        <v>-1.1193573392216001</v>
      </c>
      <c r="AE6105">
        <v>2.6720299999999999</v>
      </c>
      <c r="AF6105">
        <v>-1.8282572407031099</v>
      </c>
      <c r="AG6105">
        <v>-1.1193573392216001</v>
      </c>
      <c r="AH6105">
        <v>22.747098985492698</v>
      </c>
      <c r="AI6105">
        <v>92.808142885637494</v>
      </c>
      <c r="AJ6105">
        <v>94.5951676955778</v>
      </c>
      <c r="AK6105">
        <v>22.847888253553201</v>
      </c>
      <c r="AL6105">
        <v>80.704669277804598</v>
      </c>
      <c r="AM6105">
        <v>94.313910911620695</v>
      </c>
      <c r="AN6105">
        <v>1.00000001560608</v>
      </c>
    </row>
    <row r="6106" spans="1:40" x14ac:dyDescent="0.25">
      <c r="A6106" t="str">
        <f>"20190303162421919"</f>
        <v>20190303162421919</v>
      </c>
      <c r="B6106" t="str">
        <f>"1551601461911238"</f>
        <v>1551601461911238</v>
      </c>
      <c r="C6106" t="s">
        <v>40</v>
      </c>
      <c r="D6106">
        <v>5.3404730000000002</v>
      </c>
      <c r="E6106">
        <v>0.49781740000000002</v>
      </c>
      <c r="F6106" t="s">
        <v>66</v>
      </c>
      <c r="G6106">
        <v>-212.97130000000001</v>
      </c>
      <c r="H6106" s="1">
        <v>-4.4025829999999997E-7</v>
      </c>
      <c r="I6106">
        <v>-59.275530000000003</v>
      </c>
      <c r="J6106">
        <v>-235.26939999999999</v>
      </c>
      <c r="K6106">
        <v>1.1193229999999901</v>
      </c>
      <c r="L6106">
        <v>-61.881410000000002</v>
      </c>
      <c r="M6106">
        <v>0.9992974</v>
      </c>
      <c r="N6106">
        <v>-9.7286230000000005E-3</v>
      </c>
      <c r="O6106">
        <v>3.6196430000000002E-2</v>
      </c>
      <c r="P6106">
        <v>0.98206300000000002</v>
      </c>
      <c r="Q6106">
        <v>0.15259249999999999</v>
      </c>
      <c r="R6106">
        <v>0.11076030000000001</v>
      </c>
      <c r="S6106">
        <v>3.0379330000000002</v>
      </c>
      <c r="T6106">
        <v>-0.15141859999999999</v>
      </c>
      <c r="U6106">
        <v>0.35321039999999998</v>
      </c>
      <c r="V6106">
        <v>-7.4726600000000004E-2</v>
      </c>
      <c r="W6106">
        <v>0.16236289999999901</v>
      </c>
      <c r="X6106">
        <v>0.98389740000000003</v>
      </c>
      <c r="Y6106">
        <v>-7.9369430000000005E-2</v>
      </c>
      <c r="Z6106">
        <v>9.1311389999999999E-4</v>
      </c>
      <c r="AA6106">
        <v>0.99684479999999998</v>
      </c>
      <c r="AB6106">
        <v>32</v>
      </c>
      <c r="AC6106">
        <v>22.298099999999899</v>
      </c>
      <c r="AD6106">
        <v>-1.1193234402583001</v>
      </c>
      <c r="AE6106">
        <v>2.6058799999999902</v>
      </c>
      <c r="AF6106">
        <v>-1.7925662802575399</v>
      </c>
      <c r="AG6106">
        <v>-1.1193234402583001</v>
      </c>
      <c r="AH6106">
        <v>22.322323426691</v>
      </c>
      <c r="AI6106">
        <v>92.861420886627798</v>
      </c>
      <c r="AJ6106">
        <v>94.591213761162507</v>
      </c>
      <c r="AK6106">
        <v>22.422138658005501</v>
      </c>
      <c r="AL6106">
        <v>80.655925303016403</v>
      </c>
      <c r="AM6106">
        <v>94.343252411076904</v>
      </c>
      <c r="AN6106">
        <v>0.99999993488536199</v>
      </c>
    </row>
    <row r="6107" spans="1:40" x14ac:dyDescent="0.25">
      <c r="A6107" t="str">
        <f>"20190303162421929"</f>
        <v>20190303162421929</v>
      </c>
      <c r="B6107" t="str">
        <f>"1551601461921000"</f>
        <v>1551601461921000</v>
      </c>
      <c r="C6107" t="s">
        <v>40</v>
      </c>
      <c r="D6107">
        <v>5.324128</v>
      </c>
      <c r="E6107">
        <v>0.49814170000000002</v>
      </c>
      <c r="F6107" t="s">
        <v>66</v>
      </c>
      <c r="G6107">
        <v>-213.30330000000001</v>
      </c>
      <c r="H6107" s="1">
        <v>-5.659454E-7</v>
      </c>
      <c r="I6107">
        <v>-59.369900000000001</v>
      </c>
      <c r="J6107">
        <v>-235.1217</v>
      </c>
      <c r="K6107">
        <v>1.1192979999999999</v>
      </c>
      <c r="L6107">
        <v>-61.87659</v>
      </c>
      <c r="M6107">
        <v>0.99931999999999999</v>
      </c>
      <c r="N6107">
        <v>-9.7283360000000006E-3</v>
      </c>
      <c r="O6107">
        <v>3.5565010000000001E-2</v>
      </c>
      <c r="P6107">
        <v>0.98200520000000002</v>
      </c>
      <c r="Q6107">
        <v>0.1532259</v>
      </c>
      <c r="R6107">
        <v>0.110397</v>
      </c>
      <c r="S6107">
        <v>3.0396730000000001</v>
      </c>
      <c r="T6107">
        <v>-0.15489159999999999</v>
      </c>
      <c r="U6107">
        <v>0.34753420000000002</v>
      </c>
      <c r="V6107">
        <v>-7.4975730000000004E-2</v>
      </c>
      <c r="W6107">
        <v>0.1629999</v>
      </c>
      <c r="X6107">
        <v>0.98377320000000001</v>
      </c>
      <c r="Y6107">
        <v>-7.8094899999999995E-2</v>
      </c>
      <c r="Z6107">
        <v>9.042869E-4</v>
      </c>
      <c r="AA6107">
        <v>0.99694550000000004</v>
      </c>
      <c r="AB6107">
        <v>32</v>
      </c>
      <c r="AC6107">
        <v>21.8184</v>
      </c>
      <c r="AD6107">
        <v>-1.11929856594539</v>
      </c>
      <c r="AE6107">
        <v>2.5066899999999901</v>
      </c>
      <c r="AF6107">
        <v>-1.72461603851246</v>
      </c>
      <c r="AG6107">
        <v>-1.11929856594539</v>
      </c>
      <c r="AH6107">
        <v>21.837029174050102</v>
      </c>
      <c r="AI6107">
        <v>92.925144091887802</v>
      </c>
      <c r="AJ6107">
        <v>94.515657411736996</v>
      </c>
      <c r="AK6107">
        <v>21.933603737378299</v>
      </c>
      <c r="AL6107">
        <v>80.618935918602205</v>
      </c>
      <c r="AM6107">
        <v>94.358224670042603</v>
      </c>
      <c r="AN6107">
        <v>1.0000000182636399</v>
      </c>
    </row>
    <row r="6108" spans="1:40" x14ac:dyDescent="0.25">
      <c r="A6108" t="str">
        <f>"20190303162421952"</f>
        <v>20190303162421952</v>
      </c>
      <c r="B6108" t="str">
        <f>"1551601461940520"</f>
        <v>1551601461940520</v>
      </c>
      <c r="C6108" t="s">
        <v>40</v>
      </c>
      <c r="D6108">
        <v>5.3794040000000001</v>
      </c>
      <c r="E6108">
        <v>0.49887399999999998</v>
      </c>
      <c r="F6108" t="s">
        <v>66</v>
      </c>
      <c r="G6108">
        <v>-213.47559999999999</v>
      </c>
      <c r="H6108" s="1">
        <v>-6.3008609999999999E-7</v>
      </c>
      <c r="I6108">
        <v>-59.425159999999998</v>
      </c>
      <c r="J6108">
        <v>-234.80410000000001</v>
      </c>
      <c r="K6108">
        <v>1.1192569999999999</v>
      </c>
      <c r="L6108">
        <v>-61.866639999999997</v>
      </c>
      <c r="M6108">
        <v>0.99936829999999999</v>
      </c>
      <c r="N6108">
        <v>-9.7279940000000002E-3</v>
      </c>
      <c r="O6108">
        <v>3.4187040000000002E-2</v>
      </c>
      <c r="P6108">
        <v>0.98212549999999998</v>
      </c>
      <c r="Q6108">
        <v>0.153692299999999</v>
      </c>
      <c r="R6108">
        <v>0.1086657</v>
      </c>
      <c r="S6108">
        <v>3.0407709999999999</v>
      </c>
      <c r="T6108">
        <v>-0.1572356</v>
      </c>
      <c r="U6108">
        <v>0.34436040000000001</v>
      </c>
      <c r="V6108">
        <v>-7.4579980000000004E-2</v>
      </c>
      <c r="W6108">
        <v>0.1634736</v>
      </c>
      <c r="X6108">
        <v>0.98372470000000001</v>
      </c>
      <c r="Y6108">
        <v>-7.8397770000000006E-2</v>
      </c>
      <c r="Z6108">
        <v>9.7366870000000004E-4</v>
      </c>
      <c r="AA6108">
        <v>0.99692170000000002</v>
      </c>
      <c r="AB6108">
        <v>32</v>
      </c>
      <c r="AC6108">
        <v>21.328499999999998</v>
      </c>
      <c r="AD6108">
        <v>-1.1192576300860999</v>
      </c>
      <c r="AE6108">
        <v>2.4414799999999999</v>
      </c>
      <c r="AF6108">
        <v>-1.70622215930414</v>
      </c>
      <c r="AG6108">
        <v>-1.1192576300860999</v>
      </c>
      <c r="AH6108">
        <v>21.341491191448</v>
      </c>
      <c r="AI6108">
        <v>92.992603755830999</v>
      </c>
      <c r="AJ6108">
        <v>94.570994483885002</v>
      </c>
      <c r="AK6108">
        <v>21.4388240809532</v>
      </c>
      <c r="AL6108">
        <v>80.5914261050834</v>
      </c>
      <c r="AM6108">
        <v>94.335521187782206</v>
      </c>
      <c r="AN6108">
        <v>1.0000000383519201</v>
      </c>
    </row>
    <row r="6109" spans="1:40" x14ac:dyDescent="0.25">
      <c r="A6109" t="str">
        <f>"20190303162421962"</f>
        <v>20190303162421962</v>
      </c>
      <c r="B6109" t="str">
        <f>"1551601461951255"</f>
        <v>1551601461951255</v>
      </c>
      <c r="C6109" t="s">
        <v>40</v>
      </c>
      <c r="D6109">
        <v>5.3402320000000003</v>
      </c>
      <c r="E6109">
        <v>0.49905850000000002</v>
      </c>
      <c r="F6109" t="s">
        <v>66</v>
      </c>
      <c r="G6109">
        <v>-213.5419</v>
      </c>
      <c r="H6109" s="1">
        <v>-6.3928019999999897E-7</v>
      </c>
      <c r="I6109">
        <v>-59.533589999999997</v>
      </c>
      <c r="J6109">
        <v>-234.6456</v>
      </c>
      <c r="K6109">
        <v>1.11924</v>
      </c>
      <c r="L6109">
        <v>-61.861820000000002</v>
      </c>
      <c r="M6109">
        <v>0.99939160000000005</v>
      </c>
      <c r="N6109">
        <v>-9.7279310000000004E-3</v>
      </c>
      <c r="O6109">
        <v>3.3493330000000002E-2</v>
      </c>
      <c r="P6109">
        <v>0.98219250000000002</v>
      </c>
      <c r="Q6109">
        <v>0.1539924</v>
      </c>
      <c r="R6109">
        <v>0.1076305</v>
      </c>
      <c r="S6109">
        <v>3.0427249999999999</v>
      </c>
      <c r="T6109">
        <v>-0.16017120000000001</v>
      </c>
      <c r="U6109">
        <v>0.3338623</v>
      </c>
      <c r="V6109">
        <v>-7.4218290000000006E-2</v>
      </c>
      <c r="W6109">
        <v>0.1637757</v>
      </c>
      <c r="X6109">
        <v>0.98370179999999996</v>
      </c>
      <c r="Y6109">
        <v>-7.5621599999999997E-2</v>
      </c>
      <c r="Z6109">
        <v>9.2158530000000004E-4</v>
      </c>
      <c r="AA6109">
        <v>0.99713620000000003</v>
      </c>
      <c r="AB6109">
        <v>32</v>
      </c>
      <c r="AC6109">
        <v>21.1037</v>
      </c>
      <c r="AD6109">
        <v>-1.1192406392801999</v>
      </c>
      <c r="AE6109">
        <v>2.3282299999999898</v>
      </c>
      <c r="AF6109">
        <v>-1.6155674391272701</v>
      </c>
      <c r="AG6109">
        <v>-1.1192406392801999</v>
      </c>
      <c r="AH6109">
        <v>21.111176095676999</v>
      </c>
      <c r="AI6109">
        <v>93.025949385004395</v>
      </c>
      <c r="AJ6109">
        <v>94.376124300070998</v>
      </c>
      <c r="AK6109">
        <v>21.202464807226299</v>
      </c>
      <c r="AL6109">
        <v>80.573880532043006</v>
      </c>
      <c r="AM6109">
        <v>94.3146748919022</v>
      </c>
      <c r="AN6109">
        <v>1.0000000329021199</v>
      </c>
    </row>
    <row r="6110" spans="1:40" x14ac:dyDescent="0.25">
      <c r="A6110" t="str">
        <f>"20190303162421974"</f>
        <v>20190303162421974</v>
      </c>
      <c r="B6110" t="str">
        <f>"1551601461961016"</f>
        <v>1551601461961016</v>
      </c>
      <c r="C6110" t="s">
        <v>40</v>
      </c>
      <c r="D6110">
        <v>5.3456380000000001</v>
      </c>
      <c r="E6110">
        <v>0.4991949</v>
      </c>
      <c r="F6110" t="s">
        <v>66</v>
      </c>
      <c r="G6110">
        <v>-213.67920000000001</v>
      </c>
      <c r="H6110" s="1">
        <v>-6.8790859999999997E-7</v>
      </c>
      <c r="I6110">
        <v>-59.591650000000001</v>
      </c>
      <c r="J6110">
        <v>-234.47749999999999</v>
      </c>
      <c r="K6110">
        <v>1.1192279999999999</v>
      </c>
      <c r="L6110">
        <v>-61.856900000000003</v>
      </c>
      <c r="M6110">
        <v>0.99941619999999998</v>
      </c>
      <c r="N6110">
        <v>-9.7280830000000002E-3</v>
      </c>
      <c r="O6110">
        <v>3.2753249999999998E-2</v>
      </c>
      <c r="P6110">
        <v>0.9822746</v>
      </c>
      <c r="Q6110">
        <v>0.15444050000000001</v>
      </c>
      <c r="R6110">
        <v>0.106231199999999</v>
      </c>
      <c r="S6110">
        <v>3.0437620000000001</v>
      </c>
      <c r="T6110">
        <v>-0.1624842</v>
      </c>
      <c r="U6110">
        <v>0.3295593</v>
      </c>
      <c r="V6110">
        <v>-7.3540079999999994E-2</v>
      </c>
      <c r="W6110">
        <v>0.16422439999999999</v>
      </c>
      <c r="X6110">
        <v>0.98367789999999999</v>
      </c>
      <c r="Y6110">
        <v>-7.4928309999999998E-2</v>
      </c>
      <c r="Z6110">
        <v>9.3510900000000005E-4</v>
      </c>
      <c r="AA6110">
        <v>0.99718850000000003</v>
      </c>
      <c r="AB6110">
        <v>32</v>
      </c>
      <c r="AC6110">
        <v>20.798299999999902</v>
      </c>
      <c r="AD6110">
        <v>-1.1192286879086</v>
      </c>
      <c r="AE6110">
        <v>2.26525</v>
      </c>
      <c r="AF6110">
        <v>-1.57827347977326</v>
      </c>
      <c r="AG6110">
        <v>-1.1192286879086</v>
      </c>
      <c r="AH6110">
        <v>20.801804294142102</v>
      </c>
      <c r="AI6110">
        <v>93.070986165222493</v>
      </c>
      <c r="AJ6110">
        <v>94.338829760031899</v>
      </c>
      <c r="AK6110">
        <v>20.8915935707304</v>
      </c>
      <c r="AL6110">
        <v>80.547818776272607</v>
      </c>
      <c r="AM6110">
        <v>94.2754975605135</v>
      </c>
      <c r="AN6110">
        <v>1.00000000393508</v>
      </c>
    </row>
    <row r="6111" spans="1:40" x14ac:dyDescent="0.25">
      <c r="A6111" t="str">
        <f>"20190303162421987"</f>
        <v>20190303162421987</v>
      </c>
      <c r="B6111" t="str">
        <f>"1551601461980535"</f>
        <v>1551601461980535</v>
      </c>
      <c r="C6111" t="s">
        <v>40</v>
      </c>
      <c r="D6111">
        <v>5.4673499999999997</v>
      </c>
      <c r="E6111">
        <v>0.4996236</v>
      </c>
      <c r="F6111" t="s">
        <v>66</v>
      </c>
      <c r="G6111">
        <v>-213.7551</v>
      </c>
      <c r="H6111" s="1">
        <v>-7.1045619999999995E-7</v>
      </c>
      <c r="I6111">
        <v>-59.648040000000002</v>
      </c>
      <c r="J6111">
        <v>-234.3006</v>
      </c>
      <c r="K6111">
        <v>1.1192169999999999</v>
      </c>
      <c r="L6111">
        <v>-61.85181</v>
      </c>
      <c r="M6111">
        <v>0.99944129999999998</v>
      </c>
      <c r="N6111">
        <v>-9.7283390000000008E-3</v>
      </c>
      <c r="O6111">
        <v>3.1974809999999999E-2</v>
      </c>
      <c r="P6111">
        <v>0.98236069999999998</v>
      </c>
      <c r="Q6111">
        <v>0.15503510000000001</v>
      </c>
      <c r="R6111">
        <v>0.1045527</v>
      </c>
      <c r="S6111">
        <v>3.0448759999999999</v>
      </c>
      <c r="T6111">
        <v>-0.1644553</v>
      </c>
      <c r="U6111">
        <v>0.32455440000000002</v>
      </c>
      <c r="V6111">
        <v>-7.2619970000000006E-2</v>
      </c>
      <c r="W6111">
        <v>0.1648184</v>
      </c>
      <c r="X6111">
        <v>0.98364689999999999</v>
      </c>
      <c r="Y6111">
        <v>-7.4044440000000003E-2</v>
      </c>
      <c r="Z6111">
        <v>9.4427319999999999E-4</v>
      </c>
      <c r="AA6111">
        <v>0.99725450000000004</v>
      </c>
      <c r="AB6111">
        <v>32</v>
      </c>
      <c r="AC6111">
        <v>20.545500000000001</v>
      </c>
      <c r="AD6111">
        <v>-1.1192177104562</v>
      </c>
      <c r="AE6111">
        <v>2.2037699999999898</v>
      </c>
      <c r="AF6111">
        <v>-1.54115208259749</v>
      </c>
      <c r="AG6111">
        <v>-1.1192177104562</v>
      </c>
      <c r="AH6111">
        <v>20.545186983060301</v>
      </c>
      <c r="AI6111">
        <v>93.1094387329114</v>
      </c>
      <c r="AJ6111">
        <v>94.289882835048701</v>
      </c>
      <c r="AK6111">
        <v>20.633286364367699</v>
      </c>
      <c r="AL6111">
        <v>80.513314825647598</v>
      </c>
      <c r="AM6111">
        <v>94.222331152670705</v>
      </c>
      <c r="AN6111">
        <v>0.99999999445048504</v>
      </c>
    </row>
    <row r="6112" spans="1:40" x14ac:dyDescent="0.25">
      <c r="A6112" t="str">
        <f>"20190303162421997"</f>
        <v>20190303162421997</v>
      </c>
      <c r="B6112" t="str">
        <f>"1551601461991271"</f>
        <v>1551601461991271</v>
      </c>
      <c r="C6112" t="s">
        <v>40</v>
      </c>
      <c r="D6112">
        <v>5.4627150000000002</v>
      </c>
      <c r="E6112">
        <v>0.49984990000000001</v>
      </c>
      <c r="F6112" t="s">
        <v>66</v>
      </c>
      <c r="G6112">
        <v>-214.20330000000001</v>
      </c>
      <c r="H6112" s="1">
        <v>-8.8146119999999896E-7</v>
      </c>
      <c r="I6112">
        <v>-59.767819999999901</v>
      </c>
      <c r="J6112">
        <v>-234.142</v>
      </c>
      <c r="K6112">
        <v>1.1192120000000001</v>
      </c>
      <c r="L6112">
        <v>-61.847349999999999</v>
      </c>
      <c r="M6112">
        <v>0.99946360000000001</v>
      </c>
      <c r="N6112">
        <v>-9.7287599999999995E-3</v>
      </c>
      <c r="O6112">
        <v>3.1278269999999997E-2</v>
      </c>
      <c r="P6112">
        <v>0.98244960000000003</v>
      </c>
      <c r="Q6112">
        <v>0.1555106</v>
      </c>
      <c r="R6112">
        <v>0.103002</v>
      </c>
      <c r="S6112">
        <v>3.0469970000000002</v>
      </c>
      <c r="T6112">
        <v>-0.1696868</v>
      </c>
      <c r="U6112">
        <v>0.31594850000000002</v>
      </c>
      <c r="V6112">
        <v>-7.1749259999999995E-2</v>
      </c>
      <c r="W6112">
        <v>0.16529340000000001</v>
      </c>
      <c r="X6112">
        <v>0.98363109999999998</v>
      </c>
      <c r="Y6112">
        <v>-7.1878440000000002E-2</v>
      </c>
      <c r="Z6112">
        <v>9.1395110000000001E-4</v>
      </c>
      <c r="AA6112">
        <v>0.99741299999999999</v>
      </c>
      <c r="AB6112">
        <v>32</v>
      </c>
      <c r="AC6112">
        <v>19.938699999999901</v>
      </c>
      <c r="AD6112">
        <v>-1.1192128814611999</v>
      </c>
      <c r="AE6112">
        <v>2.0795300000000001</v>
      </c>
      <c r="AF6112">
        <v>-1.45031441777445</v>
      </c>
      <c r="AG6112">
        <v>-1.1192128814611999</v>
      </c>
      <c r="AH6112">
        <v>19.931863452139002</v>
      </c>
      <c r="AI6112">
        <v>93.205437673808504</v>
      </c>
      <c r="AJ6112">
        <v>94.161713532297199</v>
      </c>
      <c r="AK6112">
        <v>20.015874451523398</v>
      </c>
      <c r="AL6112">
        <v>80.485720935604206</v>
      </c>
      <c r="AM6112">
        <v>94.171952203137394</v>
      </c>
      <c r="AN6112">
        <v>1.0000000026406499</v>
      </c>
    </row>
    <row r="6113" spans="1:40" x14ac:dyDescent="0.25">
      <c r="A6113" t="str">
        <f>"20190303162422011"</f>
        <v>20190303162422011</v>
      </c>
      <c r="B6113" t="str">
        <f>"1551601462000563"</f>
        <v>1551601462000563</v>
      </c>
      <c r="C6113" t="s">
        <v>40</v>
      </c>
      <c r="D6113">
        <v>5.5812019999999896</v>
      </c>
      <c r="E6113">
        <v>0.50013419999999997</v>
      </c>
      <c r="F6113" t="s">
        <v>66</v>
      </c>
      <c r="G6113">
        <v>-214.18190000000001</v>
      </c>
      <c r="H6113" s="1">
        <v>-8.6283240000000003E-7</v>
      </c>
      <c r="I6113">
        <v>-59.821190000000001</v>
      </c>
      <c r="J6113">
        <v>-233.9622</v>
      </c>
      <c r="K6113">
        <v>1.11921</v>
      </c>
      <c r="L6113">
        <v>-61.842469999999999</v>
      </c>
      <c r="M6113">
        <v>0.99948760000000003</v>
      </c>
      <c r="N6113">
        <v>-9.729382E-3</v>
      </c>
      <c r="O6113">
        <v>3.0493019999999999E-2</v>
      </c>
      <c r="P6113">
        <v>0.98253230000000003</v>
      </c>
      <c r="Q6113">
        <v>0.1561321</v>
      </c>
      <c r="R6113">
        <v>0.1012575</v>
      </c>
      <c r="S6113">
        <v>3.0482330000000002</v>
      </c>
      <c r="T6113">
        <v>-0.17092179999999901</v>
      </c>
      <c r="U6113">
        <v>0.30941770000000002</v>
      </c>
      <c r="V6113">
        <v>-7.0772260000000003E-2</v>
      </c>
      <c r="W6113">
        <v>0.1659137</v>
      </c>
      <c r="X6113">
        <v>0.98359750000000001</v>
      </c>
      <c r="Y6113">
        <v>-7.0506360000000004E-2</v>
      </c>
      <c r="Z6113">
        <v>9.0695339999999998E-4</v>
      </c>
      <c r="AA6113">
        <v>0.99751089999999998</v>
      </c>
      <c r="AB6113">
        <v>32</v>
      </c>
      <c r="AC6113">
        <v>19.780299999999901</v>
      </c>
      <c r="AD6113">
        <v>-1.1192108628324</v>
      </c>
      <c r="AE6113">
        <v>2.0212799999999902</v>
      </c>
      <c r="AF6113">
        <v>-1.4126743396566399</v>
      </c>
      <c r="AG6113">
        <v>-1.1192108628324</v>
      </c>
      <c r="AH6113">
        <v>19.770098199910901</v>
      </c>
      <c r="AI6113">
        <v>93.231907122711505</v>
      </c>
      <c r="AJ6113">
        <v>94.087129024502403</v>
      </c>
      <c r="AK6113">
        <v>19.852079603394898</v>
      </c>
      <c r="AL6113">
        <v>80.449683270432701</v>
      </c>
      <c r="AM6113">
        <v>94.115479914023894</v>
      </c>
      <c r="AN6113">
        <v>1.0000000553197199</v>
      </c>
    </row>
    <row r="6114" spans="1:40" x14ac:dyDescent="0.25">
      <c r="A6114" t="str">
        <f>"20190303162422024"</f>
        <v>20190303162422024</v>
      </c>
      <c r="B6114" t="str">
        <f>"1551601462010322"</f>
        <v>1551601462010322</v>
      </c>
      <c r="C6114" t="s">
        <v>40</v>
      </c>
      <c r="D6114">
        <v>5.5173899999999998</v>
      </c>
      <c r="E6114">
        <v>0.5002683</v>
      </c>
      <c r="F6114" t="s">
        <v>66</v>
      </c>
      <c r="G6114">
        <v>-214.15029999999999</v>
      </c>
      <c r="H6114" s="1">
        <v>-8.3796940000000003E-7</v>
      </c>
      <c r="I6114">
        <v>-59.88503</v>
      </c>
      <c r="J6114">
        <v>-233.76400000000001</v>
      </c>
      <c r="K6114">
        <v>1.119208</v>
      </c>
      <c r="L6114">
        <v>-61.83719</v>
      </c>
      <c r="M6114">
        <v>0.9995136</v>
      </c>
      <c r="N6114">
        <v>-9.7301920000000004E-3</v>
      </c>
      <c r="O6114">
        <v>2.9632269999999999E-2</v>
      </c>
      <c r="P6114">
        <v>0.98263929999999999</v>
      </c>
      <c r="Q6114">
        <v>0.1566739</v>
      </c>
      <c r="R6114">
        <v>9.9365229999999999E-2</v>
      </c>
      <c r="S6114">
        <v>3.0496370000000002</v>
      </c>
      <c r="T6114">
        <v>-0.17228009999999999</v>
      </c>
      <c r="U6114">
        <v>0.30130000000000001</v>
      </c>
      <c r="V6114">
        <v>-6.9722679999999995E-2</v>
      </c>
      <c r="W6114">
        <v>0.16645389999999999</v>
      </c>
      <c r="X6114">
        <v>0.98358109999999999</v>
      </c>
      <c r="Y6114">
        <v>-6.8691479999999999E-2</v>
      </c>
      <c r="Z6114">
        <v>8.8911139999999997E-4</v>
      </c>
      <c r="AA6114">
        <v>0.99763760000000001</v>
      </c>
      <c r="AB6114">
        <v>32</v>
      </c>
      <c r="AC6114">
        <v>19.613700000000001</v>
      </c>
      <c r="AD6114">
        <v>-1.1192088379693901</v>
      </c>
      <c r="AE6114">
        <v>1.9521599999999899</v>
      </c>
      <c r="AF6114">
        <v>-1.3656735413183301</v>
      </c>
      <c r="AG6114">
        <v>-1.1192088379693901</v>
      </c>
      <c r="AH6114">
        <v>19.599742334745599</v>
      </c>
      <c r="AI6114">
        <v>93.260337707779001</v>
      </c>
      <c r="AJ6114">
        <v>93.985821088969502</v>
      </c>
      <c r="AK6114">
        <v>19.679115636452298</v>
      </c>
      <c r="AL6114">
        <v>80.418294782188696</v>
      </c>
      <c r="AM6114">
        <v>94.054718226671</v>
      </c>
      <c r="AN6114">
        <v>0.99999996660440005</v>
      </c>
    </row>
    <row r="6115" spans="1:40" x14ac:dyDescent="0.25">
      <c r="A6115" t="str">
        <f>"20190303162422037"</f>
        <v>20190303162422037</v>
      </c>
      <c r="B6115" t="str">
        <f>"1551601462030817"</f>
        <v>1551601462030817</v>
      </c>
      <c r="C6115" t="s">
        <v>40</v>
      </c>
      <c r="D6115">
        <v>5.4064230000000002</v>
      </c>
      <c r="E6115">
        <v>0.50036179999999997</v>
      </c>
      <c r="F6115" t="s">
        <v>66</v>
      </c>
      <c r="G6115">
        <v>-214.05609999999999</v>
      </c>
      <c r="H6115" s="1">
        <v>-7.8835049999999995E-7</v>
      </c>
      <c r="I6115">
        <v>-59.936729999999997</v>
      </c>
      <c r="J6115">
        <v>-233.56540000000001</v>
      </c>
      <c r="K6115">
        <v>1.119208</v>
      </c>
      <c r="L6115">
        <v>-61.832090000000001</v>
      </c>
      <c r="M6115">
        <v>0.99953840000000005</v>
      </c>
      <c r="N6115">
        <v>-9.7311329999999995E-3</v>
      </c>
      <c r="O6115">
        <v>2.878352E-2</v>
      </c>
      <c r="P6115">
        <v>0.98275290000000004</v>
      </c>
      <c r="Q6115">
        <v>0.15694849999999999</v>
      </c>
      <c r="R6115">
        <v>9.7797179999999997E-2</v>
      </c>
      <c r="S6115">
        <v>3.0508730000000002</v>
      </c>
      <c r="T6115">
        <v>-0.1732581</v>
      </c>
      <c r="U6115">
        <v>0.29418949999999999</v>
      </c>
      <c r="V6115">
        <v>-6.8988250000000001E-2</v>
      </c>
      <c r="W6115">
        <v>0.1667276</v>
      </c>
      <c r="X6115">
        <v>0.98358650000000003</v>
      </c>
      <c r="Y6115">
        <v>-6.7196770000000003E-2</v>
      </c>
      <c r="Z6115">
        <v>8.8073259999999897E-4</v>
      </c>
      <c r="AA6115">
        <v>0.99773940000000005</v>
      </c>
      <c r="AB6115">
        <v>32</v>
      </c>
      <c r="AC6115">
        <v>19.5093</v>
      </c>
      <c r="AD6115">
        <v>-1.1192087883505</v>
      </c>
      <c r="AE6115">
        <v>1.8953599999999899</v>
      </c>
      <c r="AF6115">
        <v>-1.3286698813200699</v>
      </c>
      <c r="AG6115">
        <v>-1.1192087883505</v>
      </c>
      <c r="AH6115">
        <v>19.492222925353001</v>
      </c>
      <c r="AI6115">
        <v>93.278622262452203</v>
      </c>
      <c r="AJ6115">
        <v>93.899483403841401</v>
      </c>
      <c r="AK6115">
        <v>19.569485086151499</v>
      </c>
      <c r="AL6115">
        <v>80.402390399154498</v>
      </c>
      <c r="AM6115">
        <v>94.012125763189601</v>
      </c>
      <c r="AN6115">
        <v>0.99999993711103397</v>
      </c>
    </row>
    <row r="6116" spans="1:40" x14ac:dyDescent="0.25">
      <c r="A6116" t="str">
        <f>"20190303162422054"</f>
        <v>20190303162422054</v>
      </c>
      <c r="B6116" t="str">
        <f>"1551601462040578"</f>
        <v>1551601462040578</v>
      </c>
      <c r="C6116" t="s">
        <v>40</v>
      </c>
      <c r="D6116">
        <v>8.6849539999999994</v>
      </c>
      <c r="E6116">
        <v>0.50042209999999998</v>
      </c>
      <c r="F6116" t="s">
        <v>66</v>
      </c>
      <c r="G6116">
        <v>-214.31610000000001</v>
      </c>
      <c r="H6116" s="1">
        <v>-8.8665750000000001E-7</v>
      </c>
      <c r="I6116">
        <v>-60.011339999999997</v>
      </c>
      <c r="J6116">
        <v>-233.34100000000001</v>
      </c>
      <c r="K6116">
        <v>1.1192059999999999</v>
      </c>
      <c r="L6116">
        <v>-61.826569999999997</v>
      </c>
      <c r="M6116">
        <v>0.99956509999999998</v>
      </c>
      <c r="N6116">
        <v>-9.732381E-3</v>
      </c>
      <c r="O6116">
        <v>2.783803E-2</v>
      </c>
      <c r="P6116">
        <v>0.98311510000000002</v>
      </c>
      <c r="Q6116">
        <v>0.1561671</v>
      </c>
      <c r="R6116">
        <v>9.5375719999999997E-2</v>
      </c>
      <c r="S6116">
        <v>3.0522610000000001</v>
      </c>
      <c r="T6116">
        <v>-0.1774665</v>
      </c>
      <c r="U6116">
        <v>0.28869630000000002</v>
      </c>
      <c r="V6116">
        <v>-6.7493559999999994E-2</v>
      </c>
      <c r="W6116">
        <v>0.16594419999999999</v>
      </c>
      <c r="X6116">
        <v>0.98382270000000005</v>
      </c>
      <c r="Y6116">
        <v>-6.6314570000000003E-2</v>
      </c>
      <c r="Z6116">
        <v>9.0301509999999999E-4</v>
      </c>
      <c r="AA6116">
        <v>0.99779839999999997</v>
      </c>
      <c r="AB6116">
        <v>32</v>
      </c>
      <c r="AC6116">
        <v>19.024899999999899</v>
      </c>
      <c r="AD6116">
        <v>-1.1192068866575</v>
      </c>
      <c r="AE6116">
        <v>1.8152299999999899</v>
      </c>
      <c r="AF6116">
        <v>-1.28049408214522</v>
      </c>
      <c r="AG6116">
        <v>-1.1192068866575</v>
      </c>
      <c r="AH6116">
        <v>19.002889148156999</v>
      </c>
      <c r="AI6116">
        <v>93.363027911097703</v>
      </c>
      <c r="AJ6116">
        <v>93.855001397005196</v>
      </c>
      <c r="AK6116">
        <v>19.078838673427999</v>
      </c>
      <c r="AL6116">
        <v>80.447910473261501</v>
      </c>
      <c r="AM6116">
        <v>93.924534853613395</v>
      </c>
      <c r="AN6116">
        <v>0.99999998159520098</v>
      </c>
    </row>
    <row r="6117" spans="1:40" x14ac:dyDescent="0.25">
      <c r="A6117" t="str">
        <f>"20190303162422076"</f>
        <v>20190303162422076</v>
      </c>
      <c r="B6117" t="str">
        <f>"1551601462070834"</f>
        <v>1551601462070834</v>
      </c>
      <c r="C6117" t="s">
        <v>40</v>
      </c>
      <c r="D6117">
        <v>5.5806360000000002</v>
      </c>
      <c r="E6117">
        <v>0.50092760000000003</v>
      </c>
      <c r="F6117" t="s">
        <v>66</v>
      </c>
      <c r="G6117">
        <v>-214.61770000000001</v>
      </c>
      <c r="H6117" s="1">
        <v>-9.9966110000000007E-7</v>
      </c>
      <c r="I6117">
        <v>-60.103679999999997</v>
      </c>
      <c r="J6117">
        <v>-233.00049999999999</v>
      </c>
      <c r="K6117">
        <v>1.11921</v>
      </c>
      <c r="L6117">
        <v>-61.818480000000001</v>
      </c>
      <c r="M6117">
        <v>0.99960309999999997</v>
      </c>
      <c r="N6117">
        <v>-9.7345769999999995E-3</v>
      </c>
      <c r="O6117">
        <v>2.6439190000000001E-2</v>
      </c>
      <c r="P6117">
        <v>0.98351670000000002</v>
      </c>
      <c r="Q6117">
        <v>0.1553359</v>
      </c>
      <c r="R6117">
        <v>9.2553280000000002E-2</v>
      </c>
      <c r="S6117">
        <v>3.0532530000000002</v>
      </c>
      <c r="T6117">
        <v>-0.18251139999999999</v>
      </c>
      <c r="U6117">
        <v>0.28094479999999999</v>
      </c>
      <c r="V6117">
        <v>-6.6049029999999995E-2</v>
      </c>
      <c r="W6117">
        <v>0.16511139999999999</v>
      </c>
      <c r="X6117">
        <v>0.98406079999999996</v>
      </c>
      <c r="Y6117">
        <v>-6.5165120000000007E-2</v>
      </c>
      <c r="Z6117">
        <v>9.416715E-4</v>
      </c>
      <c r="AA6117">
        <v>0.99787400000000004</v>
      </c>
      <c r="AB6117">
        <v>32</v>
      </c>
      <c r="AC6117">
        <v>18.3827999999999</v>
      </c>
      <c r="AD6117">
        <v>-1.1192109996610999</v>
      </c>
      <c r="AE6117">
        <v>1.7148000000000001</v>
      </c>
      <c r="AF6117">
        <v>-1.22365442571404</v>
      </c>
      <c r="AG6117">
        <v>-1.1192109996610999</v>
      </c>
      <c r="AH6117">
        <v>18.354264368544399</v>
      </c>
      <c r="AI6117">
        <v>93.481765797520197</v>
      </c>
      <c r="AJ6117">
        <v>93.814189206627205</v>
      </c>
      <c r="AK6117">
        <v>18.429025582644101</v>
      </c>
      <c r="AL6117">
        <v>80.496293573347103</v>
      </c>
      <c r="AM6117">
        <v>93.839867661837403</v>
      </c>
      <c r="AN6117">
        <v>0.99999995343526904</v>
      </c>
    </row>
    <row r="6118" spans="1:40" x14ac:dyDescent="0.25">
      <c r="A6118" t="str">
        <f>"20190303162422087"</f>
        <v>20190303162422087</v>
      </c>
      <c r="B6118" t="str">
        <f>"1551601462080593"</f>
        <v>1551601462080593</v>
      </c>
      <c r="C6118" t="s">
        <v>40</v>
      </c>
      <c r="D6118">
        <v>5.5863420000000001</v>
      </c>
      <c r="E6118">
        <v>0.50097999999999998</v>
      </c>
      <c r="F6118" t="s">
        <v>66</v>
      </c>
      <c r="G6118">
        <v>-214.93450000000001</v>
      </c>
      <c r="H6118" s="1">
        <v>-1.1140710000000001E-6</v>
      </c>
      <c r="I6118">
        <v>-60.224960000000003</v>
      </c>
      <c r="J6118">
        <v>-232.8571</v>
      </c>
      <c r="K6118">
        <v>1.119219</v>
      </c>
      <c r="L6118">
        <v>-61.815219999999997</v>
      </c>
      <c r="M6118">
        <v>0.99961809999999995</v>
      </c>
      <c r="N6118">
        <v>-9.7355789999999994E-3</v>
      </c>
      <c r="O6118">
        <v>2.586571E-2</v>
      </c>
      <c r="P6118">
        <v>0.98367839999999995</v>
      </c>
      <c r="Q6118">
        <v>0.15505250000000001</v>
      </c>
      <c r="R6118">
        <v>9.1299099999999994E-2</v>
      </c>
      <c r="S6118">
        <v>3.0548099999999998</v>
      </c>
      <c r="T6118">
        <v>-0.18924879999999999</v>
      </c>
      <c r="U6118">
        <v>0.2694397</v>
      </c>
      <c r="V6118">
        <v>-6.5361000000000002E-2</v>
      </c>
      <c r="W6118">
        <v>0.1648259</v>
      </c>
      <c r="X6118">
        <v>0.98415459999999999</v>
      </c>
      <c r="Y6118">
        <v>-6.1962839999999998E-2</v>
      </c>
      <c r="Z6118">
        <v>8.7036899999999996E-4</v>
      </c>
      <c r="AA6118">
        <v>0.99807800000000002</v>
      </c>
      <c r="AB6118">
        <v>32</v>
      </c>
      <c r="AC6118">
        <v>17.9225999999999</v>
      </c>
      <c r="AD6118">
        <v>-1.1192201140710001</v>
      </c>
      <c r="AE6118">
        <v>1.59026</v>
      </c>
      <c r="AF6118">
        <v>-1.12178475344234</v>
      </c>
      <c r="AG6118">
        <v>-1.1192201140710001</v>
      </c>
      <c r="AH6118">
        <v>17.8885235552343</v>
      </c>
      <c r="AI6118">
        <v>93.573122157830397</v>
      </c>
      <c r="AJ6118">
        <v>93.588304970218601</v>
      </c>
      <c r="AK6118">
        <v>17.958572595921101</v>
      </c>
      <c r="AL6118">
        <v>80.512878791690795</v>
      </c>
      <c r="AM6118">
        <v>93.799624610619205</v>
      </c>
      <c r="AN6118">
        <v>0.99999995716648404</v>
      </c>
    </row>
    <row r="6119" spans="1:40" x14ac:dyDescent="0.25">
      <c r="A6119" t="str">
        <f>"20190303162422096"</f>
        <v>20190303162422096</v>
      </c>
      <c r="B6119" t="str">
        <f>"1551601462090353"</f>
        <v>1551601462090353</v>
      </c>
      <c r="C6119" t="s">
        <v>40</v>
      </c>
      <c r="D6119">
        <v>5.3893820000000003</v>
      </c>
      <c r="E6119">
        <v>0.50106830000000002</v>
      </c>
      <c r="F6119" t="s">
        <v>66</v>
      </c>
      <c r="G6119">
        <v>-214.98779999999999</v>
      </c>
      <c r="H6119" s="1">
        <v>-1.1308499999999999E-6</v>
      </c>
      <c r="I6119">
        <v>-60.259279999999997</v>
      </c>
      <c r="J6119">
        <v>-232.70349999999999</v>
      </c>
      <c r="K6119">
        <v>1.1192299999999999</v>
      </c>
      <c r="L6119">
        <v>-61.81183</v>
      </c>
      <c r="M6119">
        <v>0.99963340000000001</v>
      </c>
      <c r="N6119">
        <v>-9.7367070000000007E-3</v>
      </c>
      <c r="O6119">
        <v>2.5264689999999999E-2</v>
      </c>
      <c r="P6119">
        <v>0.98382099999999995</v>
      </c>
      <c r="Q6119">
        <v>0.1547422</v>
      </c>
      <c r="R6119">
        <v>9.0284719999999999E-2</v>
      </c>
      <c r="S6119">
        <v>3.0552519999999999</v>
      </c>
      <c r="T6119">
        <v>-0.19136210000000001</v>
      </c>
      <c r="U6119">
        <v>0.26602170000000003</v>
      </c>
      <c r="V6119">
        <v>-6.4942529999999998E-2</v>
      </c>
      <c r="W6119">
        <v>0.1645141</v>
      </c>
      <c r="X6119">
        <v>0.98423450000000001</v>
      </c>
      <c r="Y6119">
        <v>-6.1440649999999999E-2</v>
      </c>
      <c r="Z6119">
        <v>8.8673309999999896E-4</v>
      </c>
      <c r="AA6119">
        <v>0.99811039999999995</v>
      </c>
      <c r="AB6119">
        <v>32</v>
      </c>
      <c r="AC6119">
        <v>17.715699999999998</v>
      </c>
      <c r="AD6119">
        <v>-1.11923113085</v>
      </c>
      <c r="AE6119">
        <v>1.5525500000000001</v>
      </c>
      <c r="AF6119">
        <v>-1.1000940713527401</v>
      </c>
      <c r="AG6119">
        <v>-1.11923113085</v>
      </c>
      <c r="AH6119">
        <v>17.6792443721023</v>
      </c>
      <c r="AI6119">
        <v>93.615451907186895</v>
      </c>
      <c r="AJ6119">
        <v>93.560649052589696</v>
      </c>
      <c r="AK6119">
        <v>17.748762403576201</v>
      </c>
      <c r="AL6119">
        <v>80.530991146649399</v>
      </c>
      <c r="AM6119">
        <v>93.775062717585399</v>
      </c>
      <c r="AN6119">
        <v>0.99999998614593</v>
      </c>
    </row>
    <row r="6120" spans="1:40" x14ac:dyDescent="0.25">
      <c r="A6120" t="str">
        <f>"20190303162422109"</f>
        <v>20190303162422109</v>
      </c>
      <c r="B6120" t="str">
        <f>"1551601462100619"</f>
        <v>1551601462100619</v>
      </c>
      <c r="C6120" t="s">
        <v>40</v>
      </c>
      <c r="D6120">
        <v>5.5810149999999998</v>
      </c>
      <c r="E6120">
        <v>0.50119970000000003</v>
      </c>
      <c r="F6120" t="s">
        <v>66</v>
      </c>
      <c r="G6120">
        <v>-215.06870000000001</v>
      </c>
      <c r="H6120" s="1">
        <v>-1.159174E-6</v>
      </c>
      <c r="I6120">
        <v>-60.295209999999997</v>
      </c>
      <c r="J6120">
        <v>-232.5326</v>
      </c>
      <c r="K6120">
        <v>1.1192439999999999</v>
      </c>
      <c r="L6120">
        <v>-61.808109999999999</v>
      </c>
      <c r="M6120">
        <v>0.99964969999999997</v>
      </c>
      <c r="N6120">
        <v>-9.7380090000000006E-3</v>
      </c>
      <c r="O6120">
        <v>2.461091E-2</v>
      </c>
      <c r="P6120">
        <v>0.98394170000000003</v>
      </c>
      <c r="Q6120">
        <v>0.1545581</v>
      </c>
      <c r="R6120">
        <v>8.9280010000000007E-2</v>
      </c>
      <c r="S6120">
        <v>3.0557249999999998</v>
      </c>
      <c r="T6120">
        <v>-0.19393769999999999</v>
      </c>
      <c r="U6120">
        <v>0.26278689999999999</v>
      </c>
      <c r="V6120">
        <v>-6.4587409999999998E-2</v>
      </c>
      <c r="W6120">
        <v>0.1643279</v>
      </c>
      <c r="X6120">
        <v>0.98428899999999997</v>
      </c>
      <c r="Y6120">
        <v>-6.1028949999999998E-2</v>
      </c>
      <c r="Z6120">
        <v>9.1129749999999999E-4</v>
      </c>
      <c r="AA6120">
        <v>0.99813560000000001</v>
      </c>
      <c r="AB6120">
        <v>32</v>
      </c>
      <c r="AC6120">
        <v>17.463899999999899</v>
      </c>
      <c r="AD6120">
        <v>-1.119245159174</v>
      </c>
      <c r="AE6120">
        <v>1.5128999999999999</v>
      </c>
      <c r="AF6120">
        <v>-1.07822315183899</v>
      </c>
      <c r="AG6120">
        <v>-1.119245159174</v>
      </c>
      <c r="AH6120">
        <v>17.424807698643701</v>
      </c>
      <c r="AI6120">
        <v>93.668225772606903</v>
      </c>
      <c r="AJ6120">
        <v>93.5408694069815</v>
      </c>
      <c r="AK6120">
        <v>17.493976055379999</v>
      </c>
      <c r="AL6120">
        <v>80.541807084286205</v>
      </c>
      <c r="AM6120">
        <v>93.754271759301105</v>
      </c>
      <c r="AN6120">
        <v>1.0000000138849501</v>
      </c>
    </row>
    <row r="6121" spans="1:40" x14ac:dyDescent="0.25">
      <c r="A6121" t="str">
        <f>"20190303162422119"</f>
        <v>20190303162422119</v>
      </c>
      <c r="B6121" t="str">
        <f>"1551601462110380"</f>
        <v>1551601462110380</v>
      </c>
      <c r="C6121" t="s">
        <v>40</v>
      </c>
      <c r="D6121">
        <v>5.3734380000000002</v>
      </c>
      <c r="E6121">
        <v>0.50137390000000004</v>
      </c>
      <c r="F6121" t="s">
        <v>66</v>
      </c>
      <c r="G6121">
        <v>-215.1317</v>
      </c>
      <c r="H6121" s="1">
        <v>-1.1795009999999999E-6</v>
      </c>
      <c r="I6121">
        <v>-60.333109999999998</v>
      </c>
      <c r="J6121">
        <v>-232.37979999999999</v>
      </c>
      <c r="K6121">
        <v>1.1192599999999999</v>
      </c>
      <c r="L6121">
        <v>-61.804870000000001</v>
      </c>
      <c r="M6121">
        <v>0.99966350000000004</v>
      </c>
      <c r="N6121">
        <v>-9.739213E-3</v>
      </c>
      <c r="O6121">
        <v>2.4038319999999998E-2</v>
      </c>
      <c r="P6121">
        <v>0.98405520000000002</v>
      </c>
      <c r="Q6121">
        <v>0.15437429999999999</v>
      </c>
      <c r="R6121">
        <v>8.8340450000000001E-2</v>
      </c>
      <c r="S6121">
        <v>3.0563509999999998</v>
      </c>
      <c r="T6121">
        <v>-0.1965884</v>
      </c>
      <c r="U6121">
        <v>0.25906370000000001</v>
      </c>
      <c r="V6121">
        <v>-6.421723E-2</v>
      </c>
      <c r="W6121">
        <v>0.1641425</v>
      </c>
      <c r="X6121">
        <v>0.98434410000000006</v>
      </c>
      <c r="Y6121">
        <v>-6.0374369999999997E-2</v>
      </c>
      <c r="Z6121">
        <v>9.2334610000000005E-4</v>
      </c>
      <c r="AA6121">
        <v>0.99817540000000005</v>
      </c>
      <c r="AB6121">
        <v>32</v>
      </c>
      <c r="AC6121">
        <v>17.248099999999901</v>
      </c>
      <c r="AD6121">
        <v>-1.1192611795009999</v>
      </c>
      <c r="AE6121">
        <v>1.47175999999999</v>
      </c>
      <c r="AF6121">
        <v>-1.05230046711057</v>
      </c>
      <c r="AG6121">
        <v>-1.1192611795009999</v>
      </c>
      <c r="AH6121">
        <v>17.206563512250501</v>
      </c>
      <c r="AI6121">
        <v>93.714840134883403</v>
      </c>
      <c r="AJ6121">
        <v>93.499674751620702</v>
      </c>
      <c r="AK6121">
        <v>17.275008242027798</v>
      </c>
      <c r="AL6121">
        <v>80.552575436790406</v>
      </c>
      <c r="AM6121">
        <v>93.732606961555106</v>
      </c>
      <c r="AN6121">
        <v>0.99999996006996505</v>
      </c>
    </row>
    <row r="6122" spans="1:40" x14ac:dyDescent="0.25">
      <c r="A6122" t="str">
        <f>"20190303162422130"</f>
        <v>20190303162422130</v>
      </c>
      <c r="B6122" t="str">
        <f>"1551601462121116"</f>
        <v>1551601462121116</v>
      </c>
      <c r="C6122" t="s">
        <v>40</v>
      </c>
      <c r="D6122">
        <v>5.3569570000000004</v>
      </c>
      <c r="E6122">
        <v>0.50135269999999998</v>
      </c>
      <c r="F6122" t="s">
        <v>66</v>
      </c>
      <c r="G6122">
        <v>-215.1908</v>
      </c>
      <c r="H6122" s="1">
        <v>-1.1981950000000001E-6</v>
      </c>
      <c r="I6122">
        <v>-60.370420000000003</v>
      </c>
      <c r="J6122">
        <v>-232.22319999999999</v>
      </c>
      <c r="K6122">
        <v>1.1192799999999901</v>
      </c>
      <c r="L6122">
        <v>-61.801670000000001</v>
      </c>
      <c r="M6122">
        <v>0.99967709999999999</v>
      </c>
      <c r="N6122">
        <v>-9.740505E-3</v>
      </c>
      <c r="O6122">
        <v>2.3471970000000002E-2</v>
      </c>
      <c r="P6122">
        <v>0.98416079999999995</v>
      </c>
      <c r="Q6122">
        <v>0.15423149999999999</v>
      </c>
      <c r="R6122">
        <v>8.7405949999999996E-2</v>
      </c>
      <c r="S6122">
        <v>3.0569459999999999</v>
      </c>
      <c r="T6122">
        <v>-0.1990527</v>
      </c>
      <c r="U6122">
        <v>0.2550964</v>
      </c>
      <c r="V6122">
        <v>-6.3847050000000002E-2</v>
      </c>
      <c r="W6122">
        <v>0.1639967</v>
      </c>
      <c r="X6122">
        <v>0.9843925</v>
      </c>
      <c r="Y6122">
        <v>-5.9635809999999997E-2</v>
      </c>
      <c r="Z6122">
        <v>9.3194980000000001E-4</v>
      </c>
      <c r="AA6122">
        <v>0.99821979999999999</v>
      </c>
      <c r="AB6122">
        <v>32</v>
      </c>
      <c r="AC6122">
        <v>17.0323999999999</v>
      </c>
      <c r="AD6122">
        <v>-1.1192811981949999</v>
      </c>
      <c r="AE6122">
        <v>1.4312499999999899</v>
      </c>
      <c r="AF6122">
        <v>-1.02665028183788</v>
      </c>
      <c r="AG6122">
        <v>-1.1192811981949999</v>
      </c>
      <c r="AH6122">
        <v>16.9884537129461</v>
      </c>
      <c r="AI6122">
        <v>93.762629541145401</v>
      </c>
      <c r="AJ6122">
        <v>93.458306313520595</v>
      </c>
      <c r="AK6122">
        <v>17.056211793910901</v>
      </c>
      <c r="AL6122">
        <v>80.5610440979477</v>
      </c>
      <c r="AM6122">
        <v>93.710968707323204</v>
      </c>
      <c r="AN6122">
        <v>0.99999997873042101</v>
      </c>
    </row>
    <row r="6123" spans="1:40" x14ac:dyDescent="0.25">
      <c r="A6123" t="str">
        <f>"20190303162422141"</f>
        <v>20190303162422141</v>
      </c>
      <c r="B6123" t="str">
        <f>"1551601462130876"</f>
        <v>1551601462130876</v>
      </c>
      <c r="C6123" t="s">
        <v>40</v>
      </c>
      <c r="D6123">
        <v>5.5878690000000004</v>
      </c>
      <c r="E6123">
        <v>0.50140399999999996</v>
      </c>
      <c r="F6123" t="s">
        <v>66</v>
      </c>
      <c r="G6123">
        <v>-215.16849999999999</v>
      </c>
      <c r="H6123" s="1">
        <v>-1.1884389999999999E-6</v>
      </c>
      <c r="I6123">
        <v>-60.391689999999997</v>
      </c>
      <c r="J6123">
        <v>-232.059</v>
      </c>
      <c r="K6123">
        <v>1.119305</v>
      </c>
      <c r="L6123">
        <v>-61.798340000000003</v>
      </c>
      <c r="M6123">
        <v>0.99969070000000004</v>
      </c>
      <c r="N6123">
        <v>-9.7419039999999991E-3</v>
      </c>
      <c r="O6123">
        <v>2.288633E-2</v>
      </c>
      <c r="P6123">
        <v>0.98426659999999999</v>
      </c>
      <c r="Q6123">
        <v>0.15410090000000001</v>
      </c>
      <c r="R6123">
        <v>8.6443560000000003E-2</v>
      </c>
      <c r="S6123">
        <v>3.0572810000000001</v>
      </c>
      <c r="T6123">
        <v>-0.20064599999999999</v>
      </c>
      <c r="U6123">
        <v>0.25274659999999999</v>
      </c>
      <c r="V6123">
        <v>-6.3469189999999995E-2</v>
      </c>
      <c r="W6123">
        <v>0.16386400000000001</v>
      </c>
      <c r="X6123">
        <v>0.98443910000000001</v>
      </c>
      <c r="Y6123">
        <v>-5.9447590000000002E-2</v>
      </c>
      <c r="Z6123">
        <v>9.608126E-4</v>
      </c>
      <c r="AA6123">
        <v>0.99823099999999998</v>
      </c>
      <c r="AB6123">
        <v>32</v>
      </c>
      <c r="AC6123">
        <v>16.890499999999999</v>
      </c>
      <c r="AD6123">
        <v>-1.1193061884389901</v>
      </c>
      <c r="AE6123">
        <v>1.40664999999999</v>
      </c>
      <c r="AF6123">
        <v>-1.0152737967680301</v>
      </c>
      <c r="AG6123">
        <v>-1.1193061884389901</v>
      </c>
      <c r="AH6123">
        <v>16.844805669197999</v>
      </c>
      <c r="AI6123">
        <v>93.7947437834477</v>
      </c>
      <c r="AJ6123">
        <v>93.449171094948895</v>
      </c>
      <c r="AK6123">
        <v>16.912454146543201</v>
      </c>
      <c r="AL6123">
        <v>80.5687521462322</v>
      </c>
      <c r="AM6123">
        <v>93.688893111387401</v>
      </c>
      <c r="AN6123">
        <v>1.0000000450920301</v>
      </c>
    </row>
    <row r="6124" spans="1:40" x14ac:dyDescent="0.25">
      <c r="A6124" t="str">
        <f>"20190303162422155"</f>
        <v>20190303162422155</v>
      </c>
      <c r="B6124" t="str">
        <f>"1551601462150396"</f>
        <v>1551601462150396</v>
      </c>
      <c r="C6124" t="s">
        <v>40</v>
      </c>
      <c r="D6124">
        <v>5.5950920000000002</v>
      </c>
      <c r="E6124">
        <v>0.50179240000000003</v>
      </c>
      <c r="F6124" t="s">
        <v>66</v>
      </c>
      <c r="G6124">
        <v>-215.1097</v>
      </c>
      <c r="H6124" s="1">
        <v>-1.1687849999999999E-6</v>
      </c>
      <c r="I6124">
        <v>-60.412610000000001</v>
      </c>
      <c r="J6124">
        <v>-231.89580000000001</v>
      </c>
      <c r="K6124">
        <v>1.1193280000000001</v>
      </c>
      <c r="L6124">
        <v>-61.795140000000004</v>
      </c>
      <c r="M6124">
        <v>0.99970320000000001</v>
      </c>
      <c r="N6124">
        <v>-9.7433680000000005E-3</v>
      </c>
      <c r="O6124">
        <v>2.2330329999999999E-2</v>
      </c>
      <c r="P6124">
        <v>0.98440589999999994</v>
      </c>
      <c r="Q6124">
        <v>0.15383640000000001</v>
      </c>
      <c r="R6124">
        <v>8.5320980000000005E-2</v>
      </c>
      <c r="S6124">
        <v>3.0576020000000002</v>
      </c>
      <c r="T6124">
        <v>-0.20191919999999999</v>
      </c>
      <c r="U6124">
        <v>0.24996950000000001</v>
      </c>
      <c r="V6124">
        <v>-6.2902599999999906E-2</v>
      </c>
      <c r="W6124">
        <v>0.1635964</v>
      </c>
      <c r="X6124">
        <v>0.9845199</v>
      </c>
      <c r="Y6124">
        <v>-5.9092409999999998E-2</v>
      </c>
      <c r="Z6124">
        <v>9.8144450000000011E-4</v>
      </c>
      <c r="AA6124">
        <v>0.99825200000000003</v>
      </c>
      <c r="AB6124">
        <v>32</v>
      </c>
      <c r="AC6124">
        <v>16.786100000000001</v>
      </c>
      <c r="AD6124">
        <v>-1.119329168785</v>
      </c>
      <c r="AE6124">
        <v>1.38253</v>
      </c>
      <c r="AF6124">
        <v>-1.0028989745431101</v>
      </c>
      <c r="AG6124">
        <v>-1.119329168785</v>
      </c>
      <c r="AH6124">
        <v>16.738860283774901</v>
      </c>
      <c r="AI6124">
        <v>93.8188507835455</v>
      </c>
      <c r="AJ6124">
        <v>93.428744107290598</v>
      </c>
      <c r="AK6124">
        <v>16.8061937315078</v>
      </c>
      <c r="AL6124">
        <v>80.584293580972599</v>
      </c>
      <c r="AM6124">
        <v>93.655752809007794</v>
      </c>
      <c r="AN6124">
        <v>0.99999997633786397</v>
      </c>
    </row>
    <row r="6125" spans="1:40" x14ac:dyDescent="0.25">
      <c r="A6125" t="str">
        <f>"20190303162422165"</f>
        <v>20190303162422165</v>
      </c>
      <c r="B6125" t="str">
        <f>"1551601462161132"</f>
        <v>1551601462161132</v>
      </c>
      <c r="C6125" t="s">
        <v>40</v>
      </c>
      <c r="D6125">
        <v>5.5941519999999896</v>
      </c>
      <c r="E6125">
        <v>0.50196220000000003</v>
      </c>
      <c r="F6125" t="s">
        <v>66</v>
      </c>
      <c r="G6125">
        <v>-214.97389999999999</v>
      </c>
      <c r="H6125" s="1">
        <v>-1.118761E-6</v>
      </c>
      <c r="I6125">
        <v>-60.443559999999998</v>
      </c>
      <c r="J6125">
        <v>-231.7277</v>
      </c>
      <c r="K6125">
        <v>1.119351</v>
      </c>
      <c r="L6125">
        <v>-61.791899999999998</v>
      </c>
      <c r="M6125">
        <v>0.99971569999999998</v>
      </c>
      <c r="N6125">
        <v>-9.7449319999999996E-3</v>
      </c>
      <c r="O6125">
        <v>2.1764200000000001E-2</v>
      </c>
      <c r="P6125">
        <v>0.98449489999999995</v>
      </c>
      <c r="Q6125">
        <v>0.15388940000000001</v>
      </c>
      <c r="R6125">
        <v>8.4191849999999999E-2</v>
      </c>
      <c r="S6125">
        <v>3.0579529999999999</v>
      </c>
      <c r="T6125">
        <v>-0.20227410000000001</v>
      </c>
      <c r="U6125">
        <v>0.24423220000000001</v>
      </c>
      <c r="V6125">
        <v>-6.2339680000000001E-2</v>
      </c>
      <c r="W6125">
        <v>0.16364629999999999</v>
      </c>
      <c r="X6125">
        <v>0.98454739999999996</v>
      </c>
      <c r="Y6125">
        <v>-5.778962E-2</v>
      </c>
      <c r="Z6125">
        <v>9.6480660000000001E-4</v>
      </c>
      <c r="AA6125">
        <v>0.99832829999999995</v>
      </c>
      <c r="AB6125">
        <v>32</v>
      </c>
      <c r="AC6125">
        <v>16.753799999999998</v>
      </c>
      <c r="AD6125">
        <v>-1.119352118761</v>
      </c>
      <c r="AE6125">
        <v>1.3483400000000001</v>
      </c>
      <c r="AF6125">
        <v>-0.979028161720084</v>
      </c>
      <c r="AG6125">
        <v>-1.119352118761</v>
      </c>
      <c r="AH6125">
        <v>16.7050894499442</v>
      </c>
      <c r="AI6125">
        <v>93.826920912697403</v>
      </c>
      <c r="AJ6125">
        <v>93.3540730850616</v>
      </c>
      <c r="AK6125">
        <v>16.771149597980799</v>
      </c>
      <c r="AL6125">
        <v>80.581395356700995</v>
      </c>
      <c r="AM6125">
        <v>93.623023813493504</v>
      </c>
      <c r="AN6125">
        <v>0.99999996502647504</v>
      </c>
    </row>
    <row r="6126" spans="1:40" x14ac:dyDescent="0.25">
      <c r="A6126" t="str">
        <f>"20190303162422175"</f>
        <v>20190303162422175</v>
      </c>
      <c r="B6126" t="str">
        <f>"1551601462170892"</f>
        <v>1551601462170892</v>
      </c>
      <c r="C6126" t="s">
        <v>40</v>
      </c>
      <c r="D6126">
        <v>5.4612850000000002</v>
      </c>
      <c r="E6126">
        <v>0.50204150000000003</v>
      </c>
      <c r="F6126" t="s">
        <v>66</v>
      </c>
      <c r="G6126">
        <v>-214.59460000000001</v>
      </c>
      <c r="H6126" s="1">
        <v>-9.570408000000001E-7</v>
      </c>
      <c r="I6126">
        <v>-60.447400000000002</v>
      </c>
      <c r="J6126">
        <v>-231.5539</v>
      </c>
      <c r="K6126">
        <v>1.119375</v>
      </c>
      <c r="L6126">
        <v>-61.788640000000001</v>
      </c>
      <c r="M6126">
        <v>0.9997277</v>
      </c>
      <c r="N6126">
        <v>-9.7466410000000003E-3</v>
      </c>
      <c r="O6126">
        <v>2.1201040000000001E-2</v>
      </c>
      <c r="P6126">
        <v>0.9846241</v>
      </c>
      <c r="Q6126">
        <v>0.1536082</v>
      </c>
      <c r="R6126">
        <v>8.3186460000000004E-2</v>
      </c>
      <c r="S6126">
        <v>3.0579679999999998</v>
      </c>
      <c r="T6126">
        <v>-0.19978499999999999</v>
      </c>
      <c r="U6126">
        <v>0.2399597</v>
      </c>
      <c r="V6126">
        <v>-6.1896609999999998E-2</v>
      </c>
      <c r="W6126">
        <v>0.16336310000000001</v>
      </c>
      <c r="X6126">
        <v>0.98462240000000001</v>
      </c>
      <c r="Y6126">
        <v>-5.696888E-2</v>
      </c>
      <c r="Z6126">
        <v>9.5956700000000004E-4</v>
      </c>
      <c r="AA6126">
        <v>0.99837549999999997</v>
      </c>
      <c r="AB6126">
        <v>33</v>
      </c>
      <c r="AC6126">
        <v>16.959299999999899</v>
      </c>
      <c r="AD6126">
        <v>-1.1193759570408</v>
      </c>
      <c r="AE6126">
        <v>1.34123999999999</v>
      </c>
      <c r="AF6126">
        <v>-0.97713620058677597</v>
      </c>
      <c r="AG6126">
        <v>-1.1193759570408</v>
      </c>
      <c r="AH6126">
        <v>16.910711452681699</v>
      </c>
      <c r="AI6126">
        <v>93.780784637320295</v>
      </c>
      <c r="AJ6126">
        <v>93.306992559611899</v>
      </c>
      <c r="AK6126">
        <v>16.975864028777899</v>
      </c>
      <c r="AL6126">
        <v>80.597843021484806</v>
      </c>
      <c r="AM6126">
        <v>93.597068275131903</v>
      </c>
      <c r="AN6126">
        <v>0.99999998167643001</v>
      </c>
    </row>
    <row r="6127" spans="1:40" x14ac:dyDescent="0.25">
      <c r="A6127" t="str">
        <f>"20190303162422187"</f>
        <v>20190303162422187</v>
      </c>
      <c r="B6127" t="str">
        <f>"1551601462180652"</f>
        <v>1551601462180652</v>
      </c>
      <c r="C6127" t="s">
        <v>40</v>
      </c>
      <c r="D6127">
        <v>5.4365360000000003</v>
      </c>
      <c r="E6127">
        <v>0.50200180000000005</v>
      </c>
      <c r="F6127" t="s">
        <v>66</v>
      </c>
      <c r="G6127">
        <v>-214.3229</v>
      </c>
      <c r="H6127" s="1">
        <v>-8.4292649999999905E-7</v>
      </c>
      <c r="I6127">
        <v>-60.456519999999998</v>
      </c>
      <c r="J6127">
        <v>-231.3903</v>
      </c>
      <c r="K6127">
        <v>1.1193959999999901</v>
      </c>
      <c r="L6127">
        <v>-61.785679999999999</v>
      </c>
      <c r="M6127">
        <v>0.99973860000000003</v>
      </c>
      <c r="N6127">
        <v>-9.7483039999999993E-3</v>
      </c>
      <c r="O6127">
        <v>2.067884E-2</v>
      </c>
      <c r="P6127">
        <v>0.98468719999999998</v>
      </c>
      <c r="Q6127">
        <v>0.1536294</v>
      </c>
      <c r="R6127">
        <v>8.2397150000000002E-2</v>
      </c>
      <c r="S6127">
        <v>3.0578460000000001</v>
      </c>
      <c r="T6127">
        <v>-0.19864580000000001</v>
      </c>
      <c r="U6127">
        <v>0.23638919999999999</v>
      </c>
      <c r="V6127">
        <v>-6.1629730000000001E-2</v>
      </c>
      <c r="W6127">
        <v>0.16338239999999901</v>
      </c>
      <c r="X6127">
        <v>0.98463590000000001</v>
      </c>
      <c r="Y6127">
        <v>-5.633647E-2</v>
      </c>
      <c r="Z6127">
        <v>9.621349E-4</v>
      </c>
      <c r="AA6127">
        <v>0.99841139999999995</v>
      </c>
      <c r="AB6127">
        <v>33</v>
      </c>
      <c r="AC6127">
        <v>17.0673999999999</v>
      </c>
      <c r="AD6127">
        <v>-1.11939684292649</v>
      </c>
      <c r="AE6127">
        <v>1.3291599999999999</v>
      </c>
      <c r="AF6127">
        <v>-0.971769939659478</v>
      </c>
      <c r="AG6127">
        <v>-1.11939684292649</v>
      </c>
      <c r="AH6127">
        <v>17.0184710100215</v>
      </c>
      <c r="AI6127">
        <v>93.757129800546394</v>
      </c>
      <c r="AJ6127">
        <v>93.268091533999197</v>
      </c>
      <c r="AK6127">
        <v>17.082907879705999</v>
      </c>
      <c r="AL6127">
        <v>80.596721795041901</v>
      </c>
      <c r="AM6127">
        <v>93.581550253780406</v>
      </c>
      <c r="AN6127">
        <v>0.99999994390921898</v>
      </c>
    </row>
    <row r="6128" spans="1:40" x14ac:dyDescent="0.25">
      <c r="A6128" t="str">
        <f>"20190303162422198"</f>
        <v>20190303162422198</v>
      </c>
      <c r="B6128" t="str">
        <f>"1551601462190412"</f>
        <v>1551601462190412</v>
      </c>
      <c r="C6128" t="s">
        <v>40</v>
      </c>
      <c r="D6128">
        <v>5.3882059999999896</v>
      </c>
      <c r="E6128">
        <v>0.50210710000000003</v>
      </c>
      <c r="F6128" t="s">
        <v>66</v>
      </c>
      <c r="G6128">
        <v>-213.97210000000001</v>
      </c>
      <c r="H6128" s="1">
        <v>-6.9148630000000003E-7</v>
      </c>
      <c r="I6128">
        <v>-60.452950000000001</v>
      </c>
      <c r="J6128">
        <v>-231.23390000000001</v>
      </c>
      <c r="K6128">
        <v>1.119415</v>
      </c>
      <c r="L6128">
        <v>-61.782870000000003</v>
      </c>
      <c r="M6128">
        <v>0.99974870000000005</v>
      </c>
      <c r="N6128">
        <v>-9.7499549999999994E-3</v>
      </c>
      <c r="O6128">
        <v>2.0189370000000002E-2</v>
      </c>
      <c r="P6128">
        <v>0.98464390000000002</v>
      </c>
      <c r="Q6128">
        <v>0.15408239999999901</v>
      </c>
      <c r="R6128">
        <v>8.2069320000000001E-2</v>
      </c>
      <c r="S6128">
        <v>3.0577390000000002</v>
      </c>
      <c r="T6128">
        <v>-0.19650799999999999</v>
      </c>
      <c r="U6128">
        <v>0.23394780000000001</v>
      </c>
      <c r="V6128">
        <v>-6.1790779999999997E-2</v>
      </c>
      <c r="W6128">
        <v>0.16383399999999901</v>
      </c>
      <c r="X6128">
        <v>0.98455079999999995</v>
      </c>
      <c r="Y6128">
        <v>-5.6037370000000003E-2</v>
      </c>
      <c r="Z6128">
        <v>9.7257150000000004E-4</v>
      </c>
      <c r="AA6128">
        <v>0.99842819999999999</v>
      </c>
      <c r="AB6128">
        <v>33</v>
      </c>
      <c r="AC6128">
        <v>17.261799999999901</v>
      </c>
      <c r="AD6128">
        <v>-1.1194156914863</v>
      </c>
      <c r="AE6128">
        <v>1.32991999999999</v>
      </c>
      <c r="AF6128">
        <v>-0.97704285076838904</v>
      </c>
      <c r="AG6128">
        <v>-1.1194156914863</v>
      </c>
      <c r="AH6128">
        <v>17.2131711102558</v>
      </c>
      <c r="AI6128">
        <v>93.714885908396198</v>
      </c>
      <c r="AJ6128">
        <v>93.248699913764497</v>
      </c>
      <c r="AK6128">
        <v>17.277180438182899</v>
      </c>
      <c r="AL6128">
        <v>80.570493937898405</v>
      </c>
      <c r="AM6128">
        <v>93.591194624035793</v>
      </c>
      <c r="AN6128">
        <v>0.99999997891482295</v>
      </c>
    </row>
    <row r="6129" spans="1:40" x14ac:dyDescent="0.25">
      <c r="A6129" t="str">
        <f>"20190303162422224"</f>
        <v>20190303162422224</v>
      </c>
      <c r="B6129" t="str">
        <f>"1551601462210440"</f>
        <v>1551601462210440</v>
      </c>
      <c r="C6129" t="s">
        <v>40</v>
      </c>
      <c r="D6129">
        <v>5.3659720000000002</v>
      </c>
      <c r="E6129">
        <v>0.50225559999999903</v>
      </c>
      <c r="F6129" t="s">
        <v>66</v>
      </c>
      <c r="G6129">
        <v>-213.51390000000001</v>
      </c>
      <c r="H6129" s="1">
        <v>-4.9197999999999999E-7</v>
      </c>
      <c r="I6129">
        <v>-60.44191</v>
      </c>
      <c r="J6129">
        <v>-230.86920000000001</v>
      </c>
      <c r="K6129">
        <v>1.119443</v>
      </c>
      <c r="L6129">
        <v>-61.77664</v>
      </c>
      <c r="M6129">
        <v>0.99977059999999995</v>
      </c>
      <c r="N6129">
        <v>-9.7538480000000007E-3</v>
      </c>
      <c r="O6129">
        <v>1.9073759999999999E-2</v>
      </c>
      <c r="P6129">
        <v>0.98443380000000003</v>
      </c>
      <c r="Q6129">
        <v>0.15535599999999999</v>
      </c>
      <c r="R6129">
        <v>8.2188929999999993E-2</v>
      </c>
      <c r="S6129">
        <v>3.0577390000000002</v>
      </c>
      <c r="T6129">
        <v>-0.1931648</v>
      </c>
      <c r="U6129">
        <v>0.23138429999999999</v>
      </c>
      <c r="V6129">
        <v>-6.3023599999999999E-2</v>
      </c>
      <c r="W6129">
        <v>0.16510720000000001</v>
      </c>
      <c r="X6129">
        <v>0.98426000000000002</v>
      </c>
      <c r="Y6129">
        <v>-5.632003E-2</v>
      </c>
      <c r="Z6129">
        <v>1.0339329999999999E-3</v>
      </c>
      <c r="AA6129">
        <v>0.99841230000000003</v>
      </c>
      <c r="AB6129">
        <v>33</v>
      </c>
      <c r="AC6129">
        <v>17.3553</v>
      </c>
      <c r="AD6129">
        <v>-1.11944349198</v>
      </c>
      <c r="AE6129">
        <v>1.33473</v>
      </c>
      <c r="AF6129">
        <v>-0.999307498681823</v>
      </c>
      <c r="AG6129">
        <v>-1.11944349198</v>
      </c>
      <c r="AH6129">
        <v>17.306024473948199</v>
      </c>
      <c r="AI6129">
        <v>93.694894535101994</v>
      </c>
      <c r="AJ6129">
        <v>93.304779385354195</v>
      </c>
      <c r="AK6129">
        <v>17.3709600282066</v>
      </c>
      <c r="AL6129">
        <v>80.496538534905795</v>
      </c>
      <c r="AM6129">
        <v>93.6637304647045</v>
      </c>
      <c r="AN6129">
        <v>1.0000000546243899</v>
      </c>
    </row>
    <row r="6130" spans="1:40" x14ac:dyDescent="0.25">
      <c r="A6130" t="str">
        <f>"20190303162422235"</f>
        <v>20190303162422235</v>
      </c>
      <c r="B6130" t="str">
        <f>"1551601462221174"</f>
        <v>1551601462221174</v>
      </c>
      <c r="C6130" t="s">
        <v>40</v>
      </c>
      <c r="D6130">
        <v>5.5931050000000004</v>
      </c>
      <c r="E6130">
        <v>0.50231579999999998</v>
      </c>
      <c r="F6130" t="s">
        <v>66</v>
      </c>
      <c r="G6130">
        <v>-212.6062</v>
      </c>
      <c r="H6130" s="1">
        <v>-9.2874190000000003E-8</v>
      </c>
      <c r="I6130">
        <v>-60.4054</v>
      </c>
      <c r="J6130">
        <v>-230.6934</v>
      </c>
      <c r="K6130">
        <v>1.1194519999999999</v>
      </c>
      <c r="L6130">
        <v>-61.773769999999899</v>
      </c>
      <c r="M6130">
        <v>0.99978040000000001</v>
      </c>
      <c r="N6130">
        <v>-9.7558349999999992E-3</v>
      </c>
      <c r="O6130">
        <v>1.854517E-2</v>
      </c>
      <c r="P6130">
        <v>0.98435799999999996</v>
      </c>
      <c r="Q6130">
        <v>0.15571079999999901</v>
      </c>
      <c r="R6130">
        <v>8.2424600000000001E-2</v>
      </c>
      <c r="S6130">
        <v>3.0578460000000001</v>
      </c>
      <c r="T6130">
        <v>-0.18743319999999999</v>
      </c>
      <c r="U6130">
        <v>0.2295837</v>
      </c>
      <c r="V6130">
        <v>-6.3783329999999999E-2</v>
      </c>
      <c r="W6130">
        <v>0.1654632</v>
      </c>
      <c r="X6130">
        <v>0.9841512</v>
      </c>
      <c r="Y6130">
        <v>-5.6265290000000003E-2</v>
      </c>
      <c r="Z6130">
        <v>1.042262E-3</v>
      </c>
      <c r="AA6130">
        <v>0.99841530000000001</v>
      </c>
      <c r="AB6130">
        <v>33</v>
      </c>
      <c r="AC6130">
        <v>18.087199999999999</v>
      </c>
      <c r="AD6130">
        <v>-1.11945209287419</v>
      </c>
      <c r="AE6130">
        <v>1.3683699999999901</v>
      </c>
      <c r="AF6130">
        <v>-1.0287700853641599</v>
      </c>
      <c r="AG6130">
        <v>-1.11945209287419</v>
      </c>
      <c r="AH6130">
        <v>18.040753126308399</v>
      </c>
      <c r="AI6130">
        <v>93.544980359075495</v>
      </c>
      <c r="AJ6130">
        <v>93.263744914546606</v>
      </c>
      <c r="AK6130">
        <v>18.104704201979899</v>
      </c>
      <c r="AL6130">
        <v>80.475856099724695</v>
      </c>
      <c r="AM6130">
        <v>93.708181892476006</v>
      </c>
      <c r="AN6130">
        <v>0.99999998410078395</v>
      </c>
    </row>
    <row r="6131" spans="1:40" x14ac:dyDescent="0.25">
      <c r="A6131" t="str">
        <f>"20190303162422248"</f>
        <v>20190303162422248</v>
      </c>
      <c r="B6131" t="str">
        <f>"1551601462240696"</f>
        <v>1551601462240696</v>
      </c>
      <c r="C6131" t="s">
        <v>40</v>
      </c>
      <c r="D6131">
        <v>5.4038240000000002</v>
      </c>
      <c r="E6131">
        <v>0.50241139999999995</v>
      </c>
      <c r="F6131" t="s">
        <v>66</v>
      </c>
      <c r="G6131">
        <v>-212.14420000000001</v>
      </c>
      <c r="H6131" s="1">
        <v>1.1048390000000001E-7</v>
      </c>
      <c r="I6131">
        <v>-60.380189999999999</v>
      </c>
      <c r="J6131">
        <v>-230.51320000000001</v>
      </c>
      <c r="K6131">
        <v>1.119462</v>
      </c>
      <c r="L6131">
        <v>-61.770940000000003</v>
      </c>
      <c r="M6131">
        <v>0.99979039999999997</v>
      </c>
      <c r="N6131">
        <v>-9.7579959999999997E-3</v>
      </c>
      <c r="O6131">
        <v>1.8003069999999999E-2</v>
      </c>
      <c r="P6131">
        <v>0.98426530000000001</v>
      </c>
      <c r="Q6131">
        <v>0.1560743</v>
      </c>
      <c r="R6131">
        <v>8.284205E-2</v>
      </c>
      <c r="S6131">
        <v>3.057617</v>
      </c>
      <c r="T6131">
        <v>-0.18452850000000001</v>
      </c>
      <c r="U6131">
        <v>0.22970579999999999</v>
      </c>
      <c r="V6131">
        <v>-6.4738939999999995E-2</v>
      </c>
      <c r="W6131">
        <v>0.16582949999999999</v>
      </c>
      <c r="X6131">
        <v>0.98402710000000004</v>
      </c>
      <c r="Y6131">
        <v>-5.6852489999999999E-2</v>
      </c>
      <c r="Z6131">
        <v>1.081222E-3</v>
      </c>
      <c r="AA6131">
        <v>0.99838199999999999</v>
      </c>
      <c r="AB6131">
        <v>33</v>
      </c>
      <c r="AC6131">
        <v>18.369</v>
      </c>
      <c r="AD6131">
        <v>-1.1194618895160999</v>
      </c>
      <c r="AE6131">
        <v>1.3907499999999999</v>
      </c>
      <c r="AF6131">
        <v>-1.05591111910874</v>
      </c>
      <c r="AG6131">
        <v>-1.1194618895160999</v>
      </c>
      <c r="AH6131">
        <v>18.323395538922799</v>
      </c>
      <c r="AI6131">
        <v>93.490345287810499</v>
      </c>
      <c r="AJ6131">
        <v>93.298101326472406</v>
      </c>
      <c r="AK6131">
        <v>18.3879027430905</v>
      </c>
      <c r="AL6131">
        <v>80.454574265362197</v>
      </c>
      <c r="AM6131">
        <v>93.7640531269939</v>
      </c>
      <c r="AN6131">
        <v>0.99999994347848997</v>
      </c>
    </row>
    <row r="6132" spans="1:40" x14ac:dyDescent="0.25">
      <c r="A6132" t="str">
        <f>"20190303162422259"</f>
        <v>20190303162422259</v>
      </c>
      <c r="B6132" t="str">
        <f>"1551601462250455"</f>
        <v>1551601462250455</v>
      </c>
      <c r="C6132" t="s">
        <v>40</v>
      </c>
      <c r="D6132">
        <v>5.5917219999999999</v>
      </c>
      <c r="E6132">
        <v>0.50259290000000001</v>
      </c>
      <c r="F6132" t="s">
        <v>66</v>
      </c>
      <c r="G6132">
        <v>-211.47290000000001</v>
      </c>
      <c r="H6132" s="1">
        <v>3.908423E-7</v>
      </c>
      <c r="I6132">
        <v>-60.337179999999996</v>
      </c>
      <c r="J6132">
        <v>-230.3389</v>
      </c>
      <c r="K6132">
        <v>1.1194649999999999</v>
      </c>
      <c r="L6132">
        <v>-61.768250000000002</v>
      </c>
      <c r="M6132">
        <v>0.99979969999999996</v>
      </c>
      <c r="N6132">
        <v>-9.760253E-3</v>
      </c>
      <c r="O6132">
        <v>1.7478099999999899E-2</v>
      </c>
      <c r="P6132">
        <v>0.98420700000000005</v>
      </c>
      <c r="Q6132">
        <v>0.15631300000000001</v>
      </c>
      <c r="R6132">
        <v>8.3084409999999997E-2</v>
      </c>
      <c r="S6132">
        <v>3.0570979999999999</v>
      </c>
      <c r="T6132">
        <v>-0.17974019999999999</v>
      </c>
      <c r="U6132">
        <v>0.23019410000000001</v>
      </c>
      <c r="V6132">
        <v>-6.5499169999999995E-2</v>
      </c>
      <c r="W6132">
        <v>0.1660703</v>
      </c>
      <c r="X6132">
        <v>0.98393629999999999</v>
      </c>
      <c r="Y6132">
        <v>-5.7550179999999999E-2</v>
      </c>
      <c r="Z6132">
        <v>1.114702E-3</v>
      </c>
      <c r="AA6132">
        <v>0.99834199999999995</v>
      </c>
      <c r="AB6132">
        <v>33</v>
      </c>
      <c r="AC6132">
        <v>18.8659999999999</v>
      </c>
      <c r="AD6132">
        <v>-1.1194646091577001</v>
      </c>
      <c r="AE6132">
        <v>1.4310699999999901</v>
      </c>
      <c r="AF6132">
        <v>-1.0972525870619201</v>
      </c>
      <c r="AG6132">
        <v>-1.1194646091577001</v>
      </c>
      <c r="AH6132">
        <v>18.822238246167</v>
      </c>
      <c r="AI6132">
        <v>93.397938130887695</v>
      </c>
      <c r="AJ6132">
        <v>93.336312618891995</v>
      </c>
      <c r="AK6132">
        <v>18.887398360982399</v>
      </c>
      <c r="AL6132">
        <v>80.440584610943205</v>
      </c>
      <c r="AM6132">
        <v>93.808475521275795</v>
      </c>
      <c r="AN6132">
        <v>1.00000006413523</v>
      </c>
    </row>
    <row r="6133" spans="1:40" x14ac:dyDescent="0.25">
      <c r="A6133" t="str">
        <f>"20190303162422270"</f>
        <v>20190303162422270</v>
      </c>
      <c r="B6133" t="str">
        <f>"1551601462261190"</f>
        <v>1551601462261190</v>
      </c>
      <c r="C6133" t="s">
        <v>40</v>
      </c>
      <c r="D6133">
        <v>5.649877</v>
      </c>
      <c r="E6133">
        <v>0.50273570000000001</v>
      </c>
      <c r="F6133" t="s">
        <v>66</v>
      </c>
      <c r="G6133">
        <v>-211.14169999999999</v>
      </c>
      <c r="H6133" s="1">
        <v>5.3106479999999999E-7</v>
      </c>
      <c r="I6133">
        <v>-60.326689999999999</v>
      </c>
      <c r="J6133">
        <v>-230.18190000000001</v>
      </c>
      <c r="K6133">
        <v>1.119462</v>
      </c>
      <c r="L6133">
        <v>-61.76596</v>
      </c>
      <c r="M6133">
        <v>0.99980789999999997</v>
      </c>
      <c r="N6133">
        <v>-9.7624040000000006E-3</v>
      </c>
      <c r="O6133">
        <v>1.6997399999999999E-2</v>
      </c>
      <c r="P6133">
        <v>0.98418689999999998</v>
      </c>
      <c r="Q6133">
        <v>0.156274</v>
      </c>
      <c r="R6133">
        <v>8.3394099999999999E-2</v>
      </c>
      <c r="S6133">
        <v>3.057083</v>
      </c>
      <c r="T6133">
        <v>-0.1782706</v>
      </c>
      <c r="U6133">
        <v>0.22955320000000001</v>
      </c>
      <c r="V6133">
        <v>-6.6282129999999995E-2</v>
      </c>
      <c r="W6133">
        <v>0.16603589999999999</v>
      </c>
      <c r="X6133">
        <v>0.98388960000000003</v>
      </c>
      <c r="Y6133">
        <v>-5.7822659999999998E-2</v>
      </c>
      <c r="Z6133">
        <v>1.141927E-3</v>
      </c>
      <c r="AA6133">
        <v>0.99832619999999905</v>
      </c>
      <c r="AB6133">
        <v>33</v>
      </c>
      <c r="AC6133">
        <v>19.040199999999999</v>
      </c>
      <c r="AD6133">
        <v>-1.1194614689352</v>
      </c>
      <c r="AE6133">
        <v>1.43927</v>
      </c>
      <c r="AF6133">
        <v>-1.1115920156539301</v>
      </c>
      <c r="AG6133">
        <v>-1.1194614689352</v>
      </c>
      <c r="AH6133">
        <v>18.996619508483601</v>
      </c>
      <c r="AI6133">
        <v>93.366766141027398</v>
      </c>
      <c r="AJ6133">
        <v>93.348858372268793</v>
      </c>
      <c r="AK6133">
        <v>19.062014152229501</v>
      </c>
      <c r="AL6133">
        <v>80.442582647234204</v>
      </c>
      <c r="AM6133">
        <v>93.854047033515698</v>
      </c>
      <c r="AN6133">
        <v>0.99999999291715302</v>
      </c>
    </row>
    <row r="6134" spans="1:40" x14ac:dyDescent="0.25">
      <c r="A6134" t="str">
        <f>"20190303162422280"</f>
        <v>20190303162422280</v>
      </c>
      <c r="B6134" t="str">
        <f>"1551601462270951"</f>
        <v>1551601462270951</v>
      </c>
      <c r="C6134" t="s">
        <v>40</v>
      </c>
      <c r="D6134">
        <v>5.4263669999999999</v>
      </c>
      <c r="E6134">
        <v>0.50282269999999996</v>
      </c>
      <c r="F6134" t="s">
        <v>66</v>
      </c>
      <c r="G6134">
        <v>-210.86879999999999</v>
      </c>
      <c r="H6134" s="1">
        <v>6.4627449999999999E-7</v>
      </c>
      <c r="I6134">
        <v>-60.316209999999998</v>
      </c>
      <c r="J6134">
        <v>-230.0164</v>
      </c>
      <c r="K6134">
        <v>1.1194599999999999</v>
      </c>
      <c r="L6134">
        <v>-61.76361</v>
      </c>
      <c r="M6134">
        <v>0.99981640000000005</v>
      </c>
      <c r="N6134">
        <v>-9.764722E-3</v>
      </c>
      <c r="O6134">
        <v>1.6487640000000001E-2</v>
      </c>
      <c r="P6134">
        <v>0.98416119999999996</v>
      </c>
      <c r="Q6134">
        <v>0.15619829999999901</v>
      </c>
      <c r="R6134">
        <v>8.3841139999999995E-2</v>
      </c>
      <c r="S6134">
        <v>3.0569310000000001</v>
      </c>
      <c r="T6134">
        <v>-0.17719199999999999</v>
      </c>
      <c r="U6134">
        <v>0.22946169999999999</v>
      </c>
      <c r="V6134">
        <v>-6.7230139999999994E-2</v>
      </c>
      <c r="W6134">
        <v>0.1659649</v>
      </c>
      <c r="X6134">
        <v>0.98383719999999997</v>
      </c>
      <c r="Y6134">
        <v>-5.8305089999999997E-2</v>
      </c>
      <c r="Z6134">
        <v>1.1786889999999999E-3</v>
      </c>
      <c r="AA6134">
        <v>0.99829809999999997</v>
      </c>
      <c r="AB6134">
        <v>33</v>
      </c>
      <c r="AC6134">
        <v>19.147600000000001</v>
      </c>
      <c r="AD6134">
        <v>-1.1194593537255</v>
      </c>
      <c r="AE6134">
        <v>1.4474</v>
      </c>
      <c r="AF6134">
        <v>-1.1276568793784401</v>
      </c>
      <c r="AG6134">
        <v>-1.1194593537255</v>
      </c>
      <c r="AH6134">
        <v>19.1039337309115</v>
      </c>
      <c r="AI6134">
        <v>93.347790328403903</v>
      </c>
      <c r="AJ6134">
        <v>93.3781051786939</v>
      </c>
      <c r="AK6134">
        <v>19.1699004503756</v>
      </c>
      <c r="AL6134">
        <v>80.446707352191595</v>
      </c>
      <c r="AM6134">
        <v>93.909207970344596</v>
      </c>
      <c r="AN6134">
        <v>0.99999993793013198</v>
      </c>
    </row>
    <row r="6135" spans="1:40" x14ac:dyDescent="0.25">
      <c r="A6135" t="str">
        <f>"20190303162422291"</f>
        <v>20190303162422291</v>
      </c>
      <c r="B6135" t="str">
        <f>"1551601462280711"</f>
        <v>1551601462280711</v>
      </c>
      <c r="C6135" t="s">
        <v>40</v>
      </c>
      <c r="D6135">
        <v>5.5871209999999998</v>
      </c>
      <c r="E6135">
        <v>0.50283909999999998</v>
      </c>
      <c r="F6135" t="s">
        <v>66</v>
      </c>
      <c r="G6135">
        <v>-210.59899999999999</v>
      </c>
      <c r="H6135" s="1">
        <v>7.5926440000000001E-7</v>
      </c>
      <c r="I6135">
        <v>-60.300660000000001</v>
      </c>
      <c r="J6135">
        <v>-229.8725</v>
      </c>
      <c r="K6135">
        <v>1.1194470000000001</v>
      </c>
      <c r="L6135">
        <v>-61.761690000000002</v>
      </c>
      <c r="M6135">
        <v>0.99982389999999999</v>
      </c>
      <c r="N6135">
        <v>-9.7668340000000003E-3</v>
      </c>
      <c r="O6135">
        <v>1.602698E-2</v>
      </c>
      <c r="P6135">
        <v>0.98410989999999998</v>
      </c>
      <c r="Q6135">
        <v>0.15629470000000001</v>
      </c>
      <c r="R6135">
        <v>8.4259329999999993E-2</v>
      </c>
      <c r="S6135">
        <v>3.0566409999999999</v>
      </c>
      <c r="T6135">
        <v>-0.17622270000000001</v>
      </c>
      <c r="U6135">
        <v>0.23028560000000001</v>
      </c>
      <c r="V6135">
        <v>-6.8098249999999999E-2</v>
      </c>
      <c r="W6135">
        <v>0.16606599999999999</v>
      </c>
      <c r="X6135">
        <v>0.98376050000000004</v>
      </c>
      <c r="Y6135">
        <v>-5.9038630000000002E-2</v>
      </c>
      <c r="Z6135">
        <v>1.221532E-3</v>
      </c>
      <c r="AA6135">
        <v>0.998255</v>
      </c>
      <c r="AB6135">
        <v>33</v>
      </c>
      <c r="AC6135">
        <v>19.273499999999899</v>
      </c>
      <c r="AD6135">
        <v>-1.1194462407355901</v>
      </c>
      <c r="AE6135">
        <v>1.4610300000000001</v>
      </c>
      <c r="AF6135">
        <v>-1.1480806454644701</v>
      </c>
      <c r="AG6135">
        <v>-1.1194462407355901</v>
      </c>
      <c r="AH6135">
        <v>19.229939055636201</v>
      </c>
      <c r="AI6135">
        <v>93.325731705156699</v>
      </c>
      <c r="AJ6135">
        <v>93.416661175242396</v>
      </c>
      <c r="AK6135">
        <v>19.296678603787399</v>
      </c>
      <c r="AL6135">
        <v>80.440833878372104</v>
      </c>
      <c r="AM6135">
        <v>93.959833851940601</v>
      </c>
      <c r="AN6135">
        <v>1.00000000468465</v>
      </c>
    </row>
    <row r="6136" spans="1:40" x14ac:dyDescent="0.25">
      <c r="A6136" t="str">
        <f>"20190303162422303"</f>
        <v>20190303162422303</v>
      </c>
      <c r="B6136" t="str">
        <f>"1551601462290471"</f>
        <v>1551601462290471</v>
      </c>
      <c r="C6136" t="s">
        <v>40</v>
      </c>
      <c r="D6136">
        <v>5.5879909999999997</v>
      </c>
      <c r="E6136">
        <v>0.50292329999999996</v>
      </c>
      <c r="F6136" t="s">
        <v>66</v>
      </c>
      <c r="G6136">
        <v>-210.28149999999999</v>
      </c>
      <c r="H6136" s="1">
        <v>8.9140619999999999E-7</v>
      </c>
      <c r="I6136">
        <v>-60.27769</v>
      </c>
      <c r="J6136">
        <v>-229.70429999999999</v>
      </c>
      <c r="K6136">
        <v>1.1194329999999999</v>
      </c>
      <c r="L6136">
        <v>-61.759430000000002</v>
      </c>
      <c r="M6136">
        <v>0.99983230000000001</v>
      </c>
      <c r="N6136">
        <v>-9.7692999999999999E-3</v>
      </c>
      <c r="O6136">
        <v>1.548574E-2</v>
      </c>
      <c r="P6136">
        <v>0.98406669999999996</v>
      </c>
      <c r="Q6136">
        <v>0.156415</v>
      </c>
      <c r="R6136">
        <v>8.4540379999999998E-2</v>
      </c>
      <c r="S6136">
        <v>3.0563509999999998</v>
      </c>
      <c r="T6136">
        <v>-0.1746424</v>
      </c>
      <c r="U6136">
        <v>0.2315063</v>
      </c>
      <c r="V6136">
        <v>-6.8907330000000003E-2</v>
      </c>
      <c r="W6136">
        <v>0.16619200000000001</v>
      </c>
      <c r="X6136">
        <v>0.98368290000000003</v>
      </c>
      <c r="Y6136">
        <v>-5.9981590000000001E-2</v>
      </c>
      <c r="Z6136">
        <v>1.2718199999999999E-3</v>
      </c>
      <c r="AA6136">
        <v>0.99819869999999999</v>
      </c>
      <c r="AB6136">
        <v>33</v>
      </c>
      <c r="AC6136">
        <v>19.422799999999899</v>
      </c>
      <c r="AD6136">
        <v>-1.1194321085937999</v>
      </c>
      <c r="AE6136">
        <v>1.4817400000000001</v>
      </c>
      <c r="AF6136">
        <v>-1.1768847617778999</v>
      </c>
      <c r="AG6136">
        <v>-1.1194321085937999</v>
      </c>
      <c r="AH6136">
        <v>19.3794158891811</v>
      </c>
      <c r="AI6136">
        <v>93.299892441965696</v>
      </c>
      <c r="AJ6136">
        <v>93.475224402712797</v>
      </c>
      <c r="AK6136">
        <v>19.4473634766799</v>
      </c>
      <c r="AL6136">
        <v>80.433513067877698</v>
      </c>
      <c r="AM6136">
        <v>94.007043623217797</v>
      </c>
      <c r="AN6136">
        <v>1.0000000243720599</v>
      </c>
    </row>
    <row r="6137" spans="1:40" x14ac:dyDescent="0.25">
      <c r="A6137" t="str">
        <f>"20190303162422314"</f>
        <v>20190303162422314</v>
      </c>
      <c r="B6137" t="str">
        <f>"1551601462300737"</f>
        <v>1551601462300737</v>
      </c>
      <c r="C6137" t="s">
        <v>40</v>
      </c>
      <c r="D6137">
        <v>5.585</v>
      </c>
      <c r="E6137">
        <v>0.50296560000000001</v>
      </c>
      <c r="F6137" t="s">
        <v>43</v>
      </c>
      <c r="G6137">
        <v>-209.0934</v>
      </c>
      <c r="H6137">
        <v>-0.05</v>
      </c>
      <c r="I6137">
        <v>-60.194870000000002</v>
      </c>
      <c r="J6137">
        <v>-229.53880000000001</v>
      </c>
      <c r="K6137">
        <v>1.11941</v>
      </c>
      <c r="L6137">
        <v>-61.757390000000001</v>
      </c>
      <c r="M6137">
        <v>0.99984099999999998</v>
      </c>
      <c r="N6137">
        <v>-9.7719869999999993E-3</v>
      </c>
      <c r="O6137">
        <v>1.492126E-2</v>
      </c>
      <c r="P6137">
        <v>0.98404499999999995</v>
      </c>
      <c r="Q6137">
        <v>0.15639029999999901</v>
      </c>
      <c r="R6137">
        <v>8.483839E-2</v>
      </c>
      <c r="S6137">
        <v>3.0561980000000002</v>
      </c>
      <c r="T6137">
        <v>-0.17340429999999901</v>
      </c>
      <c r="U6137">
        <v>0.2319946</v>
      </c>
      <c r="V6137">
        <v>-6.9753199999999904E-2</v>
      </c>
      <c r="W6137">
        <v>0.16617560000000001</v>
      </c>
      <c r="X6137">
        <v>0.983626</v>
      </c>
      <c r="Y6137">
        <v>-6.0706679999999999E-2</v>
      </c>
      <c r="Z6137">
        <v>1.3166359999999999E-3</v>
      </c>
      <c r="AA6137">
        <v>0.99815480000000001</v>
      </c>
      <c r="AB6137">
        <v>33</v>
      </c>
      <c r="AC6137">
        <v>20.445399999999999</v>
      </c>
      <c r="AD6137">
        <v>-1.1694100000000001</v>
      </c>
      <c r="AE6137">
        <v>1.5625199999999999</v>
      </c>
      <c r="AF6137">
        <v>-1.2531844154601099</v>
      </c>
      <c r="AG6137">
        <v>-1.1694100000000001</v>
      </c>
      <c r="AH6137">
        <v>20.400088849117399</v>
      </c>
      <c r="AI6137">
        <v>93.2746601392532</v>
      </c>
      <c r="AJ6137">
        <v>93.515281859666004</v>
      </c>
      <c r="AK6137">
        <v>20.4719714727023</v>
      </c>
      <c r="AL6137">
        <v>80.434465476870798</v>
      </c>
      <c r="AM6137">
        <v>94.0563026414478</v>
      </c>
      <c r="AN6137">
        <v>0.99999997341079905</v>
      </c>
    </row>
    <row r="6138" spans="1:40" x14ac:dyDescent="0.25">
      <c r="A6138" t="str">
        <f>"20190303162422326"</f>
        <v>20190303162422326</v>
      </c>
      <c r="B6138" t="str">
        <f>"1551601462321233"</f>
        <v>1551601462321233</v>
      </c>
      <c r="C6138" t="s">
        <v>40</v>
      </c>
      <c r="D6138">
        <v>5.6449720000000001</v>
      </c>
      <c r="E6138">
        <v>0.50321130000000003</v>
      </c>
      <c r="F6138" t="s">
        <v>56</v>
      </c>
      <c r="G6138">
        <v>-209.73089999999999</v>
      </c>
      <c r="H6138" s="1">
        <v>-1.7791329999999999E-7</v>
      </c>
      <c r="I6138">
        <v>-60.251130000000003</v>
      </c>
      <c r="J6138">
        <v>-229.3691</v>
      </c>
      <c r="K6138">
        <v>1.1193869999999999</v>
      </c>
      <c r="L6138">
        <v>-61.7553699999999</v>
      </c>
      <c r="M6138">
        <v>0.99984960000000001</v>
      </c>
      <c r="N6138">
        <v>-9.7747609999999999E-3</v>
      </c>
      <c r="O6138">
        <v>1.433338E-2</v>
      </c>
      <c r="P6138">
        <v>0.98404930000000002</v>
      </c>
      <c r="Q6138">
        <v>0.156192</v>
      </c>
      <c r="R6138">
        <v>8.5152619999999998E-2</v>
      </c>
      <c r="S6138">
        <v>3.056076</v>
      </c>
      <c r="T6138">
        <v>-0.17270839999999901</v>
      </c>
      <c r="U6138">
        <v>0.2323914</v>
      </c>
      <c r="V6138">
        <v>-7.0637240000000004E-2</v>
      </c>
      <c r="W6138">
        <v>0.16598560000000001</v>
      </c>
      <c r="X6138">
        <v>0.983595</v>
      </c>
      <c r="Y6138">
        <v>-6.1424079999999999E-2</v>
      </c>
      <c r="Z6138">
        <v>1.3644320000000001E-3</v>
      </c>
      <c r="AA6138">
        <v>0.99811079999999996</v>
      </c>
      <c r="AB6138">
        <v>33</v>
      </c>
      <c r="AC6138">
        <v>19.638200000000001</v>
      </c>
      <c r="AD6138">
        <v>-1.1193871779133</v>
      </c>
      <c r="AE6138">
        <v>1.50423999999998</v>
      </c>
      <c r="AF6138">
        <v>-1.21865387623213</v>
      </c>
      <c r="AG6138">
        <v>-1.1193871779133</v>
      </c>
      <c r="AH6138">
        <v>19.594452143106</v>
      </c>
      <c r="AI6138">
        <v>93.263334142517195</v>
      </c>
      <c r="AJ6138">
        <v>93.558859616540701</v>
      </c>
      <c r="AK6138">
        <v>19.664198425377101</v>
      </c>
      <c r="AL6138">
        <v>80.445505068580204</v>
      </c>
      <c r="AM6138">
        <v>94.107665667730402</v>
      </c>
      <c r="AN6138">
        <v>0.99999998155358805</v>
      </c>
    </row>
    <row r="6139" spans="1:40" x14ac:dyDescent="0.25">
      <c r="A6139" t="str">
        <f>"20190303162422336"</f>
        <v>20190303162422336</v>
      </c>
      <c r="B6139" t="str">
        <f>"1551601462330994"</f>
        <v>1551601462330994</v>
      </c>
      <c r="C6139" t="s">
        <v>40</v>
      </c>
      <c r="D6139">
        <v>5.57721</v>
      </c>
      <c r="E6139">
        <v>0.50332690000000002</v>
      </c>
      <c r="F6139" t="s">
        <v>56</v>
      </c>
      <c r="G6139">
        <v>-209.42240000000001</v>
      </c>
      <c r="H6139" s="1">
        <v>-3.746146E-7</v>
      </c>
      <c r="I6139">
        <v>-60.248649999999998</v>
      </c>
      <c r="J6139">
        <v>-229.2013</v>
      </c>
      <c r="K6139">
        <v>1.119356</v>
      </c>
      <c r="L6139">
        <v>-61.753540000000001</v>
      </c>
      <c r="M6139">
        <v>0.99985809999999997</v>
      </c>
      <c r="N6139">
        <v>-9.7776170000000006E-3</v>
      </c>
      <c r="O6139">
        <v>1.37263E-2</v>
      </c>
      <c r="P6139">
        <v>0.98401879999999997</v>
      </c>
      <c r="Q6139">
        <v>0.15633079999999999</v>
      </c>
      <c r="R6139">
        <v>8.5251930000000004E-2</v>
      </c>
      <c r="S6139">
        <v>3.0558930000000002</v>
      </c>
      <c r="T6139">
        <v>-0.171493799999999</v>
      </c>
      <c r="U6139">
        <v>0.23083500000000001</v>
      </c>
      <c r="V6139">
        <v>-7.1323949999999997E-2</v>
      </c>
      <c r="W6139">
        <v>0.1661328</v>
      </c>
      <c r="X6139">
        <v>0.98352059999999997</v>
      </c>
      <c r="Y6139">
        <v>-6.1529519999999997E-2</v>
      </c>
      <c r="Z6139">
        <v>1.389667E-3</v>
      </c>
      <c r="AA6139">
        <v>0.99810430000000006</v>
      </c>
      <c r="AB6139">
        <v>33</v>
      </c>
      <c r="AC6139">
        <v>19.7789</v>
      </c>
      <c r="AD6139">
        <v>-1.1193563746146</v>
      </c>
      <c r="AE6139">
        <v>1.5048900000000001</v>
      </c>
      <c r="AF6139">
        <v>-1.22932949019585</v>
      </c>
      <c r="AG6139">
        <v>-1.1193563746146</v>
      </c>
      <c r="AH6139">
        <v>19.734850641164599</v>
      </c>
      <c r="AI6139">
        <v>93.240058920724493</v>
      </c>
      <c r="AJ6139">
        <v>93.564480926706693</v>
      </c>
      <c r="AK6139">
        <v>19.8047605266494</v>
      </c>
      <c r="AL6139">
        <v>80.436952481743702</v>
      </c>
      <c r="AM6139">
        <v>94.147772888492796</v>
      </c>
      <c r="AN6139">
        <v>0.99999999185190103</v>
      </c>
    </row>
    <row r="6140" spans="1:40" x14ac:dyDescent="0.25">
      <c r="A6140" t="str">
        <f>"20190303162422347"</f>
        <v>20190303162422347</v>
      </c>
      <c r="B6140" t="str">
        <f>"1551601462340754"</f>
        <v>1551601462340754</v>
      </c>
      <c r="C6140" t="s">
        <v>40</v>
      </c>
      <c r="D6140">
        <v>5.5849159999999998</v>
      </c>
      <c r="E6140">
        <v>0.50334709999999905</v>
      </c>
      <c r="F6140" t="s">
        <v>56</v>
      </c>
      <c r="G6140">
        <v>-209.12809999999999</v>
      </c>
      <c r="H6140" s="1">
        <v>-5.624319E-7</v>
      </c>
      <c r="I6140">
        <v>-60.245890000000003</v>
      </c>
      <c r="J6140">
        <v>-229.0471</v>
      </c>
      <c r="K6140">
        <v>1.119324</v>
      </c>
      <c r="L6140">
        <v>-61.751919999999998</v>
      </c>
      <c r="M6140">
        <v>0.99986580000000003</v>
      </c>
      <c r="N6140">
        <v>-9.7813410000000007E-3</v>
      </c>
      <c r="O6140">
        <v>1.315086E-2</v>
      </c>
      <c r="P6140">
        <v>0.98399320000000001</v>
      </c>
      <c r="Q6140">
        <v>0.15624969999999999</v>
      </c>
      <c r="R6140">
        <v>8.5692320000000002E-2</v>
      </c>
      <c r="S6140">
        <v>3.0559229999999999</v>
      </c>
      <c r="T6140">
        <v>-0.17041020000000001</v>
      </c>
      <c r="U6140">
        <v>0.2295227</v>
      </c>
      <c r="V6140">
        <v>-7.2319960000000003E-2</v>
      </c>
      <c r="W6140">
        <v>0.16606270000000001</v>
      </c>
      <c r="X6140">
        <v>0.98345970000000005</v>
      </c>
      <c r="Y6140">
        <v>-6.167723E-2</v>
      </c>
      <c r="Z6140">
        <v>1.4150359999999999E-3</v>
      </c>
      <c r="AA6140">
        <v>0.99809519999999996</v>
      </c>
      <c r="AB6140">
        <v>33</v>
      </c>
      <c r="AC6140">
        <v>19.919</v>
      </c>
      <c r="AD6140">
        <v>-1.1193245624318999</v>
      </c>
      <c r="AE6140">
        <v>1.50602999999999</v>
      </c>
      <c r="AF6140">
        <v>-1.2400417923579199</v>
      </c>
      <c r="AG6140">
        <v>-1.1193245624318999</v>
      </c>
      <c r="AH6140">
        <v>19.874681405813501</v>
      </c>
      <c r="AI6140">
        <v>93.217199818970499</v>
      </c>
      <c r="AJ6140">
        <v>93.570229824738604</v>
      </c>
      <c r="AK6140">
        <v>19.944762523165</v>
      </c>
      <c r="AL6140">
        <v>80.441025467677093</v>
      </c>
      <c r="AM6140">
        <v>94.205747950333404</v>
      </c>
      <c r="AN6140">
        <v>0.99999998923488997</v>
      </c>
    </row>
    <row r="6141" spans="1:40" x14ac:dyDescent="0.25">
      <c r="A6141" t="str">
        <f>"20190303162422359"</f>
        <v>20190303162422359</v>
      </c>
      <c r="B6141" t="str">
        <f>"1551601462350515"</f>
        <v>1551601462350515</v>
      </c>
      <c r="C6141" t="s">
        <v>40</v>
      </c>
      <c r="D6141">
        <v>5.4068899999999998</v>
      </c>
      <c r="E6141">
        <v>0.50341229999999904</v>
      </c>
      <c r="F6141" t="s">
        <v>56</v>
      </c>
      <c r="G6141">
        <v>-208.899</v>
      </c>
      <c r="H6141" s="1">
        <v>-7.1072159999999898E-7</v>
      </c>
      <c r="I6141">
        <v>-60.235950000000003</v>
      </c>
      <c r="J6141">
        <v>-228.87180000000001</v>
      </c>
      <c r="K6141">
        <v>1.1192869999999999</v>
      </c>
      <c r="L6141">
        <v>-61.750210000000003</v>
      </c>
      <c r="M6141">
        <v>0.99987440000000005</v>
      </c>
      <c r="N6141">
        <v>-9.7870419999999993E-3</v>
      </c>
      <c r="O6141">
        <v>1.247207E-2</v>
      </c>
      <c r="P6141">
        <v>0.98393430000000004</v>
      </c>
      <c r="Q6141">
        <v>0.15635779999999999</v>
      </c>
      <c r="R6141">
        <v>8.6171910000000004E-2</v>
      </c>
      <c r="S6141">
        <v>3.0557560000000001</v>
      </c>
      <c r="T6141">
        <v>-0.16976150000000001</v>
      </c>
      <c r="U6141">
        <v>0.2299194</v>
      </c>
      <c r="V6141">
        <v>-7.3454640000000002E-2</v>
      </c>
      <c r="W6141">
        <v>0.16618450000000001</v>
      </c>
      <c r="X6141">
        <v>0.98335499999999998</v>
      </c>
      <c r="Y6141">
        <v>-6.2486229999999997E-2</v>
      </c>
      <c r="Z6141">
        <v>1.4689709999999999E-3</v>
      </c>
      <c r="AA6141">
        <v>0.99804470000000001</v>
      </c>
      <c r="AB6141">
        <v>33</v>
      </c>
      <c r="AC6141">
        <v>19.972799999999999</v>
      </c>
      <c r="AD6141">
        <v>-1.1192877107215999</v>
      </c>
      <c r="AE6141">
        <v>1.5142599999999899</v>
      </c>
      <c r="AF6141">
        <v>-1.2610902586820101</v>
      </c>
      <c r="AG6141">
        <v>-1.1192877107215999</v>
      </c>
      <c r="AH6141">
        <v>19.9279063612348</v>
      </c>
      <c r="AI6141">
        <v>93.208341367935702</v>
      </c>
      <c r="AJ6141">
        <v>93.620998915762499</v>
      </c>
      <c r="AK6141">
        <v>19.999115119476102</v>
      </c>
      <c r="AL6141">
        <v>80.433948264156001</v>
      </c>
      <c r="AM6141">
        <v>94.271945720006499</v>
      </c>
      <c r="AN6141">
        <v>0.99999996410138903</v>
      </c>
    </row>
    <row r="6142" spans="1:40" x14ac:dyDescent="0.25">
      <c r="A6142" t="str">
        <f>"20190303162422371"</f>
        <v>20190303162422371</v>
      </c>
      <c r="B6142" t="str">
        <f>"1551601462361249"</f>
        <v>1551601462361249</v>
      </c>
      <c r="C6142" t="s">
        <v>40</v>
      </c>
      <c r="D6142">
        <v>5.6447629999999904</v>
      </c>
      <c r="E6142">
        <v>0.50352920000000001</v>
      </c>
      <c r="F6142" t="s">
        <v>56</v>
      </c>
      <c r="G6142">
        <v>-208.60579999999999</v>
      </c>
      <c r="H6142" s="1">
        <v>-9.0096150000000003E-7</v>
      </c>
      <c r="I6142">
        <v>-60.221240000000002</v>
      </c>
      <c r="J6142">
        <v>-228.71209999999999</v>
      </c>
      <c r="K6142">
        <v>1.119251</v>
      </c>
      <c r="L6142">
        <v>-61.748809999999999</v>
      </c>
      <c r="M6142">
        <v>0.9998823</v>
      </c>
      <c r="N6142">
        <v>-9.7950759999999998E-3</v>
      </c>
      <c r="O6142">
        <v>1.182036E-2</v>
      </c>
      <c r="P6142">
        <v>0.98388050000000005</v>
      </c>
      <c r="Q6142">
        <v>0.15648799999999999</v>
      </c>
      <c r="R6142">
        <v>8.6550589999999997E-2</v>
      </c>
      <c r="S6142">
        <v>3.0556179999999999</v>
      </c>
      <c r="T6142">
        <v>-0.16876160000000001</v>
      </c>
      <c r="U6142">
        <v>0.23052980000000001</v>
      </c>
      <c r="V6142">
        <v>-7.4460399999999996E-2</v>
      </c>
      <c r="W6142">
        <v>0.1663307</v>
      </c>
      <c r="X6142">
        <v>0.98325469999999904</v>
      </c>
      <c r="Y6142">
        <v>-6.3337110000000002E-2</v>
      </c>
      <c r="Z6142">
        <v>1.520396E-3</v>
      </c>
      <c r="AA6142">
        <v>0.99799099999999996</v>
      </c>
      <c r="AB6142">
        <v>33</v>
      </c>
      <c r="AC6142">
        <v>20.106300000000001</v>
      </c>
      <c r="AD6142">
        <v>-1.1192519009615001</v>
      </c>
      <c r="AE6142">
        <v>1.5275699999999901</v>
      </c>
      <c r="AF6142">
        <v>-1.2858265639833</v>
      </c>
      <c r="AG6142">
        <v>-1.1192519009615001</v>
      </c>
      <c r="AH6142">
        <v>20.061144079038399</v>
      </c>
      <c r="AI6142">
        <v>93.186811267918401</v>
      </c>
      <c r="AJ6142">
        <v>93.667377867921999</v>
      </c>
      <c r="AK6142">
        <v>20.133444229202102</v>
      </c>
      <c r="AL6142">
        <v>80.425454019497806</v>
      </c>
      <c r="AM6142">
        <v>94.330657362237403</v>
      </c>
      <c r="AN6142">
        <v>1.00000002900136</v>
      </c>
    </row>
    <row r="6143" spans="1:40" x14ac:dyDescent="0.25">
      <c r="A6143" t="str">
        <f>"20190303162422382"</f>
        <v>20190303162422382</v>
      </c>
      <c r="B6143" t="str">
        <f>"1551601462371011"</f>
        <v>1551601462371011</v>
      </c>
      <c r="C6143" t="s">
        <v>40</v>
      </c>
      <c r="D6143">
        <v>5.6506080000000001</v>
      </c>
      <c r="E6143">
        <v>0.50360669999999996</v>
      </c>
      <c r="F6143" t="s">
        <v>56</v>
      </c>
      <c r="G6143">
        <v>-208.30539999999999</v>
      </c>
      <c r="H6143" s="1">
        <v>-1.095204E-6</v>
      </c>
      <c r="I6143">
        <v>-60.208979999999997</v>
      </c>
      <c r="J6143">
        <v>-228.5291</v>
      </c>
      <c r="K6143">
        <v>1.119208</v>
      </c>
      <c r="L6143">
        <v>-61.747280000000003</v>
      </c>
      <c r="M6143">
        <v>0.99989079999999997</v>
      </c>
      <c r="N6143">
        <v>-9.8056410000000004E-3</v>
      </c>
      <c r="O6143">
        <v>1.105718E-2</v>
      </c>
      <c r="P6143">
        <v>0.98384179999999999</v>
      </c>
      <c r="Q6143">
        <v>0.15653880000000001</v>
      </c>
      <c r="R6143">
        <v>8.6897000000000002E-2</v>
      </c>
      <c r="S6143">
        <v>3.0555270000000001</v>
      </c>
      <c r="T6143">
        <v>-0.16758729999999999</v>
      </c>
      <c r="U6143">
        <v>0.2305603</v>
      </c>
      <c r="V6143">
        <v>-7.5541559999999994E-2</v>
      </c>
      <c r="W6143">
        <v>0.1664022</v>
      </c>
      <c r="X6143">
        <v>0.98316009999999998</v>
      </c>
      <c r="Y6143">
        <v>-6.4110059999999996E-2</v>
      </c>
      <c r="Z6143">
        <v>1.5725209999999999E-3</v>
      </c>
      <c r="AA6143">
        <v>0.99794159999999998</v>
      </c>
      <c r="AB6143">
        <v>33</v>
      </c>
      <c r="AC6143">
        <v>20.223700000000001</v>
      </c>
      <c r="AD6143">
        <v>-1.1192090952039999</v>
      </c>
      <c r="AE6143">
        <v>1.53829999999999</v>
      </c>
      <c r="AF6143">
        <v>-1.3105872951459401</v>
      </c>
      <c r="AG6143">
        <v>-1.1192090952039999</v>
      </c>
      <c r="AH6143">
        <v>20.1780303357279</v>
      </c>
      <c r="AI6143">
        <v>93.168093794984699</v>
      </c>
      <c r="AJ6143">
        <v>93.716209725548495</v>
      </c>
      <c r="AK6143">
        <v>20.2514981244978</v>
      </c>
      <c r="AL6143">
        <v>80.421299201344894</v>
      </c>
      <c r="AM6143">
        <v>94.393714856296796</v>
      </c>
      <c r="AN6143">
        <v>1.00000000084204</v>
      </c>
    </row>
    <row r="6144" spans="1:40" x14ac:dyDescent="0.25">
      <c r="A6144" t="str">
        <f>"20190303162422412"</f>
        <v>20190303162422412</v>
      </c>
      <c r="B6144" t="str">
        <f>"1551601462401266"</f>
        <v>1551601462401266</v>
      </c>
      <c r="C6144" t="s">
        <v>40</v>
      </c>
      <c r="D6144">
        <v>5.4291729999999996</v>
      </c>
      <c r="E6144">
        <v>0.50384240000000002</v>
      </c>
      <c r="F6144" t="s">
        <v>56</v>
      </c>
      <c r="G6144">
        <v>-208.02719999999999</v>
      </c>
      <c r="H6144" s="1">
        <v>-1.2745330000000001E-6</v>
      </c>
      <c r="I6144">
        <v>-60.19961</v>
      </c>
      <c r="J6144">
        <v>-228.09190000000001</v>
      </c>
      <c r="K6144">
        <v>1.1190880000000001</v>
      </c>
      <c r="L6144">
        <v>-61.744540000000001</v>
      </c>
      <c r="M6144">
        <v>0.99991070000000004</v>
      </c>
      <c r="N6144">
        <v>-9.8424329999999994E-3</v>
      </c>
      <c r="O6144">
        <v>9.0336540000000003E-3</v>
      </c>
      <c r="P6144">
        <v>0.98369530000000005</v>
      </c>
      <c r="Q6144">
        <v>0.15655060000000001</v>
      </c>
      <c r="R6144">
        <v>8.8518020000000003E-2</v>
      </c>
      <c r="S6144">
        <v>3.0554350000000001</v>
      </c>
      <c r="T6144">
        <v>-0.16679759999999999</v>
      </c>
      <c r="U6144">
        <v>0.23065189999999999</v>
      </c>
      <c r="V6144">
        <v>-7.910478E-2</v>
      </c>
      <c r="W6144">
        <v>0.16648170000000001</v>
      </c>
      <c r="X6144">
        <v>0.98286629999999997</v>
      </c>
      <c r="Y6144">
        <v>-6.6156610000000005E-2</v>
      </c>
      <c r="Z6144">
        <v>1.72489E-3</v>
      </c>
      <c r="AA6144">
        <v>0.99780769999999996</v>
      </c>
      <c r="AB6144">
        <v>33</v>
      </c>
      <c r="AC6144">
        <v>20.064699999999998</v>
      </c>
      <c r="AD6144">
        <v>-1.1190892745329999</v>
      </c>
      <c r="AE6144">
        <v>1.5449299999999999</v>
      </c>
      <c r="AF6144">
        <v>-1.3593967951519199</v>
      </c>
      <c r="AG6144">
        <v>-1.1190892745329999</v>
      </c>
      <c r="AH6144">
        <v>20.015940753690199</v>
      </c>
      <c r="AI6144">
        <v>93.192730211617103</v>
      </c>
      <c r="AJ6144">
        <v>93.8853170515644</v>
      </c>
      <c r="AK6144">
        <v>20.093237785540701</v>
      </c>
      <c r="AL6144">
        <v>80.416679193392497</v>
      </c>
      <c r="AM6144">
        <v>94.601461608071304</v>
      </c>
      <c r="AN6144">
        <v>0.99999994316471197</v>
      </c>
    </row>
    <row r="6145" spans="1:40" x14ac:dyDescent="0.25">
      <c r="A6145" t="str">
        <f>"20190303162422425"</f>
        <v>20190303162422425</v>
      </c>
      <c r="B6145" t="str">
        <f>"1551601462412002"</f>
        <v>1551601462412002</v>
      </c>
      <c r="C6145" t="s">
        <v>40</v>
      </c>
      <c r="D6145">
        <v>5.6561909999999997</v>
      </c>
      <c r="E6145">
        <v>0.50392780000000004</v>
      </c>
      <c r="F6145" t="s">
        <v>56</v>
      </c>
      <c r="G6145">
        <v>-207.45320000000001</v>
      </c>
      <c r="H6145" s="1">
        <v>-1.6460340000000001E-6</v>
      </c>
      <c r="I6145">
        <v>-60.174630000000001</v>
      </c>
      <c r="J6145">
        <v>-227.9128</v>
      </c>
      <c r="K6145">
        <v>1.1190359999999999</v>
      </c>
      <c r="L6145">
        <v>-61.743650000000002</v>
      </c>
      <c r="M6145">
        <v>0.99991810000000003</v>
      </c>
      <c r="N6145">
        <v>-9.8622880000000003E-3</v>
      </c>
      <c r="O6145">
        <v>8.1532500000000008E-3</v>
      </c>
      <c r="P6145">
        <v>0.98357839999999996</v>
      </c>
      <c r="Q6145">
        <v>0.156925799999999</v>
      </c>
      <c r="R6145">
        <v>8.9151049999999996E-2</v>
      </c>
      <c r="S6145">
        <v>3.055145</v>
      </c>
      <c r="T6145">
        <v>-0.16565849999999999</v>
      </c>
      <c r="U6145">
        <v>0.2323914</v>
      </c>
      <c r="V6145">
        <v>-8.0581899999999998E-2</v>
      </c>
      <c r="W6145">
        <v>0.16689019999999999</v>
      </c>
      <c r="X6145">
        <v>0.98267700000000002</v>
      </c>
      <c r="Y6145">
        <v>-6.760497E-2</v>
      </c>
      <c r="Z6145">
        <v>1.8021910000000001E-3</v>
      </c>
      <c r="AA6145">
        <v>0.99771049999999994</v>
      </c>
      <c r="AB6145">
        <v>33</v>
      </c>
      <c r="AC6145">
        <v>20.459599999999899</v>
      </c>
      <c r="AD6145">
        <v>-1.1190376460339999</v>
      </c>
      <c r="AE6145">
        <v>1.5690199999999901</v>
      </c>
      <c r="AF6145">
        <v>-1.39798979890646</v>
      </c>
      <c r="AG6145">
        <v>-1.1190376460339999</v>
      </c>
      <c r="AH6145">
        <v>20.411009737894801</v>
      </c>
      <c r="AI6145">
        <v>93.130790516700401</v>
      </c>
      <c r="AJ6145">
        <v>93.9181802248373</v>
      </c>
      <c r="AK6145">
        <v>20.489410417372302</v>
      </c>
      <c r="AL6145">
        <v>80.392941690507996</v>
      </c>
      <c r="AM6145">
        <v>94.687904036086707</v>
      </c>
      <c r="AN6145">
        <v>0.99999993389632202</v>
      </c>
    </row>
    <row r="6146" spans="1:40" x14ac:dyDescent="0.25">
      <c r="A6146" t="str">
        <f>"20190303162422438"</f>
        <v>20190303162422438</v>
      </c>
      <c r="B6146" t="str">
        <f>"1551601462430546"</f>
        <v>1551601462430546</v>
      </c>
      <c r="C6146" t="s">
        <v>40</v>
      </c>
      <c r="D6146">
        <v>5.6629300000000002</v>
      </c>
      <c r="E6146">
        <v>0.50400829999999996</v>
      </c>
      <c r="F6146" t="s">
        <v>56</v>
      </c>
      <c r="G6146">
        <v>-207.0204</v>
      </c>
      <c r="H6146" s="1">
        <v>-1.9277359999999999E-6</v>
      </c>
      <c r="I6146">
        <v>-60.149619999999999</v>
      </c>
      <c r="J6146">
        <v>-227.69800000000001</v>
      </c>
      <c r="K6146">
        <v>1.1189720000000001</v>
      </c>
      <c r="L6146">
        <v>-61.742890000000003</v>
      </c>
      <c r="M6146">
        <v>0.99992630000000005</v>
      </c>
      <c r="N6146">
        <v>-9.8926559999999997E-3</v>
      </c>
      <c r="O6146">
        <v>7.0336000000000001E-3</v>
      </c>
      <c r="P6146">
        <v>0.98344640000000005</v>
      </c>
      <c r="Q6146">
        <v>0.1575337</v>
      </c>
      <c r="R6146">
        <v>8.9531410000000006E-2</v>
      </c>
      <c r="S6146">
        <v>3.055069</v>
      </c>
      <c r="T6146">
        <v>-0.16363549999999999</v>
      </c>
      <c r="U6146">
        <v>0.2330933</v>
      </c>
      <c r="V6146">
        <v>-8.2035010000000005E-2</v>
      </c>
      <c r="W6146">
        <v>0.16754469999999999</v>
      </c>
      <c r="X6146">
        <v>0.98244540000000002</v>
      </c>
      <c r="Y6146">
        <v>-6.8950819999999996E-2</v>
      </c>
      <c r="Z6146">
        <v>1.877976E-3</v>
      </c>
      <c r="AA6146">
        <v>0.99761829999999996</v>
      </c>
      <c r="AB6146">
        <v>33</v>
      </c>
      <c r="AC6146">
        <v>20.677599999999899</v>
      </c>
      <c r="AD6146">
        <v>-1.11897392773599</v>
      </c>
      <c r="AE6146">
        <v>1.59327</v>
      </c>
      <c r="AF6146">
        <v>-1.44358296854882</v>
      </c>
      <c r="AG6146">
        <v>-1.11897392773599</v>
      </c>
      <c r="AH6146">
        <v>20.628242943945899</v>
      </c>
      <c r="AI6146">
        <v>93.097391914949895</v>
      </c>
      <c r="AJ6146">
        <v>94.003083820763607</v>
      </c>
      <c r="AK6146">
        <v>20.708945926639799</v>
      </c>
      <c r="AL6146">
        <v>80.354906378485893</v>
      </c>
      <c r="AM6146">
        <v>94.773172437992898</v>
      </c>
      <c r="AN6146">
        <v>0.99999996667247404</v>
      </c>
    </row>
    <row r="6147" spans="1:40" x14ac:dyDescent="0.25">
      <c r="A6147" t="str">
        <f>"20190303162422463"</f>
        <v>20190303162422463</v>
      </c>
      <c r="B6147" t="str">
        <f>"1551601462451042"</f>
        <v>1551601462451042</v>
      </c>
      <c r="C6147" t="s">
        <v>40</v>
      </c>
      <c r="D6147">
        <v>5.6627280000000004</v>
      </c>
      <c r="E6147">
        <v>0.50405999999999995</v>
      </c>
      <c r="F6147" t="s">
        <v>56</v>
      </c>
      <c r="G6147">
        <v>-206.4743</v>
      </c>
      <c r="H6147" s="1">
        <v>-2.28194E-6</v>
      </c>
      <c r="I6147">
        <v>-60.123139999999999</v>
      </c>
      <c r="J6147">
        <v>-227.34039999999999</v>
      </c>
      <c r="K6147">
        <v>1.1188769999999999</v>
      </c>
      <c r="L6147">
        <v>-61.742280000000001</v>
      </c>
      <c r="M6147">
        <v>0.99993770000000004</v>
      </c>
      <c r="N6147">
        <v>-9.9565309999999994E-3</v>
      </c>
      <c r="O6147">
        <v>5.0753880000000001E-3</v>
      </c>
      <c r="P6147">
        <v>0.9832457</v>
      </c>
      <c r="Q6147">
        <v>0.157949799999999</v>
      </c>
      <c r="R6147">
        <v>9.0993489999999996E-2</v>
      </c>
      <c r="S6147">
        <v>3.0550540000000002</v>
      </c>
      <c r="T6147">
        <v>-0.1610713</v>
      </c>
      <c r="U6147">
        <v>0.23315429999999901</v>
      </c>
      <c r="V6147">
        <v>-8.5377480000000006E-2</v>
      </c>
      <c r="W6147">
        <v>0.1680547</v>
      </c>
      <c r="X6147">
        <v>0.98207350000000004</v>
      </c>
      <c r="Y6147">
        <v>-7.0922460000000007E-2</v>
      </c>
      <c r="Z6147">
        <v>2.00293E-3</v>
      </c>
      <c r="AA6147">
        <v>0.99747980000000003</v>
      </c>
      <c r="AB6147">
        <v>33</v>
      </c>
      <c r="AC6147">
        <v>20.8660999999999</v>
      </c>
      <c r="AD6147">
        <v>-1.11887928194</v>
      </c>
      <c r="AE6147">
        <v>1.61914</v>
      </c>
      <c r="AF6147">
        <v>-1.50889778209192</v>
      </c>
      <c r="AG6147">
        <v>-1.11887928194</v>
      </c>
      <c r="AH6147">
        <v>20.814559391180399</v>
      </c>
      <c r="AI6147">
        <v>93.068915185933193</v>
      </c>
      <c r="AJ6147">
        <v>94.146256796204597</v>
      </c>
      <c r="AK6147">
        <v>20.8991518012892</v>
      </c>
      <c r="AL6147">
        <v>80.325265848788007</v>
      </c>
      <c r="AM6147">
        <v>94.968570162849801</v>
      </c>
      <c r="AN6147">
        <v>1.0000000278427399</v>
      </c>
    </row>
    <row r="6148" spans="1:40" x14ac:dyDescent="0.25">
      <c r="A6148" t="str">
        <f>"20190303162422488"</f>
        <v>20190303162422488</v>
      </c>
      <c r="B6148" t="str">
        <f>"1551601462480322"</f>
        <v>1551601462480322</v>
      </c>
      <c r="C6148" t="s">
        <v>40</v>
      </c>
      <c r="D6148">
        <v>5.4967240000000004</v>
      </c>
      <c r="E6148">
        <v>0.50427149999999998</v>
      </c>
      <c r="F6148" t="s">
        <v>56</v>
      </c>
      <c r="G6148">
        <v>-205.92330000000001</v>
      </c>
      <c r="H6148" s="1">
        <v>-2.6426669999999999E-6</v>
      </c>
      <c r="I6148">
        <v>-60.083689999999997</v>
      </c>
      <c r="J6148">
        <v>-226.96549999999999</v>
      </c>
      <c r="K6148">
        <v>1.1187830000000001</v>
      </c>
      <c r="L6148">
        <v>-61.742579999999997</v>
      </c>
      <c r="M6148">
        <v>0.99994519999999998</v>
      </c>
      <c r="N6148">
        <v>-1.006832E-2</v>
      </c>
      <c r="O6148">
        <v>2.8685609999999999E-3</v>
      </c>
      <c r="P6148">
        <v>0.98302230000000002</v>
      </c>
      <c r="Q6148">
        <v>0.15761439999999999</v>
      </c>
      <c r="R6148">
        <v>9.3940620000000002E-2</v>
      </c>
      <c r="S6148">
        <v>3.05484</v>
      </c>
      <c r="T6148">
        <v>-0.15959200000000001</v>
      </c>
      <c r="U6148">
        <v>0.23657230000000001</v>
      </c>
      <c r="V6148">
        <v>-9.0451729999999994E-2</v>
      </c>
      <c r="W6148">
        <v>0.16786860000000001</v>
      </c>
      <c r="X6148">
        <v>0.98165089999999999</v>
      </c>
      <c r="Y6148">
        <v>-7.4232549999999994E-2</v>
      </c>
      <c r="Z6148">
        <v>2.1886919999999999E-3</v>
      </c>
      <c r="AA6148">
        <v>0.99723859999999998</v>
      </c>
      <c r="AB6148">
        <v>33</v>
      </c>
      <c r="AC6148">
        <v>21.042199999999902</v>
      </c>
      <c r="AD6148">
        <v>-1.118785642667</v>
      </c>
      <c r="AE6148">
        <v>1.65888999999999</v>
      </c>
      <c r="AF6148">
        <v>-1.5940409090890699</v>
      </c>
      <c r="AG6148">
        <v>-1.118785642667</v>
      </c>
      <c r="AH6148">
        <v>20.987907900398501</v>
      </c>
      <c r="AI6148">
        <v>93.042585990758397</v>
      </c>
      <c r="AJ6148">
        <v>94.343301260717595</v>
      </c>
      <c r="AK6148">
        <v>21.078067410692501</v>
      </c>
      <c r="AL6148">
        <v>80.336081358964506</v>
      </c>
      <c r="AM6148">
        <v>95.264508756792594</v>
      </c>
      <c r="AN6148">
        <v>0.99999993589837899</v>
      </c>
    </row>
    <row r="6149" spans="1:40" x14ac:dyDescent="0.25">
      <c r="A6149" t="str">
        <f>"20190303162422498"</f>
        <v>20190303162422498</v>
      </c>
      <c r="B6149" t="str">
        <f>"1551601462491058"</f>
        <v>1551601462491058</v>
      </c>
      <c r="C6149" t="s">
        <v>40</v>
      </c>
      <c r="D6149">
        <v>5.7139129999999998</v>
      </c>
      <c r="E6149">
        <v>0.50440160000000001</v>
      </c>
      <c r="F6149" t="s">
        <v>56</v>
      </c>
      <c r="G6149">
        <v>-205.69380000000001</v>
      </c>
      <c r="H6149" s="1">
        <v>-2.7984370000000001E-6</v>
      </c>
      <c r="I6149">
        <v>-60.046520000000001</v>
      </c>
      <c r="J6149">
        <v>-226.80009999999999</v>
      </c>
      <c r="K6149">
        <v>1.1187499999999999</v>
      </c>
      <c r="L6149">
        <v>-61.742980000000003</v>
      </c>
      <c r="M6149">
        <v>0.99994700000000003</v>
      </c>
      <c r="N6149">
        <v>-1.0130210000000001E-2</v>
      </c>
      <c r="O6149">
        <v>1.8600979999999999E-3</v>
      </c>
      <c r="P6149">
        <v>0.9830392</v>
      </c>
      <c r="Q6149">
        <v>0.15730520000000001</v>
      </c>
      <c r="R6149">
        <v>9.4283770000000003E-2</v>
      </c>
      <c r="S6149">
        <v>3.0543209999999998</v>
      </c>
      <c r="T6149">
        <v>-0.1606418</v>
      </c>
      <c r="U6149">
        <v>0.24353030000000001</v>
      </c>
      <c r="V6149">
        <v>-9.1769279999999995E-2</v>
      </c>
      <c r="W6149">
        <v>0.1676349</v>
      </c>
      <c r="X6149">
        <v>0.98156860000000001</v>
      </c>
      <c r="Y6149">
        <v>-7.7500949999999999E-2</v>
      </c>
      <c r="Z6149">
        <v>2.3481510000000001E-3</v>
      </c>
      <c r="AA6149">
        <v>0.99698949999999997</v>
      </c>
      <c r="AB6149">
        <v>33</v>
      </c>
      <c r="AC6149">
        <v>21.106299999999901</v>
      </c>
      <c r="AD6149">
        <v>-1.11875279843699</v>
      </c>
      <c r="AE6149">
        <v>1.6964600000000001</v>
      </c>
      <c r="AF6149">
        <v>-1.6525819797615</v>
      </c>
      <c r="AG6149">
        <v>-1.11875279843699</v>
      </c>
      <c r="AH6149">
        <v>21.0506550092685</v>
      </c>
      <c r="AI6149">
        <v>93.032851092910704</v>
      </c>
      <c r="AJ6149">
        <v>94.488799569930094</v>
      </c>
      <c r="AK6149">
        <v>21.145039875656</v>
      </c>
      <c r="AL6149">
        <v>80.349664369730306</v>
      </c>
      <c r="AM6149">
        <v>95.341198278605802</v>
      </c>
      <c r="AN6149">
        <v>0.99999998847784399</v>
      </c>
    </row>
    <row r="6150" spans="1:40" x14ac:dyDescent="0.25">
      <c r="A6150" t="str">
        <f>"20190303162422509"</f>
        <v>20190303162422509</v>
      </c>
      <c r="B6150" t="str">
        <f>"1551601462500818"</f>
        <v>1551601462500818</v>
      </c>
      <c r="C6150" t="s">
        <v>40</v>
      </c>
      <c r="D6150">
        <v>5.6526639999999997</v>
      </c>
      <c r="E6150">
        <v>0.50448779999999904</v>
      </c>
      <c r="F6150" t="s">
        <v>56</v>
      </c>
      <c r="G6150">
        <v>-205.65559999999999</v>
      </c>
      <c r="H6150" s="1">
        <v>-2.8192169999999999E-6</v>
      </c>
      <c r="I6150">
        <v>-60.059600000000003</v>
      </c>
      <c r="J6150">
        <v>-226.6481</v>
      </c>
      <c r="K6150">
        <v>1.118719</v>
      </c>
      <c r="L6150">
        <v>-61.743560000000002</v>
      </c>
      <c r="M6150">
        <v>0.99994749999999999</v>
      </c>
      <c r="N6150">
        <v>-1.020485E-2</v>
      </c>
      <c r="O6150">
        <v>9.0753100000000005E-4</v>
      </c>
      <c r="P6150">
        <v>0.98293330000000001</v>
      </c>
      <c r="Q6150">
        <v>0.15730729999999901</v>
      </c>
      <c r="R6150">
        <v>9.5375219999999997E-2</v>
      </c>
      <c r="S6150">
        <v>3.0543209999999998</v>
      </c>
      <c r="T6150">
        <v>-0.16160369999999999</v>
      </c>
      <c r="U6150">
        <v>0.24316409999999999</v>
      </c>
      <c r="V6150">
        <v>-9.3780230000000006E-2</v>
      </c>
      <c r="W6150">
        <v>0.16772570000000001</v>
      </c>
      <c r="X6150">
        <v>0.98136299999999999</v>
      </c>
      <c r="Y6150">
        <v>-7.8328079999999994E-2</v>
      </c>
      <c r="Z6150">
        <v>2.4294220000000001E-3</v>
      </c>
      <c r="AA6150">
        <v>0.9969247</v>
      </c>
      <c r="AB6150">
        <v>33</v>
      </c>
      <c r="AC6150">
        <v>20.9925</v>
      </c>
      <c r="AD6150">
        <v>-1.1187218192170001</v>
      </c>
      <c r="AE6150">
        <v>1.6839599999999899</v>
      </c>
      <c r="AF6150">
        <v>-1.6602221114468401</v>
      </c>
      <c r="AG6150">
        <v>-1.1187218192170001</v>
      </c>
      <c r="AH6150">
        <v>20.934944905693101</v>
      </c>
      <c r="AI6150">
        <v>93.049307542913496</v>
      </c>
      <c r="AJ6150">
        <v>94.534287301880696</v>
      </c>
      <c r="AK6150">
        <v>21.030449214710899</v>
      </c>
      <c r="AL6150">
        <v>80.344387209237695</v>
      </c>
      <c r="AM6150">
        <v>95.458677841581206</v>
      </c>
      <c r="AN6150">
        <v>0.99999998987417105</v>
      </c>
    </row>
    <row r="6151" spans="1:40" x14ac:dyDescent="0.25">
      <c r="A6151" t="str">
        <f>"20190303162422521"</f>
        <v>20190303162422521</v>
      </c>
      <c r="B6151" t="str">
        <f>"1551601462510578"</f>
        <v>1551601462510578</v>
      </c>
      <c r="C6151" t="s">
        <v>40</v>
      </c>
      <c r="D6151">
        <v>5.6496820000000003</v>
      </c>
      <c r="E6151">
        <v>0.50459189999999998</v>
      </c>
      <c r="F6151" t="s">
        <v>56</v>
      </c>
      <c r="G6151">
        <v>-205.49619999999999</v>
      </c>
      <c r="H6151" s="1">
        <v>-2.9246599999999999E-6</v>
      </c>
      <c r="I6151">
        <v>-60.044060000000002</v>
      </c>
      <c r="J6151">
        <v>-226.47300000000001</v>
      </c>
      <c r="K6151">
        <v>1.118692</v>
      </c>
      <c r="L6151">
        <v>-61.744349999999997</v>
      </c>
      <c r="M6151">
        <v>0.99994709999999998</v>
      </c>
      <c r="N6151">
        <v>-1.0300190000000001E-2</v>
      </c>
      <c r="O6151">
        <v>-2.0354269999999999E-4</v>
      </c>
      <c r="P6151">
        <v>0.98282170000000002</v>
      </c>
      <c r="Q6151">
        <v>0.15764990000000001</v>
      </c>
      <c r="R6151">
        <v>9.5960210000000004E-2</v>
      </c>
      <c r="S6151">
        <v>3.0541230000000001</v>
      </c>
      <c r="T6151">
        <v>-0.16153239999999999</v>
      </c>
      <c r="U6151">
        <v>0.24539179999999999</v>
      </c>
      <c r="V6151">
        <v>-9.5437149999999998E-2</v>
      </c>
      <c r="W6151">
        <v>0.16817739999999901</v>
      </c>
      <c r="X6151">
        <v>0.98112600000000005</v>
      </c>
      <c r="Y6151">
        <v>-8.0159209999999995E-2</v>
      </c>
      <c r="Z6151">
        <v>2.5374210000000002E-3</v>
      </c>
      <c r="AA6151">
        <v>0.99677879999999996</v>
      </c>
      <c r="AB6151">
        <v>33</v>
      </c>
      <c r="AC6151">
        <v>20.976800000000001</v>
      </c>
      <c r="AD6151">
        <v>-1.11869492466</v>
      </c>
      <c r="AE6151">
        <v>1.7002900000000001</v>
      </c>
      <c r="AF6151">
        <v>-1.6997571398739499</v>
      </c>
      <c r="AG6151">
        <v>-1.11869492466</v>
      </c>
      <c r="AH6151">
        <v>20.917350735395399</v>
      </c>
      <c r="AI6151">
        <v>93.051318916152695</v>
      </c>
      <c r="AJ6151">
        <v>94.645683597239795</v>
      </c>
      <c r="AK6151">
        <v>21.0160941770006</v>
      </c>
      <c r="AL6151">
        <v>80.318134444511202</v>
      </c>
      <c r="AM6151">
        <v>95.555857792005</v>
      </c>
      <c r="AN6151">
        <v>1.00000005767343</v>
      </c>
    </row>
    <row r="6152" spans="1:40" x14ac:dyDescent="0.25">
      <c r="A6152" t="str">
        <f>"20190303162422533"</f>
        <v>20190303162422533</v>
      </c>
      <c r="B6152" t="str">
        <f>"1551601462521314"</f>
        <v>1551601462521314</v>
      </c>
      <c r="C6152" t="s">
        <v>40</v>
      </c>
      <c r="D6152">
        <v>5.7139249999999997</v>
      </c>
      <c r="E6152">
        <v>0.50471889999999997</v>
      </c>
      <c r="F6152" t="s">
        <v>56</v>
      </c>
      <c r="G6152">
        <v>-205.18100000000001</v>
      </c>
      <c r="H6152" s="1">
        <v>-3.1286680000000002E-6</v>
      </c>
      <c r="I6152">
        <v>-60.0304199999999</v>
      </c>
      <c r="J6152">
        <v>-226.3014</v>
      </c>
      <c r="K6152">
        <v>1.118676</v>
      </c>
      <c r="L6152">
        <v>-61.745449999999998</v>
      </c>
      <c r="M6152">
        <v>0.99994479999999997</v>
      </c>
      <c r="N6152">
        <v>-1.042415E-2</v>
      </c>
      <c r="O6152">
        <v>-1.32479E-3</v>
      </c>
      <c r="P6152">
        <v>0.98269919999999999</v>
      </c>
      <c r="Q6152">
        <v>0.1580695</v>
      </c>
      <c r="R6152">
        <v>9.65226E-2</v>
      </c>
      <c r="S6152">
        <v>3.0541689999999999</v>
      </c>
      <c r="T6152">
        <v>-0.1604681</v>
      </c>
      <c r="U6152">
        <v>0.2458496</v>
      </c>
      <c r="V6152">
        <v>-9.708145E-2</v>
      </c>
      <c r="W6152">
        <v>0.16873339999999901</v>
      </c>
      <c r="X6152">
        <v>0.98086910000000005</v>
      </c>
      <c r="Y6152">
        <v>-8.1422339999999996E-2</v>
      </c>
      <c r="Z6152">
        <v>2.615165E-3</v>
      </c>
      <c r="AA6152">
        <v>0.99667629999999996</v>
      </c>
      <c r="AB6152">
        <v>33</v>
      </c>
      <c r="AC6152">
        <v>21.1204</v>
      </c>
      <c r="AD6152">
        <v>-1.118679128668</v>
      </c>
      <c r="AE6152">
        <v>1.7150300000000001</v>
      </c>
      <c r="AF6152">
        <v>-1.7381656684033699</v>
      </c>
      <c r="AG6152">
        <v>-1.118679128668</v>
      </c>
      <c r="AH6152">
        <v>21.0594145959552</v>
      </c>
      <c r="AI6152">
        <v>93.030417018449597</v>
      </c>
      <c r="AJ6152">
        <v>94.718285673897299</v>
      </c>
      <c r="AK6152">
        <v>21.1606144997745</v>
      </c>
      <c r="AL6152">
        <v>80.285815376513398</v>
      </c>
      <c r="AM6152">
        <v>95.652436547515507</v>
      </c>
      <c r="AN6152">
        <v>0.99999997977223598</v>
      </c>
    </row>
    <row r="6153" spans="1:40" x14ac:dyDescent="0.25">
      <c r="A6153" t="str">
        <f>"20190303162422544"</f>
        <v>20190303162422544</v>
      </c>
      <c r="B6153" t="str">
        <f>"1551601462531074"</f>
        <v>1551601462531074</v>
      </c>
      <c r="C6153" t="s">
        <v>40</v>
      </c>
      <c r="D6153">
        <v>5.6594179999999996</v>
      </c>
      <c r="E6153">
        <v>0.50482309999999997</v>
      </c>
      <c r="F6153" t="s">
        <v>56</v>
      </c>
      <c r="G6153">
        <v>-204.86429999999999</v>
      </c>
      <c r="H6153" s="1">
        <v>-3.3058740000000001E-6</v>
      </c>
      <c r="I6153">
        <v>-60.015169999999998</v>
      </c>
      <c r="J6153">
        <v>-226.13650000000001</v>
      </c>
      <c r="K6153">
        <v>1.118665</v>
      </c>
      <c r="L6153">
        <v>-61.746609999999997</v>
      </c>
      <c r="M6153">
        <v>0.99994150000000004</v>
      </c>
      <c r="N6153">
        <v>-1.054984E-2</v>
      </c>
      <c r="O6153">
        <v>-2.410625E-3</v>
      </c>
      <c r="P6153">
        <v>0.98260250000000005</v>
      </c>
      <c r="Q6153">
        <v>0.1584902</v>
      </c>
      <c r="R6153">
        <v>9.6816169999999993E-2</v>
      </c>
      <c r="S6153">
        <v>3.05423</v>
      </c>
      <c r="T6153">
        <v>-0.15938279999999999</v>
      </c>
      <c r="U6153">
        <v>0.24652099999999999</v>
      </c>
      <c r="V6153">
        <v>-9.842352E-2</v>
      </c>
      <c r="W6153">
        <v>0.16929040000000001</v>
      </c>
      <c r="X6153">
        <v>0.98063940000000005</v>
      </c>
      <c r="Y6153">
        <v>-8.2719020000000004E-2</v>
      </c>
      <c r="Z6153">
        <v>2.6909E-3</v>
      </c>
      <c r="AA6153">
        <v>0.99656929999999999</v>
      </c>
      <c r="AB6153">
        <v>33</v>
      </c>
      <c r="AC6153">
        <v>21.272200000000002</v>
      </c>
      <c r="AD6153">
        <v>-1.1186683058739999</v>
      </c>
      <c r="AE6153">
        <v>1.7314399999999901</v>
      </c>
      <c r="AF6153">
        <v>-1.77783283133248</v>
      </c>
      <c r="AG6153">
        <v>-1.1186683058739999</v>
      </c>
      <c r="AH6153">
        <v>21.209694167805999</v>
      </c>
      <c r="AI6153">
        <v>93.008636878676697</v>
      </c>
      <c r="AJ6153">
        <v>94.791429502066705</v>
      </c>
      <c r="AK6153">
        <v>21.313451973966899</v>
      </c>
      <c r="AL6153">
        <v>80.253436316616401</v>
      </c>
      <c r="AM6153">
        <v>95.731393536346602</v>
      </c>
      <c r="AN6153">
        <v>1.00000003082685</v>
      </c>
    </row>
    <row r="6154" spans="1:40" x14ac:dyDescent="0.25">
      <c r="A6154" t="str">
        <f>"20190303162422556"</f>
        <v>20190303162422556</v>
      </c>
      <c r="B6154" t="str">
        <f>"1551601462550594"</f>
        <v>1551601462550594</v>
      </c>
      <c r="C6154" t="s">
        <v>40</v>
      </c>
      <c r="D6154">
        <v>5.5047240000000004</v>
      </c>
      <c r="E6154">
        <v>0.50502849999999999</v>
      </c>
      <c r="F6154" t="s">
        <v>56</v>
      </c>
      <c r="G6154">
        <v>-204.55019999999999</v>
      </c>
      <c r="H6154" s="1">
        <v>-3.4683049999999998E-6</v>
      </c>
      <c r="I6154">
        <v>-60.004370000000002</v>
      </c>
      <c r="J6154">
        <v>-225.9486</v>
      </c>
      <c r="K6154">
        <v>1.118657</v>
      </c>
      <c r="L6154">
        <v>-61.748260000000002</v>
      </c>
      <c r="M6154">
        <v>0.99993589999999999</v>
      </c>
      <c r="N6154">
        <v>-1.071662E-2</v>
      </c>
      <c r="O6154">
        <v>-3.678134E-3</v>
      </c>
      <c r="P6154">
        <v>0.9824891</v>
      </c>
      <c r="Q6154">
        <v>0.15906989999999999</v>
      </c>
      <c r="R6154">
        <v>9.7016169999999999E-2</v>
      </c>
      <c r="S6154">
        <v>3.0543670000000001</v>
      </c>
      <c r="T6154">
        <v>-0.15828699999999901</v>
      </c>
      <c r="U6154">
        <v>0.24652099999999999</v>
      </c>
      <c r="V6154">
        <v>-9.9848099999999995E-2</v>
      </c>
      <c r="W6154">
        <v>0.1700469</v>
      </c>
      <c r="X6154">
        <v>0.98036440000000002</v>
      </c>
      <c r="Y6154">
        <v>-8.3976889999999998E-2</v>
      </c>
      <c r="Z6154">
        <v>2.772924E-3</v>
      </c>
      <c r="AA6154">
        <v>0.99646380000000001</v>
      </c>
      <c r="AB6154">
        <v>33</v>
      </c>
      <c r="AC6154">
        <v>21.398399999999999</v>
      </c>
      <c r="AD6154">
        <v>-1.1186604683050001</v>
      </c>
      <c r="AE6154">
        <v>1.7438899999999999</v>
      </c>
      <c r="AF6154">
        <v>-1.8176540891066999</v>
      </c>
      <c r="AG6154">
        <v>-1.1186604683050001</v>
      </c>
      <c r="AH6154">
        <v>21.333920447443202</v>
      </c>
      <c r="AI6154">
        <v>92.990783397753901</v>
      </c>
      <c r="AJ6154">
        <v>94.869850528097501</v>
      </c>
      <c r="AK6154">
        <v>21.440415790950301</v>
      </c>
      <c r="AL6154">
        <v>80.209453811205805</v>
      </c>
      <c r="AM6154">
        <v>95.815405011007599</v>
      </c>
      <c r="AN6154">
        <v>0.99999997403028895</v>
      </c>
    </row>
    <row r="6155" spans="1:40" x14ac:dyDescent="0.25">
      <c r="A6155" t="str">
        <f>"20190303162422569"</f>
        <v>20190303162422569</v>
      </c>
      <c r="B6155" t="str">
        <f>"1551601462560354"</f>
        <v>1551601462560354</v>
      </c>
      <c r="C6155" t="s">
        <v>40</v>
      </c>
      <c r="D6155">
        <v>5.6545680000000003</v>
      </c>
      <c r="E6155">
        <v>0.50513730000000001</v>
      </c>
      <c r="F6155" t="s">
        <v>56</v>
      </c>
      <c r="G6155">
        <v>-204.14449999999999</v>
      </c>
      <c r="H6155" s="1">
        <v>-3.6764530000000001E-6</v>
      </c>
      <c r="I6155">
        <v>-59.997950000000003</v>
      </c>
      <c r="J6155">
        <v>-225.77260000000001</v>
      </c>
      <c r="K6155">
        <v>1.1186529999999999</v>
      </c>
      <c r="L6155">
        <v>-61.75</v>
      </c>
      <c r="M6155">
        <v>0.99992899999999996</v>
      </c>
      <c r="N6155">
        <v>-1.087872E-2</v>
      </c>
      <c r="O6155">
        <v>-4.879614E-3</v>
      </c>
      <c r="P6155">
        <v>0.98242439999999998</v>
      </c>
      <c r="Q6155">
        <v>0.15936330000000001</v>
      </c>
      <c r="R6155">
        <v>9.7188849999999993E-2</v>
      </c>
      <c r="S6155">
        <v>3.0546259999999998</v>
      </c>
      <c r="T6155">
        <v>-0.156718</v>
      </c>
      <c r="U6155">
        <v>0.2452087</v>
      </c>
      <c r="V6155">
        <v>-0.1011837</v>
      </c>
      <c r="W6155">
        <v>0.1705121</v>
      </c>
      <c r="X6155">
        <v>0.98014659999999998</v>
      </c>
      <c r="Y6155">
        <v>-8.4742100000000001E-2</v>
      </c>
      <c r="Z6155">
        <v>2.827829E-3</v>
      </c>
      <c r="AA6155">
        <v>0.99639889999999998</v>
      </c>
      <c r="AB6155">
        <v>33</v>
      </c>
      <c r="AC6155">
        <v>21.6281</v>
      </c>
      <c r="AD6155">
        <v>-1.1186566764529999</v>
      </c>
      <c r="AE6155">
        <v>1.7520499999999899</v>
      </c>
      <c r="AF6155">
        <v>-1.85264825535843</v>
      </c>
      <c r="AG6155">
        <v>-1.1186566764529999</v>
      </c>
      <c r="AH6155">
        <v>21.561985998741701</v>
      </c>
      <c r="AI6155">
        <v>92.959014688959897</v>
      </c>
      <c r="AJ6155">
        <v>94.910904736116805</v>
      </c>
      <c r="AK6155">
        <v>21.670323913771799</v>
      </c>
      <c r="AL6155">
        <v>80.182404421553798</v>
      </c>
      <c r="AM6155">
        <v>95.893950120498701</v>
      </c>
      <c r="AN6155">
        <v>0.99999993744182802</v>
      </c>
    </row>
    <row r="6156" spans="1:40" x14ac:dyDescent="0.25">
      <c r="A6156" t="str">
        <f>"20190303162422578"</f>
        <v>20190303162422578</v>
      </c>
      <c r="B6156" t="str">
        <f>"1551601462571090"</f>
        <v>1551601462571090</v>
      </c>
      <c r="C6156" t="s">
        <v>40</v>
      </c>
      <c r="D6156">
        <v>5.6571490000000004</v>
      </c>
      <c r="E6156">
        <v>0.50525299999999995</v>
      </c>
      <c r="F6156" t="s">
        <v>56</v>
      </c>
      <c r="G6156">
        <v>-203.86680000000001</v>
      </c>
      <c r="H6156" s="1">
        <v>-3.8178199999999998E-6</v>
      </c>
      <c r="I6156">
        <v>-59.998620000000003</v>
      </c>
      <c r="J6156">
        <v>-225.62270000000001</v>
      </c>
      <c r="K6156">
        <v>1.11864599999999</v>
      </c>
      <c r="L6156">
        <v>-61.751649999999998</v>
      </c>
      <c r="M6156">
        <v>0.99992170000000002</v>
      </c>
      <c r="N6156">
        <v>-1.102146E-2</v>
      </c>
      <c r="O6156">
        <v>-5.9138180000000004E-3</v>
      </c>
      <c r="P6156">
        <v>0.98234219999999906</v>
      </c>
      <c r="Q6156">
        <v>0.15961520000000001</v>
      </c>
      <c r="R6156">
        <v>9.760489E-2</v>
      </c>
      <c r="S6156">
        <v>3.0547939999999998</v>
      </c>
      <c r="T6156">
        <v>-0.15599849999999901</v>
      </c>
      <c r="U6156">
        <v>0.24423220000000001</v>
      </c>
      <c r="V6156">
        <v>-0.10260180000000001</v>
      </c>
      <c r="W6156">
        <v>0.1709157</v>
      </c>
      <c r="X6156">
        <v>0.97992889999999999</v>
      </c>
      <c r="Y6156">
        <v>-8.5450709999999999E-2</v>
      </c>
      <c r="Z6156">
        <v>2.8852890000000001E-3</v>
      </c>
      <c r="AA6156">
        <v>0.99633819999999995</v>
      </c>
      <c r="AB6156">
        <v>33</v>
      </c>
      <c r="AC6156">
        <v>21.7559</v>
      </c>
      <c r="AD6156">
        <v>-1.11864981781999</v>
      </c>
      <c r="AE6156">
        <v>1.7530300000000001</v>
      </c>
      <c r="AF6156">
        <v>-1.876737823045</v>
      </c>
      <c r="AG6156">
        <v>-1.11864981781999</v>
      </c>
      <c r="AH6156">
        <v>21.688181716238201</v>
      </c>
      <c r="AI6156">
        <v>92.941656061239797</v>
      </c>
      <c r="AJ6156">
        <v>94.945641251599895</v>
      </c>
      <c r="AK6156">
        <v>21.7979528494748</v>
      </c>
      <c r="AL6156">
        <v>80.158935729836401</v>
      </c>
      <c r="AM6156">
        <v>95.977278752877695</v>
      </c>
      <c r="AN6156">
        <v>0.99999997746246905</v>
      </c>
    </row>
    <row r="6157" spans="1:40" x14ac:dyDescent="0.25">
      <c r="A6157" t="str">
        <f>"20190303162422588"</f>
        <v>20190303162422588</v>
      </c>
      <c r="B6157" t="str">
        <f>"1551601462580850"</f>
        <v>1551601462580850</v>
      </c>
      <c r="C6157" t="s">
        <v>40</v>
      </c>
      <c r="D6157">
        <v>5.4913379999999998</v>
      </c>
      <c r="E6157">
        <v>0.50535259999999904</v>
      </c>
      <c r="F6157" t="s">
        <v>56</v>
      </c>
      <c r="G6157">
        <v>-203.6379</v>
      </c>
      <c r="H6157" s="1">
        <v>-3.9347019999999901E-6</v>
      </c>
      <c r="I6157">
        <v>-59.99756</v>
      </c>
      <c r="J6157">
        <v>-225.47540000000001</v>
      </c>
      <c r="K6157">
        <v>1.118644</v>
      </c>
      <c r="L6157">
        <v>-61.753450000000001</v>
      </c>
      <c r="M6157">
        <v>0.99991359999999996</v>
      </c>
      <c r="N6157">
        <v>-1.116348E-2</v>
      </c>
      <c r="O6157">
        <v>-6.9404599999999999E-3</v>
      </c>
      <c r="P6157">
        <v>0.98222089999999995</v>
      </c>
      <c r="Q6157">
        <v>0.16015119999999999</v>
      </c>
      <c r="R6157">
        <v>9.7947270000000003E-2</v>
      </c>
      <c r="S6157">
        <v>3.0549469999999999</v>
      </c>
      <c r="T6157">
        <v>-0.15544439999999901</v>
      </c>
      <c r="U6157">
        <v>0.24374390000000001</v>
      </c>
      <c r="V6157">
        <v>-0.10393769999999999</v>
      </c>
      <c r="W6157">
        <v>0.17160059999999999</v>
      </c>
      <c r="X6157">
        <v>0.97966839999999999</v>
      </c>
      <c r="Y6157">
        <v>-8.630997E-2</v>
      </c>
      <c r="Z6157">
        <v>2.9489410000000001E-3</v>
      </c>
      <c r="AA6157">
        <v>0.99626400000000004</v>
      </c>
      <c r="AB6157">
        <v>33</v>
      </c>
      <c r="AC6157">
        <v>21.837499999999999</v>
      </c>
      <c r="AD6157">
        <v>-1.118647934702</v>
      </c>
      <c r="AE6157">
        <v>1.75589</v>
      </c>
      <c r="AF6157">
        <v>-1.9024592622360299</v>
      </c>
      <c r="AG6157">
        <v>-1.118647934702</v>
      </c>
      <c r="AH6157">
        <v>21.768031888443701</v>
      </c>
      <c r="AI6157">
        <v>92.930661084403795</v>
      </c>
      <c r="AJ6157">
        <v>94.994784208560205</v>
      </c>
      <c r="AK6157">
        <v>21.8796237797313</v>
      </c>
      <c r="AL6157">
        <v>80.119105554878601</v>
      </c>
      <c r="AM6157">
        <v>96.056127934215596</v>
      </c>
      <c r="AN6157">
        <v>0.99999999268010398</v>
      </c>
    </row>
    <row r="6158" spans="1:40" x14ac:dyDescent="0.25">
      <c r="A6158" t="str">
        <f>"20190303162422599"</f>
        <v>20190303162422599</v>
      </c>
      <c r="B6158" t="str">
        <f>"1551601462590610"</f>
        <v>1551601462590610</v>
      </c>
      <c r="C6158" t="s">
        <v>40</v>
      </c>
      <c r="D6158">
        <v>5.4679159999999998</v>
      </c>
      <c r="E6158">
        <v>0.50535259999999904</v>
      </c>
      <c r="F6158" t="s">
        <v>56</v>
      </c>
      <c r="G6158">
        <v>-203.2944</v>
      </c>
      <c r="H6158" s="1">
        <v>-4.1122740000000001E-6</v>
      </c>
      <c r="I6158">
        <v>-59.98603</v>
      </c>
      <c r="J6158">
        <v>-225.31299999999999</v>
      </c>
      <c r="K6158">
        <v>1.118644</v>
      </c>
      <c r="L6158">
        <v>-61.755580000000002</v>
      </c>
      <c r="M6158">
        <v>0.99990330000000005</v>
      </c>
      <c r="N6158">
        <v>-1.1321380000000001E-2</v>
      </c>
      <c r="O6158">
        <v>-8.0802670000000004E-3</v>
      </c>
      <c r="P6158">
        <v>0.98217019999999999</v>
      </c>
      <c r="Q6158">
        <v>0.16051969999999999</v>
      </c>
      <c r="R6158">
        <v>9.7853720000000005E-2</v>
      </c>
      <c r="S6158">
        <v>3.055145</v>
      </c>
      <c r="T6158">
        <v>-0.15407899999999999</v>
      </c>
      <c r="U6158">
        <v>0.24343870000000001</v>
      </c>
      <c r="V6158">
        <v>-0.1049498</v>
      </c>
      <c r="W6158">
        <v>0.17213339999999999</v>
      </c>
      <c r="X6158">
        <v>0.97946699999999998</v>
      </c>
      <c r="Y6158">
        <v>-8.7341089999999996E-2</v>
      </c>
      <c r="Z6158">
        <v>3.0084869999999998E-3</v>
      </c>
      <c r="AA6158">
        <v>0.99617389999999995</v>
      </c>
      <c r="AB6158">
        <v>33</v>
      </c>
      <c r="AC6158">
        <v>22.0185999999999</v>
      </c>
      <c r="AD6158">
        <v>-1.118648112274</v>
      </c>
      <c r="AE6158">
        <v>1.76954999999999</v>
      </c>
      <c r="AF6158">
        <v>-1.9424383023648399</v>
      </c>
      <c r="AG6158">
        <v>-1.118648112274</v>
      </c>
      <c r="AH6158">
        <v>21.9472967408438</v>
      </c>
      <c r="AI6158">
        <v>92.906484689124994</v>
      </c>
      <c r="AJ6158">
        <v>95.057765696926893</v>
      </c>
      <c r="AK6158">
        <v>22.061465825920202</v>
      </c>
      <c r="AL6158">
        <v>80.088117195295695</v>
      </c>
      <c r="AM6158">
        <v>96.115903026759696</v>
      </c>
      <c r="AN6158">
        <v>0.999999986002299</v>
      </c>
    </row>
    <row r="6159" spans="1:40" x14ac:dyDescent="0.25">
      <c r="A6159" t="str">
        <f>"20190303162422612"</f>
        <v>20190303162422612</v>
      </c>
      <c r="B6159" t="str">
        <f>"1551601462600370"</f>
        <v>1551601462600370</v>
      </c>
      <c r="C6159" t="s">
        <v>40</v>
      </c>
      <c r="D6159">
        <v>5.7100589999999896</v>
      </c>
      <c r="E6159">
        <v>0.51454460000000002</v>
      </c>
      <c r="F6159" t="s">
        <v>56</v>
      </c>
      <c r="G6159">
        <v>-202.96010000000001</v>
      </c>
      <c r="H6159" s="1">
        <v>-4.2840890000000001E-6</v>
      </c>
      <c r="I6159">
        <v>-59.979230000000001</v>
      </c>
      <c r="J6159">
        <v>-225.14060000000001</v>
      </c>
      <c r="K6159">
        <v>1.1186499999999999</v>
      </c>
      <c r="L6159">
        <v>-61.758150000000001</v>
      </c>
      <c r="M6159">
        <v>0.99989090000000003</v>
      </c>
      <c r="N6159">
        <v>-1.148568E-2</v>
      </c>
      <c r="O6159">
        <v>-9.2998409999999997E-3</v>
      </c>
      <c r="P6159">
        <v>0.98216550000000002</v>
      </c>
      <c r="Q6159">
        <v>0.160635</v>
      </c>
      <c r="R6159">
        <v>9.7711569999999998E-2</v>
      </c>
      <c r="S6159">
        <v>3.0552519999999999</v>
      </c>
      <c r="T6159">
        <v>-0.15290029999999999</v>
      </c>
      <c r="U6159">
        <v>0.24279790000000001</v>
      </c>
      <c r="V6159">
        <v>-0.1059944</v>
      </c>
      <c r="W6159">
        <v>0.1724184</v>
      </c>
      <c r="X6159">
        <v>0.97930439999999996</v>
      </c>
      <c r="Y6159">
        <v>-8.8344919999999993E-2</v>
      </c>
      <c r="Z6159">
        <v>3.0721519999999999E-3</v>
      </c>
      <c r="AA6159">
        <v>0.9960852</v>
      </c>
      <c r="AB6159">
        <v>33</v>
      </c>
      <c r="AC6159">
        <v>22.180499999999899</v>
      </c>
      <c r="AD6159">
        <v>-1.1186542840889999</v>
      </c>
      <c r="AE6159">
        <v>1.7789199999999901</v>
      </c>
      <c r="AF6159">
        <v>-1.98012730461955</v>
      </c>
      <c r="AG6159">
        <v>-1.1186542840889999</v>
      </c>
      <c r="AH6159">
        <v>22.107123599649601</v>
      </c>
      <c r="AI6159">
        <v>92.885252354683502</v>
      </c>
      <c r="AJ6159">
        <v>95.118304451664997</v>
      </c>
      <c r="AK6159">
        <v>22.223798176729201</v>
      </c>
      <c r="AL6159">
        <v>80.071540316054197</v>
      </c>
      <c r="AM6159">
        <v>96.177326001516306</v>
      </c>
      <c r="AN6159">
        <v>1.00000001267463</v>
      </c>
    </row>
    <row r="6160" spans="1:40" x14ac:dyDescent="0.25">
      <c r="A6160" t="str">
        <f>"20190303162422625"</f>
        <v>20190303162422625</v>
      </c>
      <c r="B6160" t="str">
        <f>"1551601462611107"</f>
        <v>1551601462611107</v>
      </c>
      <c r="C6160" t="s">
        <v>40</v>
      </c>
      <c r="D6160">
        <v>5.6533319999999998</v>
      </c>
      <c r="E6160">
        <v>0.51424740000000002</v>
      </c>
      <c r="F6160" t="s">
        <v>56</v>
      </c>
      <c r="G6160">
        <v>-209.41059999999999</v>
      </c>
      <c r="H6160" s="1">
        <v>-4.1750039999999999E-7</v>
      </c>
      <c r="I6160">
        <v>-60.895510000000002</v>
      </c>
      <c r="J6160">
        <v>-224.94280000000001</v>
      </c>
      <c r="K6160">
        <v>1.118654</v>
      </c>
      <c r="L6160">
        <v>-61.76126</v>
      </c>
      <c r="M6160">
        <v>0.99987470000000001</v>
      </c>
      <c r="N6160">
        <v>-1.1670649999999999E-2</v>
      </c>
      <c r="O6160">
        <v>-1.070451E-2</v>
      </c>
      <c r="P6160">
        <v>0.98216119999999996</v>
      </c>
      <c r="Q6160">
        <v>0.16093250000000001</v>
      </c>
      <c r="R6160">
        <v>9.7264719999999999E-2</v>
      </c>
      <c r="S6160">
        <v>3.0734560000000002</v>
      </c>
      <c r="T6160">
        <v>-0.21857119999999999</v>
      </c>
      <c r="U6160">
        <v>0.16854859999999999</v>
      </c>
      <c r="V6160">
        <v>-0.1069138</v>
      </c>
      <c r="W6160">
        <v>0.172906</v>
      </c>
      <c r="X6160">
        <v>0.9791185</v>
      </c>
      <c r="Y6160">
        <v>-6.5233650000000004E-2</v>
      </c>
      <c r="Z6160">
        <v>3.331503E-3</v>
      </c>
      <c r="AA6160">
        <v>0.99786450000000004</v>
      </c>
      <c r="AB6160">
        <v>33</v>
      </c>
      <c r="AC6160">
        <v>15.5322</v>
      </c>
      <c r="AD6160">
        <v>-1.1186544175003901</v>
      </c>
      <c r="AE6160">
        <v>0.86575000000000502</v>
      </c>
      <c r="AF6160">
        <v>-1.0266673391454699</v>
      </c>
      <c r="AG6160">
        <v>-1.1186544175003901</v>
      </c>
      <c r="AH6160">
        <v>15.4421895676657</v>
      </c>
      <c r="AI6160">
        <v>94.134255710178095</v>
      </c>
      <c r="AJ6160">
        <v>93.803687525478296</v>
      </c>
      <c r="AK6160">
        <v>15.516657248737101</v>
      </c>
      <c r="AL6160">
        <v>80.043177194233607</v>
      </c>
      <c r="AM6160">
        <v>96.231662418836194</v>
      </c>
      <c r="AN6160">
        <v>1.0000000412543399</v>
      </c>
    </row>
    <row r="6161" spans="1:40" x14ac:dyDescent="0.25">
      <c r="A6161" t="str">
        <f>"20190303162422638"</f>
        <v>20190303162422638</v>
      </c>
      <c r="B6161" t="str">
        <f>"1551601462631602"</f>
        <v>1551601462631602</v>
      </c>
      <c r="C6161" t="s">
        <v>40</v>
      </c>
      <c r="D6161">
        <v>5.5101209999999998</v>
      </c>
      <c r="E6161">
        <v>0.51448320000000003</v>
      </c>
      <c r="F6161" t="s">
        <v>56</v>
      </c>
      <c r="G6161">
        <v>-208.23089999999999</v>
      </c>
      <c r="H6161" s="1">
        <v>-1.1593010000000001E-6</v>
      </c>
      <c r="I6161">
        <v>-60.838019999999901</v>
      </c>
      <c r="J6161">
        <v>-224.73869999999999</v>
      </c>
      <c r="K6161">
        <v>1.118657</v>
      </c>
      <c r="L6161">
        <v>-61.764830000000003</v>
      </c>
      <c r="M6161">
        <v>0.99985590000000002</v>
      </c>
      <c r="N6161">
        <v>-1.184961E-2</v>
      </c>
      <c r="O6161">
        <v>-1.2162589999999999E-2</v>
      </c>
      <c r="P6161">
        <v>0.98215110000000005</v>
      </c>
      <c r="Q6161">
        <v>0.1614582</v>
      </c>
      <c r="R6161">
        <v>9.6492240000000007E-2</v>
      </c>
      <c r="S6161">
        <v>3.071396</v>
      </c>
      <c r="T6161">
        <v>-0.2055929</v>
      </c>
      <c r="U6161">
        <v>0.16967769999999999</v>
      </c>
      <c r="V6161">
        <v>-0.1075604</v>
      </c>
      <c r="W6161">
        <v>0.1736132</v>
      </c>
      <c r="X6161">
        <v>0.97892250000000003</v>
      </c>
      <c r="Y6161">
        <v>-6.7106479999999996E-2</v>
      </c>
      <c r="Z6161">
        <v>3.3089909999999998E-3</v>
      </c>
      <c r="AA6161">
        <v>0.99774030000000002</v>
      </c>
      <c r="AB6161">
        <v>33</v>
      </c>
      <c r="AC6161">
        <v>16.5078</v>
      </c>
      <c r="AD6161">
        <v>-1.1186581593009901</v>
      </c>
      <c r="AE6161">
        <v>0.92681000000001001</v>
      </c>
      <c r="AF6161">
        <v>-1.1223951063606801</v>
      </c>
      <c r="AG6161">
        <v>-1.1186581593009901</v>
      </c>
      <c r="AH6161">
        <v>16.420138733456099</v>
      </c>
      <c r="AI6161">
        <v>93.888333746219502</v>
      </c>
      <c r="AJ6161">
        <v>93.910358223923097</v>
      </c>
      <c r="AK6161">
        <v>16.496427579269898</v>
      </c>
      <c r="AL6161">
        <v>80.002035203924095</v>
      </c>
      <c r="AM6161">
        <v>96.270296665268006</v>
      </c>
      <c r="AN6161">
        <v>1.0000000219343199</v>
      </c>
    </row>
    <row r="6162" spans="1:40" x14ac:dyDescent="0.25">
      <c r="A6162" t="str">
        <f>"20190303162422664"</f>
        <v>20190303162422664</v>
      </c>
      <c r="B6162" t="str">
        <f>"1551601462651123"</f>
        <v>1551601462651123</v>
      </c>
      <c r="C6162" t="s">
        <v>40</v>
      </c>
      <c r="D6162">
        <v>5.5275189999999998</v>
      </c>
      <c r="E6162">
        <v>0.51426110000000003</v>
      </c>
      <c r="F6162" t="s">
        <v>56</v>
      </c>
      <c r="G6162">
        <v>-206.9812</v>
      </c>
      <c r="H6162" s="1">
        <v>-1.9493530000000001E-6</v>
      </c>
      <c r="I6162">
        <v>-60.807040000000001</v>
      </c>
      <c r="J6162">
        <v>-224.36510000000001</v>
      </c>
      <c r="K6162">
        <v>1.118668</v>
      </c>
      <c r="L6162">
        <v>-61.772129999999997</v>
      </c>
      <c r="M6162">
        <v>0.99981620000000004</v>
      </c>
      <c r="N6162">
        <v>-1.214558E-2</v>
      </c>
      <c r="O6162">
        <v>-1.4842009999999999E-2</v>
      </c>
      <c r="P6162">
        <v>0.98211360000000003</v>
      </c>
      <c r="Q6162">
        <v>0.16209680000000001</v>
      </c>
      <c r="R6162">
        <v>9.5799889999999999E-2</v>
      </c>
      <c r="S6162">
        <v>3.0700379999999998</v>
      </c>
      <c r="T6162">
        <v>-0.1934013</v>
      </c>
      <c r="U6162">
        <v>0.1655884</v>
      </c>
      <c r="V6162">
        <v>-0.1094807</v>
      </c>
      <c r="W6162">
        <v>0.17455329999999999</v>
      </c>
      <c r="X6162">
        <v>0.97854229999999998</v>
      </c>
      <c r="Y6162">
        <v>-6.8493520000000002E-2</v>
      </c>
      <c r="Z6162">
        <v>3.323955E-3</v>
      </c>
      <c r="AA6162">
        <v>0.99764600000000003</v>
      </c>
      <c r="AB6162">
        <v>33</v>
      </c>
      <c r="AC6162">
        <v>17.383900000000001</v>
      </c>
      <c r="AD6162">
        <v>-1.1186699493529999</v>
      </c>
      <c r="AE6162">
        <v>0.965090000000003</v>
      </c>
      <c r="AF6162">
        <v>-1.2179864664256901</v>
      </c>
      <c r="AG6162">
        <v>-1.1186699493529999</v>
      </c>
      <c r="AH6162">
        <v>17.296255545835599</v>
      </c>
      <c r="AI6162">
        <v>93.691449031985002</v>
      </c>
      <c r="AJ6162">
        <v>94.028066883489004</v>
      </c>
      <c r="AK6162">
        <v>17.375136528811201</v>
      </c>
      <c r="AL6162">
        <v>79.947335564485797</v>
      </c>
      <c r="AM6162">
        <v>96.383785144133199</v>
      </c>
      <c r="AN6162">
        <v>0.99999995555133403</v>
      </c>
    </row>
    <row r="6163" spans="1:40" x14ac:dyDescent="0.25">
      <c r="A6163" t="str">
        <f>"20190303162422677"</f>
        <v>20190303162422677</v>
      </c>
      <c r="B6163" t="str">
        <f>"1551601462670642"</f>
        <v>1551601462670642</v>
      </c>
      <c r="C6163" t="s">
        <v>40</v>
      </c>
      <c r="D6163">
        <v>5.492826</v>
      </c>
      <c r="E6163">
        <v>0.51406790000000002</v>
      </c>
      <c r="F6163" t="s">
        <v>56</v>
      </c>
      <c r="G6163">
        <v>-206.0008</v>
      </c>
      <c r="H6163" s="1">
        <v>-2.569871E-6</v>
      </c>
      <c r="I6163">
        <v>-60.787990000000001</v>
      </c>
      <c r="J6163">
        <v>-224.15770000000001</v>
      </c>
      <c r="K6163">
        <v>1.118671</v>
      </c>
      <c r="L6163">
        <v>-61.776670000000003</v>
      </c>
      <c r="M6163">
        <v>0.99979119999999999</v>
      </c>
      <c r="N6163">
        <v>-1.228752E-2</v>
      </c>
      <c r="O6163">
        <v>-1.6333830000000001E-2</v>
      </c>
      <c r="P6163">
        <v>0.98188509999999996</v>
      </c>
      <c r="Q6163">
        <v>0.1625269</v>
      </c>
      <c r="R6163">
        <v>9.7401039999999994E-2</v>
      </c>
      <c r="S6163">
        <v>3.0694270000000001</v>
      </c>
      <c r="T6163">
        <v>-0.18697569999999999</v>
      </c>
      <c r="U6163">
        <v>0.16448969999999999</v>
      </c>
      <c r="V6163">
        <v>-0.11253489999999999</v>
      </c>
      <c r="W6163">
        <v>0.17513500000000001</v>
      </c>
      <c r="X6163">
        <v>0.97809179999999996</v>
      </c>
      <c r="Y6163">
        <v>-6.9643380000000005E-2</v>
      </c>
      <c r="Z6163">
        <v>3.3393950000000002E-3</v>
      </c>
      <c r="AA6163">
        <v>0.99756630000000002</v>
      </c>
      <c r="AB6163">
        <v>33</v>
      </c>
      <c r="AC6163">
        <v>18.1569</v>
      </c>
      <c r="AD6163">
        <v>-1.118673569871</v>
      </c>
      <c r="AE6163">
        <v>0.98867999999999501</v>
      </c>
      <c r="AF6163">
        <v>-1.2802965542867999</v>
      </c>
      <c r="AG6163">
        <v>-1.118673569871</v>
      </c>
      <c r="AH6163">
        <v>18.069936996982801</v>
      </c>
      <c r="AI6163">
        <v>93.5337096684122</v>
      </c>
      <c r="AJ6163">
        <v>94.052764986092498</v>
      </c>
      <c r="AK6163">
        <v>18.149744155160199</v>
      </c>
      <c r="AL6163">
        <v>79.913485333516405</v>
      </c>
      <c r="AM6163">
        <v>96.563338196614396</v>
      </c>
      <c r="AN6163">
        <v>0.99999997058512402</v>
      </c>
    </row>
    <row r="6164" spans="1:40" x14ac:dyDescent="0.25">
      <c r="A6164" t="str">
        <f>"20190303162422689"</f>
        <v>20190303162422689</v>
      </c>
      <c r="B6164" t="str">
        <f>"1551601462680403"</f>
        <v>1551601462680403</v>
      </c>
      <c r="C6164" t="s">
        <v>40</v>
      </c>
      <c r="D6164">
        <v>5.7079909999999998</v>
      </c>
      <c r="E6164">
        <v>0.5140827</v>
      </c>
      <c r="F6164" t="s">
        <v>56</v>
      </c>
      <c r="G6164">
        <v>-205.49760000000001</v>
      </c>
      <c r="H6164" s="1">
        <v>-2.883447E-6</v>
      </c>
      <c r="I6164">
        <v>-60.742739999999998</v>
      </c>
      <c r="J6164">
        <v>-223.99440000000001</v>
      </c>
      <c r="K6164">
        <v>1.118673</v>
      </c>
      <c r="L6164">
        <v>-61.78049</v>
      </c>
      <c r="M6164">
        <v>0.99976989999999999</v>
      </c>
      <c r="N6164">
        <v>-1.239116E-2</v>
      </c>
      <c r="O6164">
        <v>-1.7508760000000002E-2</v>
      </c>
      <c r="P6164">
        <v>0.98178140000000003</v>
      </c>
      <c r="Q6164">
        <v>0.16283929999999999</v>
      </c>
      <c r="R6164">
        <v>9.7922149999999999E-2</v>
      </c>
      <c r="S6164">
        <v>3.068924</v>
      </c>
      <c r="T6164">
        <v>-0.1839819</v>
      </c>
      <c r="U6164">
        <v>0.1700439</v>
      </c>
      <c r="V6164">
        <v>-0.11420130000000001</v>
      </c>
      <c r="W6164">
        <v>0.17555560000000001</v>
      </c>
      <c r="X6164">
        <v>0.97782329999999995</v>
      </c>
      <c r="Y6164">
        <v>-7.2621550000000007E-2</v>
      </c>
      <c r="Z6164">
        <v>3.4553660000000001E-3</v>
      </c>
      <c r="AA6164">
        <v>0.99735359999999995</v>
      </c>
      <c r="AB6164">
        <v>33</v>
      </c>
      <c r="AC6164">
        <v>18.4968</v>
      </c>
      <c r="AD6164">
        <v>-1.1186758834469901</v>
      </c>
      <c r="AE6164">
        <v>1.03774999999999</v>
      </c>
      <c r="AF6164">
        <v>-1.35652552709903</v>
      </c>
      <c r="AG6164">
        <v>-1.1186758834469901</v>
      </c>
      <c r="AH6164">
        <v>18.408669841973101</v>
      </c>
      <c r="AI6164">
        <v>93.468148486845493</v>
      </c>
      <c r="AJ6164">
        <v>94.214479488641004</v>
      </c>
      <c r="AK6164">
        <v>18.4924504214192</v>
      </c>
      <c r="AL6164">
        <v>79.889008363286194</v>
      </c>
      <c r="AM6164">
        <v>96.661472654927707</v>
      </c>
      <c r="AN6164">
        <v>1.00000005581796</v>
      </c>
    </row>
    <row r="6165" spans="1:40" x14ac:dyDescent="0.25">
      <c r="A6165" t="str">
        <f>"20190303162422699"</f>
        <v>20190303162422699</v>
      </c>
      <c r="B6165" t="str">
        <f>"1551601462691138"</f>
        <v>1551601462691138</v>
      </c>
      <c r="C6165" t="s">
        <v>40</v>
      </c>
      <c r="D6165">
        <v>5.5064260000000003</v>
      </c>
      <c r="E6165">
        <v>0.51419769999999998</v>
      </c>
      <c r="F6165" t="s">
        <v>56</v>
      </c>
      <c r="G6165">
        <v>-205.2698</v>
      </c>
      <c r="H6165" s="1">
        <v>-3.0272399999999998E-6</v>
      </c>
      <c r="I6165">
        <v>-60.735579999999999</v>
      </c>
      <c r="J6165">
        <v>-223.82859999999999</v>
      </c>
      <c r="K6165">
        <v>1.1186739999999999</v>
      </c>
      <c r="L6165">
        <v>-61.784480000000002</v>
      </c>
      <c r="M6165">
        <v>0.9997471</v>
      </c>
      <c r="N6165">
        <v>-1.249085E-2</v>
      </c>
      <c r="O6165">
        <v>-1.8702119999999999E-2</v>
      </c>
      <c r="P6165">
        <v>0.98163259999999997</v>
      </c>
      <c r="Q6165">
        <v>0.16334879999999999</v>
      </c>
      <c r="R6165">
        <v>9.8561850000000006E-2</v>
      </c>
      <c r="S6165">
        <v>3.069016</v>
      </c>
      <c r="T6165">
        <v>-0.1833544</v>
      </c>
      <c r="U6165">
        <v>0.17126459999999999</v>
      </c>
      <c r="V6165">
        <v>-0.11600340000000001</v>
      </c>
      <c r="W6165">
        <v>0.1761691</v>
      </c>
      <c r="X6165">
        <v>0.9775007</v>
      </c>
      <c r="Y6165">
        <v>-7.4202080000000004E-2</v>
      </c>
      <c r="Z6165">
        <v>3.5594839999999999E-3</v>
      </c>
      <c r="AA6165">
        <v>0.99723680000000003</v>
      </c>
      <c r="AB6165">
        <v>33</v>
      </c>
      <c r="AC6165">
        <v>18.558799999999898</v>
      </c>
      <c r="AD6165">
        <v>-1.11867702724</v>
      </c>
      <c r="AE6165">
        <v>1.04889999999999</v>
      </c>
      <c r="AF6165">
        <v>-1.39079530952121</v>
      </c>
      <c r="AG6165">
        <v>-1.11867702724</v>
      </c>
      <c r="AH6165">
        <v>18.4690441682928</v>
      </c>
      <c r="AI6165">
        <v>93.456429871081198</v>
      </c>
      <c r="AJ6165">
        <v>94.306480851313495</v>
      </c>
      <c r="AK6165">
        <v>18.555089392794901</v>
      </c>
      <c r="AL6165">
        <v>79.853300112720007</v>
      </c>
      <c r="AM6165">
        <v>96.767836054933298</v>
      </c>
      <c r="AN6165">
        <v>0.99999997955342901</v>
      </c>
    </row>
    <row r="6166" spans="1:40" x14ac:dyDescent="0.25">
      <c r="A6166" t="str">
        <f>"20190303162422710"</f>
        <v>20190303162422710</v>
      </c>
      <c r="B6166" t="str">
        <f>"1551601462700898"</f>
        <v>1551601462700898</v>
      </c>
      <c r="C6166" t="s">
        <v>40</v>
      </c>
      <c r="D6166">
        <v>5.4979559999999896</v>
      </c>
      <c r="E6166">
        <v>0.51408180000000003</v>
      </c>
      <c r="F6166" t="s">
        <v>56</v>
      </c>
      <c r="G6166">
        <v>-205.12430000000001</v>
      </c>
      <c r="H6166" s="1">
        <v>-3.1197080000000002E-6</v>
      </c>
      <c r="I6166">
        <v>-60.735439999999997</v>
      </c>
      <c r="J6166">
        <v>-223.6765</v>
      </c>
      <c r="K6166">
        <v>1.1186739999999999</v>
      </c>
      <c r="L6166">
        <v>-61.788420000000002</v>
      </c>
      <c r="M6166">
        <v>0.99972499999999997</v>
      </c>
      <c r="N6166">
        <v>-1.257227E-2</v>
      </c>
      <c r="O6166">
        <v>-1.9796919999999999E-2</v>
      </c>
      <c r="P6166">
        <v>0.98155680000000001</v>
      </c>
      <c r="Q6166">
        <v>0.16354839999999901</v>
      </c>
      <c r="R6166">
        <v>9.8986500000000005E-2</v>
      </c>
      <c r="S6166">
        <v>3.0694119999999998</v>
      </c>
      <c r="T6166">
        <v>-0.18357689999999999</v>
      </c>
      <c r="U6166">
        <v>0.17214969999999999</v>
      </c>
      <c r="V6166">
        <v>-0.11749709999999999</v>
      </c>
      <c r="W6166">
        <v>0.176454</v>
      </c>
      <c r="X6166">
        <v>0.97727090000000005</v>
      </c>
      <c r="Y6166">
        <v>-7.5568910000000003E-2</v>
      </c>
      <c r="Z6166">
        <v>3.6656240000000001E-3</v>
      </c>
      <c r="AA6166">
        <v>0.99713390000000002</v>
      </c>
      <c r="AB6166">
        <v>33</v>
      </c>
      <c r="AC6166">
        <v>18.552199999999999</v>
      </c>
      <c r="AD6166">
        <v>-1.1186771197080001</v>
      </c>
      <c r="AE6166">
        <v>1.05297999999999</v>
      </c>
      <c r="AF6166">
        <v>-1.4149508652327401</v>
      </c>
      <c r="AG6166">
        <v>-1.1186771197080001</v>
      </c>
      <c r="AH6166">
        <v>18.460809029174701</v>
      </c>
      <c r="AI6166">
        <v>93.457618590081907</v>
      </c>
      <c r="AJ6166">
        <v>94.382934472300207</v>
      </c>
      <c r="AK6166">
        <v>18.548719483048899</v>
      </c>
      <c r="AL6166">
        <v>79.836716939066704</v>
      </c>
      <c r="AM6166">
        <v>96.855753597957502</v>
      </c>
      <c r="AN6166">
        <v>0.99999999730560996</v>
      </c>
    </row>
    <row r="6167" spans="1:40" x14ac:dyDescent="0.25">
      <c r="A6167" t="str">
        <f>"20190303162422722"</f>
        <v>20190303162422722</v>
      </c>
      <c r="B6167" t="str">
        <f>"1551601462710658"</f>
        <v>1551601462710658</v>
      </c>
      <c r="C6167" t="s">
        <v>40</v>
      </c>
      <c r="D6167">
        <v>5.7651770000000004</v>
      </c>
      <c r="E6167">
        <v>0.51429499999999995</v>
      </c>
      <c r="F6167" t="s">
        <v>56</v>
      </c>
      <c r="G6167">
        <v>-205.03370000000001</v>
      </c>
      <c r="H6167" s="1">
        <v>-3.1765999999999998E-6</v>
      </c>
      <c r="I6167">
        <v>-60.730440000000002</v>
      </c>
      <c r="J6167">
        <v>-223.50989999999999</v>
      </c>
      <c r="K6167">
        <v>1.1186769999999999</v>
      </c>
      <c r="L6167">
        <v>-61.792789999999997</v>
      </c>
      <c r="M6167">
        <v>0.99969960000000002</v>
      </c>
      <c r="N6167">
        <v>-1.2658610000000001E-2</v>
      </c>
      <c r="O6167">
        <v>-2.0995710000000001E-2</v>
      </c>
      <c r="P6167">
        <v>0.98153000000000001</v>
      </c>
      <c r="Q6167">
        <v>0.1633211</v>
      </c>
      <c r="R6167">
        <v>9.962567E-2</v>
      </c>
      <c r="S6167">
        <v>3.0694889999999999</v>
      </c>
      <c r="T6167">
        <v>-0.1841874</v>
      </c>
      <c r="U6167">
        <v>0.1741943</v>
      </c>
      <c r="V6167">
        <v>-0.11931020000000001</v>
      </c>
      <c r="W6167">
        <v>0.1763179</v>
      </c>
      <c r="X6167">
        <v>0.97707580000000005</v>
      </c>
      <c r="Y6167">
        <v>-7.7418580000000001E-2</v>
      </c>
      <c r="Z6167">
        <v>3.8022709999999999E-3</v>
      </c>
      <c r="AA6167">
        <v>0.99699150000000003</v>
      </c>
      <c r="AB6167">
        <v>33</v>
      </c>
      <c r="AC6167">
        <v>18.476199999999899</v>
      </c>
      <c r="AD6167">
        <v>-1.1186801765999901</v>
      </c>
      <c r="AE6167">
        <v>1.0623499999999999</v>
      </c>
      <c r="AF6167">
        <v>-1.4447886668219501</v>
      </c>
      <c r="AG6167">
        <v>-1.1186801765999901</v>
      </c>
      <c r="AH6167">
        <v>18.382652157017201</v>
      </c>
      <c r="AI6167">
        <v>93.471771956594907</v>
      </c>
      <c r="AJ6167">
        <v>94.493936498655401</v>
      </c>
      <c r="AK6167">
        <v>18.473244434998001</v>
      </c>
      <c r="AL6167">
        <v>79.844639362343997</v>
      </c>
      <c r="AM6167">
        <v>96.961891045434399</v>
      </c>
      <c r="AN6167">
        <v>1.00000002231504</v>
      </c>
    </row>
    <row r="6168" spans="1:40" x14ac:dyDescent="0.25">
      <c r="A6168" t="str">
        <f>"20190303162422745"</f>
        <v>20190303162422745</v>
      </c>
      <c r="B6168" t="str">
        <f>"1551601462740915"</f>
        <v>1551601462740915</v>
      </c>
      <c r="C6168" t="s">
        <v>40</v>
      </c>
      <c r="D6168">
        <v>5.5341589999999998</v>
      </c>
      <c r="E6168">
        <v>0.51427659999999997</v>
      </c>
      <c r="F6168" t="s">
        <v>56</v>
      </c>
      <c r="G6168">
        <v>-205.0549</v>
      </c>
      <c r="H6168" s="1">
        <v>-3.1653040000000001E-6</v>
      </c>
      <c r="I6168">
        <v>-60.746470000000002</v>
      </c>
      <c r="J6168">
        <v>-223.1738</v>
      </c>
      <c r="K6168">
        <v>1.118687</v>
      </c>
      <c r="L6168">
        <v>-61.802370000000003</v>
      </c>
      <c r="M6168">
        <v>0.99964399999999998</v>
      </c>
      <c r="N6168">
        <v>-1.2806649999999999E-2</v>
      </c>
      <c r="O6168">
        <v>-2.3408439999999999E-2</v>
      </c>
      <c r="P6168">
        <v>0.98143910000000001</v>
      </c>
      <c r="Q6168">
        <v>0.16281590000000001</v>
      </c>
      <c r="R6168">
        <v>0.1013331</v>
      </c>
      <c r="S6168">
        <v>3.0697329999999998</v>
      </c>
      <c r="T6168">
        <v>-0.18607779999999999</v>
      </c>
      <c r="U6168">
        <v>0.17404169999999999</v>
      </c>
      <c r="V6168">
        <v>-0.12338150000000001</v>
      </c>
      <c r="W6168">
        <v>0.17597199999999999</v>
      </c>
      <c r="X6168">
        <v>0.97663239999999996</v>
      </c>
      <c r="Y6168">
        <v>-7.9758880000000004E-2</v>
      </c>
      <c r="Z6168">
        <v>4.042281E-3</v>
      </c>
      <c r="AA6168">
        <v>0.99680599999999997</v>
      </c>
      <c r="AB6168">
        <v>33</v>
      </c>
      <c r="AC6168">
        <v>18.1189</v>
      </c>
      <c r="AD6168">
        <v>-1.118690165304</v>
      </c>
      <c r="AE6168">
        <v>1.0559000000000001</v>
      </c>
      <c r="AF6168">
        <v>-1.4741799757335201</v>
      </c>
      <c r="AG6168">
        <v>-1.118690165304</v>
      </c>
      <c r="AH6168">
        <v>18.020752247989702</v>
      </c>
      <c r="AI6168">
        <v>93.540446050628205</v>
      </c>
      <c r="AJ6168">
        <v>94.676643419195003</v>
      </c>
      <c r="AK6168">
        <v>18.115523339672698</v>
      </c>
      <c r="AL6168">
        <v>79.864772463110697</v>
      </c>
      <c r="AM6168">
        <v>97.200238830083805</v>
      </c>
      <c r="AN6168">
        <v>0.99999999202800405</v>
      </c>
    </row>
    <row r="6169" spans="1:40" x14ac:dyDescent="0.25">
      <c r="A6169" t="str">
        <f>"20190303162422756"</f>
        <v>20190303162422756</v>
      </c>
      <c r="B6169" t="str">
        <f>"1551601462750674"</f>
        <v>1551601462750674</v>
      </c>
      <c r="C6169" t="s">
        <v>40</v>
      </c>
      <c r="D6169">
        <v>5.521007</v>
      </c>
      <c r="E6169">
        <v>0.51416459999999997</v>
      </c>
      <c r="F6169" t="s">
        <v>56</v>
      </c>
      <c r="G6169">
        <v>-205.2038</v>
      </c>
      <c r="H6169" s="1">
        <v>-3.0725300000000002E-6</v>
      </c>
      <c r="I6169">
        <v>-60.759520000000002</v>
      </c>
      <c r="J6169">
        <v>-223.00989999999999</v>
      </c>
      <c r="K6169">
        <v>1.1186929999999999</v>
      </c>
      <c r="L6169">
        <v>-61.807340000000003</v>
      </c>
      <c r="M6169">
        <v>0.99961489999999997</v>
      </c>
      <c r="N6169">
        <v>-1.2870080000000001E-2</v>
      </c>
      <c r="O6169">
        <v>-2.45813E-2</v>
      </c>
      <c r="P6169">
        <v>0.98135510000000004</v>
      </c>
      <c r="Q6169">
        <v>0.16271150000000001</v>
      </c>
      <c r="R6169">
        <v>0.1023077</v>
      </c>
      <c r="S6169">
        <v>3.0700229999999999</v>
      </c>
      <c r="T6169">
        <v>-0.1911185</v>
      </c>
      <c r="U6169">
        <v>0.1781616</v>
      </c>
      <c r="V6169">
        <v>-0.12550419999999901</v>
      </c>
      <c r="W6169">
        <v>0.1759358</v>
      </c>
      <c r="X6169">
        <v>0.97636840000000003</v>
      </c>
      <c r="Y6169">
        <v>-8.2238210000000006E-2</v>
      </c>
      <c r="Z6169">
        <v>4.2972849999999996E-3</v>
      </c>
      <c r="AA6169">
        <v>0.99660340000000003</v>
      </c>
      <c r="AB6169">
        <v>33</v>
      </c>
      <c r="AC6169">
        <v>17.806099999999901</v>
      </c>
      <c r="AD6169">
        <v>-1.1186960725299999</v>
      </c>
      <c r="AE6169">
        <v>1.04782</v>
      </c>
      <c r="AF6169">
        <v>-1.47941733961794</v>
      </c>
      <c r="AG6169">
        <v>-1.1186960725299999</v>
      </c>
      <c r="AH6169">
        <v>17.7053149569523</v>
      </c>
      <c r="AI6169">
        <v>93.602859361275605</v>
      </c>
      <c r="AJ6169">
        <v>94.776414306986197</v>
      </c>
      <c r="AK6169">
        <v>17.802200265482199</v>
      </c>
      <c r="AL6169">
        <v>79.866879331997097</v>
      </c>
      <c r="AM6169">
        <v>97.324739461829694</v>
      </c>
      <c r="AN6169">
        <v>0.99999998122891898</v>
      </c>
    </row>
    <row r="6170" spans="1:40" x14ac:dyDescent="0.25">
      <c r="A6170" t="str">
        <f>"20190303162422768"</f>
        <v>20190303162422768</v>
      </c>
      <c r="B6170" t="str">
        <f>"1551601462761410"</f>
        <v>1551601462761410</v>
      </c>
      <c r="C6170" t="s">
        <v>40</v>
      </c>
      <c r="D6170">
        <v>5.5194640000000001</v>
      </c>
      <c r="E6170">
        <v>0.51408560000000003</v>
      </c>
      <c r="F6170" t="s">
        <v>56</v>
      </c>
      <c r="G6170">
        <v>-205.13910000000001</v>
      </c>
      <c r="H6170" s="1">
        <v>-3.1121790000000001E-6</v>
      </c>
      <c r="I6170">
        <v>-60.748890000000003</v>
      </c>
      <c r="J6170">
        <v>-222.83840000000001</v>
      </c>
      <c r="K6170">
        <v>1.1186990000000001</v>
      </c>
      <c r="L6170">
        <v>-61.812710000000003</v>
      </c>
      <c r="M6170">
        <v>0.99958349999999996</v>
      </c>
      <c r="N6170">
        <v>-1.2932569999999999E-2</v>
      </c>
      <c r="O6170">
        <v>-2.580621E-2</v>
      </c>
      <c r="P6170">
        <v>0.98125459999999998</v>
      </c>
      <c r="Q6170">
        <v>0.16244910000000001</v>
      </c>
      <c r="R6170">
        <v>0.1036817</v>
      </c>
      <c r="S6170">
        <v>3.0699010000000002</v>
      </c>
      <c r="T6170">
        <v>-0.1921725</v>
      </c>
      <c r="U6170">
        <v>0.1818237</v>
      </c>
      <c r="V6170">
        <v>-0.12807730000000001</v>
      </c>
      <c r="W6170">
        <v>0.17574239999999999</v>
      </c>
      <c r="X6170">
        <v>0.97606899999999996</v>
      </c>
      <c r="Y6170">
        <v>-8.4636699999999995E-2</v>
      </c>
      <c r="Z6170">
        <v>4.472073E-3</v>
      </c>
      <c r="AA6170">
        <v>0.9964018</v>
      </c>
      <c r="AB6170">
        <v>33</v>
      </c>
      <c r="AC6170">
        <v>17.699299999999901</v>
      </c>
      <c r="AD6170">
        <v>-1.118702112179</v>
      </c>
      <c r="AE6170">
        <v>1.06381999999999</v>
      </c>
      <c r="AF6170">
        <v>-1.5142280514475499</v>
      </c>
      <c r="AG6170">
        <v>-1.118702112179</v>
      </c>
      <c r="AH6170">
        <v>17.595906464229898</v>
      </c>
      <c r="AI6170">
        <v>93.624460957851198</v>
      </c>
      <c r="AJ6170">
        <v>94.918510828312193</v>
      </c>
      <c r="AK6170">
        <v>17.6963359288162</v>
      </c>
      <c r="AL6170">
        <v>79.878135294319705</v>
      </c>
      <c r="AM6170">
        <v>97.475497758252899</v>
      </c>
      <c r="AN6170">
        <v>0.99999993934702303</v>
      </c>
    </row>
    <row r="6171" spans="1:40" x14ac:dyDescent="0.25">
      <c r="A6171" t="str">
        <f>"20190303162422790"</f>
        <v>20190303162422790</v>
      </c>
      <c r="B6171" t="str">
        <f>"1551601462780930"</f>
        <v>1551601462780930</v>
      </c>
      <c r="C6171" t="s">
        <v>40</v>
      </c>
      <c r="D6171">
        <v>5.6503209999999999</v>
      </c>
      <c r="E6171">
        <v>0.51409950000000004</v>
      </c>
      <c r="F6171" t="s">
        <v>56</v>
      </c>
      <c r="G6171">
        <v>-205.2022</v>
      </c>
      <c r="H6171" s="1">
        <v>-3.071112E-6</v>
      </c>
      <c r="I6171">
        <v>-60.742379999999997</v>
      </c>
      <c r="J6171">
        <v>-222.51730000000001</v>
      </c>
      <c r="K6171">
        <v>1.1187240000000001</v>
      </c>
      <c r="L6171">
        <v>-61.823360000000001</v>
      </c>
      <c r="M6171">
        <v>0.99952050000000003</v>
      </c>
      <c r="N6171">
        <v>-1.3036270000000001E-2</v>
      </c>
      <c r="O6171">
        <v>-2.8087730000000002E-2</v>
      </c>
      <c r="P6171">
        <v>0.98105880000000001</v>
      </c>
      <c r="Q6171">
        <v>0.16178090000000001</v>
      </c>
      <c r="R6171">
        <v>0.1065386</v>
      </c>
      <c r="S6171">
        <v>3.0698699999999999</v>
      </c>
      <c r="T6171">
        <v>-0.1947285</v>
      </c>
      <c r="U6171">
        <v>0.1863098</v>
      </c>
      <c r="V6171">
        <v>-0.13316800000000001</v>
      </c>
      <c r="W6171">
        <v>0.1751904</v>
      </c>
      <c r="X6171">
        <v>0.97548690000000005</v>
      </c>
      <c r="Y6171">
        <v>-8.8343959999999999E-2</v>
      </c>
      <c r="Z6171">
        <v>4.7865759999999999E-3</v>
      </c>
      <c r="AA6171">
        <v>0.99607860000000004</v>
      </c>
      <c r="AB6171">
        <v>33</v>
      </c>
      <c r="AC6171">
        <v>17.315100000000001</v>
      </c>
      <c r="AD6171">
        <v>-1.1187270711120001</v>
      </c>
      <c r="AE6171">
        <v>1.0809799999999901</v>
      </c>
      <c r="AF6171">
        <v>-1.5604478938005399</v>
      </c>
      <c r="AG6171">
        <v>-1.1187270711120001</v>
      </c>
      <c r="AH6171">
        <v>17.206354472229599</v>
      </c>
      <c r="AI6171">
        <v>93.704873312882796</v>
      </c>
      <c r="AJ6171">
        <v>95.181990482974797</v>
      </c>
      <c r="AK6171">
        <v>17.313150554215099</v>
      </c>
      <c r="AL6171">
        <v>79.910262032991</v>
      </c>
      <c r="AM6171">
        <v>97.773645762440694</v>
      </c>
      <c r="AN6171">
        <v>1.00000004227388</v>
      </c>
    </row>
    <row r="6172" spans="1:40" x14ac:dyDescent="0.25">
      <c r="A6172" t="str">
        <f>"20190303162422802"</f>
        <v>20190303162422802</v>
      </c>
      <c r="B6172" t="str">
        <f>"1551601462791666"</f>
        <v>1551601462791666</v>
      </c>
      <c r="C6172" t="s">
        <v>40</v>
      </c>
      <c r="D6172">
        <v>5.5263530000000003</v>
      </c>
      <c r="E6172">
        <v>0.51394200000000001</v>
      </c>
      <c r="F6172" t="s">
        <v>56</v>
      </c>
      <c r="G6172">
        <v>-205.21899999999999</v>
      </c>
      <c r="H6172" s="1">
        <v>-3.0587020000000001E-6</v>
      </c>
      <c r="I6172">
        <v>-60.729590000000002</v>
      </c>
      <c r="J6172">
        <v>-222.33760000000001</v>
      </c>
      <c r="K6172">
        <v>1.1187339999999999</v>
      </c>
      <c r="L6172">
        <v>-61.829590000000003</v>
      </c>
      <c r="M6172">
        <v>0.99948329999999996</v>
      </c>
      <c r="N6172">
        <v>-1.3089109999999999E-2</v>
      </c>
      <c r="O6172">
        <v>-2.935921E-2</v>
      </c>
      <c r="P6172">
        <v>0.98102549999999999</v>
      </c>
      <c r="Q6172">
        <v>0.16119700000000001</v>
      </c>
      <c r="R6172">
        <v>0.1077254</v>
      </c>
      <c r="S6172">
        <v>3.0695950000000001</v>
      </c>
      <c r="T6172">
        <v>-0.198518</v>
      </c>
      <c r="U6172">
        <v>0.19409180000000001</v>
      </c>
      <c r="V6172">
        <v>-0.13560349999999999</v>
      </c>
      <c r="W6172">
        <v>0.17466409999999999</v>
      </c>
      <c r="X6172">
        <v>0.97524569999999999</v>
      </c>
      <c r="Y6172">
        <v>-9.2110780000000003E-2</v>
      </c>
      <c r="Z6172">
        <v>5.0881950000000002E-3</v>
      </c>
      <c r="AA6172">
        <v>0.99573579999999995</v>
      </c>
      <c r="AB6172">
        <v>33</v>
      </c>
      <c r="AC6172">
        <v>17.118599999999901</v>
      </c>
      <c r="AD6172">
        <v>-1.118737058702</v>
      </c>
      <c r="AE6172">
        <v>1.1000000000000001</v>
      </c>
      <c r="AF6172">
        <v>-1.5953716715433399</v>
      </c>
      <c r="AG6172">
        <v>-1.118737058702</v>
      </c>
      <c r="AH6172">
        <v>17.00658666448</v>
      </c>
      <c r="AI6172">
        <v>93.747236489394098</v>
      </c>
      <c r="AJ6172">
        <v>95.359178638724202</v>
      </c>
      <c r="AK6172">
        <v>17.117849553999001</v>
      </c>
      <c r="AL6172">
        <v>79.940888762424905</v>
      </c>
      <c r="AM6172">
        <v>97.915964355901195</v>
      </c>
      <c r="AN6172">
        <v>1.00000001620477</v>
      </c>
    </row>
    <row r="6173" spans="1:40" x14ac:dyDescent="0.25">
      <c r="A6173" t="str">
        <f>"20190303162422840"</f>
        <v>20190303162422840</v>
      </c>
      <c r="B6173" t="str">
        <f>"1551601462830706"</f>
        <v>1551601462830706</v>
      </c>
      <c r="C6173" t="s">
        <v>40</v>
      </c>
      <c r="D6173">
        <v>5.5155539999999998</v>
      </c>
      <c r="E6173">
        <v>0.51394059999999997</v>
      </c>
      <c r="F6173" t="s">
        <v>56</v>
      </c>
      <c r="G6173">
        <v>-205.2988</v>
      </c>
      <c r="H6173" s="1">
        <v>-3.0077629999999999E-6</v>
      </c>
      <c r="I6173">
        <v>-60.728409999999997</v>
      </c>
      <c r="J6173">
        <v>-221.78469999999999</v>
      </c>
      <c r="K6173">
        <v>1.1187800000000001</v>
      </c>
      <c r="L6173">
        <v>-61.850279999999998</v>
      </c>
      <c r="M6173">
        <v>0.99936190000000003</v>
      </c>
      <c r="N6173">
        <v>-1.321023E-2</v>
      </c>
      <c r="O6173">
        <v>-3.3190150000000002E-2</v>
      </c>
      <c r="P6173">
        <v>0.98093379999999997</v>
      </c>
      <c r="Q6173">
        <v>0.1591524</v>
      </c>
      <c r="R6173">
        <v>0.1115332</v>
      </c>
      <c r="S6173">
        <v>3.069321</v>
      </c>
      <c r="T6173">
        <v>-0.20152709999999999</v>
      </c>
      <c r="U6173">
        <v>0.19836429999999999</v>
      </c>
      <c r="V6173">
        <v>-0.14318049999999999</v>
      </c>
      <c r="W6173">
        <v>0.17274999999999999</v>
      </c>
      <c r="X6173">
        <v>0.97450329999999996</v>
      </c>
      <c r="Y6173">
        <v>-9.7285590000000005E-2</v>
      </c>
      <c r="Z6173">
        <v>5.5684890000000003E-3</v>
      </c>
      <c r="AA6173">
        <v>0.99524089999999998</v>
      </c>
      <c r="AB6173">
        <v>33</v>
      </c>
      <c r="AC6173">
        <v>16.485899999999901</v>
      </c>
      <c r="AD6173">
        <v>-1.1187830077630001</v>
      </c>
      <c r="AE6173">
        <v>1.1218699999999999</v>
      </c>
      <c r="AF6173">
        <v>-1.6608553354290501</v>
      </c>
      <c r="AG6173">
        <v>-1.1187830077630001</v>
      </c>
      <c r="AH6173">
        <v>16.364559537520901</v>
      </c>
      <c r="AI6173">
        <v>93.891083242229001</v>
      </c>
      <c r="AJ6173">
        <v>95.795162164999397</v>
      </c>
      <c r="AK6173">
        <v>16.486628664489</v>
      </c>
      <c r="AL6173">
        <v>80.052250973267306</v>
      </c>
      <c r="AM6173">
        <v>98.358473002344894</v>
      </c>
      <c r="AN6173">
        <v>0.99999994989556795</v>
      </c>
    </row>
    <row r="6174" spans="1:40" x14ac:dyDescent="0.25">
      <c r="A6174" t="str">
        <f>"20190303162422869"</f>
        <v>20190303162422869</v>
      </c>
      <c r="B6174" t="str">
        <f>"1551601462860962"</f>
        <v>1551601462860962</v>
      </c>
      <c r="C6174" t="s">
        <v>40</v>
      </c>
      <c r="D6174">
        <v>5.6967930000000004</v>
      </c>
      <c r="E6174">
        <v>0.51388979999999995</v>
      </c>
      <c r="F6174" t="s">
        <v>56</v>
      </c>
      <c r="G6174">
        <v>-205.3922</v>
      </c>
      <c r="H6174" s="1">
        <v>-2.9503310000000002E-6</v>
      </c>
      <c r="I6174">
        <v>-60.742240000000002</v>
      </c>
      <c r="J6174">
        <v>-221.36160000000001</v>
      </c>
      <c r="K6174">
        <v>1.1188419999999999</v>
      </c>
      <c r="L6174">
        <v>-61.867460000000001</v>
      </c>
      <c r="M6174">
        <v>0.99926400000000004</v>
      </c>
      <c r="N6174">
        <v>-1.3276929999999999E-2</v>
      </c>
      <c r="O6174">
        <v>-3.5991120000000001E-2</v>
      </c>
      <c r="P6174">
        <v>0.98074660000000002</v>
      </c>
      <c r="Q6174">
        <v>0.15947159999999999</v>
      </c>
      <c r="R6174">
        <v>0.1127175</v>
      </c>
      <c r="S6174">
        <v>3.0687099999999998</v>
      </c>
      <c r="T6174">
        <v>-0.2094386</v>
      </c>
      <c r="U6174">
        <v>0.207428</v>
      </c>
      <c r="V6174">
        <v>-0.14712130000000001</v>
      </c>
      <c r="W6174">
        <v>0.17312060000000001</v>
      </c>
      <c r="X6174">
        <v>0.9738504</v>
      </c>
      <c r="Y6174">
        <v>-0.1029699</v>
      </c>
      <c r="Z6174">
        <v>6.1653560000000003E-3</v>
      </c>
      <c r="AA6174">
        <v>0.99466540000000003</v>
      </c>
      <c r="AB6174">
        <v>33</v>
      </c>
      <c r="AC6174">
        <v>15.9694</v>
      </c>
      <c r="AD6174">
        <v>-1.1188449503309901</v>
      </c>
      <c r="AE6174">
        <v>1.1252199999999899</v>
      </c>
      <c r="AF6174">
        <v>-1.6910383392041699</v>
      </c>
      <c r="AG6174">
        <v>-1.1188449503309901</v>
      </c>
      <c r="AH6174">
        <v>15.841175526702299</v>
      </c>
      <c r="AI6174">
        <v>94.017280327762705</v>
      </c>
      <c r="AJ6174">
        <v>96.093223484040905</v>
      </c>
      <c r="AK6174">
        <v>15.9704184903004</v>
      </c>
      <c r="AL6174">
        <v>80.030692944717998</v>
      </c>
      <c r="AM6174">
        <v>98.590812560888594</v>
      </c>
      <c r="AN6174">
        <v>1.0000000103191</v>
      </c>
    </row>
    <row r="6175" spans="1:40" x14ac:dyDescent="0.25">
      <c r="A6175" t="str">
        <f>"20190303162422881"</f>
        <v>20190303162422881</v>
      </c>
      <c r="B6175" t="str">
        <f>"1551601462870722"</f>
        <v>1551601462870722</v>
      </c>
      <c r="C6175" t="s">
        <v>40</v>
      </c>
      <c r="D6175">
        <v>5.5161490000000004</v>
      </c>
      <c r="E6175">
        <v>0.51405599999999996</v>
      </c>
      <c r="F6175" t="s">
        <v>56</v>
      </c>
      <c r="G6175">
        <v>-204.96270000000001</v>
      </c>
      <c r="H6175" s="1">
        <v>-3.221571E-6</v>
      </c>
      <c r="I6175">
        <v>-60.729379999999999</v>
      </c>
      <c r="J6175">
        <v>-221.18100000000001</v>
      </c>
      <c r="K6175">
        <v>1.1188750000000001</v>
      </c>
      <c r="L6175">
        <v>-61.875059999999998</v>
      </c>
      <c r="M6175">
        <v>0.99922160000000004</v>
      </c>
      <c r="N6175">
        <v>-1.330104E-2</v>
      </c>
      <c r="O6175">
        <v>-3.7137860000000002E-2</v>
      </c>
      <c r="P6175">
        <v>0.98087360000000001</v>
      </c>
      <c r="Q6175">
        <v>0.1594177</v>
      </c>
      <c r="R6175">
        <v>0.1116818</v>
      </c>
      <c r="S6175">
        <v>3.0684659999999999</v>
      </c>
      <c r="T6175">
        <v>-0.20935190000000001</v>
      </c>
      <c r="U6175">
        <v>0.21295169999999999</v>
      </c>
      <c r="V6175">
        <v>-0.14722879999999899</v>
      </c>
      <c r="W6175">
        <v>0.17307549999999999</v>
      </c>
      <c r="X6175">
        <v>0.97384210000000004</v>
      </c>
      <c r="Y6175">
        <v>-0.10588889999999999</v>
      </c>
      <c r="Z6175">
        <v>6.3451260000000004E-3</v>
      </c>
      <c r="AA6175">
        <v>0.99435770000000001</v>
      </c>
      <c r="AB6175">
        <v>33</v>
      </c>
      <c r="AC6175">
        <v>16.2182999999999</v>
      </c>
      <c r="AD6175">
        <v>-1.118878221571</v>
      </c>
      <c r="AE6175">
        <v>1.14567999999999</v>
      </c>
      <c r="AF6175">
        <v>-1.73902012536741</v>
      </c>
      <c r="AG6175">
        <v>-1.118878221571</v>
      </c>
      <c r="AH6175">
        <v>16.0883667297805</v>
      </c>
      <c r="AI6175">
        <v>93.955309156714094</v>
      </c>
      <c r="AJ6175">
        <v>96.169250116756203</v>
      </c>
      <c r="AK6175">
        <v>16.220715875171699</v>
      </c>
      <c r="AL6175">
        <v>80.0333159013623</v>
      </c>
      <c r="AM6175">
        <v>98.597068195813094</v>
      </c>
      <c r="AN6175">
        <v>0.99999994199104802</v>
      </c>
    </row>
    <row r="6176" spans="1:40" x14ac:dyDescent="0.25">
      <c r="A6176" t="str">
        <f>"20190303162422893"</f>
        <v>20190303162422893</v>
      </c>
      <c r="B6176" t="str">
        <f>"1551601462881458"</f>
        <v>1551601462881458</v>
      </c>
      <c r="C6176" t="s">
        <v>40</v>
      </c>
      <c r="D6176">
        <v>5.4316779999999998</v>
      </c>
      <c r="E6176">
        <v>0.51413770000000003</v>
      </c>
      <c r="F6176" t="s">
        <v>56</v>
      </c>
      <c r="G6176">
        <v>-204.84479999999999</v>
      </c>
      <c r="H6176" s="1">
        <v>-3.2679539999999999E-6</v>
      </c>
      <c r="I6176">
        <v>-60.758330000000001</v>
      </c>
      <c r="J6176">
        <v>-221.01060000000001</v>
      </c>
      <c r="K6176">
        <v>1.1189249999999999</v>
      </c>
      <c r="L6176">
        <v>-61.882449999999999</v>
      </c>
      <c r="M6176">
        <v>0.99918289999999998</v>
      </c>
      <c r="N6176">
        <v>-1.332037E-2</v>
      </c>
      <c r="O6176">
        <v>-3.8161300000000002E-2</v>
      </c>
      <c r="P6176">
        <v>0.98122319999999996</v>
      </c>
      <c r="Q6176">
        <v>0.1585732</v>
      </c>
      <c r="R6176">
        <v>0.1097993</v>
      </c>
      <c r="S6176">
        <v>3.068756</v>
      </c>
      <c r="T6176">
        <v>-0.2101806</v>
      </c>
      <c r="U6176">
        <v>0.20977779999999999</v>
      </c>
      <c r="V6176">
        <v>-0.1463875</v>
      </c>
      <c r="W6176">
        <v>0.1722301</v>
      </c>
      <c r="X6176">
        <v>0.97411879999999995</v>
      </c>
      <c r="Y6176">
        <v>-0.1058731</v>
      </c>
      <c r="Z6176">
        <v>6.4249390000000002E-3</v>
      </c>
      <c r="AA6176">
        <v>0.99435890000000005</v>
      </c>
      <c r="AB6176">
        <v>33</v>
      </c>
      <c r="AC6176">
        <v>16.165800000000001</v>
      </c>
      <c r="AD6176">
        <v>-1.118928267954</v>
      </c>
      <c r="AE6176">
        <v>1.12411999999999</v>
      </c>
      <c r="AF6176">
        <v>-1.7320058575028601</v>
      </c>
      <c r="AG6176">
        <v>-1.118928267954</v>
      </c>
      <c r="AH6176">
        <v>16.034671333285502</v>
      </c>
      <c r="AI6176">
        <v>93.968720903930404</v>
      </c>
      <c r="AJ6176">
        <v>96.164975553671297</v>
      </c>
      <c r="AK6176">
        <v>16.166710535100801</v>
      </c>
      <c r="AL6176">
        <v>80.082492552307698</v>
      </c>
      <c r="AM6176">
        <v>98.546277991626397</v>
      </c>
      <c r="AN6176">
        <v>0.99999997200784896</v>
      </c>
    </row>
    <row r="6177" spans="1:40" x14ac:dyDescent="0.25">
      <c r="A6177" t="str">
        <f>"20190303162422905"</f>
        <v>20190303162422905</v>
      </c>
      <c r="B6177" t="str">
        <f>"1551601462900979"</f>
        <v>1551601462900979</v>
      </c>
      <c r="C6177" t="s">
        <v>40</v>
      </c>
      <c r="D6177">
        <v>5.6105450000000001</v>
      </c>
      <c r="E6177">
        <v>0.51424139999999996</v>
      </c>
      <c r="F6177" t="s">
        <v>56</v>
      </c>
      <c r="G6177">
        <v>-204.94040000000001</v>
      </c>
      <c r="H6177" s="1">
        <v>-3.2423050000000002E-6</v>
      </c>
      <c r="I6177">
        <v>-60.812620000000003</v>
      </c>
      <c r="J6177">
        <v>-220.8364</v>
      </c>
      <c r="K6177">
        <v>1.1189800000000001</v>
      </c>
      <c r="L6177">
        <v>-61.89011</v>
      </c>
      <c r="M6177">
        <v>0.99914340000000001</v>
      </c>
      <c r="N6177">
        <v>-1.333908E-2</v>
      </c>
      <c r="O6177">
        <v>-3.9177759999999999E-2</v>
      </c>
      <c r="P6177">
        <v>0.98167649999999995</v>
      </c>
      <c r="Q6177">
        <v>0.15727539999999901</v>
      </c>
      <c r="R6177">
        <v>0.1075914</v>
      </c>
      <c r="S6177">
        <v>3.0690919999999999</v>
      </c>
      <c r="T6177">
        <v>-0.21369369999999999</v>
      </c>
      <c r="U6177">
        <v>0.2043152</v>
      </c>
      <c r="V6177">
        <v>-0.1452233</v>
      </c>
      <c r="W6177">
        <v>0.17092889999999999</v>
      </c>
      <c r="X6177">
        <v>0.97452220000000001</v>
      </c>
      <c r="Y6177">
        <v>-0.1051045</v>
      </c>
      <c r="Z6177">
        <v>6.5539109999999999E-3</v>
      </c>
      <c r="AA6177">
        <v>0.99443959999999998</v>
      </c>
      <c r="AB6177">
        <v>33</v>
      </c>
      <c r="AC6177">
        <v>15.8959999999999</v>
      </c>
      <c r="AD6177">
        <v>-1.1189832423049999</v>
      </c>
      <c r="AE6177">
        <v>1.0774900000000001</v>
      </c>
      <c r="AF6177">
        <v>-1.69114575426383</v>
      </c>
      <c r="AG6177">
        <v>-1.1189832423049999</v>
      </c>
      <c r="AH6177">
        <v>15.7638189377945</v>
      </c>
      <c r="AI6177">
        <v>94.037200399509601</v>
      </c>
      <c r="AJ6177">
        <v>96.123283689900504</v>
      </c>
      <c r="AK6177">
        <v>15.8937121202787</v>
      </c>
      <c r="AL6177">
        <v>80.158168423572107</v>
      </c>
      <c r="AM6177">
        <v>98.475843539520099</v>
      </c>
      <c r="AN6177">
        <v>1.00000000700547</v>
      </c>
    </row>
    <row r="6178" spans="1:40" x14ac:dyDescent="0.25">
      <c r="A6178" t="str">
        <f>"20190303162422916"</f>
        <v>20190303162422916</v>
      </c>
      <c r="B6178" t="str">
        <f>"1551601462910739"</f>
        <v>1551601462910739</v>
      </c>
      <c r="C6178" t="s">
        <v>40</v>
      </c>
      <c r="D6178">
        <v>5.6236949999999997</v>
      </c>
      <c r="E6178">
        <v>0.52941240000000001</v>
      </c>
      <c r="F6178" t="s">
        <v>56</v>
      </c>
      <c r="G6178">
        <v>-205.15539999999999</v>
      </c>
      <c r="H6178" s="1">
        <v>-3.1204569999999999E-6</v>
      </c>
      <c r="I6178">
        <v>-60.883130000000001</v>
      </c>
      <c r="J6178">
        <v>-220.66130000000001</v>
      </c>
      <c r="K6178">
        <v>1.119057</v>
      </c>
      <c r="L6178">
        <v>-61.897950000000002</v>
      </c>
      <c r="M6178">
        <v>0.99910620000000006</v>
      </c>
      <c r="N6178">
        <v>-1.335506E-2</v>
      </c>
      <c r="O6178">
        <v>-4.010681E-2</v>
      </c>
      <c r="P6178">
        <v>0.98222799999999999</v>
      </c>
      <c r="Q6178">
        <v>0.15532589999999999</v>
      </c>
      <c r="R6178">
        <v>0.10536470000000001</v>
      </c>
      <c r="S6178">
        <v>3.0694889999999999</v>
      </c>
      <c r="T6178">
        <v>-0.2190365</v>
      </c>
      <c r="U6178">
        <v>0.19711300000000001</v>
      </c>
      <c r="V6178">
        <v>-0.14397199999999999</v>
      </c>
      <c r="W6178">
        <v>0.16896649999999999</v>
      </c>
      <c r="X6178">
        <v>0.97504990000000002</v>
      </c>
      <c r="Y6178">
        <v>-0.103682</v>
      </c>
      <c r="Z6178">
        <v>6.7062579999999997E-3</v>
      </c>
      <c r="AA6178">
        <v>0.99458789999999997</v>
      </c>
      <c r="AB6178">
        <v>33</v>
      </c>
      <c r="AC6178">
        <v>15.5059</v>
      </c>
      <c r="AD6178">
        <v>-1.1190601204570001</v>
      </c>
      <c r="AE6178">
        <v>1.0148200000000001</v>
      </c>
      <c r="AF6178">
        <v>-1.62751020913029</v>
      </c>
      <c r="AG6178">
        <v>-1.1190601204570001</v>
      </c>
      <c r="AH6178">
        <v>15.372988137767299</v>
      </c>
      <c r="AI6178">
        <v>94.140383919339499</v>
      </c>
      <c r="AJ6178">
        <v>96.043288870441799</v>
      </c>
      <c r="AK6178">
        <v>15.499349964368101</v>
      </c>
      <c r="AL6178">
        <v>80.272264990588297</v>
      </c>
      <c r="AM6178">
        <v>98.399376476274</v>
      </c>
      <c r="AN6178">
        <v>0.99999996119812895</v>
      </c>
    </row>
    <row r="6179" spans="1:40" x14ac:dyDescent="0.25">
      <c r="A6179" t="str">
        <f>"20190303162422927"</f>
        <v>20190303162422927</v>
      </c>
      <c r="B6179" t="str">
        <f>"1551601462921474"</f>
        <v>1551601462921474</v>
      </c>
      <c r="C6179" t="s">
        <v>40</v>
      </c>
      <c r="D6179">
        <v>5.5769229999999999</v>
      </c>
      <c r="E6179">
        <v>0.53279639999999995</v>
      </c>
      <c r="F6179" t="s">
        <v>42</v>
      </c>
      <c r="G6179">
        <v>-219.8689</v>
      </c>
      <c r="H6179">
        <v>0.99311229999999995</v>
      </c>
      <c r="I6179">
        <v>-61.881630000000001</v>
      </c>
      <c r="J6179">
        <v>-220.51050000000001</v>
      </c>
      <c r="K6179">
        <v>1.1191310000000001</v>
      </c>
      <c r="L6179">
        <v>-61.90475</v>
      </c>
      <c r="M6179">
        <v>0.99907550000000001</v>
      </c>
      <c r="N6179">
        <v>-1.3367779999999999E-2</v>
      </c>
      <c r="O6179">
        <v>-4.0859729999999997E-2</v>
      </c>
      <c r="P6179">
        <v>0.98277190000000003</v>
      </c>
      <c r="Q6179">
        <v>0.15340229999999999</v>
      </c>
      <c r="R6179">
        <v>0.1030881</v>
      </c>
      <c r="S6179">
        <v>3.1258849999999998</v>
      </c>
      <c r="T6179">
        <v>-0.49675540000000001</v>
      </c>
      <c r="U6179">
        <v>6.5002439999999995E-2</v>
      </c>
      <c r="V6179">
        <v>-0.14249690000000001</v>
      </c>
      <c r="W6179">
        <v>0.16702800000000001</v>
      </c>
      <c r="X6179">
        <v>0.97560049999999998</v>
      </c>
      <c r="Y6179">
        <v>-6.0375810000000002E-2</v>
      </c>
      <c r="Z6179">
        <v>1.108162E-2</v>
      </c>
      <c r="AA6179">
        <v>0.99811419999999995</v>
      </c>
      <c r="AB6179">
        <v>33</v>
      </c>
      <c r="AC6179">
        <v>0.64160000000001005</v>
      </c>
      <c r="AD6179">
        <v>-0.12601869999999901</v>
      </c>
      <c r="AE6179">
        <v>2.31199999999986E-2</v>
      </c>
      <c r="AF6179">
        <v>-4.7488972978009497E-2</v>
      </c>
      <c r="AG6179">
        <v>-0.12601869999999901</v>
      </c>
      <c r="AH6179">
        <v>0.61637170109991701</v>
      </c>
      <c r="AI6179">
        <v>101.521786051848</v>
      </c>
      <c r="AJ6179">
        <v>94.405706731298395</v>
      </c>
      <c r="AK6179">
        <v>0.63091202970065596</v>
      </c>
      <c r="AL6179">
        <v>80.384934841278707</v>
      </c>
      <c r="AM6179">
        <v>98.309900885140806</v>
      </c>
      <c r="AN6179">
        <v>1.0000000274469201</v>
      </c>
    </row>
    <row r="6180" spans="1:40" x14ac:dyDescent="0.25">
      <c r="A6180" t="str">
        <f>"20190303162422939"</f>
        <v>20190303162422939</v>
      </c>
      <c r="B6180" t="str">
        <f>"1551601462931234"</f>
        <v>1551601462931234</v>
      </c>
      <c r="C6180" t="s">
        <v>40</v>
      </c>
      <c r="D6180">
        <v>5.5626419999999897</v>
      </c>
      <c r="E6180">
        <v>0.53594370000000002</v>
      </c>
      <c r="F6180" t="s">
        <v>42</v>
      </c>
      <c r="G6180">
        <v>-219.59739999999999</v>
      </c>
      <c r="H6180">
        <v>0.95136679999999996</v>
      </c>
      <c r="I6180">
        <v>-61.89631</v>
      </c>
      <c r="J6180">
        <v>-220.3383</v>
      </c>
      <c r="K6180">
        <v>1.119227</v>
      </c>
      <c r="L6180">
        <v>-61.91263</v>
      </c>
      <c r="M6180">
        <v>0.9990426</v>
      </c>
      <c r="N6180">
        <v>-1.338078E-2</v>
      </c>
      <c r="O6180">
        <v>-4.1651639999999997E-2</v>
      </c>
      <c r="P6180">
        <v>0.98340059999999996</v>
      </c>
      <c r="Q6180">
        <v>0.15110460000000001</v>
      </c>
      <c r="R6180">
        <v>0.10045370000000001</v>
      </c>
      <c r="S6180">
        <v>3.1395420000000001</v>
      </c>
      <c r="T6180">
        <v>-0.57678079999999998</v>
      </c>
      <c r="U6180">
        <v>2.9541020000000001E-2</v>
      </c>
      <c r="V6180">
        <v>-0.1407175</v>
      </c>
      <c r="W6180">
        <v>0.16470839999999901</v>
      </c>
      <c r="X6180">
        <v>0.97625289999999998</v>
      </c>
      <c r="Y6180">
        <v>-4.9564450000000003E-2</v>
      </c>
      <c r="Z6180">
        <v>1.18835E-2</v>
      </c>
      <c r="AA6180">
        <v>0.99870020000000004</v>
      </c>
      <c r="AB6180">
        <v>33</v>
      </c>
      <c r="AC6180">
        <v>0.74090000000001</v>
      </c>
      <c r="AD6180">
        <v>-0.16786019999999999</v>
      </c>
      <c r="AE6180">
        <v>1.6320000000007402E-2</v>
      </c>
      <c r="AF6180">
        <v>-4.4866395805828602E-2</v>
      </c>
      <c r="AG6180">
        <v>-0.16786019999999999</v>
      </c>
      <c r="AH6180">
        <v>0.70348435467711901</v>
      </c>
      <c r="AI6180">
        <v>103.394314636017</v>
      </c>
      <c r="AJ6180">
        <v>93.649232792220502</v>
      </c>
      <c r="AK6180">
        <v>0.72462423192446901</v>
      </c>
      <c r="AL6180">
        <v>80.519704727769593</v>
      </c>
      <c r="AM6180">
        <v>98.202145035658603</v>
      </c>
      <c r="AN6180">
        <v>0.99999999829760899</v>
      </c>
    </row>
    <row r="6181" spans="1:40" x14ac:dyDescent="0.25">
      <c r="A6181" t="str">
        <f>"20190303162422949"</f>
        <v>20190303162422949</v>
      </c>
      <c r="B6181" t="str">
        <f>"1551601462940994"</f>
        <v>1551601462940994</v>
      </c>
      <c r="C6181" t="s">
        <v>40</v>
      </c>
      <c r="D6181">
        <v>5.5114359999999998</v>
      </c>
      <c r="E6181">
        <v>0.53594370000000002</v>
      </c>
      <c r="F6181" t="s">
        <v>42</v>
      </c>
      <c r="G6181">
        <v>-219.5926</v>
      </c>
      <c r="H6181">
        <v>0.96503340000000004</v>
      </c>
      <c r="I6181">
        <v>-61.913930000000001</v>
      </c>
      <c r="J6181">
        <v>-220.18790000000001</v>
      </c>
      <c r="K6181">
        <v>1.119327</v>
      </c>
      <c r="L6181">
        <v>-61.919559999999997</v>
      </c>
      <c r="M6181">
        <v>0.99901719999999905</v>
      </c>
      <c r="N6181">
        <v>-1.3390859999999999E-2</v>
      </c>
      <c r="O6181">
        <v>-4.2256389999999998E-2</v>
      </c>
      <c r="P6181">
        <v>0.98393949999999997</v>
      </c>
      <c r="Q6181">
        <v>0.1491818</v>
      </c>
      <c r="R6181">
        <v>9.8020750000000004E-2</v>
      </c>
      <c r="S6181">
        <v>3.1512760000000002</v>
      </c>
      <c r="T6181">
        <v>-0.65155269999999899</v>
      </c>
      <c r="U6181">
        <v>-4.8828129999999997E-3</v>
      </c>
      <c r="V6181">
        <v>-0.13895060000000001</v>
      </c>
      <c r="W6181">
        <v>0.1627604</v>
      </c>
      <c r="X6181">
        <v>0.97683249999999999</v>
      </c>
      <c r="Y6181">
        <v>-3.9050210000000002E-2</v>
      </c>
      <c r="Z6181">
        <v>1.234206E-2</v>
      </c>
      <c r="AA6181">
        <v>0.99916099999999997</v>
      </c>
      <c r="AB6181">
        <v>33</v>
      </c>
      <c r="AC6181">
        <v>0.59530000000000804</v>
      </c>
      <c r="AD6181">
        <v>-0.154293599999999</v>
      </c>
      <c r="AE6181">
        <v>5.6299999999893597E-3</v>
      </c>
      <c r="AF6181">
        <v>-2.8844895768080199E-2</v>
      </c>
      <c r="AG6181">
        <v>-0.154293599999999</v>
      </c>
      <c r="AH6181">
        <v>0.55710843409847999</v>
      </c>
      <c r="AI6181">
        <v>105.460585326068</v>
      </c>
      <c r="AJ6181">
        <v>92.963904750854695</v>
      </c>
      <c r="AK6181">
        <v>0.57879905870387505</v>
      </c>
      <c r="AL6181">
        <v>80.632843579440802</v>
      </c>
      <c r="AM6181">
        <v>98.095788674763099</v>
      </c>
      <c r="AN6181">
        <v>0.99999997505238403</v>
      </c>
    </row>
    <row r="6182" spans="1:40" x14ac:dyDescent="0.25">
      <c r="A6182" t="str">
        <f>"20190303162422960"</f>
        <v>20190303162422960</v>
      </c>
      <c r="B6182" t="str">
        <f>"1551601462950754"</f>
        <v>1551601462950754</v>
      </c>
      <c r="C6182" t="s">
        <v>40</v>
      </c>
      <c r="D6182">
        <v>5.5256470000000002</v>
      </c>
      <c r="E6182">
        <v>0.54198639999999998</v>
      </c>
      <c r="F6182" t="s">
        <v>42</v>
      </c>
      <c r="G6182">
        <v>-219.3143</v>
      </c>
      <c r="H6182">
        <v>0.93687549999999997</v>
      </c>
      <c r="I6182">
        <v>-61.923070000000003</v>
      </c>
      <c r="J6182">
        <v>-220.01929999999999</v>
      </c>
      <c r="K6182">
        <v>1.1194489999999999</v>
      </c>
      <c r="L6182">
        <v>-61.927309999999999</v>
      </c>
      <c r="M6182">
        <v>0.99899020000000005</v>
      </c>
      <c r="N6182">
        <v>-1.34014999999999E-2</v>
      </c>
      <c r="O6182">
        <v>-4.288318E-2</v>
      </c>
      <c r="P6182">
        <v>0.98437030000000003</v>
      </c>
      <c r="Q6182">
        <v>0.14828189999999999</v>
      </c>
      <c r="R6182">
        <v>9.5014609999999999E-2</v>
      </c>
      <c r="S6182">
        <v>3.1499329999999999</v>
      </c>
      <c r="T6182">
        <v>-0.65784540000000002</v>
      </c>
      <c r="U6182">
        <v>-1.2390139999999999E-2</v>
      </c>
      <c r="V6182">
        <v>-0.13663220000000001</v>
      </c>
      <c r="W6182">
        <v>0.1618269</v>
      </c>
      <c r="X6182">
        <v>0.97731449999999997</v>
      </c>
      <c r="Y6182">
        <v>-3.7289889999999999E-2</v>
      </c>
      <c r="Z6182">
        <v>1.2393960000000001E-2</v>
      </c>
      <c r="AA6182">
        <v>0.99922759999999999</v>
      </c>
      <c r="AB6182">
        <v>33</v>
      </c>
      <c r="AC6182">
        <v>0.70499999999998397</v>
      </c>
      <c r="AD6182">
        <v>-0.182573499999999</v>
      </c>
      <c r="AE6182">
        <v>4.2400000000029003E-3</v>
      </c>
      <c r="AF6182">
        <v>-3.2304993632133801E-2</v>
      </c>
      <c r="AG6182">
        <v>-0.182573499999999</v>
      </c>
      <c r="AH6182">
        <v>0.65991385200971897</v>
      </c>
      <c r="AI6182">
        <v>105.44716439289</v>
      </c>
      <c r="AJ6182">
        <v>92.802583033378099</v>
      </c>
      <c r="AK6182">
        <v>0.68546552618649403</v>
      </c>
      <c r="AL6182">
        <v>80.687047737023903</v>
      </c>
      <c r="AM6182">
        <v>97.958580110441602</v>
      </c>
      <c r="AN6182">
        <v>0.99999996777534905</v>
      </c>
    </row>
    <row r="6183" spans="1:40" x14ac:dyDescent="0.25">
      <c r="A6183" t="str">
        <f>"20190303162422981"</f>
        <v>20190303162422981</v>
      </c>
      <c r="B6183" t="str">
        <f>"1551601462971250"</f>
        <v>1551601462971250</v>
      </c>
      <c r="C6183" t="s">
        <v>40</v>
      </c>
      <c r="D6183">
        <v>6.9037189999999997</v>
      </c>
      <c r="E6183">
        <v>0.54265140000000001</v>
      </c>
      <c r="F6183" t="s">
        <v>42</v>
      </c>
      <c r="G6183">
        <v>-219.3339</v>
      </c>
      <c r="H6183">
        <v>0.89650919999999901</v>
      </c>
      <c r="I6183">
        <v>-61.943730000000002</v>
      </c>
      <c r="J6183">
        <v>-219.72239999999999</v>
      </c>
      <c r="K6183">
        <v>1.1197109999999999</v>
      </c>
      <c r="L6183">
        <v>-61.941009999999999</v>
      </c>
      <c r="M6183">
        <v>0.99895480000000003</v>
      </c>
      <c r="N6183">
        <v>-1.341756E-2</v>
      </c>
      <c r="O6183">
        <v>-4.3698769999999998E-2</v>
      </c>
      <c r="P6183">
        <v>0.98494060000000005</v>
      </c>
      <c r="Q6183">
        <v>0.1476924</v>
      </c>
      <c r="R6183">
        <v>8.9885850000000003E-2</v>
      </c>
      <c r="S6183">
        <v>3.2124630000000001</v>
      </c>
      <c r="T6183">
        <v>-1.0449790000000001</v>
      </c>
      <c r="U6183">
        <v>-7.6629639999999999E-2</v>
      </c>
      <c r="V6183">
        <v>-0.132436</v>
      </c>
      <c r="W6183">
        <v>0.1611658</v>
      </c>
      <c r="X6183">
        <v>0.97800120000000001</v>
      </c>
      <c r="Y6183">
        <v>-1.6889049999999999E-2</v>
      </c>
      <c r="Z6183">
        <v>1.6071820000000001E-2</v>
      </c>
      <c r="AA6183">
        <v>0.99972819999999996</v>
      </c>
      <c r="AB6183">
        <v>33</v>
      </c>
      <c r="AC6183">
        <v>0.38849999999999302</v>
      </c>
      <c r="AD6183">
        <v>-0.22320180000000001</v>
      </c>
      <c r="AE6183">
        <v>-2.7200000000036002E-3</v>
      </c>
      <c r="AF6183">
        <v>-1.07221505518877E-2</v>
      </c>
      <c r="AG6183">
        <v>-0.22320180000000001</v>
      </c>
      <c r="AH6183">
        <v>0.29190252935706101</v>
      </c>
      <c r="AI6183">
        <v>127.384517625157</v>
      </c>
      <c r="AJ6183">
        <v>92.103640228102194</v>
      </c>
      <c r="AK6183">
        <v>0.36761541681592602</v>
      </c>
      <c r="AL6183">
        <v>80.725430373750896</v>
      </c>
      <c r="AM6183">
        <v>97.711796769659699</v>
      </c>
      <c r="AN6183">
        <v>1.00000002819353</v>
      </c>
    </row>
    <row r="6184" spans="1:40" x14ac:dyDescent="0.25">
      <c r="A6184" t="str">
        <f>"20190303162422992"</f>
        <v>20190303162422992</v>
      </c>
      <c r="B6184" t="str">
        <f>"1551601462981011"</f>
        <v>1551601462981011</v>
      </c>
      <c r="C6184" t="s">
        <v>40</v>
      </c>
      <c r="D6184">
        <v>5.3957639999999998</v>
      </c>
      <c r="E6184">
        <v>0.54310040000000004</v>
      </c>
      <c r="F6184" t="s">
        <v>42</v>
      </c>
      <c r="G6184">
        <v>-219.04230000000001</v>
      </c>
      <c r="H6184">
        <v>0.90036389999999999</v>
      </c>
      <c r="I6184">
        <v>-61.961910000000003</v>
      </c>
      <c r="J6184">
        <v>-219.5659</v>
      </c>
      <c r="K6184">
        <v>1.1198680000000001</v>
      </c>
      <c r="L6184">
        <v>-61.948210000000003</v>
      </c>
      <c r="M6184">
        <v>0.99894320000000003</v>
      </c>
      <c r="N6184">
        <v>-1.3425049999999999E-2</v>
      </c>
      <c r="O6184">
        <v>-4.3958400000000002E-2</v>
      </c>
      <c r="P6184">
        <v>0.98513779999999995</v>
      </c>
      <c r="Q6184">
        <v>0.14777650000000001</v>
      </c>
      <c r="R6184">
        <v>8.7554279999999998E-2</v>
      </c>
      <c r="S6184">
        <v>3.2100070000000001</v>
      </c>
      <c r="T6184">
        <v>-1.035336</v>
      </c>
      <c r="U6184">
        <v>-9.7595210000000002E-2</v>
      </c>
      <c r="V6184">
        <v>-0.1304285</v>
      </c>
      <c r="W6184">
        <v>0.16120760000000001</v>
      </c>
      <c r="X6184">
        <v>0.97826400000000002</v>
      </c>
      <c r="Y6184">
        <v>-1.0958229999999999E-2</v>
      </c>
      <c r="Z6184">
        <v>1.504101E-2</v>
      </c>
      <c r="AA6184">
        <v>0.99982680000000002</v>
      </c>
      <c r="AB6184">
        <v>33</v>
      </c>
      <c r="AC6184">
        <v>0.52359999999998696</v>
      </c>
      <c r="AD6184">
        <v>-0.21950410000000001</v>
      </c>
      <c r="AE6184">
        <v>-1.37E-2</v>
      </c>
      <c r="AF6184">
        <v>-7.9378450966450798E-3</v>
      </c>
      <c r="AG6184">
        <v>-0.21950410000000001</v>
      </c>
      <c r="AH6184">
        <v>0.44546145409827298</v>
      </c>
      <c r="AI6184">
        <v>116.22847419675399</v>
      </c>
      <c r="AJ6184">
        <v>91.020866989384203</v>
      </c>
      <c r="AK6184">
        <v>0.49666987666752699</v>
      </c>
      <c r="AL6184">
        <v>80.723003122774401</v>
      </c>
      <c r="AM6184">
        <v>97.594257811417094</v>
      </c>
      <c r="AN6184">
        <v>0.99999996880300401</v>
      </c>
    </row>
    <row r="6185" spans="1:40" x14ac:dyDescent="0.25">
      <c r="A6185" t="str">
        <f>"20190303162423005"</f>
        <v>20190303162423005</v>
      </c>
      <c r="B6185" t="str">
        <f>"1551601463001507"</f>
        <v>1551601463001507</v>
      </c>
      <c r="C6185" t="s">
        <v>40</v>
      </c>
      <c r="D6185">
        <v>5.404039</v>
      </c>
      <c r="E6185">
        <v>0.54385329999999998</v>
      </c>
      <c r="F6185" t="s">
        <v>42</v>
      </c>
      <c r="G6185">
        <v>-218.76740000000001</v>
      </c>
      <c r="H6185">
        <v>0.86556330000000004</v>
      </c>
      <c r="I6185">
        <v>-61.975459999999998</v>
      </c>
      <c r="J6185">
        <v>-219.3922</v>
      </c>
      <c r="K6185">
        <v>1.120045</v>
      </c>
      <c r="L6185">
        <v>-61.956150000000001</v>
      </c>
      <c r="M6185">
        <v>0.99893259999999995</v>
      </c>
      <c r="N6185">
        <v>-1.343394E-2</v>
      </c>
      <c r="O6185">
        <v>-4.4196399999999997E-2</v>
      </c>
      <c r="P6185">
        <v>0.98528680000000002</v>
      </c>
      <c r="Q6185">
        <v>0.14802070000000001</v>
      </c>
      <c r="R6185">
        <v>8.543982E-2</v>
      </c>
      <c r="S6185">
        <v>3.208221</v>
      </c>
      <c r="T6185">
        <v>-1.021806</v>
      </c>
      <c r="U6185">
        <v>-0.1089783</v>
      </c>
      <c r="V6185">
        <v>-0.1286235</v>
      </c>
      <c r="W6185">
        <v>0.1614062</v>
      </c>
      <c r="X6185">
        <v>0.97847030000000002</v>
      </c>
      <c r="Y6185">
        <v>-7.8514299999999995E-3</v>
      </c>
      <c r="Z6185">
        <v>1.4420570000000001E-2</v>
      </c>
      <c r="AA6185">
        <v>0.99986520000000001</v>
      </c>
      <c r="AB6185">
        <v>32</v>
      </c>
      <c r="AC6185">
        <v>0.62479999999999303</v>
      </c>
      <c r="AD6185">
        <v>-0.25448169999999998</v>
      </c>
      <c r="AE6185">
        <v>-1.9309999999997201E-2</v>
      </c>
      <c r="AF6185">
        <v>-7.1416461769497402E-3</v>
      </c>
      <c r="AG6185">
        <v>-0.25448169999999998</v>
      </c>
      <c r="AH6185">
        <v>0.53617883205114303</v>
      </c>
      <c r="AI6185">
        <v>115.38802651347601</v>
      </c>
      <c r="AJ6185">
        <v>90.763107316006398</v>
      </c>
      <c r="AK6185">
        <v>0.59354837939694105</v>
      </c>
      <c r="AL6185">
        <v>80.711473921319794</v>
      </c>
      <c r="AM6185">
        <v>97.488801130388396</v>
      </c>
      <c r="AN6185">
        <v>1.0000000470663799</v>
      </c>
    </row>
    <row r="6186" spans="1:40" x14ac:dyDescent="0.25">
      <c r="A6186" t="str">
        <f>"20190303162423018"</f>
        <v>20190303162423018</v>
      </c>
      <c r="B6186" t="str">
        <f>"1551601463011266"</f>
        <v>1551601463011266</v>
      </c>
      <c r="C6186" t="s">
        <v>40</v>
      </c>
      <c r="D6186">
        <v>5.424671</v>
      </c>
      <c r="E6186">
        <v>0.54373539999999998</v>
      </c>
      <c r="F6186" t="s">
        <v>42</v>
      </c>
      <c r="G6186">
        <v>-218.4889</v>
      </c>
      <c r="H6186">
        <v>0.84017830000000004</v>
      </c>
      <c r="I6186">
        <v>-61.990630000000003</v>
      </c>
      <c r="J6186">
        <v>-219.19569999999999</v>
      </c>
      <c r="K6186">
        <v>1.120258</v>
      </c>
      <c r="L6186">
        <v>-61.965029999999999</v>
      </c>
      <c r="M6186">
        <v>0.99892990000000004</v>
      </c>
      <c r="N6186">
        <v>-1.344849E-2</v>
      </c>
      <c r="O6186">
        <v>-4.4251449999999998E-2</v>
      </c>
      <c r="P6186">
        <v>0.98533950000000003</v>
      </c>
      <c r="Q6186">
        <v>0.1485205</v>
      </c>
      <c r="R6186">
        <v>8.3950350000000007E-2</v>
      </c>
      <c r="S6186">
        <v>3.2044980000000001</v>
      </c>
      <c r="T6186">
        <v>-0.99293589999999998</v>
      </c>
      <c r="U6186">
        <v>-0.12142940000000001</v>
      </c>
      <c r="V6186">
        <v>-0.12727339999999901</v>
      </c>
      <c r="W6186">
        <v>0.1618542</v>
      </c>
      <c r="X6186">
        <v>0.97857280000000002</v>
      </c>
      <c r="Y6186">
        <v>-4.2898679999999996E-3</v>
      </c>
      <c r="Z6186">
        <v>1.348339E-2</v>
      </c>
      <c r="AA6186">
        <v>0.99989989999999995</v>
      </c>
      <c r="AB6186">
        <v>32</v>
      </c>
      <c r="AC6186">
        <v>0.70679999999998699</v>
      </c>
      <c r="AD6186">
        <v>-0.28007969999999899</v>
      </c>
      <c r="AE6186">
        <v>-2.5599999999997101E-2</v>
      </c>
      <c r="AF6186">
        <v>-4.9314815241738802E-3</v>
      </c>
      <c r="AG6186">
        <v>-0.28007969999999899</v>
      </c>
      <c r="AH6186">
        <v>0.61136614908103404</v>
      </c>
      <c r="AI6186">
        <v>114.612806598373</v>
      </c>
      <c r="AJ6186">
        <v>90.462156680698499</v>
      </c>
      <c r="AK6186">
        <v>0.67248607874385502</v>
      </c>
      <c r="AL6186">
        <v>80.685463087808401</v>
      </c>
      <c r="AM6186">
        <v>97.410305477723</v>
      </c>
      <c r="AN6186">
        <v>1.0000000126525199</v>
      </c>
    </row>
    <row r="6187" spans="1:40" x14ac:dyDescent="0.25">
      <c r="A6187" t="str">
        <f>"20190303162423030"</f>
        <v>20190303162423030</v>
      </c>
      <c r="B6187" t="str">
        <f>"1551601463021026"</f>
        <v>1551601463021026</v>
      </c>
      <c r="C6187" t="s">
        <v>40</v>
      </c>
      <c r="D6187">
        <v>5.43682</v>
      </c>
      <c r="E6187">
        <v>0.54367889999999996</v>
      </c>
      <c r="F6187" t="s">
        <v>42</v>
      </c>
      <c r="G6187">
        <v>-218.46539999999999</v>
      </c>
      <c r="H6187">
        <v>0.89540200000000003</v>
      </c>
      <c r="I6187">
        <v>-61.993879999999997</v>
      </c>
      <c r="J6187">
        <v>-219.0145</v>
      </c>
      <c r="K6187">
        <v>1.1204609999999999</v>
      </c>
      <c r="L6187">
        <v>-61.973050000000001</v>
      </c>
      <c r="M6187">
        <v>0.99893339999999997</v>
      </c>
      <c r="N6187">
        <v>-1.346433E-2</v>
      </c>
      <c r="O6187">
        <v>-4.4169439999999997E-2</v>
      </c>
      <c r="P6187">
        <v>0.98538990000000004</v>
      </c>
      <c r="Q6187">
        <v>0.148753</v>
      </c>
      <c r="R6187">
        <v>8.2943050000000004E-2</v>
      </c>
      <c r="S6187">
        <v>3.2040410000000001</v>
      </c>
      <c r="T6187">
        <v>-0.98654200000000003</v>
      </c>
      <c r="U6187">
        <v>-0.12545780000000001</v>
      </c>
      <c r="V6187">
        <v>-0.12626569999999901</v>
      </c>
      <c r="W6187">
        <v>0.16204199999999999</v>
      </c>
      <c r="X6187">
        <v>0.97867230000000005</v>
      </c>
      <c r="Y6187">
        <v>-3.0382690000000001E-3</v>
      </c>
      <c r="Z6187">
        <v>1.317725E-2</v>
      </c>
      <c r="AA6187">
        <v>0.99990860000000004</v>
      </c>
      <c r="AB6187">
        <v>32</v>
      </c>
      <c r="AC6187">
        <v>0.54910000000000903</v>
      </c>
      <c r="AD6187">
        <v>-0.22505900000000001</v>
      </c>
      <c r="AE6187">
        <v>-2.0830000000003599E-2</v>
      </c>
      <c r="AF6187">
        <v>-2.9509446719265999E-3</v>
      </c>
      <c r="AG6187">
        <v>-0.22505900000000001</v>
      </c>
      <c r="AH6187">
        <v>0.470549029393173</v>
      </c>
      <c r="AI6187">
        <v>115.560895336916</v>
      </c>
      <c r="AJ6187">
        <v>90.359313160229505</v>
      </c>
      <c r="AK6187">
        <v>0.52160967266559899</v>
      </c>
      <c r="AL6187">
        <v>80.674559385574298</v>
      </c>
      <c r="AM6187">
        <v>97.351538793790695</v>
      </c>
      <c r="AN6187">
        <v>1.00000005377388</v>
      </c>
    </row>
    <row r="6188" spans="1:40" x14ac:dyDescent="0.25">
      <c r="A6188" t="str">
        <f>"20190303162423044"</f>
        <v>20190303162423044</v>
      </c>
      <c r="B6188" t="str">
        <f>"1551601463030787"</f>
        <v>1551601463030787</v>
      </c>
      <c r="C6188" t="s">
        <v>40</v>
      </c>
      <c r="D6188">
        <v>5.4228199999999998</v>
      </c>
      <c r="E6188">
        <v>0.54363099999999998</v>
      </c>
      <c r="F6188" t="s">
        <v>42</v>
      </c>
      <c r="G6188">
        <v>-218.18809999999999</v>
      </c>
      <c r="H6188">
        <v>0.86744239999999995</v>
      </c>
      <c r="I6188">
        <v>-62.006349999999998</v>
      </c>
      <c r="J6188">
        <v>-218.81960000000001</v>
      </c>
      <c r="K6188">
        <v>1.120684</v>
      </c>
      <c r="L6188">
        <v>-61.9816</v>
      </c>
      <c r="M6188">
        <v>0.998942</v>
      </c>
      <c r="N6188">
        <v>-1.348301E-2</v>
      </c>
      <c r="O6188">
        <v>-4.3968309999999997E-2</v>
      </c>
      <c r="P6188">
        <v>0.98548230000000003</v>
      </c>
      <c r="Q6188">
        <v>0.14846619999999999</v>
      </c>
      <c r="R6188">
        <v>8.2354750000000004E-2</v>
      </c>
      <c r="S6188">
        <v>3.203354</v>
      </c>
      <c r="T6188">
        <v>-0.98074159999999999</v>
      </c>
      <c r="U6188">
        <v>-0.12857060000000001</v>
      </c>
      <c r="V6188">
        <v>-0.1255684</v>
      </c>
      <c r="W6188">
        <v>0.16170979999999999</v>
      </c>
      <c r="X6188">
        <v>0.97881689999999999</v>
      </c>
      <c r="Y6188">
        <v>-1.942741E-3</v>
      </c>
      <c r="Z6188">
        <v>1.2872689999999999E-2</v>
      </c>
      <c r="AA6188">
        <v>0.9999152</v>
      </c>
      <c r="AB6188">
        <v>32</v>
      </c>
      <c r="AC6188">
        <v>0.63150000000001605</v>
      </c>
      <c r="AD6188">
        <v>-0.25324160000000001</v>
      </c>
      <c r="AE6188">
        <v>-2.4749999999997298E-2</v>
      </c>
      <c r="AF6188">
        <v>-2.6215196027403399E-3</v>
      </c>
      <c r="AG6188">
        <v>-0.25324160000000001</v>
      </c>
      <c r="AH6188">
        <v>0.54454192957303305</v>
      </c>
      <c r="AI6188">
        <v>114.940734737169</v>
      </c>
      <c r="AJ6188">
        <v>90.275829721519401</v>
      </c>
      <c r="AK6188">
        <v>0.60055315618079097</v>
      </c>
      <c r="AL6188">
        <v>80.693846954542593</v>
      </c>
      <c r="AM6188">
        <v>97.310312133130793</v>
      </c>
      <c r="AN6188">
        <v>1.0000000031101</v>
      </c>
    </row>
    <row r="6189" spans="1:40" x14ac:dyDescent="0.25">
      <c r="A6189" t="str">
        <f>"20190303162423058"</f>
        <v>20190303162423058</v>
      </c>
      <c r="B6189" t="str">
        <f>"1551601463051282"</f>
        <v>1551601463051282</v>
      </c>
      <c r="C6189" t="s">
        <v>40</v>
      </c>
      <c r="D6189">
        <v>5.4167719999999999</v>
      </c>
      <c r="E6189">
        <v>0.54346810000000001</v>
      </c>
      <c r="F6189" t="s">
        <v>42</v>
      </c>
      <c r="G6189">
        <v>-217.90960000000001</v>
      </c>
      <c r="H6189">
        <v>0.84324739999999998</v>
      </c>
      <c r="I6189">
        <v>-62.018970000000003</v>
      </c>
      <c r="J6189">
        <v>-218.60759999999999</v>
      </c>
      <c r="K6189">
        <v>1.1209370000000001</v>
      </c>
      <c r="L6189">
        <v>-61.990600000000001</v>
      </c>
      <c r="M6189">
        <v>0.99896260000000003</v>
      </c>
      <c r="N6189">
        <v>-1.350382E-2</v>
      </c>
      <c r="O6189">
        <v>-4.3492459999999997E-2</v>
      </c>
      <c r="P6189">
        <v>0.98546299999999998</v>
      </c>
      <c r="Q6189">
        <v>0.14878440000000001</v>
      </c>
      <c r="R6189">
        <v>8.2012559999999998E-2</v>
      </c>
      <c r="S6189">
        <v>3.2022550000000001</v>
      </c>
      <c r="T6189">
        <v>-0.97638939999999996</v>
      </c>
      <c r="U6189">
        <v>-0.13116459999999999</v>
      </c>
      <c r="V6189">
        <v>-0.12485300000000001</v>
      </c>
      <c r="W6189">
        <v>0.1619766</v>
      </c>
      <c r="X6189">
        <v>0.97886430000000002</v>
      </c>
      <c r="Y6189">
        <v>-7.3732020000000004E-4</v>
      </c>
      <c r="Z6189">
        <v>1.249549E-2</v>
      </c>
      <c r="AA6189">
        <v>0.99992170000000002</v>
      </c>
      <c r="AB6189">
        <v>32</v>
      </c>
      <c r="AC6189">
        <v>0.69799999999997897</v>
      </c>
      <c r="AD6189">
        <v>-0.27768959999999998</v>
      </c>
      <c r="AE6189">
        <v>-2.8369999999995298E-2</v>
      </c>
      <c r="AF6189">
        <v>-1.74208118190674E-3</v>
      </c>
      <c r="AG6189">
        <v>-0.27768959999999998</v>
      </c>
      <c r="AH6189">
        <v>0.60325201707056197</v>
      </c>
      <c r="AI6189">
        <v>114.717519728296</v>
      </c>
      <c r="AJ6189">
        <v>90.165459242578194</v>
      </c>
      <c r="AK6189">
        <v>0.66409904750323601</v>
      </c>
      <c r="AL6189">
        <v>80.678356228354502</v>
      </c>
      <c r="AM6189">
        <v>97.268761648817801</v>
      </c>
      <c r="AN6189">
        <v>1.0000000041855199</v>
      </c>
    </row>
    <row r="6190" spans="1:40" x14ac:dyDescent="0.25">
      <c r="A6190" t="str">
        <f>"20190303162423070"</f>
        <v>20190303162423070</v>
      </c>
      <c r="B6190" t="str">
        <f>"1551601463061042"</f>
        <v>1551601463061042</v>
      </c>
      <c r="C6190" t="s">
        <v>40</v>
      </c>
      <c r="D6190">
        <v>5.3868960000000001</v>
      </c>
      <c r="E6190">
        <v>0.54350739999999997</v>
      </c>
      <c r="F6190" t="s">
        <v>42</v>
      </c>
      <c r="G6190">
        <v>-217.8844</v>
      </c>
      <c r="H6190">
        <v>0.90281109999999998</v>
      </c>
      <c r="I6190">
        <v>-62.021079999999998</v>
      </c>
      <c r="J6190">
        <v>-218.43680000000001</v>
      </c>
      <c r="K6190">
        <v>1.121138</v>
      </c>
      <c r="L6190">
        <v>-61.997619999999998</v>
      </c>
      <c r="M6190">
        <v>0.99898509999999996</v>
      </c>
      <c r="N6190">
        <v>-1.3520330000000001E-2</v>
      </c>
      <c r="O6190">
        <v>-4.2969170000000001E-2</v>
      </c>
      <c r="P6190">
        <v>0.98539219999999905</v>
      </c>
      <c r="Q6190">
        <v>0.14902679999999999</v>
      </c>
      <c r="R6190">
        <v>8.242157E-2</v>
      </c>
      <c r="S6190">
        <v>3.2012019999999999</v>
      </c>
      <c r="T6190">
        <v>-0.96543800000000002</v>
      </c>
      <c r="U6190">
        <v>-0.13446040000000001</v>
      </c>
      <c r="V6190">
        <v>-0.1248213</v>
      </c>
      <c r="W6190">
        <v>0.16217509999999999</v>
      </c>
      <c r="X6190">
        <v>0.97883549999999997</v>
      </c>
      <c r="Y6190">
        <v>6.9878869999999904E-4</v>
      </c>
      <c r="Z6190">
        <v>1.1989100000000001E-2</v>
      </c>
      <c r="AA6190">
        <v>0.99992789999999998</v>
      </c>
      <c r="AB6190">
        <v>32</v>
      </c>
      <c r="AC6190">
        <v>0.552400000000005</v>
      </c>
      <c r="AD6190">
        <v>-0.21832689999999999</v>
      </c>
      <c r="AE6190">
        <v>-2.34600000000071E-2</v>
      </c>
      <c r="AF6190">
        <v>-2.5953725959572399E-4</v>
      </c>
      <c r="AG6190">
        <v>-0.21832689999999999</v>
      </c>
      <c r="AH6190">
        <v>0.47831506958186498</v>
      </c>
      <c r="AI6190">
        <v>114.53432241215501</v>
      </c>
      <c r="AJ6190">
        <v>90.0310891065063</v>
      </c>
      <c r="AK6190">
        <v>0.52578703712843999</v>
      </c>
      <c r="AL6190">
        <v>80.666830852658805</v>
      </c>
      <c r="AM6190">
        <v>97.267147378560907</v>
      </c>
      <c r="AN6190">
        <v>1.0000000280269701</v>
      </c>
    </row>
    <row r="6191" spans="1:40" x14ac:dyDescent="0.25">
      <c r="A6191" t="str">
        <f>"20190303162423082"</f>
        <v>20190303162423082</v>
      </c>
      <c r="B6191" t="str">
        <f>"1551601463070803"</f>
        <v>1551601463070803</v>
      </c>
      <c r="C6191" t="s">
        <v>40</v>
      </c>
      <c r="D6191">
        <v>5.4418139999999999</v>
      </c>
      <c r="E6191">
        <v>0.54322680000000001</v>
      </c>
      <c r="F6191" t="s">
        <v>42</v>
      </c>
      <c r="G6191">
        <v>-217.60890000000001</v>
      </c>
      <c r="H6191">
        <v>0.8722377</v>
      </c>
      <c r="I6191">
        <v>-62.032409999999999</v>
      </c>
      <c r="J6191">
        <v>-218.2636</v>
      </c>
      <c r="K6191">
        <v>1.1213420000000001</v>
      </c>
      <c r="L6191">
        <v>-62.004640000000002</v>
      </c>
      <c r="M6191">
        <v>0.99901070000000003</v>
      </c>
      <c r="N6191">
        <v>-1.353676E-2</v>
      </c>
      <c r="O6191">
        <v>-4.2360599999999998E-2</v>
      </c>
      <c r="P6191">
        <v>0.98532129999999996</v>
      </c>
      <c r="Q6191">
        <v>0.14923059999999999</v>
      </c>
      <c r="R6191">
        <v>8.2899899999999901E-2</v>
      </c>
      <c r="S6191">
        <v>3.201263</v>
      </c>
      <c r="T6191">
        <v>-0.9625823</v>
      </c>
      <c r="U6191">
        <v>-0.1340027</v>
      </c>
      <c r="V6191">
        <v>-0.12477779999999999</v>
      </c>
      <c r="W6191">
        <v>0.1623346</v>
      </c>
      <c r="X6191">
        <v>0.97881450000000003</v>
      </c>
      <c r="Y6191">
        <v>1.110361E-3</v>
      </c>
      <c r="Z6191">
        <v>1.171851E-2</v>
      </c>
      <c r="AA6191">
        <v>0.99993069999999895</v>
      </c>
      <c r="AB6191">
        <v>32</v>
      </c>
      <c r="AC6191">
        <v>0.65469999999999096</v>
      </c>
      <c r="AD6191">
        <v>-0.2491043</v>
      </c>
      <c r="AE6191">
        <v>-2.77699999999967E-2</v>
      </c>
      <c r="AF6191" s="1">
        <v>7.9013284942711093E-6</v>
      </c>
      <c r="AG6191">
        <v>-0.2491043</v>
      </c>
      <c r="AH6191">
        <v>0.57254968293740804</v>
      </c>
      <c r="AI6191">
        <v>113.51284259992801</v>
      </c>
      <c r="AJ6191">
        <v>89.999209303945605</v>
      </c>
      <c r="AK6191">
        <v>0.62439257824917105</v>
      </c>
      <c r="AL6191">
        <v>80.6575684675812</v>
      </c>
      <c r="AM6191">
        <v>97.264796045425697</v>
      </c>
      <c r="AN6191">
        <v>0.99999992357012202</v>
      </c>
    </row>
    <row r="6192" spans="1:40" x14ac:dyDescent="0.25">
      <c r="A6192" t="str">
        <f>"20190303162423103"</f>
        <v>20190303162423103</v>
      </c>
      <c r="B6192" t="str">
        <f>"1551601463101059"</f>
        <v>1551601463101059</v>
      </c>
      <c r="C6192" t="s">
        <v>40</v>
      </c>
      <c r="D6192">
        <v>5.3755220000000001</v>
      </c>
      <c r="E6192">
        <v>0.54321189999999997</v>
      </c>
      <c r="F6192" t="s">
        <v>42</v>
      </c>
      <c r="G6192">
        <v>-217.589</v>
      </c>
      <c r="H6192">
        <v>0.91877209999999998</v>
      </c>
      <c r="I6192">
        <v>-62.032290000000003</v>
      </c>
      <c r="J6192">
        <v>-217.9528</v>
      </c>
      <c r="K6192">
        <v>1.1217330000000001</v>
      </c>
      <c r="L6192">
        <v>-62.016509999999997</v>
      </c>
      <c r="M6192">
        <v>0.99907409999999996</v>
      </c>
      <c r="N6192">
        <v>-1.356567E-2</v>
      </c>
      <c r="O6192">
        <v>-4.0829030000000002E-2</v>
      </c>
      <c r="P6192">
        <v>0.985151</v>
      </c>
      <c r="Q6192">
        <v>0.15016360000000001</v>
      </c>
      <c r="R6192">
        <v>8.323701E-2</v>
      </c>
      <c r="S6192">
        <v>3.201263</v>
      </c>
      <c r="T6192">
        <v>-0.96135040000000005</v>
      </c>
      <c r="U6192">
        <v>-0.13055419999999901</v>
      </c>
      <c r="V6192">
        <v>-0.123753</v>
      </c>
      <c r="W6192">
        <v>0.16318529999999901</v>
      </c>
      <c r="X6192">
        <v>0.97880319999999998</v>
      </c>
      <c r="Y6192">
        <v>1.484839E-3</v>
      </c>
      <c r="Z6192">
        <v>1.1215950000000001E-2</v>
      </c>
      <c r="AA6192">
        <v>0.99993600000000005</v>
      </c>
      <c r="AB6192">
        <v>32</v>
      </c>
      <c r="AC6192">
        <v>0.36379999999996898</v>
      </c>
      <c r="AD6192">
        <v>-0.2029609</v>
      </c>
      <c r="AE6192">
        <v>-1.5780000000006501E-2</v>
      </c>
      <c r="AF6192">
        <v>6.9573588257969602E-4</v>
      </c>
      <c r="AG6192">
        <v>-0.2029609</v>
      </c>
      <c r="AH6192">
        <v>0.27783054807915097</v>
      </c>
      <c r="AI6192">
        <v>126.14880720974899</v>
      </c>
      <c r="AJ6192">
        <v>89.856521729958502</v>
      </c>
      <c r="AK6192">
        <v>0.34406892394284799</v>
      </c>
      <c r="AL6192">
        <v>80.608168719093698</v>
      </c>
      <c r="AM6192">
        <v>97.205842300722495</v>
      </c>
      <c r="AN6192">
        <v>0.99999997573766397</v>
      </c>
    </row>
    <row r="6193" spans="1:40" x14ac:dyDescent="0.25">
      <c r="A6193" t="str">
        <f>"20190303162423114"</f>
        <v>20190303162423114</v>
      </c>
      <c r="B6193" t="str">
        <f>"1551601463110819"</f>
        <v>1551601463110819</v>
      </c>
      <c r="C6193" t="s">
        <v>40</v>
      </c>
      <c r="D6193">
        <v>5.364687</v>
      </c>
      <c r="E6193">
        <v>0.53775569999999995</v>
      </c>
      <c r="F6193" t="s">
        <v>42</v>
      </c>
      <c r="G6193">
        <v>-217.0429</v>
      </c>
      <c r="H6193">
        <v>0.84911199999999998</v>
      </c>
      <c r="I6193">
        <v>-62.053130000000003</v>
      </c>
      <c r="J6193">
        <v>-217.7989</v>
      </c>
      <c r="K6193">
        <v>1.1219330000000001</v>
      </c>
      <c r="L6193">
        <v>-62.021940000000001</v>
      </c>
      <c r="M6193">
        <v>0.99911269999999996</v>
      </c>
      <c r="N6193">
        <v>-1.3580210000000001E-2</v>
      </c>
      <c r="O6193">
        <v>-3.9867630000000001E-2</v>
      </c>
      <c r="P6193">
        <v>0.98508390000000001</v>
      </c>
      <c r="Q6193">
        <v>0.15048819999999999</v>
      </c>
      <c r="R6193">
        <v>8.3445210000000006E-2</v>
      </c>
      <c r="S6193">
        <v>3.2023619999999999</v>
      </c>
      <c r="T6193">
        <v>-0.95958109999999996</v>
      </c>
      <c r="U6193">
        <v>-0.1287537</v>
      </c>
      <c r="V6193">
        <v>-0.1230923</v>
      </c>
      <c r="W6193">
        <v>0.16346849999999999</v>
      </c>
      <c r="X6193">
        <v>0.97883929999999997</v>
      </c>
      <c r="Y6193">
        <v>1.8113300000000001E-3</v>
      </c>
      <c r="Z6193">
        <v>1.0872039999999999E-2</v>
      </c>
      <c r="AA6193">
        <v>0.99993929999999998</v>
      </c>
      <c r="AB6193">
        <v>32</v>
      </c>
      <c r="AC6193">
        <v>0.75600000000000001</v>
      </c>
      <c r="AD6193">
        <v>-0.27282099999999998</v>
      </c>
      <c r="AE6193">
        <v>-3.1190000000002199E-2</v>
      </c>
      <c r="AF6193">
        <v>9.0485217749838105E-4</v>
      </c>
      <c r="AG6193">
        <v>-0.27282099999999998</v>
      </c>
      <c r="AH6193">
        <v>0.66958974061884902</v>
      </c>
      <c r="AI6193">
        <v>112.168175397208</v>
      </c>
      <c r="AJ6193">
        <v>89.922573217374094</v>
      </c>
      <c r="AK6193">
        <v>0.72303702363052003</v>
      </c>
      <c r="AL6193">
        <v>80.591722123836405</v>
      </c>
      <c r="AM6193">
        <v>97.167510903232795</v>
      </c>
      <c r="AN6193">
        <v>1.0000000200180099</v>
      </c>
    </row>
    <row r="6194" spans="1:40" x14ac:dyDescent="0.25">
      <c r="A6194" t="str">
        <f>"20190303162423125"</f>
        <v>20190303162423125</v>
      </c>
      <c r="B6194" t="str">
        <f>"1551601463120579"</f>
        <v>1551601463120579</v>
      </c>
      <c r="C6194" t="s">
        <v>40</v>
      </c>
      <c r="D6194">
        <v>5.3590460000000002</v>
      </c>
      <c r="E6194">
        <v>0.53725590000000001</v>
      </c>
      <c r="F6194" t="s">
        <v>42</v>
      </c>
      <c r="G6194">
        <v>-217.04079999999999</v>
      </c>
      <c r="H6194">
        <v>0.85198499999999999</v>
      </c>
      <c r="I6194">
        <v>-62.042940000000002</v>
      </c>
      <c r="J6194">
        <v>-217.6448</v>
      </c>
      <c r="K6194">
        <v>1.122134</v>
      </c>
      <c r="L6194">
        <v>-62.027340000000002</v>
      </c>
      <c r="M6194">
        <v>0.99915240000000005</v>
      </c>
      <c r="N6194">
        <v>-1.359464E-2</v>
      </c>
      <c r="O6194">
        <v>-3.8859860000000003E-2</v>
      </c>
      <c r="P6194">
        <v>0.98493660000000005</v>
      </c>
      <c r="Q6194">
        <v>0.15142159999999999</v>
      </c>
      <c r="R6194">
        <v>8.3496529999999999E-2</v>
      </c>
      <c r="S6194">
        <v>3.2285919999999999</v>
      </c>
      <c r="T6194">
        <v>-1.1496420000000001</v>
      </c>
      <c r="U6194">
        <v>-8.9233399999999893E-2</v>
      </c>
      <c r="V6194">
        <v>-0.12222810000000001</v>
      </c>
      <c r="W6194">
        <v>0.16436029999999999</v>
      </c>
      <c r="X6194">
        <v>0.97879819999999995</v>
      </c>
      <c r="Y6194">
        <v>-8.4909140000000004E-3</v>
      </c>
      <c r="Z6194">
        <v>1.4430399999999999E-2</v>
      </c>
      <c r="AA6194">
        <v>0.99985979999999997</v>
      </c>
      <c r="AB6194">
        <v>32</v>
      </c>
      <c r="AC6194">
        <v>0.60400000000001297</v>
      </c>
      <c r="AD6194">
        <v>-0.27014899999999997</v>
      </c>
      <c r="AE6194">
        <v>-1.5599999999999101E-2</v>
      </c>
      <c r="AF6194">
        <v>-6.5715584074833603E-3</v>
      </c>
      <c r="AG6194">
        <v>-0.27014899999999997</v>
      </c>
      <c r="AH6194">
        <v>0.50349438304285798</v>
      </c>
      <c r="AI6194">
        <v>118.213669056985</v>
      </c>
      <c r="AJ6194">
        <v>90.747776332702699</v>
      </c>
      <c r="AK6194">
        <v>0.57142826438373795</v>
      </c>
      <c r="AL6194">
        <v>80.539924659479496</v>
      </c>
      <c r="AM6194">
        <v>97.118003344925498</v>
      </c>
      <c r="AN6194">
        <v>0.99999996648446898</v>
      </c>
    </row>
    <row r="6195" spans="1:40" x14ac:dyDescent="0.25">
      <c r="A6195" t="str">
        <f>"20190303162423135"</f>
        <v>20190303162423135</v>
      </c>
      <c r="B6195" t="str">
        <f>"1551601463131315"</f>
        <v>1551601463131315</v>
      </c>
      <c r="C6195" t="s">
        <v>40</v>
      </c>
      <c r="D6195">
        <v>5.3368089999999997</v>
      </c>
      <c r="E6195">
        <v>0.53690059999999995</v>
      </c>
      <c r="F6195" t="s">
        <v>42</v>
      </c>
      <c r="G6195">
        <v>-216.77090000000001</v>
      </c>
      <c r="H6195">
        <v>0.81024810000000003</v>
      </c>
      <c r="I6195">
        <v>-62.050400000000003</v>
      </c>
      <c r="J6195">
        <v>-217.4915</v>
      </c>
      <c r="K6195">
        <v>1.1223350000000001</v>
      </c>
      <c r="L6195">
        <v>-62.032290000000003</v>
      </c>
      <c r="M6195">
        <v>0.99919579999999997</v>
      </c>
      <c r="N6195">
        <v>-1.3609390000000001E-2</v>
      </c>
      <c r="O6195">
        <v>-3.7717420000000002E-2</v>
      </c>
      <c r="P6195">
        <v>0.98481549999999995</v>
      </c>
      <c r="Q6195">
        <v>0.15223039999999999</v>
      </c>
      <c r="R6195">
        <v>8.3453979999999997E-2</v>
      </c>
      <c r="S6195">
        <v>3.230286</v>
      </c>
      <c r="T6195">
        <v>-1.1530389999999999</v>
      </c>
      <c r="U6195">
        <v>-8.4625240000000004E-2</v>
      </c>
      <c r="V6195">
        <v>-0.1211378</v>
      </c>
      <c r="W6195">
        <v>0.16513169999999999</v>
      </c>
      <c r="X6195">
        <v>0.97880389999999995</v>
      </c>
      <c r="Y6195">
        <v>-8.8182019999999903E-3</v>
      </c>
      <c r="Z6195">
        <v>1.414326E-2</v>
      </c>
      <c r="AA6195">
        <v>0.99986109999999995</v>
      </c>
      <c r="AB6195">
        <v>32</v>
      </c>
      <c r="AC6195">
        <v>0.72059999999999003</v>
      </c>
      <c r="AD6195">
        <v>-0.3120869</v>
      </c>
      <c r="AE6195">
        <v>-1.8110000000000001E-2</v>
      </c>
      <c r="AF6195">
        <v>-7.65048496985912E-3</v>
      </c>
      <c r="AG6195">
        <v>-0.3120869</v>
      </c>
      <c r="AH6195">
        <v>0.606989367346082</v>
      </c>
      <c r="AI6195">
        <v>117.20835893874001</v>
      </c>
      <c r="AJ6195">
        <v>90.722116916931597</v>
      </c>
      <c r="AK6195">
        <v>0.68256344404244296</v>
      </c>
      <c r="AL6195">
        <v>80.495114342091497</v>
      </c>
      <c r="AM6195">
        <v>97.055111311401006</v>
      </c>
      <c r="AN6195">
        <v>0.99999995979446898</v>
      </c>
    </row>
    <row r="6196" spans="1:40" x14ac:dyDescent="0.25">
      <c r="A6196" t="str">
        <f>"20190303162423146"</f>
        <v>20190303162423146</v>
      </c>
      <c r="B6196" t="str">
        <f>"1551601463141075"</f>
        <v>1551601463141075</v>
      </c>
      <c r="C6196" t="s">
        <v>40</v>
      </c>
      <c r="D6196">
        <v>5.3588769999999997</v>
      </c>
      <c r="E6196">
        <v>0.53679619999999995</v>
      </c>
      <c r="F6196" t="s">
        <v>42</v>
      </c>
      <c r="G6196">
        <v>-216.751</v>
      </c>
      <c r="H6196">
        <v>0.85748349999999995</v>
      </c>
      <c r="I6196">
        <v>-62.050980000000003</v>
      </c>
      <c r="J6196">
        <v>-217.3295</v>
      </c>
      <c r="K6196">
        <v>1.122536</v>
      </c>
      <c r="L6196">
        <v>-62.037320000000001</v>
      </c>
      <c r="M6196">
        <v>0.99924310000000005</v>
      </c>
      <c r="N6196">
        <v>-1.362448E-2</v>
      </c>
      <c r="O6196">
        <v>-3.6437219999999999E-2</v>
      </c>
      <c r="P6196">
        <v>0.98464490000000005</v>
      </c>
      <c r="Q6196">
        <v>0.15335570000000001</v>
      </c>
      <c r="R6196">
        <v>8.3406519999999998E-2</v>
      </c>
      <c r="S6196">
        <v>3.231827</v>
      </c>
      <c r="T6196">
        <v>-1.1562079999999999</v>
      </c>
      <c r="U6196">
        <v>-8.0841060000000006E-2</v>
      </c>
      <c r="V6196">
        <v>-0.1199104</v>
      </c>
      <c r="W6196">
        <v>0.16621929999999999</v>
      </c>
      <c r="X6196">
        <v>0.97877099999999995</v>
      </c>
      <c r="Y6196">
        <v>-8.7828950000000006E-3</v>
      </c>
      <c r="Z6196">
        <v>1.3741049999999999E-2</v>
      </c>
      <c r="AA6196">
        <v>0.99986699999999995</v>
      </c>
      <c r="AB6196">
        <v>32</v>
      </c>
      <c r="AC6196">
        <v>0.578500000000019</v>
      </c>
      <c r="AD6196">
        <v>-0.26505250000000002</v>
      </c>
      <c r="AE6196">
        <v>-1.3660000000008599E-2</v>
      </c>
      <c r="AF6196">
        <v>-6.1414549091072202E-3</v>
      </c>
      <c r="AG6196">
        <v>-0.26505250000000002</v>
      </c>
      <c r="AH6196">
        <v>0.478270252411435</v>
      </c>
      <c r="AI6196">
        <v>118.992770925023</v>
      </c>
      <c r="AJ6196">
        <v>90.735693064679893</v>
      </c>
      <c r="AK6196">
        <v>0.54683908013815896</v>
      </c>
      <c r="AL6196">
        <v>80.431926740601497</v>
      </c>
      <c r="AM6196">
        <v>96.984569123171795</v>
      </c>
      <c r="AN6196">
        <v>1.0000000150808199</v>
      </c>
    </row>
    <row r="6197" spans="1:40" x14ac:dyDescent="0.25">
      <c r="A6197" t="str">
        <f>"20190303162423158"</f>
        <v>20190303162423158</v>
      </c>
      <c r="B6197" t="str">
        <f>"1551601463150834"</f>
        <v>1551601463150834</v>
      </c>
      <c r="C6197" t="s">
        <v>40</v>
      </c>
      <c r="D6197">
        <v>5.3400339999999904</v>
      </c>
      <c r="E6197">
        <v>0.53678040000000005</v>
      </c>
      <c r="F6197" t="s">
        <v>42</v>
      </c>
      <c r="G6197">
        <v>-216.48009999999999</v>
      </c>
      <c r="H6197">
        <v>0.81919980000000003</v>
      </c>
      <c r="I6197">
        <v>-62.05829</v>
      </c>
      <c r="J6197">
        <v>-217.16249999999999</v>
      </c>
      <c r="K6197">
        <v>1.1227370000000001</v>
      </c>
      <c r="L6197">
        <v>-62.042180000000002</v>
      </c>
      <c r="M6197">
        <v>0.99929429999999997</v>
      </c>
      <c r="N6197">
        <v>-1.3639510000000001E-2</v>
      </c>
      <c r="O6197">
        <v>-3.5003960000000001E-2</v>
      </c>
      <c r="P6197">
        <v>0.98453259999999998</v>
      </c>
      <c r="Q6197">
        <v>0.15412999999999999</v>
      </c>
      <c r="R6197">
        <v>8.3306630000000007E-2</v>
      </c>
      <c r="S6197">
        <v>3.2333829999999999</v>
      </c>
      <c r="T6197">
        <v>-1.1546909999999999</v>
      </c>
      <c r="U6197">
        <v>-7.9620360000000001E-2</v>
      </c>
      <c r="V6197">
        <v>-0.11848110000000001</v>
      </c>
      <c r="W6197">
        <v>0.16695940000000001</v>
      </c>
      <c r="X6197">
        <v>0.97881910000000005</v>
      </c>
      <c r="Y6197">
        <v>-7.8870219999999901E-3</v>
      </c>
      <c r="Z6197">
        <v>1.307818E-2</v>
      </c>
      <c r="AA6197">
        <v>0.99988339999999998</v>
      </c>
      <c r="AB6197">
        <v>32</v>
      </c>
      <c r="AC6197">
        <v>0.68240000000000101</v>
      </c>
      <c r="AD6197">
        <v>-0.30353720000000001</v>
      </c>
      <c r="AE6197">
        <v>-1.6109999999997598E-2</v>
      </c>
      <c r="AF6197">
        <v>-6.50288586542836E-3</v>
      </c>
      <c r="AG6197">
        <v>-0.30353720000000001</v>
      </c>
      <c r="AH6197">
        <v>0.56985930332437995</v>
      </c>
      <c r="AI6197">
        <v>118.04057737344699</v>
      </c>
      <c r="AJ6197">
        <v>90.653796017826593</v>
      </c>
      <c r="AK6197">
        <v>0.645690905072827</v>
      </c>
      <c r="AL6197">
        <v>80.388921251261294</v>
      </c>
      <c r="AM6197">
        <v>96.901786894347595</v>
      </c>
      <c r="AN6197">
        <v>1.0000000214151801</v>
      </c>
    </row>
    <row r="6198" spans="1:40" x14ac:dyDescent="0.25">
      <c r="A6198" t="str">
        <f>"20190303162423180"</f>
        <v>20190303162423180</v>
      </c>
      <c r="B6198" t="str">
        <f>"1551601463171330"</f>
        <v>1551601463171330</v>
      </c>
      <c r="C6198" t="s">
        <v>40</v>
      </c>
      <c r="D6198">
        <v>5.291785</v>
      </c>
      <c r="E6198">
        <v>0.53690179999999998</v>
      </c>
      <c r="F6198" t="s">
        <v>42</v>
      </c>
      <c r="G6198">
        <v>-216.4581</v>
      </c>
      <c r="H6198">
        <v>0.87175020000000003</v>
      </c>
      <c r="I6198">
        <v>-62.05941</v>
      </c>
      <c r="J6198">
        <v>-216.8605</v>
      </c>
      <c r="K6198">
        <v>1.123073</v>
      </c>
      <c r="L6198">
        <v>-62.050049999999999</v>
      </c>
      <c r="M6198">
        <v>0.99938990000000005</v>
      </c>
      <c r="N6198">
        <v>-1.36647E-2</v>
      </c>
      <c r="O6198">
        <v>-3.2146889999999997E-2</v>
      </c>
      <c r="P6198">
        <v>0.98435779999999995</v>
      </c>
      <c r="Q6198">
        <v>0.15506500000000001</v>
      </c>
      <c r="R6198">
        <v>8.3635290000000001E-2</v>
      </c>
      <c r="S6198">
        <v>3.2342379999999999</v>
      </c>
      <c r="T6198">
        <v>-1.1525000000000001</v>
      </c>
      <c r="U6198">
        <v>-7.8887940000000004E-2</v>
      </c>
      <c r="V6198">
        <v>-0.1161374</v>
      </c>
      <c r="W6198">
        <v>0.1678394</v>
      </c>
      <c r="X6198">
        <v>0.97894939999999997</v>
      </c>
      <c r="Y6198">
        <v>-5.5821009999999999E-3</v>
      </c>
      <c r="Z6198">
        <v>1.168638E-2</v>
      </c>
      <c r="AA6198">
        <v>0.99991609999999997</v>
      </c>
      <c r="AB6198">
        <v>32</v>
      </c>
      <c r="AC6198">
        <v>0.40239999999999998</v>
      </c>
      <c r="AD6198">
        <v>-0.25132280000000001</v>
      </c>
      <c r="AE6198">
        <v>-9.3600000000009197E-3</v>
      </c>
      <c r="AF6198">
        <v>-2.5771970642766199E-3</v>
      </c>
      <c r="AG6198">
        <v>-0.25132280000000001</v>
      </c>
      <c r="AH6198">
        <v>0.28959161497529001</v>
      </c>
      <c r="AI6198">
        <v>130.95203663458599</v>
      </c>
      <c r="AJ6198">
        <v>90.509885677045503</v>
      </c>
      <c r="AK6198">
        <v>0.383448947330078</v>
      </c>
      <c r="AL6198">
        <v>80.337778551976001</v>
      </c>
      <c r="AM6198">
        <v>96.765647361919605</v>
      </c>
      <c r="AN6198">
        <v>0.99999994381573798</v>
      </c>
    </row>
    <row r="6199" spans="1:40" x14ac:dyDescent="0.25">
      <c r="A6199" t="str">
        <f>"20190303162423193"</f>
        <v>20190303162423193</v>
      </c>
      <c r="B6199" t="str">
        <f>"1551601463181091"</f>
        <v>1551601463181091</v>
      </c>
      <c r="C6199" t="s">
        <v>40</v>
      </c>
      <c r="D6199">
        <v>5.2884659999999997</v>
      </c>
      <c r="E6199">
        <v>0.53696949999999999</v>
      </c>
      <c r="F6199" t="s">
        <v>42</v>
      </c>
      <c r="G6199">
        <v>-216.16900000000001</v>
      </c>
      <c r="H6199">
        <v>0.87778140000000004</v>
      </c>
      <c r="I6199">
        <v>-62.066619999999901</v>
      </c>
      <c r="J6199">
        <v>-216.67359999999999</v>
      </c>
      <c r="K6199">
        <v>1.123262</v>
      </c>
      <c r="L6199">
        <v>-62.054200000000002</v>
      </c>
      <c r="M6199">
        <v>0.99945059999999997</v>
      </c>
      <c r="N6199">
        <v>-1.367933E-2</v>
      </c>
      <c r="O6199">
        <v>-3.0192210000000001E-2</v>
      </c>
      <c r="P6199">
        <v>0.98429029999999995</v>
      </c>
      <c r="Q6199">
        <v>0.15499260000000001</v>
      </c>
      <c r="R6199">
        <v>8.4557729999999998E-2</v>
      </c>
      <c r="S6199">
        <v>3.235001</v>
      </c>
      <c r="T6199">
        <v>-1.1474580000000001</v>
      </c>
      <c r="U6199">
        <v>-7.7301030000000007E-2</v>
      </c>
      <c r="V6199">
        <v>-0.1152152</v>
      </c>
      <c r="W6199">
        <v>0.16773550000000001</v>
      </c>
      <c r="X6199">
        <v>0.97907619999999895</v>
      </c>
      <c r="Y6199">
        <v>-4.3320310000000001E-3</v>
      </c>
      <c r="Z6199">
        <v>1.076323E-2</v>
      </c>
      <c r="AA6199">
        <v>0.99993270000000001</v>
      </c>
      <c r="AB6199">
        <v>32</v>
      </c>
      <c r="AC6199">
        <v>0.50459999999998195</v>
      </c>
      <c r="AD6199">
        <v>-0.24548059999999899</v>
      </c>
      <c r="AE6199">
        <v>-1.2419999999991599E-2</v>
      </c>
      <c r="AF6199">
        <v>-2.2822642178450098E-3</v>
      </c>
      <c r="AG6199">
        <v>-0.24548059999999899</v>
      </c>
      <c r="AH6199">
        <v>0.40819634583658698</v>
      </c>
      <c r="AI6199">
        <v>121.02141054716201</v>
      </c>
      <c r="AJ6199">
        <v>90.320342762004003</v>
      </c>
      <c r="AK6199">
        <v>0.47632991766281302</v>
      </c>
      <c r="AL6199">
        <v>80.343817475379893</v>
      </c>
      <c r="AM6199">
        <v>96.7115548602319</v>
      </c>
      <c r="AN6199">
        <v>0.99999997283886399</v>
      </c>
    </row>
    <row r="6200" spans="1:40" x14ac:dyDescent="0.25">
      <c r="A6200" t="str">
        <f>"20190303162423203"</f>
        <v>20190303162423203</v>
      </c>
      <c r="B6200" t="str">
        <f>"1551601463191310"</f>
        <v>1551601463191310</v>
      </c>
      <c r="C6200" t="s">
        <v>40</v>
      </c>
      <c r="D6200">
        <v>5.2973650000000001</v>
      </c>
      <c r="E6200">
        <v>0.53689399999999998</v>
      </c>
      <c r="F6200" t="s">
        <v>42</v>
      </c>
      <c r="G6200">
        <v>-215.8954</v>
      </c>
      <c r="H6200">
        <v>0.84742050000000002</v>
      </c>
      <c r="I6200">
        <v>-62.072110000000002</v>
      </c>
      <c r="J6200">
        <v>-216.5247</v>
      </c>
      <c r="K6200">
        <v>1.123407</v>
      </c>
      <c r="L6200">
        <v>-62.057400000000001</v>
      </c>
      <c r="M6200">
        <v>0.99949739999999998</v>
      </c>
      <c r="N6200">
        <v>-1.369039E-2</v>
      </c>
      <c r="O6200">
        <v>-2.859691E-2</v>
      </c>
      <c r="P6200">
        <v>0.98420929999999995</v>
      </c>
      <c r="Q6200">
        <v>0.15477779999999899</v>
      </c>
      <c r="R6200">
        <v>8.5883849999999998E-2</v>
      </c>
      <c r="S6200">
        <v>3.2347869999999999</v>
      </c>
      <c r="T6200">
        <v>-1.1468929999999999</v>
      </c>
      <c r="U6200">
        <v>-7.3669429999999994E-2</v>
      </c>
      <c r="V6200">
        <v>-0.1150299</v>
      </c>
      <c r="W6200">
        <v>0.16749339999999999</v>
      </c>
      <c r="X6200">
        <v>0.97913939999999999</v>
      </c>
      <c r="Y6200">
        <v>-3.9707609999999997E-3</v>
      </c>
      <c r="Z6200">
        <v>1.016661E-2</v>
      </c>
      <c r="AA6200">
        <v>0.99994050000000001</v>
      </c>
      <c r="AB6200">
        <v>32</v>
      </c>
      <c r="AC6200">
        <v>0.62929999999999997</v>
      </c>
      <c r="AD6200">
        <v>-0.27598649999999902</v>
      </c>
      <c r="AE6200">
        <v>-1.47099999999937E-2</v>
      </c>
      <c r="AF6200">
        <v>-2.7626672190935102E-3</v>
      </c>
      <c r="AG6200">
        <v>-0.27598649999999902</v>
      </c>
      <c r="AH6200">
        <v>0.52797099504849099</v>
      </c>
      <c r="AI6200">
        <v>117.59711547300201</v>
      </c>
      <c r="AJ6200">
        <v>90.299803831454696</v>
      </c>
      <c r="AK6200">
        <v>0.59575964291390804</v>
      </c>
      <c r="AL6200">
        <v>80.3578875307863</v>
      </c>
      <c r="AM6200">
        <v>96.700430353552306</v>
      </c>
      <c r="AN6200">
        <v>0.99999994078496302</v>
      </c>
    </row>
    <row r="6201" spans="1:40" x14ac:dyDescent="0.25">
      <c r="A6201" t="str">
        <f>"20190303162423214"</f>
        <v>20190303162423214</v>
      </c>
      <c r="B6201" t="str">
        <f>"1551601463200708"</f>
        <v>1551601463200708</v>
      </c>
      <c r="C6201" t="s">
        <v>40</v>
      </c>
      <c r="D6201">
        <v>5.2612040000000002</v>
      </c>
      <c r="E6201">
        <v>0.53691299999999997</v>
      </c>
      <c r="F6201" t="s">
        <v>42</v>
      </c>
      <c r="G6201">
        <v>-215.62729999999999</v>
      </c>
      <c r="H6201">
        <v>0.80439329999999998</v>
      </c>
      <c r="I6201">
        <v>-62.07649</v>
      </c>
      <c r="J6201">
        <v>-216.3698</v>
      </c>
      <c r="K6201">
        <v>1.1235470000000001</v>
      </c>
      <c r="L6201">
        <v>-62.060119999999998</v>
      </c>
      <c r="M6201">
        <v>0.99954690000000002</v>
      </c>
      <c r="N6201">
        <v>-1.3701700000000001E-2</v>
      </c>
      <c r="O6201">
        <v>-2.6803E-2</v>
      </c>
      <c r="P6201">
        <v>0.98403719999999995</v>
      </c>
      <c r="Q6201">
        <v>0.15474779999999999</v>
      </c>
      <c r="R6201">
        <v>8.7887610000000005E-2</v>
      </c>
      <c r="S6201">
        <v>3.2349700000000001</v>
      </c>
      <c r="T6201">
        <v>-1.150129</v>
      </c>
      <c r="U6201">
        <v>-6.8206790000000003E-2</v>
      </c>
      <c r="V6201">
        <v>-0.11532389999999999</v>
      </c>
      <c r="W6201">
        <v>0.16743369999999999</v>
      </c>
      <c r="X6201">
        <v>0.97911510000000002</v>
      </c>
      <c r="Y6201">
        <v>-3.9570990000000004E-3</v>
      </c>
      <c r="Z6201">
        <v>9.5969690000000003E-3</v>
      </c>
      <c r="AA6201">
        <v>0.99994609999999995</v>
      </c>
      <c r="AB6201">
        <v>32</v>
      </c>
      <c r="AC6201">
        <v>0.74250000000000604</v>
      </c>
      <c r="AD6201">
        <v>-0.31915369999999899</v>
      </c>
      <c r="AE6201">
        <v>-1.63700000000019E-2</v>
      </c>
      <c r="AF6201">
        <v>-2.98731072992045E-3</v>
      </c>
      <c r="AG6201">
        <v>-0.31915369999999899</v>
      </c>
      <c r="AH6201">
        <v>0.62690213119830995</v>
      </c>
      <c r="AI6201">
        <v>116.980223507389</v>
      </c>
      <c r="AJ6201">
        <v>90.273023479904495</v>
      </c>
      <c r="AK6201">
        <v>0.70347302034269299</v>
      </c>
      <c r="AL6201">
        <v>80.361357782273899</v>
      </c>
      <c r="AM6201">
        <v>96.717564585624601</v>
      </c>
      <c r="AN6201">
        <v>1.00000001242745</v>
      </c>
    </row>
    <row r="6202" spans="1:40" x14ac:dyDescent="0.25">
      <c r="A6202" t="str">
        <f>"20190303162423226"</f>
        <v>20190303162423226</v>
      </c>
      <c r="B6202" t="str">
        <f>"1551601463221394"</f>
        <v>1551601463221394</v>
      </c>
      <c r="C6202" t="s">
        <v>40</v>
      </c>
      <c r="D6202">
        <v>5.2303480000000002</v>
      </c>
      <c r="E6202">
        <v>0.53702369999999899</v>
      </c>
      <c r="F6202" t="s">
        <v>42</v>
      </c>
      <c r="G6202">
        <v>-215.6071</v>
      </c>
      <c r="H6202">
        <v>0.85243539999999995</v>
      </c>
      <c r="I6202">
        <v>-62.0747199999999</v>
      </c>
      <c r="J6202">
        <v>-216.19829999999999</v>
      </c>
      <c r="K6202">
        <v>1.123694</v>
      </c>
      <c r="L6202">
        <v>-62.062930000000001</v>
      </c>
      <c r="M6202">
        <v>0.99959880000000001</v>
      </c>
      <c r="N6202">
        <v>-1.3713639999999999E-2</v>
      </c>
      <c r="O6202">
        <v>-2.478031E-2</v>
      </c>
      <c r="P6202">
        <v>0.98384539999999998</v>
      </c>
      <c r="Q6202">
        <v>0.15474640000000001</v>
      </c>
      <c r="R6202">
        <v>9.001017E-2</v>
      </c>
      <c r="S6202">
        <v>3.2350159999999999</v>
      </c>
      <c r="T6202">
        <v>-1.150231</v>
      </c>
      <c r="U6202">
        <v>-6.1248780000000003E-2</v>
      </c>
      <c r="V6202">
        <v>-0.1155159</v>
      </c>
      <c r="W6202">
        <v>0.16740079999999999</v>
      </c>
      <c r="X6202">
        <v>0.97909809999999997</v>
      </c>
      <c r="Y6202">
        <v>-4.1835609999999997E-3</v>
      </c>
      <c r="Z6202">
        <v>8.9677880000000008E-3</v>
      </c>
      <c r="AA6202">
        <v>0.99995109999999998</v>
      </c>
      <c r="AB6202">
        <v>32</v>
      </c>
      <c r="AC6202">
        <v>0.59119999999998596</v>
      </c>
      <c r="AD6202">
        <v>-0.27125859999999902</v>
      </c>
      <c r="AE6202">
        <v>-1.17899999999906E-2</v>
      </c>
      <c r="AF6202">
        <v>-2.3670088677488601E-3</v>
      </c>
      <c r="AG6202">
        <v>-0.27125859999999902</v>
      </c>
      <c r="AH6202">
        <v>0.48850936049135402</v>
      </c>
      <c r="AI6202">
        <v>119.04217400936</v>
      </c>
      <c r="AJ6202">
        <v>90.277617109995205</v>
      </c>
      <c r="AK6202">
        <v>0.55877385952871095</v>
      </c>
      <c r="AL6202">
        <v>80.363269875052595</v>
      </c>
      <c r="AM6202">
        <v>96.728761794716405</v>
      </c>
      <c r="AN6202">
        <v>1.00000002020852</v>
      </c>
    </row>
    <row r="6203" spans="1:40" x14ac:dyDescent="0.25">
      <c r="A6203" t="str">
        <f>"20190303162423238"</f>
        <v>20190303162423238</v>
      </c>
      <c r="B6203" t="str">
        <f>"1551601463231237"</f>
        <v>1551601463231237</v>
      </c>
      <c r="C6203" t="s">
        <v>40</v>
      </c>
      <c r="D6203">
        <v>5.242864</v>
      </c>
      <c r="E6203">
        <v>0.53698859999999904</v>
      </c>
      <c r="F6203" t="s">
        <v>42</v>
      </c>
      <c r="G6203">
        <v>-215.33600000000001</v>
      </c>
      <c r="H6203">
        <v>0.8175422</v>
      </c>
      <c r="I6203">
        <v>-62.077559999999998</v>
      </c>
      <c r="J6203">
        <v>-216.0224</v>
      </c>
      <c r="K6203">
        <v>1.1238360000000001</v>
      </c>
      <c r="L6203">
        <v>-62.065280000000001</v>
      </c>
      <c r="M6203">
        <v>0.99965020000000004</v>
      </c>
      <c r="N6203">
        <v>-1.372546E-2</v>
      </c>
      <c r="O6203">
        <v>-2.261088E-2</v>
      </c>
      <c r="P6203">
        <v>0.98365060000000004</v>
      </c>
      <c r="Q6203">
        <v>0.1542414</v>
      </c>
      <c r="R6203">
        <v>9.2958680000000002E-2</v>
      </c>
      <c r="S6203">
        <v>3.2349399999999999</v>
      </c>
      <c r="T6203">
        <v>-1.1486940000000001</v>
      </c>
      <c r="U6203">
        <v>-5.4656980000000001E-2</v>
      </c>
      <c r="V6203">
        <v>-0.1163839</v>
      </c>
      <c r="W6203">
        <v>0.16686110000000001</v>
      </c>
      <c r="X6203">
        <v>0.97908740000000005</v>
      </c>
      <c r="Y6203">
        <v>-4.1771739999999996E-3</v>
      </c>
      <c r="Z6203">
        <v>8.2368340000000002E-3</v>
      </c>
      <c r="AA6203">
        <v>0.99995730000000005</v>
      </c>
      <c r="AB6203">
        <v>32</v>
      </c>
      <c r="AC6203">
        <v>0.68640000000001999</v>
      </c>
      <c r="AD6203">
        <v>-0.3062938</v>
      </c>
      <c r="AE6203">
        <v>-1.2279999999996899E-2</v>
      </c>
      <c r="AF6203">
        <v>-2.7060450246922099E-3</v>
      </c>
      <c r="AG6203">
        <v>-0.3062938</v>
      </c>
      <c r="AH6203">
        <v>0.57253387178009496</v>
      </c>
      <c r="AI6203">
        <v>118.145595264568</v>
      </c>
      <c r="AJ6203">
        <v>90.270802850657105</v>
      </c>
      <c r="AK6203">
        <v>0.64932137569436499</v>
      </c>
      <c r="AL6203">
        <v>80.394633232565894</v>
      </c>
      <c r="AM6203">
        <v>96.778927106404794</v>
      </c>
      <c r="AN6203">
        <v>0.99999998785558997</v>
      </c>
    </row>
    <row r="6204" spans="1:40" x14ac:dyDescent="0.25">
      <c r="A6204" t="str">
        <f>"20190303162423260"</f>
        <v>20190303162423260</v>
      </c>
      <c r="B6204" t="str">
        <f>"1551601463250756"</f>
        <v>1551601463250756</v>
      </c>
      <c r="C6204" t="s">
        <v>40</v>
      </c>
      <c r="D6204">
        <v>5.398002</v>
      </c>
      <c r="E6204">
        <v>0.53693990000000003</v>
      </c>
      <c r="F6204" t="s">
        <v>42</v>
      </c>
      <c r="G6204">
        <v>-215.3134</v>
      </c>
      <c r="H6204">
        <v>0.87150239999999901</v>
      </c>
      <c r="I6204">
        <v>-62.075130000000001</v>
      </c>
      <c r="J6204">
        <v>-215.72069999999999</v>
      </c>
      <c r="K6204">
        <v>1.124045</v>
      </c>
      <c r="L6204">
        <v>-62.068330000000003</v>
      </c>
      <c r="M6204">
        <v>0.99973009999999995</v>
      </c>
      <c r="N6204">
        <v>-1.37441E-2</v>
      </c>
      <c r="O6204">
        <v>-1.8731649999999999E-2</v>
      </c>
      <c r="P6204">
        <v>0.98298600000000003</v>
      </c>
      <c r="Q6204">
        <v>0.15357779999999999</v>
      </c>
      <c r="R6204">
        <v>0.1007593</v>
      </c>
      <c r="S6204">
        <v>3.2346189999999999</v>
      </c>
      <c r="T6204">
        <v>-1.1513279999999999</v>
      </c>
      <c r="U6204">
        <v>-4.4647220000000001E-2</v>
      </c>
      <c r="V6204">
        <v>-0.1204469</v>
      </c>
      <c r="W6204">
        <v>0.16611779999999901</v>
      </c>
      <c r="X6204">
        <v>0.97872230000000005</v>
      </c>
      <c r="Y6204">
        <v>-3.6362690000000001E-3</v>
      </c>
      <c r="Z6204">
        <v>6.8712850000000004E-3</v>
      </c>
      <c r="AA6204">
        <v>0.99996980000000002</v>
      </c>
      <c r="AB6204">
        <v>32</v>
      </c>
      <c r="AC6204">
        <v>0.407299999999992</v>
      </c>
      <c r="AD6204">
        <v>-0.25254260000000001</v>
      </c>
      <c r="AE6204">
        <v>-6.7999999999983603E-3</v>
      </c>
      <c r="AF6204">
        <v>-6.0051202658351196E-4</v>
      </c>
      <c r="AG6204">
        <v>-0.25254260000000001</v>
      </c>
      <c r="AH6204">
        <v>0.29425929209593599</v>
      </c>
      <c r="AI6204">
        <v>130.63717420309101</v>
      </c>
      <c r="AJ6204">
        <v>90.116926662402193</v>
      </c>
      <c r="AK6204">
        <v>0.38777139710692399</v>
      </c>
      <c r="AL6204">
        <v>80.437823720080004</v>
      </c>
      <c r="AM6204">
        <v>97.015854178143599</v>
      </c>
      <c r="AN6204">
        <v>0.99999995985686896</v>
      </c>
    </row>
    <row r="6205" spans="1:40" x14ac:dyDescent="0.25">
      <c r="A6205" t="str">
        <f>"20190303162423282"</f>
        <v>20190303162423282</v>
      </c>
      <c r="B6205" t="str">
        <f>"1551601463271252"</f>
        <v>1551601463271252</v>
      </c>
      <c r="C6205" t="s">
        <v>40</v>
      </c>
      <c r="D6205">
        <v>5.7661899999999999</v>
      </c>
      <c r="E6205">
        <v>0.53693990000000003</v>
      </c>
      <c r="F6205" t="s">
        <v>42</v>
      </c>
      <c r="G6205">
        <v>-215.0258</v>
      </c>
      <c r="H6205">
        <v>0.87601849999999903</v>
      </c>
      <c r="I6205">
        <v>-62.072220000000002</v>
      </c>
      <c r="J6205">
        <v>-215.3914</v>
      </c>
      <c r="K6205">
        <v>1.1242449999999999</v>
      </c>
      <c r="L6205">
        <v>-62.070099999999996</v>
      </c>
      <c r="M6205">
        <v>0.9998032</v>
      </c>
      <c r="N6205">
        <v>-1.376226E-2</v>
      </c>
      <c r="O6205">
        <v>-1.4288999999999901E-2</v>
      </c>
      <c r="P6205">
        <v>0.98186850000000003</v>
      </c>
      <c r="Q6205">
        <v>0.15209810000000001</v>
      </c>
      <c r="R6205">
        <v>0.1131397</v>
      </c>
      <c r="S6205">
        <v>3.2341000000000002</v>
      </c>
      <c r="T6205">
        <v>-1.154299</v>
      </c>
      <c r="U6205">
        <v>-1.791382E-2</v>
      </c>
      <c r="V6205">
        <v>-0.12852339999999901</v>
      </c>
      <c r="W6205">
        <v>0.16451650000000001</v>
      </c>
      <c r="X6205">
        <v>0.97796519999999998</v>
      </c>
      <c r="Y6205">
        <v>-7.4562450000000002E-3</v>
      </c>
      <c r="Z6205">
        <v>6.0995709999999998E-3</v>
      </c>
      <c r="AA6205">
        <v>0.9999536</v>
      </c>
      <c r="AB6205">
        <v>32</v>
      </c>
      <c r="AC6205">
        <v>0.36559999999999998</v>
      </c>
      <c r="AD6205">
        <v>-0.24822649999999999</v>
      </c>
      <c r="AE6205">
        <v>-2.1199999999979E-3</v>
      </c>
      <c r="AF6205">
        <v>-2.1251478058888001E-3</v>
      </c>
      <c r="AG6205">
        <v>-0.24822649999999999</v>
      </c>
      <c r="AH6205">
        <v>0.25024049333689802</v>
      </c>
      <c r="AI6205">
        <v>134.767471862919</v>
      </c>
      <c r="AJ6205">
        <v>90.486568226483499</v>
      </c>
      <c r="AK6205">
        <v>0.35247867461867899</v>
      </c>
      <c r="AL6205">
        <v>80.530851274919002</v>
      </c>
      <c r="AM6205">
        <v>97.486860128015707</v>
      </c>
      <c r="AN6205">
        <v>0.99999993776542295</v>
      </c>
    </row>
    <row r="6206" spans="1:40" x14ac:dyDescent="0.25">
      <c r="A6206" t="str">
        <f>"20190303162423291"</f>
        <v>20190303162423291</v>
      </c>
      <c r="B6206" t="str">
        <f>"1551601463281013"</f>
        <v>1551601463281013</v>
      </c>
      <c r="C6206" t="s">
        <v>40</v>
      </c>
      <c r="D6206">
        <v>5.1364619999999999</v>
      </c>
      <c r="E6206">
        <v>0.50822780000000001</v>
      </c>
      <c r="F6206" t="s">
        <v>42</v>
      </c>
      <c r="G6206">
        <v>-214.73500000000001</v>
      </c>
      <c r="H6206">
        <v>0.88880230000000005</v>
      </c>
      <c r="I6206">
        <v>-62.065339999999999</v>
      </c>
      <c r="J6206">
        <v>-215.26079999999999</v>
      </c>
      <c r="K6206">
        <v>1.124315</v>
      </c>
      <c r="L6206">
        <v>-62.070160000000001</v>
      </c>
      <c r="M6206">
        <v>0.99982769999999999</v>
      </c>
      <c r="N6206">
        <v>-1.376695E-2</v>
      </c>
      <c r="O6206">
        <v>-1.2451459999999999E-2</v>
      </c>
      <c r="P6206">
        <v>0.98130839999999997</v>
      </c>
      <c r="Q6206">
        <v>0.1508902</v>
      </c>
      <c r="R6206">
        <v>0.11944059999999999</v>
      </c>
      <c r="S6206">
        <v>3.2322850000000001</v>
      </c>
      <c r="T6206">
        <v>-1.1592929999999999</v>
      </c>
      <c r="U6206">
        <v>2.34375E-2</v>
      </c>
      <c r="V6206">
        <v>-0.13303470000000001</v>
      </c>
      <c r="W6206">
        <v>0.16324640000000001</v>
      </c>
      <c r="X6206">
        <v>0.97757479999999997</v>
      </c>
      <c r="Y6206">
        <v>-1.7827229999999999E-2</v>
      </c>
      <c r="Z6206">
        <v>7.3910740000000001E-3</v>
      </c>
      <c r="AA6206">
        <v>0.99981370000000003</v>
      </c>
      <c r="AB6206">
        <v>32</v>
      </c>
      <c r="AC6206">
        <v>0.52579999999997495</v>
      </c>
      <c r="AD6206">
        <v>-0.23551269999999899</v>
      </c>
      <c r="AE6206">
        <v>4.8199999999951598E-3</v>
      </c>
      <c r="AF6206">
        <v>-9.4678799389053998E-3</v>
      </c>
      <c r="AG6206">
        <v>-0.23551269999999899</v>
      </c>
      <c r="AH6206">
        <v>0.43786036039751403</v>
      </c>
      <c r="AI6206">
        <v>118.26896436029401</v>
      </c>
      <c r="AJ6206">
        <v>91.238716926950204</v>
      </c>
      <c r="AK6206">
        <v>0.49727011555015899</v>
      </c>
      <c r="AL6206">
        <v>80.604621107308105</v>
      </c>
      <c r="AM6206">
        <v>97.749574671955799</v>
      </c>
      <c r="AN6206">
        <v>1.0000000540560401</v>
      </c>
    </row>
    <row r="6207" spans="1:40" x14ac:dyDescent="0.25">
      <c r="A6207" t="str">
        <f>"20190303162423303"</f>
        <v>20190303162423303</v>
      </c>
      <c r="B6207" t="str">
        <f>"1551601463290773"</f>
        <v>1551601463290773</v>
      </c>
      <c r="C6207" t="s">
        <v>40</v>
      </c>
      <c r="D6207">
        <v>5.2326519999999999</v>
      </c>
      <c r="E6207">
        <v>0.50822780000000001</v>
      </c>
      <c r="F6207" t="s">
        <v>42</v>
      </c>
      <c r="G6207">
        <v>-214.4289</v>
      </c>
      <c r="H6207">
        <v>0.92991659999999998</v>
      </c>
      <c r="I6207">
        <v>-61.9970199999999</v>
      </c>
      <c r="J6207">
        <v>-215.08930000000001</v>
      </c>
      <c r="K6207">
        <v>1.1244069999999999</v>
      </c>
      <c r="L6207">
        <v>-62.070129999999999</v>
      </c>
      <c r="M6207">
        <v>0.99985489999999999</v>
      </c>
      <c r="N6207">
        <v>-1.377245E-2</v>
      </c>
      <c r="O6207">
        <v>-1.00304E-2</v>
      </c>
      <c r="P6207">
        <v>0.98057499999999997</v>
      </c>
      <c r="Q6207">
        <v>0.149448</v>
      </c>
      <c r="R6207">
        <v>0.12703529999999999</v>
      </c>
      <c r="S6207">
        <v>3.136215</v>
      </c>
      <c r="T6207">
        <v>-0.73306289999999996</v>
      </c>
      <c r="U6207">
        <v>0.2766113</v>
      </c>
      <c r="V6207">
        <v>-0.138273799999999</v>
      </c>
      <c r="W6207">
        <v>0.16172719999999999</v>
      </c>
      <c r="X6207">
        <v>0.97710010000000003</v>
      </c>
      <c r="Y6207">
        <v>-9.4914460000000006E-2</v>
      </c>
      <c r="Z6207">
        <v>1.376198E-2</v>
      </c>
      <c r="AA6207">
        <v>0.99539029999999995</v>
      </c>
      <c r="AB6207">
        <v>32</v>
      </c>
      <c r="AC6207">
        <v>0.66040000000000898</v>
      </c>
      <c r="AD6207">
        <v>-0.19449040000000001</v>
      </c>
      <c r="AE6207">
        <v>7.3110000000013997E-2</v>
      </c>
      <c r="AF6207">
        <v>-7.3438623150198806E-2</v>
      </c>
      <c r="AG6207">
        <v>-0.19449040000000001</v>
      </c>
      <c r="AH6207">
        <v>0.60757486623925905</v>
      </c>
      <c r="AI6207">
        <v>107.630062908947</v>
      </c>
      <c r="AJ6207">
        <v>96.892005565118296</v>
      </c>
      <c r="AK6207">
        <v>0.64215805308974305</v>
      </c>
      <c r="AL6207">
        <v>80.692836382290807</v>
      </c>
      <c r="AM6207">
        <v>98.054697164960601</v>
      </c>
      <c r="AN6207">
        <v>0.99999996820314396</v>
      </c>
    </row>
    <row r="6208" spans="1:40" x14ac:dyDescent="0.25">
      <c r="A6208" t="str">
        <f>"20190303162423314"</f>
        <v>20190303162423314</v>
      </c>
      <c r="B6208" t="str">
        <f>"1551601463311776"</f>
        <v>1551601463311776</v>
      </c>
      <c r="C6208" t="s">
        <v>40</v>
      </c>
      <c r="D6208">
        <v>5.2574730000000001</v>
      </c>
      <c r="E6208">
        <v>0.43060490000000001</v>
      </c>
      <c r="F6208" t="s">
        <v>42</v>
      </c>
      <c r="G6208">
        <v>-214.15479999999999</v>
      </c>
      <c r="H6208">
        <v>0.90444469999999999</v>
      </c>
      <c r="I6208">
        <v>-61.980939999999997</v>
      </c>
      <c r="J6208">
        <v>-214.93190000000001</v>
      </c>
      <c r="K6208">
        <v>1.1244749999999999</v>
      </c>
      <c r="L6208">
        <v>-62.069490000000002</v>
      </c>
      <c r="M6208">
        <v>0.99987510000000002</v>
      </c>
      <c r="N6208">
        <v>-1.377548E-2</v>
      </c>
      <c r="O6208">
        <v>-7.7497709999999999E-3</v>
      </c>
      <c r="P6208">
        <v>0.97987310000000005</v>
      </c>
      <c r="Q6208">
        <v>0.1478537</v>
      </c>
      <c r="R6208">
        <v>0.1341184</v>
      </c>
      <c r="S6208">
        <v>3.133057</v>
      </c>
      <c r="T6208">
        <v>-0.73754790000000003</v>
      </c>
      <c r="U6208">
        <v>0.29931639999999998</v>
      </c>
      <c r="V6208">
        <v>-0.14313329999999999</v>
      </c>
      <c r="W6208">
        <v>0.1600607</v>
      </c>
      <c r="X6208">
        <v>0.97667470000000001</v>
      </c>
      <c r="Y6208">
        <v>-9.9761500000000003E-2</v>
      </c>
      <c r="Z6208">
        <v>1.394804E-2</v>
      </c>
      <c r="AA6208">
        <v>0.99491359999999995</v>
      </c>
      <c r="AB6208">
        <v>32</v>
      </c>
      <c r="AC6208">
        <v>0.777100000000018</v>
      </c>
      <c r="AD6208">
        <v>-0.22003029999999901</v>
      </c>
      <c r="AE6208">
        <v>8.8549999999997894E-2</v>
      </c>
      <c r="AF6208">
        <v>-8.7634655062465802E-2</v>
      </c>
      <c r="AG6208">
        <v>-0.22003029999999901</v>
      </c>
      <c r="AH6208">
        <v>0.71945135370396696</v>
      </c>
      <c r="AI6208">
        <v>106.887597725916</v>
      </c>
      <c r="AJ6208">
        <v>96.944850091671199</v>
      </c>
      <c r="AK6208">
        <v>0.75743211975230995</v>
      </c>
      <c r="AL6208">
        <v>80.789580697957206</v>
      </c>
      <c r="AM6208">
        <v>98.337440923693194</v>
      </c>
      <c r="AN6208">
        <v>1.00000001943673</v>
      </c>
    </row>
    <row r="6209" spans="1:40" x14ac:dyDescent="0.25">
      <c r="A6209" t="str">
        <f>"20190303162423328"</f>
        <v>20190303162423328</v>
      </c>
      <c r="B6209" t="str">
        <f>"1551601463321536"</f>
        <v>1551601463321536</v>
      </c>
      <c r="C6209" t="s">
        <v>40</v>
      </c>
      <c r="D6209">
        <v>5.2301169999999999</v>
      </c>
      <c r="E6209">
        <v>0.41816740000000002</v>
      </c>
      <c r="F6209" t="s">
        <v>56</v>
      </c>
      <c r="G6209">
        <v>-199.10069999999999</v>
      </c>
      <c r="H6209" s="1">
        <v>-8.3640899999999994E-6</v>
      </c>
      <c r="I6209">
        <v>-57.040199999999999</v>
      </c>
      <c r="J6209">
        <v>-214.75210000000001</v>
      </c>
      <c r="K6209">
        <v>1.1245499999999999</v>
      </c>
      <c r="L6209">
        <v>-62.068420000000003</v>
      </c>
      <c r="M6209">
        <v>0.999892</v>
      </c>
      <c r="N6209">
        <v>-1.3778250000000001E-2</v>
      </c>
      <c r="O6209">
        <v>-5.120561E-3</v>
      </c>
      <c r="P6209">
        <v>0.97915509999999994</v>
      </c>
      <c r="Q6209">
        <v>0.14611629999999901</v>
      </c>
      <c r="R6209">
        <v>0.14108619999999999</v>
      </c>
      <c r="S6209">
        <v>2.9645079999999999</v>
      </c>
      <c r="T6209">
        <v>-0.2105678</v>
      </c>
      <c r="U6209">
        <v>0.94177250000000001</v>
      </c>
      <c r="V6209">
        <v>-0.14754010000000001</v>
      </c>
      <c r="W6209">
        <v>0.158252</v>
      </c>
      <c r="X6209">
        <v>0.9763136</v>
      </c>
      <c r="Y6209">
        <v>-0.30679079999999997</v>
      </c>
      <c r="Z6209">
        <v>1.3074509999999999E-2</v>
      </c>
      <c r="AA6209">
        <v>0.95168719999999996</v>
      </c>
      <c r="AB6209">
        <v>32</v>
      </c>
      <c r="AC6209">
        <v>15.651400000000001</v>
      </c>
      <c r="AD6209">
        <v>-1.1245583640900001</v>
      </c>
      <c r="AE6209">
        <v>5.0282199999999904</v>
      </c>
      <c r="AF6209">
        <v>-5.08451264691465</v>
      </c>
      <c r="AG6209">
        <v>-1.1245583640900001</v>
      </c>
      <c r="AH6209">
        <v>15.5526663258924</v>
      </c>
      <c r="AI6209">
        <v>93.931583313173306</v>
      </c>
      <c r="AJ6209">
        <v>108.103720157458</v>
      </c>
      <c r="AK6209">
        <v>16.4012905045739</v>
      </c>
      <c r="AL6209">
        <v>80.894549508626</v>
      </c>
      <c r="AM6209">
        <v>98.593490871613895</v>
      </c>
      <c r="AN6209">
        <v>1.0000000110784799</v>
      </c>
    </row>
    <row r="6210" spans="1:40" x14ac:dyDescent="0.25">
      <c r="A6210" t="str">
        <f>"20190303162423340"</f>
        <v>20190303162423340</v>
      </c>
      <c r="B6210" t="str">
        <f>"1551601463331296"</f>
        <v>1551601463331296</v>
      </c>
      <c r="C6210" t="s">
        <v>40</v>
      </c>
      <c r="D6210">
        <v>5.3285900000000002</v>
      </c>
      <c r="E6210">
        <v>0.40731970000000001</v>
      </c>
      <c r="F6210" t="s">
        <v>56</v>
      </c>
      <c r="G6210">
        <v>-200.73150000000001</v>
      </c>
      <c r="H6210" s="1">
        <v>-5.9561609999999998E-6</v>
      </c>
      <c r="I6210">
        <v>-57.024039999999999</v>
      </c>
      <c r="J6210">
        <v>-214.57759999999999</v>
      </c>
      <c r="K6210">
        <v>1.1246149999999999</v>
      </c>
      <c r="L6210">
        <v>-62.066960000000002</v>
      </c>
      <c r="M6210">
        <v>0.99990179999999995</v>
      </c>
      <c r="N6210">
        <v>-1.3780189999999999E-2</v>
      </c>
      <c r="O6210">
        <v>-2.5336220000000001E-3</v>
      </c>
      <c r="P6210">
        <v>0.97842989999999996</v>
      </c>
      <c r="Q6210">
        <v>0.14444019999999999</v>
      </c>
      <c r="R6210">
        <v>0.14768889999999901</v>
      </c>
      <c r="S6210">
        <v>2.9463810000000001</v>
      </c>
      <c r="T6210">
        <v>-0.23632139999999999</v>
      </c>
      <c r="U6210">
        <v>1.0600590000000001</v>
      </c>
      <c r="V6210">
        <v>-0.15162139999999999</v>
      </c>
      <c r="W6210">
        <v>0.15650929999999999</v>
      </c>
      <c r="X6210">
        <v>0.97596910000000003</v>
      </c>
      <c r="Y6210">
        <v>-0.33976729999999999</v>
      </c>
      <c r="Z6210">
        <v>1.5771360000000002E-2</v>
      </c>
      <c r="AA6210">
        <v>0.94037729999999997</v>
      </c>
      <c r="AB6210">
        <v>32</v>
      </c>
      <c r="AC6210">
        <v>13.8460999999999</v>
      </c>
      <c r="AD6210">
        <v>-1.1246209561610001</v>
      </c>
      <c r="AE6210">
        <v>5.0429199999999899</v>
      </c>
      <c r="AF6210">
        <v>-5.0485822698513303</v>
      </c>
      <c r="AG6210">
        <v>-1.1246209561610001</v>
      </c>
      <c r="AH6210">
        <v>13.7531716183013</v>
      </c>
      <c r="AI6210">
        <v>94.389597679108903</v>
      </c>
      <c r="AJ6210">
        <v>110.157426046899</v>
      </c>
      <c r="AK6210">
        <v>14.693627353139901</v>
      </c>
      <c r="AL6210">
        <v>80.995658318693501</v>
      </c>
      <c r="AM6210">
        <v>98.830578692402099</v>
      </c>
      <c r="AN6210">
        <v>0.99999994703962802</v>
      </c>
    </row>
    <row r="6211" spans="1:40" x14ac:dyDescent="0.25">
      <c r="A6211" t="str">
        <f>"20190303162423352"</f>
        <v>20190303162423352</v>
      </c>
      <c r="B6211" t="str">
        <f>"1551601463341056"</f>
        <v>1551601463341056</v>
      </c>
      <c r="C6211" t="s">
        <v>40</v>
      </c>
      <c r="D6211">
        <v>5.3150469999999999</v>
      </c>
      <c r="E6211">
        <v>0.40065299999999998</v>
      </c>
      <c r="F6211" t="s">
        <v>56</v>
      </c>
      <c r="G6211">
        <v>-202.07769999999999</v>
      </c>
      <c r="H6211" s="1">
        <v>-5.3726110000000001E-6</v>
      </c>
      <c r="I6211">
        <v>-57.097790000000003</v>
      </c>
      <c r="J6211">
        <v>-214.4057</v>
      </c>
      <c r="K6211">
        <v>1.1246719999999999</v>
      </c>
      <c r="L6211">
        <v>-62.06485</v>
      </c>
      <c r="M6211">
        <v>0.99990509999999999</v>
      </c>
      <c r="N6211">
        <v>-1.3781720000000001E-2</v>
      </c>
      <c r="O6211" s="1">
        <v>5.3376640000000003E-5</v>
      </c>
      <c r="P6211">
        <v>0.97772340000000002</v>
      </c>
      <c r="Q6211">
        <v>0.14309539999999901</v>
      </c>
      <c r="R6211">
        <v>0.1535598</v>
      </c>
      <c r="S6211">
        <v>2.9292449999999999</v>
      </c>
      <c r="T6211">
        <v>-0.26354670000000002</v>
      </c>
      <c r="U6211">
        <v>1.16449</v>
      </c>
      <c r="V6211">
        <v>-0.15497239999999901</v>
      </c>
      <c r="W6211">
        <v>0.15510660000000001</v>
      </c>
      <c r="X6211">
        <v>0.9756667</v>
      </c>
      <c r="Y6211">
        <v>-0.36786419999999997</v>
      </c>
      <c r="Z6211">
        <v>1.854225E-2</v>
      </c>
      <c r="AA6211">
        <v>0.92969469999999998</v>
      </c>
      <c r="AB6211">
        <v>32</v>
      </c>
      <c r="AC6211">
        <v>12.327999999999999</v>
      </c>
      <c r="AD6211">
        <v>-1.124677372611</v>
      </c>
      <c r="AE6211">
        <v>4.9670599999999903</v>
      </c>
      <c r="AF6211">
        <v>-4.9310931518386898</v>
      </c>
      <c r="AG6211">
        <v>-1.124677372611</v>
      </c>
      <c r="AH6211">
        <v>12.2406170409709</v>
      </c>
      <c r="AI6211">
        <v>94.871275391676406</v>
      </c>
      <c r="AJ6211">
        <v>111.94188203434</v>
      </c>
      <c r="AK6211">
        <v>13.2443680260057</v>
      </c>
      <c r="AL6211">
        <v>81.077021298642094</v>
      </c>
      <c r="AM6211">
        <v>99.025317979726793</v>
      </c>
      <c r="AN6211">
        <v>1.0000000058070999</v>
      </c>
    </row>
    <row r="6212" spans="1:40" x14ac:dyDescent="0.25">
      <c r="A6212" t="str">
        <f>"20190303162423366"</f>
        <v>20190303162423366</v>
      </c>
      <c r="B6212" t="str">
        <f>"1551601463361552"</f>
        <v>1551601463361552</v>
      </c>
      <c r="C6212" t="s">
        <v>40</v>
      </c>
      <c r="D6212">
        <v>5.155621</v>
      </c>
      <c r="E6212">
        <v>0.39381450000000001</v>
      </c>
      <c r="F6212" t="s">
        <v>56</v>
      </c>
      <c r="G6212">
        <v>-202.8929</v>
      </c>
      <c r="H6212" s="1">
        <v>-4.935601E-6</v>
      </c>
      <c r="I6212">
        <v>-57.195529999999998</v>
      </c>
      <c r="J6212">
        <v>-214.214</v>
      </c>
      <c r="K6212">
        <v>1.1247339999999999</v>
      </c>
      <c r="L6212">
        <v>-62.062190000000001</v>
      </c>
      <c r="M6212">
        <v>0.99990060000000003</v>
      </c>
      <c r="N6212">
        <v>-1.378302E-2</v>
      </c>
      <c r="O6212">
        <v>2.9631340000000001E-3</v>
      </c>
      <c r="P6212">
        <v>0.97698039999999997</v>
      </c>
      <c r="Q6212">
        <v>0.141953</v>
      </c>
      <c r="R6212">
        <v>0.15924369999999999</v>
      </c>
      <c r="S6212">
        <v>2.9163359999999998</v>
      </c>
      <c r="T6212">
        <v>-0.2848947</v>
      </c>
      <c r="U6212">
        <v>1.2334590000000001</v>
      </c>
      <c r="V6212">
        <v>-0.15782750000000001</v>
      </c>
      <c r="W6212">
        <v>0.1539095</v>
      </c>
      <c r="X6212">
        <v>0.97539849999999995</v>
      </c>
      <c r="Y6212">
        <v>-0.38501200000000002</v>
      </c>
      <c r="Z6212">
        <v>2.0525600000000001E-2</v>
      </c>
      <c r="AA6212">
        <v>0.92268329999999998</v>
      </c>
      <c r="AB6212">
        <v>32</v>
      </c>
      <c r="AC6212">
        <v>11.321099999999999</v>
      </c>
      <c r="AD6212">
        <v>-1.124738935601</v>
      </c>
      <c r="AE6212">
        <v>4.8666599999999898</v>
      </c>
      <c r="AF6212">
        <v>-4.7931589220173203</v>
      </c>
      <c r="AG6212">
        <v>-1.124738935601</v>
      </c>
      <c r="AH6212">
        <v>11.241819493574701</v>
      </c>
      <c r="AI6212">
        <v>95.258306114337302</v>
      </c>
      <c r="AJ6212">
        <v>113.091877845154</v>
      </c>
      <c r="AK6212">
        <v>12.2726490885663</v>
      </c>
      <c r="AL6212">
        <v>81.146443184968504</v>
      </c>
      <c r="AM6212">
        <v>99.191265940577793</v>
      </c>
      <c r="AN6212">
        <v>0.99999994387437297</v>
      </c>
    </row>
    <row r="6213" spans="1:40" x14ac:dyDescent="0.25">
      <c r="A6213" t="str">
        <f>"20190303162423378"</f>
        <v>20190303162423378</v>
      </c>
      <c r="B6213" t="str">
        <f>"1551601463371313"</f>
        <v>1551601463371313</v>
      </c>
      <c r="C6213" t="s">
        <v>40</v>
      </c>
      <c r="D6213">
        <v>5.2154170000000004</v>
      </c>
      <c r="E6213">
        <v>0.3921945</v>
      </c>
      <c r="F6213" t="s">
        <v>42</v>
      </c>
      <c r="G6213">
        <v>-213.2431</v>
      </c>
      <c r="H6213">
        <v>1.0158069999999999</v>
      </c>
      <c r="I6213">
        <v>-61.627049999999997</v>
      </c>
      <c r="J6213">
        <v>-214.0343</v>
      </c>
      <c r="K6213">
        <v>1.1247830000000001</v>
      </c>
      <c r="L6213">
        <v>-62.058990000000001</v>
      </c>
      <c r="M6213">
        <v>0.99988869999999996</v>
      </c>
      <c r="N6213">
        <v>-1.3784050000000001E-2</v>
      </c>
      <c r="O6213">
        <v>5.7307410000000001E-3</v>
      </c>
      <c r="P6213">
        <v>0.97624049999999996</v>
      </c>
      <c r="Q6213">
        <v>0.14078160000000001</v>
      </c>
      <c r="R6213">
        <v>0.1647284</v>
      </c>
      <c r="S6213">
        <v>2.9057309999999998</v>
      </c>
      <c r="T6213">
        <v>-0.32600679999999999</v>
      </c>
      <c r="U6213">
        <v>1.302643</v>
      </c>
      <c r="V6213">
        <v>-0.16062000000000001</v>
      </c>
      <c r="W6213">
        <v>0.15268619999999999</v>
      </c>
      <c r="X6213">
        <v>0.97513490000000003</v>
      </c>
      <c r="Y6213">
        <v>-0.40146579999999998</v>
      </c>
      <c r="Z6213">
        <v>2.3797619999999998E-2</v>
      </c>
      <c r="AA6213">
        <v>0.91556479999999996</v>
      </c>
      <c r="AB6213">
        <v>32</v>
      </c>
      <c r="AC6213">
        <v>0.79120000000000301</v>
      </c>
      <c r="AD6213">
        <v>-0.108976</v>
      </c>
      <c r="AE6213">
        <v>0.43194000000000399</v>
      </c>
      <c r="AF6213">
        <v>-0.42124183088681399</v>
      </c>
      <c r="AG6213">
        <v>-0.108976</v>
      </c>
      <c r="AH6213">
        <v>0.78223022040880996</v>
      </c>
      <c r="AI6213">
        <v>96.992951997170493</v>
      </c>
      <c r="AJ6213">
        <v>118.30308057969199</v>
      </c>
      <c r="AK6213">
        <v>0.89510031079521502</v>
      </c>
      <c r="AL6213">
        <v>81.217371692889998</v>
      </c>
      <c r="AM6213">
        <v>99.353525320634105</v>
      </c>
      <c r="AN6213">
        <v>0.99999996663422397</v>
      </c>
    </row>
    <row r="6214" spans="1:40" x14ac:dyDescent="0.25">
      <c r="A6214" t="str">
        <f>"20190303162423395"</f>
        <v>20190303162423395</v>
      </c>
      <c r="B6214" t="str">
        <f>"1551601463390832"</f>
        <v>1551601463390832</v>
      </c>
      <c r="C6214" t="s">
        <v>40</v>
      </c>
      <c r="D6214">
        <v>5.214855</v>
      </c>
      <c r="E6214">
        <v>0.39072030000000002</v>
      </c>
      <c r="F6214" t="s">
        <v>56</v>
      </c>
      <c r="G6214">
        <v>-204.63339999999999</v>
      </c>
      <c r="H6214" s="1">
        <v>-3.9268929999999996E-6</v>
      </c>
      <c r="I6214">
        <v>-57.745089999999998</v>
      </c>
      <c r="J6214">
        <v>-213.78460000000001</v>
      </c>
      <c r="K6214">
        <v>1.1248469999999999</v>
      </c>
      <c r="L6214">
        <v>-62.053710000000002</v>
      </c>
      <c r="M6214">
        <v>0.99985860000000004</v>
      </c>
      <c r="N6214">
        <v>-1.3785469999999999E-2</v>
      </c>
      <c r="O6214">
        <v>9.6241499999999997E-3</v>
      </c>
      <c r="P6214">
        <v>0.97493759999999996</v>
      </c>
      <c r="Q6214">
        <v>0.1384137</v>
      </c>
      <c r="R6214">
        <v>0.17417929999999901</v>
      </c>
      <c r="S6214">
        <v>2.89859</v>
      </c>
      <c r="T6214">
        <v>-0.3468058</v>
      </c>
      <c r="U6214">
        <v>1.330109</v>
      </c>
      <c r="V6214">
        <v>-0.1662805</v>
      </c>
      <c r="W6214">
        <v>0.15022639999999901</v>
      </c>
      <c r="X6214">
        <v>0.97456799999999999</v>
      </c>
      <c r="Y6214">
        <v>-0.40563320000000003</v>
      </c>
      <c r="Z6214">
        <v>2.5009130000000001E-2</v>
      </c>
      <c r="AA6214">
        <v>0.91369370000000005</v>
      </c>
      <c r="AB6214">
        <v>32</v>
      </c>
      <c r="AC6214">
        <v>9.15120000000001</v>
      </c>
      <c r="AD6214">
        <v>-1.124850926893</v>
      </c>
      <c r="AE6214">
        <v>4.3086199999999897</v>
      </c>
      <c r="AF6214">
        <v>-4.1687826237455097</v>
      </c>
      <c r="AG6214">
        <v>-1.124850926893</v>
      </c>
      <c r="AH6214">
        <v>9.0799516834734302</v>
      </c>
      <c r="AI6214">
        <v>96.423542634883901</v>
      </c>
      <c r="AJ6214">
        <v>114.660776716608</v>
      </c>
      <c r="AK6214">
        <v>10.0543304474234</v>
      </c>
      <c r="AL6214">
        <v>81.359952843773698</v>
      </c>
      <c r="AM6214">
        <v>99.682550678654906</v>
      </c>
      <c r="AN6214">
        <v>0.99999998128060397</v>
      </c>
    </row>
    <row r="6215" spans="1:40" x14ac:dyDescent="0.25">
      <c r="A6215" t="str">
        <f>"20190303162423411"</f>
        <v>20190303162423411</v>
      </c>
      <c r="B6215" t="str">
        <f>"1551601463401568"</f>
        <v>1551601463401568</v>
      </c>
      <c r="C6215" t="s">
        <v>40</v>
      </c>
      <c r="D6215">
        <v>5.2111549999999998</v>
      </c>
      <c r="E6215">
        <v>0.39065169999999999</v>
      </c>
      <c r="F6215" t="s">
        <v>56</v>
      </c>
      <c r="G6215">
        <v>-204.95259999999999</v>
      </c>
      <c r="H6215" s="1">
        <v>-3.7373260000000001E-6</v>
      </c>
      <c r="I6215">
        <v>-57.866459999999996</v>
      </c>
      <c r="J6215">
        <v>-213.5634</v>
      </c>
      <c r="K6215">
        <v>1.124911</v>
      </c>
      <c r="L6215">
        <v>-62.048189999999998</v>
      </c>
      <c r="M6215">
        <v>0.99981889999999995</v>
      </c>
      <c r="N6215">
        <v>-1.37868E-2</v>
      </c>
      <c r="O6215">
        <v>1.312311E-2</v>
      </c>
      <c r="P6215">
        <v>0.97390010000000005</v>
      </c>
      <c r="Q6215">
        <v>0.13737469999999999</v>
      </c>
      <c r="R6215">
        <v>0.18068480000000001</v>
      </c>
      <c r="S6215">
        <v>2.8849179999999999</v>
      </c>
      <c r="T6215">
        <v>-0.36742520000000001</v>
      </c>
      <c r="U6215">
        <v>1.367737</v>
      </c>
      <c r="V6215">
        <v>-0.16939389999999999</v>
      </c>
      <c r="W6215">
        <v>0.14912639999999999</v>
      </c>
      <c r="X6215">
        <v>0.97420070000000003</v>
      </c>
      <c r="Y6215">
        <v>-0.41349249999999999</v>
      </c>
      <c r="Z6215">
        <v>2.6508250000000001E-2</v>
      </c>
      <c r="AA6215">
        <v>0.91012159999999998</v>
      </c>
      <c r="AB6215">
        <v>32</v>
      </c>
      <c r="AC6215">
        <v>8.61080000000001</v>
      </c>
      <c r="AD6215">
        <v>-1.124914737326</v>
      </c>
      <c r="AE6215">
        <v>4.1817299999999999</v>
      </c>
      <c r="AF6215">
        <v>-4.0129405741073896</v>
      </c>
      <c r="AG6215">
        <v>-1.124914737326</v>
      </c>
      <c r="AH6215">
        <v>8.5469094639217005</v>
      </c>
      <c r="AI6215">
        <v>96.794087723263701</v>
      </c>
      <c r="AJ6215">
        <v>115.150970443986</v>
      </c>
      <c r="AK6215">
        <v>9.5088793557413904</v>
      </c>
      <c r="AL6215">
        <v>81.423696350367294</v>
      </c>
      <c r="AM6215">
        <v>99.863962542626496</v>
      </c>
      <c r="AN6215">
        <v>0.99999999020732999</v>
      </c>
    </row>
    <row r="6216" spans="1:40" x14ac:dyDescent="0.25">
      <c r="A6216" t="str">
        <f>"20190303162423424"</f>
        <v>20190303162423424</v>
      </c>
      <c r="B6216" t="str">
        <f>"1551601463411328"</f>
        <v>1551601463411328</v>
      </c>
      <c r="C6216" t="s">
        <v>40</v>
      </c>
      <c r="D6216">
        <v>5.2183310000000001</v>
      </c>
      <c r="E6216">
        <v>0.39064680000000002</v>
      </c>
      <c r="F6216" t="s">
        <v>42</v>
      </c>
      <c r="G6216">
        <v>-212.6388</v>
      </c>
      <c r="H6216">
        <v>1.0049189999999999</v>
      </c>
      <c r="I6216">
        <v>-61.60248</v>
      </c>
      <c r="J6216">
        <v>-213.3776</v>
      </c>
      <c r="K6216">
        <v>1.1249629999999999</v>
      </c>
      <c r="L6216">
        <v>-62.043059999999997</v>
      </c>
      <c r="M6216">
        <v>0.99977550000000004</v>
      </c>
      <c r="N6216">
        <v>-1.378795E-2</v>
      </c>
      <c r="O6216">
        <v>1.6092559999999999E-2</v>
      </c>
      <c r="P6216">
        <v>0.97286810000000001</v>
      </c>
      <c r="Q6216">
        <v>0.1363336</v>
      </c>
      <c r="R6216">
        <v>0.1869247</v>
      </c>
      <c r="S6216">
        <v>2.8757169999999999</v>
      </c>
      <c r="T6216">
        <v>-0.37322349999999999</v>
      </c>
      <c r="U6216">
        <v>1.386841</v>
      </c>
      <c r="V6216">
        <v>-0.1727581</v>
      </c>
      <c r="W6216">
        <v>0.14802399999999999</v>
      </c>
      <c r="X6216">
        <v>0.97377800000000003</v>
      </c>
      <c r="Y6216">
        <v>-0.41672989999999999</v>
      </c>
      <c r="Z6216">
        <v>2.6812099999999998E-2</v>
      </c>
      <c r="AA6216">
        <v>0.90863479999999996</v>
      </c>
      <c r="AB6216">
        <v>32</v>
      </c>
      <c r="AC6216">
        <v>0.73879999999999701</v>
      </c>
      <c r="AD6216">
        <v>-0.120043999999999</v>
      </c>
      <c r="AE6216">
        <v>0.44057999999998998</v>
      </c>
      <c r="AF6216">
        <v>-0.42044429806417699</v>
      </c>
      <c r="AG6216">
        <v>-0.120043999999999</v>
      </c>
      <c r="AH6216">
        <v>0.731547849771779</v>
      </c>
      <c r="AI6216">
        <v>98.097255873549798</v>
      </c>
      <c r="AJ6216">
        <v>119.88738058427499</v>
      </c>
      <c r="AK6216">
        <v>0.85225948291373799</v>
      </c>
      <c r="AL6216">
        <v>81.487568464361999</v>
      </c>
      <c r="AM6216">
        <v>100.060178431027</v>
      </c>
      <c r="AN6216">
        <v>1.0000000294878</v>
      </c>
    </row>
    <row r="6217" spans="1:40" x14ac:dyDescent="0.25">
      <c r="A6217" t="str">
        <f>"20190303162423438"</f>
        <v>20190303162423438</v>
      </c>
      <c r="B6217" t="str">
        <f>"1551601463430848"</f>
        <v>1551601463430848</v>
      </c>
      <c r="C6217" t="s">
        <v>40</v>
      </c>
      <c r="D6217">
        <v>5.2480270000000004</v>
      </c>
      <c r="E6217">
        <v>0.3911946</v>
      </c>
      <c r="F6217" t="s">
        <v>42</v>
      </c>
      <c r="G6217">
        <v>-212.40629999999999</v>
      </c>
      <c r="H6217">
        <v>0.99619310000000005</v>
      </c>
      <c r="I6217">
        <v>-61.567140000000002</v>
      </c>
      <c r="J6217">
        <v>-213.17490000000001</v>
      </c>
      <c r="K6217">
        <v>1.1250209999999901</v>
      </c>
      <c r="L6217">
        <v>-62.036560000000001</v>
      </c>
      <c r="M6217">
        <v>0.99971710000000003</v>
      </c>
      <c r="N6217">
        <v>-1.378977E-2</v>
      </c>
      <c r="O6217">
        <v>1.9387350000000001E-2</v>
      </c>
      <c r="P6217">
        <v>0.9708833</v>
      </c>
      <c r="Q6217">
        <v>0.13633519999999999</v>
      </c>
      <c r="R6217">
        <v>0.1969738</v>
      </c>
      <c r="S6217">
        <v>2.8669739999999999</v>
      </c>
      <c r="T6217">
        <v>-0.38008740000000002</v>
      </c>
      <c r="U6217">
        <v>1.404968</v>
      </c>
      <c r="V6217">
        <v>-0.17964929999999901</v>
      </c>
      <c r="W6217">
        <v>0.14791309999999999</v>
      </c>
      <c r="X6217">
        <v>0.9725471</v>
      </c>
      <c r="Y6217">
        <v>-0.41934900000000003</v>
      </c>
      <c r="Z6217">
        <v>2.7096309999999998E-2</v>
      </c>
      <c r="AA6217">
        <v>0.90742060000000002</v>
      </c>
      <c r="AB6217">
        <v>32</v>
      </c>
      <c r="AC6217">
        <v>0.76860000000002004</v>
      </c>
      <c r="AD6217">
        <v>-0.128827899999999</v>
      </c>
      <c r="AE6217">
        <v>0.46941999999999201</v>
      </c>
      <c r="AF6217">
        <v>-0.44531720944594699</v>
      </c>
      <c r="AG6217">
        <v>-0.128827899999999</v>
      </c>
      <c r="AH6217">
        <v>0.76196595428010805</v>
      </c>
      <c r="AI6217">
        <v>98.304917732216495</v>
      </c>
      <c r="AJ6217">
        <v>120.303377483167</v>
      </c>
      <c r="AK6217">
        <v>0.89190591450507395</v>
      </c>
      <c r="AL6217">
        <v>81.493993114016604</v>
      </c>
      <c r="AM6217">
        <v>100.465728214755</v>
      </c>
      <c r="AN6217">
        <v>1.0000000089302501</v>
      </c>
    </row>
    <row r="6218" spans="1:40" x14ac:dyDescent="0.25">
      <c r="A6218" t="str">
        <f>"20190303162423460"</f>
        <v>20190303162423460</v>
      </c>
      <c r="B6218" t="str">
        <f>"1551601463451343"</f>
        <v>1551601463451343</v>
      </c>
      <c r="C6218" t="s">
        <v>40</v>
      </c>
      <c r="D6218">
        <v>5.2459369999999996</v>
      </c>
      <c r="E6218">
        <v>0.39189499999999999</v>
      </c>
      <c r="F6218" t="s">
        <v>56</v>
      </c>
      <c r="G6218">
        <v>-204.63550000000001</v>
      </c>
      <c r="H6218" s="1">
        <v>-3.9236430000000001E-6</v>
      </c>
      <c r="I6218">
        <v>-57.755009999999999</v>
      </c>
      <c r="J6218">
        <v>-212.87299999999999</v>
      </c>
      <c r="K6218">
        <v>1.1251279999999999</v>
      </c>
      <c r="L6218">
        <v>-62.025669999999998</v>
      </c>
      <c r="M6218">
        <v>0.99960760000000004</v>
      </c>
      <c r="N6218">
        <v>-1.3793339999999999E-2</v>
      </c>
      <c r="O6218">
        <v>2.4378839999999999E-2</v>
      </c>
      <c r="P6218">
        <v>0.96820649999999997</v>
      </c>
      <c r="Q6218">
        <v>0.13816229999999999</v>
      </c>
      <c r="R6218">
        <v>0.208537</v>
      </c>
      <c r="S6218">
        <v>2.8525849999999999</v>
      </c>
      <c r="T6218">
        <v>-0.3758109</v>
      </c>
      <c r="U6218">
        <v>1.430237</v>
      </c>
      <c r="V6218">
        <v>-0.18646099999999999</v>
      </c>
      <c r="W6218">
        <v>0.14960780000000001</v>
      </c>
      <c r="X6218">
        <v>0.97100450000000005</v>
      </c>
      <c r="Y6218">
        <v>-0.42312660000000002</v>
      </c>
      <c r="Z6218">
        <v>2.6609310000000001E-2</v>
      </c>
      <c r="AA6218">
        <v>0.90567980000000003</v>
      </c>
      <c r="AB6218">
        <v>32</v>
      </c>
      <c r="AC6218">
        <v>8.2374999999999794</v>
      </c>
      <c r="AD6218">
        <v>-1.125131923643</v>
      </c>
      <c r="AE6218">
        <v>4.2706600000000003</v>
      </c>
      <c r="AF6218">
        <v>-4.0095944472624501</v>
      </c>
      <c r="AG6218">
        <v>-1.125131923643</v>
      </c>
      <c r="AH6218">
        <v>8.2183342777575206</v>
      </c>
      <c r="AI6218">
        <v>97.014539055365105</v>
      </c>
      <c r="AJ6218">
        <v>116.007011344907</v>
      </c>
      <c r="AK6218">
        <v>9.2132398089967698</v>
      </c>
      <c r="AL6218">
        <v>81.395801042170305</v>
      </c>
      <c r="AM6218">
        <v>100.870126518185</v>
      </c>
      <c r="AN6218">
        <v>0.99999996868104402</v>
      </c>
    </row>
    <row r="6219" spans="1:40" x14ac:dyDescent="0.25">
      <c r="A6219" t="str">
        <f>"20190303162423472"</f>
        <v>20190303162423472</v>
      </c>
      <c r="B6219" t="str">
        <f>"1551601463461105"</f>
        <v>1551601463461105</v>
      </c>
      <c r="C6219" t="s">
        <v>40</v>
      </c>
      <c r="D6219">
        <v>5.2504330000000001</v>
      </c>
      <c r="E6219">
        <v>0.39234520000000001</v>
      </c>
      <c r="F6219" t="s">
        <v>56</v>
      </c>
      <c r="G6219">
        <v>-204.26929999999999</v>
      </c>
      <c r="H6219" s="1">
        <v>-4.1442769999999999E-6</v>
      </c>
      <c r="I6219">
        <v>-57.601300000000002</v>
      </c>
      <c r="J6219">
        <v>-212.70009999999999</v>
      </c>
      <c r="K6219">
        <v>1.1251960000000001</v>
      </c>
      <c r="L6219">
        <v>-62.018619999999999</v>
      </c>
      <c r="M6219">
        <v>0.99953199999999998</v>
      </c>
      <c r="N6219">
        <v>-1.379617E-2</v>
      </c>
      <c r="O6219">
        <v>2.7305200000000002E-2</v>
      </c>
      <c r="P6219">
        <v>0.96671609999999997</v>
      </c>
      <c r="Q6219">
        <v>0.13932449999999999</v>
      </c>
      <c r="R6219">
        <v>0.21459010000000001</v>
      </c>
      <c r="S6219">
        <v>2.837234</v>
      </c>
      <c r="T6219">
        <v>-0.37103320000000001</v>
      </c>
      <c r="U6219">
        <v>1.459015</v>
      </c>
      <c r="V6219">
        <v>-0.1897382</v>
      </c>
      <c r="W6219">
        <v>0.1506982</v>
      </c>
      <c r="X6219">
        <v>0.97020070000000003</v>
      </c>
      <c r="Y6219">
        <v>-0.42975089999999999</v>
      </c>
      <c r="Z6219">
        <v>2.6519439999999998E-2</v>
      </c>
      <c r="AA6219">
        <v>0.90255799999999997</v>
      </c>
      <c r="AB6219">
        <v>32</v>
      </c>
      <c r="AC6219">
        <v>8.4307999999999996</v>
      </c>
      <c r="AD6219">
        <v>-1.1252001442770001</v>
      </c>
      <c r="AE6219">
        <v>4.4173199999999904</v>
      </c>
      <c r="AF6219">
        <v>-4.12775772245518</v>
      </c>
      <c r="AG6219">
        <v>-1.1252001442770001</v>
      </c>
      <c r="AH6219">
        <v>8.4304614839293794</v>
      </c>
      <c r="AI6219">
        <v>96.835493715279796</v>
      </c>
      <c r="AJ6219">
        <v>116.087487212987</v>
      </c>
      <c r="AK6219">
        <v>9.4539483821304007</v>
      </c>
      <c r="AL6219">
        <v>81.332609268776395</v>
      </c>
      <c r="AM6219">
        <v>101.0654431465</v>
      </c>
      <c r="AN6219">
        <v>0.99999996515148404</v>
      </c>
    </row>
    <row r="6220" spans="1:40" x14ac:dyDescent="0.25">
      <c r="A6220" t="str">
        <f>"20190303162423486"</f>
        <v>20190303162423486</v>
      </c>
      <c r="B6220" t="str">
        <f>"1551601463470864"</f>
        <v>1551601463470864</v>
      </c>
      <c r="C6220" t="s">
        <v>40</v>
      </c>
      <c r="D6220">
        <v>5.2661439999999997</v>
      </c>
      <c r="E6220">
        <v>0.39269199999999999</v>
      </c>
      <c r="F6220" t="s">
        <v>42</v>
      </c>
      <c r="G6220">
        <v>-211.83699999999999</v>
      </c>
      <c r="H6220">
        <v>1.012931</v>
      </c>
      <c r="I6220">
        <v>-61.569070000000004</v>
      </c>
      <c r="J6220">
        <v>-212.5067</v>
      </c>
      <c r="K6220">
        <v>1.1252740000000001</v>
      </c>
      <c r="L6220">
        <v>-62.010249999999999</v>
      </c>
      <c r="M6220">
        <v>0.99943590000000004</v>
      </c>
      <c r="N6220">
        <v>-1.3799560000000001E-2</v>
      </c>
      <c r="O6220">
        <v>3.0616339999999999E-2</v>
      </c>
      <c r="P6220">
        <v>0.96519279999999996</v>
      </c>
      <c r="Q6220">
        <v>0.1403142</v>
      </c>
      <c r="R6220">
        <v>0.22071389999999999</v>
      </c>
      <c r="S6220">
        <v>2.8291780000000002</v>
      </c>
      <c r="T6220">
        <v>-0.36800870000000002</v>
      </c>
      <c r="U6220">
        <v>1.473816</v>
      </c>
      <c r="V6220">
        <v>-0.1927208</v>
      </c>
      <c r="W6220">
        <v>0.15161549999999999</v>
      </c>
      <c r="X6220">
        <v>0.96946969999999999</v>
      </c>
      <c r="Y6220">
        <v>-0.4315756</v>
      </c>
      <c r="Z6220">
        <v>2.6134879999999999E-2</v>
      </c>
      <c r="AA6220">
        <v>0.90169809999999995</v>
      </c>
      <c r="AB6220">
        <v>32</v>
      </c>
      <c r="AC6220">
        <v>0.66969999999997698</v>
      </c>
      <c r="AD6220">
        <v>-0.112342999999999</v>
      </c>
      <c r="AE6220">
        <v>0.44118000000000201</v>
      </c>
      <c r="AF6220">
        <v>-0.41237496942274998</v>
      </c>
      <c r="AG6220">
        <v>-0.112342999999999</v>
      </c>
      <c r="AH6220">
        <v>0.66975138181515104</v>
      </c>
      <c r="AI6220">
        <v>98.128847757518301</v>
      </c>
      <c r="AJ6220">
        <v>121.621168112031</v>
      </c>
      <c r="AK6220">
        <v>0.79450675170115403</v>
      </c>
      <c r="AL6220">
        <v>81.279441526476106</v>
      </c>
      <c r="AM6220">
        <v>101.24325091030499</v>
      </c>
      <c r="AN6220">
        <v>1.0000000329054799</v>
      </c>
    </row>
    <row r="6221" spans="1:40" x14ac:dyDescent="0.25">
      <c r="A6221" t="str">
        <f>"20190303162423497"</f>
        <v>20190303162423497</v>
      </c>
      <c r="B6221" t="str">
        <f>"1551601463491359"</f>
        <v>1551601463491359</v>
      </c>
      <c r="C6221" t="s">
        <v>40</v>
      </c>
      <c r="D6221">
        <v>5.2687010000000001</v>
      </c>
      <c r="E6221">
        <v>0.39217089999999999</v>
      </c>
      <c r="F6221" t="s">
        <v>42</v>
      </c>
      <c r="G6221">
        <v>-211.5677</v>
      </c>
      <c r="H6221">
        <v>1.0049239999999999</v>
      </c>
      <c r="I6221">
        <v>-61.514409999999998</v>
      </c>
      <c r="J6221">
        <v>-212.3409</v>
      </c>
      <c r="K6221">
        <v>1.125345</v>
      </c>
      <c r="L6221">
        <v>-62.002409999999998</v>
      </c>
      <c r="M6221">
        <v>0.99934290000000003</v>
      </c>
      <c r="N6221">
        <v>-1.380313E-2</v>
      </c>
      <c r="O6221">
        <v>3.3512670000000001E-2</v>
      </c>
      <c r="P6221">
        <v>0.96373869999999895</v>
      </c>
      <c r="Q6221">
        <v>0.14072770000000001</v>
      </c>
      <c r="R6221">
        <v>0.2267227</v>
      </c>
      <c r="S6221">
        <v>2.8200989999999999</v>
      </c>
      <c r="T6221">
        <v>-0.36146210000000001</v>
      </c>
      <c r="U6221">
        <v>1.489563</v>
      </c>
      <c r="V6221">
        <v>-0.19598779999999999</v>
      </c>
      <c r="W6221">
        <v>0.151954799999999</v>
      </c>
      <c r="X6221">
        <v>0.96876130000000005</v>
      </c>
      <c r="Y6221">
        <v>-0.4341875</v>
      </c>
      <c r="Z6221">
        <v>2.5644259999999999E-2</v>
      </c>
      <c r="AA6221">
        <v>0.90045739999999996</v>
      </c>
      <c r="AB6221">
        <v>32</v>
      </c>
      <c r="AC6221">
        <v>0.773200000000002</v>
      </c>
      <c r="AD6221">
        <v>-0.120421</v>
      </c>
      <c r="AE6221">
        <v>0.48799999999999899</v>
      </c>
      <c r="AF6221">
        <v>-0.45393722609309201</v>
      </c>
      <c r="AG6221">
        <v>-0.120421</v>
      </c>
      <c r="AH6221">
        <v>0.77566638833450696</v>
      </c>
      <c r="AI6221">
        <v>97.631609582583593</v>
      </c>
      <c r="AJ6221">
        <v>120.337120260856</v>
      </c>
      <c r="AK6221">
        <v>0.90676268585886899</v>
      </c>
      <c r="AL6221">
        <v>81.259772607470794</v>
      </c>
      <c r="AM6221">
        <v>101.437007895443</v>
      </c>
      <c r="AN6221">
        <v>0.99999996768478405</v>
      </c>
    </row>
    <row r="6222" spans="1:40" x14ac:dyDescent="0.25">
      <c r="A6222" t="str">
        <f>"20190303162423508"</f>
        <v>20190303162423508</v>
      </c>
      <c r="B6222" t="str">
        <f>"1551601463501121"</f>
        <v>1551601463501121</v>
      </c>
      <c r="C6222" t="s">
        <v>40</v>
      </c>
      <c r="D6222">
        <v>5.3197539999999996</v>
      </c>
      <c r="E6222">
        <v>0.39217089999999999</v>
      </c>
      <c r="F6222" t="s">
        <v>42</v>
      </c>
      <c r="G6222">
        <v>-211.46209999999999</v>
      </c>
      <c r="H6222">
        <v>1.0130319999999999</v>
      </c>
      <c r="I6222">
        <v>-61.529780000000002</v>
      </c>
      <c r="J6222">
        <v>-212.18889999999999</v>
      </c>
      <c r="K6222">
        <v>1.12541</v>
      </c>
      <c r="L6222">
        <v>-61.994750000000003</v>
      </c>
      <c r="M6222">
        <v>0.9992489</v>
      </c>
      <c r="N6222">
        <v>-1.380547E-2</v>
      </c>
      <c r="O6222">
        <v>3.6208049999999999E-2</v>
      </c>
      <c r="P6222">
        <v>0.96228499999999995</v>
      </c>
      <c r="Q6222">
        <v>0.1409223</v>
      </c>
      <c r="R6222">
        <v>0.2326985</v>
      </c>
      <c r="S6222">
        <v>2.809723</v>
      </c>
      <c r="T6222">
        <v>-0.35911270000000001</v>
      </c>
      <c r="U6222">
        <v>1.511566</v>
      </c>
      <c r="V6222">
        <v>-0.19941919999999999</v>
      </c>
      <c r="W6222">
        <v>0.1520736</v>
      </c>
      <c r="X6222">
        <v>0.96804210000000002</v>
      </c>
      <c r="Y6222">
        <v>-0.43862699999999999</v>
      </c>
      <c r="Z6222">
        <v>2.555371E-2</v>
      </c>
      <c r="AA6222">
        <v>0.89830580000000004</v>
      </c>
      <c r="AB6222">
        <v>32</v>
      </c>
      <c r="AC6222">
        <v>0.726799999999997</v>
      </c>
      <c r="AD6222">
        <v>-0.11237800000000001</v>
      </c>
      <c r="AE6222">
        <v>0.46497000000000099</v>
      </c>
      <c r="AF6222">
        <v>-0.43103433924920898</v>
      </c>
      <c r="AG6222">
        <v>-0.11237800000000001</v>
      </c>
      <c r="AH6222">
        <v>0.73076370362182097</v>
      </c>
      <c r="AI6222">
        <v>97.545280419155901</v>
      </c>
      <c r="AJ6222">
        <v>120.53384353128</v>
      </c>
      <c r="AK6222">
        <v>0.85582416828872199</v>
      </c>
      <c r="AL6222">
        <v>81.252885696681702</v>
      </c>
      <c r="AM6222">
        <v>101.64024392653801</v>
      </c>
      <c r="AN6222">
        <v>0.99999995225900296</v>
      </c>
    </row>
    <row r="6223" spans="1:40" x14ac:dyDescent="0.25">
      <c r="A6223" t="str">
        <f>"20190303162423519"</f>
        <v>20190303162423519</v>
      </c>
      <c r="B6223" t="str">
        <f>"1551601463510881"</f>
        <v>1551601463510881</v>
      </c>
      <c r="C6223" t="s">
        <v>40</v>
      </c>
      <c r="D6223">
        <v>5.2360680000000004</v>
      </c>
      <c r="E6223">
        <v>0.3494583</v>
      </c>
      <c r="F6223" t="s">
        <v>42</v>
      </c>
      <c r="G6223">
        <v>-211.2869</v>
      </c>
      <c r="H6223">
        <v>1.0100020000000001</v>
      </c>
      <c r="I6223">
        <v>-61.502139999999997</v>
      </c>
      <c r="J6223">
        <v>-212.0326</v>
      </c>
      <c r="K6223">
        <v>1.1254770000000001</v>
      </c>
      <c r="L6223">
        <v>-61.986510000000003</v>
      </c>
      <c r="M6223">
        <v>0.99914340000000001</v>
      </c>
      <c r="N6223">
        <v>-1.380701E-2</v>
      </c>
      <c r="O6223">
        <v>3.901168E-2</v>
      </c>
      <c r="P6223">
        <v>0.96095450000000004</v>
      </c>
      <c r="Q6223">
        <v>0.14089960000000001</v>
      </c>
      <c r="R6223">
        <v>0.23814679999999999</v>
      </c>
      <c r="S6223">
        <v>2.800262</v>
      </c>
      <c r="T6223">
        <v>-0.35828100000000002</v>
      </c>
      <c r="U6223">
        <v>1.5292049999999999</v>
      </c>
      <c r="V6223">
        <v>-0.20221629999999999</v>
      </c>
      <c r="W6223">
        <v>0.1519807</v>
      </c>
      <c r="X6223">
        <v>0.96747629999999996</v>
      </c>
      <c r="Y6223">
        <v>-0.44174079999999899</v>
      </c>
      <c r="Z6223">
        <v>2.545466E-2</v>
      </c>
      <c r="AA6223">
        <v>0.89678159999999896</v>
      </c>
      <c r="AB6223">
        <v>32</v>
      </c>
      <c r="AC6223">
        <v>0.74569999999999903</v>
      </c>
      <c r="AD6223">
        <v>-0.11547499999999999</v>
      </c>
      <c r="AE6223">
        <v>0.48436999999999097</v>
      </c>
      <c r="AF6223">
        <v>-0.44736286903581701</v>
      </c>
      <c r="AG6223">
        <v>-0.11547499999999999</v>
      </c>
      <c r="AH6223">
        <v>0.75135882284592104</v>
      </c>
      <c r="AI6223">
        <v>97.522583154979699</v>
      </c>
      <c r="AJ6223">
        <v>120.769784030775</v>
      </c>
      <c r="AK6223">
        <v>0.88204767041547505</v>
      </c>
      <c r="AL6223">
        <v>81.258271300512405</v>
      </c>
      <c r="AM6223">
        <v>101.80567274506799</v>
      </c>
      <c r="AN6223">
        <v>0.99999997810993402</v>
      </c>
    </row>
    <row r="6224" spans="1:40" x14ac:dyDescent="0.25">
      <c r="A6224" t="str">
        <f>"20190303162423529"</f>
        <v>20190303162423529</v>
      </c>
      <c r="B6224" t="str">
        <f>"1551601463520640"</f>
        <v>1551601463520640</v>
      </c>
      <c r="C6224" t="s">
        <v>40</v>
      </c>
      <c r="D6224">
        <v>5.2703089999999904</v>
      </c>
      <c r="E6224">
        <v>0.33891700000000002</v>
      </c>
      <c r="F6224" t="s">
        <v>42</v>
      </c>
      <c r="G6224">
        <v>-211.29310000000001</v>
      </c>
      <c r="H6224">
        <v>0.99276580000000003</v>
      </c>
      <c r="I6224">
        <v>-61.478439999999999</v>
      </c>
      <c r="J6224">
        <v>-211.8947</v>
      </c>
      <c r="K6224">
        <v>1.12554</v>
      </c>
      <c r="L6224">
        <v>-61.978700000000003</v>
      </c>
      <c r="M6224">
        <v>0.99904159999999997</v>
      </c>
      <c r="N6224">
        <v>-1.3807689999999999E-2</v>
      </c>
      <c r="O6224">
        <v>4.1537770000000002E-2</v>
      </c>
      <c r="P6224">
        <v>0.95911780000000002</v>
      </c>
      <c r="Q6224">
        <v>0.14152600000000001</v>
      </c>
      <c r="R6224">
        <v>0.2450784</v>
      </c>
      <c r="S6224">
        <v>2.7290649999999999</v>
      </c>
      <c r="T6224">
        <v>-0.48976599999999998</v>
      </c>
      <c r="U6224">
        <v>1.8749389999999999</v>
      </c>
      <c r="V6224">
        <v>-0.2067959</v>
      </c>
      <c r="W6224">
        <v>0.1525109</v>
      </c>
      <c r="X6224">
        <v>0.96642430000000001</v>
      </c>
      <c r="Y6224">
        <v>-0.52564230000000001</v>
      </c>
      <c r="Z6224">
        <v>4.0213789999999999E-2</v>
      </c>
      <c r="AA6224">
        <v>0.84975469999999897</v>
      </c>
      <c r="AB6224">
        <v>32</v>
      </c>
      <c r="AC6224">
        <v>0.60159999999999003</v>
      </c>
      <c r="AD6224">
        <v>-0.13277419999999901</v>
      </c>
      <c r="AE6224">
        <v>0.50026000000000403</v>
      </c>
      <c r="AF6224">
        <v>-0.46154555652638102</v>
      </c>
      <c r="AG6224">
        <v>-0.13277419999999901</v>
      </c>
      <c r="AH6224">
        <v>0.60445586405930596</v>
      </c>
      <c r="AI6224">
        <v>99.903081732946404</v>
      </c>
      <c r="AJ6224">
        <v>127.364338953898</v>
      </c>
      <c r="AK6224">
        <v>0.772023432630493</v>
      </c>
      <c r="AL6224">
        <v>81.227535170152606</v>
      </c>
      <c r="AM6224">
        <v>102.078033171172</v>
      </c>
      <c r="AN6224">
        <v>1.0000000232530499</v>
      </c>
    </row>
    <row r="6225" spans="1:40" x14ac:dyDescent="0.25">
      <c r="A6225" t="str">
        <f>"20190303162423540"</f>
        <v>20190303162423540</v>
      </c>
      <c r="B6225" t="str">
        <f>"1551601463531376"</f>
        <v>1551601463531376</v>
      </c>
      <c r="C6225" t="s">
        <v>40</v>
      </c>
      <c r="D6225">
        <v>5.2851269999999904</v>
      </c>
      <c r="E6225">
        <v>0.33350170000000001</v>
      </c>
      <c r="F6225" t="s">
        <v>56</v>
      </c>
      <c r="G6225">
        <v>-205.81909999999999</v>
      </c>
      <c r="H6225" s="1">
        <v>-3.3385010000000001E-6</v>
      </c>
      <c r="I6225">
        <v>-57.52863</v>
      </c>
      <c r="J6225">
        <v>-211.74090000000001</v>
      </c>
      <c r="K6225">
        <v>1.125613</v>
      </c>
      <c r="L6225">
        <v>-61.969729999999998</v>
      </c>
      <c r="M6225">
        <v>0.99891920000000001</v>
      </c>
      <c r="N6225">
        <v>-1.380786E-2</v>
      </c>
      <c r="O6225">
        <v>4.4383409999999998E-2</v>
      </c>
      <c r="P6225">
        <v>0.95640309999999995</v>
      </c>
      <c r="Q6225">
        <v>0.14223269999999999</v>
      </c>
      <c r="R6225">
        <v>0.25507479999999999</v>
      </c>
      <c r="S6225">
        <v>2.696869</v>
      </c>
      <c r="T6225">
        <v>-0.4996102</v>
      </c>
      <c r="U6225">
        <v>1.975311</v>
      </c>
      <c r="V6225">
        <v>-0.2141768</v>
      </c>
      <c r="W6225">
        <v>0.1530726</v>
      </c>
      <c r="X6225">
        <v>0.96472639999999998</v>
      </c>
      <c r="Y6225">
        <v>-0.54825000000000002</v>
      </c>
      <c r="Z6225">
        <v>4.2564289999999998E-2</v>
      </c>
      <c r="AA6225">
        <v>0.83523069999999899</v>
      </c>
      <c r="AB6225">
        <v>32</v>
      </c>
      <c r="AC6225">
        <v>5.9218000000000099</v>
      </c>
      <c r="AD6225">
        <v>-1.1256163385009901</v>
      </c>
      <c r="AE6225">
        <v>4.4410999999999898</v>
      </c>
      <c r="AF6225">
        <v>-4.0795312541237196</v>
      </c>
      <c r="AG6225">
        <v>-1.1256163385009901</v>
      </c>
      <c r="AH6225">
        <v>5.9749265953541002</v>
      </c>
      <c r="AI6225">
        <v>98.843384926034702</v>
      </c>
      <c r="AJ6225">
        <v>124.324289288644</v>
      </c>
      <c r="AK6225">
        <v>7.3218396059147901</v>
      </c>
      <c r="AL6225">
        <v>81.194969330390293</v>
      </c>
      <c r="AM6225">
        <v>102.517100641279</v>
      </c>
      <c r="AN6225">
        <v>0.99999997469297897</v>
      </c>
    </row>
    <row r="6226" spans="1:40" x14ac:dyDescent="0.25">
      <c r="A6226" t="str">
        <f>"20190303162423551"</f>
        <v>20190303162423551</v>
      </c>
      <c r="B6226" t="str">
        <f>"1551601463541137"</f>
        <v>1551601463541137</v>
      </c>
      <c r="C6226" t="s">
        <v>40</v>
      </c>
      <c r="D6226">
        <v>5.2611999999999997</v>
      </c>
      <c r="E6226">
        <v>0.33170660000000002</v>
      </c>
      <c r="F6226" t="s">
        <v>42</v>
      </c>
      <c r="G6226">
        <v>-211.02430000000001</v>
      </c>
      <c r="H6226">
        <v>0.99065570000000003</v>
      </c>
      <c r="I6226">
        <v>-61.420699999999997</v>
      </c>
      <c r="J6226">
        <v>-211.5891</v>
      </c>
      <c r="K6226">
        <v>1.1256930000000001</v>
      </c>
      <c r="L6226">
        <v>-61.960140000000003</v>
      </c>
      <c r="M6226">
        <v>0.99878699999999998</v>
      </c>
      <c r="N6226">
        <v>-1.3808569999999999E-2</v>
      </c>
      <c r="O6226">
        <v>4.7266130000000003E-2</v>
      </c>
      <c r="P6226">
        <v>0.95464570000000004</v>
      </c>
      <c r="Q6226">
        <v>0.14262349999999999</v>
      </c>
      <c r="R6226">
        <v>0.2613625</v>
      </c>
      <c r="S6226">
        <v>2.6663670000000002</v>
      </c>
      <c r="T6226">
        <v>-0.50224020000000003</v>
      </c>
      <c r="U6226">
        <v>2.0437620000000001</v>
      </c>
      <c r="V6226">
        <v>-0.21778140000000001</v>
      </c>
      <c r="W6226">
        <v>0.15337089999999901</v>
      </c>
      <c r="X6226">
        <v>0.9638717</v>
      </c>
      <c r="Y6226">
        <v>-0.5637297</v>
      </c>
      <c r="Z6226">
        <v>4.383977E-2</v>
      </c>
      <c r="AA6226">
        <v>0.824795099999999</v>
      </c>
      <c r="AB6226">
        <v>32</v>
      </c>
      <c r="AC6226">
        <v>0.56479999999999098</v>
      </c>
      <c r="AD6226">
        <v>-0.1350373</v>
      </c>
      <c r="AE6226">
        <v>0.53944000000000603</v>
      </c>
      <c r="AF6226">
        <v>-0.49727312038207999</v>
      </c>
      <c r="AG6226">
        <v>-0.1350373</v>
      </c>
      <c r="AH6226">
        <v>0.57255250393197499</v>
      </c>
      <c r="AI6226">
        <v>100.096655721641</v>
      </c>
      <c r="AJ6226">
        <v>130.974957795818</v>
      </c>
      <c r="AK6226">
        <v>0.77028046736535905</v>
      </c>
      <c r="AL6226">
        <v>81.177674107109695</v>
      </c>
      <c r="AM6226">
        <v>102.731875136784</v>
      </c>
      <c r="AN6226">
        <v>1.00000001260682</v>
      </c>
    </row>
    <row r="6227" spans="1:40" x14ac:dyDescent="0.25">
      <c r="A6227" t="str">
        <f>"20190303162423564"</f>
        <v>20190303162423564</v>
      </c>
      <c r="B6227" t="str">
        <f>"1551601463560656"</f>
        <v>1551601463560656</v>
      </c>
      <c r="C6227" t="s">
        <v>40</v>
      </c>
      <c r="D6227">
        <v>5.0679089999999896</v>
      </c>
      <c r="E6227">
        <v>0.33016869999999998</v>
      </c>
      <c r="F6227" t="s">
        <v>42</v>
      </c>
      <c r="G6227">
        <v>-210.76740000000001</v>
      </c>
      <c r="H6227">
        <v>0.96905030000000003</v>
      </c>
      <c r="I6227">
        <v>-61.31709</v>
      </c>
      <c r="J6227">
        <v>-211.41470000000001</v>
      </c>
      <c r="K6227">
        <v>1.1257740000000001</v>
      </c>
      <c r="L6227">
        <v>-61.948909999999998</v>
      </c>
      <c r="M6227">
        <v>0.99862070000000003</v>
      </c>
      <c r="N6227">
        <v>-1.378484E-2</v>
      </c>
      <c r="O6227">
        <v>5.0663340000000001E-2</v>
      </c>
      <c r="P6227">
        <v>0.95274159999999997</v>
      </c>
      <c r="Q6227">
        <v>0.14341119999999999</v>
      </c>
      <c r="R6227">
        <v>0.26780039999999999</v>
      </c>
      <c r="S6227">
        <v>2.6501769999999998</v>
      </c>
      <c r="T6227">
        <v>-0.50523589999999996</v>
      </c>
      <c r="U6227">
        <v>2.0740660000000002</v>
      </c>
      <c r="V6227">
        <v>-0.22106039999999999</v>
      </c>
      <c r="W6227">
        <v>0.15404089999999901</v>
      </c>
      <c r="X6227">
        <v>0.96301800000000004</v>
      </c>
      <c r="Y6227">
        <v>-0.56911769999999995</v>
      </c>
      <c r="Z6227">
        <v>4.4112560000000002E-2</v>
      </c>
      <c r="AA6227">
        <v>0.82107199999999902</v>
      </c>
      <c r="AB6227">
        <v>32</v>
      </c>
      <c r="AC6227">
        <v>0.64730000000000099</v>
      </c>
      <c r="AD6227">
        <v>-0.15672369999999999</v>
      </c>
      <c r="AE6227">
        <v>0.63181999999999705</v>
      </c>
      <c r="AF6227">
        <v>-0.58077596652436703</v>
      </c>
      <c r="AG6227">
        <v>-0.15672369999999999</v>
      </c>
      <c r="AH6227">
        <v>0.65870721985750602</v>
      </c>
      <c r="AI6227">
        <v>100.118745120434</v>
      </c>
      <c r="AJ6227">
        <v>131.402321458101</v>
      </c>
      <c r="AK6227">
        <v>0.89205282518828899</v>
      </c>
      <c r="AL6227">
        <v>81.138824010842399</v>
      </c>
      <c r="AM6227">
        <v>102.92825282190501</v>
      </c>
      <c r="AN6227">
        <v>0.99999998382248501</v>
      </c>
    </row>
    <row r="6228" spans="1:40" x14ac:dyDescent="0.25">
      <c r="A6228" t="str">
        <f>"20190303162423574"</f>
        <v>20190303162423574</v>
      </c>
      <c r="B6228" t="str">
        <f>"1551601463571392"</f>
        <v>1551601463571392</v>
      </c>
      <c r="C6228" t="s">
        <v>40</v>
      </c>
      <c r="D6228">
        <v>5.0794370000000004</v>
      </c>
      <c r="E6228">
        <v>0.33028170000000001</v>
      </c>
      <c r="F6228" t="s">
        <v>56</v>
      </c>
      <c r="G6228">
        <v>-205.58150000000001</v>
      </c>
      <c r="H6228" s="1">
        <v>-3.5209679999999998E-6</v>
      </c>
      <c r="I6228">
        <v>-57.291930000000001</v>
      </c>
      <c r="J6228">
        <v>-211.25819999999999</v>
      </c>
      <c r="K6228">
        <v>1.125732</v>
      </c>
      <c r="L6228">
        <v>-61.938079999999999</v>
      </c>
      <c r="M6228">
        <v>0.99842980000000003</v>
      </c>
      <c r="N6228">
        <v>-1.351542E-2</v>
      </c>
      <c r="O6228">
        <v>5.436237E-2</v>
      </c>
      <c r="P6228">
        <v>0.9506791</v>
      </c>
      <c r="Q6228">
        <v>0.14430009999999999</v>
      </c>
      <c r="R6228">
        <v>0.27456659999999999</v>
      </c>
      <c r="S6228">
        <v>2.634201</v>
      </c>
      <c r="T6228">
        <v>-0.50838549999999905</v>
      </c>
      <c r="U6228">
        <v>2.103027</v>
      </c>
      <c r="V6228">
        <v>-0.22437070000000001</v>
      </c>
      <c r="W6228">
        <v>0.1546025</v>
      </c>
      <c r="X6228">
        <v>0.96216210000000002</v>
      </c>
      <c r="Y6228">
        <v>-0.57393809999999901</v>
      </c>
      <c r="Z6228">
        <v>4.4206959999999997E-2</v>
      </c>
      <c r="AA6228">
        <v>0.817704599999999</v>
      </c>
      <c r="AB6228">
        <v>32</v>
      </c>
      <c r="AC6228">
        <v>5.6766999999999799</v>
      </c>
      <c r="AD6228">
        <v>-1.125735520968</v>
      </c>
      <c r="AE6228">
        <v>4.6461499999999898</v>
      </c>
      <c r="AF6228">
        <v>-4.2310097241848501</v>
      </c>
      <c r="AG6228">
        <v>-1.125735520968</v>
      </c>
      <c r="AH6228">
        <v>5.7846721684490996</v>
      </c>
      <c r="AI6228">
        <v>98.926804111827195</v>
      </c>
      <c r="AJ6228">
        <v>126.18238609645699</v>
      </c>
      <c r="AK6228">
        <v>7.2547333407745196</v>
      </c>
      <c r="AL6228">
        <v>81.106256935686304</v>
      </c>
      <c r="AM6228">
        <v>103.126466380355</v>
      </c>
      <c r="AN6228">
        <v>1.0000000253505701</v>
      </c>
    </row>
    <row r="6229" spans="1:40" x14ac:dyDescent="0.25">
      <c r="A6229" t="str">
        <f>"20190303162423587"</f>
        <v>20190303162423587</v>
      </c>
      <c r="B6229" t="str">
        <f>"1551601463581152"</f>
        <v>1551601463581152</v>
      </c>
      <c r="C6229" t="s">
        <v>40</v>
      </c>
      <c r="D6229">
        <v>5.0605099999999998</v>
      </c>
      <c r="E6229">
        <v>0.33062229999999998</v>
      </c>
      <c r="F6229" t="s">
        <v>42</v>
      </c>
      <c r="G6229">
        <v>-210.4854</v>
      </c>
      <c r="H6229">
        <v>0.97626820000000003</v>
      </c>
      <c r="I6229">
        <v>-61.3127</v>
      </c>
      <c r="J6229">
        <v>-211.09129999999999</v>
      </c>
      <c r="K6229">
        <v>1.125753</v>
      </c>
      <c r="L6229">
        <v>-61.926180000000002</v>
      </c>
      <c r="M6229">
        <v>0.99822149999999998</v>
      </c>
      <c r="N6229">
        <v>-1.337964E-2</v>
      </c>
      <c r="O6229">
        <v>5.8094809999999997E-2</v>
      </c>
      <c r="P6229">
        <v>0.94878289999999998</v>
      </c>
      <c r="Q6229">
        <v>0.14457639999999999</v>
      </c>
      <c r="R6229">
        <v>0.28090739999999997</v>
      </c>
      <c r="S6229">
        <v>2.620193</v>
      </c>
      <c r="T6229">
        <v>-0.50672329999999999</v>
      </c>
      <c r="U6229">
        <v>2.1202700000000001</v>
      </c>
      <c r="V6229">
        <v>-0.22723119999999999</v>
      </c>
      <c r="W6229">
        <v>0.15466750000000001</v>
      </c>
      <c r="X6229">
        <v>0.96148009999999995</v>
      </c>
      <c r="Y6229">
        <v>-0.57631599999999905</v>
      </c>
      <c r="Z6229">
        <v>4.3771259999999999E-2</v>
      </c>
      <c r="AA6229">
        <v>0.8160539</v>
      </c>
      <c r="AB6229">
        <v>32</v>
      </c>
      <c r="AC6229">
        <v>0.605899999999991</v>
      </c>
      <c r="AD6229">
        <v>-0.1494848</v>
      </c>
      <c r="AE6229">
        <v>0.61348000000000202</v>
      </c>
      <c r="AF6229">
        <v>-0.56039766344258801</v>
      </c>
      <c r="AG6229">
        <v>-0.1494848</v>
      </c>
      <c r="AH6229">
        <v>0.62183004907966499</v>
      </c>
      <c r="AI6229">
        <v>100.124977088196</v>
      </c>
      <c r="AJ6229">
        <v>132.02540089058701</v>
      </c>
      <c r="AK6229">
        <v>0.85033161564260995</v>
      </c>
      <c r="AL6229">
        <v>81.102487304843706</v>
      </c>
      <c r="AM6229">
        <v>103.297005136457</v>
      </c>
      <c r="AN6229">
        <v>1.0000000182528399</v>
      </c>
    </row>
    <row r="6230" spans="1:40" x14ac:dyDescent="0.25">
      <c r="A6230" t="str">
        <f>"20190303162423597"</f>
        <v>20190303162423597</v>
      </c>
      <c r="B6230" t="str">
        <f>"1551601463590912"</f>
        <v>1551601463590912</v>
      </c>
      <c r="C6230" t="s">
        <v>40</v>
      </c>
      <c r="D6230">
        <v>5.0734909999999998</v>
      </c>
      <c r="E6230">
        <v>0.33117269999999999</v>
      </c>
      <c r="F6230" t="s">
        <v>56</v>
      </c>
      <c r="G6230">
        <v>-205.28989999999999</v>
      </c>
      <c r="H6230" s="1">
        <v>-3.7062729999999999E-6</v>
      </c>
      <c r="I6230">
        <v>-57.175280000000001</v>
      </c>
      <c r="J6230">
        <v>-210.92339999999999</v>
      </c>
      <c r="K6230">
        <v>1.125907</v>
      </c>
      <c r="L6230">
        <v>-61.913510000000002</v>
      </c>
      <c r="M6230">
        <v>0.99802009999999997</v>
      </c>
      <c r="N6230">
        <v>-1.354794E-2</v>
      </c>
      <c r="O6230">
        <v>6.1420250000000003E-2</v>
      </c>
      <c r="P6230">
        <v>0.94706290000000004</v>
      </c>
      <c r="Q6230">
        <v>0.1443594</v>
      </c>
      <c r="R6230">
        <v>0.28676210000000002</v>
      </c>
      <c r="S6230">
        <v>2.6069490000000002</v>
      </c>
      <c r="T6230">
        <v>-0.50588299999999997</v>
      </c>
      <c r="U6230">
        <v>2.1349179999999999</v>
      </c>
      <c r="V6230">
        <v>-0.2300189</v>
      </c>
      <c r="W6230">
        <v>0.1544951</v>
      </c>
      <c r="X6230">
        <v>0.9608447</v>
      </c>
      <c r="Y6230">
        <v>-0.57837939999999999</v>
      </c>
      <c r="Z6230">
        <v>4.3546979999999999E-2</v>
      </c>
      <c r="AA6230">
        <v>0.81460480000000002</v>
      </c>
      <c r="AB6230">
        <v>32</v>
      </c>
      <c r="AC6230">
        <v>5.63349999999999</v>
      </c>
      <c r="AD6230">
        <v>-1.1259107062730001</v>
      </c>
      <c r="AE6230">
        <v>4.7382299999999802</v>
      </c>
      <c r="AF6230">
        <v>-4.2830407323180699</v>
      </c>
      <c r="AG6230">
        <v>-1.1259107062730001</v>
      </c>
      <c r="AH6230">
        <v>5.7787222818913797</v>
      </c>
      <c r="AI6230">
        <v>98.896344265450793</v>
      </c>
      <c r="AJ6230">
        <v>126.544893909618</v>
      </c>
      <c r="AK6230">
        <v>7.2805043811829302</v>
      </c>
      <c r="AL6230">
        <v>81.1124849641227</v>
      </c>
      <c r="AM6230">
        <v>103.46281078502</v>
      </c>
      <c r="AN6230">
        <v>0.99999998389965405</v>
      </c>
    </row>
    <row r="6231" spans="1:40" x14ac:dyDescent="0.25">
      <c r="A6231" t="str">
        <f>"20190303162423610"</f>
        <v>20190303162423610</v>
      </c>
      <c r="B6231" t="str">
        <f>"1551601463600675"</f>
        <v>1551601463600675</v>
      </c>
      <c r="C6231" t="s">
        <v>40</v>
      </c>
      <c r="D6231">
        <v>5.0989129999999996</v>
      </c>
      <c r="E6231">
        <v>0.3317619</v>
      </c>
      <c r="F6231" t="s">
        <v>42</v>
      </c>
      <c r="G6231">
        <v>-210.20079999999999</v>
      </c>
      <c r="H6231">
        <v>0.98562289999999997</v>
      </c>
      <c r="I6231">
        <v>-61.31561</v>
      </c>
      <c r="J6231">
        <v>-210.76480000000001</v>
      </c>
      <c r="K6231">
        <v>1.1260889999999999</v>
      </c>
      <c r="L6231">
        <v>-61.900939999999999</v>
      </c>
      <c r="M6231">
        <v>0.99782990000000005</v>
      </c>
      <c r="N6231">
        <v>-1.3778840000000001E-2</v>
      </c>
      <c r="O6231">
        <v>6.4387920000000001E-2</v>
      </c>
      <c r="P6231">
        <v>0.94535670000000005</v>
      </c>
      <c r="Q6231">
        <v>0.14393909999999999</v>
      </c>
      <c r="R6231">
        <v>0.29254459999999999</v>
      </c>
      <c r="S6231">
        <v>2.594452</v>
      </c>
      <c r="T6231">
        <v>-0.50366929999999999</v>
      </c>
      <c r="U6231">
        <v>2.1467290000000001</v>
      </c>
      <c r="V6231">
        <v>-0.2330902</v>
      </c>
      <c r="W6231">
        <v>0.1541611</v>
      </c>
      <c r="X6231">
        <v>0.96015799999999996</v>
      </c>
      <c r="Y6231">
        <v>-0.58011650000000003</v>
      </c>
      <c r="Z6231">
        <v>4.3272539999999998E-2</v>
      </c>
      <c r="AA6231">
        <v>0.81338330000000003</v>
      </c>
      <c r="AB6231">
        <v>32</v>
      </c>
      <c r="AC6231">
        <v>0.56400000000002104</v>
      </c>
      <c r="AD6231">
        <v>-0.14046609999999901</v>
      </c>
      <c r="AE6231">
        <v>0.58533000000000601</v>
      </c>
      <c r="AF6231">
        <v>-0.531912424221472</v>
      </c>
      <c r="AG6231">
        <v>-0.14046609999999901</v>
      </c>
      <c r="AH6231">
        <v>0.58310783088927598</v>
      </c>
      <c r="AI6231">
        <v>100.091266305216</v>
      </c>
      <c r="AJ6231">
        <v>132.37114901636599</v>
      </c>
      <c r="AK6231">
        <v>0.80167093918562904</v>
      </c>
      <c r="AL6231">
        <v>81.1318542617703</v>
      </c>
      <c r="AM6231">
        <v>103.645289581946</v>
      </c>
      <c r="AN6231">
        <v>1.0000000355266201</v>
      </c>
    </row>
    <row r="6232" spans="1:40" x14ac:dyDescent="0.25">
      <c r="A6232" t="str">
        <f>"20190303162423620"</f>
        <v>20190303162423620</v>
      </c>
      <c r="B6232" t="str">
        <f>"1551601463611408"</f>
        <v>1551601463611408</v>
      </c>
      <c r="C6232" t="s">
        <v>40</v>
      </c>
      <c r="D6232">
        <v>5.0860969999999996</v>
      </c>
      <c r="E6232">
        <v>0.332495599999999</v>
      </c>
      <c r="F6232" t="s">
        <v>56</v>
      </c>
      <c r="G6232">
        <v>-204.9873</v>
      </c>
      <c r="H6232" s="1">
        <v>-3.8941609999999999E-6</v>
      </c>
      <c r="I6232">
        <v>-57.074550000000002</v>
      </c>
      <c r="J6232">
        <v>-210.61799999999999</v>
      </c>
      <c r="K6232">
        <v>1.1262719999999999</v>
      </c>
      <c r="L6232">
        <v>-61.888950000000001</v>
      </c>
      <c r="M6232">
        <v>0.99765150000000002</v>
      </c>
      <c r="N6232">
        <v>-1.402899E-2</v>
      </c>
      <c r="O6232">
        <v>6.704367E-2</v>
      </c>
      <c r="P6232">
        <v>0.94365909999999997</v>
      </c>
      <c r="Q6232">
        <v>0.1433171</v>
      </c>
      <c r="R6232">
        <v>0.29827480000000001</v>
      </c>
      <c r="S6232">
        <v>2.5824579999999999</v>
      </c>
      <c r="T6232">
        <v>-0.50334509999999999</v>
      </c>
      <c r="U6232">
        <v>2.1573180000000001</v>
      </c>
      <c r="V6232">
        <v>-0.23641400000000001</v>
      </c>
      <c r="W6232">
        <v>0.153634299999999</v>
      </c>
      <c r="X6232">
        <v>0.95942950000000005</v>
      </c>
      <c r="Y6232">
        <v>-0.58175600000000005</v>
      </c>
      <c r="Z6232">
        <v>4.3185830000000001E-2</v>
      </c>
      <c r="AA6232">
        <v>0.81221619999999894</v>
      </c>
      <c r="AB6232">
        <v>32</v>
      </c>
      <c r="AC6232">
        <v>5.6306999999999903</v>
      </c>
      <c r="AD6232">
        <v>-1.126275894161</v>
      </c>
      <c r="AE6232">
        <v>4.8143999999999902</v>
      </c>
      <c r="AF6232">
        <v>-4.3260394805579203</v>
      </c>
      <c r="AG6232">
        <v>-1.126275894161</v>
      </c>
      <c r="AH6232">
        <v>5.8066288171946203</v>
      </c>
      <c r="AI6232">
        <v>98.841071011079507</v>
      </c>
      <c r="AJ6232">
        <v>126.686751649377</v>
      </c>
      <c r="AK6232">
        <v>7.3280320139713497</v>
      </c>
      <c r="AL6232">
        <v>81.162401469654498</v>
      </c>
      <c r="AM6232">
        <v>103.84254321162</v>
      </c>
      <c r="AN6232">
        <v>1.00000002150136</v>
      </c>
    </row>
    <row r="6233" spans="1:40" x14ac:dyDescent="0.25">
      <c r="A6233" t="str">
        <f>"20190303162423630"</f>
        <v>20190303162423630</v>
      </c>
      <c r="B6233" t="str">
        <f>"1551601463621167"</f>
        <v>1551601463621167</v>
      </c>
      <c r="C6233" t="s">
        <v>40</v>
      </c>
      <c r="D6233">
        <v>5.0816990000000004</v>
      </c>
      <c r="E6233">
        <v>0.33335520000000002</v>
      </c>
      <c r="F6233" t="s">
        <v>42</v>
      </c>
      <c r="G6233">
        <v>-209.9211</v>
      </c>
      <c r="H6233">
        <v>0.98962760000000005</v>
      </c>
      <c r="I6233">
        <v>-61.301769999999998</v>
      </c>
      <c r="J6233">
        <v>-210.4735</v>
      </c>
      <c r="K6233">
        <v>1.126425</v>
      </c>
      <c r="L6233">
        <v>-61.876339999999999</v>
      </c>
      <c r="M6233">
        <v>0.9974613</v>
      </c>
      <c r="N6233">
        <v>-1.416997E-2</v>
      </c>
      <c r="O6233">
        <v>6.978724E-2</v>
      </c>
      <c r="P6233">
        <v>0.94193000000000005</v>
      </c>
      <c r="Q6233">
        <v>0.1424937</v>
      </c>
      <c r="R6233">
        <v>0.30407800000000001</v>
      </c>
      <c r="S6233">
        <v>2.5709689999999998</v>
      </c>
      <c r="T6233">
        <v>-0.50410559999999904</v>
      </c>
      <c r="U6233">
        <v>2.16629</v>
      </c>
      <c r="V6233">
        <v>-0.23972940000000001</v>
      </c>
      <c r="W6233">
        <v>0.1527965</v>
      </c>
      <c r="X6233">
        <v>0.95874040000000005</v>
      </c>
      <c r="Y6233">
        <v>-0.58293669999999997</v>
      </c>
      <c r="Z6233">
        <v>4.3081370000000001E-2</v>
      </c>
      <c r="AA6233">
        <v>0.81137469999999901</v>
      </c>
      <c r="AB6233">
        <v>32</v>
      </c>
      <c r="AC6233">
        <v>0.552400000000005</v>
      </c>
      <c r="AD6233">
        <v>-0.13679740000000001</v>
      </c>
      <c r="AE6233">
        <v>0.57457000000000102</v>
      </c>
      <c r="AF6233">
        <v>-0.51931684600493799</v>
      </c>
      <c r="AG6233">
        <v>-0.13679740000000001</v>
      </c>
      <c r="AH6233">
        <v>0.57423906845124495</v>
      </c>
      <c r="AI6233">
        <v>100.020009045687</v>
      </c>
      <c r="AJ6233">
        <v>132.124820356713</v>
      </c>
      <c r="AK6233">
        <v>0.78622771696692995</v>
      </c>
      <c r="AL6233">
        <v>81.210977717165903</v>
      </c>
      <c r="AM6233">
        <v>104.03873514450299</v>
      </c>
      <c r="AN6233">
        <v>1.0000000551143799</v>
      </c>
    </row>
    <row r="6234" spans="1:40" x14ac:dyDescent="0.25">
      <c r="A6234" t="str">
        <f>"20190303162423643"</f>
        <v>20190303162423643</v>
      </c>
      <c r="B6234" t="str">
        <f>"1551601463630929"</f>
        <v>1551601463630929</v>
      </c>
      <c r="C6234" t="s">
        <v>40</v>
      </c>
      <c r="D6234">
        <v>5.0420579999999999</v>
      </c>
      <c r="E6234">
        <v>0.33431179999999999</v>
      </c>
      <c r="F6234" t="s">
        <v>56</v>
      </c>
      <c r="G6234">
        <v>-204.76050000000001</v>
      </c>
      <c r="H6234" s="1">
        <v>-4.0224379999999996E-6</v>
      </c>
      <c r="I6234">
        <v>-57.022019999999998</v>
      </c>
      <c r="J6234">
        <v>-210.3022</v>
      </c>
      <c r="K6234">
        <v>1.1265909999999999</v>
      </c>
      <c r="L6234">
        <v>-61.861109999999996</v>
      </c>
      <c r="M6234">
        <v>0.99722270000000002</v>
      </c>
      <c r="N6234">
        <v>-1.429776E-2</v>
      </c>
      <c r="O6234">
        <v>7.3093320000000003E-2</v>
      </c>
      <c r="P6234">
        <v>0.94003139999999996</v>
      </c>
      <c r="Q6234">
        <v>0.141416299999999</v>
      </c>
      <c r="R6234">
        <v>0.31039109999999998</v>
      </c>
      <c r="S6234">
        <v>2.5592649999999999</v>
      </c>
      <c r="T6234">
        <v>-0.5046136</v>
      </c>
      <c r="U6234">
        <v>2.1746219999999998</v>
      </c>
      <c r="V6234">
        <v>-0.24303649999999999</v>
      </c>
      <c r="W6234">
        <v>0.15167249999999999</v>
      </c>
      <c r="X6234">
        <v>0.95808599999999999</v>
      </c>
      <c r="Y6234">
        <v>-0.5835996</v>
      </c>
      <c r="Z6234">
        <v>4.2821970000000001E-2</v>
      </c>
      <c r="AA6234">
        <v>0.81091169999999901</v>
      </c>
      <c r="AB6234">
        <v>32</v>
      </c>
      <c r="AC6234">
        <v>5.5416999999999899</v>
      </c>
      <c r="AD6234">
        <v>-1.1265950224379999</v>
      </c>
      <c r="AE6234">
        <v>4.8390899999999899</v>
      </c>
      <c r="AF6234">
        <v>-4.3197479480564596</v>
      </c>
      <c r="AG6234">
        <v>-1.1265950224379999</v>
      </c>
      <c r="AH6234">
        <v>5.7458810142707</v>
      </c>
      <c r="AI6234">
        <v>98.906976863412098</v>
      </c>
      <c r="AJ6234">
        <v>126.935810983151</v>
      </c>
      <c r="AK6234">
        <v>7.2763031347983702</v>
      </c>
      <c r="AL6234">
        <v>81.276137478904403</v>
      </c>
      <c r="AM6234">
        <v>104.233912241154</v>
      </c>
      <c r="AN6234">
        <v>1.00000003549224</v>
      </c>
    </row>
    <row r="6235" spans="1:40" x14ac:dyDescent="0.25">
      <c r="A6235" t="str">
        <f>"20190303162423656"</f>
        <v>20190303162423656</v>
      </c>
      <c r="B6235" t="str">
        <f>"1551601463651424"</f>
        <v>1551601463651424</v>
      </c>
      <c r="C6235" t="s">
        <v>40</v>
      </c>
      <c r="D6235">
        <v>5.0355650000000001</v>
      </c>
      <c r="E6235">
        <v>0.33524409999999999</v>
      </c>
      <c r="F6235" t="s">
        <v>56</v>
      </c>
      <c r="G6235">
        <v>-204.6326</v>
      </c>
      <c r="H6235" s="1">
        <v>-4.0924580000000003E-6</v>
      </c>
      <c r="I6235">
        <v>-57.000160000000001</v>
      </c>
      <c r="J6235">
        <v>-210.12530000000001</v>
      </c>
      <c r="K6235">
        <v>1.126706</v>
      </c>
      <c r="L6235">
        <v>-61.844119999999997</v>
      </c>
      <c r="M6235">
        <v>0.99693940000000003</v>
      </c>
      <c r="N6235">
        <v>-1.4300520000000001E-2</v>
      </c>
      <c r="O6235">
        <v>7.6859410000000003E-2</v>
      </c>
      <c r="P6235">
        <v>0.93816279999999996</v>
      </c>
      <c r="Q6235">
        <v>0.14019899999999999</v>
      </c>
      <c r="R6235">
        <v>0.31653579999999998</v>
      </c>
      <c r="S6235">
        <v>2.54657</v>
      </c>
      <c r="T6235">
        <v>-0.5060287</v>
      </c>
      <c r="U6235">
        <v>2.1833800000000001</v>
      </c>
      <c r="V6235">
        <v>-0.24572479999999999</v>
      </c>
      <c r="W6235">
        <v>0.15030789999999999</v>
      </c>
      <c r="X6235">
        <v>0.9576152</v>
      </c>
      <c r="Y6235">
        <v>-0.58412050000000004</v>
      </c>
      <c r="Z6235">
        <v>4.2500820000000002E-2</v>
      </c>
      <c r="AA6235">
        <v>0.81055350000000004</v>
      </c>
      <c r="AB6235">
        <v>32</v>
      </c>
      <c r="AC6235">
        <v>5.4927000000000099</v>
      </c>
      <c r="AD6235">
        <v>-1.126710092458</v>
      </c>
      <c r="AE6235">
        <v>4.8439599999999903</v>
      </c>
      <c r="AF6235">
        <v>-4.3055107927006704</v>
      </c>
      <c r="AG6235">
        <v>-1.126710092458</v>
      </c>
      <c r="AH6235">
        <v>5.71355470522915</v>
      </c>
      <c r="AI6235">
        <v>98.949999999777603</v>
      </c>
      <c r="AJ6235">
        <v>127.00024627421701</v>
      </c>
      <c r="AK6235">
        <v>7.2423481128812597</v>
      </c>
      <c r="AL6235">
        <v>81.355229828792005</v>
      </c>
      <c r="AM6235">
        <v>104.391636487879</v>
      </c>
      <c r="AN6235">
        <v>1.0000000067042401</v>
      </c>
    </row>
    <row r="6236" spans="1:40" x14ac:dyDescent="0.25">
      <c r="A6236" t="str">
        <f>"20190303162423672"</f>
        <v>20190303162423672</v>
      </c>
      <c r="B6236" t="str">
        <f>"1551601463661185"</f>
        <v>1551601463661185</v>
      </c>
      <c r="C6236" t="s">
        <v>40</v>
      </c>
      <c r="D6236">
        <v>5.0853609999999998</v>
      </c>
      <c r="E6236">
        <v>0.33599879999999999</v>
      </c>
      <c r="F6236" t="s">
        <v>42</v>
      </c>
      <c r="G6236">
        <v>-209.38249999999999</v>
      </c>
      <c r="H6236">
        <v>0.97830090000000003</v>
      </c>
      <c r="I6236">
        <v>-61.201469999999901</v>
      </c>
      <c r="J6236">
        <v>-209.8965</v>
      </c>
      <c r="K6236">
        <v>1.1268149999999999</v>
      </c>
      <c r="L6236">
        <v>-61.821170000000002</v>
      </c>
      <c r="M6236">
        <v>0.99653259999999999</v>
      </c>
      <c r="N6236">
        <v>-1.4293459999999999E-2</v>
      </c>
      <c r="O6236">
        <v>8.1967449999999997E-2</v>
      </c>
      <c r="P6236">
        <v>0.93525270000000005</v>
      </c>
      <c r="Q6236">
        <v>0.1369234</v>
      </c>
      <c r="R6236">
        <v>0.32642650000000001</v>
      </c>
      <c r="S6236">
        <v>2.5335999999999999</v>
      </c>
      <c r="T6236">
        <v>-0.50624449999999999</v>
      </c>
      <c r="U6236">
        <v>2.1926570000000001</v>
      </c>
      <c r="V6236">
        <v>-0.25091809999999998</v>
      </c>
      <c r="W6236">
        <v>0.1468227</v>
      </c>
      <c r="X6236">
        <v>0.95680889999999996</v>
      </c>
      <c r="Y6236">
        <v>-0.58375549999999998</v>
      </c>
      <c r="Z6236">
        <v>4.179509E-2</v>
      </c>
      <c r="AA6236">
        <v>0.81085309999999999</v>
      </c>
      <c r="AB6236">
        <v>32</v>
      </c>
      <c r="AC6236">
        <v>0.51400000000001</v>
      </c>
      <c r="AD6236">
        <v>-0.14851409999999901</v>
      </c>
      <c r="AE6236">
        <v>0.61970000000000103</v>
      </c>
      <c r="AF6236">
        <v>-0.55654185452564597</v>
      </c>
      <c r="AG6236">
        <v>-0.14851409999999901</v>
      </c>
      <c r="AH6236">
        <v>0.54454190015385295</v>
      </c>
      <c r="AI6236">
        <v>100.798755964213</v>
      </c>
      <c r="AJ6236">
        <v>135.624402565346</v>
      </c>
      <c r="AK6236">
        <v>0.79266711472144802</v>
      </c>
      <c r="AL6236">
        <v>81.557158304524606</v>
      </c>
      <c r="AM6236">
        <v>104.694620464168</v>
      </c>
      <c r="AN6236">
        <v>1.00000003463105</v>
      </c>
    </row>
    <row r="6237" spans="1:40" x14ac:dyDescent="0.25">
      <c r="A6237" t="str">
        <f>"20190303162423685"</f>
        <v>20190303162423685</v>
      </c>
      <c r="B6237" t="str">
        <f>"1551601463670945"</f>
        <v>1551601463670945</v>
      </c>
      <c r="C6237" t="s">
        <v>40</v>
      </c>
      <c r="D6237">
        <v>5.0904959999999999</v>
      </c>
      <c r="E6237">
        <v>0.3366635</v>
      </c>
      <c r="F6237" t="s">
        <v>56</v>
      </c>
      <c r="G6237">
        <v>-204.3903</v>
      </c>
      <c r="H6237" s="1">
        <v>-4.2228999999999998E-6</v>
      </c>
      <c r="I6237">
        <v>-56.968800000000002</v>
      </c>
      <c r="J6237">
        <v>-209.72499999999999</v>
      </c>
      <c r="K6237">
        <v>1.126879</v>
      </c>
      <c r="L6237">
        <v>-61.803280000000001</v>
      </c>
      <c r="M6237">
        <v>0.99619570000000002</v>
      </c>
      <c r="N6237">
        <v>-1.4284989999999999E-2</v>
      </c>
      <c r="O6237">
        <v>8.5965990000000006E-2</v>
      </c>
      <c r="P6237">
        <v>0.93345429999999996</v>
      </c>
      <c r="Q6237">
        <v>0.1349233</v>
      </c>
      <c r="R6237">
        <v>0.33235369999999997</v>
      </c>
      <c r="S6237">
        <v>2.5106959999999998</v>
      </c>
      <c r="T6237">
        <v>-0.51380119999999996</v>
      </c>
      <c r="U6237">
        <v>2.212555</v>
      </c>
      <c r="V6237">
        <v>-0.25313760000000002</v>
      </c>
      <c r="W6237">
        <v>0.14470549999999999</v>
      </c>
      <c r="X6237">
        <v>0.95654680000000003</v>
      </c>
      <c r="Y6237">
        <v>-0.58755469999999999</v>
      </c>
      <c r="Z6237">
        <v>4.2230980000000001E-2</v>
      </c>
      <c r="AA6237">
        <v>0.80808169999999901</v>
      </c>
      <c r="AB6237">
        <v>32</v>
      </c>
      <c r="AC6237">
        <v>5.33469999999999</v>
      </c>
      <c r="AD6237">
        <v>-1.1268832229000001</v>
      </c>
      <c r="AE6237">
        <v>4.8344800000000001</v>
      </c>
      <c r="AF6237">
        <v>-4.2537138381829198</v>
      </c>
      <c r="AG6237">
        <v>-1.1268832229000001</v>
      </c>
      <c r="AH6237">
        <v>5.5935485071312998</v>
      </c>
      <c r="AI6237">
        <v>99.110369177039601</v>
      </c>
      <c r="AJ6237">
        <v>127.251821879502</v>
      </c>
      <c r="AK6237">
        <v>7.1170030291431798</v>
      </c>
      <c r="AL6237">
        <v>81.679774725006894</v>
      </c>
      <c r="AM6237">
        <v>104.82278744418301</v>
      </c>
      <c r="AN6237">
        <v>1.0000000534271201</v>
      </c>
    </row>
    <row r="6238" spans="1:40" x14ac:dyDescent="0.25">
      <c r="A6238" t="str">
        <f>"20190303162423695"</f>
        <v>20190303162423695</v>
      </c>
      <c r="B6238" t="str">
        <f>"1551601463680706"</f>
        <v>1551601463680706</v>
      </c>
      <c r="C6238" t="s">
        <v>40</v>
      </c>
      <c r="D6238">
        <v>5.115653</v>
      </c>
      <c r="E6238">
        <v>0.33747240000000001</v>
      </c>
      <c r="F6238" t="s">
        <v>56</v>
      </c>
      <c r="G6238">
        <v>-204.2835</v>
      </c>
      <c r="H6238" s="1">
        <v>-4.2798559999999999E-6</v>
      </c>
      <c r="I6238">
        <v>-56.957250000000002</v>
      </c>
      <c r="J6238">
        <v>-209.5718</v>
      </c>
      <c r="K6238">
        <v>1.126925</v>
      </c>
      <c r="L6238">
        <v>-61.786290000000001</v>
      </c>
      <c r="M6238">
        <v>0.99586240000000004</v>
      </c>
      <c r="N6238">
        <v>-1.4289720000000001E-2</v>
      </c>
      <c r="O6238">
        <v>8.9743139999999999E-2</v>
      </c>
      <c r="P6238">
        <v>0.93162820000000002</v>
      </c>
      <c r="Q6238">
        <v>0.13294310000000001</v>
      </c>
      <c r="R6238">
        <v>0.33822360000000001</v>
      </c>
      <c r="S6238">
        <v>2.4968870000000001</v>
      </c>
      <c r="T6238">
        <v>-0.51708509999999996</v>
      </c>
      <c r="U6238">
        <v>2.2236630000000002</v>
      </c>
      <c r="V6238">
        <v>-0.25550859999999997</v>
      </c>
      <c r="W6238">
        <v>0.14263809999999999</v>
      </c>
      <c r="X6238">
        <v>0.95622680000000004</v>
      </c>
      <c r="Y6238">
        <v>-0.58864329999999998</v>
      </c>
      <c r="Z6238">
        <v>4.2074489999999999E-2</v>
      </c>
      <c r="AA6238">
        <v>0.80729719999999905</v>
      </c>
      <c r="AB6238">
        <v>32</v>
      </c>
      <c r="AC6238">
        <v>5.2882999999999898</v>
      </c>
      <c r="AD6238">
        <v>-1.126929279856</v>
      </c>
      <c r="AE6238">
        <v>4.8290399999999902</v>
      </c>
      <c r="AF6238">
        <v>-4.2301634923731397</v>
      </c>
      <c r="AG6238">
        <v>-1.126929279856</v>
      </c>
      <c r="AH6238">
        <v>5.5626292245048301</v>
      </c>
      <c r="AI6238">
        <v>99.160549090954206</v>
      </c>
      <c r="AJ6238">
        <v>127.25157894515399</v>
      </c>
      <c r="AK6238">
        <v>7.0786366387404396</v>
      </c>
      <c r="AL6238">
        <v>81.799469241448406</v>
      </c>
      <c r="AM6238">
        <v>104.960210796586</v>
      </c>
      <c r="AN6238">
        <v>0.99999998264190404</v>
      </c>
    </row>
    <row r="6239" spans="1:40" x14ac:dyDescent="0.25">
      <c r="A6239" t="str">
        <f>"20190303162423709"</f>
        <v>20190303162423709</v>
      </c>
      <c r="B6239" t="str">
        <f>"1551601463701201"</f>
        <v>1551601463701201</v>
      </c>
      <c r="C6239" t="s">
        <v>40</v>
      </c>
      <c r="D6239">
        <v>5.0911920000000004</v>
      </c>
      <c r="E6239">
        <v>0.35346620000000001</v>
      </c>
      <c r="F6239" t="s">
        <v>42</v>
      </c>
      <c r="G6239">
        <v>-208.83680000000001</v>
      </c>
      <c r="H6239">
        <v>0.97270540000000005</v>
      </c>
      <c r="I6239">
        <v>-61.125720000000001</v>
      </c>
      <c r="J6239">
        <v>-209.38829999999999</v>
      </c>
      <c r="K6239">
        <v>1.126995</v>
      </c>
      <c r="L6239">
        <v>-61.765320000000003</v>
      </c>
      <c r="M6239">
        <v>0.99543360000000003</v>
      </c>
      <c r="N6239">
        <v>-1.429623E-2</v>
      </c>
      <c r="O6239">
        <v>9.4381439999999997E-2</v>
      </c>
      <c r="P6239">
        <v>0.9293939</v>
      </c>
      <c r="Q6239">
        <v>0.1313974</v>
      </c>
      <c r="R6239">
        <v>0.34490850000000001</v>
      </c>
      <c r="S6239">
        <v>2.4838559999999998</v>
      </c>
      <c r="T6239">
        <v>-0.52123980000000003</v>
      </c>
      <c r="U6239">
        <v>2.2330320000000001</v>
      </c>
      <c r="V6239">
        <v>-0.25791589999999998</v>
      </c>
      <c r="W6239">
        <v>0.14099510000000001</v>
      </c>
      <c r="X6239">
        <v>0.95582409999999995</v>
      </c>
      <c r="Y6239">
        <v>-0.58860829999999997</v>
      </c>
      <c r="Z6239">
        <v>4.1719609999999997E-2</v>
      </c>
      <c r="AA6239">
        <v>0.80734119999999998</v>
      </c>
      <c r="AB6239">
        <v>32</v>
      </c>
      <c r="AC6239">
        <v>0.55149999999997501</v>
      </c>
      <c r="AD6239">
        <v>-0.154289599999999</v>
      </c>
      <c r="AE6239">
        <v>0.63960000000000095</v>
      </c>
      <c r="AF6239">
        <v>-0.56580325123756503</v>
      </c>
      <c r="AG6239">
        <v>-0.154289599999999</v>
      </c>
      <c r="AH6239">
        <v>0.58972731210962703</v>
      </c>
      <c r="AI6239">
        <v>100.690995816304</v>
      </c>
      <c r="AJ6239">
        <v>133.813919811587</v>
      </c>
      <c r="AK6239">
        <v>0.83169519803062797</v>
      </c>
      <c r="AL6239">
        <v>81.894567278192596</v>
      </c>
      <c r="AM6239">
        <v>105.100824992756</v>
      </c>
      <c r="AN6239">
        <v>0.99999996991881401</v>
      </c>
    </row>
    <row r="6240" spans="1:40" x14ac:dyDescent="0.25">
      <c r="A6240" t="str">
        <f>"20190303162423723"</f>
        <v>20190303162423723</v>
      </c>
      <c r="B6240" t="str">
        <f>"1551601463710960"</f>
        <v>1551601463710960</v>
      </c>
      <c r="C6240" t="s">
        <v>40</v>
      </c>
      <c r="D6240">
        <v>5.1128289999999996</v>
      </c>
      <c r="E6240">
        <v>0.3537632</v>
      </c>
      <c r="F6240" t="s">
        <v>56</v>
      </c>
      <c r="G6240">
        <v>-203.52539999999999</v>
      </c>
      <c r="H6240" s="1">
        <v>-4.7061489999999996E-6</v>
      </c>
      <c r="I6240">
        <v>-56.776730000000001</v>
      </c>
      <c r="J6240">
        <v>-209.1891</v>
      </c>
      <c r="K6240">
        <v>1.127081</v>
      </c>
      <c r="L6240">
        <v>-61.7416699999999</v>
      </c>
      <c r="M6240">
        <v>0.99492809999999998</v>
      </c>
      <c r="N6240">
        <v>-1.430416E-2</v>
      </c>
      <c r="O6240">
        <v>9.9568039999999997E-2</v>
      </c>
      <c r="P6240">
        <v>0.92683130000000002</v>
      </c>
      <c r="Q6240">
        <v>0.12994510000000001</v>
      </c>
      <c r="R6240">
        <v>0.35227550000000002</v>
      </c>
      <c r="S6240">
        <v>2.5049899999999998</v>
      </c>
      <c r="T6240">
        <v>-0.4815255</v>
      </c>
      <c r="U6240">
        <v>2.1314389999999999</v>
      </c>
      <c r="V6240">
        <v>-0.26051819999999998</v>
      </c>
      <c r="W6240">
        <v>0.13943659999999999</v>
      </c>
      <c r="X6240">
        <v>0.9553469</v>
      </c>
      <c r="Y6240">
        <v>-0.56330259999999999</v>
      </c>
      <c r="Z6240">
        <v>3.6089499999999997E-2</v>
      </c>
      <c r="AA6240">
        <v>0.82546219999999904</v>
      </c>
      <c r="AB6240">
        <v>32</v>
      </c>
      <c r="AC6240">
        <v>5.6637000000000004</v>
      </c>
      <c r="AD6240">
        <v>-1.1270857061489901</v>
      </c>
      <c r="AE6240">
        <v>4.9649399999999799</v>
      </c>
      <c r="AF6240">
        <v>-4.28042947689414</v>
      </c>
      <c r="AG6240">
        <v>-1.1270857061489901</v>
      </c>
      <c r="AH6240">
        <v>5.9956873691253296</v>
      </c>
      <c r="AI6240">
        <v>98.698485041506302</v>
      </c>
      <c r="AJ6240">
        <v>125.523726780441</v>
      </c>
      <c r="AK6240">
        <v>7.4525610177950696</v>
      </c>
      <c r="AL6240">
        <v>81.984753950292202</v>
      </c>
      <c r="AM6240">
        <v>105.253390751533</v>
      </c>
      <c r="AN6240">
        <v>0.99999999864520495</v>
      </c>
    </row>
    <row r="6241" spans="1:40" x14ac:dyDescent="0.25">
      <c r="A6241" t="str">
        <f>"20190303162423735"</f>
        <v>20190303162423735</v>
      </c>
      <c r="B6241" t="str">
        <f>"1551601463730481"</f>
        <v>1551601463730481</v>
      </c>
      <c r="C6241" t="s">
        <v>40</v>
      </c>
      <c r="D6241">
        <v>5.1385870000000002</v>
      </c>
      <c r="E6241">
        <v>0.35621740000000002</v>
      </c>
      <c r="F6241" t="s">
        <v>56</v>
      </c>
      <c r="G6241">
        <v>-203.423</v>
      </c>
      <c r="H6241" s="1">
        <v>-4.7620490000000002E-6</v>
      </c>
      <c r="I6241">
        <v>-56.759889999999999</v>
      </c>
      <c r="J6241">
        <v>-209.02670000000001</v>
      </c>
      <c r="K6241">
        <v>1.1271789999999999</v>
      </c>
      <c r="L6241">
        <v>-61.7211</v>
      </c>
      <c r="M6241">
        <v>0.99447660000000004</v>
      </c>
      <c r="N6241">
        <v>-1.4306900000000001E-2</v>
      </c>
      <c r="O6241">
        <v>0.1039795</v>
      </c>
      <c r="P6241">
        <v>0.92439130000000003</v>
      </c>
      <c r="Q6241">
        <v>0.12953789999999901</v>
      </c>
      <c r="R6241">
        <v>0.3587764</v>
      </c>
      <c r="S6241">
        <v>2.4879760000000002</v>
      </c>
      <c r="T6241">
        <v>-0.48632160000000002</v>
      </c>
      <c r="U6241">
        <v>2.1495669999999998</v>
      </c>
      <c r="V6241">
        <v>-0.26301859999999999</v>
      </c>
      <c r="W6241">
        <v>0.1389148</v>
      </c>
      <c r="X6241">
        <v>0.95473759999999996</v>
      </c>
      <c r="Y6241">
        <v>-0.56577060000000001</v>
      </c>
      <c r="Z6241">
        <v>3.6054490000000002E-2</v>
      </c>
      <c r="AA6241">
        <v>0.82377409999999995</v>
      </c>
      <c r="AB6241">
        <v>31</v>
      </c>
      <c r="AC6241">
        <v>5.6036999999999999</v>
      </c>
      <c r="AD6241">
        <v>-1.1271837620489999</v>
      </c>
      <c r="AE6241">
        <v>4.9612099999999897</v>
      </c>
      <c r="AF6241">
        <v>-4.2550682287713801</v>
      </c>
      <c r="AG6241">
        <v>-1.1271837620489999</v>
      </c>
      <c r="AH6241">
        <v>5.95418170579436</v>
      </c>
      <c r="AI6241">
        <v>98.756009341533002</v>
      </c>
      <c r="AJ6241">
        <v>125.550937286485</v>
      </c>
      <c r="AK6241">
        <v>7.4046221139598201</v>
      </c>
      <c r="AL6241">
        <v>82.014944686460495</v>
      </c>
      <c r="AM6241">
        <v>105.402234034622</v>
      </c>
      <c r="AN6241">
        <v>0.99999999522937899</v>
      </c>
    </row>
    <row r="6242" spans="1:40" x14ac:dyDescent="0.25">
      <c r="A6242" t="str">
        <f>"20190303162423750"</f>
        <v>20190303162423750</v>
      </c>
      <c r="B6242" t="str">
        <f>"1551601463741217"</f>
        <v>1551601463741217</v>
      </c>
      <c r="C6242" t="s">
        <v>40</v>
      </c>
      <c r="D6242">
        <v>5.1144579999999999</v>
      </c>
      <c r="E6242">
        <v>0.35712369999999999</v>
      </c>
      <c r="F6242" t="s">
        <v>42</v>
      </c>
      <c r="G6242">
        <v>-208.28489999999999</v>
      </c>
      <c r="H6242">
        <v>0.98522140000000002</v>
      </c>
      <c r="I6242">
        <v>-61.077550000000002</v>
      </c>
      <c r="J6242">
        <v>-208.82130000000001</v>
      </c>
      <c r="K6242">
        <v>1.1273280000000001</v>
      </c>
      <c r="L6242">
        <v>-61.694240000000001</v>
      </c>
      <c r="M6242">
        <v>0.9938671</v>
      </c>
      <c r="N6242">
        <v>-1.4308889999999999E-2</v>
      </c>
      <c r="O6242">
        <v>0.1096512</v>
      </c>
      <c r="P6242">
        <v>0.92001379999999999</v>
      </c>
      <c r="Q6242">
        <v>0.13073409999999999</v>
      </c>
      <c r="R6242">
        <v>0.36943609999999999</v>
      </c>
      <c r="S6242">
        <v>2.477554</v>
      </c>
      <c r="T6242">
        <v>-0.47416829999999999</v>
      </c>
      <c r="U6242">
        <v>2.1495359999999999</v>
      </c>
      <c r="V6242">
        <v>-0.26870100000000002</v>
      </c>
      <c r="W6242">
        <v>0.1398993</v>
      </c>
      <c r="X6242">
        <v>0.95301000000000002</v>
      </c>
      <c r="Y6242">
        <v>-0.56310740000000004</v>
      </c>
      <c r="Z6242">
        <v>3.4330989999999999E-2</v>
      </c>
      <c r="AA6242">
        <v>0.82567040000000003</v>
      </c>
      <c r="AB6242">
        <v>31</v>
      </c>
      <c r="AC6242">
        <v>0.53640000000001398</v>
      </c>
      <c r="AD6242">
        <v>-0.1421066</v>
      </c>
      <c r="AE6242">
        <v>0.61668999999999796</v>
      </c>
      <c r="AF6242">
        <v>-0.53788764988330995</v>
      </c>
      <c r="AG6242">
        <v>-0.1421066</v>
      </c>
      <c r="AH6242">
        <v>0.58316386032076295</v>
      </c>
      <c r="AI6242">
        <v>100.155258602006</v>
      </c>
      <c r="AJ6242">
        <v>132.687236789172</v>
      </c>
      <c r="AK6242">
        <v>0.80597611481033604</v>
      </c>
      <c r="AL6242">
        <v>81.957981195113206</v>
      </c>
      <c r="AM6242">
        <v>105.74578867628701</v>
      </c>
      <c r="AN6242">
        <v>1.0000000508207401</v>
      </c>
    </row>
    <row r="6243" spans="1:40" x14ac:dyDescent="0.25">
      <c r="A6243" t="str">
        <f>"20190303162423760"</f>
        <v>20190303162423760</v>
      </c>
      <c r="B6243" t="str">
        <f>"1551601463750977"</f>
        <v>1551601463750977</v>
      </c>
      <c r="C6243" t="s">
        <v>40</v>
      </c>
      <c r="D6243">
        <v>5.126709</v>
      </c>
      <c r="E6243">
        <v>0.35817310000000002</v>
      </c>
      <c r="F6243" t="s">
        <v>42</v>
      </c>
      <c r="G6243">
        <v>-208.02789999999999</v>
      </c>
      <c r="H6243">
        <v>0.97547569999999995</v>
      </c>
      <c r="I6243">
        <v>-60.992249999999999</v>
      </c>
      <c r="J6243">
        <v>-208.66630000000001</v>
      </c>
      <c r="K6243">
        <v>1.1274599999999999</v>
      </c>
      <c r="L6243">
        <v>-61.673310000000001</v>
      </c>
      <c r="M6243">
        <v>0.99337690000000001</v>
      </c>
      <c r="N6243">
        <v>-1.430911E-2</v>
      </c>
      <c r="O6243">
        <v>0.1140077</v>
      </c>
      <c r="P6243">
        <v>0.91710380000000002</v>
      </c>
      <c r="Q6243">
        <v>0.1320807</v>
      </c>
      <c r="R6243">
        <v>0.37613180000000002</v>
      </c>
      <c r="S6243">
        <v>2.455276</v>
      </c>
      <c r="T6243">
        <v>-0.46990850000000001</v>
      </c>
      <c r="U6243">
        <v>2.1723629999999998</v>
      </c>
      <c r="V6243">
        <v>-0.27155889999999999</v>
      </c>
      <c r="W6243">
        <v>0.1411046</v>
      </c>
      <c r="X6243">
        <v>0.95202169999999997</v>
      </c>
      <c r="Y6243">
        <v>-0.56755919999999904</v>
      </c>
      <c r="Z6243">
        <v>3.3971260000000003E-2</v>
      </c>
      <c r="AA6243">
        <v>0.82263149999999996</v>
      </c>
      <c r="AB6243">
        <v>31</v>
      </c>
      <c r="AC6243">
        <v>0.63840000000001795</v>
      </c>
      <c r="AD6243">
        <v>-0.15198429999999999</v>
      </c>
      <c r="AE6243">
        <v>0.681060000000002</v>
      </c>
      <c r="AF6243">
        <v>-0.58823542553522801</v>
      </c>
      <c r="AG6243">
        <v>-0.15198429999999999</v>
      </c>
      <c r="AH6243">
        <v>0.69350705313143102</v>
      </c>
      <c r="AI6243">
        <v>99.488121137164995</v>
      </c>
      <c r="AJ6243">
        <v>130.304741492782</v>
      </c>
      <c r="AK6243">
        <v>0.92199358785413599</v>
      </c>
      <c r="AL6243">
        <v>81.888230530607501</v>
      </c>
      <c r="AM6243">
        <v>105.920504532705</v>
      </c>
      <c r="AN6243">
        <v>1.0000000307906201</v>
      </c>
    </row>
    <row r="6244" spans="1:40" x14ac:dyDescent="0.25">
      <c r="A6244" t="str">
        <f>"20190303162423773"</f>
        <v>20190303162423773</v>
      </c>
      <c r="B6244" t="str">
        <f>"1551601463760737"</f>
        <v>1551601463760737</v>
      </c>
      <c r="C6244" t="s">
        <v>40</v>
      </c>
      <c r="D6244">
        <v>5.1348570000000002</v>
      </c>
      <c r="E6244">
        <v>0.35817310000000002</v>
      </c>
      <c r="F6244" t="s">
        <v>42</v>
      </c>
      <c r="G6244">
        <v>-207.9999</v>
      </c>
      <c r="H6244">
        <v>1.0009129999999999</v>
      </c>
      <c r="I6244">
        <v>-61.077840000000002</v>
      </c>
      <c r="J6244">
        <v>-208.50729999999999</v>
      </c>
      <c r="K6244">
        <v>1.1276189999999999</v>
      </c>
      <c r="L6244">
        <v>-61.650570000000002</v>
      </c>
      <c r="M6244">
        <v>0.9928363</v>
      </c>
      <c r="N6244">
        <v>-1.431051E-2</v>
      </c>
      <c r="O6244">
        <v>0.1186234</v>
      </c>
      <c r="P6244">
        <v>0.91407349999999998</v>
      </c>
      <c r="Q6244">
        <v>0.1335827</v>
      </c>
      <c r="R6244">
        <v>0.38291740000000002</v>
      </c>
      <c r="S6244">
        <v>2.4428100000000001</v>
      </c>
      <c r="T6244">
        <v>-0.46386290000000002</v>
      </c>
      <c r="U6244">
        <v>2.1826780000000001</v>
      </c>
      <c r="V6244">
        <v>-0.27429480000000001</v>
      </c>
      <c r="W6244">
        <v>0.1424522</v>
      </c>
      <c r="X6244">
        <v>0.9510362</v>
      </c>
      <c r="Y6244">
        <v>-0.56790719999999995</v>
      </c>
      <c r="Z6244">
        <v>3.3059169999999999E-2</v>
      </c>
      <c r="AA6244">
        <v>0.82242839999999995</v>
      </c>
      <c r="AB6244">
        <v>31</v>
      </c>
      <c r="AC6244">
        <v>0.50739999999998897</v>
      </c>
      <c r="AD6244">
        <v>-0.12670600000000001</v>
      </c>
      <c r="AE6244">
        <v>0.57272999999999197</v>
      </c>
      <c r="AF6244">
        <v>-0.49491837915068498</v>
      </c>
      <c r="AG6244">
        <v>-0.12670600000000001</v>
      </c>
      <c r="AH6244">
        <v>0.55650282947964902</v>
      </c>
      <c r="AI6244">
        <v>99.655520889538494</v>
      </c>
      <c r="AJ6244">
        <v>131.64786844598399</v>
      </c>
      <c r="AK6244">
        <v>0.75544292416833003</v>
      </c>
      <c r="AL6244">
        <v>81.810231056095205</v>
      </c>
      <c r="AM6244">
        <v>106.088448932527</v>
      </c>
      <c r="AN6244">
        <v>1.0000000601511501</v>
      </c>
    </row>
    <row r="6245" spans="1:40" x14ac:dyDescent="0.25">
      <c r="A6245" t="str">
        <f>"20190303162423785"</f>
        <v>20190303162423785</v>
      </c>
      <c r="B6245" t="str">
        <f>"1551601463781231"</f>
        <v>1551601463781231</v>
      </c>
      <c r="C6245" t="s">
        <v>40</v>
      </c>
      <c r="D6245">
        <v>5.1238039999999998</v>
      </c>
      <c r="E6245">
        <v>0.36730200000000002</v>
      </c>
      <c r="F6245" t="s">
        <v>42</v>
      </c>
      <c r="G6245">
        <v>-207.75299999999999</v>
      </c>
      <c r="H6245">
        <v>0.98488799999999999</v>
      </c>
      <c r="I6245">
        <v>-60.966709999999999</v>
      </c>
      <c r="J6245">
        <v>-208.35290000000001</v>
      </c>
      <c r="K6245">
        <v>1.1277790000000001</v>
      </c>
      <c r="L6245">
        <v>-61.628169999999997</v>
      </c>
      <c r="M6245">
        <v>0.99228490000000003</v>
      </c>
      <c r="N6245">
        <v>-1.4311320000000001E-2</v>
      </c>
      <c r="O6245">
        <v>0.1231498</v>
      </c>
      <c r="P6245">
        <v>0.91116940000000002</v>
      </c>
      <c r="Q6245">
        <v>0.1349148</v>
      </c>
      <c r="R6245">
        <v>0.389318</v>
      </c>
      <c r="S6245">
        <v>2.4270019999999999</v>
      </c>
      <c r="T6245">
        <v>-0.45928720000000001</v>
      </c>
      <c r="U6245">
        <v>2.2012330000000002</v>
      </c>
      <c r="V6245">
        <v>-0.27672849999999999</v>
      </c>
      <c r="W6245">
        <v>0.14363299999999901</v>
      </c>
      <c r="X6245">
        <v>0.95015309999999997</v>
      </c>
      <c r="Y6245">
        <v>-0.57037299999999902</v>
      </c>
      <c r="Z6245">
        <v>3.24476E-2</v>
      </c>
      <c r="AA6245">
        <v>0.82074460000000005</v>
      </c>
      <c r="AB6245">
        <v>31</v>
      </c>
      <c r="AC6245">
        <v>0.59990000000001897</v>
      </c>
      <c r="AD6245">
        <v>-0.14289099999999999</v>
      </c>
      <c r="AE6245">
        <v>0.66145999999999805</v>
      </c>
      <c r="AF6245">
        <v>-0.56799522119752999</v>
      </c>
      <c r="AG6245">
        <v>-0.14289099999999999</v>
      </c>
      <c r="AH6245">
        <v>0.65990273577335401</v>
      </c>
      <c r="AI6245">
        <v>99.319934259758497</v>
      </c>
      <c r="AJ6245">
        <v>130.71942310601901</v>
      </c>
      <c r="AK6245">
        <v>0.88233102057299795</v>
      </c>
      <c r="AL6245">
        <v>81.741872805697895</v>
      </c>
      <c r="AM6245">
        <v>106.238001089299</v>
      </c>
      <c r="AN6245">
        <v>1.0000000074204201</v>
      </c>
    </row>
    <row r="6246" spans="1:40" x14ac:dyDescent="0.25">
      <c r="A6246" t="str">
        <f>"20190303162423794"</f>
        <v>20190303162423794</v>
      </c>
      <c r="B6246" t="str">
        <f>"1551601463790993"</f>
        <v>1551601463790993</v>
      </c>
      <c r="C6246" t="s">
        <v>40</v>
      </c>
      <c r="D6246">
        <v>5.1467010000000002</v>
      </c>
      <c r="E6246">
        <v>0.36744209999999999</v>
      </c>
      <c r="F6246" t="s">
        <v>56</v>
      </c>
      <c r="G6246">
        <v>-201.80029999999999</v>
      </c>
      <c r="H6246" s="1">
        <v>-5.7363969999999898E-6</v>
      </c>
      <c r="I6246">
        <v>-55.841290000000001</v>
      </c>
      <c r="J6246">
        <v>-208.1994</v>
      </c>
      <c r="K6246">
        <v>1.1279600000000001</v>
      </c>
      <c r="L6246">
        <v>-61.604610000000001</v>
      </c>
      <c r="M6246">
        <v>0.99169379999999996</v>
      </c>
      <c r="N6246">
        <v>-1.4315420000000001E-2</v>
      </c>
      <c r="O6246">
        <v>0.12782249999999901</v>
      </c>
      <c r="P6246">
        <v>0.9083097</v>
      </c>
      <c r="Q6246">
        <v>0.13618769999999999</v>
      </c>
      <c r="R6246">
        <v>0.39550780000000002</v>
      </c>
      <c r="S6246">
        <v>2.4355159999999998</v>
      </c>
      <c r="T6246">
        <v>-0.41918250000000001</v>
      </c>
      <c r="U6246">
        <v>2.150909</v>
      </c>
      <c r="V6246">
        <v>-0.27882479999999998</v>
      </c>
      <c r="W6246">
        <v>0.1447513</v>
      </c>
      <c r="X6246">
        <v>0.94937020000000005</v>
      </c>
      <c r="Y6246">
        <v>-0.55648339999999996</v>
      </c>
      <c r="Z6246">
        <v>2.8499859999999998E-2</v>
      </c>
      <c r="AA6246">
        <v>0.83036980000000005</v>
      </c>
      <c r="AB6246">
        <v>31</v>
      </c>
      <c r="AC6246">
        <v>6.3990999999999998</v>
      </c>
      <c r="AD6246">
        <v>-1.1279657363969999</v>
      </c>
      <c r="AE6246">
        <v>5.7633199999999896</v>
      </c>
      <c r="AF6246">
        <v>-4.8153921828808803</v>
      </c>
      <c r="AG6246">
        <v>-1.1279657363969999</v>
      </c>
      <c r="AH6246">
        <v>6.9638880531198302</v>
      </c>
      <c r="AI6246">
        <v>97.588542148090994</v>
      </c>
      <c r="AJ6246">
        <v>124.663098962619</v>
      </c>
      <c r="AK6246">
        <v>8.5414311092358002</v>
      </c>
      <c r="AL6246">
        <v>81.677122143541297</v>
      </c>
      <c r="AM6246">
        <v>106.367223191409</v>
      </c>
      <c r="AN6246">
        <v>0.99999999229738501</v>
      </c>
    </row>
    <row r="6247" spans="1:40" x14ac:dyDescent="0.25">
      <c r="A6247" t="str">
        <f>"20190303162423807"</f>
        <v>20190303162423807</v>
      </c>
      <c r="B6247" t="str">
        <f>"1551601463800752"</f>
        <v>1551601463800752</v>
      </c>
      <c r="C6247" t="s">
        <v>40</v>
      </c>
      <c r="D6247">
        <v>5.1579560000000004</v>
      </c>
      <c r="E6247">
        <v>0.36794339999999998</v>
      </c>
      <c r="F6247" t="s">
        <v>42</v>
      </c>
      <c r="G6247">
        <v>-207.47219999999999</v>
      </c>
      <c r="H6247">
        <v>1.0061530000000001</v>
      </c>
      <c r="I6247">
        <v>-60.953539999999997</v>
      </c>
      <c r="J6247">
        <v>-208.03190000000001</v>
      </c>
      <c r="K6247">
        <v>1.1281600000000001</v>
      </c>
      <c r="L6247">
        <v>-61.578249999999997</v>
      </c>
      <c r="M6247">
        <v>0.99101229999999996</v>
      </c>
      <c r="N6247">
        <v>-1.432103E-2</v>
      </c>
      <c r="O6247">
        <v>0.1330016</v>
      </c>
      <c r="P6247">
        <v>0.90533090000000005</v>
      </c>
      <c r="Q6247">
        <v>0.13773759999999999</v>
      </c>
      <c r="R6247">
        <v>0.40175139999999998</v>
      </c>
      <c r="S6247">
        <v>2.420242</v>
      </c>
      <c r="T6247">
        <v>-0.40538449999999998</v>
      </c>
      <c r="U6247">
        <v>2.1665649999999999</v>
      </c>
      <c r="V6247">
        <v>-0.28052690000000002</v>
      </c>
      <c r="W6247">
        <v>0.146143</v>
      </c>
      <c r="X6247">
        <v>0.94865529999999998</v>
      </c>
      <c r="Y6247">
        <v>-0.55799469999999995</v>
      </c>
      <c r="Z6247">
        <v>2.7314160000000001E-2</v>
      </c>
      <c r="AA6247">
        <v>0.82939490000000005</v>
      </c>
      <c r="AB6247">
        <v>31</v>
      </c>
      <c r="AC6247">
        <v>0.55970000000001996</v>
      </c>
      <c r="AD6247">
        <v>-0.12200699999999901</v>
      </c>
      <c r="AE6247">
        <v>0.62470999999999299</v>
      </c>
      <c r="AF6247">
        <v>-0.53342363798792902</v>
      </c>
      <c r="AG6247">
        <v>-0.12200699999999901</v>
      </c>
      <c r="AH6247">
        <v>0.62460659443856104</v>
      </c>
      <c r="AI6247">
        <v>98.448827483296</v>
      </c>
      <c r="AJ6247">
        <v>130.49783639299801</v>
      </c>
      <c r="AK6247">
        <v>0.83039742498963398</v>
      </c>
      <c r="AL6247">
        <v>81.596526597315503</v>
      </c>
      <c r="AM6247">
        <v>106.473477545748</v>
      </c>
      <c r="AN6247">
        <v>0.99999999814535001</v>
      </c>
    </row>
    <row r="6248" spans="1:40" x14ac:dyDescent="0.25">
      <c r="A6248" t="str">
        <f>"20190303162423820"</f>
        <v>20190303162423820</v>
      </c>
      <c r="B6248" t="str">
        <f>"1551601463810513"</f>
        <v>1551601463810513</v>
      </c>
      <c r="C6248" t="s">
        <v>40</v>
      </c>
      <c r="D6248">
        <v>5.1239019999999904</v>
      </c>
      <c r="E6248">
        <v>0.36794339999999998</v>
      </c>
      <c r="F6248" t="s">
        <v>42</v>
      </c>
      <c r="G6248">
        <v>-207.2242</v>
      </c>
      <c r="H6248">
        <v>0.99176520000000001</v>
      </c>
      <c r="I6248">
        <v>-60.846960000000003</v>
      </c>
      <c r="J6248">
        <v>-207.8546</v>
      </c>
      <c r="K6248">
        <v>1.128376</v>
      </c>
      <c r="L6248">
        <v>-61.549320000000002</v>
      </c>
      <c r="M6248">
        <v>0.99024199999999996</v>
      </c>
      <c r="N6248">
        <v>-1.43298E-2</v>
      </c>
      <c r="O6248">
        <v>0.13861970000000001</v>
      </c>
      <c r="P6248">
        <v>0.90225599999999995</v>
      </c>
      <c r="Q6248">
        <v>0.13966979999999901</v>
      </c>
      <c r="R6248">
        <v>0.40795389999999998</v>
      </c>
      <c r="S6248">
        <v>2.4079440000000001</v>
      </c>
      <c r="T6248">
        <v>-0.40667199999999998</v>
      </c>
      <c r="U6248">
        <v>2.180542</v>
      </c>
      <c r="V6248">
        <v>-0.28180630000000001</v>
      </c>
      <c r="W6248">
        <v>0.147917299999999</v>
      </c>
      <c r="X6248">
        <v>0.94800090000000004</v>
      </c>
      <c r="Y6248">
        <v>-0.55806020000000001</v>
      </c>
      <c r="Z6248">
        <v>2.673495E-2</v>
      </c>
      <c r="AA6248">
        <v>0.82936969999999999</v>
      </c>
      <c r="AB6248">
        <v>31</v>
      </c>
      <c r="AC6248">
        <v>0.63040000000000795</v>
      </c>
      <c r="AD6248">
        <v>-0.1366108</v>
      </c>
      <c r="AE6248">
        <v>0.70235999999999799</v>
      </c>
      <c r="AF6248">
        <v>-0.59570163801948905</v>
      </c>
      <c r="AG6248">
        <v>-0.1366108</v>
      </c>
      <c r="AH6248">
        <v>0.70687297357930401</v>
      </c>
      <c r="AI6248">
        <v>98.406437408610898</v>
      </c>
      <c r="AJ6248">
        <v>130.12177679643199</v>
      </c>
      <c r="AK6248">
        <v>0.93444761918076003</v>
      </c>
      <c r="AL6248">
        <v>81.493749824811005</v>
      </c>
      <c r="AM6248">
        <v>106.55530519150599</v>
      </c>
      <c r="AN6248">
        <v>1.00000001237989</v>
      </c>
    </row>
    <row r="6249" spans="1:40" x14ac:dyDescent="0.25">
      <c r="A6249" t="str">
        <f>"20190303162423831"</f>
        <v>20190303162423831</v>
      </c>
      <c r="B6249" t="str">
        <f>"1551601463821248"</f>
        <v>1551601463821248</v>
      </c>
      <c r="C6249" t="s">
        <v>40</v>
      </c>
      <c r="D6249">
        <v>5.1257469999999996</v>
      </c>
      <c r="E6249">
        <v>0.34798800000000002</v>
      </c>
      <c r="F6249" t="s">
        <v>42</v>
      </c>
      <c r="G6249">
        <v>-207.19110000000001</v>
      </c>
      <c r="H6249">
        <v>1.01756</v>
      </c>
      <c r="I6249">
        <v>-60.93985</v>
      </c>
      <c r="J6249">
        <v>-207.70269999999999</v>
      </c>
      <c r="K6249">
        <v>1.1285689999999999</v>
      </c>
      <c r="L6249">
        <v>-61.523249999999997</v>
      </c>
      <c r="M6249">
        <v>0.98953230000000003</v>
      </c>
      <c r="N6249">
        <v>-1.4340469999999999E-2</v>
      </c>
      <c r="O6249">
        <v>0.14359749999999999</v>
      </c>
      <c r="P6249">
        <v>0.89894200000000002</v>
      </c>
      <c r="Q6249">
        <v>0.14165229999999901</v>
      </c>
      <c r="R6249">
        <v>0.4145337</v>
      </c>
      <c r="S6249">
        <v>2.392868</v>
      </c>
      <c r="T6249">
        <v>-0.39969480000000002</v>
      </c>
      <c r="U6249">
        <v>2.1983640000000002</v>
      </c>
      <c r="V6249">
        <v>-0.28411310000000001</v>
      </c>
      <c r="W6249">
        <v>0.1497346</v>
      </c>
      <c r="X6249">
        <v>0.94702660000000005</v>
      </c>
      <c r="Y6249">
        <v>-0.55997849999999905</v>
      </c>
      <c r="Z6249">
        <v>2.5988029999999999E-2</v>
      </c>
      <c r="AA6249">
        <v>0.82809949999999999</v>
      </c>
      <c r="AB6249">
        <v>31</v>
      </c>
      <c r="AC6249">
        <v>0.51159999999998695</v>
      </c>
      <c r="AD6249">
        <v>-0.111009</v>
      </c>
      <c r="AE6249">
        <v>0.58339999999999703</v>
      </c>
      <c r="AF6249">
        <v>-0.49377436468584901</v>
      </c>
      <c r="AG6249">
        <v>-0.111009</v>
      </c>
      <c r="AH6249">
        <v>0.57824520182244199</v>
      </c>
      <c r="AI6249">
        <v>98.305996612312001</v>
      </c>
      <c r="AJ6249">
        <v>130.494631579241</v>
      </c>
      <c r="AK6249">
        <v>0.76844234314136495</v>
      </c>
      <c r="AL6249">
        <v>81.388453810483099</v>
      </c>
      <c r="AM6249">
        <v>106.699528420381</v>
      </c>
      <c r="AN6249">
        <v>1.0000000425681601</v>
      </c>
    </row>
    <row r="6250" spans="1:40" x14ac:dyDescent="0.25">
      <c r="A6250" t="str">
        <f>"20190303162423845"</f>
        <v>20190303162423845</v>
      </c>
      <c r="B6250" t="str">
        <f>"1551601463840768"</f>
        <v>1551601463840768</v>
      </c>
      <c r="C6250" t="s">
        <v>40</v>
      </c>
      <c r="D6250">
        <v>5.0656359999999996</v>
      </c>
      <c r="E6250">
        <v>0.33462309999999901</v>
      </c>
      <c r="F6250" t="s">
        <v>56</v>
      </c>
      <c r="G6250">
        <v>-200.9264</v>
      </c>
      <c r="H6250" s="1">
        <v>-6.2619470000000004E-6</v>
      </c>
      <c r="I6250">
        <v>-54.593989999999998</v>
      </c>
      <c r="J6250">
        <v>-207.52119999999999</v>
      </c>
      <c r="K6250">
        <v>1.1287959999999999</v>
      </c>
      <c r="L6250">
        <v>-61.491390000000003</v>
      </c>
      <c r="M6250">
        <v>0.98863670000000003</v>
      </c>
      <c r="N6250">
        <v>-1.435344E-2</v>
      </c>
      <c r="O6250">
        <v>0.149637299999999</v>
      </c>
      <c r="P6250">
        <v>0.89541090000000001</v>
      </c>
      <c r="Q6250">
        <v>0.14333170000000001</v>
      </c>
      <c r="R6250">
        <v>0.4215391</v>
      </c>
      <c r="S6250">
        <v>2.3090519999999999</v>
      </c>
      <c r="T6250">
        <v>-0.38456699999999999</v>
      </c>
      <c r="U6250">
        <v>2.3611759999999999</v>
      </c>
      <c r="V6250">
        <v>-0.285875299999999</v>
      </c>
      <c r="W6250">
        <v>0.1512384</v>
      </c>
      <c r="X6250">
        <v>0.94625700000000001</v>
      </c>
      <c r="Y6250">
        <v>-0.59858009999999995</v>
      </c>
      <c r="Z6250">
        <v>2.7679059999999998E-2</v>
      </c>
      <c r="AA6250">
        <v>0.80058469999999904</v>
      </c>
      <c r="AB6250">
        <v>31</v>
      </c>
      <c r="AC6250">
        <v>6.5947999999999896</v>
      </c>
      <c r="AD6250">
        <v>-1.128802261947</v>
      </c>
      <c r="AE6250">
        <v>6.8973999999999904</v>
      </c>
      <c r="AF6250">
        <v>-5.7523092834803098</v>
      </c>
      <c r="AG6250">
        <v>-1.128802261947</v>
      </c>
      <c r="AH6250">
        <v>7.4485278933875199</v>
      </c>
      <c r="AI6250">
        <v>96.839562455694306</v>
      </c>
      <c r="AJ6250">
        <v>127.67799925344499</v>
      </c>
      <c r="AK6250">
        <v>9.4785982306437297</v>
      </c>
      <c r="AL6250">
        <v>81.301299758727396</v>
      </c>
      <c r="AM6250">
        <v>106.8101803874</v>
      </c>
      <c r="AN6250">
        <v>1.00000002541682</v>
      </c>
    </row>
    <row r="6251" spans="1:40" x14ac:dyDescent="0.25">
      <c r="A6251" t="str">
        <f>"20190303162423858"</f>
        <v>20190303162423858</v>
      </c>
      <c r="B6251" t="str">
        <f>"1551601463850529"</f>
        <v>1551601463850529</v>
      </c>
      <c r="C6251" t="s">
        <v>40</v>
      </c>
      <c r="D6251">
        <v>5.0554600000000001</v>
      </c>
      <c r="E6251">
        <v>0.33097989999999999</v>
      </c>
      <c r="F6251" t="s">
        <v>56</v>
      </c>
      <c r="G6251">
        <v>-201.126</v>
      </c>
      <c r="H6251" s="1">
        <v>-6.209944E-6</v>
      </c>
      <c r="I6251">
        <v>-54.443359999999998</v>
      </c>
      <c r="J6251">
        <v>-207.34180000000001</v>
      </c>
      <c r="K6251">
        <v>1.129019</v>
      </c>
      <c r="L6251">
        <v>-61.45834</v>
      </c>
      <c r="M6251">
        <v>0.98768060000000002</v>
      </c>
      <c r="N6251">
        <v>-1.437009E-2</v>
      </c>
      <c r="O6251">
        <v>0.15582309999999999</v>
      </c>
      <c r="P6251">
        <v>0.89179779999999997</v>
      </c>
      <c r="Q6251">
        <v>0.14394870000000001</v>
      </c>
      <c r="R6251">
        <v>0.42892350000000001</v>
      </c>
      <c r="S6251">
        <v>2.2477420000000001</v>
      </c>
      <c r="T6251">
        <v>-0.39674009999999998</v>
      </c>
      <c r="U6251">
        <v>2.4771730000000001</v>
      </c>
      <c r="V6251">
        <v>-0.2878791</v>
      </c>
      <c r="W6251">
        <v>0.15167720000000001</v>
      </c>
      <c r="X6251">
        <v>0.94557899999999995</v>
      </c>
      <c r="Y6251">
        <v>-0.62284200000000001</v>
      </c>
      <c r="Z6251">
        <v>2.9634440000000001E-2</v>
      </c>
      <c r="AA6251">
        <v>0.78178619999999899</v>
      </c>
      <c r="AB6251">
        <v>31</v>
      </c>
      <c r="AC6251">
        <v>6.21580000000003</v>
      </c>
      <c r="AD6251">
        <v>-1.1290252099439999</v>
      </c>
      <c r="AE6251">
        <v>7.0149800000000004</v>
      </c>
      <c r="AF6251">
        <v>-5.8753541950063397</v>
      </c>
      <c r="AG6251">
        <v>-1.1290252099439999</v>
      </c>
      <c r="AH6251">
        <v>7.1296119558191</v>
      </c>
      <c r="AI6251">
        <v>96.967442821458704</v>
      </c>
      <c r="AJ6251">
        <v>129.491173897534</v>
      </c>
      <c r="AK6251">
        <v>9.3073009772987501</v>
      </c>
      <c r="AL6251">
        <v>81.275864700295699</v>
      </c>
      <c r="AM6251">
        <v>106.932736200463</v>
      </c>
      <c r="AN6251">
        <v>0.99999999722882404</v>
      </c>
    </row>
    <row r="6252" spans="1:40" x14ac:dyDescent="0.25">
      <c r="A6252" t="str">
        <f>"20190303162423874"</f>
        <v>20190303162423874</v>
      </c>
      <c r="B6252" t="str">
        <f>"1551601463871024"</f>
        <v>1551601463871024</v>
      </c>
      <c r="C6252" t="s">
        <v>40</v>
      </c>
      <c r="D6252">
        <v>5.1298909999999998</v>
      </c>
      <c r="E6252">
        <v>0.32821349999999999</v>
      </c>
      <c r="F6252" t="s">
        <v>56</v>
      </c>
      <c r="G6252">
        <v>-201.11439999999999</v>
      </c>
      <c r="H6252" s="1">
        <v>-6.2258650000000001E-6</v>
      </c>
      <c r="I6252">
        <v>-54.369450000000001</v>
      </c>
      <c r="J6252">
        <v>-207.12360000000001</v>
      </c>
      <c r="K6252">
        <v>1.129284</v>
      </c>
      <c r="L6252">
        <v>-61.416350000000001</v>
      </c>
      <c r="M6252">
        <v>0.98642739999999995</v>
      </c>
      <c r="N6252">
        <v>-1.4394000000000001E-2</v>
      </c>
      <c r="O6252">
        <v>0.16356609999999999</v>
      </c>
      <c r="P6252">
        <v>0.88690809999999998</v>
      </c>
      <c r="Q6252">
        <v>0.14316489999999901</v>
      </c>
      <c r="R6252">
        <v>0.43920140000000002</v>
      </c>
      <c r="S6252">
        <v>2.2157140000000002</v>
      </c>
      <c r="T6252">
        <v>-0.40170509999999998</v>
      </c>
      <c r="U6252">
        <v>2.5222169999999999</v>
      </c>
      <c r="V6252">
        <v>-0.29145110000000002</v>
      </c>
      <c r="W6252">
        <v>0.15065290000000001</v>
      </c>
      <c r="X6252">
        <v>0.94464809999999999</v>
      </c>
      <c r="Y6252">
        <v>-0.62917749999999995</v>
      </c>
      <c r="Z6252">
        <v>2.957508E-2</v>
      </c>
      <c r="AA6252">
        <v>0.77669880000000002</v>
      </c>
      <c r="AB6252">
        <v>31</v>
      </c>
      <c r="AC6252">
        <v>6.0092000000000203</v>
      </c>
      <c r="AD6252">
        <v>-1.1292902258649999</v>
      </c>
      <c r="AE6252">
        <v>7.0468999999999999</v>
      </c>
      <c r="AF6252">
        <v>-5.8815201638652601</v>
      </c>
      <c r="AG6252">
        <v>-1.1292902258649999</v>
      </c>
      <c r="AH6252">
        <v>6.9772624728318604</v>
      </c>
      <c r="AI6252">
        <v>97.054558729524899</v>
      </c>
      <c r="AJ6252">
        <v>130.129390474752</v>
      </c>
      <c r="AK6252">
        <v>9.19509475029896</v>
      </c>
      <c r="AL6252">
        <v>81.335235364119697</v>
      </c>
      <c r="AM6252">
        <v>107.146498591929</v>
      </c>
      <c r="AN6252">
        <v>1.0000000364016099</v>
      </c>
    </row>
    <row r="6253" spans="1:40" x14ac:dyDescent="0.25">
      <c r="A6253" t="str">
        <f>"20190303162423887"</f>
        <v>20190303162423887</v>
      </c>
      <c r="B6253" t="str">
        <f>"1551601463880784"</f>
        <v>1551601463880784</v>
      </c>
      <c r="C6253" t="s">
        <v>40</v>
      </c>
      <c r="D6253">
        <v>5.123742</v>
      </c>
      <c r="E6253">
        <v>0.32765159999999999</v>
      </c>
      <c r="F6253" t="s">
        <v>56</v>
      </c>
      <c r="G6253">
        <v>-201.0746</v>
      </c>
      <c r="H6253" s="1">
        <v>-6.2538180000000002E-6</v>
      </c>
      <c r="I6253">
        <v>-54.28678</v>
      </c>
      <c r="J6253">
        <v>-206.95099999999999</v>
      </c>
      <c r="K6253">
        <v>1.1294869999999999</v>
      </c>
      <c r="L6253">
        <v>-61.381959999999999</v>
      </c>
      <c r="M6253">
        <v>0.98536780000000002</v>
      </c>
      <c r="N6253">
        <v>-1.441453E-2</v>
      </c>
      <c r="O6253">
        <v>0.16983090000000001</v>
      </c>
      <c r="P6253">
        <v>0.88430039999999999</v>
      </c>
      <c r="Q6253">
        <v>0.1415033</v>
      </c>
      <c r="R6253">
        <v>0.44496039999999998</v>
      </c>
      <c r="S6253">
        <v>2.1773220000000002</v>
      </c>
      <c r="T6253">
        <v>-0.40649200000000002</v>
      </c>
      <c r="U6253">
        <v>2.5663149999999999</v>
      </c>
      <c r="V6253">
        <v>-0.29158329999999999</v>
      </c>
      <c r="W6253">
        <v>0.1488737</v>
      </c>
      <c r="X6253">
        <v>0.94488930000000004</v>
      </c>
      <c r="Y6253">
        <v>-0.63745769999999902</v>
      </c>
      <c r="Z6253">
        <v>2.988232E-2</v>
      </c>
      <c r="AA6253">
        <v>0.76990570000000003</v>
      </c>
      <c r="AB6253">
        <v>31</v>
      </c>
      <c r="AC6253">
        <v>5.8763999999999896</v>
      </c>
      <c r="AD6253">
        <v>-1.129493253818</v>
      </c>
      <c r="AE6253">
        <v>7.0951799999999903</v>
      </c>
      <c r="AF6253">
        <v>-5.9052275044410303</v>
      </c>
      <c r="AG6253">
        <v>-1.129493253818</v>
      </c>
      <c r="AH6253">
        <v>6.8925199374376804</v>
      </c>
      <c r="AI6253">
        <v>97.093690306916997</v>
      </c>
      <c r="AJ6253">
        <v>130.58860897487301</v>
      </c>
      <c r="AK6253">
        <v>9.1462723542218693</v>
      </c>
      <c r="AL6253">
        <v>81.438338476433898</v>
      </c>
      <c r="AM6253">
        <v>107.14969780984499</v>
      </c>
      <c r="AN6253">
        <v>0.99999999432253495</v>
      </c>
    </row>
    <row r="6254" spans="1:40" x14ac:dyDescent="0.25">
      <c r="A6254" t="str">
        <f>"20190303162423897"</f>
        <v>20190303162423897</v>
      </c>
      <c r="B6254" t="str">
        <f>"1551601463890545"</f>
        <v>1551601463890545</v>
      </c>
      <c r="C6254" t="s">
        <v>40</v>
      </c>
      <c r="D6254">
        <v>5.1163780000000001</v>
      </c>
      <c r="E6254">
        <v>0.32727899999999999</v>
      </c>
      <c r="F6254" t="s">
        <v>56</v>
      </c>
      <c r="G6254">
        <v>-201.0514</v>
      </c>
      <c r="H6254" s="1">
        <v>-6.2573430000000003E-6</v>
      </c>
      <c r="I6254">
        <v>-54.320469999999901</v>
      </c>
      <c r="J6254">
        <v>-206.80799999999999</v>
      </c>
      <c r="K6254">
        <v>1.129651</v>
      </c>
      <c r="L6254">
        <v>-61.35239</v>
      </c>
      <c r="M6254">
        <v>0.98443590000000003</v>
      </c>
      <c r="N6254">
        <v>-1.4433369999999999E-2</v>
      </c>
      <c r="O6254">
        <v>0.17515039999999901</v>
      </c>
      <c r="P6254">
        <v>0.88105610000000001</v>
      </c>
      <c r="Q6254">
        <v>0.1408925</v>
      </c>
      <c r="R6254">
        <v>0.45154109999999997</v>
      </c>
      <c r="S6254">
        <v>2.158569</v>
      </c>
      <c r="T6254">
        <v>-0.41326679999999999</v>
      </c>
      <c r="U6254">
        <v>2.58371</v>
      </c>
      <c r="V6254">
        <v>-0.29355599999999998</v>
      </c>
      <c r="W6254">
        <v>0.14811729999999901</v>
      </c>
      <c r="X6254">
        <v>0.94439720000000005</v>
      </c>
      <c r="Y6254">
        <v>-0.63903859999999901</v>
      </c>
      <c r="Z6254">
        <v>2.9789940000000001E-2</v>
      </c>
      <c r="AA6254">
        <v>0.76859750000000004</v>
      </c>
      <c r="AB6254">
        <v>31</v>
      </c>
      <c r="AC6254">
        <v>5.7565999999999899</v>
      </c>
      <c r="AD6254">
        <v>-1.1296572573429999</v>
      </c>
      <c r="AE6254">
        <v>7.0319200000000004</v>
      </c>
      <c r="AF6254">
        <v>-5.8248146194143704</v>
      </c>
      <c r="AG6254">
        <v>-1.1296572573429999</v>
      </c>
      <c r="AH6254">
        <v>6.7943790394378496</v>
      </c>
      <c r="AI6254">
        <v>97.194221727884297</v>
      </c>
      <c r="AJ6254">
        <v>130.606452821039</v>
      </c>
      <c r="AK6254">
        <v>9.0204311094960108</v>
      </c>
      <c r="AL6254">
        <v>81.482162635918797</v>
      </c>
      <c r="AM6254">
        <v>107.267311022632</v>
      </c>
      <c r="AN6254">
        <v>0.99999996553156401</v>
      </c>
    </row>
    <row r="6255" spans="1:40" x14ac:dyDescent="0.25">
      <c r="A6255" t="str">
        <f>"20190303162423908"</f>
        <v>20190303162423908</v>
      </c>
      <c r="B6255" t="str">
        <f>"1551601463901280"</f>
        <v>1551601463901280</v>
      </c>
      <c r="C6255" t="s">
        <v>40</v>
      </c>
      <c r="D6255">
        <v>5.1407449999999999</v>
      </c>
      <c r="E6255">
        <v>0.3270999</v>
      </c>
      <c r="F6255" t="s">
        <v>56</v>
      </c>
      <c r="G6255">
        <v>-201.0035</v>
      </c>
      <c r="H6255" s="1">
        <v>-6.2808390000000001E-6</v>
      </c>
      <c r="I6255">
        <v>-54.286259999999999</v>
      </c>
      <c r="J6255">
        <v>-206.67070000000001</v>
      </c>
      <c r="K6255">
        <v>1.1298060000000001</v>
      </c>
      <c r="L6255">
        <v>-61.323120000000003</v>
      </c>
      <c r="M6255">
        <v>0.98349679999999995</v>
      </c>
      <c r="N6255">
        <v>-1.445225E-2</v>
      </c>
      <c r="O6255">
        <v>0.18034710000000001</v>
      </c>
      <c r="P6255">
        <v>0.87769509999999995</v>
      </c>
      <c r="Q6255">
        <v>0.14031279999999999</v>
      </c>
      <c r="R6255">
        <v>0.45821790000000001</v>
      </c>
      <c r="S6255">
        <v>2.1377869999999999</v>
      </c>
      <c r="T6255">
        <v>-0.41604649999999999</v>
      </c>
      <c r="U6255">
        <v>2.602417</v>
      </c>
      <c r="V6255">
        <v>-0.29576720000000001</v>
      </c>
      <c r="W6255">
        <v>0.14739050000000001</v>
      </c>
      <c r="X6255">
        <v>0.94382080000000002</v>
      </c>
      <c r="Y6255">
        <v>-0.6413143</v>
      </c>
      <c r="Z6255">
        <v>2.9555370000000001E-2</v>
      </c>
      <c r="AA6255">
        <v>0.76670890000000003</v>
      </c>
      <c r="AB6255">
        <v>31</v>
      </c>
      <c r="AC6255">
        <v>5.6672000000000002</v>
      </c>
      <c r="AD6255">
        <v>-1.1298122808390001</v>
      </c>
      <c r="AE6255">
        <v>7.0368599999999901</v>
      </c>
      <c r="AF6255">
        <v>-5.8084588604154801</v>
      </c>
      <c r="AG6255">
        <v>-1.1298122808390001</v>
      </c>
      <c r="AH6255">
        <v>6.7381052865894597</v>
      </c>
      <c r="AI6255">
        <v>97.237880391783406</v>
      </c>
      <c r="AJ6255">
        <v>130.76237301242301</v>
      </c>
      <c r="AK6255">
        <v>8.9675377320777798</v>
      </c>
      <c r="AL6255">
        <v>81.524267206985996</v>
      </c>
      <c r="AM6255">
        <v>107.39954064545699</v>
      </c>
      <c r="AN6255">
        <v>0.99999994929936298</v>
      </c>
    </row>
    <row r="6256" spans="1:40" x14ac:dyDescent="0.25">
      <c r="A6256" t="str">
        <f>"20190303162423917"</f>
        <v>20190303162423917</v>
      </c>
      <c r="B6256" t="str">
        <f>"1551601463911040"</f>
        <v>1551601463911040</v>
      </c>
      <c r="C6256" t="s">
        <v>40</v>
      </c>
      <c r="D6256">
        <v>5.1622209999999997</v>
      </c>
      <c r="E6256">
        <v>0.32712529999999901</v>
      </c>
      <c r="F6256" t="s">
        <v>56</v>
      </c>
      <c r="G6256">
        <v>-200.93020000000001</v>
      </c>
      <c r="H6256" s="1">
        <v>-6.3194430000000001E-6</v>
      </c>
      <c r="I6256">
        <v>-54.216659999999997</v>
      </c>
      <c r="J6256">
        <v>-206.53200000000001</v>
      </c>
      <c r="K6256">
        <v>1.129961</v>
      </c>
      <c r="L6256">
        <v>-61.292819999999899</v>
      </c>
      <c r="M6256">
        <v>0.98250380000000004</v>
      </c>
      <c r="N6256">
        <v>-1.447207E-2</v>
      </c>
      <c r="O6256">
        <v>0.18567929999999999</v>
      </c>
      <c r="P6256">
        <v>0.87413099999999999</v>
      </c>
      <c r="Q6256">
        <v>0.1399521</v>
      </c>
      <c r="R6256">
        <v>0.46508959999999999</v>
      </c>
      <c r="S6256">
        <v>2.116638</v>
      </c>
      <c r="T6256">
        <v>-0.41658519999999999</v>
      </c>
      <c r="U6256">
        <v>2.6202999999999999</v>
      </c>
      <c r="V6256">
        <v>-0.29809079999999999</v>
      </c>
      <c r="W6256">
        <v>0.14688019999999999</v>
      </c>
      <c r="X6256">
        <v>0.94316920000000004</v>
      </c>
      <c r="Y6256">
        <v>-0.64345909999999995</v>
      </c>
      <c r="Z6256">
        <v>2.9174849999999999E-2</v>
      </c>
      <c r="AA6256">
        <v>0.7649243</v>
      </c>
      <c r="AB6256">
        <v>31</v>
      </c>
      <c r="AC6256">
        <v>5.6017999999999901</v>
      </c>
      <c r="AD6256">
        <v>-1.129967319443</v>
      </c>
      <c r="AE6256">
        <v>7.07615999999999</v>
      </c>
      <c r="AF6256">
        <v>-5.8215774129326503</v>
      </c>
      <c r="AG6256">
        <v>-1.129967319443</v>
      </c>
      <c r="AH6256">
        <v>6.7131663580119696</v>
      </c>
      <c r="AI6256">
        <v>97.247152979652995</v>
      </c>
      <c r="AJ6256">
        <v>130.931437187326</v>
      </c>
      <c r="AK6256">
        <v>8.9573540885755101</v>
      </c>
      <c r="AL6256">
        <v>81.553827640837</v>
      </c>
      <c r="AM6256">
        <v>107.539260920684</v>
      </c>
      <c r="AN6256">
        <v>1.0000000290126501</v>
      </c>
    </row>
    <row r="6257" spans="1:40" x14ac:dyDescent="0.25">
      <c r="A6257" t="str">
        <f>"20190303162423928"</f>
        <v>20190303162423928</v>
      </c>
      <c r="B6257" t="str">
        <f>"1551601463920801"</f>
        <v>1551601463920801</v>
      </c>
      <c r="C6257" t="s">
        <v>40</v>
      </c>
      <c r="D6257">
        <v>5.1471559999999998</v>
      </c>
      <c r="E6257">
        <v>0.3271636</v>
      </c>
      <c r="F6257" t="s">
        <v>56</v>
      </c>
      <c r="G6257">
        <v>-200.82300000000001</v>
      </c>
      <c r="H6257" s="1">
        <v>-6.3773830000000003E-6</v>
      </c>
      <c r="I6257">
        <v>-54.105449999999998</v>
      </c>
      <c r="J6257">
        <v>-206.38919999999999</v>
      </c>
      <c r="K6257">
        <v>1.1301190000000001</v>
      </c>
      <c r="L6257">
        <v>-61.260530000000003</v>
      </c>
      <c r="M6257">
        <v>0.98143069999999999</v>
      </c>
      <c r="N6257">
        <v>-1.4493270000000001E-2</v>
      </c>
      <c r="O6257">
        <v>0.19126889999999999</v>
      </c>
      <c r="P6257">
        <v>0.87044319999999897</v>
      </c>
      <c r="Q6257">
        <v>0.13919899999999999</v>
      </c>
      <c r="R6257">
        <v>0.4721783</v>
      </c>
      <c r="S6257">
        <v>2.0950470000000001</v>
      </c>
      <c r="T6257">
        <v>-0.41466360000000002</v>
      </c>
      <c r="U6257">
        <v>2.637543</v>
      </c>
      <c r="V6257">
        <v>-0.30040339999999999</v>
      </c>
      <c r="W6257">
        <v>0.14597879999999999</v>
      </c>
      <c r="X6257">
        <v>0.94257519999999995</v>
      </c>
      <c r="Y6257">
        <v>-0.64542739999999998</v>
      </c>
      <c r="Z6257">
        <v>2.862582E-2</v>
      </c>
      <c r="AA6257">
        <v>0.76328499999999999</v>
      </c>
      <c r="AB6257">
        <v>31</v>
      </c>
      <c r="AC6257">
        <v>5.5662000000000003</v>
      </c>
      <c r="AD6257">
        <v>-1.130125377383</v>
      </c>
      <c r="AE6257">
        <v>7.1550799999999999</v>
      </c>
      <c r="AF6257">
        <v>-5.8670163254751397</v>
      </c>
      <c r="AG6257">
        <v>-1.130125377383</v>
      </c>
      <c r="AH6257">
        <v>6.7275436347959099</v>
      </c>
      <c r="AI6257">
        <v>97.215484317887103</v>
      </c>
      <c r="AJ6257">
        <v>131.09132247116801</v>
      </c>
      <c r="AK6257">
        <v>8.9977167820553099</v>
      </c>
      <c r="AL6257">
        <v>81.606036654973906</v>
      </c>
      <c r="AM6257">
        <v>107.67733882975099</v>
      </c>
      <c r="AN6257">
        <v>1.00000001021802</v>
      </c>
    </row>
    <row r="6258" spans="1:40" x14ac:dyDescent="0.25">
      <c r="A6258" t="str">
        <f>"20190303162423939"</f>
        <v>20190303162423939</v>
      </c>
      <c r="B6258" t="str">
        <f>"1551601463930560"</f>
        <v>1551601463930560</v>
      </c>
      <c r="C6258" t="s">
        <v>40</v>
      </c>
      <c r="D6258">
        <v>5.1950269999999996</v>
      </c>
      <c r="E6258">
        <v>0.32719740000000003</v>
      </c>
      <c r="F6258" t="s">
        <v>56</v>
      </c>
      <c r="G6258">
        <v>-200.76</v>
      </c>
      <c r="H6258" s="1">
        <v>-6.4099149999999996E-6</v>
      </c>
      <c r="I6258">
        <v>-54.049860000000002</v>
      </c>
      <c r="J6258">
        <v>-206.24549999999999</v>
      </c>
      <c r="K6258">
        <v>1.1302700000000001</v>
      </c>
      <c r="L6258">
        <v>-61.227359999999997</v>
      </c>
      <c r="M6258">
        <v>0.98030340000000005</v>
      </c>
      <c r="N6258">
        <v>-1.4514620000000001E-2</v>
      </c>
      <c r="O6258">
        <v>0.19696379999999999</v>
      </c>
      <c r="P6258">
        <v>0.86648910000000001</v>
      </c>
      <c r="Q6258">
        <v>0.138628799999999</v>
      </c>
      <c r="R6258">
        <v>0.47956110000000002</v>
      </c>
      <c r="S6258">
        <v>2.072784</v>
      </c>
      <c r="T6258">
        <v>-0.41613149999999999</v>
      </c>
      <c r="U6258">
        <v>2.65509</v>
      </c>
      <c r="V6258">
        <v>-0.30296820000000002</v>
      </c>
      <c r="W6258">
        <v>0.14525279999999999</v>
      </c>
      <c r="X6258">
        <v>0.94186619999999999</v>
      </c>
      <c r="Y6258">
        <v>-0.647406699999999</v>
      </c>
      <c r="Z6258">
        <v>2.8232630000000002E-2</v>
      </c>
      <c r="AA6258">
        <v>0.76162169999999996</v>
      </c>
      <c r="AB6258">
        <v>31</v>
      </c>
      <c r="AC6258">
        <v>5.4855</v>
      </c>
      <c r="AD6258">
        <v>-1.130276409915</v>
      </c>
      <c r="AE6258">
        <v>7.1775000000000002</v>
      </c>
      <c r="AF6258">
        <v>-5.86450347966161</v>
      </c>
      <c r="AG6258">
        <v>-1.130276409915</v>
      </c>
      <c r="AH6258">
        <v>6.6871918551423803</v>
      </c>
      <c r="AI6258">
        <v>97.242149656111806</v>
      </c>
      <c r="AJ6258">
        <v>131.249969096629</v>
      </c>
      <c r="AK6258">
        <v>8.9659612275124196</v>
      </c>
      <c r="AL6258">
        <v>81.648081641417306</v>
      </c>
      <c r="AM6258">
        <v>107.83132076758601</v>
      </c>
      <c r="AN6258">
        <v>1.0000000224107499</v>
      </c>
    </row>
    <row r="6259" spans="1:40" x14ac:dyDescent="0.25">
      <c r="A6259" t="str">
        <f>"20190303162423951"</f>
        <v>20190303162423951</v>
      </c>
      <c r="B6259" t="str">
        <f>"1551601463941296"</f>
        <v>1551601463941296</v>
      </c>
      <c r="C6259" t="s">
        <v>40</v>
      </c>
      <c r="D6259">
        <v>5.1802049999999999</v>
      </c>
      <c r="E6259">
        <v>0.32735769999999997</v>
      </c>
      <c r="F6259" t="s">
        <v>56</v>
      </c>
      <c r="G6259">
        <v>-200.71100000000001</v>
      </c>
      <c r="H6259" s="1">
        <v>-6.4343249999999996E-6</v>
      </c>
      <c r="I6259">
        <v>-54.012309999999999</v>
      </c>
      <c r="J6259">
        <v>-206.09630000000001</v>
      </c>
      <c r="K6259">
        <v>1.1304160000000001</v>
      </c>
      <c r="L6259">
        <v>-61.191560000000003</v>
      </c>
      <c r="M6259">
        <v>0.97907330000000004</v>
      </c>
      <c r="N6259">
        <v>-1.453743E-2</v>
      </c>
      <c r="O6259">
        <v>0.20298840000000001</v>
      </c>
      <c r="P6259">
        <v>0.86230960000000001</v>
      </c>
      <c r="Q6259">
        <v>0.1378511</v>
      </c>
      <c r="R6259">
        <v>0.487257</v>
      </c>
      <c r="S6259">
        <v>2.0500790000000002</v>
      </c>
      <c r="T6259">
        <v>-0.4186742</v>
      </c>
      <c r="U6259">
        <v>2.672577</v>
      </c>
      <c r="V6259">
        <v>-0.3055736</v>
      </c>
      <c r="W6259">
        <v>0.144320899999999</v>
      </c>
      <c r="X6259">
        <v>0.94116750000000005</v>
      </c>
      <c r="Y6259">
        <v>-0.6491768</v>
      </c>
      <c r="Z6259">
        <v>2.7824809999999998E-2</v>
      </c>
      <c r="AA6259">
        <v>0.76012849999999998</v>
      </c>
      <c r="AB6259">
        <v>31</v>
      </c>
      <c r="AC6259">
        <v>5.3853000000000204</v>
      </c>
      <c r="AD6259">
        <v>-1.130422434325</v>
      </c>
      <c r="AE6259">
        <v>7.1792499999999899</v>
      </c>
      <c r="AF6259">
        <v>-5.8437711873404004</v>
      </c>
      <c r="AG6259">
        <v>-1.130422434325</v>
      </c>
      <c r="AH6259">
        <v>6.6255018661460898</v>
      </c>
      <c r="AI6259">
        <v>97.291752156755095</v>
      </c>
      <c r="AJ6259">
        <v>131.41267567492201</v>
      </c>
      <c r="AK6259">
        <v>8.9064466286123594</v>
      </c>
      <c r="AL6259">
        <v>81.702044045245003</v>
      </c>
      <c r="AM6259">
        <v>107.98732013308199</v>
      </c>
      <c r="AN6259">
        <v>1.00000000512501</v>
      </c>
    </row>
    <row r="6260" spans="1:40" x14ac:dyDescent="0.25">
      <c r="A6260" t="str">
        <f>"20190303162423961"</f>
        <v>20190303162423961</v>
      </c>
      <c r="B6260" t="str">
        <f>"1551601463952033"</f>
        <v>1551601463952033</v>
      </c>
      <c r="C6260" t="s">
        <v>40</v>
      </c>
      <c r="D6260">
        <v>5.1985440000000001</v>
      </c>
      <c r="E6260">
        <v>0.32768160000000002</v>
      </c>
      <c r="F6260" t="s">
        <v>56</v>
      </c>
      <c r="G6260">
        <v>-200.65950000000001</v>
      </c>
      <c r="H6260" s="1">
        <v>-6.4596209999999999E-6</v>
      </c>
      <c r="I6260">
        <v>-53.975169999999999</v>
      </c>
      <c r="J6260">
        <v>-205.94710000000001</v>
      </c>
      <c r="K6260">
        <v>1.130557</v>
      </c>
      <c r="L6260">
        <v>-61.155299999999997</v>
      </c>
      <c r="M6260">
        <v>0.97779649999999996</v>
      </c>
      <c r="N6260">
        <v>-1.455921E-2</v>
      </c>
      <c r="O6260">
        <v>0.2090505</v>
      </c>
      <c r="P6260">
        <v>0.85795239999999995</v>
      </c>
      <c r="Q6260">
        <v>0.13674559999999999</v>
      </c>
      <c r="R6260">
        <v>0.49519540000000001</v>
      </c>
      <c r="S6260">
        <v>2.0264890000000002</v>
      </c>
      <c r="T6260">
        <v>-0.42134579999999999</v>
      </c>
      <c r="U6260">
        <v>2.6897890000000002</v>
      </c>
      <c r="V6260">
        <v>-0.30841879999999999</v>
      </c>
      <c r="W6260">
        <v>0.1430545</v>
      </c>
      <c r="X6260">
        <v>0.9404325</v>
      </c>
      <c r="Y6260">
        <v>-0.65102629999999995</v>
      </c>
      <c r="Z6260">
        <v>2.7419220000000001E-2</v>
      </c>
      <c r="AA6260">
        <v>0.75855980000000001</v>
      </c>
      <c r="AB6260">
        <v>31</v>
      </c>
      <c r="AC6260">
        <v>5.2875999999999896</v>
      </c>
      <c r="AD6260">
        <v>-1.1305634596209999</v>
      </c>
      <c r="AE6260">
        <v>7.1801299999999904</v>
      </c>
      <c r="AF6260">
        <v>-5.8223626992071402</v>
      </c>
      <c r="AG6260">
        <v>-1.1305634596209999</v>
      </c>
      <c r="AH6260">
        <v>6.5663590098121798</v>
      </c>
      <c r="AI6260">
        <v>97.340724537213603</v>
      </c>
      <c r="AJ6260">
        <v>131.563268262137</v>
      </c>
      <c r="AK6260">
        <v>8.8484547680988097</v>
      </c>
      <c r="AL6260">
        <v>81.775364358291398</v>
      </c>
      <c r="AM6260">
        <v>108.157121831233</v>
      </c>
      <c r="AN6260">
        <v>1.0000000166099601</v>
      </c>
    </row>
    <row r="6261" spans="1:40" x14ac:dyDescent="0.25">
      <c r="A6261" t="str">
        <f>"20190303162423975"</f>
        <v>20190303162423975</v>
      </c>
      <c r="B6261" t="str">
        <f>"1551601463970577"</f>
        <v>1551601463970577</v>
      </c>
      <c r="C6261" t="s">
        <v>40</v>
      </c>
      <c r="D6261">
        <v>5.263045</v>
      </c>
      <c r="E6261">
        <v>0.32848810000000001</v>
      </c>
      <c r="F6261" t="s">
        <v>56</v>
      </c>
      <c r="G6261">
        <v>-200.6208</v>
      </c>
      <c r="H6261" s="1">
        <v>-6.4766830000000003E-6</v>
      </c>
      <c r="I6261">
        <v>-53.95973</v>
      </c>
      <c r="J6261">
        <v>-205.7671</v>
      </c>
      <c r="K6261">
        <v>1.1307039999999999</v>
      </c>
      <c r="L6261">
        <v>-61.109380000000002</v>
      </c>
      <c r="M6261">
        <v>0.97616879999999995</v>
      </c>
      <c r="N6261">
        <v>-1.4585910000000001E-2</v>
      </c>
      <c r="O6261">
        <v>0.2165223</v>
      </c>
      <c r="P6261">
        <v>0.85253020000000002</v>
      </c>
      <c r="Q6261">
        <v>0.13584740000000001</v>
      </c>
      <c r="R6261">
        <v>0.50471560000000004</v>
      </c>
      <c r="S6261">
        <v>2.0028079999999999</v>
      </c>
      <c r="T6261">
        <v>-0.42511090000000001</v>
      </c>
      <c r="U6261">
        <v>2.7056580000000001</v>
      </c>
      <c r="V6261">
        <v>-0.31169849999999999</v>
      </c>
      <c r="W6261">
        <v>0.141977399999999</v>
      </c>
      <c r="X6261">
        <v>0.93951390000000001</v>
      </c>
      <c r="Y6261">
        <v>-0.65161569999999902</v>
      </c>
      <c r="Z6261">
        <v>2.6755250000000001E-2</v>
      </c>
      <c r="AA6261">
        <v>0.75807729999999995</v>
      </c>
      <c r="AB6261">
        <v>31</v>
      </c>
      <c r="AC6261">
        <v>5.1462999999999903</v>
      </c>
      <c r="AD6261">
        <v>-1.1307104766830001</v>
      </c>
      <c r="AE6261">
        <v>7.1496499999999896</v>
      </c>
      <c r="AF6261">
        <v>-5.7705294194582502</v>
      </c>
      <c r="AG6261">
        <v>-1.1307104766830001</v>
      </c>
      <c r="AH6261">
        <v>6.4658879896311499</v>
      </c>
      <c r="AI6261">
        <v>97.433415092530396</v>
      </c>
      <c r="AJ6261">
        <v>131.74755228369</v>
      </c>
      <c r="AK6261">
        <v>8.7398640411261699</v>
      </c>
      <c r="AL6261">
        <v>81.837713553428202</v>
      </c>
      <c r="AM6261">
        <v>108.354074676563</v>
      </c>
      <c r="AN6261">
        <v>0.99999995265310804</v>
      </c>
    </row>
    <row r="6262" spans="1:40" x14ac:dyDescent="0.25">
      <c r="A6262" t="str">
        <f>"20190303162423987"</f>
        <v>20190303162423987</v>
      </c>
      <c r="B6262" t="str">
        <f>"1551601463981313"</f>
        <v>1551601463981313</v>
      </c>
      <c r="C6262" t="s">
        <v>40</v>
      </c>
      <c r="D6262">
        <v>5.2465830000000002</v>
      </c>
      <c r="E6262">
        <v>0.32895370000000002</v>
      </c>
      <c r="F6262" t="s">
        <v>56</v>
      </c>
      <c r="G6262">
        <v>-200.54599999999999</v>
      </c>
      <c r="H6262" s="1">
        <v>-6.5113329999999899E-6</v>
      </c>
      <c r="I6262">
        <v>-53.91901</v>
      </c>
      <c r="J6262">
        <v>-205.62450000000001</v>
      </c>
      <c r="K6262">
        <v>1.1308149999999999</v>
      </c>
      <c r="L6262">
        <v>-61.072240000000001</v>
      </c>
      <c r="M6262">
        <v>0.97482749999999996</v>
      </c>
      <c r="N6262">
        <v>-1.4605669999999999E-2</v>
      </c>
      <c r="O6262">
        <v>0.2224815</v>
      </c>
      <c r="P6262">
        <v>0.84807949999999999</v>
      </c>
      <c r="Q6262">
        <v>0.13549820000000001</v>
      </c>
      <c r="R6262">
        <v>0.51225129999999996</v>
      </c>
      <c r="S6262">
        <v>1.9760439999999999</v>
      </c>
      <c r="T6262">
        <v>-0.42794130000000002</v>
      </c>
      <c r="U6262">
        <v>2.7213440000000002</v>
      </c>
      <c r="V6262">
        <v>-0.3143068</v>
      </c>
      <c r="W6262">
        <v>0.1414879</v>
      </c>
      <c r="X6262">
        <v>0.93871850000000001</v>
      </c>
      <c r="Y6262">
        <v>-0.6538929</v>
      </c>
      <c r="Z6262">
        <v>2.640139E-2</v>
      </c>
      <c r="AA6262">
        <v>0.75612639999999998</v>
      </c>
      <c r="AB6262">
        <v>31</v>
      </c>
      <c r="AC6262">
        <v>5.0785000000000204</v>
      </c>
      <c r="AD6262">
        <v>-1.13082151133299</v>
      </c>
      <c r="AE6262">
        <v>7.1532299999999998</v>
      </c>
      <c r="AF6262">
        <v>-5.74840152774612</v>
      </c>
      <c r="AG6262">
        <v>-1.13082151133299</v>
      </c>
      <c r="AH6262">
        <v>6.43588273996279</v>
      </c>
      <c r="AI6262">
        <v>97.465755476952296</v>
      </c>
      <c r="AJ6262">
        <v>131.77058988212801</v>
      </c>
      <c r="AK6262">
        <v>8.7030721045638995</v>
      </c>
      <c r="AL6262">
        <v>81.8660462938752</v>
      </c>
      <c r="AM6262">
        <v>108.511854713579</v>
      </c>
      <c r="AN6262">
        <v>1.0000000063074499</v>
      </c>
    </row>
    <row r="6263" spans="1:40" x14ac:dyDescent="0.25">
      <c r="A6263" t="str">
        <f>"20190303162423996"</f>
        <v>20190303162423996</v>
      </c>
      <c r="B6263" t="str">
        <f>"1551601463991073"</f>
        <v>1551601463991073</v>
      </c>
      <c r="C6263" t="s">
        <v>40</v>
      </c>
      <c r="D6263">
        <v>5.2672600000000003</v>
      </c>
      <c r="E6263">
        <v>0.32947219999999999</v>
      </c>
      <c r="F6263" t="s">
        <v>56</v>
      </c>
      <c r="G6263">
        <v>-200.48079999999999</v>
      </c>
      <c r="H6263" s="1">
        <v>-6.5430090000000003E-6</v>
      </c>
      <c r="I6263">
        <v>-53.874110000000002</v>
      </c>
      <c r="J6263">
        <v>-205.4855</v>
      </c>
      <c r="K6263">
        <v>1.1309119999999999</v>
      </c>
      <c r="L6263">
        <v>-61.034939999999999</v>
      </c>
      <c r="M6263">
        <v>0.97346880000000002</v>
      </c>
      <c r="N6263">
        <v>-1.462419E-2</v>
      </c>
      <c r="O6263">
        <v>0.22835240000000001</v>
      </c>
      <c r="P6263">
        <v>0.84370080000000003</v>
      </c>
      <c r="Q6263">
        <v>0.13538140000000001</v>
      </c>
      <c r="R6263">
        <v>0.51946219999999999</v>
      </c>
      <c r="S6263">
        <v>1.9542079999999999</v>
      </c>
      <c r="T6263">
        <v>-0.42963119999999999</v>
      </c>
      <c r="U6263">
        <v>2.734772</v>
      </c>
      <c r="V6263">
        <v>-0.3166812</v>
      </c>
      <c r="W6263">
        <v>0.14124529999999999</v>
      </c>
      <c r="X6263">
        <v>0.93795680000000003</v>
      </c>
      <c r="Y6263">
        <v>-0.65507950000000004</v>
      </c>
      <c r="Z6263">
        <v>2.5880719999999999E-2</v>
      </c>
      <c r="AA6263">
        <v>0.75511660000000003</v>
      </c>
      <c r="AB6263">
        <v>31</v>
      </c>
      <c r="AC6263">
        <v>5.0047000000000104</v>
      </c>
      <c r="AD6263">
        <v>-1.1309185430090001</v>
      </c>
      <c r="AE6263">
        <v>7.1608299999999998</v>
      </c>
      <c r="AF6263">
        <v>-5.73257087277059</v>
      </c>
      <c r="AG6263">
        <v>-1.1309185430090001</v>
      </c>
      <c r="AH6263">
        <v>6.4005526953377503</v>
      </c>
      <c r="AI6263">
        <v>97.498078265366701</v>
      </c>
      <c r="AJ6263">
        <v>131.84879649291099</v>
      </c>
      <c r="AK6263">
        <v>8.6665114301000497</v>
      </c>
      <c r="AL6263">
        <v>81.880087926218593</v>
      </c>
      <c r="AM6263">
        <v>108.65616197487201</v>
      </c>
      <c r="AN6263">
        <v>1.0000000879358799</v>
      </c>
    </row>
    <row r="6264" spans="1:40" x14ac:dyDescent="0.25">
      <c r="A6264" t="str">
        <f>"20190303162424007"</f>
        <v>20190303162424007</v>
      </c>
      <c r="B6264" t="str">
        <f>"1551601464000833"</f>
        <v>1551601464000833</v>
      </c>
      <c r="C6264" t="s">
        <v>40</v>
      </c>
      <c r="D6264">
        <v>5.1113850000000003</v>
      </c>
      <c r="E6264">
        <v>0.33098899999999998</v>
      </c>
      <c r="F6264" t="s">
        <v>56</v>
      </c>
      <c r="G6264">
        <v>-200.40700000000001</v>
      </c>
      <c r="H6264" s="1">
        <v>-6.5796550000000001E-6</v>
      </c>
      <c r="I6264">
        <v>-53.818440000000002</v>
      </c>
      <c r="J6264">
        <v>-205.3373</v>
      </c>
      <c r="K6264">
        <v>1.131006</v>
      </c>
      <c r="L6264">
        <v>-60.994169999999997</v>
      </c>
      <c r="M6264">
        <v>0.97196740000000004</v>
      </c>
      <c r="N6264">
        <v>-1.4642519999999999E-2</v>
      </c>
      <c r="O6264">
        <v>0.23465920000000001</v>
      </c>
      <c r="P6264">
        <v>0.83924279999999996</v>
      </c>
      <c r="Q6264">
        <v>0.13534969999999999</v>
      </c>
      <c r="R6264">
        <v>0.52664219999999995</v>
      </c>
      <c r="S6264">
        <v>1.933365</v>
      </c>
      <c r="T6264">
        <v>-0.43053000000000002</v>
      </c>
      <c r="U6264">
        <v>2.7472530000000002</v>
      </c>
      <c r="V6264">
        <v>-0.31863619999999998</v>
      </c>
      <c r="W6264">
        <v>0.141100799999999</v>
      </c>
      <c r="X6264">
        <v>0.93731609999999999</v>
      </c>
      <c r="Y6264">
        <v>-0.65564690000000003</v>
      </c>
      <c r="Z6264">
        <v>2.5201600000000001E-2</v>
      </c>
      <c r="AA6264">
        <v>0.75464699999999996</v>
      </c>
      <c r="AB6264">
        <v>31</v>
      </c>
      <c r="AC6264">
        <v>4.9302999999999804</v>
      </c>
      <c r="AD6264">
        <v>-1.1310125796549999</v>
      </c>
      <c r="AE6264">
        <v>7.1757299999999899</v>
      </c>
      <c r="AF6264">
        <v>-5.7216993568839101</v>
      </c>
      <c r="AG6264">
        <v>-1.1310125796549999</v>
      </c>
      <c r="AH6264">
        <v>6.36915007417507</v>
      </c>
      <c r="AI6264">
        <v>97.525219337164202</v>
      </c>
      <c r="AJ6264">
        <v>131.9348061812</v>
      </c>
      <c r="AK6264">
        <v>8.6361510902292498</v>
      </c>
      <c r="AL6264">
        <v>81.888449938194398</v>
      </c>
      <c r="AM6264">
        <v>108.775223700109</v>
      </c>
      <c r="AN6264">
        <v>0.99999996751514397</v>
      </c>
    </row>
    <row r="6265" spans="1:40" x14ac:dyDescent="0.25">
      <c r="A6265" t="str">
        <f>"20190303162424018"</f>
        <v>20190303162424018</v>
      </c>
      <c r="B6265" t="str">
        <f>"1551601464010593"</f>
        <v>1551601464010593</v>
      </c>
      <c r="C6265" t="s">
        <v>40</v>
      </c>
      <c r="D6265">
        <v>5.10128</v>
      </c>
      <c r="E6265">
        <v>0.33244430000000003</v>
      </c>
      <c r="F6265" t="s">
        <v>56</v>
      </c>
      <c r="G6265">
        <v>-200.06290000000001</v>
      </c>
      <c r="H6265" s="1">
        <v>-6.7737970000000004E-6</v>
      </c>
      <c r="I6265">
        <v>-53.40916</v>
      </c>
      <c r="J6265">
        <v>-205.19909999999999</v>
      </c>
      <c r="K6265">
        <v>1.131078</v>
      </c>
      <c r="L6265">
        <v>-60.955289999999998</v>
      </c>
      <c r="M6265">
        <v>0.97052000000000005</v>
      </c>
      <c r="N6265">
        <v>-1.465846E-2</v>
      </c>
      <c r="O6265">
        <v>0.2405746</v>
      </c>
      <c r="P6265">
        <v>0.83537019999999995</v>
      </c>
      <c r="Q6265">
        <v>0.13483439999999999</v>
      </c>
      <c r="R6265">
        <v>0.53289430000000004</v>
      </c>
      <c r="S6265">
        <v>1.913788</v>
      </c>
      <c r="T6265">
        <v>-0.41038449999999999</v>
      </c>
      <c r="U6265">
        <v>2.7521969999999998</v>
      </c>
      <c r="V6265">
        <v>-0.31992290000000001</v>
      </c>
      <c r="W6265">
        <v>0.14050219999999999</v>
      </c>
      <c r="X6265">
        <v>0.93696769999999996</v>
      </c>
      <c r="Y6265">
        <v>-0.655663</v>
      </c>
      <c r="Z6265">
        <v>2.3768930000000001E-2</v>
      </c>
      <c r="AA6265">
        <v>0.7546794</v>
      </c>
      <c r="AB6265">
        <v>31</v>
      </c>
      <c r="AC6265">
        <v>5.1361999999999703</v>
      </c>
      <c r="AD6265">
        <v>-1.131084773797</v>
      </c>
      <c r="AE6265">
        <v>7.5461299999999998</v>
      </c>
      <c r="AF6265">
        <v>-5.9966137308931602</v>
      </c>
      <c r="AG6265">
        <v>-1.131084773797</v>
      </c>
      <c r="AH6265">
        <v>6.6980812121073701</v>
      </c>
      <c r="AI6265">
        <v>97.170882455019196</v>
      </c>
      <c r="AJ6265">
        <v>131.83723824754199</v>
      </c>
      <c r="AK6265">
        <v>9.0610717317013592</v>
      </c>
      <c r="AL6265">
        <v>81.923092574250802</v>
      </c>
      <c r="AM6265">
        <v>108.85221186244</v>
      </c>
      <c r="AN6265">
        <v>1.0000000004962699</v>
      </c>
    </row>
    <row r="6266" spans="1:40" x14ac:dyDescent="0.25">
      <c r="A6266" t="str">
        <f>"20190303162424030"</f>
        <v>20190303162424030</v>
      </c>
      <c r="B6266" t="str">
        <f>"1551601464021328"</f>
        <v>1551601464021328</v>
      </c>
      <c r="C6266" t="s">
        <v>40</v>
      </c>
      <c r="D6266">
        <v>5.2804469999999997</v>
      </c>
      <c r="E6266">
        <v>0.33289639999999998</v>
      </c>
      <c r="F6266" t="s">
        <v>56</v>
      </c>
      <c r="G6266">
        <v>-199.74369999999999</v>
      </c>
      <c r="H6266" s="1">
        <v>-9.8443199999999996E-6</v>
      </c>
      <c r="I6266">
        <v>-53.029130000000002</v>
      </c>
      <c r="J6266">
        <v>-205.05009999999999</v>
      </c>
      <c r="K6266">
        <v>1.1311439999999999</v>
      </c>
      <c r="L6266">
        <v>-60.912140000000001</v>
      </c>
      <c r="M6266">
        <v>0.96890430000000005</v>
      </c>
      <c r="N6266">
        <v>-1.467416E-2</v>
      </c>
      <c r="O6266">
        <v>0.24700050000000001</v>
      </c>
      <c r="P6266">
        <v>0.83142389999999999</v>
      </c>
      <c r="Q6266">
        <v>0.13347059999999999</v>
      </c>
      <c r="R6266">
        <v>0.53936989999999996</v>
      </c>
      <c r="S6266">
        <v>1.8967590000000001</v>
      </c>
      <c r="T6266">
        <v>-0.39325640000000001</v>
      </c>
      <c r="U6266">
        <v>2.7557680000000002</v>
      </c>
      <c r="V6266">
        <v>-0.32093280000000002</v>
      </c>
      <c r="W6266">
        <v>0.13906869999999999</v>
      </c>
      <c r="X6266">
        <v>0.93683620000000001</v>
      </c>
      <c r="Y6266">
        <v>-0.65459149999999999</v>
      </c>
      <c r="Z6266">
        <v>2.2342859999999999E-2</v>
      </c>
      <c r="AA6266">
        <v>0.75565249999999995</v>
      </c>
      <c r="AB6266">
        <v>31</v>
      </c>
      <c r="AC6266">
        <v>5.3063999999999902</v>
      </c>
      <c r="AD6266">
        <v>-1.13115384432</v>
      </c>
      <c r="AE6266">
        <v>7.8830099999999899</v>
      </c>
      <c r="AF6266">
        <v>-6.2394691386364798</v>
      </c>
      <c r="AG6266">
        <v>-1.13115384432</v>
      </c>
      <c r="AH6266">
        <v>6.9902156668807098</v>
      </c>
      <c r="AI6266">
        <v>96.883591253615506</v>
      </c>
      <c r="AJ6266">
        <v>131.752112782853</v>
      </c>
      <c r="AK6266">
        <v>9.4378810768636807</v>
      </c>
      <c r="AL6266">
        <v>82.006040600560695</v>
      </c>
      <c r="AM6266">
        <v>108.909966623134</v>
      </c>
      <c r="AN6266">
        <v>1.00000001553298</v>
      </c>
    </row>
    <row r="6267" spans="1:40" x14ac:dyDescent="0.25">
      <c r="A6267" t="str">
        <f>"20190303162424044"</f>
        <v>20190303162424044</v>
      </c>
      <c r="B6267" t="str">
        <f>"1551601464040848"</f>
        <v>1551601464040848</v>
      </c>
      <c r="C6267" t="s">
        <v>40</v>
      </c>
      <c r="D6267">
        <v>5.3054519999999998</v>
      </c>
      <c r="E6267">
        <v>0.33374759999999998</v>
      </c>
      <c r="F6267" t="s">
        <v>56</v>
      </c>
      <c r="G6267">
        <v>-199.71770000000001</v>
      </c>
      <c r="H6267" s="1">
        <v>-9.8343100000000007E-6</v>
      </c>
      <c r="I6267">
        <v>-53.049329999999998</v>
      </c>
      <c r="J6267">
        <v>-204.86959999999999</v>
      </c>
      <c r="K6267">
        <v>1.1312059999999999</v>
      </c>
      <c r="L6267">
        <v>-60.858829999999998</v>
      </c>
      <c r="M6267">
        <v>0.96687869999999998</v>
      </c>
      <c r="N6267">
        <v>-1.469147E-2</v>
      </c>
      <c r="O6267">
        <v>0.25481350000000003</v>
      </c>
      <c r="P6267">
        <v>0.82667479999999904</v>
      </c>
      <c r="Q6267">
        <v>0.13177929999999999</v>
      </c>
      <c r="R6267">
        <v>0.54703119999999905</v>
      </c>
      <c r="S6267">
        <v>1.876846</v>
      </c>
      <c r="T6267">
        <v>-0.39812989999999998</v>
      </c>
      <c r="U6267">
        <v>2.7674560000000001</v>
      </c>
      <c r="V6267">
        <v>-0.3219455</v>
      </c>
      <c r="W6267">
        <v>0.13730439999999999</v>
      </c>
      <c r="X6267">
        <v>0.93674900000000005</v>
      </c>
      <c r="Y6267">
        <v>-0.65367559999999902</v>
      </c>
      <c r="Z6267">
        <v>2.1520879999999999E-2</v>
      </c>
      <c r="AA6267">
        <v>0.75646880000000005</v>
      </c>
      <c r="AB6267">
        <v>31</v>
      </c>
      <c r="AC6267">
        <v>5.1518999999999799</v>
      </c>
      <c r="AD6267">
        <v>-1.1312158343099901</v>
      </c>
      <c r="AE6267">
        <v>7.8094999999999999</v>
      </c>
      <c r="AF6267">
        <v>-6.1488453139999599</v>
      </c>
      <c r="AG6267">
        <v>-1.1312158343099901</v>
      </c>
      <c r="AH6267">
        <v>6.8715220837310502</v>
      </c>
      <c r="AI6267">
        <v>96.994026918665796</v>
      </c>
      <c r="AJ6267">
        <v>131.82313973112301</v>
      </c>
      <c r="AK6267">
        <v>9.2900895424369505</v>
      </c>
      <c r="AL6267">
        <v>82.108107000211007</v>
      </c>
      <c r="AM6267">
        <v>108.967017997898</v>
      </c>
      <c r="AN6267">
        <v>1.0000000461153</v>
      </c>
    </row>
    <row r="6268" spans="1:40" x14ac:dyDescent="0.25">
      <c r="A6268" t="str">
        <f>"20190303162424057"</f>
        <v>20190303162424057</v>
      </c>
      <c r="B6268" t="str">
        <f>"1551601464050609"</f>
        <v>1551601464050609</v>
      </c>
      <c r="C6268" t="s">
        <v>40</v>
      </c>
      <c r="D6268">
        <v>5.3302160000000001</v>
      </c>
      <c r="E6268">
        <v>0.3342156</v>
      </c>
      <c r="F6268" t="s">
        <v>56</v>
      </c>
      <c r="G6268">
        <v>-199.68010000000001</v>
      </c>
      <c r="H6268" s="1">
        <v>-9.8182190000000006E-6</v>
      </c>
      <c r="I6268">
        <v>-53.083129999999997</v>
      </c>
      <c r="J6268">
        <v>-204.6962</v>
      </c>
      <c r="K6268">
        <v>1.131248</v>
      </c>
      <c r="L6268">
        <v>-60.805540000000001</v>
      </c>
      <c r="M6268">
        <v>0.96485279999999995</v>
      </c>
      <c r="N6268">
        <v>-1.4706189999999999E-2</v>
      </c>
      <c r="O6268">
        <v>0.26237909999999998</v>
      </c>
      <c r="P6268">
        <v>0.82249879999999997</v>
      </c>
      <c r="Q6268">
        <v>0.1291998</v>
      </c>
      <c r="R6268">
        <v>0.55389820000000001</v>
      </c>
      <c r="S6268">
        <v>1.854614</v>
      </c>
      <c r="T6268">
        <v>-0.40427299999999999</v>
      </c>
      <c r="U6268">
        <v>2.77887</v>
      </c>
      <c r="V6268">
        <v>-0.32225799999999999</v>
      </c>
      <c r="W6268">
        <v>0.13468629999999901</v>
      </c>
      <c r="X6268">
        <v>0.93702160000000001</v>
      </c>
      <c r="Y6268">
        <v>-0.65331899999999998</v>
      </c>
      <c r="Z6268">
        <v>2.079251E-2</v>
      </c>
      <c r="AA6268">
        <v>0.75679719999999995</v>
      </c>
      <c r="AB6268">
        <v>31</v>
      </c>
      <c r="AC6268">
        <v>5.01609999999999</v>
      </c>
      <c r="AD6268">
        <v>-1.1312578182189901</v>
      </c>
      <c r="AE6268">
        <v>7.7224099999999902</v>
      </c>
      <c r="AF6268">
        <v>-6.0443126075635103</v>
      </c>
      <c r="AG6268">
        <v>-1.1312578182189901</v>
      </c>
      <c r="AH6268">
        <v>6.7646484710882904</v>
      </c>
      <c r="AI6268">
        <v>97.108262647691205</v>
      </c>
      <c r="AJ6268">
        <v>131.781255093559</v>
      </c>
      <c r="AK6268">
        <v>9.1418777112051792</v>
      </c>
      <c r="AL6268">
        <v>82.259519842120795</v>
      </c>
      <c r="AM6268">
        <v>108.978983328173</v>
      </c>
      <c r="AN6268">
        <v>1.00000004841912</v>
      </c>
    </row>
    <row r="6269" spans="1:40" x14ac:dyDescent="0.25">
      <c r="A6269" t="str">
        <f>"20190303162424070"</f>
        <v>20190303162424070</v>
      </c>
      <c r="B6269" t="str">
        <f>"1551601464061344"</f>
        <v>1551601464061344</v>
      </c>
      <c r="C6269" t="s">
        <v>40</v>
      </c>
      <c r="D6269">
        <v>5.319852</v>
      </c>
      <c r="E6269">
        <v>0.33472229999999997</v>
      </c>
      <c r="F6269" t="s">
        <v>56</v>
      </c>
      <c r="G6269">
        <v>-199.65360000000001</v>
      </c>
      <c r="H6269" s="1">
        <v>-9.8007189999999995E-6</v>
      </c>
      <c r="I6269">
        <v>-53.124490000000002</v>
      </c>
      <c r="J6269">
        <v>-204.53729999999999</v>
      </c>
      <c r="K6269">
        <v>1.1312799999999901</v>
      </c>
      <c r="L6269">
        <v>-60.755580000000002</v>
      </c>
      <c r="M6269">
        <v>0.96293499999999999</v>
      </c>
      <c r="N6269">
        <v>-1.471839E-2</v>
      </c>
      <c r="O6269">
        <v>0.26933179999999901</v>
      </c>
      <c r="P6269">
        <v>0.81855149999999999</v>
      </c>
      <c r="Q6269">
        <v>0.127027</v>
      </c>
      <c r="R6269">
        <v>0.56021219999999905</v>
      </c>
      <c r="S6269">
        <v>1.8323670000000001</v>
      </c>
      <c r="T6269">
        <v>-0.41107149999999998</v>
      </c>
      <c r="U6269">
        <v>2.7911069999999998</v>
      </c>
      <c r="V6269">
        <v>-0.32258039999999999</v>
      </c>
      <c r="W6269">
        <v>0.13248080000000001</v>
      </c>
      <c r="X6269">
        <v>0.93722499999999997</v>
      </c>
      <c r="Y6269">
        <v>-0.65352889999999997</v>
      </c>
      <c r="Z6269">
        <v>2.0172809999999999E-2</v>
      </c>
      <c r="AA6269">
        <v>0.75663259999999999</v>
      </c>
      <c r="AB6269">
        <v>31</v>
      </c>
      <c r="AC6269">
        <v>4.88369999999997</v>
      </c>
      <c r="AD6269">
        <v>-1.13128980071899</v>
      </c>
      <c r="AE6269">
        <v>7.6310899999999897</v>
      </c>
      <c r="AF6269">
        <v>-5.9409330352243703</v>
      </c>
      <c r="AG6269">
        <v>-1.13128980071899</v>
      </c>
      <c r="AH6269">
        <v>6.6549518390228997</v>
      </c>
      <c r="AI6269">
        <v>97.227268486591299</v>
      </c>
      <c r="AJ6269">
        <v>131.75556512366799</v>
      </c>
      <c r="AK6269">
        <v>8.9923793248475405</v>
      </c>
      <c r="AL6269">
        <v>82.387028037291302</v>
      </c>
      <c r="AM6269">
        <v>108.99278282106199</v>
      </c>
      <c r="AN6269">
        <v>0.99999998872889895</v>
      </c>
    </row>
    <row r="6270" spans="1:40" x14ac:dyDescent="0.25">
      <c r="A6270" t="str">
        <f>"20190303162424082"</f>
        <v>20190303162424082</v>
      </c>
      <c r="B6270" t="str">
        <f>"1551601464071104"</f>
        <v>1551601464071104</v>
      </c>
      <c r="C6270" t="s">
        <v>40</v>
      </c>
      <c r="D6270">
        <v>5.3687199999999997</v>
      </c>
      <c r="E6270">
        <v>0.33530549999999998</v>
      </c>
      <c r="F6270" t="s">
        <v>56</v>
      </c>
      <c r="G6270">
        <v>-199.62719999999999</v>
      </c>
      <c r="H6270" s="1">
        <v>-9.7826069999999993E-6</v>
      </c>
      <c r="I6270">
        <v>-53.1676199999999</v>
      </c>
      <c r="J6270">
        <v>-204.3672</v>
      </c>
      <c r="K6270">
        <v>1.1313120000000001</v>
      </c>
      <c r="L6270">
        <v>-60.701079999999997</v>
      </c>
      <c r="M6270">
        <v>0.96081830000000001</v>
      </c>
      <c r="N6270">
        <v>-1.47303E-2</v>
      </c>
      <c r="O6270">
        <v>0.27678750000000002</v>
      </c>
      <c r="P6270">
        <v>0.81451419999999997</v>
      </c>
      <c r="Q6270">
        <v>0.124293</v>
      </c>
      <c r="R6270">
        <v>0.56667259999999997</v>
      </c>
      <c r="S6270">
        <v>1.8126679999999999</v>
      </c>
      <c r="T6270">
        <v>-0.41763699999999998</v>
      </c>
      <c r="U6270">
        <v>2.8012389999999998</v>
      </c>
      <c r="V6270">
        <v>-0.32255980000000001</v>
      </c>
      <c r="W6270">
        <v>0.1297277</v>
      </c>
      <c r="X6270">
        <v>0.93761709999999998</v>
      </c>
      <c r="Y6270">
        <v>-0.65261519999999995</v>
      </c>
      <c r="Z6270">
        <v>1.9337279999999998E-2</v>
      </c>
      <c r="AA6270">
        <v>0.75744269999999903</v>
      </c>
      <c r="AB6270">
        <v>31</v>
      </c>
      <c r="AC6270">
        <v>4.74</v>
      </c>
      <c r="AD6270">
        <v>-1.1313217826069999</v>
      </c>
      <c r="AE6270">
        <v>7.5334600000000096</v>
      </c>
      <c r="AF6270">
        <v>-5.8327227016668104</v>
      </c>
      <c r="AG6270">
        <v>-1.1313217826069999</v>
      </c>
      <c r="AH6270">
        <v>6.5345934364303897</v>
      </c>
      <c r="AI6270">
        <v>97.359568144497501</v>
      </c>
      <c r="AJ6270">
        <v>131.751830413221</v>
      </c>
      <c r="AK6270">
        <v>8.8318432090804002</v>
      </c>
      <c r="AL6270">
        <v>82.546142296153405</v>
      </c>
      <c r="AM6270">
        <v>108.984283528727</v>
      </c>
      <c r="AN6270">
        <v>0.99999996346786901</v>
      </c>
    </row>
    <row r="6271" spans="1:40" x14ac:dyDescent="0.25">
      <c r="A6271" t="str">
        <f>"20190303162424098"</f>
        <v>20190303162424098</v>
      </c>
      <c r="B6271" t="str">
        <f>"1551601464090625"</f>
        <v>1551601464090625</v>
      </c>
      <c r="C6271" t="s">
        <v>40</v>
      </c>
      <c r="D6271">
        <v>5.3748449999999997</v>
      </c>
      <c r="E6271">
        <v>0.33582960000000001</v>
      </c>
      <c r="F6271" t="s">
        <v>56</v>
      </c>
      <c r="G6271">
        <v>-199.6</v>
      </c>
      <c r="H6271" s="1">
        <v>-9.7593369999999994E-6</v>
      </c>
      <c r="I6271">
        <v>-53.225200000000001</v>
      </c>
      <c r="J6271">
        <v>-204.17150000000001</v>
      </c>
      <c r="K6271">
        <v>1.1313279999999999</v>
      </c>
      <c r="L6271">
        <v>-60.635800000000003</v>
      </c>
      <c r="M6271">
        <v>0.95829120000000001</v>
      </c>
      <c r="N6271">
        <v>-1.4742440000000001E-2</v>
      </c>
      <c r="O6271">
        <v>0.28541299999999997</v>
      </c>
      <c r="P6271">
        <v>0.80995459999999997</v>
      </c>
      <c r="Q6271">
        <v>0.1199505</v>
      </c>
      <c r="R6271">
        <v>0.57409519999999903</v>
      </c>
      <c r="S6271">
        <v>1.7924800000000001</v>
      </c>
      <c r="T6271">
        <v>-0.42537449999999999</v>
      </c>
      <c r="U6271">
        <v>2.8109130000000002</v>
      </c>
      <c r="V6271">
        <v>-0.3224166</v>
      </c>
      <c r="W6271">
        <v>0.12537570000000001</v>
      </c>
      <c r="X6271">
        <v>0.93825820000000004</v>
      </c>
      <c r="Y6271">
        <v>-0.65080830000000001</v>
      </c>
      <c r="Z6271">
        <v>1.8248029999999998E-2</v>
      </c>
      <c r="AA6271">
        <v>0.7590228</v>
      </c>
      <c r="AB6271">
        <v>31</v>
      </c>
      <c r="AC6271">
        <v>4.5715000000000101</v>
      </c>
      <c r="AD6271">
        <v>-1.131337759337</v>
      </c>
      <c r="AE6271">
        <v>7.4105999999999996</v>
      </c>
      <c r="AF6271">
        <v>-5.7011304903720097</v>
      </c>
      <c r="AG6271">
        <v>-1.131337759337</v>
      </c>
      <c r="AH6271">
        <v>6.3887604375286999</v>
      </c>
      <c r="AI6271">
        <v>97.526585114175305</v>
      </c>
      <c r="AJ6271">
        <v>131.744727245538</v>
      </c>
      <c r="AK6271">
        <v>8.6370755422239398</v>
      </c>
      <c r="AL6271">
        <v>82.797547434743393</v>
      </c>
      <c r="AM6271">
        <v>108.96441895448</v>
      </c>
      <c r="AN6271">
        <v>0.99999998998664497</v>
      </c>
    </row>
    <row r="6272" spans="1:40" x14ac:dyDescent="0.25">
      <c r="A6272" t="str">
        <f>"20190303162424109"</f>
        <v>20190303162424109</v>
      </c>
      <c r="B6272" t="str">
        <f>"1551601464101361"</f>
        <v>1551601464101361</v>
      </c>
      <c r="C6272" t="s">
        <v>40</v>
      </c>
      <c r="D6272">
        <v>5.4059109999999997</v>
      </c>
      <c r="E6272">
        <v>0.35089520000000002</v>
      </c>
      <c r="F6272" t="s">
        <v>56</v>
      </c>
      <c r="G6272">
        <v>-199.6003</v>
      </c>
      <c r="H6272" s="1">
        <v>-9.7200319999999993E-6</v>
      </c>
      <c r="I6272">
        <v>-53.337290000000003</v>
      </c>
      <c r="J6272">
        <v>-204.01929999999999</v>
      </c>
      <c r="K6272">
        <v>1.1313530000000001</v>
      </c>
      <c r="L6272">
        <v>-60.583829999999999</v>
      </c>
      <c r="M6272">
        <v>0.95626509999999998</v>
      </c>
      <c r="N6272">
        <v>-1.475105E-2</v>
      </c>
      <c r="O6272">
        <v>0.29212919999999998</v>
      </c>
      <c r="P6272">
        <v>0.80603119999999995</v>
      </c>
      <c r="Q6272">
        <v>0.1181089</v>
      </c>
      <c r="R6272">
        <v>0.57996890000000001</v>
      </c>
      <c r="S6272">
        <v>1.76795999999999</v>
      </c>
      <c r="T6272">
        <v>-0.4375579</v>
      </c>
      <c r="U6272">
        <v>2.822784</v>
      </c>
      <c r="V6272">
        <v>-0.32253660000000001</v>
      </c>
      <c r="W6272">
        <v>0.12351959999999999</v>
      </c>
      <c r="X6272">
        <v>0.93846320000000005</v>
      </c>
      <c r="Y6272">
        <v>-0.65149669999999904</v>
      </c>
      <c r="Z6272">
        <v>1.7693899999999999E-2</v>
      </c>
      <c r="AA6272">
        <v>0.75844509999999998</v>
      </c>
      <c r="AB6272">
        <v>31</v>
      </c>
      <c r="AC6272">
        <v>4.4189999999999801</v>
      </c>
      <c r="AD6272">
        <v>-1.131362720032</v>
      </c>
      <c r="AE6272">
        <v>7.2465400000000004</v>
      </c>
      <c r="AF6272">
        <v>-5.5408597256402699</v>
      </c>
      <c r="AG6272">
        <v>-1.131362720032</v>
      </c>
      <c r="AH6272">
        <v>6.2326125335332101</v>
      </c>
      <c r="AI6272">
        <v>97.725796323447</v>
      </c>
      <c r="AJ6272">
        <v>131.63744039970501</v>
      </c>
      <c r="AK6272">
        <v>8.4158521313445096</v>
      </c>
      <c r="AL6272">
        <v>82.904727872987394</v>
      </c>
      <c r="AM6272">
        <v>108.96712486430999</v>
      </c>
      <c r="AN6272">
        <v>1.0000000638389701</v>
      </c>
    </row>
    <row r="6273" spans="1:40" x14ac:dyDescent="0.25">
      <c r="A6273" t="str">
        <f>"20190303162424119"</f>
        <v>20190303162424119</v>
      </c>
      <c r="B6273" t="str">
        <f>"1551601464111122"</f>
        <v>1551601464111122</v>
      </c>
      <c r="C6273" t="s">
        <v>40</v>
      </c>
      <c r="D6273">
        <v>5.3861350000000003</v>
      </c>
      <c r="E6273">
        <v>0.35071360000000001</v>
      </c>
      <c r="F6273" t="s">
        <v>56</v>
      </c>
      <c r="G6273">
        <v>-199.29040000000001</v>
      </c>
      <c r="H6273" s="1">
        <v>-9.6433910000000002E-6</v>
      </c>
      <c r="I6273">
        <v>-53.456310000000002</v>
      </c>
      <c r="J6273">
        <v>-203.8794</v>
      </c>
      <c r="K6273">
        <v>1.131367</v>
      </c>
      <c r="L6273">
        <v>-60.535310000000003</v>
      </c>
      <c r="M6273">
        <v>0.9543566</v>
      </c>
      <c r="N6273">
        <v>-1.475841E-2</v>
      </c>
      <c r="O6273">
        <v>0.29830489999999998</v>
      </c>
      <c r="P6273">
        <v>0.80254590000000003</v>
      </c>
      <c r="Q6273">
        <v>0.1168619</v>
      </c>
      <c r="R6273">
        <v>0.58503280000000002</v>
      </c>
      <c r="S6273">
        <v>1.816071</v>
      </c>
      <c r="T6273">
        <v>-0.43448209999999998</v>
      </c>
      <c r="U6273">
        <v>2.7372130000000001</v>
      </c>
      <c r="V6273">
        <v>-0.32229859999999999</v>
      </c>
      <c r="W6273">
        <v>0.1222708</v>
      </c>
      <c r="X6273">
        <v>0.9387084</v>
      </c>
      <c r="Y6273">
        <v>-0.62665919999999997</v>
      </c>
      <c r="Z6273">
        <v>1.436685E-2</v>
      </c>
      <c r="AA6273">
        <v>0.77916099999999999</v>
      </c>
      <c r="AB6273">
        <v>31</v>
      </c>
      <c r="AC6273">
        <v>4.5889999999999898</v>
      </c>
      <c r="AD6273">
        <v>-1.131376643391</v>
      </c>
      <c r="AE6273">
        <v>7.0789999999999997</v>
      </c>
      <c r="AF6273">
        <v>-5.2923722654611201</v>
      </c>
      <c r="AG6273">
        <v>-1.131376643391</v>
      </c>
      <c r="AH6273">
        <v>6.3772545026808301</v>
      </c>
      <c r="AI6273">
        <v>97.773966177488902</v>
      </c>
      <c r="AJ6273">
        <v>129.68868863573201</v>
      </c>
      <c r="AK6273">
        <v>8.3641253157395798</v>
      </c>
      <c r="AL6273">
        <v>82.976824903104102</v>
      </c>
      <c r="AM6273">
        <v>108.94953057959999</v>
      </c>
      <c r="AN6273">
        <v>0.99999999816257901</v>
      </c>
    </row>
    <row r="6274" spans="1:40" x14ac:dyDescent="0.25">
      <c r="A6274" t="str">
        <f>"20190303162424131"</f>
        <v>20190303162424131</v>
      </c>
      <c r="B6274" t="str">
        <f>"1551601464120881"</f>
        <v>1551601464120881</v>
      </c>
      <c r="C6274" t="s">
        <v>40</v>
      </c>
      <c r="D6274">
        <v>5.3971739999999997</v>
      </c>
      <c r="E6274">
        <v>0.35102529999999998</v>
      </c>
      <c r="F6274" t="s">
        <v>42</v>
      </c>
      <c r="G6274">
        <v>-203.3673</v>
      </c>
      <c r="H6274">
        <v>1.0058400000000001</v>
      </c>
      <c r="I6274">
        <v>-59.751959999999997</v>
      </c>
      <c r="J6274">
        <v>-203.7474</v>
      </c>
      <c r="K6274">
        <v>1.1313770000000001</v>
      </c>
      <c r="L6274">
        <v>-60.488129999999998</v>
      </c>
      <c r="M6274">
        <v>0.95250990000000002</v>
      </c>
      <c r="N6274">
        <v>-1.47647E-2</v>
      </c>
      <c r="O6274">
        <v>0.30414960000000002</v>
      </c>
      <c r="P6274">
        <v>0.79903000000000002</v>
      </c>
      <c r="Q6274">
        <v>0.1156952</v>
      </c>
      <c r="R6274">
        <v>0.59005569999999996</v>
      </c>
      <c r="S6274">
        <v>1.7979130000000001</v>
      </c>
      <c r="T6274">
        <v>-0.44062469999999998</v>
      </c>
      <c r="U6274">
        <v>2.7495419999999999</v>
      </c>
      <c r="V6274">
        <v>-0.32235609999999998</v>
      </c>
      <c r="W6274">
        <v>0.1210956</v>
      </c>
      <c r="X6274">
        <v>0.93884100000000004</v>
      </c>
      <c r="Y6274">
        <v>-0.62703920000000002</v>
      </c>
      <c r="Z6274">
        <v>1.3687009999999999E-2</v>
      </c>
      <c r="AA6274">
        <v>0.77886750000000005</v>
      </c>
      <c r="AB6274">
        <v>31</v>
      </c>
      <c r="AC6274">
        <v>0.380099999999998</v>
      </c>
      <c r="AD6274">
        <v>-0.12553699999999901</v>
      </c>
      <c r="AE6274">
        <v>0.73617000000000798</v>
      </c>
      <c r="AF6274">
        <v>-0.57252127485428606</v>
      </c>
      <c r="AG6274">
        <v>-0.12553699999999901</v>
      </c>
      <c r="AH6274">
        <v>0.57286626655807305</v>
      </c>
      <c r="AI6274">
        <v>98.810784327109104</v>
      </c>
      <c r="AJ6274">
        <v>134.98274246289401</v>
      </c>
      <c r="AK6274">
        <v>0.81958276451494705</v>
      </c>
      <c r="AL6274">
        <v>83.044663105756399</v>
      </c>
      <c r="AM6274">
        <v>108.95018420162801</v>
      </c>
      <c r="AN6274">
        <v>1.0000000114137799</v>
      </c>
    </row>
    <row r="6275" spans="1:40" x14ac:dyDescent="0.25">
      <c r="A6275" t="str">
        <f>"20190303162424141"</f>
        <v>20190303162424141</v>
      </c>
      <c r="B6275" t="str">
        <f>"1551601464130642"</f>
        <v>1551601464130642</v>
      </c>
      <c r="C6275" t="s">
        <v>40</v>
      </c>
      <c r="D6275">
        <v>5.444979</v>
      </c>
      <c r="E6275">
        <v>0.35191679999999997</v>
      </c>
      <c r="F6275" t="s">
        <v>56</v>
      </c>
      <c r="G6275">
        <v>-199.2413</v>
      </c>
      <c r="H6275" s="1">
        <v>-9.617621E-6</v>
      </c>
      <c r="I6275">
        <v>-53.514000000000003</v>
      </c>
      <c r="J6275">
        <v>-203.60560000000001</v>
      </c>
      <c r="K6275">
        <v>1.1313930000000001</v>
      </c>
      <c r="L6275">
        <v>-60.437010000000001</v>
      </c>
      <c r="M6275">
        <v>0.95048449999999995</v>
      </c>
      <c r="N6275">
        <v>-1.4771080000000001E-2</v>
      </c>
      <c r="O6275">
        <v>0.3104209</v>
      </c>
      <c r="P6275">
        <v>0.79498480000000005</v>
      </c>
      <c r="Q6275">
        <v>0.1152937</v>
      </c>
      <c r="R6275">
        <v>0.59557249999999995</v>
      </c>
      <c r="S6275">
        <v>1.782303</v>
      </c>
      <c r="T6275">
        <v>-0.44749860000000002</v>
      </c>
      <c r="U6275">
        <v>2.7584840000000002</v>
      </c>
      <c r="V6275">
        <v>-0.32264490000000001</v>
      </c>
      <c r="W6275">
        <v>0.1206772</v>
      </c>
      <c r="X6275">
        <v>0.93879570000000001</v>
      </c>
      <c r="Y6275">
        <v>-0.62612349999999894</v>
      </c>
      <c r="Z6275">
        <v>1.279607E-2</v>
      </c>
      <c r="AA6275">
        <v>0.7796189</v>
      </c>
      <c r="AB6275">
        <v>31</v>
      </c>
      <c r="AC6275">
        <v>4.3643000000000098</v>
      </c>
      <c r="AD6275">
        <v>-1.1314026176209999</v>
      </c>
      <c r="AE6275">
        <v>6.9230099999999997</v>
      </c>
      <c r="AF6275">
        <v>-5.1280039964498503</v>
      </c>
      <c r="AG6275">
        <v>-1.1314026176209999</v>
      </c>
      <c r="AH6275">
        <v>6.1798206363333499</v>
      </c>
      <c r="AI6275">
        <v>98.019658139314103</v>
      </c>
      <c r="AJ6275">
        <v>129.68582618391201</v>
      </c>
      <c r="AK6275">
        <v>8.1096658357799694</v>
      </c>
      <c r="AL6275">
        <v>83.068812979562793</v>
      </c>
      <c r="AM6275">
        <v>108.966798694703</v>
      </c>
      <c r="AN6275">
        <v>1.00000004221716</v>
      </c>
    </row>
    <row r="6276" spans="1:40" x14ac:dyDescent="0.25">
      <c r="A6276" t="str">
        <f>"20190303162424152"</f>
        <v>20190303162424152</v>
      </c>
      <c r="B6276" t="str">
        <f>"1551601464141376"</f>
        <v>1551601464141376</v>
      </c>
      <c r="C6276" t="s">
        <v>40</v>
      </c>
      <c r="D6276">
        <v>5.4048889999999998</v>
      </c>
      <c r="E6276">
        <v>0.35273100000000002</v>
      </c>
      <c r="F6276" t="s">
        <v>42</v>
      </c>
      <c r="G6276">
        <v>-203.11359999999999</v>
      </c>
      <c r="H6276">
        <v>1.007846</v>
      </c>
      <c r="I6276">
        <v>-59.667389999999997</v>
      </c>
      <c r="J6276">
        <v>-203.47280000000001</v>
      </c>
      <c r="K6276">
        <v>1.131402</v>
      </c>
      <c r="L6276">
        <v>-60.387509999999999</v>
      </c>
      <c r="M6276">
        <v>0.94854000000000005</v>
      </c>
      <c r="N6276">
        <v>-1.477643E-2</v>
      </c>
      <c r="O6276">
        <v>0.3163126</v>
      </c>
      <c r="P6276">
        <v>0.79093329999999995</v>
      </c>
      <c r="Q6276">
        <v>0.1150943</v>
      </c>
      <c r="R6276">
        <v>0.60098079999999998</v>
      </c>
      <c r="S6276">
        <v>1.7669680000000001</v>
      </c>
      <c r="T6276">
        <v>-0.44371309999999903</v>
      </c>
      <c r="U6276">
        <v>2.764465</v>
      </c>
      <c r="V6276">
        <v>-0.32321319999999998</v>
      </c>
      <c r="W6276">
        <v>0.1204542</v>
      </c>
      <c r="X6276">
        <v>0.93862880000000004</v>
      </c>
      <c r="Y6276">
        <v>-0.62522440000000001</v>
      </c>
      <c r="Z6276">
        <v>1.187306E-2</v>
      </c>
      <c r="AA6276">
        <v>0.78035469999999996</v>
      </c>
      <c r="AB6276">
        <v>31</v>
      </c>
      <c r="AC6276">
        <v>0.35920000000001501</v>
      </c>
      <c r="AD6276">
        <v>-0.123556</v>
      </c>
      <c r="AE6276">
        <v>0.72011999999999399</v>
      </c>
      <c r="AF6276">
        <v>-0.55638928064533399</v>
      </c>
      <c r="AG6276">
        <v>-0.123556</v>
      </c>
      <c r="AH6276">
        <v>0.55546639185032298</v>
      </c>
      <c r="AI6276">
        <v>98.931310933775094</v>
      </c>
      <c r="AJ6276">
        <v>135.04755798983399</v>
      </c>
      <c r="AK6276">
        <v>0.795850506834198</v>
      </c>
      <c r="AL6276">
        <v>83.081683571424406</v>
      </c>
      <c r="AM6276">
        <v>109.000948755644</v>
      </c>
      <c r="AN6276">
        <v>1.0000000055706599</v>
      </c>
    </row>
    <row r="6277" spans="1:40" x14ac:dyDescent="0.25">
      <c r="A6277" t="str">
        <f>"20190303162424165"</f>
        <v>20190303162424165</v>
      </c>
      <c r="B6277" t="str">
        <f>"1551601464160897"</f>
        <v>1551601464160897</v>
      </c>
      <c r="C6277" t="s">
        <v>40</v>
      </c>
      <c r="D6277">
        <v>5.4531519999999896</v>
      </c>
      <c r="E6277">
        <v>0.354253599999999</v>
      </c>
      <c r="F6277" t="s">
        <v>56</v>
      </c>
      <c r="G6277">
        <v>-198.96860000000001</v>
      </c>
      <c r="H6277" s="1">
        <v>-9.6752660000000007E-6</v>
      </c>
      <c r="I6277">
        <v>-53.26238</v>
      </c>
      <c r="J6277">
        <v>-203.31280000000001</v>
      </c>
      <c r="K6277">
        <v>1.1314200000000001</v>
      </c>
      <c r="L6277">
        <v>-60.327300000000001</v>
      </c>
      <c r="M6277">
        <v>0.94614450000000005</v>
      </c>
      <c r="N6277">
        <v>-1.4782480000000001E-2</v>
      </c>
      <c r="O6277">
        <v>0.323407</v>
      </c>
      <c r="P6277">
        <v>0.7859623</v>
      </c>
      <c r="Q6277">
        <v>0.11510189999999999</v>
      </c>
      <c r="R6277">
        <v>0.60746599999999995</v>
      </c>
      <c r="S6277">
        <v>1.751633</v>
      </c>
      <c r="T6277">
        <v>-0.43998720000000002</v>
      </c>
      <c r="U6277">
        <v>2.7708439999999999</v>
      </c>
      <c r="V6277">
        <v>-0.3239108</v>
      </c>
      <c r="W6277">
        <v>0.120432399999999</v>
      </c>
      <c r="X6277">
        <v>0.93839110000000003</v>
      </c>
      <c r="Y6277">
        <v>-0.62339750000000005</v>
      </c>
      <c r="Z6277">
        <v>1.070513E-2</v>
      </c>
      <c r="AA6277">
        <v>0.78183179999999997</v>
      </c>
      <c r="AB6277">
        <v>31</v>
      </c>
      <c r="AC6277">
        <v>4.3441999999999998</v>
      </c>
      <c r="AD6277">
        <v>-1.131429675266</v>
      </c>
      <c r="AE6277">
        <v>7.0649199999999901</v>
      </c>
      <c r="AF6277">
        <v>-5.1835975341759104</v>
      </c>
      <c r="AG6277">
        <v>-1.131429675266</v>
      </c>
      <c r="AH6277">
        <v>6.2789296536164096</v>
      </c>
      <c r="AI6277">
        <v>97.911133813521104</v>
      </c>
      <c r="AJ6277">
        <v>129.54152416066299</v>
      </c>
      <c r="AK6277">
        <v>8.22038770992285</v>
      </c>
      <c r="AL6277">
        <v>83.082941830142104</v>
      </c>
      <c r="AM6277">
        <v>109.043484268719</v>
      </c>
      <c r="AN6277">
        <v>1.0000000129427999</v>
      </c>
    </row>
    <row r="6278" spans="1:40" x14ac:dyDescent="0.25">
      <c r="A6278" t="str">
        <f>"20190303162424175"</f>
        <v>20190303162424175</v>
      </c>
      <c r="B6278" t="str">
        <f>"1551601464170657"</f>
        <v>1551601464170657</v>
      </c>
      <c r="C6278" t="s">
        <v>40</v>
      </c>
      <c r="D6278">
        <v>5.6627989999999997</v>
      </c>
      <c r="E6278">
        <v>0.354253599999999</v>
      </c>
      <c r="F6278" t="s">
        <v>56</v>
      </c>
      <c r="G6278">
        <v>-198.7927</v>
      </c>
      <c r="H6278" s="1">
        <v>-9.711687E-6</v>
      </c>
      <c r="I6278">
        <v>-53.102249999999998</v>
      </c>
      <c r="J6278">
        <v>-203.17509999999999</v>
      </c>
      <c r="K6278">
        <v>1.1314360000000001</v>
      </c>
      <c r="L6278">
        <v>-60.27393</v>
      </c>
      <c r="M6278">
        <v>0.94403239999999999</v>
      </c>
      <c r="N6278">
        <v>-1.4787170000000001E-2</v>
      </c>
      <c r="O6278">
        <v>0.32952130000000002</v>
      </c>
      <c r="P6278">
        <v>0.78124359999999904</v>
      </c>
      <c r="Q6278">
        <v>0.1156594</v>
      </c>
      <c r="R6278">
        <v>0.61341769999999995</v>
      </c>
      <c r="S6278">
        <v>1.735962</v>
      </c>
      <c r="T6278">
        <v>-0.43453009999999997</v>
      </c>
      <c r="U6278">
        <v>2.7748110000000001</v>
      </c>
      <c r="V6278">
        <v>-0.32501360000000001</v>
      </c>
      <c r="W6278">
        <v>0.1209498</v>
      </c>
      <c r="X6278">
        <v>0.93794310000000003</v>
      </c>
      <c r="Y6278">
        <v>-0.62213640000000003</v>
      </c>
      <c r="Z6278">
        <v>9.7432700000000001E-3</v>
      </c>
      <c r="AA6278">
        <v>0.78284819999999999</v>
      </c>
      <c r="AB6278">
        <v>31</v>
      </c>
      <c r="AC6278">
        <v>4.3823999999999899</v>
      </c>
      <c r="AD6278">
        <v>-1.131445711687</v>
      </c>
      <c r="AE6278">
        <v>7.1716800000000003</v>
      </c>
      <c r="AF6278">
        <v>-5.2319680679826002</v>
      </c>
      <c r="AG6278">
        <v>-1.131445711687</v>
      </c>
      <c r="AH6278">
        <v>6.3853387953221601</v>
      </c>
      <c r="AI6278">
        <v>97.804380196213302</v>
      </c>
      <c r="AJ6278">
        <v>129.33023229695701</v>
      </c>
      <c r="AK6278">
        <v>8.3322392424804299</v>
      </c>
      <c r="AL6278">
        <v>83.053078443790895</v>
      </c>
      <c r="AM6278">
        <v>109.11209092456301</v>
      </c>
      <c r="AN6278">
        <v>0.99999997657130402</v>
      </c>
    </row>
    <row r="6279" spans="1:40" x14ac:dyDescent="0.25">
      <c r="A6279" t="str">
        <f>"20190303162424187"</f>
        <v>20190303162424187</v>
      </c>
      <c r="B6279" t="str">
        <f>"1551601464180416"</f>
        <v>1551601464180416</v>
      </c>
      <c r="C6279" t="s">
        <v>40</v>
      </c>
      <c r="D6279">
        <v>5.4741960000000001</v>
      </c>
      <c r="E6279">
        <v>0.3590817</v>
      </c>
      <c r="F6279" t="s">
        <v>56</v>
      </c>
      <c r="G6279">
        <v>-198.70079999999999</v>
      </c>
      <c r="H6279" s="1">
        <v>-9.7360800000000001E-6</v>
      </c>
      <c r="I6279">
        <v>-53.003309999999999</v>
      </c>
      <c r="J6279">
        <v>-203.03049999999999</v>
      </c>
      <c r="K6279">
        <v>1.131451</v>
      </c>
      <c r="L6279">
        <v>-60.2170699999999</v>
      </c>
      <c r="M6279">
        <v>0.94176749999999998</v>
      </c>
      <c r="N6279">
        <v>-1.4791729999999999E-2</v>
      </c>
      <c r="O6279">
        <v>0.3359395</v>
      </c>
      <c r="P6279">
        <v>0.77641340000000003</v>
      </c>
      <c r="Q6279">
        <v>0.11603529999999999</v>
      </c>
      <c r="R6279">
        <v>0.61944969999999999</v>
      </c>
      <c r="S6279">
        <v>1.7154689999999999</v>
      </c>
      <c r="T6279">
        <v>-0.43380360000000001</v>
      </c>
      <c r="U6279">
        <v>2.787598</v>
      </c>
      <c r="V6279">
        <v>-0.32592599999999999</v>
      </c>
      <c r="W6279">
        <v>0.121292</v>
      </c>
      <c r="X6279">
        <v>0.93758229999999998</v>
      </c>
      <c r="Y6279">
        <v>-0.622637</v>
      </c>
      <c r="Z6279">
        <v>8.9262690000000006E-3</v>
      </c>
      <c r="AA6279">
        <v>0.78245989999999999</v>
      </c>
      <c r="AB6279">
        <v>31</v>
      </c>
      <c r="AC6279">
        <v>4.3296999999999999</v>
      </c>
      <c r="AD6279">
        <v>-1.13146073608</v>
      </c>
      <c r="AE6279">
        <v>7.21375999999999</v>
      </c>
      <c r="AF6279">
        <v>-5.2448926387490102</v>
      </c>
      <c r="AG6279">
        <v>-1.13146073608</v>
      </c>
      <c r="AH6279">
        <v>6.3861688637227498</v>
      </c>
      <c r="AI6279">
        <v>97.7962377070223</v>
      </c>
      <c r="AJ6279">
        <v>129.395898220936</v>
      </c>
      <c r="AK6279">
        <v>8.3409984381533206</v>
      </c>
      <c r="AL6279">
        <v>83.033326838419597</v>
      </c>
      <c r="AM6279">
        <v>109.168672324498</v>
      </c>
      <c r="AN6279">
        <v>1.0000000380066401</v>
      </c>
    </row>
    <row r="6280" spans="1:40" x14ac:dyDescent="0.25">
      <c r="A6280" t="str">
        <f>"20190303162424197"</f>
        <v>20190303162424197</v>
      </c>
      <c r="B6280" t="str">
        <f>"1551601464191152"</f>
        <v>1551601464191152</v>
      </c>
      <c r="C6280" t="s">
        <v>40</v>
      </c>
      <c r="D6280">
        <v>5.4442019999999998</v>
      </c>
      <c r="E6280">
        <v>0.3590817</v>
      </c>
      <c r="F6280" t="s">
        <v>56</v>
      </c>
      <c r="G6280">
        <v>-197.67230000000001</v>
      </c>
      <c r="H6280" s="1">
        <v>-1.014654E-5</v>
      </c>
      <c r="I6280">
        <v>-51.544649999999997</v>
      </c>
      <c r="J6280">
        <v>-202.89590000000001</v>
      </c>
      <c r="K6280">
        <v>1.131464</v>
      </c>
      <c r="L6280">
        <v>-60.163020000000003</v>
      </c>
      <c r="M6280">
        <v>0.93961130000000004</v>
      </c>
      <c r="N6280">
        <v>-1.4795620000000001E-2</v>
      </c>
      <c r="O6280">
        <v>0.34192349999999999</v>
      </c>
      <c r="P6280">
        <v>0.7718931</v>
      </c>
      <c r="Q6280">
        <v>0.116832199999999</v>
      </c>
      <c r="R6280">
        <v>0.62492499999999995</v>
      </c>
      <c r="S6280">
        <v>1.7099</v>
      </c>
      <c r="T6280">
        <v>-0.36106470000000002</v>
      </c>
      <c r="U6280">
        <v>2.767487</v>
      </c>
      <c r="V6280">
        <v>-0.32665840000000002</v>
      </c>
      <c r="W6280">
        <v>0.122062</v>
      </c>
      <c r="X6280">
        <v>0.93722740000000004</v>
      </c>
      <c r="Y6280">
        <v>-0.61719969999999902</v>
      </c>
      <c r="Z6280">
        <v>7.9486130000000002E-3</v>
      </c>
      <c r="AA6280">
        <v>0.78676639999999998</v>
      </c>
      <c r="AB6280">
        <v>31</v>
      </c>
      <c r="AC6280">
        <v>5.2236000000000002</v>
      </c>
      <c r="AD6280">
        <v>-1.13147414654</v>
      </c>
      <c r="AE6280">
        <v>8.6183699999999899</v>
      </c>
      <c r="AF6280">
        <v>-6.2339557420436602</v>
      </c>
      <c r="AG6280">
        <v>-1.13147414654</v>
      </c>
      <c r="AH6280">
        <v>7.7580435198604896</v>
      </c>
      <c r="AI6280">
        <v>96.486053568030897</v>
      </c>
      <c r="AJ6280">
        <v>128.78352772984999</v>
      </c>
      <c r="AK6280">
        <v>10.016470296172001</v>
      </c>
      <c r="AL6280">
        <v>82.988878707107901</v>
      </c>
      <c r="AM6280">
        <v>109.21533482206399</v>
      </c>
      <c r="AN6280">
        <v>1.00000002072265</v>
      </c>
    </row>
    <row r="6281" spans="1:40" x14ac:dyDescent="0.25">
      <c r="A6281" t="str">
        <f>"20190303162424209"</f>
        <v>20190303162424209</v>
      </c>
      <c r="B6281" t="str">
        <f>"1551601464200913"</f>
        <v>1551601464200913</v>
      </c>
      <c r="C6281" t="s">
        <v>40</v>
      </c>
      <c r="D6281">
        <v>5.4428330000000003</v>
      </c>
      <c r="E6281">
        <v>0.34865760000000001</v>
      </c>
      <c r="F6281" t="s">
        <v>42</v>
      </c>
      <c r="G6281">
        <v>-202.3947</v>
      </c>
      <c r="H6281">
        <v>1.024953</v>
      </c>
      <c r="I6281">
        <v>-59.33914</v>
      </c>
      <c r="J6281">
        <v>-202.75729999999999</v>
      </c>
      <c r="K6281">
        <v>1.131481</v>
      </c>
      <c r="L6281">
        <v>-60.106290000000001</v>
      </c>
      <c r="M6281">
        <v>0.93734640000000002</v>
      </c>
      <c r="N6281">
        <v>-1.47993E-2</v>
      </c>
      <c r="O6281">
        <v>0.34808460000000002</v>
      </c>
      <c r="P6281">
        <v>0.76744499999999904</v>
      </c>
      <c r="Q6281">
        <v>0.1176223</v>
      </c>
      <c r="R6281">
        <v>0.63023280000000004</v>
      </c>
      <c r="S6281">
        <v>1.690582</v>
      </c>
      <c r="T6281">
        <v>-0.3593074</v>
      </c>
      <c r="U6281">
        <v>2.7796020000000001</v>
      </c>
      <c r="V6281">
        <v>-0.32703349999999998</v>
      </c>
      <c r="W6281">
        <v>0.1228368</v>
      </c>
      <c r="X6281">
        <v>0.93699529999999998</v>
      </c>
      <c r="Y6281">
        <v>-0.61759679999999995</v>
      </c>
      <c r="Z6281">
        <v>7.3076729999999998E-3</v>
      </c>
      <c r="AA6281">
        <v>0.78646090000000002</v>
      </c>
      <c r="AB6281">
        <v>31</v>
      </c>
      <c r="AC6281">
        <v>0.36259999999998599</v>
      </c>
      <c r="AD6281">
        <v>-0.106527999999999</v>
      </c>
      <c r="AE6281">
        <v>0.76715</v>
      </c>
      <c r="AF6281">
        <v>-0.58373419585457498</v>
      </c>
      <c r="AG6281">
        <v>-0.106527999999999</v>
      </c>
      <c r="AH6281">
        <v>0.597562863697508</v>
      </c>
      <c r="AI6281">
        <v>97.267327877251205</v>
      </c>
      <c r="AJ6281">
        <v>134.329306623349</v>
      </c>
      <c r="AK6281">
        <v>0.84212540768246202</v>
      </c>
      <c r="AL6281">
        <v>82.944149125976793</v>
      </c>
      <c r="AM6281">
        <v>109.240194141649</v>
      </c>
      <c r="AN6281">
        <v>0.99999999088928904</v>
      </c>
    </row>
    <row r="6282" spans="1:40" x14ac:dyDescent="0.25">
      <c r="A6282" t="str">
        <f>"20190303162424220"</f>
        <v>20190303162424220</v>
      </c>
      <c r="B6282" t="str">
        <f>"1551601464210673"</f>
        <v>1551601464210673</v>
      </c>
      <c r="C6282" t="s">
        <v>40</v>
      </c>
      <c r="D6282">
        <v>5.4877859999999998</v>
      </c>
      <c r="E6282">
        <v>0.34650740000000002</v>
      </c>
      <c r="F6282" t="s">
        <v>56</v>
      </c>
      <c r="G6282">
        <v>-198.19069999999999</v>
      </c>
      <c r="H6282" s="1">
        <v>-1.0006150000000001E-5</v>
      </c>
      <c r="I6282">
        <v>-52.073219999999999</v>
      </c>
      <c r="J6282">
        <v>-202.61320000000001</v>
      </c>
      <c r="K6282">
        <v>1.1314919999999999</v>
      </c>
      <c r="L6282">
        <v>-60.046480000000003</v>
      </c>
      <c r="M6282">
        <v>0.93494279999999996</v>
      </c>
      <c r="N6282">
        <v>-1.4802869999999999E-2</v>
      </c>
      <c r="O6282">
        <v>0.35448940000000001</v>
      </c>
      <c r="P6282">
        <v>0.76277819999999996</v>
      </c>
      <c r="Q6282">
        <v>0.11876879999999999</v>
      </c>
      <c r="R6282">
        <v>0.6356598</v>
      </c>
      <c r="S6282">
        <v>1.624298</v>
      </c>
      <c r="T6282">
        <v>-0.40246670000000001</v>
      </c>
      <c r="U6282">
        <v>2.8573300000000001</v>
      </c>
      <c r="V6282">
        <v>-0.32736459999999901</v>
      </c>
      <c r="W6282">
        <v>0.1239696</v>
      </c>
      <c r="X6282">
        <v>0.93673039999999996</v>
      </c>
      <c r="Y6282">
        <v>-0.63470349999999998</v>
      </c>
      <c r="Z6282">
        <v>7.8022539999999998E-3</v>
      </c>
      <c r="AA6282">
        <v>0.77271650000000003</v>
      </c>
      <c r="AB6282">
        <v>31</v>
      </c>
      <c r="AC6282">
        <v>4.4225000000000101</v>
      </c>
      <c r="AD6282">
        <v>-1.1315020061500001</v>
      </c>
      <c r="AE6282">
        <v>7.9732599999999998</v>
      </c>
      <c r="AF6282">
        <v>-5.7981612248480099</v>
      </c>
      <c r="AG6282">
        <v>-1.1315020061500001</v>
      </c>
      <c r="AH6282">
        <v>6.8563893920942904</v>
      </c>
      <c r="AI6282">
        <v>97.182075341370805</v>
      </c>
      <c r="AJ6282">
        <v>130.21980148540999</v>
      </c>
      <c r="AK6282">
        <v>9.0503616433419705</v>
      </c>
      <c r="AL6282">
        <v>82.878744205111303</v>
      </c>
      <c r="AM6282">
        <v>109.263284777956</v>
      </c>
      <c r="AN6282">
        <v>0.999999942670738</v>
      </c>
    </row>
    <row r="6283" spans="1:40" x14ac:dyDescent="0.25">
      <c r="A6283" t="str">
        <f>"20190303162424233"</f>
        <v>20190303162424233</v>
      </c>
      <c r="B6283" t="str">
        <f>"1551601464221409"</f>
        <v>1551601464221409</v>
      </c>
      <c r="C6283" t="s">
        <v>40</v>
      </c>
      <c r="D6283">
        <v>5.4785019999999998</v>
      </c>
      <c r="E6283">
        <v>0.34557359999999998</v>
      </c>
      <c r="F6283" t="s">
        <v>42</v>
      </c>
      <c r="G6283">
        <v>-202.15770000000001</v>
      </c>
      <c r="H6283">
        <v>1.0125440000000001</v>
      </c>
      <c r="I6283">
        <v>-59.223640000000003</v>
      </c>
      <c r="J6283">
        <v>-202.46209999999999</v>
      </c>
      <c r="K6283">
        <v>1.1315040000000001</v>
      </c>
      <c r="L6283">
        <v>-59.981960000000001</v>
      </c>
      <c r="M6283">
        <v>0.93236419999999998</v>
      </c>
      <c r="N6283">
        <v>-1.480619E-2</v>
      </c>
      <c r="O6283">
        <v>0.36121720000000002</v>
      </c>
      <c r="P6283">
        <v>0.75811640000000002</v>
      </c>
      <c r="Q6283">
        <v>0.11962100000000001</v>
      </c>
      <c r="R6283">
        <v>0.64105419999999902</v>
      </c>
      <c r="S6283">
        <v>1.595261</v>
      </c>
      <c r="T6283">
        <v>-0.41672530000000002</v>
      </c>
      <c r="U6283">
        <v>2.8831180000000001</v>
      </c>
      <c r="V6283">
        <v>-0.32733069999999997</v>
      </c>
      <c r="W6283">
        <v>0.12482119999999999</v>
      </c>
      <c r="X6283">
        <v>0.93662920000000005</v>
      </c>
      <c r="Y6283">
        <v>-0.63788719999999999</v>
      </c>
      <c r="Z6283">
        <v>7.1530419999999897E-3</v>
      </c>
      <c r="AA6283">
        <v>0.77009659999999902</v>
      </c>
      <c r="AB6283">
        <v>31</v>
      </c>
      <c r="AC6283">
        <v>0.30439999999998602</v>
      </c>
      <c r="AD6283">
        <v>-0.118959999999999</v>
      </c>
      <c r="AE6283">
        <v>0.758319999999997</v>
      </c>
      <c r="AF6283">
        <v>-0.58474812524683495</v>
      </c>
      <c r="AG6283">
        <v>-0.118959999999999</v>
      </c>
      <c r="AH6283">
        <v>0.54621448444001497</v>
      </c>
      <c r="AI6283">
        <v>98.456079328721302</v>
      </c>
      <c r="AJ6283">
        <v>136.95140072220201</v>
      </c>
      <c r="AK6283">
        <v>0.80896978595727598</v>
      </c>
      <c r="AL6283">
        <v>82.829569490729895</v>
      </c>
      <c r="AM6283">
        <v>109.263364747694</v>
      </c>
      <c r="AN6283">
        <v>0.99999998871228402</v>
      </c>
    </row>
    <row r="6284" spans="1:40" x14ac:dyDescent="0.25">
      <c r="A6284" t="str">
        <f>"20190303162424244"</f>
        <v>20190303162424244</v>
      </c>
      <c r="B6284" t="str">
        <f>"1551601464231169"</f>
        <v>1551601464231169</v>
      </c>
      <c r="C6284" t="s">
        <v>40</v>
      </c>
      <c r="D6284">
        <v>5.4903110000000002</v>
      </c>
      <c r="E6284">
        <v>0.345775</v>
      </c>
      <c r="F6284" t="s">
        <v>56</v>
      </c>
      <c r="G6284">
        <v>-198.24250000000001</v>
      </c>
      <c r="H6284" s="1">
        <v>-9.9701600000000004E-6</v>
      </c>
      <c r="I6284">
        <v>-52.189579999999999</v>
      </c>
      <c r="J6284">
        <v>-202.31809999999999</v>
      </c>
      <c r="K6284">
        <v>1.1315120000000001</v>
      </c>
      <c r="L6284">
        <v>-59.91986</v>
      </c>
      <c r="M6284">
        <v>0.92985790000000001</v>
      </c>
      <c r="N6284">
        <v>-1.480916E-2</v>
      </c>
      <c r="O6284">
        <v>0.36762089999999997</v>
      </c>
      <c r="P6284">
        <v>0.75391609999999998</v>
      </c>
      <c r="Q6284">
        <v>0.12107900000000001</v>
      </c>
      <c r="R6284">
        <v>0.64571690000000004</v>
      </c>
      <c r="S6284">
        <v>1.57077</v>
      </c>
      <c r="T6284">
        <v>-0.42121609999999998</v>
      </c>
      <c r="U6284">
        <v>2.9007869999999998</v>
      </c>
      <c r="V6284">
        <v>-0.32678960000000001</v>
      </c>
      <c r="W6284">
        <v>0.12629480000000001</v>
      </c>
      <c r="X6284">
        <v>0.93662069999999997</v>
      </c>
      <c r="Y6284">
        <v>-0.63956489999999999</v>
      </c>
      <c r="Z6284">
        <v>6.4384450000000001E-3</v>
      </c>
      <c r="AA6284">
        <v>0.76871009999999995</v>
      </c>
      <c r="AB6284">
        <v>31</v>
      </c>
      <c r="AC6284">
        <v>4.0755999999999801</v>
      </c>
      <c r="AD6284">
        <v>-1.1315219701599999</v>
      </c>
      <c r="AE6284">
        <v>7.7302799999999996</v>
      </c>
      <c r="AF6284">
        <v>-5.5965804127027399</v>
      </c>
      <c r="AG6284">
        <v>-1.1315219701599999</v>
      </c>
      <c r="AH6284">
        <v>6.5229084527702899</v>
      </c>
      <c r="AI6284">
        <v>97.499994888790198</v>
      </c>
      <c r="AJ6284">
        <v>130.629213862022</v>
      </c>
      <c r="AK6284">
        <v>8.66893240070684</v>
      </c>
      <c r="AL6284">
        <v>82.744465574420602</v>
      </c>
      <c r="AM6284">
        <v>109.234023510073</v>
      </c>
      <c r="AN6284">
        <v>1.0000000774218401</v>
      </c>
    </row>
    <row r="6285" spans="1:40" x14ac:dyDescent="0.25">
      <c r="A6285" t="str">
        <f>"20190303162424258"</f>
        <v>20190303162424258</v>
      </c>
      <c r="B6285" t="str">
        <f>"1551601464250689"</f>
        <v>1551601464250689</v>
      </c>
      <c r="C6285" t="s">
        <v>40</v>
      </c>
      <c r="D6285">
        <v>5.4973150000000004</v>
      </c>
      <c r="E6285">
        <v>0.3461323</v>
      </c>
      <c r="F6285" t="s">
        <v>56</v>
      </c>
      <c r="G6285">
        <v>-198.08699999999999</v>
      </c>
      <c r="H6285" s="1">
        <v>-1.00252E-5</v>
      </c>
      <c r="I6285">
        <v>-51.992330000000003</v>
      </c>
      <c r="J6285">
        <v>-202.14320000000001</v>
      </c>
      <c r="K6285">
        <v>1.1315139999999999</v>
      </c>
      <c r="L6285">
        <v>-59.84225</v>
      </c>
      <c r="M6285">
        <v>0.92673839999999996</v>
      </c>
      <c r="N6285">
        <v>-1.481232E-2</v>
      </c>
      <c r="O6285">
        <v>0.37541540000000001</v>
      </c>
      <c r="P6285">
        <v>0.74850430000000001</v>
      </c>
      <c r="Q6285">
        <v>0.1223775</v>
      </c>
      <c r="R6285">
        <v>0.65174019999999899</v>
      </c>
      <c r="S6285">
        <v>1.553299</v>
      </c>
      <c r="T6285">
        <v>-0.41539749999999998</v>
      </c>
      <c r="U6285">
        <v>2.9103089999999998</v>
      </c>
      <c r="V6285">
        <v>-0.3265478</v>
      </c>
      <c r="W6285">
        <v>0.1276002</v>
      </c>
      <c r="X6285">
        <v>0.93652800000000003</v>
      </c>
      <c r="Y6285">
        <v>-0.63788579999999995</v>
      </c>
      <c r="Z6285">
        <v>5.3129789999999998E-3</v>
      </c>
      <c r="AA6285">
        <v>0.77011260000000004</v>
      </c>
      <c r="AB6285">
        <v>31</v>
      </c>
      <c r="AC6285">
        <v>4.0561999999999898</v>
      </c>
      <c r="AD6285">
        <v>-1.1315240251999901</v>
      </c>
      <c r="AE6285">
        <v>7.84992</v>
      </c>
      <c r="AF6285">
        <v>-5.6598758245176599</v>
      </c>
      <c r="AG6285">
        <v>-1.1315240251999901</v>
      </c>
      <c r="AH6285">
        <v>6.5985418842992898</v>
      </c>
      <c r="AI6285">
        <v>97.415881447229793</v>
      </c>
      <c r="AJ6285">
        <v>130.62122470905001</v>
      </c>
      <c r="AK6285">
        <v>8.7667152324811095</v>
      </c>
      <c r="AL6285">
        <v>82.669060927829904</v>
      </c>
      <c r="AM6285">
        <v>109.222599021066</v>
      </c>
      <c r="AN6285">
        <v>0.99999998575443905</v>
      </c>
    </row>
    <row r="6286" spans="1:40" x14ac:dyDescent="0.25">
      <c r="A6286" t="str">
        <f>"20190303162424272"</f>
        <v>20190303162424272</v>
      </c>
      <c r="B6286" t="str">
        <f>"1551601464261425"</f>
        <v>1551601464261425</v>
      </c>
      <c r="C6286" t="s">
        <v>40</v>
      </c>
      <c r="D6286">
        <v>5.5495279999999996</v>
      </c>
      <c r="E6286">
        <v>0.34650950000000003</v>
      </c>
      <c r="F6286" t="s">
        <v>56</v>
      </c>
      <c r="G6286">
        <v>-197.83539999999999</v>
      </c>
      <c r="H6286" s="1">
        <v>-1.0134429999999999E-5</v>
      </c>
      <c r="I6286">
        <v>-51.62276</v>
      </c>
      <c r="J6286">
        <v>-201.98480000000001</v>
      </c>
      <c r="K6286">
        <v>1.131515</v>
      </c>
      <c r="L6286">
        <v>-59.770510000000002</v>
      </c>
      <c r="M6286">
        <v>0.92384759999999999</v>
      </c>
      <c r="N6286">
        <v>-1.4814870000000001E-2</v>
      </c>
      <c r="O6286">
        <v>0.38247389999999998</v>
      </c>
      <c r="P6286">
        <v>0.74373650000000002</v>
      </c>
      <c r="Q6286">
        <v>0.1231295</v>
      </c>
      <c r="R6286">
        <v>0.65703509999999998</v>
      </c>
      <c r="S6286">
        <v>1.53067</v>
      </c>
      <c r="T6286">
        <v>-0.40206350000000002</v>
      </c>
      <c r="U6286">
        <v>2.9206240000000001</v>
      </c>
      <c r="V6286">
        <v>-0.32611560000000001</v>
      </c>
      <c r="W6286">
        <v>0.12836729999999999</v>
      </c>
      <c r="X6286">
        <v>0.93657380000000001</v>
      </c>
      <c r="Y6286">
        <v>-0.63800349999999995</v>
      </c>
      <c r="Z6286">
        <v>4.593041E-3</v>
      </c>
      <c r="AA6286">
        <v>0.77001980000000003</v>
      </c>
      <c r="AB6286">
        <v>31</v>
      </c>
      <c r="AC6286">
        <v>4.1494000000000097</v>
      </c>
      <c r="AD6286">
        <v>-1.1315251344299999</v>
      </c>
      <c r="AE6286">
        <v>8.1477499999999896</v>
      </c>
      <c r="AF6286">
        <v>-5.8512837413312901</v>
      </c>
      <c r="AG6286">
        <v>-1.1315251344299999</v>
      </c>
      <c r="AH6286">
        <v>6.8456392065848899</v>
      </c>
      <c r="AI6286">
        <v>97.161527492245895</v>
      </c>
      <c r="AJ6286">
        <v>130.52203913004999</v>
      </c>
      <c r="AK6286">
        <v>9.0763785012606792</v>
      </c>
      <c r="AL6286">
        <v>82.624745111269704</v>
      </c>
      <c r="AM6286">
        <v>109.198150175336</v>
      </c>
      <c r="AN6286">
        <v>1.0000000155595401</v>
      </c>
    </row>
    <row r="6287" spans="1:40" x14ac:dyDescent="0.25">
      <c r="A6287" t="str">
        <f>"20190303162424288"</f>
        <v>20190303162424288</v>
      </c>
      <c r="B6287" t="str">
        <f>"1551601464280945"</f>
        <v>1551601464280945</v>
      </c>
      <c r="C6287" t="s">
        <v>40</v>
      </c>
      <c r="D6287">
        <v>5.5050629999999998</v>
      </c>
      <c r="E6287">
        <v>0.346974</v>
      </c>
      <c r="F6287" t="s">
        <v>56</v>
      </c>
      <c r="G6287">
        <v>-197.6746</v>
      </c>
      <c r="H6287" s="1">
        <v>-1.019273E-5</v>
      </c>
      <c r="I6287">
        <v>-51.418239999999997</v>
      </c>
      <c r="J6287">
        <v>-201.78030000000001</v>
      </c>
      <c r="K6287">
        <v>1.13151</v>
      </c>
      <c r="L6287">
        <v>-59.675870000000003</v>
      </c>
      <c r="M6287">
        <v>0.920018</v>
      </c>
      <c r="N6287">
        <v>-1.481785E-2</v>
      </c>
      <c r="O6287">
        <v>0.3915959</v>
      </c>
      <c r="P6287">
        <v>0.73792040000000003</v>
      </c>
      <c r="Q6287">
        <v>0.1224542</v>
      </c>
      <c r="R6287">
        <v>0.66368559999999999</v>
      </c>
      <c r="S6287">
        <v>1.5116419999999999</v>
      </c>
      <c r="T6287">
        <v>-0.39683400000000002</v>
      </c>
      <c r="U6287">
        <v>2.9291990000000001</v>
      </c>
      <c r="V6287">
        <v>-0.32519300000000001</v>
      </c>
      <c r="W6287">
        <v>0.12772649999999999</v>
      </c>
      <c r="X6287">
        <v>0.93698210000000004</v>
      </c>
      <c r="Y6287">
        <v>-0.63538409999999901</v>
      </c>
      <c r="Z6287">
        <v>3.286012E-3</v>
      </c>
      <c r="AA6287">
        <v>0.77218920000000002</v>
      </c>
      <c r="AB6287">
        <v>31</v>
      </c>
      <c r="AC6287">
        <v>4.1057000000000103</v>
      </c>
      <c r="AD6287">
        <v>-1.13152019272999</v>
      </c>
      <c r="AE6287">
        <v>8.25762999999999</v>
      </c>
      <c r="AF6287">
        <v>-5.9012090289937102</v>
      </c>
      <c r="AG6287">
        <v>-1.13152019272999</v>
      </c>
      <c r="AH6287">
        <v>6.9077469685692998</v>
      </c>
      <c r="AI6287">
        <v>97.099354934589201</v>
      </c>
      <c r="AJ6287">
        <v>130.506885182286</v>
      </c>
      <c r="AK6287">
        <v>9.1554122863042604</v>
      </c>
      <c r="AL6287">
        <v>82.661764882033793</v>
      </c>
      <c r="AM6287">
        <v>109.140060305074</v>
      </c>
      <c r="AN6287">
        <v>1.0000000008858301</v>
      </c>
    </row>
    <row r="6288" spans="1:40" x14ac:dyDescent="0.25">
      <c r="A6288" t="str">
        <f>"20190303162424298"</f>
        <v>20190303162424298</v>
      </c>
      <c r="B6288" t="str">
        <f>"1551601464290705"</f>
        <v>1551601464290705</v>
      </c>
      <c r="C6288" t="s">
        <v>40</v>
      </c>
      <c r="D6288">
        <v>5.5327250000000001</v>
      </c>
      <c r="E6288">
        <v>0.34739009999999998</v>
      </c>
      <c r="F6288" t="s">
        <v>56</v>
      </c>
      <c r="G6288">
        <v>-197.56010000000001</v>
      </c>
      <c r="H6288" s="1">
        <v>-1.020968E-5</v>
      </c>
      <c r="I6288">
        <v>-51.340179999999997</v>
      </c>
      <c r="J6288">
        <v>-201.64590000000001</v>
      </c>
      <c r="K6288">
        <v>1.1315010000000001</v>
      </c>
      <c r="L6288">
        <v>-59.612400000000001</v>
      </c>
      <c r="M6288">
        <v>0.91744320000000001</v>
      </c>
      <c r="N6288">
        <v>-1.481962E-2</v>
      </c>
      <c r="O6288">
        <v>0.39759080000000002</v>
      </c>
      <c r="P6288">
        <v>0.73389409999999999</v>
      </c>
      <c r="Q6288">
        <v>0.12131450000000001</v>
      </c>
      <c r="R6288">
        <v>0.66834289999999996</v>
      </c>
      <c r="S6288">
        <v>1.488083</v>
      </c>
      <c r="T6288">
        <v>-0.39898840000000002</v>
      </c>
      <c r="U6288">
        <v>2.93927</v>
      </c>
      <c r="V6288">
        <v>-0.32490350000000001</v>
      </c>
      <c r="W6288">
        <v>0.1266013</v>
      </c>
      <c r="X6288">
        <v>0.93723520000000005</v>
      </c>
      <c r="Y6288">
        <v>-0.63633549999999905</v>
      </c>
      <c r="Z6288">
        <v>2.5693069999999998E-3</v>
      </c>
      <c r="AA6288">
        <v>0.77140819999999999</v>
      </c>
      <c r="AB6288">
        <v>31</v>
      </c>
      <c r="AC6288">
        <v>4.0857999999999999</v>
      </c>
      <c r="AD6288">
        <v>-1.13151120968</v>
      </c>
      <c r="AE6288">
        <v>8.2722200000000008</v>
      </c>
      <c r="AF6288">
        <v>-5.8770748550089298</v>
      </c>
      <c r="AG6288">
        <v>-1.13151120968</v>
      </c>
      <c r="AH6288">
        <v>6.93392925040866</v>
      </c>
      <c r="AI6288">
        <v>97.095975076870005</v>
      </c>
      <c r="AJ6288">
        <v>130.28401616907101</v>
      </c>
      <c r="AK6288">
        <v>9.1596780139196294</v>
      </c>
      <c r="AL6288">
        <v>82.726761729788507</v>
      </c>
      <c r="AM6288">
        <v>109.11946968543199</v>
      </c>
      <c r="AN6288">
        <v>0.99999999679648999</v>
      </c>
    </row>
    <row r="6289" spans="1:40" x14ac:dyDescent="0.25">
      <c r="A6289" t="str">
        <f>"20190303162424310"</f>
        <v>20190303162424310</v>
      </c>
      <c r="B6289" t="str">
        <f>"1551601464300465"</f>
        <v>1551601464300465</v>
      </c>
      <c r="C6289" t="s">
        <v>40</v>
      </c>
      <c r="D6289">
        <v>5.529744</v>
      </c>
      <c r="E6289">
        <v>0.3477905</v>
      </c>
      <c r="F6289" t="s">
        <v>56</v>
      </c>
      <c r="G6289">
        <v>-197.4967</v>
      </c>
      <c r="H6289" s="1">
        <v>-1.021467E-5</v>
      </c>
      <c r="I6289">
        <v>-51.30903</v>
      </c>
      <c r="J6289">
        <v>-201.51300000000001</v>
      </c>
      <c r="K6289">
        <v>1.1314919999999999</v>
      </c>
      <c r="L6289">
        <v>-59.548310000000001</v>
      </c>
      <c r="M6289">
        <v>0.91484929999999998</v>
      </c>
      <c r="N6289">
        <v>-1.482108E-2</v>
      </c>
      <c r="O6289">
        <v>0.40352329999999997</v>
      </c>
      <c r="P6289">
        <v>0.72996729999999999</v>
      </c>
      <c r="Q6289">
        <v>0.11990969999999999</v>
      </c>
      <c r="R6289">
        <v>0.67288149999999902</v>
      </c>
      <c r="S6289">
        <v>1.4718169999999999</v>
      </c>
      <c r="T6289">
        <v>-0.40137420000000001</v>
      </c>
      <c r="U6289">
        <v>2.9454039999999999</v>
      </c>
      <c r="V6289">
        <v>-0.3245149</v>
      </c>
      <c r="W6289">
        <v>0.1252153</v>
      </c>
      <c r="X6289">
        <v>0.93755599999999994</v>
      </c>
      <c r="Y6289">
        <v>-0.63540509999999994</v>
      </c>
      <c r="Z6289">
        <v>1.6715969999999999E-3</v>
      </c>
      <c r="AA6289">
        <v>0.77217720000000001</v>
      </c>
      <c r="AB6289">
        <v>31</v>
      </c>
      <c r="AC6289">
        <v>4.0163000000000002</v>
      </c>
      <c r="AD6289">
        <v>-1.13150221467</v>
      </c>
      <c r="AE6289">
        <v>8.2392800000000008</v>
      </c>
      <c r="AF6289">
        <v>-5.8288550834477997</v>
      </c>
      <c r="AG6289">
        <v>-1.13150221467</v>
      </c>
      <c r="AH6289">
        <v>6.8947529006019401</v>
      </c>
      <c r="AI6289">
        <v>97.1434122173887</v>
      </c>
      <c r="AJ6289">
        <v>130.21132846826299</v>
      </c>
      <c r="AK6289">
        <v>9.0990915154204899</v>
      </c>
      <c r="AL6289">
        <v>82.806810911596699</v>
      </c>
      <c r="AM6289">
        <v>109.09219777544099</v>
      </c>
      <c r="AN6289">
        <v>1.0000000224060399</v>
      </c>
    </row>
    <row r="6290" spans="1:40" x14ac:dyDescent="0.25">
      <c r="A6290" t="str">
        <f>"20190303162424321"</f>
        <v>20190303162424321</v>
      </c>
      <c r="B6290" t="str">
        <f>"1551601464311202"</f>
        <v>1551601464311202</v>
      </c>
      <c r="C6290" t="s">
        <v>40</v>
      </c>
      <c r="D6290">
        <v>5.5672889999999997</v>
      </c>
      <c r="E6290">
        <v>0.34825289999999998</v>
      </c>
      <c r="F6290" t="s">
        <v>56</v>
      </c>
      <c r="G6290">
        <v>-197.43260000000001</v>
      </c>
      <c r="H6290" s="1">
        <v>-1.022125E-5</v>
      </c>
      <c r="I6290">
        <v>-51.273310000000002</v>
      </c>
      <c r="J6290">
        <v>-201.3717</v>
      </c>
      <c r="K6290">
        <v>1.13147999999999</v>
      </c>
      <c r="L6290">
        <v>-59.479520000000001</v>
      </c>
      <c r="M6290">
        <v>0.91204200000000002</v>
      </c>
      <c r="N6290">
        <v>-1.482254E-2</v>
      </c>
      <c r="O6290">
        <v>0.40982879999999999</v>
      </c>
      <c r="P6290">
        <v>0.72570330000000005</v>
      </c>
      <c r="Q6290">
        <v>0.1183611</v>
      </c>
      <c r="R6290">
        <v>0.67775030000000003</v>
      </c>
      <c r="S6290">
        <v>1.4553990000000001</v>
      </c>
      <c r="T6290">
        <v>-0.40357730000000003</v>
      </c>
      <c r="U6290">
        <v>2.9514770000000001</v>
      </c>
      <c r="V6290">
        <v>-0.32416859999999997</v>
      </c>
      <c r="W6290">
        <v>0.1236843</v>
      </c>
      <c r="X6290">
        <v>0.93787900000000002</v>
      </c>
      <c r="Y6290">
        <v>-0.63418109999999905</v>
      </c>
      <c r="Z6290">
        <v>6.8988280000000001E-4</v>
      </c>
      <c r="AA6290">
        <v>0.77318419999999999</v>
      </c>
      <c r="AB6290">
        <v>31</v>
      </c>
      <c r="AC6290">
        <v>3.9390999999999901</v>
      </c>
      <c r="AD6290">
        <v>-1.13149022124999</v>
      </c>
      <c r="AE6290">
        <v>8.2062099999999898</v>
      </c>
      <c r="AF6290">
        <v>-5.7813669646845796</v>
      </c>
      <c r="AG6290">
        <v>-1.13149022124999</v>
      </c>
      <c r="AH6290">
        <v>6.8506783051132496</v>
      </c>
      <c r="AI6290">
        <v>97.194052414801902</v>
      </c>
      <c r="AJ6290">
        <v>130.16140812585201</v>
      </c>
      <c r="AK6290">
        <v>9.0352790405875094</v>
      </c>
      <c r="AL6290">
        <v>82.895218260796497</v>
      </c>
      <c r="AM6290">
        <v>109.067202449025</v>
      </c>
      <c r="AN6290">
        <v>1.0000000529667199</v>
      </c>
    </row>
    <row r="6291" spans="1:40" x14ac:dyDescent="0.25">
      <c r="A6291" t="str">
        <f>"20190303162424333"</f>
        <v>20190303162424333</v>
      </c>
      <c r="B6291" t="str">
        <f>"1551601464320961"</f>
        <v>1551601464320961</v>
      </c>
      <c r="C6291" t="s">
        <v>40</v>
      </c>
      <c r="D6291">
        <v>5.5801600000000002</v>
      </c>
      <c r="E6291">
        <v>0.34863630000000001</v>
      </c>
      <c r="F6291" t="s">
        <v>42</v>
      </c>
      <c r="G6291">
        <v>-200.97049999999999</v>
      </c>
      <c r="H6291">
        <v>1.0183450000000001</v>
      </c>
      <c r="I6291">
        <v>-58.654220000000002</v>
      </c>
      <c r="J6291">
        <v>-201.2388</v>
      </c>
      <c r="K6291">
        <v>1.1314679999999999</v>
      </c>
      <c r="L6291">
        <v>-59.412930000000003</v>
      </c>
      <c r="M6291">
        <v>0.90934579999999998</v>
      </c>
      <c r="N6291">
        <v>-1.4823599999999999E-2</v>
      </c>
      <c r="O6291">
        <v>0.41577700000000001</v>
      </c>
      <c r="P6291">
        <v>0.72155819999999904</v>
      </c>
      <c r="Q6291">
        <v>0.1168049</v>
      </c>
      <c r="R6291">
        <v>0.68242969999999903</v>
      </c>
      <c r="S6291">
        <v>1.4377439999999999</v>
      </c>
      <c r="T6291">
        <v>-0.40545890000000001</v>
      </c>
      <c r="U6291">
        <v>2.9577330000000002</v>
      </c>
      <c r="V6291">
        <v>-0.32396039999999998</v>
      </c>
      <c r="W6291">
        <v>0.1221416</v>
      </c>
      <c r="X6291">
        <v>0.93815300000000001</v>
      </c>
      <c r="Y6291">
        <v>-0.63352379999999997</v>
      </c>
      <c r="Z6291">
        <v>-1.993962E-4</v>
      </c>
      <c r="AA6291">
        <v>0.77372319999999895</v>
      </c>
      <c r="AB6291">
        <v>31</v>
      </c>
      <c r="AC6291">
        <v>0.26830000000000997</v>
      </c>
      <c r="AD6291">
        <v>-0.113122999999999</v>
      </c>
      <c r="AE6291">
        <v>0.75871000000000699</v>
      </c>
      <c r="AF6291">
        <v>-0.56723206114888602</v>
      </c>
      <c r="AG6291">
        <v>-0.113122999999999</v>
      </c>
      <c r="AH6291">
        <v>0.54865197731247894</v>
      </c>
      <c r="AI6291">
        <v>98.1575696361014</v>
      </c>
      <c r="AJ6291">
        <v>135.95391813721301</v>
      </c>
      <c r="AK6291">
        <v>0.79722519812980497</v>
      </c>
      <c r="AL6291">
        <v>82.984283302623794</v>
      </c>
      <c r="AM6291">
        <v>109.050675681521</v>
      </c>
      <c r="AN6291">
        <v>0.99999998131385903</v>
      </c>
    </row>
    <row r="6292" spans="1:40" x14ac:dyDescent="0.25">
      <c r="A6292" t="str">
        <f>"20190303162424346"</f>
        <v>20190303162424346</v>
      </c>
      <c r="B6292" t="str">
        <f>"1551601464341456"</f>
        <v>1551601464341456</v>
      </c>
      <c r="C6292" t="s">
        <v>40</v>
      </c>
      <c r="D6292">
        <v>5.6046630000000004</v>
      </c>
      <c r="E6292">
        <v>0.349460099999999</v>
      </c>
      <c r="F6292" t="s">
        <v>56</v>
      </c>
      <c r="G6292">
        <v>-197.31389999999999</v>
      </c>
      <c r="H6292" s="1">
        <v>-1.022709E-5</v>
      </c>
      <c r="I6292">
        <v>-51.224649999999997</v>
      </c>
      <c r="J6292">
        <v>-201.08949999999999</v>
      </c>
      <c r="K6292">
        <v>1.131453</v>
      </c>
      <c r="L6292">
        <v>-59.337589999999999</v>
      </c>
      <c r="M6292">
        <v>0.90626779999999996</v>
      </c>
      <c r="N6292">
        <v>-1.4824759999999999E-2</v>
      </c>
      <c r="O6292">
        <v>0.42244399999999999</v>
      </c>
      <c r="P6292">
        <v>0.71656900000000001</v>
      </c>
      <c r="Q6292">
        <v>0.115534</v>
      </c>
      <c r="R6292">
        <v>0.68788139999999998</v>
      </c>
      <c r="S6292">
        <v>1.420715</v>
      </c>
      <c r="T6292">
        <v>-0.40957179999999999</v>
      </c>
      <c r="U6292">
        <v>2.9639890000000002</v>
      </c>
      <c r="V6292">
        <v>-0.32406200000000002</v>
      </c>
      <c r="W6292">
        <v>0.120875</v>
      </c>
      <c r="X6292">
        <v>0.93828199999999995</v>
      </c>
      <c r="Y6292">
        <v>-0.63209930000000003</v>
      </c>
      <c r="Z6292">
        <v>-1.330316E-3</v>
      </c>
      <c r="AA6292">
        <v>0.77488630000000003</v>
      </c>
      <c r="AB6292">
        <v>31</v>
      </c>
      <c r="AC6292">
        <v>3.7755999999999901</v>
      </c>
      <c r="AD6292">
        <v>-1.13146322709</v>
      </c>
      <c r="AE6292">
        <v>8.11294</v>
      </c>
      <c r="AF6292">
        <v>-5.6675388669362698</v>
      </c>
      <c r="AG6292">
        <v>-1.13146322709</v>
      </c>
      <c r="AH6292">
        <v>6.74193260315083</v>
      </c>
      <c r="AI6292">
        <v>97.320336215482797</v>
      </c>
      <c r="AJ6292">
        <v>130.051755054837</v>
      </c>
      <c r="AK6292">
        <v>8.8800259609934908</v>
      </c>
      <c r="AL6292">
        <v>83.057396206456104</v>
      </c>
      <c r="AM6292">
        <v>109.053788422685</v>
      </c>
      <c r="AN6292">
        <v>1.0000000284964901</v>
      </c>
    </row>
    <row r="6293" spans="1:40" x14ac:dyDescent="0.25">
      <c r="A6293" t="str">
        <f>"20190303162424358"</f>
        <v>20190303162424358</v>
      </c>
      <c r="B6293" t="str">
        <f>"1551601464351217"</f>
        <v>1551601464351217</v>
      </c>
      <c r="C6293" t="s">
        <v>40</v>
      </c>
      <c r="D6293">
        <v>5.6116489999999999</v>
      </c>
      <c r="E6293">
        <v>0.34987699999999999</v>
      </c>
      <c r="F6293" t="s">
        <v>56</v>
      </c>
      <c r="G6293">
        <v>-197.23310000000001</v>
      </c>
      <c r="H6293" s="1">
        <v>-1.023714E-5</v>
      </c>
      <c r="I6293">
        <v>-51.174810000000001</v>
      </c>
      <c r="J6293">
        <v>-200.93790000000001</v>
      </c>
      <c r="K6293">
        <v>1.131443</v>
      </c>
      <c r="L6293">
        <v>-59.2592199999999</v>
      </c>
      <c r="M6293">
        <v>0.90307329999999997</v>
      </c>
      <c r="N6293">
        <v>-1.4825649999999999E-2</v>
      </c>
      <c r="O6293">
        <v>0.42923070000000002</v>
      </c>
      <c r="P6293">
        <v>0.71131460000000002</v>
      </c>
      <c r="Q6293">
        <v>0.1142934</v>
      </c>
      <c r="R6293">
        <v>0.69351890000000005</v>
      </c>
      <c r="S6293">
        <v>1.402725</v>
      </c>
      <c r="T6293">
        <v>-0.4115567</v>
      </c>
      <c r="U6293">
        <v>2.9691160000000001</v>
      </c>
      <c r="V6293">
        <v>-0.32431290000000002</v>
      </c>
      <c r="W6293">
        <v>0.1196343</v>
      </c>
      <c r="X6293">
        <v>0.93835429999999997</v>
      </c>
      <c r="Y6293">
        <v>-0.63066759999999999</v>
      </c>
      <c r="Z6293">
        <v>-2.43853E-3</v>
      </c>
      <c r="AA6293">
        <v>0.77604930000000005</v>
      </c>
      <c r="AB6293">
        <v>31</v>
      </c>
      <c r="AC6293">
        <v>3.7048000000000001</v>
      </c>
      <c r="AD6293">
        <v>-1.1314532371399999</v>
      </c>
      <c r="AE6293">
        <v>8.0844099999999894</v>
      </c>
      <c r="AF6293">
        <v>-5.6202484399413803</v>
      </c>
      <c r="AG6293">
        <v>-1.1314532371399999</v>
      </c>
      <c r="AH6293">
        <v>6.70794438095737</v>
      </c>
      <c r="AI6293">
        <v>97.366962818588902</v>
      </c>
      <c r="AJ6293">
        <v>129.957944510266</v>
      </c>
      <c r="AK6293">
        <v>8.8240521741723494</v>
      </c>
      <c r="AL6293">
        <v>83.129002581418703</v>
      </c>
      <c r="AM6293">
        <v>109.066112509421</v>
      </c>
      <c r="AN6293">
        <v>1.0000000075856901</v>
      </c>
    </row>
    <row r="6294" spans="1:40" x14ac:dyDescent="0.25">
      <c r="A6294" t="str">
        <f>"20190303162424370"</f>
        <v>20190303162424370</v>
      </c>
      <c r="B6294" t="str">
        <f>"1551601464360977"</f>
        <v>1551601464360977</v>
      </c>
      <c r="C6294" t="s">
        <v>40</v>
      </c>
      <c r="D6294">
        <v>5.6438769999999998</v>
      </c>
      <c r="E6294">
        <v>0.34987699999999999</v>
      </c>
      <c r="F6294" t="s">
        <v>56</v>
      </c>
      <c r="G6294">
        <v>-197.1711</v>
      </c>
      <c r="H6294" s="1">
        <v>-1.024194E-5</v>
      </c>
      <c r="I6294">
        <v>-51.144590000000001</v>
      </c>
      <c r="J6294">
        <v>-200.7877</v>
      </c>
      <c r="K6294">
        <v>1.1314329999999999</v>
      </c>
      <c r="L6294">
        <v>-59.180149999999998</v>
      </c>
      <c r="M6294">
        <v>0.89984569999999997</v>
      </c>
      <c r="N6294">
        <v>-1.4826310000000001E-2</v>
      </c>
      <c r="O6294">
        <v>0.43595630000000002</v>
      </c>
      <c r="P6294">
        <v>0.70569919999999997</v>
      </c>
      <c r="Q6294">
        <v>0.1135497</v>
      </c>
      <c r="R6294">
        <v>0.69935340000000001</v>
      </c>
      <c r="S6294">
        <v>1.3818360000000001</v>
      </c>
      <c r="T6294">
        <v>-0.415076</v>
      </c>
      <c r="U6294">
        <v>2.9768680000000001</v>
      </c>
      <c r="V6294">
        <v>-0.3249667</v>
      </c>
      <c r="W6294">
        <v>0.1188777</v>
      </c>
      <c r="X6294">
        <v>0.93822430000000001</v>
      </c>
      <c r="Y6294">
        <v>-0.63013589999999997</v>
      </c>
      <c r="Z6294">
        <v>-3.5193149999999999E-3</v>
      </c>
      <c r="AA6294">
        <v>0.77647690000000003</v>
      </c>
      <c r="AB6294">
        <v>31</v>
      </c>
      <c r="AC6294">
        <v>3.6166</v>
      </c>
      <c r="AD6294">
        <v>-1.13144324194</v>
      </c>
      <c r="AE6294">
        <v>8.0355599999999896</v>
      </c>
      <c r="AF6294">
        <v>-5.5629927719944501</v>
      </c>
      <c r="AG6294">
        <v>-1.13144324194</v>
      </c>
      <c r="AH6294">
        <v>6.6486657169361196</v>
      </c>
      <c r="AI6294">
        <v>97.435979658857306</v>
      </c>
      <c r="AJ6294">
        <v>129.91949747379601</v>
      </c>
      <c r="AK6294">
        <v>8.7425287077913492</v>
      </c>
      <c r="AL6294">
        <v>83.172664451730697</v>
      </c>
      <c r="AM6294">
        <v>109.10422085500799</v>
      </c>
      <c r="AN6294">
        <v>1.00000005038833</v>
      </c>
    </row>
    <row r="6295" spans="1:40" x14ac:dyDescent="0.25">
      <c r="A6295" t="str">
        <f>"20190303162424384"</f>
        <v>20190303162424384</v>
      </c>
      <c r="B6295" t="str">
        <f>"1551601464370738"</f>
        <v>1551601464370738</v>
      </c>
      <c r="C6295" t="s">
        <v>40</v>
      </c>
      <c r="D6295">
        <v>5.6083949999999998</v>
      </c>
      <c r="E6295">
        <v>0.35955340000000002</v>
      </c>
      <c r="F6295" t="s">
        <v>56</v>
      </c>
      <c r="G6295">
        <v>-197.11170000000001</v>
      </c>
      <c r="H6295" s="1">
        <v>-1.0255509999999999E-5</v>
      </c>
      <c r="I6295">
        <v>-51.09093</v>
      </c>
      <c r="J6295">
        <v>-200.64259999999999</v>
      </c>
      <c r="K6295">
        <v>1.131424</v>
      </c>
      <c r="L6295">
        <v>-59.102910000000001</v>
      </c>
      <c r="M6295">
        <v>0.89667220000000003</v>
      </c>
      <c r="N6295">
        <v>-1.4826880000000001E-2</v>
      </c>
      <c r="O6295">
        <v>0.44244679999999997</v>
      </c>
      <c r="P6295">
        <v>0.69988969999999995</v>
      </c>
      <c r="Q6295">
        <v>0.1130269</v>
      </c>
      <c r="R6295">
        <v>0.70525130000000003</v>
      </c>
      <c r="S6295">
        <v>1.35762</v>
      </c>
      <c r="T6295">
        <v>-0.41787020000000002</v>
      </c>
      <c r="U6295">
        <v>2.987549</v>
      </c>
      <c r="V6295">
        <v>-0.32600889999999999</v>
      </c>
      <c r="W6295">
        <v>0.1183295</v>
      </c>
      <c r="X6295">
        <v>0.93793199999999999</v>
      </c>
      <c r="Y6295">
        <v>-0.63079249999999998</v>
      </c>
      <c r="Z6295">
        <v>-4.4456269999999997E-3</v>
      </c>
      <c r="AA6295">
        <v>0.77593880000000004</v>
      </c>
      <c r="AB6295">
        <v>31</v>
      </c>
      <c r="AC6295">
        <v>3.5308999999999702</v>
      </c>
      <c r="AD6295">
        <v>-1.1314342555100001</v>
      </c>
      <c r="AE6295">
        <v>8.0119799999999906</v>
      </c>
      <c r="AF6295">
        <v>-5.5301532545788099</v>
      </c>
      <c r="AG6295">
        <v>-1.1314342555100001</v>
      </c>
      <c r="AH6295">
        <v>6.6014339103134496</v>
      </c>
      <c r="AI6295">
        <v>97.484835509412605</v>
      </c>
      <c r="AJ6295">
        <v>129.953581967248</v>
      </c>
      <c r="AK6295">
        <v>8.6857163300390194</v>
      </c>
      <c r="AL6295">
        <v>83.204297303073304</v>
      </c>
      <c r="AM6295">
        <v>109.166565055953</v>
      </c>
      <c r="AN6295">
        <v>1.0000000550367201</v>
      </c>
    </row>
    <row r="6296" spans="1:40" x14ac:dyDescent="0.25">
      <c r="A6296" t="str">
        <f>"20190303162424400"</f>
        <v>20190303162424400</v>
      </c>
      <c r="B6296" t="str">
        <f>"1551601464391232"</f>
        <v>1551601464391232</v>
      </c>
      <c r="C6296" t="s">
        <v>40</v>
      </c>
      <c r="D6296">
        <v>5.8011179999999998</v>
      </c>
      <c r="E6296">
        <v>0.36069689999999999</v>
      </c>
      <c r="F6296" t="s">
        <v>56</v>
      </c>
      <c r="G6296">
        <v>-196.62739999999999</v>
      </c>
      <c r="H6296" s="1">
        <v>-1.039764E-5</v>
      </c>
      <c r="I6296">
        <v>-50.566960000000002</v>
      </c>
      <c r="J6296">
        <v>-200.42910000000001</v>
      </c>
      <c r="K6296">
        <v>1.131405</v>
      </c>
      <c r="L6296">
        <v>-58.986150000000002</v>
      </c>
      <c r="M6296">
        <v>0.89188869999999898</v>
      </c>
      <c r="N6296">
        <v>-1.482726E-2</v>
      </c>
      <c r="O6296">
        <v>0.45201190000000002</v>
      </c>
      <c r="P6296">
        <v>0.69072369999999905</v>
      </c>
      <c r="Q6296">
        <v>0.112201</v>
      </c>
      <c r="R6296">
        <v>0.71436109999999997</v>
      </c>
      <c r="S6296">
        <v>1.38417099999999</v>
      </c>
      <c r="T6296">
        <v>-0.3900478</v>
      </c>
      <c r="U6296">
        <v>2.9426570000000001</v>
      </c>
      <c r="V6296">
        <v>-0.3281828</v>
      </c>
      <c r="W6296">
        <v>0.11744540000000001</v>
      </c>
      <c r="X6296">
        <v>0.93728469999999997</v>
      </c>
      <c r="Y6296">
        <v>-0.61256029999999995</v>
      </c>
      <c r="Z6296">
        <v>-6.3320989999999999E-3</v>
      </c>
      <c r="AA6296">
        <v>0.7903985</v>
      </c>
      <c r="AB6296">
        <v>31</v>
      </c>
      <c r="AC6296">
        <v>3.8017000000000101</v>
      </c>
      <c r="AD6296">
        <v>-1.1314153976399901</v>
      </c>
      <c r="AE6296">
        <v>8.4191900000000004</v>
      </c>
      <c r="AF6296">
        <v>-5.7056146378676198</v>
      </c>
      <c r="AG6296">
        <v>-1.1314153976399901</v>
      </c>
      <c r="AH6296">
        <v>7.09069246593715</v>
      </c>
      <c r="AI6296">
        <v>97.086362621777198</v>
      </c>
      <c r="AJ6296">
        <v>128.822330910972</v>
      </c>
      <c r="AK6296">
        <v>9.17126266357932</v>
      </c>
      <c r="AL6296">
        <v>83.255307764413601</v>
      </c>
      <c r="AM6296">
        <v>109.297297304159</v>
      </c>
      <c r="AN6296">
        <v>0.999999990525544</v>
      </c>
    </row>
    <row r="6297" spans="1:40" x14ac:dyDescent="0.25">
      <c r="A6297" t="str">
        <f>"20190303162424414"</f>
        <v>20190303162424414</v>
      </c>
      <c r="B6297" t="str">
        <f>"1551601464400994"</f>
        <v>1551601464400994</v>
      </c>
      <c r="C6297" t="s">
        <v>40</v>
      </c>
      <c r="D6297">
        <v>5.6407619999999996</v>
      </c>
      <c r="E6297">
        <v>0.36115710000000001</v>
      </c>
      <c r="F6297" t="s">
        <v>42</v>
      </c>
      <c r="G6297">
        <v>-200.0472</v>
      </c>
      <c r="H6297">
        <v>1.0227839999999999</v>
      </c>
      <c r="I6297">
        <v>-58.151699999999998</v>
      </c>
      <c r="J6297">
        <v>-200.28200000000001</v>
      </c>
      <c r="K6297">
        <v>1.131392</v>
      </c>
      <c r="L6297">
        <v>-58.903590000000001</v>
      </c>
      <c r="M6297">
        <v>0.888509199999999</v>
      </c>
      <c r="N6297">
        <v>-1.482726E-2</v>
      </c>
      <c r="O6297">
        <v>0.4586192</v>
      </c>
      <c r="P6297">
        <v>0.68467</v>
      </c>
      <c r="Q6297">
        <v>0.11140750000000001</v>
      </c>
      <c r="R6297">
        <v>0.72028840000000005</v>
      </c>
      <c r="S6297">
        <v>1.3514710000000001</v>
      </c>
      <c r="T6297">
        <v>-0.3843954</v>
      </c>
      <c r="U6297">
        <v>2.9531860000000001</v>
      </c>
      <c r="V6297">
        <v>-0.32922420000000002</v>
      </c>
      <c r="W6297">
        <v>0.1166266</v>
      </c>
      <c r="X6297">
        <v>0.93702169999999896</v>
      </c>
      <c r="Y6297">
        <v>-0.61503960000000002</v>
      </c>
      <c r="Z6297">
        <v>-6.729685E-3</v>
      </c>
      <c r="AA6297">
        <v>0.78846749999999999</v>
      </c>
      <c r="AB6297">
        <v>31</v>
      </c>
      <c r="AC6297">
        <v>0.234800000000007</v>
      </c>
      <c r="AD6297">
        <v>-0.108608</v>
      </c>
      <c r="AE6297">
        <v>0.75189000000000294</v>
      </c>
      <c r="AF6297">
        <v>-0.54998331024593705</v>
      </c>
      <c r="AG6297">
        <v>-0.108608</v>
      </c>
      <c r="AH6297">
        <v>0.54318749986119397</v>
      </c>
      <c r="AI6297">
        <v>97.997779656974799</v>
      </c>
      <c r="AJ6297">
        <v>135.35618060236399</v>
      </c>
      <c r="AK6297">
        <v>0.78059592569942005</v>
      </c>
      <c r="AL6297">
        <v>83.302546265495295</v>
      </c>
      <c r="AM6297">
        <v>109.359013740249</v>
      </c>
      <c r="AN6297">
        <v>1.0000000019820401</v>
      </c>
    </row>
    <row r="6298" spans="1:40" x14ac:dyDescent="0.25">
      <c r="A6298" t="str">
        <f>"20190303162424428"</f>
        <v>20190303162424428</v>
      </c>
      <c r="B6298" t="str">
        <f>"1551601464421489"</f>
        <v>1551601464421489</v>
      </c>
      <c r="C6298" t="s">
        <v>40</v>
      </c>
      <c r="D6298">
        <v>5.6614899999999997</v>
      </c>
      <c r="E6298">
        <v>0.36248130000000001</v>
      </c>
      <c r="F6298" t="s">
        <v>56</v>
      </c>
      <c r="G6298">
        <v>-196.3297</v>
      </c>
      <c r="H6298" s="1">
        <v>-2.4630960000000001E-6</v>
      </c>
      <c r="I6298">
        <v>-50.091239999999999</v>
      </c>
      <c r="J6298">
        <v>-200.12119999999999</v>
      </c>
      <c r="K6298">
        <v>1.1313799999999901</v>
      </c>
      <c r="L6298">
        <v>-58.812289999999997</v>
      </c>
      <c r="M6298">
        <v>0.884750499999999</v>
      </c>
      <c r="N6298">
        <v>-1.482721E-2</v>
      </c>
      <c r="O6298">
        <v>0.4658291</v>
      </c>
      <c r="P6298">
        <v>0.67828599999999994</v>
      </c>
      <c r="Q6298">
        <v>0.11080089999999999</v>
      </c>
      <c r="R6298">
        <v>0.72639609999999899</v>
      </c>
      <c r="S6298">
        <v>1.3281400000000001</v>
      </c>
      <c r="T6298">
        <v>-0.38019750000000002</v>
      </c>
      <c r="U6298">
        <v>2.9613339999999999</v>
      </c>
      <c r="V6298">
        <v>-0.32993899999999998</v>
      </c>
      <c r="W6298">
        <v>0.1160062</v>
      </c>
      <c r="X6298">
        <v>0.93684730000000005</v>
      </c>
      <c r="Y6298">
        <v>-0.61467700000000003</v>
      </c>
      <c r="Z6298">
        <v>-7.4809009999999999E-3</v>
      </c>
      <c r="AA6298">
        <v>0.78874339999999998</v>
      </c>
      <c r="AB6298">
        <v>31</v>
      </c>
      <c r="AC6298">
        <v>3.7914999999999801</v>
      </c>
      <c r="AD6298">
        <v>-1.1313824630960001</v>
      </c>
      <c r="AE6298">
        <v>8.72105</v>
      </c>
      <c r="AF6298">
        <v>-5.8673664173814597</v>
      </c>
      <c r="AG6298">
        <v>-1.1313824630960001</v>
      </c>
      <c r="AH6298">
        <v>7.3143346048035696</v>
      </c>
      <c r="AI6298">
        <v>96.879872380681206</v>
      </c>
      <c r="AJ6298">
        <v>128.73566705847901</v>
      </c>
      <c r="AK6298">
        <v>9.4448666303259099</v>
      </c>
      <c r="AL6298">
        <v>83.338335636975202</v>
      </c>
      <c r="AM6298">
        <v>109.401250671995</v>
      </c>
      <c r="AN6298">
        <v>1.0000000228383601</v>
      </c>
    </row>
    <row r="6299" spans="1:40" x14ac:dyDescent="0.25">
      <c r="A6299" t="str">
        <f>"20190303162424445"</f>
        <v>20190303162424445</v>
      </c>
      <c r="B6299" t="str">
        <f>"1551601464441009"</f>
        <v>1551601464441009</v>
      </c>
      <c r="C6299" t="s">
        <v>40</v>
      </c>
      <c r="D6299">
        <v>5.656701</v>
      </c>
      <c r="E6299">
        <v>0.36331530000000001</v>
      </c>
      <c r="F6299" t="s">
        <v>56</v>
      </c>
      <c r="G6299">
        <v>-196.0941</v>
      </c>
      <c r="H6299" s="1">
        <v>-2.6524070000000002E-6</v>
      </c>
      <c r="I6299">
        <v>-49.682899999999997</v>
      </c>
      <c r="J6299">
        <v>-199.9229</v>
      </c>
      <c r="K6299">
        <v>1.1313599999999999</v>
      </c>
      <c r="L6299">
        <v>-58.697270000000003</v>
      </c>
      <c r="M6299">
        <v>0.88000639999999997</v>
      </c>
      <c r="N6299">
        <v>-1.482694E-2</v>
      </c>
      <c r="O6299">
        <v>0.47473029999999999</v>
      </c>
      <c r="P6299">
        <v>0.6702806</v>
      </c>
      <c r="Q6299">
        <v>0.10983279999999999</v>
      </c>
      <c r="R6299">
        <v>0.73393509999999995</v>
      </c>
      <c r="S6299">
        <v>1.307831</v>
      </c>
      <c r="T6299">
        <v>-0.36742209999999997</v>
      </c>
      <c r="U6299">
        <v>2.9648129999999999</v>
      </c>
      <c r="V6299">
        <v>-0.33086070000000001</v>
      </c>
      <c r="W6299">
        <v>0.1150191</v>
      </c>
      <c r="X6299">
        <v>0.93664389999999997</v>
      </c>
      <c r="Y6299">
        <v>-0.61173339999999998</v>
      </c>
      <c r="Z6299">
        <v>-8.1952769999999904E-3</v>
      </c>
      <c r="AA6299">
        <v>0.79102150000000004</v>
      </c>
      <c r="AB6299">
        <v>30</v>
      </c>
      <c r="AC6299">
        <v>3.8288000000000002</v>
      </c>
      <c r="AD6299">
        <v>-1.131362652407</v>
      </c>
      <c r="AE6299">
        <v>9.0143699999999995</v>
      </c>
      <c r="AF6299">
        <v>-6.0351919458571999</v>
      </c>
      <c r="AG6299">
        <v>-1.131362652407</v>
      </c>
      <c r="AH6299">
        <v>7.5488685528815296</v>
      </c>
      <c r="AI6299">
        <v>96.676643340511106</v>
      </c>
      <c r="AJ6299">
        <v>128.641740944768</v>
      </c>
      <c r="AK6299">
        <v>9.7308242047261704</v>
      </c>
      <c r="AL6299">
        <v>83.395273263748393</v>
      </c>
      <c r="AM6299">
        <v>109.45529131870001</v>
      </c>
      <c r="AN6299">
        <v>0.99999999578825405</v>
      </c>
    </row>
    <row r="6300" spans="1:40" x14ac:dyDescent="0.25">
      <c r="A6300" t="str">
        <f>"20190303162424459"</f>
        <v>20190303162424459</v>
      </c>
      <c r="B6300" t="str">
        <f>"1551601464450769"</f>
        <v>1551601464450769</v>
      </c>
      <c r="C6300" t="s">
        <v>40</v>
      </c>
      <c r="D6300">
        <v>5.6480360000000003</v>
      </c>
      <c r="E6300">
        <v>0.36390099999999997</v>
      </c>
      <c r="F6300" t="s">
        <v>56</v>
      </c>
      <c r="G6300">
        <v>-195.95009999999999</v>
      </c>
      <c r="H6300" s="1">
        <v>-2.7512520000000002E-6</v>
      </c>
      <c r="I6300">
        <v>-49.461840000000002</v>
      </c>
      <c r="J6300">
        <v>-199.74950000000001</v>
      </c>
      <c r="K6300">
        <v>1.1313489999999999</v>
      </c>
      <c r="L6300">
        <v>-58.594180000000001</v>
      </c>
      <c r="M6300">
        <v>0.875754699999999</v>
      </c>
      <c r="N6300">
        <v>-1.4826529999999999E-2</v>
      </c>
      <c r="O6300">
        <v>0.48252859999999997</v>
      </c>
      <c r="P6300">
        <v>0.66363109999999903</v>
      </c>
      <c r="Q6300">
        <v>0.1098658</v>
      </c>
      <c r="R6300">
        <v>0.73994819999999994</v>
      </c>
      <c r="S6300">
        <v>1.279236</v>
      </c>
      <c r="T6300">
        <v>-0.36430000000000001</v>
      </c>
      <c r="U6300">
        <v>2.9738159999999998</v>
      </c>
      <c r="V6300">
        <v>-0.33098569999999999</v>
      </c>
      <c r="W6300">
        <v>0.11505559999999999</v>
      </c>
      <c r="X6300">
        <v>0.93659530000000002</v>
      </c>
      <c r="Y6300">
        <v>-0.61204080000000005</v>
      </c>
      <c r="Z6300">
        <v>-8.9678880000000002E-3</v>
      </c>
      <c r="AA6300">
        <v>0.79077540000000002</v>
      </c>
      <c r="AB6300">
        <v>30</v>
      </c>
      <c r="AC6300">
        <v>3.7994000000000199</v>
      </c>
      <c r="AD6300">
        <v>-1.1313517512519999</v>
      </c>
      <c r="AE6300">
        <v>9.1323399999999992</v>
      </c>
      <c r="AF6300">
        <v>-6.0854337443263402</v>
      </c>
      <c r="AG6300">
        <v>-1.1313517512519999</v>
      </c>
      <c r="AH6300">
        <v>7.6349217984797004</v>
      </c>
      <c r="AI6300">
        <v>96.6097547755748</v>
      </c>
      <c r="AJ6300">
        <v>128.55668599503301</v>
      </c>
      <c r="AK6300">
        <v>9.8287583910963701</v>
      </c>
      <c r="AL6300">
        <v>83.3931682868851</v>
      </c>
      <c r="AM6300">
        <v>109.463023162707</v>
      </c>
      <c r="AN6300">
        <v>1.00000004033896</v>
      </c>
    </row>
    <row r="6301" spans="1:40" x14ac:dyDescent="0.25">
      <c r="A6301" t="str">
        <f>"20190303162424473"</f>
        <v>20190303162424473</v>
      </c>
      <c r="B6301" t="str">
        <f>"1551601464460529"</f>
        <v>1551601464460529</v>
      </c>
      <c r="C6301" t="s">
        <v>40</v>
      </c>
      <c r="D6301">
        <v>5.6169609999999999</v>
      </c>
      <c r="E6301">
        <v>0.36440549999999999</v>
      </c>
      <c r="F6301" t="s">
        <v>42</v>
      </c>
      <c r="G6301">
        <v>-199.3861</v>
      </c>
      <c r="H6301">
        <v>1.026904</v>
      </c>
      <c r="I6301">
        <v>-57.731740000000002</v>
      </c>
      <c r="J6301">
        <v>-199.60210000000001</v>
      </c>
      <c r="K6301">
        <v>1.1313409999999999</v>
      </c>
      <c r="L6301">
        <v>-58.50479</v>
      </c>
      <c r="M6301">
        <v>0.87206669999999997</v>
      </c>
      <c r="N6301">
        <v>-1.482612E-2</v>
      </c>
      <c r="O6301">
        <v>0.4891626</v>
      </c>
      <c r="P6301">
        <v>0.65810170000000001</v>
      </c>
      <c r="Q6301">
        <v>0.10972850000000001</v>
      </c>
      <c r="R6301">
        <v>0.74489050000000001</v>
      </c>
      <c r="S6301">
        <v>1.2556</v>
      </c>
      <c r="T6301">
        <v>-0.36106379999999999</v>
      </c>
      <c r="U6301">
        <v>2.9818730000000002</v>
      </c>
      <c r="V6301">
        <v>-0.33086290000000002</v>
      </c>
      <c r="W6301">
        <v>0.11492869999999999</v>
      </c>
      <c r="X6301">
        <v>0.93665430000000005</v>
      </c>
      <c r="Y6301">
        <v>-0.61217279999999996</v>
      </c>
      <c r="Z6301">
        <v>-9.5866019999999996E-3</v>
      </c>
      <c r="AA6301">
        <v>0.79066590000000003</v>
      </c>
      <c r="AB6301">
        <v>30</v>
      </c>
      <c r="AC6301">
        <v>0.21600000000000799</v>
      </c>
      <c r="AD6301">
        <v>-0.104436999999999</v>
      </c>
      <c r="AE6301">
        <v>0.77304999999999702</v>
      </c>
      <c r="AF6301">
        <v>-0.55908933286865303</v>
      </c>
      <c r="AG6301">
        <v>-0.104436999999999</v>
      </c>
      <c r="AH6301">
        <v>0.55714357079383603</v>
      </c>
      <c r="AI6301">
        <v>97.537391455525196</v>
      </c>
      <c r="AJ6301">
        <v>135.09987507225401</v>
      </c>
      <c r="AK6301">
        <v>0.79617644248836095</v>
      </c>
      <c r="AL6301">
        <v>83.400487879438003</v>
      </c>
      <c r="AM6301">
        <v>109.455211171892</v>
      </c>
      <c r="AN6301">
        <v>1.00000007119429</v>
      </c>
    </row>
    <row r="6302" spans="1:40" x14ac:dyDescent="0.25">
      <c r="A6302" t="str">
        <f>"20190303162424496"</f>
        <v>20190303162424496</v>
      </c>
      <c r="B6302" t="str">
        <f>"1551601464490785"</f>
        <v>1551601464490785</v>
      </c>
      <c r="C6302" t="s">
        <v>40</v>
      </c>
      <c r="D6302">
        <v>5.6485890000000003</v>
      </c>
      <c r="E6302">
        <v>0.36513509999999999</v>
      </c>
      <c r="F6302" t="s">
        <v>56</v>
      </c>
      <c r="G6302">
        <v>-195.77260000000001</v>
      </c>
      <c r="H6302" s="1">
        <v>-2.8370289999999999E-6</v>
      </c>
      <c r="I6302">
        <v>-49.250219999999999</v>
      </c>
      <c r="J6302">
        <v>-199.38990000000001</v>
      </c>
      <c r="K6302">
        <v>1.1313299999999999</v>
      </c>
      <c r="L6302">
        <v>-58.373690000000003</v>
      </c>
      <c r="M6302">
        <v>0.86663679999999998</v>
      </c>
      <c r="N6302">
        <v>-1.4825410000000001E-2</v>
      </c>
      <c r="O6302">
        <v>0.49871919999999997</v>
      </c>
      <c r="P6302">
        <v>0.65007399999999904</v>
      </c>
      <c r="Q6302">
        <v>0.110304</v>
      </c>
      <c r="R6302">
        <v>0.75182230000000005</v>
      </c>
      <c r="S6302">
        <v>1.236694</v>
      </c>
      <c r="T6302">
        <v>-0.3653535</v>
      </c>
      <c r="U6302">
        <v>2.9886469999999998</v>
      </c>
      <c r="V6302">
        <v>-0.33055180000000001</v>
      </c>
      <c r="W6302">
        <v>0.1155226</v>
      </c>
      <c r="X6302">
        <v>0.93669100000000005</v>
      </c>
      <c r="Y6302">
        <v>-0.60841309999999904</v>
      </c>
      <c r="Z6302">
        <v>-1.130833E-2</v>
      </c>
      <c r="AA6302">
        <v>0.79353989999999996</v>
      </c>
      <c r="AB6302">
        <v>30</v>
      </c>
      <c r="AC6302">
        <v>3.6173000000000002</v>
      </c>
      <c r="AD6302">
        <v>-1.1313328370289999</v>
      </c>
      <c r="AE6302">
        <v>9.1234699999999993</v>
      </c>
      <c r="AF6302">
        <v>-6.0233517014999496</v>
      </c>
      <c r="AG6302">
        <v>-1.1313328370289999</v>
      </c>
      <c r="AH6302">
        <v>7.5849919540944999</v>
      </c>
      <c r="AI6302">
        <v>96.662210213233905</v>
      </c>
      <c r="AJ6302">
        <v>128.453596822977</v>
      </c>
      <c r="AK6302">
        <v>9.7515528328456895</v>
      </c>
      <c r="AL6302">
        <v>83.3662312520878</v>
      </c>
      <c r="AM6302">
        <v>109.437585839062</v>
      </c>
      <c r="AN6302">
        <v>0.99999999653750005</v>
      </c>
    </row>
    <row r="6303" spans="1:40" x14ac:dyDescent="0.25">
      <c r="A6303" t="str">
        <f>"20190303162424511"</f>
        <v>20190303162424511</v>
      </c>
      <c r="B6303" t="str">
        <f>"1551601464500545"</f>
        <v>1551601464500545</v>
      </c>
      <c r="C6303" t="s">
        <v>40</v>
      </c>
      <c r="D6303">
        <v>5.6363779999999997</v>
      </c>
      <c r="E6303">
        <v>0.36549920000000002</v>
      </c>
      <c r="F6303" t="s">
        <v>56</v>
      </c>
      <c r="G6303">
        <v>-195.64160000000001</v>
      </c>
      <c r="H6303" s="1">
        <v>-2.9082899999999999E-6</v>
      </c>
      <c r="I6303">
        <v>-49.080629999999999</v>
      </c>
      <c r="J6303">
        <v>-199.172</v>
      </c>
      <c r="K6303">
        <v>1.131318</v>
      </c>
      <c r="L6303">
        <v>-58.235689999999998</v>
      </c>
      <c r="M6303">
        <v>0.8609116</v>
      </c>
      <c r="N6303">
        <v>-1.482441E-2</v>
      </c>
      <c r="O6303">
        <v>0.50853839999999995</v>
      </c>
      <c r="P6303">
        <v>0.64157129999999996</v>
      </c>
      <c r="Q6303">
        <v>0.1105174</v>
      </c>
      <c r="R6303">
        <v>0.75905999999999996</v>
      </c>
      <c r="S6303">
        <v>1.2093050000000001</v>
      </c>
      <c r="T6303">
        <v>-0.36500320000000003</v>
      </c>
      <c r="U6303">
        <v>2.99823</v>
      </c>
      <c r="V6303">
        <v>-0.33042159999999998</v>
      </c>
      <c r="W6303">
        <v>0.115749</v>
      </c>
      <c r="X6303">
        <v>0.93670900000000001</v>
      </c>
      <c r="Y6303">
        <v>-0.60655800000000004</v>
      </c>
      <c r="Z6303">
        <v>-1.264709E-2</v>
      </c>
      <c r="AA6303">
        <v>0.79493859999999905</v>
      </c>
      <c r="AB6303">
        <v>30</v>
      </c>
      <c r="AC6303">
        <v>3.5303999999999802</v>
      </c>
      <c r="AD6303">
        <v>-1.13132090829</v>
      </c>
      <c r="AE6303">
        <v>9.1550600000000006</v>
      </c>
      <c r="AF6303">
        <v>-6.0071662070155298</v>
      </c>
      <c r="AG6303">
        <v>-1.13132090829</v>
      </c>
      <c r="AH6303">
        <v>7.5949444176941201</v>
      </c>
      <c r="AI6303">
        <v>96.663676827046004</v>
      </c>
      <c r="AJ6303">
        <v>128.34197902812301</v>
      </c>
      <c r="AK6303">
        <v>9.7493134909134298</v>
      </c>
      <c r="AL6303">
        <v>83.353171955718196</v>
      </c>
      <c r="AM6303">
        <v>109.430157979287</v>
      </c>
      <c r="AN6303">
        <v>1.0000000077142699</v>
      </c>
    </row>
    <row r="6304" spans="1:40" x14ac:dyDescent="0.25">
      <c r="A6304" t="str">
        <f>"20190303162424523"</f>
        <v>20190303162424523</v>
      </c>
      <c r="B6304" t="str">
        <f>"1551601464511282"</f>
        <v>1551601464511282</v>
      </c>
      <c r="C6304" t="s">
        <v>40</v>
      </c>
      <c r="D6304">
        <v>5.6214180000000002</v>
      </c>
      <c r="E6304">
        <v>0.36584319999999998</v>
      </c>
      <c r="F6304" t="s">
        <v>56</v>
      </c>
      <c r="G6304">
        <v>-195.52289999999999</v>
      </c>
      <c r="H6304" s="1">
        <v>-2.982667E-6</v>
      </c>
      <c r="I6304">
        <v>-48.910380000000004</v>
      </c>
      <c r="J6304">
        <v>-199.02510000000001</v>
      </c>
      <c r="K6304">
        <v>1.1313120000000001</v>
      </c>
      <c r="L6304">
        <v>-58.140990000000002</v>
      </c>
      <c r="M6304">
        <v>0.85696659999999902</v>
      </c>
      <c r="N6304">
        <v>-1.4823650000000001E-2</v>
      </c>
      <c r="O6304">
        <v>0.51515869999999997</v>
      </c>
      <c r="P6304">
        <v>0.63582459999999996</v>
      </c>
      <c r="Q6304">
        <v>0.1108333</v>
      </c>
      <c r="R6304">
        <v>0.76383449999999997</v>
      </c>
      <c r="S6304">
        <v>1.1778109999999999</v>
      </c>
      <c r="T6304">
        <v>-0.36515140000000001</v>
      </c>
      <c r="U6304">
        <v>3.0098880000000001</v>
      </c>
      <c r="V6304">
        <v>-0.33023789999999997</v>
      </c>
      <c r="W6304">
        <v>0.11607580000000001</v>
      </c>
      <c r="X6304">
        <v>0.93673340000000005</v>
      </c>
      <c r="Y6304">
        <v>-0.60869640000000003</v>
      </c>
      <c r="Z6304">
        <v>-1.3316939999999999E-2</v>
      </c>
      <c r="AA6304">
        <v>0.79329150000000004</v>
      </c>
      <c r="AB6304">
        <v>30</v>
      </c>
      <c r="AC6304">
        <v>3.50220000000001</v>
      </c>
      <c r="AD6304">
        <v>-1.1313149826669999</v>
      </c>
      <c r="AE6304">
        <v>9.2306100000000004</v>
      </c>
      <c r="AF6304">
        <v>-6.0276575068600504</v>
      </c>
      <c r="AG6304">
        <v>-1.1313149826669999</v>
      </c>
      <c r="AH6304">
        <v>7.6568082935603599</v>
      </c>
      <c r="AI6304">
        <v>96.622125512314298</v>
      </c>
      <c r="AJ6304">
        <v>128.21082843755099</v>
      </c>
      <c r="AK6304">
        <v>9.8101601339808795</v>
      </c>
      <c r="AL6304">
        <v>83.334320992080194</v>
      </c>
      <c r="AM6304">
        <v>109.41969640416499</v>
      </c>
      <c r="AN6304">
        <v>1.0000000623087999</v>
      </c>
    </row>
    <row r="6305" spans="1:40" x14ac:dyDescent="0.25">
      <c r="A6305" t="str">
        <f>"20190303162424548"</f>
        <v>20190303162424548</v>
      </c>
      <c r="B6305" t="str">
        <f>"1551601464540561"</f>
        <v>1551601464540561</v>
      </c>
      <c r="C6305" t="s">
        <v>40</v>
      </c>
      <c r="D6305">
        <v>5.6499540000000001</v>
      </c>
      <c r="E6305">
        <v>0.36713479999999998</v>
      </c>
      <c r="F6305" t="s">
        <v>56</v>
      </c>
      <c r="G6305">
        <v>-195.44460000000001</v>
      </c>
      <c r="H6305" s="1">
        <v>-3.020772E-6</v>
      </c>
      <c r="I6305">
        <v>-48.816589999999998</v>
      </c>
      <c r="J6305">
        <v>-198.7577</v>
      </c>
      <c r="K6305">
        <v>1.1313040000000001</v>
      </c>
      <c r="L6305">
        <v>-57.963470000000001</v>
      </c>
      <c r="M6305">
        <v>0.84958140000000004</v>
      </c>
      <c r="N6305">
        <v>-1.4822129999999999E-2</v>
      </c>
      <c r="O6305">
        <v>0.52724930000000003</v>
      </c>
      <c r="P6305">
        <v>0.62520690000000001</v>
      </c>
      <c r="Q6305">
        <v>0.11140990000000001</v>
      </c>
      <c r="R6305">
        <v>0.7724664</v>
      </c>
      <c r="S6305">
        <v>1.15831</v>
      </c>
      <c r="T6305">
        <v>-0.365981</v>
      </c>
      <c r="U6305">
        <v>3.0164490000000002</v>
      </c>
      <c r="V6305">
        <v>-0.32985140000000002</v>
      </c>
      <c r="W6305">
        <v>0.116674</v>
      </c>
      <c r="X6305">
        <v>0.93679520000000005</v>
      </c>
      <c r="Y6305">
        <v>-0.60256869999999996</v>
      </c>
      <c r="Z6305">
        <v>-1.5352970000000001E-2</v>
      </c>
      <c r="AA6305">
        <v>0.7979193</v>
      </c>
      <c r="AB6305">
        <v>30</v>
      </c>
      <c r="AC6305">
        <v>3.3130999999999902</v>
      </c>
      <c r="AD6305">
        <v>-1.131307020772</v>
      </c>
      <c r="AE6305">
        <v>9.1468799999999799</v>
      </c>
      <c r="AF6305">
        <v>-5.9444634048566796</v>
      </c>
      <c r="AG6305">
        <v>-1.131307020772</v>
      </c>
      <c r="AH6305">
        <v>7.5363579597264803</v>
      </c>
      <c r="AI6305">
        <v>96.72195717004</v>
      </c>
      <c r="AJ6305">
        <v>128.26536551422899</v>
      </c>
      <c r="AK6305">
        <v>9.6650500280164593</v>
      </c>
      <c r="AL6305">
        <v>83.299811814818696</v>
      </c>
      <c r="AM6305">
        <v>109.39748243281301</v>
      </c>
      <c r="AN6305">
        <v>1.0000000075505</v>
      </c>
    </row>
    <row r="6306" spans="1:40" x14ac:dyDescent="0.25">
      <c r="A6306" t="str">
        <f>"20190303162424560"</f>
        <v>20190303162424560</v>
      </c>
      <c r="B6306" t="str">
        <f>"1551601464551297"</f>
        <v>1551601464551297</v>
      </c>
      <c r="C6306" t="s">
        <v>40</v>
      </c>
      <c r="D6306">
        <v>5.6676979999999997</v>
      </c>
      <c r="E6306">
        <v>0.36713479999999998</v>
      </c>
      <c r="F6306" t="s">
        <v>56</v>
      </c>
      <c r="G6306">
        <v>-195.29310000000001</v>
      </c>
      <c r="H6306" s="1">
        <v>-3.0814540000000001E-6</v>
      </c>
      <c r="I6306">
        <v>-48.657170000000001</v>
      </c>
      <c r="J6306">
        <v>-198.61840000000001</v>
      </c>
      <c r="K6306">
        <v>1.1312979999999999</v>
      </c>
      <c r="L6306">
        <v>-57.869109999999999</v>
      </c>
      <c r="M6306">
        <v>0.84563920000000004</v>
      </c>
      <c r="N6306">
        <v>-1.4821340000000001E-2</v>
      </c>
      <c r="O6306">
        <v>0.5335491</v>
      </c>
      <c r="P6306">
        <v>0.61981189999999997</v>
      </c>
      <c r="Q6306">
        <v>0.1117083</v>
      </c>
      <c r="R6306">
        <v>0.77675890000000003</v>
      </c>
      <c r="S6306">
        <v>1.1262209999999999</v>
      </c>
      <c r="T6306">
        <v>-0.3677552</v>
      </c>
      <c r="U6306">
        <v>3.0252080000000001</v>
      </c>
      <c r="V6306">
        <v>-0.32938200000000001</v>
      </c>
      <c r="W6306">
        <v>0.11699180000000001</v>
      </c>
      <c r="X6306">
        <v>0.93692070000000005</v>
      </c>
      <c r="Y6306">
        <v>-0.60481390000000002</v>
      </c>
      <c r="Z6306">
        <v>-1.6133560000000002E-2</v>
      </c>
      <c r="AA6306">
        <v>0.79620340000000001</v>
      </c>
      <c r="AB6306">
        <v>30</v>
      </c>
      <c r="AC6306">
        <v>3.3252999999999902</v>
      </c>
      <c r="AD6306">
        <v>-1.1313010814540001</v>
      </c>
      <c r="AE6306">
        <v>9.2119399999999896</v>
      </c>
      <c r="AF6306">
        <v>-5.9372065885670198</v>
      </c>
      <c r="AG6306">
        <v>-1.1313010814540001</v>
      </c>
      <c r="AH6306">
        <v>7.6261187530423298</v>
      </c>
      <c r="AI6306">
        <v>96.676313329603204</v>
      </c>
      <c r="AJ6306">
        <v>127.90203544242</v>
      </c>
      <c r="AK6306">
        <v>9.7307734249506801</v>
      </c>
      <c r="AL6306">
        <v>83.281477542108107</v>
      </c>
      <c r="AM6306">
        <v>109.369534336672</v>
      </c>
      <c r="AN6306">
        <v>0.999999990639865</v>
      </c>
    </row>
    <row r="6307" spans="1:40" x14ac:dyDescent="0.25">
      <c r="A6307" t="str">
        <f>"20190303162424573"</f>
        <v>20190303162424573</v>
      </c>
      <c r="B6307" t="str">
        <f>"1551601464561059"</f>
        <v>1551601464561059</v>
      </c>
      <c r="C6307" t="s">
        <v>40</v>
      </c>
      <c r="D6307">
        <v>5.6609879999999997</v>
      </c>
      <c r="E6307">
        <v>0.37785220000000003</v>
      </c>
      <c r="F6307" t="s">
        <v>42</v>
      </c>
      <c r="G6307">
        <v>-198.3032</v>
      </c>
      <c r="H6307">
        <v>1.0266299999999999</v>
      </c>
      <c r="I6307">
        <v>-57.00403</v>
      </c>
      <c r="J6307">
        <v>-198.47659999999999</v>
      </c>
      <c r="K6307">
        <v>1.1312960000000001</v>
      </c>
      <c r="L6307">
        <v>-57.771030000000003</v>
      </c>
      <c r="M6307">
        <v>0.84154810000000002</v>
      </c>
      <c r="N6307">
        <v>-1.482051E-2</v>
      </c>
      <c r="O6307">
        <v>0.53997890000000004</v>
      </c>
      <c r="P6307">
        <v>0.61422619999999895</v>
      </c>
      <c r="Q6307">
        <v>0.11200590000000001</v>
      </c>
      <c r="R6307">
        <v>0.78114079999999997</v>
      </c>
      <c r="S6307">
        <v>1.1053010000000001</v>
      </c>
      <c r="T6307">
        <v>-0.3669946</v>
      </c>
      <c r="U6307">
        <v>3.03302</v>
      </c>
      <c r="V6307">
        <v>-0.32892909999999997</v>
      </c>
      <c r="W6307">
        <v>0.1173071</v>
      </c>
      <c r="X6307">
        <v>0.9370404</v>
      </c>
      <c r="Y6307">
        <v>-0.60428680000000001</v>
      </c>
      <c r="Z6307">
        <v>-1.6924399999999999E-2</v>
      </c>
      <c r="AA6307">
        <v>0.79658699999999905</v>
      </c>
      <c r="AB6307">
        <v>30</v>
      </c>
      <c r="AC6307">
        <v>0.17339999999998601</v>
      </c>
      <c r="AD6307">
        <v>-0.104665999999999</v>
      </c>
      <c r="AE6307">
        <v>0.76699999999999502</v>
      </c>
      <c r="AF6307">
        <v>-0.542288322060554</v>
      </c>
      <c r="AG6307">
        <v>-0.104665999999999</v>
      </c>
      <c r="AH6307">
        <v>0.55039874726152505</v>
      </c>
      <c r="AI6307">
        <v>97.7143618669771</v>
      </c>
      <c r="AJ6307">
        <v>134.57473222330799</v>
      </c>
      <c r="AK6307">
        <v>0.77972455186835499</v>
      </c>
      <c r="AL6307">
        <v>83.263287057649507</v>
      </c>
      <c r="AM6307">
        <v>109.342593195335</v>
      </c>
      <c r="AN6307">
        <v>1.00000000988469</v>
      </c>
    </row>
    <row r="6308" spans="1:40" x14ac:dyDescent="0.25">
      <c r="A6308" t="str">
        <f>"20190303162424590"</f>
        <v>20190303162424590</v>
      </c>
      <c r="B6308" t="str">
        <f>"1551601464580577"</f>
        <v>1551601464580577</v>
      </c>
      <c r="C6308" t="s">
        <v>40</v>
      </c>
      <c r="D6308">
        <v>5.6269660000000004</v>
      </c>
      <c r="E6308">
        <v>0.37857469999999999</v>
      </c>
      <c r="F6308" t="s">
        <v>42</v>
      </c>
      <c r="G6308">
        <v>-198.11349999999999</v>
      </c>
      <c r="H6308">
        <v>1.007722</v>
      </c>
      <c r="I6308">
        <v>-56.830309999999997</v>
      </c>
      <c r="J6308">
        <v>-198.29259999999999</v>
      </c>
      <c r="K6308">
        <v>1.131291</v>
      </c>
      <c r="L6308">
        <v>-57.641750000000002</v>
      </c>
      <c r="M6308">
        <v>0.83613269999999995</v>
      </c>
      <c r="N6308">
        <v>-1.481965E-2</v>
      </c>
      <c r="O6308">
        <v>0.54832700000000001</v>
      </c>
      <c r="P6308">
        <v>0.60666960000000003</v>
      </c>
      <c r="Q6308">
        <v>0.1130246</v>
      </c>
      <c r="R6308">
        <v>0.78687830000000003</v>
      </c>
      <c r="S6308">
        <v>1.1536409999999999</v>
      </c>
      <c r="T6308">
        <v>-0.39270699999999997</v>
      </c>
      <c r="U6308">
        <v>2.989716</v>
      </c>
      <c r="V6308">
        <v>-0.32853729999999998</v>
      </c>
      <c r="W6308">
        <v>0.1183408</v>
      </c>
      <c r="X6308">
        <v>0.93704779999999999</v>
      </c>
      <c r="Y6308">
        <v>-0.58117319999999995</v>
      </c>
      <c r="Z6308">
        <v>-2.2139229999999999E-2</v>
      </c>
      <c r="AA6308">
        <v>0.81347860000000005</v>
      </c>
      <c r="AB6308">
        <v>30</v>
      </c>
      <c r="AC6308">
        <v>0.17910000000000501</v>
      </c>
      <c r="AD6308">
        <v>-0.123569</v>
      </c>
      <c r="AE6308">
        <v>0.81144000000000405</v>
      </c>
      <c r="AF6308">
        <v>-0.56777466691907896</v>
      </c>
      <c r="AG6308">
        <v>-0.123569</v>
      </c>
      <c r="AH6308">
        <v>0.58188392725025495</v>
      </c>
      <c r="AI6308">
        <v>98.642397812870499</v>
      </c>
      <c r="AJ6308">
        <v>134.29686909593201</v>
      </c>
      <c r="AK6308">
        <v>0.82232978478725405</v>
      </c>
      <c r="AL6308">
        <v>83.203644500535205</v>
      </c>
      <c r="AM6308">
        <v>109.32112049251801</v>
      </c>
      <c r="AN6308">
        <v>0.99999994096038303</v>
      </c>
    </row>
    <row r="6309" spans="1:40" x14ac:dyDescent="0.25">
      <c r="A6309" t="str">
        <f>"20190303162424602"</f>
        <v>20190303162424602</v>
      </c>
      <c r="B6309" t="str">
        <f>"1551601464591312"</f>
        <v>1551601464591312</v>
      </c>
      <c r="C6309" t="s">
        <v>40</v>
      </c>
      <c r="D6309">
        <v>5.6888949999999996</v>
      </c>
      <c r="E6309">
        <v>0.37925239999999999</v>
      </c>
      <c r="F6309" t="s">
        <v>56</v>
      </c>
      <c r="G6309">
        <v>-195.0728</v>
      </c>
      <c r="H6309" s="1">
        <v>-2.7700210000000001E-6</v>
      </c>
      <c r="I6309">
        <v>-49.100549999999998</v>
      </c>
      <c r="J6309">
        <v>-198.16040000000001</v>
      </c>
      <c r="K6309">
        <v>1.1312899999999999</v>
      </c>
      <c r="L6309">
        <v>-57.547609999999999</v>
      </c>
      <c r="M6309">
        <v>0.83216970000000001</v>
      </c>
      <c r="N6309">
        <v>-1.4819189999999999E-2</v>
      </c>
      <c r="O6309">
        <v>0.55432309999999996</v>
      </c>
      <c r="P6309">
        <v>0.6009234</v>
      </c>
      <c r="Q6309">
        <v>0.11359370000000001</v>
      </c>
      <c r="R6309">
        <v>0.7911937</v>
      </c>
      <c r="S6309">
        <v>1.1302190000000001</v>
      </c>
      <c r="T6309">
        <v>-0.39711150000000001</v>
      </c>
      <c r="U6309">
        <v>2.9981689999999999</v>
      </c>
      <c r="V6309">
        <v>-0.32857150000000002</v>
      </c>
      <c r="W6309">
        <v>0.1189099</v>
      </c>
      <c r="X6309">
        <v>0.93696380000000001</v>
      </c>
      <c r="Y6309">
        <v>-0.58164510000000003</v>
      </c>
      <c r="Z6309">
        <v>-2.3314669999999999E-2</v>
      </c>
      <c r="AA6309">
        <v>0.81310850000000001</v>
      </c>
      <c r="AB6309">
        <v>30</v>
      </c>
      <c r="AC6309">
        <v>3.0876000000000001</v>
      </c>
      <c r="AD6309">
        <v>-1.13129277002099</v>
      </c>
      <c r="AE6309">
        <v>8.4470600000000005</v>
      </c>
      <c r="AF6309">
        <v>-5.2356025698519799</v>
      </c>
      <c r="AG6309">
        <v>-1.13129277002099</v>
      </c>
      <c r="AH6309">
        <v>7.1396364667743502</v>
      </c>
      <c r="AI6309">
        <v>97.2816785372395</v>
      </c>
      <c r="AJ6309">
        <v>126.25315493612899</v>
      </c>
      <c r="AK6309">
        <v>8.9255681319811</v>
      </c>
      <c r="AL6309">
        <v>83.170805856387005</v>
      </c>
      <c r="AM6309">
        <v>109.324586627545</v>
      </c>
      <c r="AN6309">
        <v>0.99999997872034896</v>
      </c>
    </row>
    <row r="6310" spans="1:40" x14ac:dyDescent="0.25">
      <c r="A6310" t="str">
        <f>"20190303162424615"</f>
        <v>20190303162424615</v>
      </c>
      <c r="B6310" t="str">
        <f>"1551601464610835"</f>
        <v>1551601464610835</v>
      </c>
      <c r="C6310" t="s">
        <v>40</v>
      </c>
      <c r="D6310">
        <v>5.6027809999999896</v>
      </c>
      <c r="E6310">
        <v>0.37968869999999999</v>
      </c>
      <c r="F6310" t="s">
        <v>42</v>
      </c>
      <c r="G6310">
        <v>-197.8552</v>
      </c>
      <c r="H6310">
        <v>1.0241979999999999</v>
      </c>
      <c r="I6310">
        <v>-56.723640000000003</v>
      </c>
      <c r="J6310">
        <v>-198.02670000000001</v>
      </c>
      <c r="K6310">
        <v>1.131292</v>
      </c>
      <c r="L6310">
        <v>-57.449919999999999</v>
      </c>
      <c r="M6310">
        <v>0.82807030000000004</v>
      </c>
      <c r="N6310">
        <v>-1.4819280000000001E-2</v>
      </c>
      <c r="O6310">
        <v>0.56042840000000005</v>
      </c>
      <c r="P6310">
        <v>0.59499049999999998</v>
      </c>
      <c r="Q6310">
        <v>0.11396199999999999</v>
      </c>
      <c r="R6310">
        <v>0.79561230000000005</v>
      </c>
      <c r="S6310">
        <v>1.112411</v>
      </c>
      <c r="T6310">
        <v>-0.39030160000000003</v>
      </c>
      <c r="U6310">
        <v>3.0028990000000002</v>
      </c>
      <c r="V6310">
        <v>-0.32865270000000002</v>
      </c>
      <c r="W6310">
        <v>0.1192754</v>
      </c>
      <c r="X6310">
        <v>0.93688890000000002</v>
      </c>
      <c r="Y6310">
        <v>-0.58038780000000001</v>
      </c>
      <c r="Z6310">
        <v>-2.3655499999999999E-2</v>
      </c>
      <c r="AA6310">
        <v>0.81399659999999996</v>
      </c>
      <c r="AB6310">
        <v>30</v>
      </c>
      <c r="AC6310">
        <v>0.17150000000000801</v>
      </c>
      <c r="AD6310">
        <v>-0.10709399999999999</v>
      </c>
      <c r="AE6310">
        <v>0.72627999999999504</v>
      </c>
      <c r="AF6310">
        <v>-0.495155302364649</v>
      </c>
      <c r="AG6310">
        <v>-0.10709399999999999</v>
      </c>
      <c r="AH6310">
        <v>0.538021847100148</v>
      </c>
      <c r="AI6310">
        <v>98.332542257847095</v>
      </c>
      <c r="AJ6310">
        <v>132.624159382062</v>
      </c>
      <c r="AK6310">
        <v>0.73899621531702198</v>
      </c>
      <c r="AL6310">
        <v>83.149714388719502</v>
      </c>
      <c r="AM6310">
        <v>109.330438825901</v>
      </c>
      <c r="AN6310">
        <v>1.0000000146028301</v>
      </c>
    </row>
    <row r="6311" spans="1:40" x14ac:dyDescent="0.25">
      <c r="A6311" t="str">
        <f>"20190303162424629"</f>
        <v>20190303162424629</v>
      </c>
      <c r="B6311" t="str">
        <f>"1551601464620593"</f>
        <v>1551601464620593</v>
      </c>
      <c r="C6311" t="s">
        <v>40</v>
      </c>
      <c r="D6311">
        <v>5.6133189999999997</v>
      </c>
      <c r="E6311">
        <v>0.37972519999999998</v>
      </c>
      <c r="F6311" t="s">
        <v>42</v>
      </c>
      <c r="G6311">
        <v>-197.69059999999999</v>
      </c>
      <c r="H6311">
        <v>1.012157</v>
      </c>
      <c r="I6311">
        <v>-56.525460000000002</v>
      </c>
      <c r="J6311">
        <v>-197.87549999999999</v>
      </c>
      <c r="K6311">
        <v>1.1312979999999999</v>
      </c>
      <c r="L6311">
        <v>-57.338200000000001</v>
      </c>
      <c r="M6311">
        <v>0.82335630000000004</v>
      </c>
      <c r="N6311">
        <v>-1.481976E-2</v>
      </c>
      <c r="O6311">
        <v>0.56733129999999998</v>
      </c>
      <c r="P6311">
        <v>0.58807799999999999</v>
      </c>
      <c r="Q6311">
        <v>0.1139584</v>
      </c>
      <c r="R6311">
        <v>0.8007358</v>
      </c>
      <c r="S6311">
        <v>1.0932010000000001</v>
      </c>
      <c r="T6311">
        <v>-0.38767479999999999</v>
      </c>
      <c r="U6311">
        <v>3.008667</v>
      </c>
      <c r="V6311">
        <v>-0.32893600000000001</v>
      </c>
      <c r="W6311">
        <v>0.1192617</v>
      </c>
      <c r="X6311">
        <v>0.93679120000000005</v>
      </c>
      <c r="Y6311">
        <v>-0.57872380000000001</v>
      </c>
      <c r="Z6311">
        <v>-2.448792E-2</v>
      </c>
      <c r="AA6311">
        <v>0.81515590000000004</v>
      </c>
      <c r="AB6311">
        <v>30</v>
      </c>
      <c r="AC6311">
        <v>0.18489999999999801</v>
      </c>
      <c r="AD6311">
        <v>-0.119140999999999</v>
      </c>
      <c r="AE6311">
        <v>0.81274000000000501</v>
      </c>
      <c r="AF6311">
        <v>-0.55303753246623499</v>
      </c>
      <c r="AG6311">
        <v>-0.119140999999999</v>
      </c>
      <c r="AH6311">
        <v>0.60111695586077496</v>
      </c>
      <c r="AI6311">
        <v>98.298633155175906</v>
      </c>
      <c r="AJ6311">
        <v>132.61456873413599</v>
      </c>
      <c r="AK6311">
        <v>0.82546149808496005</v>
      </c>
      <c r="AL6311">
        <v>83.150504875304904</v>
      </c>
      <c r="AM6311">
        <v>109.34773203454201</v>
      </c>
      <c r="AN6311">
        <v>0.99999999879016499</v>
      </c>
    </row>
    <row r="6312" spans="1:40" x14ac:dyDescent="0.25">
      <c r="A6312" t="str">
        <f>"20190303162424647"</f>
        <v>20190303162424647</v>
      </c>
      <c r="B6312" t="str">
        <f>"1551601464641090"</f>
        <v>1551601464641090</v>
      </c>
      <c r="C6312" t="s">
        <v>40</v>
      </c>
      <c r="D6312">
        <v>5.6492339999999999</v>
      </c>
      <c r="E6312">
        <v>0.37981779999999998</v>
      </c>
      <c r="F6312" t="s">
        <v>56</v>
      </c>
      <c r="G6312">
        <v>-194.7559</v>
      </c>
      <c r="H6312" s="1">
        <v>-3.0440910000000002E-6</v>
      </c>
      <c r="I6312">
        <v>-48.518459999999997</v>
      </c>
      <c r="J6312">
        <v>-197.67939999999999</v>
      </c>
      <c r="K6312">
        <v>1.131313</v>
      </c>
      <c r="L6312">
        <v>-57.190370000000001</v>
      </c>
      <c r="M6312">
        <v>0.81709919999999903</v>
      </c>
      <c r="N6312">
        <v>-1.48212E-2</v>
      </c>
      <c r="O6312">
        <v>0.5763066</v>
      </c>
      <c r="P6312">
        <v>0.57925219999999999</v>
      </c>
      <c r="Q6312">
        <v>0.1142132</v>
      </c>
      <c r="R6312">
        <v>0.80710729999999997</v>
      </c>
      <c r="S6312">
        <v>1.067383</v>
      </c>
      <c r="T6312">
        <v>-0.38708209999999998</v>
      </c>
      <c r="U6312">
        <v>3.0177309999999999</v>
      </c>
      <c r="V6312">
        <v>-0.32894839999999997</v>
      </c>
      <c r="W6312">
        <v>0.1195112</v>
      </c>
      <c r="X6312">
        <v>0.93675509999999995</v>
      </c>
      <c r="Y6312">
        <v>-0.57682100000000003</v>
      </c>
      <c r="Z6312">
        <v>-2.5791370000000001E-2</v>
      </c>
      <c r="AA6312">
        <v>0.81646339999999995</v>
      </c>
      <c r="AB6312">
        <v>30</v>
      </c>
      <c r="AC6312">
        <v>2.92349999999999</v>
      </c>
      <c r="AD6312">
        <v>-1.131316044091</v>
      </c>
      <c r="AE6312">
        <v>8.6719099999999898</v>
      </c>
      <c r="AF6312">
        <v>-5.3202655740904898</v>
      </c>
      <c r="AG6312">
        <v>-1.131316044091</v>
      </c>
      <c r="AH6312">
        <v>7.2760842959977801</v>
      </c>
      <c r="AI6312">
        <v>97.153833808056504</v>
      </c>
      <c r="AJ6312">
        <v>126.17423409965301</v>
      </c>
      <c r="AK6312">
        <v>9.08440996724255</v>
      </c>
      <c r="AL6312">
        <v>83.136106932860002</v>
      </c>
      <c r="AM6312">
        <v>109.34909741922399</v>
      </c>
      <c r="AN6312">
        <v>1.0000000470820001</v>
      </c>
    </row>
    <row r="6313" spans="1:40" x14ac:dyDescent="0.25">
      <c r="A6313" t="str">
        <f>"20190303162424663"</f>
        <v>20190303162424663</v>
      </c>
      <c r="B6313" t="str">
        <f>"1551601464650849"</f>
        <v>1551601464650849</v>
      </c>
      <c r="C6313" t="s">
        <v>40</v>
      </c>
      <c r="D6313">
        <v>5.6253739999999999</v>
      </c>
      <c r="E6313">
        <v>0.37997170000000002</v>
      </c>
      <c r="F6313" t="s">
        <v>56</v>
      </c>
      <c r="G6313">
        <v>-194.6481</v>
      </c>
      <c r="H6313" s="1">
        <v>-3.1398969999999999E-6</v>
      </c>
      <c r="I6313">
        <v>-48.316119999999998</v>
      </c>
      <c r="J6313">
        <v>-197.52180000000001</v>
      </c>
      <c r="K6313">
        <v>1.1313249999999999</v>
      </c>
      <c r="L6313">
        <v>-57.069400000000002</v>
      </c>
      <c r="M6313">
        <v>0.81195099999999998</v>
      </c>
      <c r="N6313">
        <v>-1.482292E-2</v>
      </c>
      <c r="O6313">
        <v>0.58353730000000004</v>
      </c>
      <c r="P6313">
        <v>0.572214</v>
      </c>
      <c r="Q6313">
        <v>0.11477420000000001</v>
      </c>
      <c r="R6313">
        <v>0.81203319999999901</v>
      </c>
      <c r="S6313">
        <v>1.0346679999999999</v>
      </c>
      <c r="T6313">
        <v>-0.38614939999999998</v>
      </c>
      <c r="U6313">
        <v>3.0290219999999999</v>
      </c>
      <c r="V6313">
        <v>-0.32872889999999999</v>
      </c>
      <c r="W6313">
        <v>0.1200741</v>
      </c>
      <c r="X6313">
        <v>0.93676009999999998</v>
      </c>
      <c r="Y6313">
        <v>-0.57842039999999995</v>
      </c>
      <c r="Z6313">
        <v>-2.6562789999999999E-2</v>
      </c>
      <c r="AA6313">
        <v>0.81530619999999998</v>
      </c>
      <c r="AB6313">
        <v>30</v>
      </c>
      <c r="AC6313">
        <v>2.8737000000000101</v>
      </c>
      <c r="AD6313">
        <v>-1.1313281398970001</v>
      </c>
      <c r="AE6313">
        <v>8.7532800000000002</v>
      </c>
      <c r="AF6313">
        <v>-5.3502421752315401</v>
      </c>
      <c r="AG6313">
        <v>-1.1313281398970001</v>
      </c>
      <c r="AH6313">
        <v>7.3314338319154899</v>
      </c>
      <c r="AI6313">
        <v>97.105247137066002</v>
      </c>
      <c r="AJ6313">
        <v>126.12075312621</v>
      </c>
      <c r="AK6313">
        <v>9.1463061793001597</v>
      </c>
      <c r="AL6313">
        <v>83.103620757241103</v>
      </c>
      <c r="AM6313">
        <v>109.33704925831</v>
      </c>
      <c r="AN6313">
        <v>0.99999998206901397</v>
      </c>
    </row>
    <row r="6314" spans="1:40" x14ac:dyDescent="0.25">
      <c r="A6314" t="str">
        <f>"20190303162424681"</f>
        <v>20190303162424681</v>
      </c>
      <c r="B6314" t="str">
        <f>"1551601464671344"</f>
        <v>1551601464671344</v>
      </c>
      <c r="C6314" t="s">
        <v>40</v>
      </c>
      <c r="D6314">
        <v>5.7045309999999896</v>
      </c>
      <c r="E6314">
        <v>0.38092419999999999</v>
      </c>
      <c r="F6314" t="s">
        <v>56</v>
      </c>
      <c r="G6314">
        <v>-194.54570000000001</v>
      </c>
      <c r="H6314" s="1">
        <v>-3.2385699999999998E-6</v>
      </c>
      <c r="I6314">
        <v>-48.110959999999999</v>
      </c>
      <c r="J6314">
        <v>-197.33</v>
      </c>
      <c r="K6314">
        <v>1.1313439999999999</v>
      </c>
      <c r="L6314">
        <v>-56.918430000000001</v>
      </c>
      <c r="M6314">
        <v>0.80551899999999999</v>
      </c>
      <c r="N6314">
        <v>-1.4825670000000001E-2</v>
      </c>
      <c r="O6314">
        <v>0.59238440000000003</v>
      </c>
      <c r="P6314">
        <v>0.56395340000000005</v>
      </c>
      <c r="Q6314">
        <v>0.1154197</v>
      </c>
      <c r="R6314">
        <v>0.81770100000000001</v>
      </c>
      <c r="S6314">
        <v>1.009109</v>
      </c>
      <c r="T6314">
        <v>-0.38360309999999997</v>
      </c>
      <c r="U6314">
        <v>3.0375670000000001</v>
      </c>
      <c r="V6314">
        <v>-0.32792369999999998</v>
      </c>
      <c r="W6314">
        <v>0.1207363</v>
      </c>
      <c r="X6314">
        <v>0.93695720000000005</v>
      </c>
      <c r="Y6314">
        <v>-0.57642040000000005</v>
      </c>
      <c r="Z6314">
        <v>-2.7650020000000001E-2</v>
      </c>
      <c r="AA6314">
        <v>0.81668540000000001</v>
      </c>
      <c r="AB6314">
        <v>30</v>
      </c>
      <c r="AC6314">
        <v>2.7843</v>
      </c>
      <c r="AD6314">
        <v>-1.1313472385700001</v>
      </c>
      <c r="AE6314">
        <v>8.8074700000000092</v>
      </c>
      <c r="AF6314">
        <v>-5.3653218325567602</v>
      </c>
      <c r="AG6314">
        <v>-1.1313472385700001</v>
      </c>
      <c r="AH6314">
        <v>7.35076550269096</v>
      </c>
      <c r="AI6314">
        <v>97.086428111425803</v>
      </c>
      <c r="AJ6314">
        <v>126.12569652559699</v>
      </c>
      <c r="AK6314">
        <v>9.1706258465102408</v>
      </c>
      <c r="AL6314">
        <v>83.065401569772703</v>
      </c>
      <c r="AM6314">
        <v>109.28942953247299</v>
      </c>
      <c r="AN6314">
        <v>1.00000000089561</v>
      </c>
    </row>
    <row r="6315" spans="1:40" x14ac:dyDescent="0.25">
      <c r="A6315" t="str">
        <f>"20190303162424703"</f>
        <v>20190303162424703</v>
      </c>
      <c r="B6315" t="str">
        <f>"1551601464690865"</f>
        <v>1551601464690865</v>
      </c>
      <c r="C6315" t="s">
        <v>40</v>
      </c>
      <c r="D6315">
        <v>5.6687560000000001</v>
      </c>
      <c r="E6315">
        <v>0.38174809999999998</v>
      </c>
      <c r="F6315" t="s">
        <v>42</v>
      </c>
      <c r="G6315">
        <v>-197.05420000000001</v>
      </c>
      <c r="H6315">
        <v>1.0247869999999999</v>
      </c>
      <c r="I6315">
        <v>-56.065089999999998</v>
      </c>
      <c r="J6315">
        <v>-197.11580000000001</v>
      </c>
      <c r="K6315">
        <v>1.131359</v>
      </c>
      <c r="L6315">
        <v>-56.745849999999997</v>
      </c>
      <c r="M6315">
        <v>0.79812819999999995</v>
      </c>
      <c r="N6315">
        <v>-1.4829200000000001E-2</v>
      </c>
      <c r="O6315">
        <v>0.60230519999999999</v>
      </c>
      <c r="P6315">
        <v>0.55461470000000002</v>
      </c>
      <c r="Q6315">
        <v>0.1151233</v>
      </c>
      <c r="R6315">
        <v>0.82410499999999998</v>
      </c>
      <c r="S6315">
        <v>0.9840546</v>
      </c>
      <c r="T6315">
        <v>-0.38008530000000001</v>
      </c>
      <c r="U6315">
        <v>3.043793</v>
      </c>
      <c r="V6315">
        <v>-0.32701819999999998</v>
      </c>
      <c r="W6315">
        <v>0.12045989999999999</v>
      </c>
      <c r="X6315">
        <v>0.93730919999999895</v>
      </c>
      <c r="Y6315">
        <v>-0.57295169999999995</v>
      </c>
      <c r="Z6315">
        <v>-2.8889640000000001E-2</v>
      </c>
      <c r="AA6315">
        <v>0.81907980000000002</v>
      </c>
      <c r="AB6315">
        <v>30</v>
      </c>
      <c r="AC6315">
        <v>6.1599999999998503E-2</v>
      </c>
      <c r="AD6315">
        <v>-0.106571999999999</v>
      </c>
      <c r="AE6315">
        <v>0.68075999999999204</v>
      </c>
      <c r="AF6315">
        <v>-0.49427242246660102</v>
      </c>
      <c r="AG6315">
        <v>-0.106571999999999</v>
      </c>
      <c r="AH6315">
        <v>0.44834197953545801</v>
      </c>
      <c r="AI6315">
        <v>99.073602086148895</v>
      </c>
      <c r="AJ6315">
        <v>137.789625054688</v>
      </c>
      <c r="AK6315">
        <v>0.67577610893606999</v>
      </c>
      <c r="AL6315">
        <v>83.081354645299001</v>
      </c>
      <c r="AM6315">
        <v>109.23339030756</v>
      </c>
      <c r="AN6315">
        <v>1.00000001352194</v>
      </c>
    </row>
    <row r="6316" spans="1:40" x14ac:dyDescent="0.25">
      <c r="A6316" t="str">
        <f>"20190303162424717"</f>
        <v>20190303162424717</v>
      </c>
      <c r="B6316" t="str">
        <f>"1551601464711361"</f>
        <v>1551601464711361</v>
      </c>
      <c r="C6316" t="s">
        <v>40</v>
      </c>
      <c r="D6316">
        <v>5.6446120000000004</v>
      </c>
      <c r="E6316">
        <v>0.38273740000000001</v>
      </c>
      <c r="F6316" t="s">
        <v>42</v>
      </c>
      <c r="G6316">
        <v>-196.85149999999999</v>
      </c>
      <c r="H6316">
        <v>1.024867</v>
      </c>
      <c r="I6316">
        <v>-55.901870000000002</v>
      </c>
      <c r="J6316">
        <v>-196.9622</v>
      </c>
      <c r="K6316">
        <v>1.131372</v>
      </c>
      <c r="L6316">
        <v>-56.619050000000001</v>
      </c>
      <c r="M6316">
        <v>0.79267829999999995</v>
      </c>
      <c r="N6316">
        <v>-1.4832049999999999E-2</v>
      </c>
      <c r="O6316">
        <v>0.60945969999999905</v>
      </c>
      <c r="P6316">
        <v>0.54790660000000002</v>
      </c>
      <c r="Q6316">
        <v>0.1148734</v>
      </c>
      <c r="R6316">
        <v>0.82861479999999998</v>
      </c>
      <c r="S6316">
        <v>0.95513919999999997</v>
      </c>
      <c r="T6316">
        <v>-0.38498250000000001</v>
      </c>
      <c r="U6316">
        <v>3.0512700000000001</v>
      </c>
      <c r="V6316">
        <v>-0.3262198</v>
      </c>
      <c r="W6316">
        <v>0.120227</v>
      </c>
      <c r="X6316">
        <v>0.93761719999999904</v>
      </c>
      <c r="Y6316">
        <v>-0.57322340000000005</v>
      </c>
      <c r="Z6316">
        <v>-3.0401939999999999E-2</v>
      </c>
      <c r="AA6316">
        <v>0.81883499999999998</v>
      </c>
      <c r="AB6316">
        <v>30</v>
      </c>
      <c r="AC6316">
        <v>0.110700000000008</v>
      </c>
      <c r="AD6316">
        <v>-0.106505</v>
      </c>
      <c r="AE6316">
        <v>0.71718000000000603</v>
      </c>
      <c r="AF6316">
        <v>-0.49051496663105498</v>
      </c>
      <c r="AG6316">
        <v>-0.106505</v>
      </c>
      <c r="AH6316">
        <v>0.51383129991875798</v>
      </c>
      <c r="AI6316">
        <v>98.526765404999693</v>
      </c>
      <c r="AJ6316">
        <v>133.67009256569801</v>
      </c>
      <c r="AK6316">
        <v>0.71831111107253898</v>
      </c>
      <c r="AL6316">
        <v>83.094796093754397</v>
      </c>
      <c r="AM6316">
        <v>109.184027311536</v>
      </c>
      <c r="AN6316">
        <v>0.99999995158843802</v>
      </c>
    </row>
    <row r="6317" spans="1:40" x14ac:dyDescent="0.25">
      <c r="A6317" t="str">
        <f>"20190303162424730"</f>
        <v>20190303162424730</v>
      </c>
      <c r="B6317" t="str">
        <f>"1551601464721122"</f>
        <v>1551601464721122</v>
      </c>
      <c r="C6317" t="s">
        <v>40</v>
      </c>
      <c r="D6317">
        <v>5.6810199999999904</v>
      </c>
      <c r="E6317">
        <v>0.38308999999999999</v>
      </c>
      <c r="F6317" t="s">
        <v>42</v>
      </c>
      <c r="G6317">
        <v>-196.6831</v>
      </c>
      <c r="H6317">
        <v>1.016154</v>
      </c>
      <c r="I6317">
        <v>-55.709159999999997</v>
      </c>
      <c r="J6317">
        <v>-196.82689999999999</v>
      </c>
      <c r="K6317">
        <v>1.1313869999999999</v>
      </c>
      <c r="L6317">
        <v>-56.505490000000002</v>
      </c>
      <c r="M6317">
        <v>0.78777580000000003</v>
      </c>
      <c r="N6317">
        <v>-1.4834959999999999E-2</v>
      </c>
      <c r="O6317">
        <v>0.61578350000000004</v>
      </c>
      <c r="P6317">
        <v>0.54215970000000002</v>
      </c>
      <c r="Q6317">
        <v>0.11441419999999999</v>
      </c>
      <c r="R6317">
        <v>0.83244969999999996</v>
      </c>
      <c r="S6317">
        <v>0.93727110000000002</v>
      </c>
      <c r="T6317">
        <v>-0.38679639999999998</v>
      </c>
      <c r="U6317">
        <v>3.0543520000000002</v>
      </c>
      <c r="V6317">
        <v>-0.32524509999999901</v>
      </c>
      <c r="W6317">
        <v>0.11979140000000001</v>
      </c>
      <c r="X6317">
        <v>0.9380115</v>
      </c>
      <c r="Y6317">
        <v>-0.57129969999999997</v>
      </c>
      <c r="Z6317">
        <v>-3.1646380000000002E-2</v>
      </c>
      <c r="AA6317">
        <v>0.82013119999999995</v>
      </c>
      <c r="AB6317">
        <v>30</v>
      </c>
      <c r="AC6317">
        <v>0.14379999999999801</v>
      </c>
      <c r="AD6317">
        <v>-0.115233</v>
      </c>
      <c r="AE6317">
        <v>0.79633000000000398</v>
      </c>
      <c r="AF6317">
        <v>-0.52812952619020104</v>
      </c>
      <c r="AG6317">
        <v>-0.115233</v>
      </c>
      <c r="AH6317">
        <v>0.59171642591576501</v>
      </c>
      <c r="AI6317">
        <v>98.266638846342602</v>
      </c>
      <c r="AJ6317">
        <v>131.750130647779</v>
      </c>
      <c r="AK6317">
        <v>0.80145353541014097</v>
      </c>
      <c r="AL6317">
        <v>83.119935915433899</v>
      </c>
      <c r="AM6317">
        <v>109.123422222755</v>
      </c>
      <c r="AN6317">
        <v>0.99999996436010896</v>
      </c>
    </row>
    <row r="6318" spans="1:40" x14ac:dyDescent="0.25">
      <c r="A6318" t="str">
        <f>"20190303162424748"</f>
        <v>20190303162424748</v>
      </c>
      <c r="B6318" t="str">
        <f>"1551601464740641"</f>
        <v>1551601464740641</v>
      </c>
      <c r="C6318" t="s">
        <v>40</v>
      </c>
      <c r="D6318">
        <v>5.670147</v>
      </c>
      <c r="E6318">
        <v>0.39225100000000002</v>
      </c>
      <c r="F6318" t="s">
        <v>42</v>
      </c>
      <c r="G6318">
        <v>-196.52719999999999</v>
      </c>
      <c r="H6318">
        <v>1.004294</v>
      </c>
      <c r="I6318">
        <v>-55.507060000000003</v>
      </c>
      <c r="J6318">
        <v>-196.65129999999999</v>
      </c>
      <c r="K6318">
        <v>1.131405</v>
      </c>
      <c r="L6318">
        <v>-56.355589999999999</v>
      </c>
      <c r="M6318">
        <v>0.78127329999999995</v>
      </c>
      <c r="N6318">
        <v>-1.483929E-2</v>
      </c>
      <c r="O6318">
        <v>0.62401260000000003</v>
      </c>
      <c r="P6318">
        <v>0.53547019999999901</v>
      </c>
      <c r="Q6318">
        <v>0.11386549999999999</v>
      </c>
      <c r="R6318">
        <v>0.83684309999999995</v>
      </c>
      <c r="S6318">
        <v>0.91813659999999997</v>
      </c>
      <c r="T6318">
        <v>-0.38940920000000001</v>
      </c>
      <c r="U6318">
        <v>3.0593870000000001</v>
      </c>
      <c r="V6318">
        <v>-0.32296920000000001</v>
      </c>
      <c r="W6318">
        <v>0.1193057</v>
      </c>
      <c r="X6318">
        <v>0.93885949999999996</v>
      </c>
      <c r="Y6318">
        <v>-0.56780569999999997</v>
      </c>
      <c r="Z6318">
        <v>-3.3351619999999998E-2</v>
      </c>
      <c r="AA6318">
        <v>0.82248679999999996</v>
      </c>
      <c r="AB6318">
        <v>30</v>
      </c>
      <c r="AC6318">
        <v>0.124099999999998</v>
      </c>
      <c r="AD6318">
        <v>-0.127110999999999</v>
      </c>
      <c r="AE6318">
        <v>0.848530000000003</v>
      </c>
      <c r="AF6318">
        <v>-0.57296992785643996</v>
      </c>
      <c r="AG6318">
        <v>-0.127110999999999</v>
      </c>
      <c r="AH6318">
        <v>0.61304943094180098</v>
      </c>
      <c r="AI6318">
        <v>98.613742267271505</v>
      </c>
      <c r="AJ6318">
        <v>133.06452331023101</v>
      </c>
      <c r="AK6318">
        <v>0.84869390791196397</v>
      </c>
      <c r="AL6318">
        <v>83.147966136065193</v>
      </c>
      <c r="AM6318">
        <v>108.983300659609</v>
      </c>
      <c r="AN6318">
        <v>1.00000005747068</v>
      </c>
    </row>
    <row r="6319" spans="1:40" x14ac:dyDescent="0.25">
      <c r="A6319" t="str">
        <f>"20190303162424763"</f>
        <v>20190303162424763</v>
      </c>
      <c r="B6319" t="str">
        <f>"1551601464751379"</f>
        <v>1551601464751379</v>
      </c>
      <c r="C6319" t="s">
        <v>40</v>
      </c>
      <c r="D6319">
        <v>5.6944650000000001</v>
      </c>
      <c r="E6319">
        <v>0.39249519999999999</v>
      </c>
      <c r="F6319" t="s">
        <v>42</v>
      </c>
      <c r="G6319">
        <v>-196.33029999999999</v>
      </c>
      <c r="H6319">
        <v>0.99750119999999998</v>
      </c>
      <c r="I6319">
        <v>-55.338940000000001</v>
      </c>
      <c r="J6319">
        <v>-196.49870000000001</v>
      </c>
      <c r="K6319">
        <v>1.1314219999999999</v>
      </c>
      <c r="L6319">
        <v>-56.222869999999901</v>
      </c>
      <c r="M6319">
        <v>0.77548709999999998</v>
      </c>
      <c r="N6319">
        <v>-1.4843459999999999E-2</v>
      </c>
      <c r="O6319">
        <v>0.63118890000000005</v>
      </c>
      <c r="P6319">
        <v>0.52858240000000001</v>
      </c>
      <c r="Q6319">
        <v>0.1135622</v>
      </c>
      <c r="R6319">
        <v>0.84125169999999905</v>
      </c>
      <c r="S6319">
        <v>0.95602419999999999</v>
      </c>
      <c r="T6319">
        <v>-0.39876030000000001</v>
      </c>
      <c r="U6319">
        <v>3.0274049999999999</v>
      </c>
      <c r="V6319">
        <v>-0.3220479</v>
      </c>
      <c r="W6319">
        <v>0.11902260000000001</v>
      </c>
      <c r="X6319">
        <v>0.93921180000000004</v>
      </c>
      <c r="Y6319">
        <v>-0.54839119999999997</v>
      </c>
      <c r="Z6319">
        <v>-3.7160199999999997E-2</v>
      </c>
      <c r="AA6319">
        <v>0.83539580000000002</v>
      </c>
      <c r="AB6319">
        <v>30</v>
      </c>
      <c r="AC6319">
        <v>0.16840000000001901</v>
      </c>
      <c r="AD6319">
        <v>-0.13392080000000001</v>
      </c>
      <c r="AE6319">
        <v>0.883929999999992</v>
      </c>
      <c r="AF6319">
        <v>-0.56669552164646897</v>
      </c>
      <c r="AG6319">
        <v>-0.13392080000000001</v>
      </c>
      <c r="AH6319">
        <v>0.67367273658553894</v>
      </c>
      <c r="AI6319">
        <v>98.649852531259995</v>
      </c>
      <c r="AJ6319">
        <v>130.07064713578399</v>
      </c>
      <c r="AK6319">
        <v>0.89045693379604496</v>
      </c>
      <c r="AL6319">
        <v>83.164302701058702</v>
      </c>
      <c r="AM6319">
        <v>108.92641442998099</v>
      </c>
      <c r="AN6319">
        <v>1.0000000172321999</v>
      </c>
    </row>
    <row r="6320" spans="1:40" x14ac:dyDescent="0.25">
      <c r="A6320" t="str">
        <f>"20190303162424780"</f>
        <v>20190303162424780</v>
      </c>
      <c r="B6320" t="str">
        <f>"1551601464770897"</f>
        <v>1551601464770897</v>
      </c>
      <c r="C6320" t="s">
        <v>40</v>
      </c>
      <c r="D6320">
        <v>5.7020229999999996</v>
      </c>
      <c r="E6320">
        <v>0.39341029999999999</v>
      </c>
      <c r="F6320" t="s">
        <v>56</v>
      </c>
      <c r="G6320">
        <v>-193.84809999999999</v>
      </c>
      <c r="H6320" s="1">
        <v>-3.3866919999999999E-6</v>
      </c>
      <c r="I6320">
        <v>-47.59863</v>
      </c>
      <c r="J6320">
        <v>-196.32830000000001</v>
      </c>
      <c r="K6320">
        <v>1.1314379999999999</v>
      </c>
      <c r="L6320">
        <v>-56.071170000000002</v>
      </c>
      <c r="M6320">
        <v>0.76885899999999996</v>
      </c>
      <c r="N6320">
        <v>-1.484829E-2</v>
      </c>
      <c r="O6320">
        <v>0.63924599999999998</v>
      </c>
      <c r="P6320">
        <v>0.52073239999999998</v>
      </c>
      <c r="Q6320">
        <v>0.1130951</v>
      </c>
      <c r="R6320">
        <v>0.8461957</v>
      </c>
      <c r="S6320">
        <v>0.93246459999999998</v>
      </c>
      <c r="T6320">
        <v>-0.3980302</v>
      </c>
      <c r="U6320">
        <v>3.0339659999999999</v>
      </c>
      <c r="V6320">
        <v>-0.32102540000000002</v>
      </c>
      <c r="W6320">
        <v>0.1185799</v>
      </c>
      <c r="X6320">
        <v>0.93961779999999995</v>
      </c>
      <c r="Y6320">
        <v>-0.54614510000000005</v>
      </c>
      <c r="Z6320">
        <v>-3.839414E-2</v>
      </c>
      <c r="AA6320">
        <v>0.83681019999999995</v>
      </c>
      <c r="AB6320">
        <v>30</v>
      </c>
      <c r="AC6320">
        <v>2.4802000000000199</v>
      </c>
      <c r="AD6320">
        <v>-1.1314413866919999</v>
      </c>
      <c r="AE6320">
        <v>8.4725399999999897</v>
      </c>
      <c r="AF6320">
        <v>-4.8496145215904702</v>
      </c>
      <c r="AG6320">
        <v>-1.1314413866919999</v>
      </c>
      <c r="AH6320">
        <v>7.2054129293421498</v>
      </c>
      <c r="AI6320">
        <v>97.422060176056704</v>
      </c>
      <c r="AJ6320">
        <v>123.942587491447</v>
      </c>
      <c r="AK6320">
        <v>8.7588181909360205</v>
      </c>
      <c r="AL6320">
        <v>83.189848715196305</v>
      </c>
      <c r="AM6320">
        <v>108.86300429673101</v>
      </c>
      <c r="AN6320">
        <v>1.0000000551029999</v>
      </c>
    </row>
    <row r="6321" spans="1:40" x14ac:dyDescent="0.25">
      <c r="A6321" t="str">
        <f>"20190303162424795"</f>
        <v>20190303162424795</v>
      </c>
      <c r="B6321" t="str">
        <f>"1551601464791393"</f>
        <v>1551601464791393</v>
      </c>
      <c r="C6321" t="s">
        <v>40</v>
      </c>
      <c r="D6321">
        <v>5.7099739999999999</v>
      </c>
      <c r="E6321">
        <v>0.39469910000000002</v>
      </c>
      <c r="F6321" t="s">
        <v>42</v>
      </c>
      <c r="G6321">
        <v>-196.0728</v>
      </c>
      <c r="H6321">
        <v>1.021517</v>
      </c>
      <c r="I6321">
        <v>-55.217599999999997</v>
      </c>
      <c r="J6321">
        <v>-196.19</v>
      </c>
      <c r="K6321">
        <v>1.1314489999999999</v>
      </c>
      <c r="L6321">
        <v>-55.945369999999997</v>
      </c>
      <c r="M6321">
        <v>0.76334729999999995</v>
      </c>
      <c r="N6321">
        <v>-1.485185E-2</v>
      </c>
      <c r="O6321">
        <v>0.64581759999999999</v>
      </c>
      <c r="P6321">
        <v>0.51399849999999903</v>
      </c>
      <c r="Q6321">
        <v>0.11297310000000001</v>
      </c>
      <c r="R6321">
        <v>0.850319099999999</v>
      </c>
      <c r="S6321">
        <v>0.90927119999999995</v>
      </c>
      <c r="T6321">
        <v>-0.39120300000000002</v>
      </c>
      <c r="U6321">
        <v>3.0379939999999999</v>
      </c>
      <c r="V6321">
        <v>-0.3204359</v>
      </c>
      <c r="W6321">
        <v>0.11847149999999999</v>
      </c>
      <c r="X6321">
        <v>0.93983260000000002</v>
      </c>
      <c r="Y6321">
        <v>-0.54517109999999902</v>
      </c>
      <c r="Z6321">
        <v>-3.8564809999999998E-2</v>
      </c>
      <c r="AA6321">
        <v>0.83743729999999905</v>
      </c>
      <c r="AB6321">
        <v>30</v>
      </c>
      <c r="AC6321">
        <v>0.117199999999996</v>
      </c>
      <c r="AD6321">
        <v>-0.109931999999999</v>
      </c>
      <c r="AE6321">
        <v>0.72776999999999903</v>
      </c>
      <c r="AF6321">
        <v>-0.46946335574125397</v>
      </c>
      <c r="AG6321">
        <v>-0.109931999999999</v>
      </c>
      <c r="AH6321">
        <v>0.54735924504550304</v>
      </c>
      <c r="AI6321">
        <v>98.667920574280899</v>
      </c>
      <c r="AJ6321">
        <v>130.61928944329199</v>
      </c>
      <c r="AK6321">
        <v>0.72944021697780104</v>
      </c>
      <c r="AL6321">
        <v>83.196103217903797</v>
      </c>
      <c r="AM6321">
        <v>108.82680850135201</v>
      </c>
      <c r="AN6321">
        <v>0.99999998917191002</v>
      </c>
    </row>
    <row r="6322" spans="1:40" x14ac:dyDescent="0.25">
      <c r="A6322" t="str">
        <f>"20190303162424808"</f>
        <v>20190303162424808</v>
      </c>
      <c r="B6322" t="str">
        <f>"1551601464801154"</f>
        <v>1551601464801154</v>
      </c>
      <c r="C6322" t="s">
        <v>40</v>
      </c>
      <c r="D6322">
        <v>5.685162</v>
      </c>
      <c r="E6322">
        <v>0.39518500000000001</v>
      </c>
      <c r="F6322" t="s">
        <v>42</v>
      </c>
      <c r="G6322">
        <v>-195.9169</v>
      </c>
      <c r="H6322">
        <v>1.01301</v>
      </c>
      <c r="I6322">
        <v>-55.015659999999997</v>
      </c>
      <c r="J6322">
        <v>-196.053</v>
      </c>
      <c r="K6322">
        <v>1.1314569999999999</v>
      </c>
      <c r="L6322">
        <v>-55.819000000000003</v>
      </c>
      <c r="M6322">
        <v>0.75778829999999997</v>
      </c>
      <c r="N6322">
        <v>-1.485498E-2</v>
      </c>
      <c r="O6322">
        <v>0.65233140000000001</v>
      </c>
      <c r="P6322">
        <v>0.50757019999999997</v>
      </c>
      <c r="Q6322">
        <v>0.11284719999999999</v>
      </c>
      <c r="R6322">
        <v>0.85418850000000002</v>
      </c>
      <c r="S6322">
        <v>0.89302060000000005</v>
      </c>
      <c r="T6322">
        <v>-0.38725359999999998</v>
      </c>
      <c r="U6322">
        <v>3.0397639999999999</v>
      </c>
      <c r="V6322">
        <v>-0.31948680000000002</v>
      </c>
      <c r="W6322">
        <v>0.11837159999999999</v>
      </c>
      <c r="X6322">
        <v>0.94016829999999996</v>
      </c>
      <c r="Y6322">
        <v>-0.54228779999999999</v>
      </c>
      <c r="Z6322">
        <v>-3.9205759999999999E-2</v>
      </c>
      <c r="AA6322">
        <v>0.83927759999999996</v>
      </c>
      <c r="AB6322">
        <v>30</v>
      </c>
      <c r="AC6322">
        <v>0.136099999999999</v>
      </c>
      <c r="AD6322">
        <v>-0.118446999999999</v>
      </c>
      <c r="AE6322">
        <v>0.80333999999999794</v>
      </c>
      <c r="AF6322">
        <v>-0.50927426723642899</v>
      </c>
      <c r="AG6322">
        <v>-0.118446999999999</v>
      </c>
      <c r="AH6322">
        <v>0.61426684022223799</v>
      </c>
      <c r="AI6322">
        <v>98.443544566944993</v>
      </c>
      <c r="AJ6322">
        <v>129.66133288308799</v>
      </c>
      <c r="AK6322">
        <v>0.80666828503097499</v>
      </c>
      <c r="AL6322">
        <v>83.201867986854595</v>
      </c>
      <c r="AM6322">
        <v>108.768723040464</v>
      </c>
      <c r="AN6322">
        <v>1.0000000416928401</v>
      </c>
    </row>
    <row r="6323" spans="1:40" x14ac:dyDescent="0.25">
      <c r="A6323" t="str">
        <f>"20190303162424827"</f>
        <v>20190303162424827</v>
      </c>
      <c r="B6323" t="str">
        <f>"1551601464820673"</f>
        <v>1551601464820673</v>
      </c>
      <c r="C6323" t="s">
        <v>40</v>
      </c>
      <c r="D6323">
        <v>5.7294600000000004</v>
      </c>
      <c r="E6323">
        <v>0.39632099999999998</v>
      </c>
      <c r="F6323" t="s">
        <v>42</v>
      </c>
      <c r="G6323">
        <v>-195.76429999999999</v>
      </c>
      <c r="H6323">
        <v>1.003401</v>
      </c>
      <c r="I6323">
        <v>-54.812089999999998</v>
      </c>
      <c r="J6323">
        <v>-195.87889999999999</v>
      </c>
      <c r="K6323">
        <v>1.131456</v>
      </c>
      <c r="L6323">
        <v>-55.655239999999999</v>
      </c>
      <c r="M6323">
        <v>0.75056519999999904</v>
      </c>
      <c r="N6323">
        <v>-1.485824E-2</v>
      </c>
      <c r="O6323">
        <v>0.66062929999999997</v>
      </c>
      <c r="P6323">
        <v>0.49993559999999998</v>
      </c>
      <c r="Q6323">
        <v>0.11200069999999999</v>
      </c>
      <c r="R6323">
        <v>0.85878999999999905</v>
      </c>
      <c r="S6323">
        <v>0.87278750000000005</v>
      </c>
      <c r="T6323">
        <v>-0.38720969999999999</v>
      </c>
      <c r="U6323">
        <v>3.0446469999999999</v>
      </c>
      <c r="V6323">
        <v>-0.317583</v>
      </c>
      <c r="W6323">
        <v>0.1175837</v>
      </c>
      <c r="X6323">
        <v>0.94091190000000002</v>
      </c>
      <c r="Y6323">
        <v>-0.53859809999999997</v>
      </c>
      <c r="Z6323">
        <v>-4.063137E-2</v>
      </c>
      <c r="AA6323">
        <v>0.84158250000000001</v>
      </c>
      <c r="AB6323">
        <v>30</v>
      </c>
      <c r="AC6323">
        <v>0.114599999999995</v>
      </c>
      <c r="AD6323">
        <v>-0.128055</v>
      </c>
      <c r="AE6323">
        <v>0.84314999999999396</v>
      </c>
      <c r="AF6323">
        <v>-0.54485252767096504</v>
      </c>
      <c r="AG6323">
        <v>-0.128055</v>
      </c>
      <c r="AH6323">
        <v>0.628852989563779</v>
      </c>
      <c r="AI6323">
        <v>98.749262717496507</v>
      </c>
      <c r="AJ6323">
        <v>130.90640092061199</v>
      </c>
      <c r="AK6323">
        <v>0.84185416932966595</v>
      </c>
      <c r="AL6323">
        <v>83.247328846978803</v>
      </c>
      <c r="AM6323">
        <v>108.650918195583</v>
      </c>
      <c r="AN6323">
        <v>1.00000004597814</v>
      </c>
    </row>
    <row r="6324" spans="1:40" x14ac:dyDescent="0.25">
      <c r="A6324" t="str">
        <f>"20190303162424848"</f>
        <v>20190303162424848</v>
      </c>
      <c r="B6324" t="str">
        <f>"1551601464841169"</f>
        <v>1551601464841169</v>
      </c>
      <c r="C6324" t="s">
        <v>40</v>
      </c>
      <c r="D6324">
        <v>5.6841160000000004</v>
      </c>
      <c r="E6324">
        <v>0.39722160000000001</v>
      </c>
      <c r="F6324" t="s">
        <v>42</v>
      </c>
      <c r="G6324">
        <v>-195.5908</v>
      </c>
      <c r="H6324">
        <v>0.99987119999999996</v>
      </c>
      <c r="I6324">
        <v>-54.624499999999998</v>
      </c>
      <c r="J6324">
        <v>-195.68020000000001</v>
      </c>
      <c r="K6324">
        <v>1.1314489999999999</v>
      </c>
      <c r="L6324">
        <v>-55.463619999999999</v>
      </c>
      <c r="M6324">
        <v>0.74209169999999902</v>
      </c>
      <c r="N6324">
        <v>-1.486095E-2</v>
      </c>
      <c r="O6324">
        <v>0.67013369999999906</v>
      </c>
      <c r="P6324">
        <v>0.49050260000000001</v>
      </c>
      <c r="Q6324">
        <v>0.1103074</v>
      </c>
      <c r="R6324">
        <v>0.86443019999999904</v>
      </c>
      <c r="S6324">
        <v>0.85214230000000002</v>
      </c>
      <c r="T6324">
        <v>-0.38911970000000001</v>
      </c>
      <c r="U6324">
        <v>3.047974</v>
      </c>
      <c r="V6324">
        <v>-0.3160174</v>
      </c>
      <c r="W6324">
        <v>0.1159418</v>
      </c>
      <c r="X6324">
        <v>0.94164239999999999</v>
      </c>
      <c r="Y6324">
        <v>-0.53343719999999994</v>
      </c>
      <c r="Z6324">
        <v>-4.2628590000000001E-2</v>
      </c>
      <c r="AA6324">
        <v>0.84476479999999998</v>
      </c>
      <c r="AB6324">
        <v>30</v>
      </c>
      <c r="AC6324">
        <v>8.9400000000011901E-2</v>
      </c>
      <c r="AD6324">
        <v>-0.131577799999999</v>
      </c>
      <c r="AE6324">
        <v>0.83912000000000098</v>
      </c>
      <c r="AF6324">
        <v>-0.54949695507229501</v>
      </c>
      <c r="AG6324">
        <v>-0.131577799999999</v>
      </c>
      <c r="AH6324">
        <v>0.61381216813173001</v>
      </c>
      <c r="AI6324">
        <v>99.074232482939394</v>
      </c>
      <c r="AJ6324">
        <v>131.83554219360499</v>
      </c>
      <c r="AK6324">
        <v>0.83428112697887402</v>
      </c>
      <c r="AL6324">
        <v>83.342050090571306</v>
      </c>
      <c r="AM6324">
        <v>108.55187351420901</v>
      </c>
      <c r="AN6324">
        <v>0.99999995378387896</v>
      </c>
    </row>
    <row r="6325" spans="1:40" x14ac:dyDescent="0.25">
      <c r="A6325" t="str">
        <f>"20190303162424862"</f>
        <v>20190303162424862</v>
      </c>
      <c r="B6325" t="str">
        <f>"1551601464850929"</f>
        <v>1551601464850929</v>
      </c>
      <c r="C6325" t="s">
        <v>40</v>
      </c>
      <c r="D6325">
        <v>5.7475559999999897</v>
      </c>
      <c r="E6325">
        <v>0.39722160000000001</v>
      </c>
      <c r="F6325" t="s">
        <v>42</v>
      </c>
      <c r="G6325">
        <v>-195.4051</v>
      </c>
      <c r="H6325">
        <v>0.99909460000000005</v>
      </c>
      <c r="I6325">
        <v>-54.445480000000003</v>
      </c>
      <c r="J6325">
        <v>-195.54499999999999</v>
      </c>
      <c r="K6325">
        <v>1.1314489999999999</v>
      </c>
      <c r="L6325">
        <v>-55.330779999999997</v>
      </c>
      <c r="M6325">
        <v>0.7361953</v>
      </c>
      <c r="N6325">
        <v>-1.486231E-2</v>
      </c>
      <c r="O6325">
        <v>0.67660600000000004</v>
      </c>
      <c r="P6325">
        <v>0.4835139</v>
      </c>
      <c r="Q6325">
        <v>0.1094696</v>
      </c>
      <c r="R6325">
        <v>0.86846449999999997</v>
      </c>
      <c r="S6325">
        <v>0.82484439999999903</v>
      </c>
      <c r="T6325">
        <v>-0.39687440000000002</v>
      </c>
      <c r="U6325">
        <v>3.0531009999999998</v>
      </c>
      <c r="V6325">
        <v>-0.31542249999999999</v>
      </c>
      <c r="W6325">
        <v>0.1151262</v>
      </c>
      <c r="X6325">
        <v>0.9419419</v>
      </c>
      <c r="Y6325">
        <v>-0.53342840000000002</v>
      </c>
      <c r="Z6325">
        <v>-4.4717260000000002E-2</v>
      </c>
      <c r="AA6325">
        <v>0.84466239999999904</v>
      </c>
      <c r="AB6325">
        <v>30</v>
      </c>
      <c r="AC6325">
        <v>0.13989999999998301</v>
      </c>
      <c r="AD6325">
        <v>-0.13235439999999901</v>
      </c>
      <c r="AE6325">
        <v>0.88529999999999998</v>
      </c>
      <c r="AF6325">
        <v>-0.54526771231010696</v>
      </c>
      <c r="AG6325">
        <v>-0.13235439999999901</v>
      </c>
      <c r="AH6325">
        <v>0.68708762560868597</v>
      </c>
      <c r="AI6325">
        <v>98.580631412068499</v>
      </c>
      <c r="AJ6325">
        <v>128.43525865227701</v>
      </c>
      <c r="AK6325">
        <v>0.88708735226686597</v>
      </c>
      <c r="AL6325">
        <v>83.389095673126704</v>
      </c>
      <c r="AM6325">
        <v>108.513846907832</v>
      </c>
      <c r="AN6325">
        <v>0.99999996920414902</v>
      </c>
    </row>
    <row r="6326" spans="1:40" x14ac:dyDescent="0.25">
      <c r="A6326" t="str">
        <f>"20190303162424884"</f>
        <v>20190303162424884</v>
      </c>
      <c r="B6326" t="str">
        <f>"1551601464870449"</f>
        <v>1551601464870449</v>
      </c>
      <c r="C6326" t="s">
        <v>40</v>
      </c>
      <c r="D6326">
        <v>5.7551949999999996</v>
      </c>
      <c r="E6326">
        <v>0.40561799999999998</v>
      </c>
      <c r="F6326" t="s">
        <v>42</v>
      </c>
      <c r="G6326">
        <v>-195.32759999999999</v>
      </c>
      <c r="H6326">
        <v>1.022907</v>
      </c>
      <c r="I6326">
        <v>-54.500230000000002</v>
      </c>
      <c r="J6326">
        <v>-195.35839999999999</v>
      </c>
      <c r="K6326">
        <v>1.131451</v>
      </c>
      <c r="L6326">
        <v>-55.142969999999998</v>
      </c>
      <c r="M6326">
        <v>0.72785330000000004</v>
      </c>
      <c r="N6326">
        <v>-1.486342E-2</v>
      </c>
      <c r="O6326">
        <v>0.68557179999999995</v>
      </c>
      <c r="P6326">
        <v>0.47404380000000002</v>
      </c>
      <c r="Q6326">
        <v>0.1100537</v>
      </c>
      <c r="R6326">
        <v>0.87359639999999905</v>
      </c>
      <c r="S6326">
        <v>0.80027769999999898</v>
      </c>
      <c r="T6326">
        <v>-0.3997753</v>
      </c>
      <c r="U6326">
        <v>3.0592039999999998</v>
      </c>
      <c r="V6326">
        <v>-0.31408530000000001</v>
      </c>
      <c r="W6326">
        <v>0.1157557</v>
      </c>
      <c r="X6326">
        <v>0.94231149999999997</v>
      </c>
      <c r="Y6326">
        <v>-0.52987099999999998</v>
      </c>
      <c r="Z6326">
        <v>-4.6706030000000003E-2</v>
      </c>
      <c r="AA6326">
        <v>0.84679110000000002</v>
      </c>
      <c r="AB6326">
        <v>30</v>
      </c>
      <c r="AC6326">
        <v>3.07999999999992E-2</v>
      </c>
      <c r="AD6326">
        <v>-0.108543999999999</v>
      </c>
      <c r="AE6326">
        <v>0.64273999999999598</v>
      </c>
      <c r="AF6326">
        <v>-0.43439387424213599</v>
      </c>
      <c r="AG6326">
        <v>-0.108543999999999</v>
      </c>
      <c r="AH6326">
        <v>0.45030055261904001</v>
      </c>
      <c r="AI6326">
        <v>99.841898177603795</v>
      </c>
      <c r="AJ6326">
        <v>133.96994112431199</v>
      </c>
      <c r="AK6326">
        <v>0.63502001984512702</v>
      </c>
      <c r="AL6326">
        <v>83.352785160165695</v>
      </c>
      <c r="AM6326">
        <v>108.43393461558</v>
      </c>
      <c r="AN6326">
        <v>0.99999996039541394</v>
      </c>
    </row>
    <row r="6327" spans="1:40" x14ac:dyDescent="0.25">
      <c r="A6327" t="str">
        <f>"20190303162424904"</f>
        <v>20190303162424904</v>
      </c>
      <c r="B6327" t="str">
        <f>"1551601464900705"</f>
        <v>1551601464900705</v>
      </c>
      <c r="C6327" t="s">
        <v>40</v>
      </c>
      <c r="D6327">
        <v>5.7467030000000001</v>
      </c>
      <c r="E6327">
        <v>0.40672520000000001</v>
      </c>
      <c r="F6327" t="s">
        <v>42</v>
      </c>
      <c r="G6327">
        <v>-195.0652</v>
      </c>
      <c r="H6327">
        <v>0.99342410000000003</v>
      </c>
      <c r="I6327">
        <v>-54.064349999999997</v>
      </c>
      <c r="J6327">
        <v>-195.16139999999999</v>
      </c>
      <c r="K6327">
        <v>1.1314470000000001</v>
      </c>
      <c r="L6327">
        <v>-54.939540000000001</v>
      </c>
      <c r="M6327">
        <v>0.71880390000000005</v>
      </c>
      <c r="N6327">
        <v>-1.486383E-2</v>
      </c>
      <c r="O6327">
        <v>0.69505399999999995</v>
      </c>
      <c r="P6327">
        <v>0.46375179999999999</v>
      </c>
      <c r="Q6327">
        <v>0.1111897</v>
      </c>
      <c r="R6327">
        <v>0.87896030000000003</v>
      </c>
      <c r="S6327">
        <v>0.82490540000000001</v>
      </c>
      <c r="T6327">
        <v>-0.38840910000000001</v>
      </c>
      <c r="U6327">
        <v>3.0353699999999999</v>
      </c>
      <c r="V6327">
        <v>-0.312722099999999</v>
      </c>
      <c r="W6327">
        <v>0.11693919999999999</v>
      </c>
      <c r="X6327">
        <v>0.94261879999999998</v>
      </c>
      <c r="Y6327">
        <v>-0.51073290000000005</v>
      </c>
      <c r="Z6327">
        <v>-4.7896920000000003E-2</v>
      </c>
      <c r="AA6327">
        <v>0.85840419999999995</v>
      </c>
      <c r="AB6327">
        <v>30</v>
      </c>
      <c r="AC6327">
        <v>9.61999999999818E-2</v>
      </c>
      <c r="AD6327">
        <v>-0.138022899999999</v>
      </c>
      <c r="AE6327">
        <v>0.87519000000000302</v>
      </c>
      <c r="AF6327">
        <v>-0.54880146336258795</v>
      </c>
      <c r="AG6327">
        <v>-0.138022899999999</v>
      </c>
      <c r="AH6327">
        <v>0.66127761973631105</v>
      </c>
      <c r="AI6327">
        <v>99.124595517012494</v>
      </c>
      <c r="AJ6327">
        <v>129.68964819594001</v>
      </c>
      <c r="AK6327">
        <v>0.87035708618787599</v>
      </c>
      <c r="AL6327">
        <v>83.284512497828104</v>
      </c>
      <c r="AM6327">
        <v>108.35371879241499</v>
      </c>
      <c r="AN6327">
        <v>1.0000000452192399</v>
      </c>
    </row>
    <row r="6328" spans="1:40" x14ac:dyDescent="0.25">
      <c r="A6328" t="str">
        <f>"20190303162424926"</f>
        <v>20190303162424926</v>
      </c>
      <c r="B6328" t="str">
        <f>"1551601464921201"</f>
        <v>1551601464921201</v>
      </c>
      <c r="C6328" t="s">
        <v>40</v>
      </c>
      <c r="D6328">
        <v>5.7701019999999996</v>
      </c>
      <c r="E6328">
        <v>0.41128520000000002</v>
      </c>
      <c r="F6328" t="s">
        <v>42</v>
      </c>
      <c r="G6328">
        <v>-194.88409999999999</v>
      </c>
      <c r="H6328">
        <v>0.99641069999999998</v>
      </c>
      <c r="I6328">
        <v>-53.880740000000003</v>
      </c>
      <c r="J6328">
        <v>-194.96260000000001</v>
      </c>
      <c r="K6328">
        <v>1.1314329999999999</v>
      </c>
      <c r="L6328">
        <v>-54.728549999999998</v>
      </c>
      <c r="M6328">
        <v>0.70940239999999999</v>
      </c>
      <c r="N6328">
        <v>-1.486353E-2</v>
      </c>
      <c r="O6328">
        <v>0.70464700000000002</v>
      </c>
      <c r="P6328">
        <v>0.45260519999999999</v>
      </c>
      <c r="Q6328">
        <v>0.1113073</v>
      </c>
      <c r="R6328">
        <v>0.88473679999999999</v>
      </c>
      <c r="S6328">
        <v>0.79699709999999901</v>
      </c>
      <c r="T6328">
        <v>-0.3879378</v>
      </c>
      <c r="U6328">
        <v>3.041687</v>
      </c>
      <c r="V6328">
        <v>-0.3119632</v>
      </c>
      <c r="W6328">
        <v>0.11708789999999999</v>
      </c>
      <c r="X6328">
        <v>0.94285169999999996</v>
      </c>
      <c r="Y6328">
        <v>-0.50703450000000005</v>
      </c>
      <c r="Z6328">
        <v>-4.9457189999999998E-2</v>
      </c>
      <c r="AA6328">
        <v>0.86050559999999998</v>
      </c>
      <c r="AB6328">
        <v>30</v>
      </c>
      <c r="AC6328">
        <v>7.8500000000019499E-2</v>
      </c>
      <c r="AD6328">
        <v>-0.13502229999999901</v>
      </c>
      <c r="AE6328">
        <v>0.84780999999999496</v>
      </c>
      <c r="AF6328">
        <v>-0.53278539074282305</v>
      </c>
      <c r="AG6328">
        <v>-0.13502229999999901</v>
      </c>
      <c r="AH6328">
        <v>0.63714397842078696</v>
      </c>
      <c r="AI6328">
        <v>99.233783192330506</v>
      </c>
      <c r="AJ6328">
        <v>129.902663867494</v>
      </c>
      <c r="AK6328">
        <v>0.84145335184081405</v>
      </c>
      <c r="AL6328">
        <v>83.275933182979102</v>
      </c>
      <c r="AM6328">
        <v>108.30793211581</v>
      </c>
      <c r="AN6328">
        <v>0.99999997133676899</v>
      </c>
    </row>
    <row r="6329" spans="1:40" x14ac:dyDescent="0.25">
      <c r="A6329" t="str">
        <f>"20190303162424949"</f>
        <v>20190303162424949</v>
      </c>
      <c r="B6329" t="str">
        <f>"1551601464940721"</f>
        <v>1551601464940721</v>
      </c>
      <c r="C6329" t="s">
        <v>40</v>
      </c>
      <c r="D6329">
        <v>5.79169</v>
      </c>
      <c r="E6329">
        <v>0.41149980000000003</v>
      </c>
      <c r="F6329" t="s">
        <v>42</v>
      </c>
      <c r="G6329">
        <v>-194.69630000000001</v>
      </c>
      <c r="H6329">
        <v>1.0239689999999999</v>
      </c>
      <c r="I6329">
        <v>-53.700449999999996</v>
      </c>
      <c r="J6329">
        <v>-194.76050000000001</v>
      </c>
      <c r="K6329">
        <v>1.131426</v>
      </c>
      <c r="L6329">
        <v>-54.508119999999998</v>
      </c>
      <c r="M6329">
        <v>0.69956529999999995</v>
      </c>
      <c r="N6329">
        <v>-1.48626E-2</v>
      </c>
      <c r="O6329">
        <v>0.71441409999999905</v>
      </c>
      <c r="P6329">
        <v>0.44100250000000002</v>
      </c>
      <c r="Q6329">
        <v>0.1113088</v>
      </c>
      <c r="R6329">
        <v>0.8905769</v>
      </c>
      <c r="S6329">
        <v>0.78414919999999899</v>
      </c>
      <c r="T6329">
        <v>-0.31663609999999998</v>
      </c>
      <c r="U6329">
        <v>3.029541</v>
      </c>
      <c r="V6329">
        <v>-0.3112106</v>
      </c>
      <c r="W6329">
        <v>0.1171201</v>
      </c>
      <c r="X6329">
        <v>0.94309639999999995</v>
      </c>
      <c r="Y6329">
        <v>-0.49776219999999999</v>
      </c>
      <c r="Z6329">
        <v>-3.9860560000000003E-2</v>
      </c>
      <c r="AA6329">
        <v>0.86639709999999903</v>
      </c>
      <c r="AB6329">
        <v>30</v>
      </c>
      <c r="AC6329">
        <v>6.4199999999999494E-2</v>
      </c>
      <c r="AD6329">
        <v>-0.107456999999999</v>
      </c>
      <c r="AE6329">
        <v>0.807670000000001</v>
      </c>
      <c r="AF6329">
        <v>-0.510234829758347</v>
      </c>
      <c r="AG6329">
        <v>-0.107456999999999</v>
      </c>
      <c r="AH6329">
        <v>0.61123990905960601</v>
      </c>
      <c r="AI6329">
        <v>97.686211544002802</v>
      </c>
      <c r="AJ6329">
        <v>129.85356868276099</v>
      </c>
      <c r="AK6329">
        <v>0.80343065337011199</v>
      </c>
      <c r="AL6329">
        <v>83.274075586620995</v>
      </c>
      <c r="AM6329">
        <v>108.26227567292599</v>
      </c>
      <c r="AN6329">
        <v>0.99999998753466401</v>
      </c>
    </row>
    <row r="6330" spans="1:40" x14ac:dyDescent="0.25">
      <c r="A6330" t="str">
        <f>"20190303162424964"</f>
        <v>20190303162424964</v>
      </c>
      <c r="B6330" t="str">
        <f>"1551601464950481"</f>
        <v>1551601464950481</v>
      </c>
      <c r="C6330" t="s">
        <v>40</v>
      </c>
      <c r="D6330">
        <v>5.8419319999999999</v>
      </c>
      <c r="E6330">
        <v>0.41206189999999998</v>
      </c>
      <c r="F6330" t="s">
        <v>42</v>
      </c>
      <c r="G6330">
        <v>-194.5164</v>
      </c>
      <c r="H6330">
        <v>1.0261979999999999</v>
      </c>
      <c r="I6330">
        <v>-53.514580000000002</v>
      </c>
      <c r="J6330">
        <v>-194.6362</v>
      </c>
      <c r="K6330">
        <v>1.131421</v>
      </c>
      <c r="L6330">
        <v>-54.37003</v>
      </c>
      <c r="M6330">
        <v>0.69338480000000002</v>
      </c>
      <c r="N6330">
        <v>-1.486176E-2</v>
      </c>
      <c r="O6330">
        <v>0.72041429999999995</v>
      </c>
      <c r="P6330">
        <v>0.43394480000000002</v>
      </c>
      <c r="Q6330">
        <v>0.1116554</v>
      </c>
      <c r="R6330">
        <v>0.89399390000000001</v>
      </c>
      <c r="S6330">
        <v>0.74641420000000003</v>
      </c>
      <c r="T6330">
        <v>-0.3218741</v>
      </c>
      <c r="U6330">
        <v>3.039215</v>
      </c>
      <c r="V6330">
        <v>-0.31052180000000001</v>
      </c>
      <c r="W6330">
        <v>0.11749320000000001</v>
      </c>
      <c r="X6330">
        <v>0.94327709999999998</v>
      </c>
      <c r="Y6330">
        <v>-0.5010675</v>
      </c>
      <c r="Z6330">
        <v>-4.1285299999999997E-2</v>
      </c>
      <c r="AA6330">
        <v>0.86442289999999899</v>
      </c>
      <c r="AB6330">
        <v>30</v>
      </c>
      <c r="AC6330">
        <v>0.11979999999999701</v>
      </c>
      <c r="AD6330">
        <v>-0.105223</v>
      </c>
      <c r="AE6330">
        <v>0.85545000000000404</v>
      </c>
      <c r="AF6330">
        <v>-0.499494478111422</v>
      </c>
      <c r="AG6330">
        <v>-0.105223</v>
      </c>
      <c r="AH6330">
        <v>0.68919631008025395</v>
      </c>
      <c r="AI6330">
        <v>97.047261554522706</v>
      </c>
      <c r="AJ6330">
        <v>125.932692005156</v>
      </c>
      <c r="AK6330">
        <v>0.857646877928813</v>
      </c>
      <c r="AL6330">
        <v>83.252550429388606</v>
      </c>
      <c r="AM6330">
        <v>108.22126970832799</v>
      </c>
      <c r="AN6330">
        <v>1.00000006385294</v>
      </c>
    </row>
    <row r="6331" spans="1:40" x14ac:dyDescent="0.25">
      <c r="A6331" t="str">
        <f>"20190303162424982"</f>
        <v>20190303162424982</v>
      </c>
      <c r="B6331" t="str">
        <f>"1551601464970977"</f>
        <v>1551601464970977</v>
      </c>
      <c r="C6331" t="s">
        <v>40</v>
      </c>
      <c r="D6331">
        <v>5.7949719999999996</v>
      </c>
      <c r="E6331">
        <v>0.41236230000000001</v>
      </c>
      <c r="F6331" t="s">
        <v>42</v>
      </c>
      <c r="G6331">
        <v>-194.38069999999999</v>
      </c>
      <c r="H6331">
        <v>1.016791</v>
      </c>
      <c r="I6331">
        <v>-53.301229999999997</v>
      </c>
      <c r="J6331">
        <v>-194.47219999999999</v>
      </c>
      <c r="K6331">
        <v>1.1314120000000001</v>
      </c>
      <c r="L6331">
        <v>-54.183619999999998</v>
      </c>
      <c r="M6331">
        <v>0.68504489999999996</v>
      </c>
      <c r="N6331">
        <v>-1.486029E-2</v>
      </c>
      <c r="O6331">
        <v>0.72834929999999998</v>
      </c>
      <c r="P6331">
        <v>0.42512519999999998</v>
      </c>
      <c r="Q6331">
        <v>0.1128562</v>
      </c>
      <c r="R6331">
        <v>0.89807130000000002</v>
      </c>
      <c r="S6331">
        <v>0.72720340000000006</v>
      </c>
      <c r="T6331">
        <v>-0.3264011</v>
      </c>
      <c r="U6331">
        <v>3.0435180000000002</v>
      </c>
      <c r="V6331">
        <v>-0.30886819999999998</v>
      </c>
      <c r="W6331">
        <v>0.11875040000000001</v>
      </c>
      <c r="X6331">
        <v>0.94366249999999996</v>
      </c>
      <c r="Y6331">
        <v>-0.49656349999999999</v>
      </c>
      <c r="Z6331">
        <v>-4.3254760000000003E-2</v>
      </c>
      <c r="AA6331">
        <v>0.86692199999999997</v>
      </c>
      <c r="AB6331">
        <v>30</v>
      </c>
      <c r="AC6331">
        <v>9.1499999999996307E-2</v>
      </c>
      <c r="AD6331">
        <v>-0.114621</v>
      </c>
      <c r="AE6331">
        <v>0.88238999999999301</v>
      </c>
      <c r="AF6331">
        <v>-0.52906002398446705</v>
      </c>
      <c r="AG6331">
        <v>-0.114621</v>
      </c>
      <c r="AH6331">
        <v>0.69386420753434896</v>
      </c>
      <c r="AI6331">
        <v>97.483667309607398</v>
      </c>
      <c r="AJ6331">
        <v>127.324923425509</v>
      </c>
      <c r="AK6331">
        <v>0.88005114687540398</v>
      </c>
      <c r="AL6331">
        <v>83.180010359777995</v>
      </c>
      <c r="AM6331">
        <v>108.123680995448</v>
      </c>
      <c r="AN6331">
        <v>1.0000000681888199</v>
      </c>
    </row>
    <row r="6332" spans="1:40" x14ac:dyDescent="0.25">
      <c r="A6332" t="str">
        <f>"20190303162424996"</f>
        <v>20190303162424996</v>
      </c>
      <c r="B6332" t="str">
        <f>"1551601464991473"</f>
        <v>1551601464991473</v>
      </c>
      <c r="C6332" t="s">
        <v>40</v>
      </c>
      <c r="D6332">
        <v>5.7917610000000002</v>
      </c>
      <c r="E6332">
        <v>0.4131107</v>
      </c>
      <c r="F6332" t="s">
        <v>42</v>
      </c>
      <c r="G6332">
        <v>-194.28309999999999</v>
      </c>
      <c r="H6332">
        <v>1.0429790000000001</v>
      </c>
      <c r="I6332">
        <v>-53.360069999999901</v>
      </c>
      <c r="J6332">
        <v>-194.35730000000001</v>
      </c>
      <c r="K6332">
        <v>1.1314059999999999</v>
      </c>
      <c r="L6332">
        <v>-54.04965</v>
      </c>
      <c r="M6332">
        <v>0.67905599999999999</v>
      </c>
      <c r="N6332">
        <v>-1.4858929999999999E-2</v>
      </c>
      <c r="O6332">
        <v>0.73393599999999903</v>
      </c>
      <c r="P6332">
        <v>0.4187612</v>
      </c>
      <c r="Q6332">
        <v>0.11314829999999999</v>
      </c>
      <c r="R6332">
        <v>0.90101980000000004</v>
      </c>
      <c r="S6332">
        <v>0.69993590000000006</v>
      </c>
      <c r="T6332">
        <v>-0.32751809999999998</v>
      </c>
      <c r="U6332">
        <v>3.0502929999999999</v>
      </c>
      <c r="V6332">
        <v>-0.30779380000000001</v>
      </c>
      <c r="W6332">
        <v>0.1190804</v>
      </c>
      <c r="X6332">
        <v>0.94397189999999997</v>
      </c>
      <c r="Y6332">
        <v>-0.49724550000000001</v>
      </c>
      <c r="Z6332">
        <v>-4.4096049999999998E-2</v>
      </c>
      <c r="AA6332">
        <v>0.86648860000000005</v>
      </c>
      <c r="AB6332">
        <v>30</v>
      </c>
      <c r="AC6332">
        <v>7.4200000000018904E-2</v>
      </c>
      <c r="AD6332">
        <v>-8.8426999999999797E-2</v>
      </c>
      <c r="AE6332">
        <v>0.68958000000000597</v>
      </c>
      <c r="AF6332">
        <v>-0.40723133726169602</v>
      </c>
      <c r="AG6332">
        <v>-8.8426999999999797E-2</v>
      </c>
      <c r="AH6332">
        <v>0.54765263425802502</v>
      </c>
      <c r="AI6332">
        <v>97.382665905700406</v>
      </c>
      <c r="AJ6332">
        <v>126.634279294481</v>
      </c>
      <c r="AK6332">
        <v>0.68817156595336204</v>
      </c>
      <c r="AL6332">
        <v>83.160967553582395</v>
      </c>
      <c r="AM6332">
        <v>108.05920328486999</v>
      </c>
      <c r="AN6332">
        <v>1.0000000564861</v>
      </c>
    </row>
    <row r="6333" spans="1:40" x14ac:dyDescent="0.25">
      <c r="A6333" t="str">
        <f>"20190303162425010"</f>
        <v>20190303162425010</v>
      </c>
      <c r="B6333" t="str">
        <f>"1551601465001233"</f>
        <v>1551601465001233</v>
      </c>
      <c r="C6333" t="s">
        <v>40</v>
      </c>
      <c r="D6333">
        <v>5.7843049999999998</v>
      </c>
      <c r="E6333">
        <v>0.4133676</v>
      </c>
      <c r="F6333" t="s">
        <v>42</v>
      </c>
      <c r="G6333">
        <v>-194.15389999999999</v>
      </c>
      <c r="H6333">
        <v>1.033477</v>
      </c>
      <c r="I6333">
        <v>-53.14188</v>
      </c>
      <c r="J6333">
        <v>-194.23869999999999</v>
      </c>
      <c r="K6333">
        <v>1.1314</v>
      </c>
      <c r="L6333">
        <v>-53.909610000000001</v>
      </c>
      <c r="M6333">
        <v>0.67278369999999998</v>
      </c>
      <c r="N6333">
        <v>-1.4857469999999999E-2</v>
      </c>
      <c r="O6333">
        <v>0.73969010000000002</v>
      </c>
      <c r="P6333">
        <v>0.4118252</v>
      </c>
      <c r="Q6333">
        <v>0.1135442</v>
      </c>
      <c r="R6333">
        <v>0.90416129999999995</v>
      </c>
      <c r="S6333">
        <v>0.68370059999999999</v>
      </c>
      <c r="T6333">
        <v>-0.32936179999999998</v>
      </c>
      <c r="U6333">
        <v>3.0531619999999999</v>
      </c>
      <c r="V6333">
        <v>-0.30698510000000001</v>
      </c>
      <c r="W6333">
        <v>0.1195055</v>
      </c>
      <c r="X6333">
        <v>0.94418139999999995</v>
      </c>
      <c r="Y6333">
        <v>-0.49443759999999998</v>
      </c>
      <c r="Z6333">
        <v>-4.5290129999999998E-2</v>
      </c>
      <c r="AA6333">
        <v>0.86803240000000004</v>
      </c>
      <c r="AB6333">
        <v>30</v>
      </c>
      <c r="AC6333">
        <v>8.4800000000001305E-2</v>
      </c>
      <c r="AD6333">
        <v>-9.7922999999999899E-2</v>
      </c>
      <c r="AE6333">
        <v>0.76772999999999303</v>
      </c>
      <c r="AF6333">
        <v>-0.44666157336127499</v>
      </c>
      <c r="AG6333">
        <v>-9.7922999999999899E-2</v>
      </c>
      <c r="AH6333">
        <v>0.61511677504512197</v>
      </c>
      <c r="AI6333">
        <v>97.340155653129699</v>
      </c>
      <c r="AJ6333">
        <v>125.984943449112</v>
      </c>
      <c r="AK6333">
        <v>0.76646208124634696</v>
      </c>
      <c r="AL6333">
        <v>83.136435317962196</v>
      </c>
      <c r="AM6333">
        <v>108.011084892745</v>
      </c>
      <c r="AN6333">
        <v>0.99999996612910902</v>
      </c>
    </row>
    <row r="6334" spans="1:40" x14ac:dyDescent="0.25">
      <c r="A6334" t="str">
        <f>"20190303162425028"</f>
        <v>20190303162425028</v>
      </c>
      <c r="B6334" t="str">
        <f>"1551601465020753"</f>
        <v>1551601465020753</v>
      </c>
      <c r="C6334" t="s">
        <v>40</v>
      </c>
      <c r="D6334">
        <v>5.7915970000000003</v>
      </c>
      <c r="E6334">
        <v>0.4140083</v>
      </c>
      <c r="F6334" t="s">
        <v>42</v>
      </c>
      <c r="G6334">
        <v>-194.02529999999999</v>
      </c>
      <c r="H6334">
        <v>1.025253</v>
      </c>
      <c r="I6334">
        <v>-52.924059999999997</v>
      </c>
      <c r="J6334">
        <v>-194.084</v>
      </c>
      <c r="K6334">
        <v>1.131397</v>
      </c>
      <c r="L6334">
        <v>-53.72336</v>
      </c>
      <c r="M6334">
        <v>0.66442909999999999</v>
      </c>
      <c r="N6334">
        <v>-1.48554E-2</v>
      </c>
      <c r="O6334">
        <v>0.74720369999999903</v>
      </c>
      <c r="P6334">
        <v>0.40278239999999998</v>
      </c>
      <c r="Q6334">
        <v>0.1147716</v>
      </c>
      <c r="R6334">
        <v>0.90807150000000003</v>
      </c>
      <c r="S6334">
        <v>0.66175839999999997</v>
      </c>
      <c r="T6334">
        <v>-0.32933449999999997</v>
      </c>
      <c r="U6334">
        <v>3.057922</v>
      </c>
      <c r="V6334">
        <v>-0.30572100000000002</v>
      </c>
      <c r="W6334">
        <v>0.120777</v>
      </c>
      <c r="X6334">
        <v>0.94442979999999999</v>
      </c>
      <c r="Y6334">
        <v>-0.49092330000000001</v>
      </c>
      <c r="Z6334">
        <v>-4.6399280000000001E-2</v>
      </c>
      <c r="AA6334">
        <v>0.86996629999999997</v>
      </c>
      <c r="AB6334">
        <v>30</v>
      </c>
      <c r="AC6334">
        <v>5.8700000000015899E-2</v>
      </c>
      <c r="AD6334">
        <v>-0.106144</v>
      </c>
      <c r="AE6334">
        <v>0.79930000000000201</v>
      </c>
      <c r="AF6334">
        <v>-0.47887155477235299</v>
      </c>
      <c r="AG6334">
        <v>-0.106144</v>
      </c>
      <c r="AH6334">
        <v>0.62534342787853603</v>
      </c>
      <c r="AI6334">
        <v>97.6750860921765</v>
      </c>
      <c r="AJ6334">
        <v>127.443942747157</v>
      </c>
      <c r="AK6334">
        <v>0.794757143721884</v>
      </c>
      <c r="AL6334">
        <v>83.063052646274102</v>
      </c>
      <c r="AM6334">
        <v>107.937265454521</v>
      </c>
      <c r="AN6334">
        <v>1.00000003034901</v>
      </c>
    </row>
    <row r="6335" spans="1:40" x14ac:dyDescent="0.25">
      <c r="A6335" t="str">
        <f>"20190303162425061"</f>
        <v>20190303162425061</v>
      </c>
      <c r="B6335" t="str">
        <f>"1551601465051009"</f>
        <v>1551601465051009</v>
      </c>
      <c r="C6335" t="s">
        <v>40</v>
      </c>
      <c r="D6335">
        <v>5.7636839999999996</v>
      </c>
      <c r="E6335">
        <v>0.41475070000000003</v>
      </c>
      <c r="F6335" t="s">
        <v>42</v>
      </c>
      <c r="G6335">
        <v>-193.87559999999999</v>
      </c>
      <c r="H6335">
        <v>1.0239819999999999</v>
      </c>
      <c r="I6335">
        <v>-52.718609999999998</v>
      </c>
      <c r="J6335">
        <v>-193.81460000000001</v>
      </c>
      <c r="K6335">
        <v>1.131381</v>
      </c>
      <c r="L6335">
        <v>-53.388849999999998</v>
      </c>
      <c r="M6335">
        <v>0.64940259999999905</v>
      </c>
      <c r="N6335">
        <v>-1.4851420000000001E-2</v>
      </c>
      <c r="O6335">
        <v>0.76029969999999902</v>
      </c>
      <c r="P6335">
        <v>0.38535619999999998</v>
      </c>
      <c r="Q6335">
        <v>0.115493</v>
      </c>
      <c r="R6335">
        <v>0.91551179999999999</v>
      </c>
      <c r="S6335">
        <v>0.6353607</v>
      </c>
      <c r="T6335">
        <v>-0.32748460000000001</v>
      </c>
      <c r="U6335">
        <v>3.0632630000000001</v>
      </c>
      <c r="V6335">
        <v>-0.30489450000000001</v>
      </c>
      <c r="W6335">
        <v>0.1215358</v>
      </c>
      <c r="X6335">
        <v>0.94459959999999998</v>
      </c>
      <c r="Y6335">
        <v>-0.48107440000000001</v>
      </c>
      <c r="Z6335">
        <v>-4.8175429999999998E-2</v>
      </c>
      <c r="AA6335">
        <v>0.87535509999999905</v>
      </c>
      <c r="AB6335">
        <v>30</v>
      </c>
      <c r="AC6335">
        <v>-6.0999999999978599E-2</v>
      </c>
      <c r="AD6335">
        <v>-0.10739899999999999</v>
      </c>
      <c r="AE6335">
        <v>0.67023999999999895</v>
      </c>
      <c r="AF6335">
        <v>-0.46972509701347698</v>
      </c>
      <c r="AG6335">
        <v>-0.10739899999999999</v>
      </c>
      <c r="AH6335">
        <v>0.45834933491010699</v>
      </c>
      <c r="AI6335">
        <v>99.293728795576001</v>
      </c>
      <c r="AJ6335">
        <v>135.70226104259899</v>
      </c>
      <c r="AK6335">
        <v>0.66502655945297195</v>
      </c>
      <c r="AL6335">
        <v>83.019253789089802</v>
      </c>
      <c r="AM6335">
        <v>107.888857120937</v>
      </c>
      <c r="AN6335">
        <v>1.0000000055660201</v>
      </c>
    </row>
    <row r="6336" spans="1:40" x14ac:dyDescent="0.25">
      <c r="A6336" t="str">
        <f>"20190303162425085"</f>
        <v>20190303162425085</v>
      </c>
      <c r="B6336" t="str">
        <f>"1551601465070529"</f>
        <v>1551601465070529</v>
      </c>
      <c r="C6336" t="s">
        <v>40</v>
      </c>
      <c r="D6336">
        <v>5.8354799999999996</v>
      </c>
      <c r="E6336">
        <v>0.42129070000000002</v>
      </c>
      <c r="F6336" t="s">
        <v>42</v>
      </c>
      <c r="G6336">
        <v>-193.6557</v>
      </c>
      <c r="H6336">
        <v>1.0419210000000001</v>
      </c>
      <c r="I6336">
        <v>-52.5496699999999</v>
      </c>
      <c r="J6336">
        <v>-193.63499999999999</v>
      </c>
      <c r="K6336">
        <v>1.131362</v>
      </c>
      <c r="L6336">
        <v>-53.157559999999997</v>
      </c>
      <c r="M6336">
        <v>0.63900509999999999</v>
      </c>
      <c r="N6336">
        <v>-1.484839E-2</v>
      </c>
      <c r="O6336">
        <v>0.76905919999999905</v>
      </c>
      <c r="P6336">
        <v>0.37318170000000001</v>
      </c>
      <c r="Q6336">
        <v>0.116285</v>
      </c>
      <c r="R6336">
        <v>0.92044190000000004</v>
      </c>
      <c r="S6336">
        <v>0.58149719999999905</v>
      </c>
      <c r="T6336">
        <v>-0.32761430000000002</v>
      </c>
      <c r="U6336">
        <v>3.0734249999999999</v>
      </c>
      <c r="V6336">
        <v>-0.3045292</v>
      </c>
      <c r="W6336">
        <v>0.1223474</v>
      </c>
      <c r="X6336">
        <v>0.94461269999999997</v>
      </c>
      <c r="Y6336">
        <v>-0.48449449999999999</v>
      </c>
      <c r="Z6336">
        <v>-4.915369E-2</v>
      </c>
      <c r="AA6336">
        <v>0.87341229999999903</v>
      </c>
      <c r="AB6336">
        <v>30</v>
      </c>
      <c r="AC6336">
        <v>-2.0700000000004999E-2</v>
      </c>
      <c r="AD6336">
        <v>-8.9441000000000104E-2</v>
      </c>
      <c r="AE6336">
        <v>0.60789000000000404</v>
      </c>
      <c r="AF6336">
        <v>-0.39584937893334299</v>
      </c>
      <c r="AG6336">
        <v>-8.9441000000000104E-2</v>
      </c>
      <c r="AH6336">
        <v>0.44471001332194099</v>
      </c>
      <c r="AI6336">
        <v>98.543538468932695</v>
      </c>
      <c r="AJ6336">
        <v>131.67321380527201</v>
      </c>
      <c r="AK6336">
        <v>0.60204934949862199</v>
      </c>
      <c r="AL6336">
        <v>82.972403116401694</v>
      </c>
      <c r="AM6336">
        <v>107.86855578630799</v>
      </c>
      <c r="AN6336">
        <v>1.0000000364703401</v>
      </c>
    </row>
    <row r="6337" spans="1:40" x14ac:dyDescent="0.25">
      <c r="A6337" t="str">
        <f>"20190303162425108"</f>
        <v>20190303162425108</v>
      </c>
      <c r="B6337" t="str">
        <f>"1551601465100785"</f>
        <v>1551601465100785</v>
      </c>
      <c r="C6337" t="s">
        <v>40</v>
      </c>
      <c r="D6337">
        <v>5.8157079999999999</v>
      </c>
      <c r="E6337">
        <v>0.42134929999999898</v>
      </c>
      <c r="F6337" t="s">
        <v>42</v>
      </c>
      <c r="G6337">
        <v>-193.4307</v>
      </c>
      <c r="H6337">
        <v>1.010397</v>
      </c>
      <c r="I6337">
        <v>-52.099029999999999</v>
      </c>
      <c r="J6337">
        <v>-193.4573</v>
      </c>
      <c r="K6337">
        <v>1.1313500000000001</v>
      </c>
      <c r="L6337">
        <v>-52.921880000000002</v>
      </c>
      <c r="M6337">
        <v>0.62840280000000004</v>
      </c>
      <c r="N6337">
        <v>-1.484511E-2</v>
      </c>
      <c r="O6337">
        <v>0.77774639999999995</v>
      </c>
      <c r="P6337">
        <v>0.36144349999999997</v>
      </c>
      <c r="Q6337">
        <v>0.116229</v>
      </c>
      <c r="R6337">
        <v>0.92512130000000004</v>
      </c>
      <c r="S6337">
        <v>0.59091190000000005</v>
      </c>
      <c r="T6337">
        <v>-0.3501071</v>
      </c>
      <c r="U6337">
        <v>3.0639340000000002</v>
      </c>
      <c r="V6337">
        <v>-0.30359239999999998</v>
      </c>
      <c r="W6337">
        <v>0.12232949999999999</v>
      </c>
      <c r="X6337">
        <v>0.94491650000000005</v>
      </c>
      <c r="Y6337">
        <v>-0.46940700000000002</v>
      </c>
      <c r="Z6337">
        <v>-5.5518129999999999E-2</v>
      </c>
      <c r="AA6337">
        <v>0.88123479999999998</v>
      </c>
      <c r="AB6337">
        <v>30</v>
      </c>
      <c r="AC6337">
        <v>2.66000000000019E-2</v>
      </c>
      <c r="AD6337">
        <v>-0.120953</v>
      </c>
      <c r="AE6337">
        <v>0.82285000000000197</v>
      </c>
      <c r="AF6337">
        <v>-0.48595882582341299</v>
      </c>
      <c r="AG6337">
        <v>-0.120953</v>
      </c>
      <c r="AH6337">
        <v>0.64288040221168097</v>
      </c>
      <c r="AI6337">
        <v>98.535646570091103</v>
      </c>
      <c r="AJ6337">
        <v>127.085948149488</v>
      </c>
      <c r="AK6337">
        <v>0.814911541305266</v>
      </c>
      <c r="AL6337">
        <v>82.973436370324194</v>
      </c>
      <c r="AM6337">
        <v>107.811702306697</v>
      </c>
      <c r="AN6337">
        <v>1.0000000219401199</v>
      </c>
    </row>
    <row r="6338" spans="1:40" x14ac:dyDescent="0.25">
      <c r="A6338" t="str">
        <f>"20190303162425130"</f>
        <v>20190303162425130</v>
      </c>
      <c r="B6338" t="str">
        <f>"1551601465121281"</f>
        <v>1551601465121281</v>
      </c>
      <c r="C6338" t="s">
        <v>40</v>
      </c>
      <c r="D6338">
        <v>6.0275540000000003</v>
      </c>
      <c r="E6338">
        <v>0.42233100000000001</v>
      </c>
      <c r="F6338" t="s">
        <v>42</v>
      </c>
      <c r="G6338">
        <v>-193.2731</v>
      </c>
      <c r="H6338">
        <v>1.0155479999999999</v>
      </c>
      <c r="I6338">
        <v>-51.896479999999997</v>
      </c>
      <c r="J6338">
        <v>-193.286</v>
      </c>
      <c r="K6338">
        <v>1.1313299999999999</v>
      </c>
      <c r="L6338">
        <v>-52.68835</v>
      </c>
      <c r="M6338">
        <v>0.61788149999999997</v>
      </c>
      <c r="N6338">
        <v>-1.484182E-2</v>
      </c>
      <c r="O6338">
        <v>0.78613109999999997</v>
      </c>
      <c r="P6338">
        <v>0.34981879999999999</v>
      </c>
      <c r="Q6338">
        <v>0.1164704</v>
      </c>
      <c r="R6338">
        <v>0.92954899999999996</v>
      </c>
      <c r="S6338">
        <v>0.55195620000000001</v>
      </c>
      <c r="T6338">
        <v>-0.3468155</v>
      </c>
      <c r="U6338">
        <v>3.0707399999999998</v>
      </c>
      <c r="V6338">
        <v>-0.30270419999999998</v>
      </c>
      <c r="W6338">
        <v>0.1226072</v>
      </c>
      <c r="X6338">
        <v>0.94516540000000004</v>
      </c>
      <c r="Y6338">
        <v>-0.4687153</v>
      </c>
      <c r="Z6338">
        <v>-5.6046850000000002E-2</v>
      </c>
      <c r="AA6338">
        <v>0.88156939999999995</v>
      </c>
      <c r="AB6338">
        <v>30</v>
      </c>
      <c r="AC6338">
        <v>1.28999999999734E-2</v>
      </c>
      <c r="AD6338">
        <v>-0.115782</v>
      </c>
      <c r="AE6338">
        <v>0.79187000000000296</v>
      </c>
      <c r="AF6338">
        <v>-0.46916618826897</v>
      </c>
      <c r="AG6338">
        <v>-0.115782</v>
      </c>
      <c r="AH6338">
        <v>0.61735915669422903</v>
      </c>
      <c r="AI6338">
        <v>98.492577000690105</v>
      </c>
      <c r="AJ6338">
        <v>127.233259061331</v>
      </c>
      <c r="AK6338">
        <v>0.78399917863033797</v>
      </c>
      <c r="AL6338">
        <v>82.957404467390106</v>
      </c>
      <c r="AM6338">
        <v>107.75848774796199</v>
      </c>
      <c r="AN6338">
        <v>0.99999999577331999</v>
      </c>
    </row>
    <row r="6339" spans="1:40" x14ac:dyDescent="0.25">
      <c r="A6339" t="str">
        <f>"20190303162425152"</f>
        <v>20190303162425152</v>
      </c>
      <c r="B6339" t="str">
        <f>"1551601465140801"</f>
        <v>1551601465140801</v>
      </c>
      <c r="C6339" t="s">
        <v>40</v>
      </c>
      <c r="D6339">
        <v>5.8238589999999997</v>
      </c>
      <c r="E6339">
        <v>0.42265720000000001</v>
      </c>
      <c r="F6339" t="s">
        <v>42</v>
      </c>
      <c r="G6339">
        <v>-193.1174</v>
      </c>
      <c r="H6339">
        <v>1.020642</v>
      </c>
      <c r="I6339">
        <v>-51.692390000000003</v>
      </c>
      <c r="J6339">
        <v>-193.1181</v>
      </c>
      <c r="K6339">
        <v>1.131318</v>
      </c>
      <c r="L6339">
        <v>-52.452730000000003</v>
      </c>
      <c r="M6339">
        <v>0.60725620000000002</v>
      </c>
      <c r="N6339">
        <v>-1.483843E-2</v>
      </c>
      <c r="O6339">
        <v>0.79436759999999995</v>
      </c>
      <c r="P6339">
        <v>0.33820040000000001</v>
      </c>
      <c r="Q6339">
        <v>0.1164337</v>
      </c>
      <c r="R6339">
        <v>0.9338436</v>
      </c>
      <c r="S6339">
        <v>0.52033999999999903</v>
      </c>
      <c r="T6339">
        <v>-0.3416611</v>
      </c>
      <c r="U6339">
        <v>3.0743710000000002</v>
      </c>
      <c r="V6339">
        <v>-0.30177769999999998</v>
      </c>
      <c r="W6339">
        <v>0.1226091</v>
      </c>
      <c r="X6339">
        <v>0.94546140000000001</v>
      </c>
      <c r="Y6339">
        <v>-0.46584219999999998</v>
      </c>
      <c r="Z6339">
        <v>-5.6291170000000001E-2</v>
      </c>
      <c r="AA6339">
        <v>0.88307549999999901</v>
      </c>
      <c r="AB6339">
        <v>30</v>
      </c>
      <c r="AC6339">
        <v>6.9999999999481501E-4</v>
      </c>
      <c r="AD6339">
        <v>-0.110676</v>
      </c>
      <c r="AE6339">
        <v>0.76033999999999902</v>
      </c>
      <c r="AF6339">
        <v>-0.45164636084773702</v>
      </c>
      <c r="AG6339">
        <v>-0.110676</v>
      </c>
      <c r="AH6339">
        <v>0.59193901421339401</v>
      </c>
      <c r="AI6339">
        <v>98.454839419521093</v>
      </c>
      <c r="AJ6339">
        <v>127.34344148943499</v>
      </c>
      <c r="AK6339">
        <v>0.75274524826858202</v>
      </c>
      <c r="AL6339">
        <v>82.957294915717299</v>
      </c>
      <c r="AM6339">
        <v>107.702336230068</v>
      </c>
      <c r="AN6339">
        <v>1.0000000152550199</v>
      </c>
    </row>
    <row r="6340" spans="1:40" x14ac:dyDescent="0.25">
      <c r="A6340" t="str">
        <f>"20190303162425173"</f>
        <v>20190303162425173</v>
      </c>
      <c r="B6340" t="str">
        <f>"1551601465161297"</f>
        <v>1551601465161297</v>
      </c>
      <c r="C6340" t="s">
        <v>40</v>
      </c>
      <c r="D6340">
        <v>5.81562</v>
      </c>
      <c r="E6340">
        <v>0.42340640000000002</v>
      </c>
      <c r="F6340" t="s">
        <v>42</v>
      </c>
      <c r="G6340">
        <v>-192.9658</v>
      </c>
      <c r="H6340">
        <v>1.0227029999999999</v>
      </c>
      <c r="I6340">
        <v>-51.485720000000001</v>
      </c>
      <c r="J6340">
        <v>-192.9639</v>
      </c>
      <c r="K6340">
        <v>1.131302</v>
      </c>
      <c r="L6340">
        <v>-52.230620000000002</v>
      </c>
      <c r="M6340">
        <v>0.59722580000000003</v>
      </c>
      <c r="N6340">
        <v>-1.483519E-2</v>
      </c>
      <c r="O6340">
        <v>0.80193599999999998</v>
      </c>
      <c r="P6340">
        <v>0.3274089</v>
      </c>
      <c r="Q6340">
        <v>0.11584800000000001</v>
      </c>
      <c r="R6340">
        <v>0.93775399999999998</v>
      </c>
      <c r="S6340">
        <v>0.48478700000000002</v>
      </c>
      <c r="T6340">
        <v>-0.3459469</v>
      </c>
      <c r="U6340">
        <v>3.0801090000000002</v>
      </c>
      <c r="V6340">
        <v>-0.30082059999999999</v>
      </c>
      <c r="W6340">
        <v>0.1220625</v>
      </c>
      <c r="X6340">
        <v>0.94583700000000004</v>
      </c>
      <c r="Y6340">
        <v>-0.4649374</v>
      </c>
      <c r="Z6340">
        <v>-5.8241939999999999E-2</v>
      </c>
      <c r="AA6340">
        <v>0.88342579999999904</v>
      </c>
      <c r="AB6340">
        <v>30</v>
      </c>
      <c r="AC6340">
        <v>-1.90000000000623E-3</v>
      </c>
      <c r="AD6340">
        <v>-0.108598999999999</v>
      </c>
      <c r="AE6340">
        <v>0.74490000000000101</v>
      </c>
      <c r="AF6340">
        <v>-0.43715473976242702</v>
      </c>
      <c r="AG6340">
        <v>-0.108598999999999</v>
      </c>
      <c r="AH6340">
        <v>0.58388279826863099</v>
      </c>
      <c r="AI6340">
        <v>98.468459307241403</v>
      </c>
      <c r="AJ6340">
        <v>126.82230399035799</v>
      </c>
      <c r="AK6340">
        <v>0.73743957814302497</v>
      </c>
      <c r="AL6340">
        <v>82.9888494079743</v>
      </c>
      <c r="AM6340">
        <v>107.64310844846</v>
      </c>
      <c r="AN6340">
        <v>0.99999995892980398</v>
      </c>
    </row>
    <row r="6341" spans="1:40" x14ac:dyDescent="0.25">
      <c r="A6341" t="str">
        <f>"20190303162425196"</f>
        <v>20190303162425196</v>
      </c>
      <c r="B6341" t="str">
        <f>"1551601465191553"</f>
        <v>1551601465191553</v>
      </c>
      <c r="C6341" t="s">
        <v>40</v>
      </c>
      <c r="D6341">
        <v>5.89018</v>
      </c>
      <c r="E6341">
        <v>0.42494779999999999</v>
      </c>
      <c r="F6341" t="s">
        <v>42</v>
      </c>
      <c r="G6341">
        <v>-192.8228</v>
      </c>
      <c r="H6341">
        <v>1.0240849999999999</v>
      </c>
      <c r="I6341">
        <v>-51.274540000000002</v>
      </c>
      <c r="J6341">
        <v>-192.79409999999999</v>
      </c>
      <c r="K6341">
        <v>1.131283</v>
      </c>
      <c r="L6341">
        <v>-51.978700000000003</v>
      </c>
      <c r="M6341">
        <v>0.58583969999999996</v>
      </c>
      <c r="N6341">
        <v>-1.483138E-2</v>
      </c>
      <c r="O6341">
        <v>0.81029119999999999</v>
      </c>
      <c r="P6341">
        <v>0.3151639</v>
      </c>
      <c r="Q6341">
        <v>0.1157019</v>
      </c>
      <c r="R6341">
        <v>0.94195799999999996</v>
      </c>
      <c r="S6341">
        <v>0.45489499999999999</v>
      </c>
      <c r="T6341">
        <v>-0.34571170000000001</v>
      </c>
      <c r="U6341">
        <v>3.083008</v>
      </c>
      <c r="V6341">
        <v>-0.29978339999999998</v>
      </c>
      <c r="W6341">
        <v>0.121958399999999</v>
      </c>
      <c r="X6341">
        <v>0.94617969999999896</v>
      </c>
      <c r="Y6341">
        <v>-0.46095390000000003</v>
      </c>
      <c r="Z6341">
        <v>-5.9556900000000003E-2</v>
      </c>
      <c r="AA6341">
        <v>0.88542339999999997</v>
      </c>
      <c r="AB6341">
        <v>29</v>
      </c>
      <c r="AC6341">
        <v>-2.87000000000148E-2</v>
      </c>
      <c r="AD6341">
        <v>-0.107197999999999</v>
      </c>
      <c r="AE6341">
        <v>0.70416000000000101</v>
      </c>
      <c r="AF6341">
        <v>-0.42597240181530099</v>
      </c>
      <c r="AG6341">
        <v>-0.107197999999999</v>
      </c>
      <c r="AH6341">
        <v>0.54129789141564</v>
      </c>
      <c r="AI6341">
        <v>98.845887723810904</v>
      </c>
      <c r="AJ6341">
        <v>128.20084743485901</v>
      </c>
      <c r="AK6341">
        <v>0.69709920783437596</v>
      </c>
      <c r="AL6341">
        <v>82.9948589548016</v>
      </c>
      <c r="AM6341">
        <v>107.58005465878701</v>
      </c>
      <c r="AN6341">
        <v>0.99999998146910396</v>
      </c>
    </row>
    <row r="6342" spans="1:40" x14ac:dyDescent="0.25">
      <c r="A6342" t="str">
        <f>"20190303162425218"</f>
        <v>20190303162425218</v>
      </c>
      <c r="B6342" t="str">
        <f>"1551601465211074"</f>
        <v>1551601465211074</v>
      </c>
      <c r="C6342" t="s">
        <v>40</v>
      </c>
      <c r="D6342">
        <v>5.7714699999999999</v>
      </c>
      <c r="E6342">
        <v>0.42570590000000003</v>
      </c>
      <c r="F6342" t="s">
        <v>42</v>
      </c>
      <c r="G6342">
        <v>-192.66839999999999</v>
      </c>
      <c r="H6342">
        <v>1.0295829999999999</v>
      </c>
      <c r="I6342">
        <v>-51.066760000000002</v>
      </c>
      <c r="J6342">
        <v>-192.63650000000001</v>
      </c>
      <c r="K6342">
        <v>1.1312719999999901</v>
      </c>
      <c r="L6342">
        <v>-51.737819999999999</v>
      </c>
      <c r="M6342">
        <v>0.57494019999999901</v>
      </c>
      <c r="N6342">
        <v>-1.482763E-2</v>
      </c>
      <c r="O6342">
        <v>0.81806109999999999</v>
      </c>
      <c r="P6342">
        <v>0.30405959999999899</v>
      </c>
      <c r="Q6342">
        <v>0.11528869999999999</v>
      </c>
      <c r="R6342">
        <v>0.94565120000000003</v>
      </c>
      <c r="S6342">
        <v>0.42536930000000001</v>
      </c>
      <c r="T6342">
        <v>-0.34401290000000001</v>
      </c>
      <c r="U6342">
        <v>3.084778</v>
      </c>
      <c r="V6342">
        <v>-0.29825940000000001</v>
      </c>
      <c r="W6342">
        <v>0.121602</v>
      </c>
      <c r="X6342">
        <v>0.94670710000000002</v>
      </c>
      <c r="Y6342">
        <v>-0.45747399999999999</v>
      </c>
      <c r="Z6342">
        <v>-6.047578E-2</v>
      </c>
      <c r="AA6342">
        <v>0.88716419999999996</v>
      </c>
      <c r="AB6342">
        <v>29</v>
      </c>
      <c r="AC6342">
        <v>-3.1899999999978897E-2</v>
      </c>
      <c r="AD6342">
        <v>-0.101688999999999</v>
      </c>
      <c r="AE6342">
        <v>0.67106000000000399</v>
      </c>
      <c r="AF6342">
        <v>-0.40273374500650899</v>
      </c>
      <c r="AG6342">
        <v>-0.101688999999999</v>
      </c>
      <c r="AH6342">
        <v>0.51879957365636897</v>
      </c>
      <c r="AI6342">
        <v>98.801325442995505</v>
      </c>
      <c r="AJ6342">
        <v>127.821475467723</v>
      </c>
      <c r="AK6342">
        <v>0.66459620801957497</v>
      </c>
      <c r="AL6342">
        <v>83.0154325996305</v>
      </c>
      <c r="AM6342">
        <v>107.486996485733</v>
      </c>
      <c r="AN6342">
        <v>1.00000002464138</v>
      </c>
    </row>
    <row r="6343" spans="1:40" x14ac:dyDescent="0.25">
      <c r="A6343" t="str">
        <f>"20190303162425240"</f>
        <v>20190303162425240</v>
      </c>
      <c r="B6343" t="str">
        <f>"1551601465231569"</f>
        <v>1551601465231569</v>
      </c>
      <c r="C6343" t="s">
        <v>40</v>
      </c>
      <c r="D6343">
        <v>5.9810809999999996</v>
      </c>
      <c r="E6343">
        <v>0.42656480000000002</v>
      </c>
      <c r="F6343" t="s">
        <v>42</v>
      </c>
      <c r="G6343">
        <v>-192.51920000000001</v>
      </c>
      <c r="H6343">
        <v>1.0299879999999999</v>
      </c>
      <c r="I6343">
        <v>-50.818959999999997</v>
      </c>
      <c r="J6343">
        <v>-192.48390000000001</v>
      </c>
      <c r="K6343">
        <v>1.1312530000000001</v>
      </c>
      <c r="L6343">
        <v>-51.497920000000001</v>
      </c>
      <c r="M6343">
        <v>0.56407130000000005</v>
      </c>
      <c r="N6343">
        <v>-1.482398E-2</v>
      </c>
      <c r="O6343">
        <v>0.82559309999999997</v>
      </c>
      <c r="P6343">
        <v>0.29305379999999998</v>
      </c>
      <c r="Q6343">
        <v>0.1152237</v>
      </c>
      <c r="R6343">
        <v>0.94912750000000001</v>
      </c>
      <c r="S6343">
        <v>0.39367679999999999</v>
      </c>
      <c r="T6343">
        <v>-0.34029320000000002</v>
      </c>
      <c r="U6343">
        <v>3.0873110000000001</v>
      </c>
      <c r="V6343">
        <v>-0.29673169999999999</v>
      </c>
      <c r="W6343">
        <v>0.12159349999999999</v>
      </c>
      <c r="X6343">
        <v>0.94718809999999998</v>
      </c>
      <c r="Y6343">
        <v>-0.45478170000000001</v>
      </c>
      <c r="Z6343">
        <v>-6.0861180000000001E-2</v>
      </c>
      <c r="AA6343">
        <v>0.88852099999999901</v>
      </c>
      <c r="AB6343">
        <v>29</v>
      </c>
      <c r="AC6343">
        <v>-3.53000000000065E-2</v>
      </c>
      <c r="AD6343">
        <v>-0.10126499999999999</v>
      </c>
      <c r="AE6343">
        <v>0.67896000000000301</v>
      </c>
      <c r="AF6343">
        <v>-0.40322502770595697</v>
      </c>
      <c r="AG6343">
        <v>-0.10126499999999999</v>
      </c>
      <c r="AH6343">
        <v>0.52895746340633898</v>
      </c>
      <c r="AI6343">
        <v>98.656825540648597</v>
      </c>
      <c r="AJ6343">
        <v>127.31832521398</v>
      </c>
      <c r="AK6343">
        <v>0.67278601448509501</v>
      </c>
      <c r="AL6343">
        <v>83.015923003835297</v>
      </c>
      <c r="AM6343">
        <v>107.394543632875</v>
      </c>
      <c r="AN6343">
        <v>0.99999998890437403</v>
      </c>
    </row>
    <row r="6344" spans="1:40" x14ac:dyDescent="0.25">
      <c r="A6344" t="str">
        <f>"20190303162425262"</f>
        <v>20190303162425262</v>
      </c>
      <c r="B6344" t="str">
        <f>"1551601465251089"</f>
        <v>1551601465251089</v>
      </c>
      <c r="C6344" t="s">
        <v>40</v>
      </c>
      <c r="D6344">
        <v>5.7992029999999897</v>
      </c>
      <c r="E6344">
        <v>0.42753609999999997</v>
      </c>
      <c r="F6344" t="s">
        <v>42</v>
      </c>
      <c r="G6344">
        <v>-192.3725</v>
      </c>
      <c r="H6344">
        <v>1.0279659999999999</v>
      </c>
      <c r="I6344">
        <v>-50.552529999999997</v>
      </c>
      <c r="J6344">
        <v>-192.33670000000001</v>
      </c>
      <c r="K6344">
        <v>1.1312310000000001</v>
      </c>
      <c r="L6344">
        <v>-51.259459999999997</v>
      </c>
      <c r="M6344">
        <v>0.55325789999999997</v>
      </c>
      <c r="N6344">
        <v>-1.482027E-2</v>
      </c>
      <c r="O6344">
        <v>0.83287819999999901</v>
      </c>
      <c r="P6344">
        <v>0.28240609999999999</v>
      </c>
      <c r="Q6344">
        <v>0.1141578</v>
      </c>
      <c r="R6344">
        <v>0.95247820000000005</v>
      </c>
      <c r="S6344">
        <v>0.364624</v>
      </c>
      <c r="T6344">
        <v>-0.33752330000000003</v>
      </c>
      <c r="U6344">
        <v>3.0892029999999999</v>
      </c>
      <c r="V6344">
        <v>-0.29502279999999997</v>
      </c>
      <c r="W6344">
        <v>0.1205905</v>
      </c>
      <c r="X6344">
        <v>0.94784990000000002</v>
      </c>
      <c r="Y6344">
        <v>-0.45148729999999998</v>
      </c>
      <c r="Z6344">
        <v>-6.1427299999999997E-2</v>
      </c>
      <c r="AA6344">
        <v>0.89016059999999997</v>
      </c>
      <c r="AB6344">
        <v>29</v>
      </c>
      <c r="AC6344">
        <v>-3.5799999999994697E-2</v>
      </c>
      <c r="AD6344">
        <v>-0.103264999999999</v>
      </c>
      <c r="AE6344">
        <v>0.70692999999999895</v>
      </c>
      <c r="AF6344">
        <v>-0.41220475173705001</v>
      </c>
      <c r="AG6344">
        <v>-0.103264999999999</v>
      </c>
      <c r="AH6344">
        <v>0.55718367125044699</v>
      </c>
      <c r="AI6344">
        <v>98.474348763735193</v>
      </c>
      <c r="AJ6344">
        <v>126.494054003328</v>
      </c>
      <c r="AK6344">
        <v>0.70073537165447097</v>
      </c>
      <c r="AL6344">
        <v>83.073816614507194</v>
      </c>
      <c r="AM6344">
        <v>107.28900259172001</v>
      </c>
      <c r="AN6344">
        <v>0.99999997707004895</v>
      </c>
    </row>
    <row r="6345" spans="1:40" x14ac:dyDescent="0.25">
      <c r="A6345" t="str">
        <f>"20190303162425288"</f>
        <v>20190303162425288</v>
      </c>
      <c r="B6345" t="str">
        <f>"1551601465281345"</f>
        <v>1551601465281345</v>
      </c>
      <c r="C6345" t="s">
        <v>40</v>
      </c>
      <c r="D6345">
        <v>5.744027</v>
      </c>
      <c r="E6345">
        <v>0.4284964</v>
      </c>
      <c r="F6345" t="s">
        <v>56</v>
      </c>
      <c r="G6345">
        <v>-191.21770000000001</v>
      </c>
      <c r="H6345" s="1">
        <v>-6.1020500000000003E-6</v>
      </c>
      <c r="I6345">
        <v>-40.985550000000003</v>
      </c>
      <c r="J6345">
        <v>-192.17429999999999</v>
      </c>
      <c r="K6345">
        <v>1.1312059999999999</v>
      </c>
      <c r="L6345">
        <v>-50.987180000000002</v>
      </c>
      <c r="M6345">
        <v>0.54090769999999899</v>
      </c>
      <c r="N6345">
        <v>-1.4815740000000001E-2</v>
      </c>
      <c r="O6345">
        <v>0.84095140000000002</v>
      </c>
      <c r="P6345">
        <v>0.27002979999999999</v>
      </c>
      <c r="Q6345">
        <v>0.111855</v>
      </c>
      <c r="R6345">
        <v>0.95633270000000004</v>
      </c>
      <c r="S6345">
        <v>0.33663939999999998</v>
      </c>
      <c r="T6345">
        <v>-0.34030319999999997</v>
      </c>
      <c r="U6345">
        <v>3.0906370000000001</v>
      </c>
      <c r="V6345">
        <v>-0.29340759999999899</v>
      </c>
      <c r="W6345">
        <v>0.1183498</v>
      </c>
      <c r="X6345">
        <v>0.94863339999999996</v>
      </c>
      <c r="Y6345">
        <v>-0.4463432</v>
      </c>
      <c r="Z6345">
        <v>-6.3416959999999994E-2</v>
      </c>
      <c r="AA6345">
        <v>0.89261190000000001</v>
      </c>
      <c r="AB6345">
        <v>29</v>
      </c>
      <c r="AC6345">
        <v>0.95659999999998002</v>
      </c>
      <c r="AD6345">
        <v>-1.1312121020499999</v>
      </c>
      <c r="AE6345">
        <v>10.00163</v>
      </c>
      <c r="AF6345">
        <v>-4.5483541482537104</v>
      </c>
      <c r="AG6345">
        <v>-1.1312121020499999</v>
      </c>
      <c r="AH6345">
        <v>8.8175241824974702</v>
      </c>
      <c r="AI6345">
        <v>96.5045573377067</v>
      </c>
      <c r="AJ6345">
        <v>117.286095975165</v>
      </c>
      <c r="AK6345">
        <v>9.9857848458039999</v>
      </c>
      <c r="AL6345">
        <v>83.203125669008898</v>
      </c>
      <c r="AM6345">
        <v>107.18657859781</v>
      </c>
      <c r="AN6345">
        <v>1.00000001124667</v>
      </c>
    </row>
    <row r="6346" spans="1:40" x14ac:dyDescent="0.25">
      <c r="A6346" t="str">
        <f>"20190303162425332"</f>
        <v>20190303162425332</v>
      </c>
      <c r="B6346" t="str">
        <f>"1551601465321361"</f>
        <v>1551601465321361</v>
      </c>
      <c r="C6346" t="s">
        <v>40</v>
      </c>
      <c r="D6346">
        <v>5.916061</v>
      </c>
      <c r="E6346">
        <v>0.4293363</v>
      </c>
      <c r="F6346" t="s">
        <v>42</v>
      </c>
      <c r="G6346">
        <v>-192.07320000000001</v>
      </c>
      <c r="H6346">
        <v>1.0132129999999999</v>
      </c>
      <c r="I6346">
        <v>-49.955829999999999</v>
      </c>
      <c r="J6346">
        <v>-191.88759999999999</v>
      </c>
      <c r="K6346">
        <v>1.1311549999999999</v>
      </c>
      <c r="L6346">
        <v>-50.483730000000001</v>
      </c>
      <c r="M6346">
        <v>0.51802959999999998</v>
      </c>
      <c r="N6346">
        <v>-1.4807320000000001E-2</v>
      </c>
      <c r="O6346">
        <v>0.85523459999999996</v>
      </c>
      <c r="P6346">
        <v>0.24614800000000001</v>
      </c>
      <c r="Q6346">
        <v>0.1088686</v>
      </c>
      <c r="R6346">
        <v>0.96309849999999997</v>
      </c>
      <c r="S6346">
        <v>0.30305480000000001</v>
      </c>
      <c r="T6346">
        <v>-0.35383199999999998</v>
      </c>
      <c r="U6346">
        <v>3.0928040000000001</v>
      </c>
      <c r="V6346">
        <v>-0.29151389999999999</v>
      </c>
      <c r="W6346">
        <v>0.11544310000000001</v>
      </c>
      <c r="X6346">
        <v>0.9495749</v>
      </c>
      <c r="Y6346">
        <v>-0.43185750000000001</v>
      </c>
      <c r="Z6346">
        <v>-6.9173079999999998E-2</v>
      </c>
      <c r="AA6346">
        <v>0.89928539999999901</v>
      </c>
      <c r="AB6346">
        <v>29</v>
      </c>
      <c r="AC6346">
        <v>-0.185600000000022</v>
      </c>
      <c r="AD6346">
        <v>-0.11794200000000001</v>
      </c>
      <c r="AE6346">
        <v>0.52790000000000203</v>
      </c>
      <c r="AF6346">
        <v>-0.41386132850857099</v>
      </c>
      <c r="AG6346">
        <v>-0.11794200000000001</v>
      </c>
      <c r="AH6346">
        <v>0.34025546068051199</v>
      </c>
      <c r="AI6346">
        <v>102.414708877582</v>
      </c>
      <c r="AJ6346">
        <v>140.57471889696001</v>
      </c>
      <c r="AK6346">
        <v>0.54860303783499698</v>
      </c>
      <c r="AL6346">
        <v>83.370816816993099</v>
      </c>
      <c r="AM6346">
        <v>107.066177734375</v>
      </c>
      <c r="AN6346">
        <v>0.99999997697041398</v>
      </c>
    </row>
    <row r="6347" spans="1:40" x14ac:dyDescent="0.25">
      <c r="A6347" t="str">
        <f>"20190303162425355"</f>
        <v>20190303162425355</v>
      </c>
      <c r="B6347" t="str">
        <f>"1551601465340881"</f>
        <v>1551601465340881</v>
      </c>
      <c r="C6347" t="s">
        <v>40</v>
      </c>
      <c r="D6347">
        <v>5.7395630000000004</v>
      </c>
      <c r="E6347">
        <v>0.44468740000000001</v>
      </c>
      <c r="F6347" t="s">
        <v>42</v>
      </c>
      <c r="G6347">
        <v>-191.81540000000001</v>
      </c>
      <c r="H6347">
        <v>1.0183979999999999</v>
      </c>
      <c r="I6347">
        <v>-49.516550000000002</v>
      </c>
      <c r="J6347">
        <v>-191.74789999999999</v>
      </c>
      <c r="K6347">
        <v>1.131135</v>
      </c>
      <c r="L6347">
        <v>-50.226349999999996</v>
      </c>
      <c r="M6347">
        <v>0.50631539999999997</v>
      </c>
      <c r="N6347">
        <v>-1.480279E-2</v>
      </c>
      <c r="O6347">
        <v>0.86222129999999997</v>
      </c>
      <c r="P6347">
        <v>0.23350989999999999</v>
      </c>
      <c r="Q6347">
        <v>0.1084773</v>
      </c>
      <c r="R6347">
        <v>0.96628460000000005</v>
      </c>
      <c r="S6347">
        <v>0.23121639999999999</v>
      </c>
      <c r="T6347">
        <v>-0.36101250000000001</v>
      </c>
      <c r="U6347">
        <v>3.0966800000000001</v>
      </c>
      <c r="V6347">
        <v>-0.2910064</v>
      </c>
      <c r="W6347">
        <v>0.1150764</v>
      </c>
      <c r="X6347">
        <v>0.94977500000000004</v>
      </c>
      <c r="Y6347">
        <v>-0.44033480000000003</v>
      </c>
      <c r="Z6347">
        <v>-7.1639330000000001E-2</v>
      </c>
      <c r="AA6347">
        <v>0.89497099999999996</v>
      </c>
      <c r="AB6347">
        <v>29</v>
      </c>
      <c r="AC6347">
        <v>-6.7500000000023805E-2</v>
      </c>
      <c r="AD6347">
        <v>-0.112737</v>
      </c>
      <c r="AE6347">
        <v>0.70979999999999399</v>
      </c>
      <c r="AF6347">
        <v>-0.407442060748687</v>
      </c>
      <c r="AG6347">
        <v>-0.112737</v>
      </c>
      <c r="AH6347">
        <v>0.56379644358483305</v>
      </c>
      <c r="AI6347">
        <v>99.205819633811402</v>
      </c>
      <c r="AJ6347">
        <v>125.854729663909</v>
      </c>
      <c r="AK6347">
        <v>0.70468794074756402</v>
      </c>
      <c r="AL6347">
        <v>83.391967811392803</v>
      </c>
      <c r="AM6347">
        <v>107.034807440037</v>
      </c>
      <c r="AN6347">
        <v>0.99999992665145698</v>
      </c>
    </row>
    <row r="6348" spans="1:40" x14ac:dyDescent="0.25">
      <c r="A6348" t="str">
        <f>"20190303162425376"</f>
        <v>20190303162425376</v>
      </c>
      <c r="B6348" t="str">
        <f>"1551601465361379"</f>
        <v>1551601465361379</v>
      </c>
      <c r="C6348" t="s">
        <v>40</v>
      </c>
      <c r="D6348">
        <v>5.9725070000000002</v>
      </c>
      <c r="E6348">
        <v>0.44591839999999999</v>
      </c>
      <c r="F6348" t="s">
        <v>41</v>
      </c>
      <c r="G6348">
        <v>-190.6824</v>
      </c>
      <c r="H6348" s="1">
        <v>-5.2797880000000003E-7</v>
      </c>
      <c r="I6348">
        <v>-39.603409999999997</v>
      </c>
      <c r="J6348">
        <v>-191.61859999999999</v>
      </c>
      <c r="K6348">
        <v>1.131119</v>
      </c>
      <c r="L6348">
        <v>-49.980440000000002</v>
      </c>
      <c r="M6348">
        <v>0.49511080000000002</v>
      </c>
      <c r="N6348">
        <v>-1.47983E-2</v>
      </c>
      <c r="O6348">
        <v>0.86870380000000003</v>
      </c>
      <c r="P6348">
        <v>0.22224150000000001</v>
      </c>
      <c r="Q6348">
        <v>0.1082055</v>
      </c>
      <c r="R6348">
        <v>0.96896870000000002</v>
      </c>
      <c r="S6348">
        <v>0.30761719999999998</v>
      </c>
      <c r="T6348">
        <v>-0.32657429999999998</v>
      </c>
      <c r="U6348">
        <v>3.066986</v>
      </c>
      <c r="V6348">
        <v>-0.28977199999999997</v>
      </c>
      <c r="W6348">
        <v>0.11485049999999999</v>
      </c>
      <c r="X6348">
        <v>0.95017980000000002</v>
      </c>
      <c r="Y6348">
        <v>-0.40572459999999999</v>
      </c>
      <c r="Z6348">
        <v>-6.6170220000000002E-2</v>
      </c>
      <c r="AA6348">
        <v>0.91159699999999999</v>
      </c>
      <c r="AB6348">
        <v>29</v>
      </c>
      <c r="AC6348">
        <v>0.93619999999998504</v>
      </c>
      <c r="AD6348">
        <v>-1.1311195279788</v>
      </c>
      <c r="AE6348">
        <v>10.37703</v>
      </c>
      <c r="AF6348">
        <v>-4.2745942521822</v>
      </c>
      <c r="AG6348">
        <v>-1.1311195279788</v>
      </c>
      <c r="AH6348">
        <v>9.3687106474463704</v>
      </c>
      <c r="AI6348">
        <v>96.268284883239005</v>
      </c>
      <c r="AJ6348">
        <v>114.525450413329</v>
      </c>
      <c r="AK6348">
        <v>10.3597454892936</v>
      </c>
      <c r="AL6348">
        <v>83.404998140825995</v>
      </c>
      <c r="AM6348">
        <v>106.959894209179</v>
      </c>
      <c r="AN6348">
        <v>1.00000005083114</v>
      </c>
    </row>
    <row r="6349" spans="1:40" x14ac:dyDescent="0.25">
      <c r="A6349" t="str">
        <f>"20190303162425400"</f>
        <v>20190303162425400</v>
      </c>
      <c r="B6349" t="str">
        <f>"1551601465391634"</f>
        <v>1551601465391634</v>
      </c>
      <c r="C6349" t="s">
        <v>40</v>
      </c>
      <c r="D6349">
        <v>5.9226999999999999</v>
      </c>
      <c r="E6349">
        <v>0.47020030000000002</v>
      </c>
      <c r="F6349" t="s">
        <v>41</v>
      </c>
      <c r="G6349">
        <v>-190.62090000000001</v>
      </c>
      <c r="H6349" s="1">
        <v>-7.4403219999999895E-7</v>
      </c>
      <c r="I6349">
        <v>-39.061630000000001</v>
      </c>
      <c r="J6349">
        <v>-191.48070000000001</v>
      </c>
      <c r="K6349">
        <v>1.1310990000000001</v>
      </c>
      <c r="L6349">
        <v>-49.70975</v>
      </c>
      <c r="M6349">
        <v>0.48276449999999999</v>
      </c>
      <c r="N6349">
        <v>-1.479347E-2</v>
      </c>
      <c r="O6349">
        <v>0.87562530000000005</v>
      </c>
      <c r="P6349">
        <v>0.2105602</v>
      </c>
      <c r="Q6349">
        <v>0.10787330000000001</v>
      </c>
      <c r="R6349">
        <v>0.97161090000000006</v>
      </c>
      <c r="S6349">
        <v>0.28025820000000001</v>
      </c>
      <c r="T6349">
        <v>-0.31775189999999998</v>
      </c>
      <c r="U6349">
        <v>3.067291</v>
      </c>
      <c r="V6349">
        <v>-0.28776119999999999</v>
      </c>
      <c r="W6349">
        <v>0.1145881</v>
      </c>
      <c r="X6349">
        <v>0.95082230000000001</v>
      </c>
      <c r="Y6349">
        <v>-0.40086579999999999</v>
      </c>
      <c r="Z6349">
        <v>-6.5146739999999995E-2</v>
      </c>
      <c r="AA6349">
        <v>0.91381760000000001</v>
      </c>
      <c r="AB6349">
        <v>29</v>
      </c>
      <c r="AC6349">
        <v>0.859800000000007</v>
      </c>
      <c r="AD6349">
        <v>-1.1310997440321999</v>
      </c>
      <c r="AE6349">
        <v>10.64812</v>
      </c>
      <c r="AF6349">
        <v>-4.3395027707018796</v>
      </c>
      <c r="AG6349">
        <v>-1.1310997440321999</v>
      </c>
      <c r="AH6349">
        <v>9.6319287928932695</v>
      </c>
      <c r="AI6349">
        <v>96.111245518946006</v>
      </c>
      <c r="AJ6349">
        <v>114.253141143292</v>
      </c>
      <c r="AK6349">
        <v>10.624722264569799</v>
      </c>
      <c r="AL6349">
        <v>83.420132091592194</v>
      </c>
      <c r="AM6349">
        <v>106.838154166583</v>
      </c>
      <c r="AN6349">
        <v>0.99999999353216995</v>
      </c>
    </row>
    <row r="6350" spans="1:40" x14ac:dyDescent="0.25">
      <c r="A6350" t="str">
        <f>"20190303162425422"</f>
        <v>20190303162425422</v>
      </c>
      <c r="B6350" t="str">
        <f>"1551601465411155"</f>
        <v>1551601465411155</v>
      </c>
      <c r="C6350" t="s">
        <v>40</v>
      </c>
      <c r="D6350">
        <v>5.9799790000000002</v>
      </c>
      <c r="E6350">
        <v>0.47624490000000003</v>
      </c>
      <c r="F6350" t="s">
        <v>41</v>
      </c>
      <c r="G6350">
        <v>-189.3433</v>
      </c>
      <c r="H6350" s="1">
        <v>-2.5882000000000001E-6</v>
      </c>
      <c r="I6350">
        <v>-34.605580000000003</v>
      </c>
      <c r="J6350">
        <v>-191.3536</v>
      </c>
      <c r="K6350">
        <v>1.1310819999999999</v>
      </c>
      <c r="L6350">
        <v>-49.451259999999998</v>
      </c>
      <c r="M6350">
        <v>0.47096310000000002</v>
      </c>
      <c r="N6350">
        <v>-1.478893E-2</v>
      </c>
      <c r="O6350">
        <v>0.8820289</v>
      </c>
      <c r="P6350">
        <v>0.19951969999999999</v>
      </c>
      <c r="Q6350">
        <v>0.1077568</v>
      </c>
      <c r="R6350">
        <v>0.97395089999999995</v>
      </c>
      <c r="S6350">
        <v>0.42738340000000002</v>
      </c>
      <c r="T6350">
        <v>-0.22616849999999999</v>
      </c>
      <c r="U6350">
        <v>3.0201419999999999</v>
      </c>
      <c r="V6350">
        <v>-0.28577909999999901</v>
      </c>
      <c r="W6350">
        <v>0.1145398</v>
      </c>
      <c r="X6350">
        <v>0.95142570000000004</v>
      </c>
      <c r="Y6350">
        <v>-0.34264899999999998</v>
      </c>
      <c r="Z6350">
        <v>-4.4840709999999999E-2</v>
      </c>
      <c r="AA6350">
        <v>0.93839280000000003</v>
      </c>
      <c r="AB6350">
        <v>29</v>
      </c>
      <c r="AC6350">
        <v>2.0103</v>
      </c>
      <c r="AD6350">
        <v>-1.1310845882</v>
      </c>
      <c r="AE6350">
        <v>14.84568</v>
      </c>
      <c r="AF6350">
        <v>-5.1896133188884797</v>
      </c>
      <c r="AG6350">
        <v>-1.1310845882</v>
      </c>
      <c r="AH6350">
        <v>13.963038447112799</v>
      </c>
      <c r="AI6350">
        <v>94.3421812155824</v>
      </c>
      <c r="AJ6350">
        <v>110.38848487874399</v>
      </c>
      <c r="AK6350">
        <v>14.9391392463153</v>
      </c>
      <c r="AL6350">
        <v>83.422917605753995</v>
      </c>
      <c r="AM6350">
        <v>106.718656064624</v>
      </c>
      <c r="AN6350">
        <v>0.99999996120066903</v>
      </c>
    </row>
    <row r="6351" spans="1:40" x14ac:dyDescent="0.25">
      <c r="A6351" t="str">
        <f>"20190303162425442"</f>
        <v>20190303162425442</v>
      </c>
      <c r="B6351" t="str">
        <f>"1551601465431180"</f>
        <v>1551601465431180</v>
      </c>
      <c r="C6351" t="s">
        <v>40</v>
      </c>
      <c r="D6351">
        <v>5.9217940000000002</v>
      </c>
      <c r="E6351">
        <v>0.47870059999999898</v>
      </c>
      <c r="F6351" t="s">
        <v>41</v>
      </c>
      <c r="G6351">
        <v>-189.13339999999999</v>
      </c>
      <c r="H6351" s="1">
        <v>-2.7874409999999998E-6</v>
      </c>
      <c r="I6351">
        <v>-34.227930000000001</v>
      </c>
      <c r="J6351">
        <v>-191.24600000000001</v>
      </c>
      <c r="K6351">
        <v>1.1310709999999999</v>
      </c>
      <c r="L6351">
        <v>-49.224980000000002</v>
      </c>
      <c r="M6351">
        <v>0.46062730000000002</v>
      </c>
      <c r="N6351">
        <v>-1.478496E-2</v>
      </c>
      <c r="O6351">
        <v>0.88747049999999905</v>
      </c>
      <c r="P6351">
        <v>0.1893088</v>
      </c>
      <c r="Q6351">
        <v>0.10879030000000001</v>
      </c>
      <c r="R6351">
        <v>0.97587230000000003</v>
      </c>
      <c r="S6351">
        <v>0.43969730000000001</v>
      </c>
      <c r="T6351">
        <v>-0.2240094</v>
      </c>
      <c r="U6351">
        <v>3.0149539999999999</v>
      </c>
      <c r="V6351">
        <v>-0.28459630000000002</v>
      </c>
      <c r="W6351">
        <v>0.1156145</v>
      </c>
      <c r="X6351">
        <v>0.95165029999999995</v>
      </c>
      <c r="Y6351">
        <v>-0.32767269999999998</v>
      </c>
      <c r="Z6351">
        <v>-4.5158770000000001E-2</v>
      </c>
      <c r="AA6351">
        <v>0.94371150000000004</v>
      </c>
      <c r="AB6351">
        <v>29</v>
      </c>
      <c r="AC6351">
        <v>2.11259999999998</v>
      </c>
      <c r="AD6351">
        <v>-1.131073787441</v>
      </c>
      <c r="AE6351">
        <v>14.99705</v>
      </c>
      <c r="AF6351">
        <v>-5.0058109757479796</v>
      </c>
      <c r="AG6351">
        <v>-1.131073787441</v>
      </c>
      <c r="AH6351">
        <v>14.204894798318101</v>
      </c>
      <c r="AI6351">
        <v>94.294790532083496</v>
      </c>
      <c r="AJ6351">
        <v>109.41247935725001</v>
      </c>
      <c r="AK6351">
        <v>15.1035263322457</v>
      </c>
      <c r="AL6351">
        <v>83.360930474012207</v>
      </c>
      <c r="AM6351">
        <v>106.64958617106601</v>
      </c>
      <c r="AN6351">
        <v>1.00000003003701</v>
      </c>
    </row>
    <row r="6352" spans="1:40" x14ac:dyDescent="0.25">
      <c r="A6352" t="str">
        <f>"20190303162425465"</f>
        <v>20190303162425465</v>
      </c>
      <c r="B6352" t="str">
        <f>"1551601465450700"</f>
        <v>1551601465450700</v>
      </c>
      <c r="C6352" t="s">
        <v>40</v>
      </c>
      <c r="D6352">
        <v>5.8572329999999999</v>
      </c>
      <c r="E6352">
        <v>0.48060649999999999</v>
      </c>
      <c r="F6352" t="s">
        <v>41</v>
      </c>
      <c r="G6352">
        <v>-189.06290000000001</v>
      </c>
      <c r="H6352" s="1">
        <v>-2.9792409999999999E-6</v>
      </c>
      <c r="I6352">
        <v>-33.810029999999998</v>
      </c>
      <c r="J6352">
        <v>-191.12540000000001</v>
      </c>
      <c r="K6352">
        <v>1.131065</v>
      </c>
      <c r="L6352">
        <v>-48.962769999999999</v>
      </c>
      <c r="M6352">
        <v>0.44863930000000002</v>
      </c>
      <c r="N6352">
        <v>-1.478051E-2</v>
      </c>
      <c r="O6352">
        <v>0.89359069999999996</v>
      </c>
      <c r="P6352">
        <v>0.1776015</v>
      </c>
      <c r="Q6352">
        <v>0.11036559999999999</v>
      </c>
      <c r="R6352">
        <v>0.97789420000000005</v>
      </c>
      <c r="S6352">
        <v>0.4271393</v>
      </c>
      <c r="T6352">
        <v>-0.22129889999999999</v>
      </c>
      <c r="U6352">
        <v>3.0159910000000001</v>
      </c>
      <c r="V6352">
        <v>-0.28314319999999998</v>
      </c>
      <c r="W6352">
        <v>0.11723889999999999</v>
      </c>
      <c r="X6352">
        <v>0.95188499999999998</v>
      </c>
      <c r="Y6352">
        <v>-0.31884849999999998</v>
      </c>
      <c r="Z6352">
        <v>-4.517815E-2</v>
      </c>
      <c r="AA6352">
        <v>0.94672829999999997</v>
      </c>
      <c r="AB6352">
        <v>29</v>
      </c>
      <c r="AC6352">
        <v>2.0625</v>
      </c>
      <c r="AD6352">
        <v>-1.1310679792410001</v>
      </c>
      <c r="AE6352">
        <v>15.15274</v>
      </c>
      <c r="AF6352">
        <v>-4.9286631571669002</v>
      </c>
      <c r="AG6352">
        <v>-1.1310679792410001</v>
      </c>
      <c r="AH6352">
        <v>14.3885346318731</v>
      </c>
      <c r="AI6352">
        <v>94.253089248739599</v>
      </c>
      <c r="AJ6352">
        <v>108.908434913026</v>
      </c>
      <c r="AK6352">
        <v>15.251261067304901</v>
      </c>
      <c r="AL6352">
        <v>83.267221999754099</v>
      </c>
      <c r="AM6352">
        <v>106.565386622544</v>
      </c>
      <c r="AN6352">
        <v>1.0000000423022199</v>
      </c>
    </row>
    <row r="6353" spans="1:40" x14ac:dyDescent="0.25">
      <c r="A6353" t="str">
        <f>"20190303162425490"</f>
        <v>20190303162425490</v>
      </c>
      <c r="B6353" t="str">
        <f>"1551601465481932"</f>
        <v>1551601465481932</v>
      </c>
      <c r="C6353" t="s">
        <v>40</v>
      </c>
      <c r="D6353">
        <v>5.858492</v>
      </c>
      <c r="E6353">
        <v>0.4815316</v>
      </c>
      <c r="F6353" t="s">
        <v>41</v>
      </c>
      <c r="G6353">
        <v>-189.00069999999999</v>
      </c>
      <c r="H6353" s="1">
        <v>-3.2759330000000001E-6</v>
      </c>
      <c r="I6353">
        <v>-33.144150000000003</v>
      </c>
      <c r="J6353">
        <v>-190.99299999999999</v>
      </c>
      <c r="K6353">
        <v>1.1310500000000001</v>
      </c>
      <c r="L6353">
        <v>-48.663269999999997</v>
      </c>
      <c r="M6353">
        <v>0.43493769999999998</v>
      </c>
      <c r="N6353">
        <v>-1.4775369999999999E-2</v>
      </c>
      <c r="O6353">
        <v>0.90033929999999995</v>
      </c>
      <c r="P6353">
        <v>0.1641302</v>
      </c>
      <c r="Q6353">
        <v>0.1120202</v>
      </c>
      <c r="R6353">
        <v>0.98005750000000003</v>
      </c>
      <c r="S6353">
        <v>0.4054413</v>
      </c>
      <c r="T6353">
        <v>-0.21583369999999999</v>
      </c>
      <c r="U6353">
        <v>3.0185550000000001</v>
      </c>
      <c r="V6353">
        <v>-0.28165230000000002</v>
      </c>
      <c r="W6353">
        <v>0.11894540000000001</v>
      </c>
      <c r="X6353">
        <v>0.9521155</v>
      </c>
      <c r="Y6353">
        <v>-0.3111584</v>
      </c>
      <c r="Z6353">
        <v>-4.4451739999999997E-2</v>
      </c>
      <c r="AA6353">
        <v>0.94931790000000005</v>
      </c>
      <c r="AB6353">
        <v>29</v>
      </c>
      <c r="AC6353">
        <v>1.9923</v>
      </c>
      <c r="AD6353">
        <v>-1.1310532759330001</v>
      </c>
      <c r="AE6353">
        <v>15.519119999999999</v>
      </c>
      <c r="AF6353">
        <v>-4.9308789209430399</v>
      </c>
      <c r="AG6353">
        <v>-1.1310532759330001</v>
      </c>
      <c r="AH6353">
        <v>14.7634728626889</v>
      </c>
      <c r="AI6353">
        <v>94.156137429528002</v>
      </c>
      <c r="AJ6353">
        <v>108.468896895833</v>
      </c>
      <c r="AK6353">
        <v>15.606184011902201</v>
      </c>
      <c r="AL6353">
        <v>83.168757297544502</v>
      </c>
      <c r="AM6353">
        <v>106.479132076946</v>
      </c>
      <c r="AN6353">
        <v>0.99999997580834898</v>
      </c>
    </row>
    <row r="6354" spans="1:40" x14ac:dyDescent="0.25">
      <c r="A6354" t="str">
        <f>"20190303162425512"</f>
        <v>20190303162425512</v>
      </c>
      <c r="B6354" t="str">
        <f>"1551601465501452"</f>
        <v>1551601465501452</v>
      </c>
      <c r="C6354" t="s">
        <v>40</v>
      </c>
      <c r="D6354">
        <v>5.5424449999999998</v>
      </c>
      <c r="E6354">
        <v>0.48186020000000002</v>
      </c>
      <c r="F6354" t="s">
        <v>41</v>
      </c>
      <c r="G6354">
        <v>-189.03309999999999</v>
      </c>
      <c r="H6354" s="1">
        <v>-3.4601690000000001E-6</v>
      </c>
      <c r="I6354">
        <v>-32.70129</v>
      </c>
      <c r="J6354">
        <v>-190.88640000000001</v>
      </c>
      <c r="K6354">
        <v>1.1310420000000001</v>
      </c>
      <c r="L6354">
        <v>-48.413119999999999</v>
      </c>
      <c r="M6354">
        <v>0.42348079999999999</v>
      </c>
      <c r="N6354">
        <v>-1.477127E-2</v>
      </c>
      <c r="O6354">
        <v>0.90578460000000005</v>
      </c>
      <c r="P6354">
        <v>0.15276709999999999</v>
      </c>
      <c r="Q6354">
        <v>0.1127244</v>
      </c>
      <c r="R6354">
        <v>0.98181229999999997</v>
      </c>
      <c r="S6354">
        <v>0.37123109999999998</v>
      </c>
      <c r="T6354">
        <v>-0.21423400000000001</v>
      </c>
      <c r="U6354">
        <v>3.0233759999999998</v>
      </c>
      <c r="V6354">
        <v>-0.28057910000000003</v>
      </c>
      <c r="W6354">
        <v>0.1196878</v>
      </c>
      <c r="X6354">
        <v>0.95233939999999995</v>
      </c>
      <c r="Y6354">
        <v>-0.30987160000000002</v>
      </c>
      <c r="Z6354">
        <v>-4.4495369999999999E-2</v>
      </c>
      <c r="AA6354">
        <v>0.94973669999999999</v>
      </c>
      <c r="AB6354">
        <v>29</v>
      </c>
      <c r="AC6354">
        <v>1.8533000000000099</v>
      </c>
      <c r="AD6354">
        <v>-1.1310454601690001</v>
      </c>
      <c r="AE6354">
        <v>15.711830000000001</v>
      </c>
      <c r="AF6354">
        <v>-4.9502102604361697</v>
      </c>
      <c r="AG6354">
        <v>-1.1310454601690001</v>
      </c>
      <c r="AH6354">
        <v>14.9416430044361</v>
      </c>
      <c r="AI6354">
        <v>94.1100175416844</v>
      </c>
      <c r="AJ6354">
        <v>108.330185470491</v>
      </c>
      <c r="AK6354">
        <v>15.780891645515799</v>
      </c>
      <c r="AL6354">
        <v>83.125915481951594</v>
      </c>
      <c r="AM6354">
        <v>106.416075755552</v>
      </c>
      <c r="AN6354">
        <v>1.0000000668090001</v>
      </c>
    </row>
    <row r="6355" spans="1:40" x14ac:dyDescent="0.25">
      <c r="A6355" t="str">
        <f>"20190303162425543"</f>
        <v>20190303162425543</v>
      </c>
      <c r="B6355" t="str">
        <f>"1551601465531237"</f>
        <v>1551601465531237</v>
      </c>
      <c r="C6355" t="s">
        <v>40</v>
      </c>
      <c r="D6355">
        <v>5.9034199999999997</v>
      </c>
      <c r="E6355">
        <v>0.4832439</v>
      </c>
      <c r="F6355" t="s">
        <v>41</v>
      </c>
      <c r="G6355">
        <v>-189.09280000000001</v>
      </c>
      <c r="H6355" s="1">
        <v>-3.5816230000000001E-6</v>
      </c>
      <c r="I6355">
        <v>-32.39349</v>
      </c>
      <c r="J6355">
        <v>-190.7337</v>
      </c>
      <c r="K6355">
        <v>1.131019</v>
      </c>
      <c r="L6355">
        <v>-48.039459999999998</v>
      </c>
      <c r="M6355">
        <v>0.4063427</v>
      </c>
      <c r="N6355">
        <v>-1.4765179999999999E-2</v>
      </c>
      <c r="O6355">
        <v>0.91360149999999996</v>
      </c>
      <c r="P6355">
        <v>0.13585610000000001</v>
      </c>
      <c r="Q6355">
        <v>0.1134739</v>
      </c>
      <c r="R6355">
        <v>0.98420870000000005</v>
      </c>
      <c r="S6355">
        <v>0.3389587</v>
      </c>
      <c r="T6355">
        <v>-0.21374389999999999</v>
      </c>
      <c r="U6355">
        <v>3.027374</v>
      </c>
      <c r="V6355">
        <v>-0.27899420000000003</v>
      </c>
      <c r="W6355">
        <v>0.1204949</v>
      </c>
      <c r="X6355">
        <v>0.95270310000000002</v>
      </c>
      <c r="Y6355">
        <v>-0.30209970000000003</v>
      </c>
      <c r="Z6355">
        <v>-4.5169319999999999E-2</v>
      </c>
      <c r="AA6355">
        <v>0.95220559999999999</v>
      </c>
      <c r="AB6355">
        <v>29</v>
      </c>
      <c r="AC6355">
        <v>1.64089999999998</v>
      </c>
      <c r="AD6355">
        <v>-1.131022581623</v>
      </c>
      <c r="AE6355">
        <v>15.645969999999901</v>
      </c>
      <c r="AF6355">
        <v>-4.8340404169239397</v>
      </c>
      <c r="AG6355">
        <v>-1.131022581623</v>
      </c>
      <c r="AH6355">
        <v>14.885639359894199</v>
      </c>
      <c r="AI6355">
        <v>94.133335888560097</v>
      </c>
      <c r="AJ6355">
        <v>107.990958044602</v>
      </c>
      <c r="AK6355">
        <v>15.691699015257299</v>
      </c>
      <c r="AL6355">
        <v>83.079334419991397</v>
      </c>
      <c r="AM6355">
        <v>106.32239773209101</v>
      </c>
      <c r="AN6355">
        <v>0.99999999065462997</v>
      </c>
    </row>
    <row r="6356" spans="1:40" x14ac:dyDescent="0.25">
      <c r="A6356" t="str">
        <f>"20190303162425566"</f>
        <v>20190303162425566</v>
      </c>
      <c r="B6356" t="str">
        <f>"1551601465561495"</f>
        <v>1551601465561495</v>
      </c>
      <c r="C6356" t="s">
        <v>40</v>
      </c>
      <c r="D6356">
        <v>5.443549</v>
      </c>
      <c r="E6356">
        <v>0.4953767</v>
      </c>
      <c r="F6356" t="s">
        <v>41</v>
      </c>
      <c r="G6356">
        <v>-189.1773</v>
      </c>
      <c r="H6356" s="1">
        <v>-3.6576389999999999E-6</v>
      </c>
      <c r="I6356">
        <v>-32.181339999999999</v>
      </c>
      <c r="J6356">
        <v>-190.62799999999999</v>
      </c>
      <c r="K6356">
        <v>1.131003</v>
      </c>
      <c r="L6356">
        <v>-47.766970000000001</v>
      </c>
      <c r="M6356">
        <v>0.39384150000000001</v>
      </c>
      <c r="N6356">
        <v>-1.4766079999999999E-2</v>
      </c>
      <c r="O6356">
        <v>0.91905979999999998</v>
      </c>
      <c r="P6356">
        <v>0.12421210000000001</v>
      </c>
      <c r="Q6356">
        <v>0.1136547</v>
      </c>
      <c r="R6356">
        <v>0.98572510000000002</v>
      </c>
      <c r="S6356">
        <v>0.29757689999999998</v>
      </c>
      <c r="T6356">
        <v>-0.21624489999999999</v>
      </c>
      <c r="U6356">
        <v>3.0319820000000002</v>
      </c>
      <c r="V6356">
        <v>-0.27724680000000002</v>
      </c>
      <c r="W6356">
        <v>0.1207411</v>
      </c>
      <c r="X6356">
        <v>0.95318190000000003</v>
      </c>
      <c r="Y6356">
        <v>-0.3021123</v>
      </c>
      <c r="Z6356">
        <v>-4.6328519999999998E-2</v>
      </c>
      <c r="AA6356">
        <v>0.95214589999999999</v>
      </c>
      <c r="AB6356">
        <v>29</v>
      </c>
      <c r="AC6356">
        <v>1.4506999999999799</v>
      </c>
      <c r="AD6356">
        <v>-1.1310066576390001</v>
      </c>
      <c r="AE6356">
        <v>15.585629999999901</v>
      </c>
      <c r="AF6356">
        <v>-4.7805533663126099</v>
      </c>
      <c r="AG6356">
        <v>-1.1310066576390001</v>
      </c>
      <c r="AH6356">
        <v>14.819724919883001</v>
      </c>
      <c r="AI6356">
        <v>94.154222202545199</v>
      </c>
      <c r="AJ6356">
        <v>107.878685882258</v>
      </c>
      <c r="AK6356">
        <v>15.6127228006132</v>
      </c>
      <c r="AL6356">
        <v>83.065124293398497</v>
      </c>
      <c r="AM6356">
        <v>106.21783942872101</v>
      </c>
      <c r="AN6356">
        <v>0.99999996791352896</v>
      </c>
    </row>
    <row r="6357" spans="1:40" x14ac:dyDescent="0.25">
      <c r="A6357" t="str">
        <f>"20190303162425587"</f>
        <v>20190303162425587</v>
      </c>
      <c r="B6357" t="str">
        <f>"1551601465581014"</f>
        <v>1551601465581014</v>
      </c>
      <c r="C6357" t="s">
        <v>40</v>
      </c>
      <c r="D6357">
        <v>5.8314519999999996</v>
      </c>
      <c r="E6357">
        <v>0.49610870000000001</v>
      </c>
      <c r="F6357" t="s">
        <v>41</v>
      </c>
      <c r="G6357">
        <v>-189.0086</v>
      </c>
      <c r="H6357" s="1">
        <v>-2.8592940000000001E-6</v>
      </c>
      <c r="I6357">
        <v>-34.112079999999999</v>
      </c>
      <c r="J6357">
        <v>-190.5343</v>
      </c>
      <c r="K6357">
        <v>1.130992</v>
      </c>
      <c r="L6357">
        <v>-47.516240000000003</v>
      </c>
      <c r="M6357">
        <v>0.38232650000000001</v>
      </c>
      <c r="N6357">
        <v>-1.477028E-2</v>
      </c>
      <c r="O6357">
        <v>0.92390919999999999</v>
      </c>
      <c r="P6357">
        <v>0.1133822</v>
      </c>
      <c r="Q6357">
        <v>0.11375589999999999</v>
      </c>
      <c r="R6357">
        <v>0.98701779999999995</v>
      </c>
      <c r="S6357">
        <v>0.35900880000000002</v>
      </c>
      <c r="T6357">
        <v>-0.25073060000000003</v>
      </c>
      <c r="U6357">
        <v>3.0271300000000001</v>
      </c>
      <c r="V6357">
        <v>-0.27579160000000003</v>
      </c>
      <c r="W6357">
        <v>0.1209015</v>
      </c>
      <c r="X6357">
        <v>0.95358370000000003</v>
      </c>
      <c r="Y6357">
        <v>-0.27086680000000002</v>
      </c>
      <c r="Z6357">
        <v>-5.7042229999999999E-2</v>
      </c>
      <c r="AA6357">
        <v>0.96092529999999998</v>
      </c>
      <c r="AB6357">
        <v>29</v>
      </c>
      <c r="AC6357">
        <v>1.5257000000000001</v>
      </c>
      <c r="AD6357">
        <v>-1.130994859294</v>
      </c>
      <c r="AE6357">
        <v>13.404159999999999</v>
      </c>
      <c r="AF6357">
        <v>-3.6896308593065101</v>
      </c>
      <c r="AG6357">
        <v>-1.130994859294</v>
      </c>
      <c r="AH6357">
        <v>12.8784436734189</v>
      </c>
      <c r="AI6357">
        <v>94.825713084131607</v>
      </c>
      <c r="AJ6357">
        <v>105.986829941404</v>
      </c>
      <c r="AK6357">
        <v>13.4442120148084</v>
      </c>
      <c r="AL6357">
        <v>83.055866634179793</v>
      </c>
      <c r="AM6357">
        <v>106.130711625598</v>
      </c>
      <c r="AN6357">
        <v>1.0000000261192401</v>
      </c>
    </row>
    <row r="6358" spans="1:40" x14ac:dyDescent="0.25">
      <c r="A6358" t="str">
        <f>"20190303162425611"</f>
        <v>20190303162425611</v>
      </c>
      <c r="B6358" t="str">
        <f>"1551601465601510"</f>
        <v>1551601465601510</v>
      </c>
      <c r="C6358" t="s">
        <v>40</v>
      </c>
      <c r="D6358">
        <v>5.7716560000000001</v>
      </c>
      <c r="E6358">
        <v>0.49697269999999999</v>
      </c>
      <c r="F6358" t="s">
        <v>41</v>
      </c>
      <c r="G6358">
        <v>-189.03659999999999</v>
      </c>
      <c r="H6358" s="1">
        <v>-2.9627929999999998E-6</v>
      </c>
      <c r="I6358">
        <v>-33.859229999999997</v>
      </c>
      <c r="J6358">
        <v>-190.43360000000001</v>
      </c>
      <c r="K6358">
        <v>1.130984</v>
      </c>
      <c r="L6358">
        <v>-47.234949999999998</v>
      </c>
      <c r="M6358">
        <v>0.36939810000000001</v>
      </c>
      <c r="N6358">
        <v>-1.477592E-2</v>
      </c>
      <c r="O6358">
        <v>0.92915369999999997</v>
      </c>
      <c r="P6358">
        <v>0.1019804</v>
      </c>
      <c r="Q6358">
        <v>0.113703399999999</v>
      </c>
      <c r="R6358">
        <v>0.98826689999999995</v>
      </c>
      <c r="S6358">
        <v>0.33232119999999998</v>
      </c>
      <c r="T6358">
        <v>-0.25094490000000003</v>
      </c>
      <c r="U6358">
        <v>3.0302120000000001</v>
      </c>
      <c r="V6358">
        <v>-0.2734857</v>
      </c>
      <c r="W6358">
        <v>0.1209356</v>
      </c>
      <c r="X6358">
        <v>0.95424319999999896</v>
      </c>
      <c r="Y6358">
        <v>-0.2659089</v>
      </c>
      <c r="Z6358">
        <v>-5.7715410000000002E-2</v>
      </c>
      <c r="AA6358">
        <v>0.96226889999999998</v>
      </c>
      <c r="AB6358">
        <v>29</v>
      </c>
      <c r="AC6358">
        <v>1.39700000000001</v>
      </c>
      <c r="AD6358">
        <v>-1.130986962793</v>
      </c>
      <c r="AE6358">
        <v>13.375719999999999</v>
      </c>
      <c r="AF6358">
        <v>-3.6177494870920199</v>
      </c>
      <c r="AG6358">
        <v>-1.130986962793</v>
      </c>
      <c r="AH6358">
        <v>12.8546492054762</v>
      </c>
      <c r="AI6358">
        <v>94.8409736995999</v>
      </c>
      <c r="AJ6358">
        <v>105.71846540086401</v>
      </c>
      <c r="AK6358">
        <v>13.401837525399801</v>
      </c>
      <c r="AL6358">
        <v>83.053897987182395</v>
      </c>
      <c r="AM6358">
        <v>105.99228033571301</v>
      </c>
      <c r="AN6358">
        <v>0.99999996609904396</v>
      </c>
    </row>
    <row r="6359" spans="1:40" x14ac:dyDescent="0.25">
      <c r="A6359" t="str">
        <f>"20190303162425633"</f>
        <v>20190303162425633</v>
      </c>
      <c r="B6359" t="str">
        <f>"1551601465621536"</f>
        <v>1551601465621536</v>
      </c>
      <c r="C6359" t="s">
        <v>40</v>
      </c>
      <c r="D6359">
        <v>5.5153019999999904</v>
      </c>
      <c r="E6359">
        <v>0.49808789999999997</v>
      </c>
      <c r="F6359" t="s">
        <v>41</v>
      </c>
      <c r="G6359">
        <v>-189.06299999999999</v>
      </c>
      <c r="H6359" s="1">
        <v>-3.0742460000000001E-6</v>
      </c>
      <c r="I6359">
        <v>-33.58849</v>
      </c>
      <c r="J6359">
        <v>-190.3425</v>
      </c>
      <c r="K6359">
        <v>1.130973</v>
      </c>
      <c r="L6359">
        <v>-46.969819999999999</v>
      </c>
      <c r="M6359">
        <v>0.35719879999999998</v>
      </c>
      <c r="N6359">
        <v>-1.4781010000000001E-2</v>
      </c>
      <c r="O6359">
        <v>0.93391139999999995</v>
      </c>
      <c r="P6359">
        <v>9.2197600000000005E-2</v>
      </c>
      <c r="Q6359">
        <v>0.1136182</v>
      </c>
      <c r="R6359">
        <v>0.98923729999999999</v>
      </c>
      <c r="S6359">
        <v>0.30462650000000002</v>
      </c>
      <c r="T6359">
        <v>-0.25137730000000003</v>
      </c>
      <c r="U6359">
        <v>3.033112</v>
      </c>
      <c r="V6359">
        <v>-0.27042080000000002</v>
      </c>
      <c r="W6359">
        <v>0.12095739999999899</v>
      </c>
      <c r="X6359">
        <v>0.95511349999999995</v>
      </c>
      <c r="Y6359">
        <v>-0.26207979999999997</v>
      </c>
      <c r="Z6359">
        <v>-5.8384749999999999E-2</v>
      </c>
      <c r="AA6359">
        <v>0.96327850000000004</v>
      </c>
      <c r="AB6359">
        <v>29</v>
      </c>
      <c r="AC6359">
        <v>1.2795000000000101</v>
      </c>
      <c r="AD6359">
        <v>-1.130976074246</v>
      </c>
      <c r="AE6359">
        <v>13.381329999999901</v>
      </c>
      <c r="AF6359">
        <v>-3.5600464934435099</v>
      </c>
      <c r="AG6359">
        <v>-1.130976074246</v>
      </c>
      <c r="AH6359">
        <v>12.8643646274998</v>
      </c>
      <c r="AI6359">
        <v>94.843148403297505</v>
      </c>
      <c r="AJ6359">
        <v>105.4687390135</v>
      </c>
      <c r="AK6359">
        <v>13.3957051022059</v>
      </c>
      <c r="AL6359">
        <v>83.0526395882099</v>
      </c>
      <c r="AM6359">
        <v>105.808382028496</v>
      </c>
      <c r="AN6359">
        <v>0.99999994978482298</v>
      </c>
    </row>
    <row r="6360" spans="1:40" x14ac:dyDescent="0.25">
      <c r="A6360" t="str">
        <f>"20190303162425654"</f>
        <v>20190303162425654</v>
      </c>
      <c r="B6360" t="str">
        <f>"1551601465641057"</f>
        <v>1551601465641057</v>
      </c>
      <c r="C6360" t="s">
        <v>40</v>
      </c>
      <c r="D6360">
        <v>5.671119</v>
      </c>
      <c r="E6360">
        <v>0.49835259999999998</v>
      </c>
      <c r="F6360" t="s">
        <v>41</v>
      </c>
      <c r="G6360">
        <v>-189.06200000000001</v>
      </c>
      <c r="H6360" s="1">
        <v>-3.2279679999999998E-6</v>
      </c>
      <c r="I6360">
        <v>-33.230609999999999</v>
      </c>
      <c r="J6360">
        <v>-190.25960000000001</v>
      </c>
      <c r="K6360">
        <v>1.1309629999999999</v>
      </c>
      <c r="L6360">
        <v>-46.717959999999998</v>
      </c>
      <c r="M6360">
        <v>0.34560269999999998</v>
      </c>
      <c r="N6360">
        <v>-1.4785370000000001E-2</v>
      </c>
      <c r="O6360">
        <v>0.9382644</v>
      </c>
      <c r="P6360">
        <v>8.4170750000000003E-2</v>
      </c>
      <c r="Q6360">
        <v>0.1134464</v>
      </c>
      <c r="R6360">
        <v>0.98997230000000003</v>
      </c>
      <c r="S6360">
        <v>0.28288269999999999</v>
      </c>
      <c r="T6360">
        <v>-0.2498311</v>
      </c>
      <c r="U6360">
        <v>3.0349729999999999</v>
      </c>
      <c r="V6360">
        <v>-0.2663256</v>
      </c>
      <c r="W6360">
        <v>0.120920899999999</v>
      </c>
      <c r="X6360">
        <v>0.95626820000000001</v>
      </c>
      <c r="Y6360">
        <v>-0.25702370000000002</v>
      </c>
      <c r="Z6360">
        <v>-5.8469210000000001E-2</v>
      </c>
      <c r="AA6360">
        <v>0.96463469999999996</v>
      </c>
      <c r="AB6360">
        <v>29</v>
      </c>
      <c r="AC6360">
        <v>1.19759999999999</v>
      </c>
      <c r="AD6360">
        <v>-1.1309662279679999</v>
      </c>
      <c r="AE6360">
        <v>13.487349999999999</v>
      </c>
      <c r="AF6360">
        <v>-3.5134743883685799</v>
      </c>
      <c r="AG6360">
        <v>-1.1309662279679999</v>
      </c>
      <c r="AH6360">
        <v>12.979472557916999</v>
      </c>
      <c r="AI6360">
        <v>94.807714070932803</v>
      </c>
      <c r="AJ6360">
        <v>105.146667330737</v>
      </c>
      <c r="AK6360">
        <v>13.494083695021599</v>
      </c>
      <c r="AL6360">
        <v>83.054746906524599</v>
      </c>
      <c r="AM6360">
        <v>105.562792724966</v>
      </c>
      <c r="AN6360">
        <v>1.0000000298017</v>
      </c>
    </row>
    <row r="6361" spans="1:40" x14ac:dyDescent="0.25">
      <c r="A6361" t="str">
        <f>"20190303162425678"</f>
        <v>20190303162425678</v>
      </c>
      <c r="B6361" t="str">
        <f>"1551601465671313"</f>
        <v>1551601465671313</v>
      </c>
      <c r="C6361" t="s">
        <v>40</v>
      </c>
      <c r="D6361">
        <v>5.6231280000000003</v>
      </c>
      <c r="E6361">
        <v>0.47695929999999997</v>
      </c>
      <c r="F6361" t="s">
        <v>41</v>
      </c>
      <c r="G6361">
        <v>-189.08699999999999</v>
      </c>
      <c r="H6361" s="1">
        <v>-3.3260430000000001E-6</v>
      </c>
      <c r="I6361">
        <v>-32.991639999999997</v>
      </c>
      <c r="J6361">
        <v>-190.1694</v>
      </c>
      <c r="K6361">
        <v>1.1309419999999999</v>
      </c>
      <c r="L6361">
        <v>-46.431339999999999</v>
      </c>
      <c r="M6361">
        <v>0.332393099999999</v>
      </c>
      <c r="N6361">
        <v>-1.478959E-2</v>
      </c>
      <c r="O6361">
        <v>0.94302490000000005</v>
      </c>
      <c r="P6361">
        <v>7.4990000000000001E-2</v>
      </c>
      <c r="Q6361">
        <v>0.113182</v>
      </c>
      <c r="R6361">
        <v>0.99074030000000002</v>
      </c>
      <c r="S6361">
        <v>0.25944519999999999</v>
      </c>
      <c r="T6361">
        <v>-0.25022949999999999</v>
      </c>
      <c r="U6361">
        <v>3.0369869999999999</v>
      </c>
      <c r="V6361">
        <v>-0.2617505</v>
      </c>
      <c r="W6361">
        <v>0.120806399999999</v>
      </c>
      <c r="X6361">
        <v>0.95754499999999998</v>
      </c>
      <c r="Y6361">
        <v>-0.25090109999999999</v>
      </c>
      <c r="Z6361">
        <v>-5.9171479999999999E-2</v>
      </c>
      <c r="AA6361">
        <v>0.96620260000000002</v>
      </c>
      <c r="AB6361">
        <v>29</v>
      </c>
      <c r="AC6361">
        <v>1.0823999999999701</v>
      </c>
      <c r="AD6361">
        <v>-1.130945326043</v>
      </c>
      <c r="AE6361">
        <v>13.4397</v>
      </c>
      <c r="AF6361">
        <v>-3.4228292352524399</v>
      </c>
      <c r="AG6361">
        <v>-1.130945326043</v>
      </c>
      <c r="AH6361">
        <v>12.9441120305843</v>
      </c>
      <c r="AI6361">
        <v>94.828206398340697</v>
      </c>
      <c r="AJ6361">
        <v>104.811780309052</v>
      </c>
      <c r="AK6361">
        <v>13.4366972714471</v>
      </c>
      <c r="AL6361">
        <v>83.061355296022995</v>
      </c>
      <c r="AM6361">
        <v>105.288633317269</v>
      </c>
      <c r="AN6361">
        <v>0.99999996877810404</v>
      </c>
    </row>
    <row r="6362" spans="1:40" x14ac:dyDescent="0.25">
      <c r="A6362" t="str">
        <f>"20190303162425701"</f>
        <v>20190303162425701</v>
      </c>
      <c r="B6362" t="str">
        <f>"1551601465690834"</f>
        <v>1551601465690834</v>
      </c>
      <c r="C6362" t="s">
        <v>40</v>
      </c>
      <c r="D6362">
        <v>5.5585490000000002</v>
      </c>
      <c r="E6362">
        <v>0.47627599999999998</v>
      </c>
      <c r="F6362" t="s">
        <v>41</v>
      </c>
      <c r="G6362">
        <v>-189.75040000000001</v>
      </c>
      <c r="H6362" s="1">
        <v>-2.6575949999999998E-6</v>
      </c>
      <c r="I6362">
        <v>-24.275490000000001</v>
      </c>
      <c r="J6362">
        <v>-190.08349999999999</v>
      </c>
      <c r="K6362">
        <v>1.1309229999999999</v>
      </c>
      <c r="L6362">
        <v>-46.145020000000002</v>
      </c>
      <c r="M6362">
        <v>0.31918669999999999</v>
      </c>
      <c r="N6362">
        <v>-1.4792970000000001E-2</v>
      </c>
      <c r="O6362">
        <v>0.94757639999999999</v>
      </c>
      <c r="P6362">
        <v>6.6437999999999997E-2</v>
      </c>
      <c r="Q6362">
        <v>0.1126398</v>
      </c>
      <c r="R6362">
        <v>0.99141230000000002</v>
      </c>
      <c r="S6362">
        <v>5.751038E-2</v>
      </c>
      <c r="T6362">
        <v>-0.15524879999999999</v>
      </c>
      <c r="U6362">
        <v>3.0414119999999998</v>
      </c>
      <c r="V6362">
        <v>-0.25662560000000001</v>
      </c>
      <c r="W6362">
        <v>0.1204291</v>
      </c>
      <c r="X6362">
        <v>0.95897869999999996</v>
      </c>
      <c r="Y6362">
        <v>-0.30109789999999997</v>
      </c>
      <c r="Z6362">
        <v>-3.1063449999999999E-2</v>
      </c>
      <c r="AA6362">
        <v>0.95308720000000002</v>
      </c>
      <c r="AB6362">
        <v>29</v>
      </c>
      <c r="AC6362">
        <v>0.33309999999997297</v>
      </c>
      <c r="AD6362">
        <v>-1.130925657595</v>
      </c>
      <c r="AE6362">
        <v>21.869530000000001</v>
      </c>
      <c r="AF6362">
        <v>-6.6477815366433397</v>
      </c>
      <c r="AG6362">
        <v>-1.130925657595</v>
      </c>
      <c r="AH6362">
        <v>20.776104901960299</v>
      </c>
      <c r="AI6362">
        <v>92.9678214725907</v>
      </c>
      <c r="AJ6362">
        <v>107.743240613696</v>
      </c>
      <c r="AK6362">
        <v>21.843042990828899</v>
      </c>
      <c r="AL6362">
        <v>83.083132250293104</v>
      </c>
      <c r="AM6362">
        <v>104.981493030324</v>
      </c>
      <c r="AN6362">
        <v>1.00000000687793</v>
      </c>
    </row>
    <row r="6363" spans="1:40" x14ac:dyDescent="0.25">
      <c r="A6363" t="str">
        <f>"20190303162425725"</f>
        <v>20190303162425725</v>
      </c>
      <c r="B6363" t="str">
        <f>"1551601465711328"</f>
        <v>1551601465711328</v>
      </c>
      <c r="C6363" t="s">
        <v>40</v>
      </c>
      <c r="D6363">
        <v>5.4344519999999896</v>
      </c>
      <c r="E6363">
        <v>0.47552480000000003</v>
      </c>
      <c r="F6363" t="s">
        <v>41</v>
      </c>
      <c r="G6363">
        <v>-189.89</v>
      </c>
      <c r="H6363" s="1">
        <v>-3.2591179999999999E-6</v>
      </c>
      <c r="I6363">
        <v>-22.8156</v>
      </c>
      <c r="J6363">
        <v>-190.00210000000001</v>
      </c>
      <c r="K6363">
        <v>1.1309039999999999</v>
      </c>
      <c r="L6363">
        <v>-45.857939999999999</v>
      </c>
      <c r="M6363">
        <v>0.30593559999999997</v>
      </c>
      <c r="N6363">
        <v>-1.4795310000000001E-2</v>
      </c>
      <c r="O6363">
        <v>0.95193729999999999</v>
      </c>
      <c r="P6363">
        <v>5.9441220000000003E-2</v>
      </c>
      <c r="Q6363">
        <v>0.1129016</v>
      </c>
      <c r="R6363">
        <v>0.9918266</v>
      </c>
      <c r="S6363">
        <v>2.522278E-2</v>
      </c>
      <c r="T6363">
        <v>-0.14741899999999999</v>
      </c>
      <c r="U6363">
        <v>3.0410460000000001</v>
      </c>
      <c r="V6363">
        <v>-0.24998890000000001</v>
      </c>
      <c r="W6363">
        <v>0.1208972</v>
      </c>
      <c r="X6363">
        <v>0.96067139999999995</v>
      </c>
      <c r="Y6363">
        <v>-0.29791580000000001</v>
      </c>
      <c r="Z6363">
        <v>-2.9075420000000001E-2</v>
      </c>
      <c r="AA6363">
        <v>0.95414920000000003</v>
      </c>
      <c r="AB6363">
        <v>29</v>
      </c>
      <c r="AC6363">
        <v>0.112100000000026</v>
      </c>
      <c r="AD6363">
        <v>-1.1309072591180001</v>
      </c>
      <c r="AE6363">
        <v>23.042339999999999</v>
      </c>
      <c r="AF6363">
        <v>-6.9268345869709496</v>
      </c>
      <c r="AG6363">
        <v>-1.1309072591180001</v>
      </c>
      <c r="AH6363">
        <v>21.918765285389501</v>
      </c>
      <c r="AI6363">
        <v>92.816519316558697</v>
      </c>
      <c r="AJ6363">
        <v>107.53773580956</v>
      </c>
      <c r="AK6363">
        <v>23.015044215903199</v>
      </c>
      <c r="AL6363">
        <v>83.056115069517006</v>
      </c>
      <c r="AM6363">
        <v>104.58618941146101</v>
      </c>
      <c r="AN6363">
        <v>1.0000000609344999</v>
      </c>
    </row>
    <row r="6364" spans="1:40" x14ac:dyDescent="0.25">
      <c r="A6364" t="str">
        <f>"20190303162425744"</f>
        <v>20190303162425744</v>
      </c>
      <c r="B6364" t="str">
        <f>"1551601465731355"</f>
        <v>1551601465731355</v>
      </c>
      <c r="C6364" t="s">
        <v>40</v>
      </c>
      <c r="D6364">
        <v>5.4976029999999998</v>
      </c>
      <c r="E6364">
        <v>0.47563109999999997</v>
      </c>
      <c r="F6364" t="s">
        <v>41</v>
      </c>
      <c r="G6364">
        <v>-190.0155</v>
      </c>
      <c r="H6364" s="1">
        <v>-3.3397060000000001E-6</v>
      </c>
      <c r="I6364">
        <v>-22.635529999999999</v>
      </c>
      <c r="J6364">
        <v>-189.93899999999999</v>
      </c>
      <c r="K6364">
        <v>1.1309039999999999</v>
      </c>
      <c r="L6364">
        <v>-45.624969999999998</v>
      </c>
      <c r="M6364">
        <v>0.2951705</v>
      </c>
      <c r="N6364">
        <v>-1.479667E-2</v>
      </c>
      <c r="O6364">
        <v>0.95533000000000001</v>
      </c>
      <c r="P6364">
        <v>5.6574449999999998E-2</v>
      </c>
      <c r="Q6364">
        <v>0.113219899999999</v>
      </c>
      <c r="R6364">
        <v>0.99195800000000001</v>
      </c>
      <c r="S6364">
        <v>-1.7547610000000001E-3</v>
      </c>
      <c r="T6364">
        <v>-0.14812700000000001</v>
      </c>
      <c r="U6364">
        <v>3.041687</v>
      </c>
      <c r="V6364">
        <v>-0.24189289999999999</v>
      </c>
      <c r="W6364">
        <v>0.1214591</v>
      </c>
      <c r="X6364">
        <v>0.96267100000000005</v>
      </c>
      <c r="Y6364">
        <v>-0.29560449999999999</v>
      </c>
      <c r="Z6364">
        <v>-2.9518570000000001E-2</v>
      </c>
      <c r="AA6364">
        <v>0.95485419999999999</v>
      </c>
      <c r="AB6364">
        <v>29</v>
      </c>
      <c r="AC6364">
        <v>-7.6499999999981499E-2</v>
      </c>
      <c r="AD6364">
        <v>-1.1309073397059899</v>
      </c>
      <c r="AE6364">
        <v>22.989439999999998</v>
      </c>
      <c r="AF6364">
        <v>-6.8430789256812199</v>
      </c>
      <c r="AG6364">
        <v>-1.1309073397059899</v>
      </c>
      <c r="AH6364">
        <v>21.889354183921299</v>
      </c>
      <c r="AI6364">
        <v>92.823039055029994</v>
      </c>
      <c r="AJ6364">
        <v>107.360357416333</v>
      </c>
      <c r="AK6364">
        <v>22.961936050413001</v>
      </c>
      <c r="AL6364">
        <v>83.023680933215104</v>
      </c>
      <c r="AM6364">
        <v>104.104851479392</v>
      </c>
      <c r="AN6364">
        <v>0.99999997114210903</v>
      </c>
    </row>
    <row r="6365" spans="1:40" x14ac:dyDescent="0.25">
      <c r="A6365" t="str">
        <f>"20190303162425768"</f>
        <v>20190303162425768</v>
      </c>
      <c r="B6365" t="str">
        <f>"1551601465761611"</f>
        <v>1551601465761611</v>
      </c>
      <c r="C6365" t="s">
        <v>40</v>
      </c>
      <c r="D6365">
        <v>5.436515</v>
      </c>
      <c r="E6365">
        <v>0.4760491</v>
      </c>
      <c r="F6365" t="s">
        <v>41</v>
      </c>
      <c r="G6365">
        <v>-190.01929999999999</v>
      </c>
      <c r="H6365" s="1">
        <v>-3.7066280000000001E-6</v>
      </c>
      <c r="I6365">
        <v>-21.782589999999999</v>
      </c>
      <c r="J6365">
        <v>-189.86490000000001</v>
      </c>
      <c r="K6365">
        <v>1.1308959999999999</v>
      </c>
      <c r="L6365">
        <v>-45.335749999999997</v>
      </c>
      <c r="M6365">
        <v>0.28180110000000003</v>
      </c>
      <c r="N6365">
        <v>-1.47975E-2</v>
      </c>
      <c r="O6365">
        <v>0.95935879999999996</v>
      </c>
      <c r="P6365">
        <v>5.1295739999999999E-2</v>
      </c>
      <c r="Q6365">
        <v>0.11415939999999999</v>
      </c>
      <c r="R6365">
        <v>0.9921373</v>
      </c>
      <c r="S6365">
        <v>-1.023865E-2</v>
      </c>
      <c r="T6365">
        <v>-0.14426079999999999</v>
      </c>
      <c r="U6365">
        <v>3.041382</v>
      </c>
      <c r="V6365">
        <v>-0.23353769999999999</v>
      </c>
      <c r="W6365">
        <v>0.12264940000000001</v>
      </c>
      <c r="X6365">
        <v>0.96458140000000003</v>
      </c>
      <c r="Y6365">
        <v>-0.28491899999999998</v>
      </c>
      <c r="Z6365">
        <v>-2.872413E-2</v>
      </c>
      <c r="AA6365">
        <v>0.95812109999999995</v>
      </c>
      <c r="AB6365">
        <v>29</v>
      </c>
      <c r="AC6365">
        <v>-0.154399999999981</v>
      </c>
      <c r="AD6365">
        <v>-1.130899706628</v>
      </c>
      <c r="AE6365">
        <v>23.553159999999998</v>
      </c>
      <c r="AF6365">
        <v>-6.7705656367598799</v>
      </c>
      <c r="AG6365">
        <v>-1.130899706628</v>
      </c>
      <c r="AH6365">
        <v>22.503012597376902</v>
      </c>
      <c r="AI6365">
        <v>92.755201155343201</v>
      </c>
      <c r="AJ6365">
        <v>106.745161444536</v>
      </c>
      <c r="AK6365">
        <v>23.526688444101701</v>
      </c>
      <c r="AL6365">
        <v>82.954968263016696</v>
      </c>
      <c r="AM6365">
        <v>103.61015083530999</v>
      </c>
      <c r="AN6365">
        <v>1.0000000049338</v>
      </c>
    </row>
    <row r="6366" spans="1:40" x14ac:dyDescent="0.25">
      <c r="A6366" t="str">
        <f>"20190303162425790"</f>
        <v>20190303162425790</v>
      </c>
      <c r="B6366" t="str">
        <f>"1551601465781131"</f>
        <v>1551601465781131</v>
      </c>
      <c r="C6366" t="s">
        <v>40</v>
      </c>
      <c r="D6366">
        <v>5.3750790000000004</v>
      </c>
      <c r="E6366">
        <v>0.4764719</v>
      </c>
      <c r="F6366" t="s">
        <v>41</v>
      </c>
      <c r="G6366">
        <v>-190.05930000000001</v>
      </c>
      <c r="H6366" s="1">
        <v>-3.9500149999999997E-6</v>
      </c>
      <c r="I6366">
        <v>-21.240069999999999</v>
      </c>
      <c r="J6366">
        <v>-189.79730000000001</v>
      </c>
      <c r="K6366">
        <v>1.130887</v>
      </c>
      <c r="L6366">
        <v>-45.05621</v>
      </c>
      <c r="M6366">
        <v>0.26887299999999997</v>
      </c>
      <c r="N6366">
        <v>-1.479727E-2</v>
      </c>
      <c r="O6366">
        <v>0.96306199999999997</v>
      </c>
      <c r="P6366">
        <v>4.6713699999999997E-2</v>
      </c>
      <c r="Q6366">
        <v>0.1157488</v>
      </c>
      <c r="R6366">
        <v>0.99217949999999999</v>
      </c>
      <c r="S6366">
        <v>-2.453613E-2</v>
      </c>
      <c r="T6366">
        <v>-0.1427476</v>
      </c>
      <c r="U6366">
        <v>3.0414729999999999</v>
      </c>
      <c r="V6366">
        <v>-0.22498070000000001</v>
      </c>
      <c r="W6366">
        <v>0.1244915</v>
      </c>
      <c r="X6366">
        <v>0.96637759999999995</v>
      </c>
      <c r="Y6366">
        <v>-0.2765262</v>
      </c>
      <c r="Z6366">
        <v>-2.857494E-2</v>
      </c>
      <c r="AA6366">
        <v>0.96058149999999998</v>
      </c>
      <c r="AB6366">
        <v>29</v>
      </c>
      <c r="AC6366">
        <v>-0.26200000000000001</v>
      </c>
      <c r="AD6366">
        <v>-1.130890950015</v>
      </c>
      <c r="AE6366">
        <v>23.816140000000001</v>
      </c>
      <c r="AF6366">
        <v>-6.6415945016689202</v>
      </c>
      <c r="AG6366">
        <v>-1.130890950015</v>
      </c>
      <c r="AH6366">
        <v>22.817037191996299</v>
      </c>
      <c r="AI6366">
        <v>92.724558851015004</v>
      </c>
      <c r="AJ6366">
        <v>106.229247797344</v>
      </c>
      <c r="AK6366">
        <v>23.790899060068501</v>
      </c>
      <c r="AL6366">
        <v>82.848608907094004</v>
      </c>
      <c r="AM6366">
        <v>103.1054885683</v>
      </c>
      <c r="AN6366">
        <v>1.0000000573632399</v>
      </c>
    </row>
    <row r="6367" spans="1:40" x14ac:dyDescent="0.25">
      <c r="A6367" t="str">
        <f>"20190303162425816"</f>
        <v>20190303162425816</v>
      </c>
      <c r="B6367" t="str">
        <f>"1551601465801627"</f>
        <v>1551601465801627</v>
      </c>
      <c r="C6367" t="s">
        <v>40</v>
      </c>
      <c r="D6367">
        <v>5.3750080000000002</v>
      </c>
      <c r="E6367">
        <v>0.47686060000000002</v>
      </c>
      <c r="F6367" t="s">
        <v>41</v>
      </c>
      <c r="G6367">
        <v>-190.1001</v>
      </c>
      <c r="H6367" s="1">
        <v>-1.7313509999999999E-7</v>
      </c>
      <c r="I6367">
        <v>-20.069400000000002</v>
      </c>
      <c r="J6367">
        <v>-189.72659999999999</v>
      </c>
      <c r="K6367">
        <v>1.130868</v>
      </c>
      <c r="L6367">
        <v>-44.74521</v>
      </c>
      <c r="M6367">
        <v>0.25449539999999998</v>
      </c>
      <c r="N6367">
        <v>-1.479537E-2</v>
      </c>
      <c r="O6367">
        <v>0.96696079999999995</v>
      </c>
      <c r="P6367">
        <v>4.0073530000000003E-2</v>
      </c>
      <c r="Q6367">
        <v>0.1173766</v>
      </c>
      <c r="R6367">
        <v>0.99227860000000001</v>
      </c>
      <c r="S6367">
        <v>-3.6865229999999999E-2</v>
      </c>
      <c r="T6367">
        <v>-0.13765369999999999</v>
      </c>
      <c r="U6367">
        <v>3.0414430000000001</v>
      </c>
      <c r="V6367">
        <v>-0.21701229999999999</v>
      </c>
      <c r="W6367">
        <v>0.12635679999999999</v>
      </c>
      <c r="X6367">
        <v>0.96795640000000005</v>
      </c>
      <c r="Y6367">
        <v>-0.26609640000000001</v>
      </c>
      <c r="Z6367">
        <v>-2.7354369999999999E-2</v>
      </c>
      <c r="AA6367">
        <v>0.96355820000000003</v>
      </c>
      <c r="AB6367">
        <v>29</v>
      </c>
      <c r="AC6367">
        <v>-0.37350000000000699</v>
      </c>
      <c r="AD6367">
        <v>-1.1308681731351</v>
      </c>
      <c r="AE6367">
        <v>24.675809999999998</v>
      </c>
      <c r="AF6367">
        <v>-6.6278497073892497</v>
      </c>
      <c r="AG6367">
        <v>-1.1308681731351</v>
      </c>
      <c r="AH6367">
        <v>23.718284458481101</v>
      </c>
      <c r="AI6367">
        <v>92.629174770845097</v>
      </c>
      <c r="AJ6367">
        <v>105.61251668886599</v>
      </c>
      <c r="AK6367">
        <v>24.652875536581501</v>
      </c>
      <c r="AL6367">
        <v>82.740883879248102</v>
      </c>
      <c r="AM6367">
        <v>102.636549405241</v>
      </c>
      <c r="AN6367">
        <v>0.99999998577924498</v>
      </c>
    </row>
    <row r="6368" spans="1:40" x14ac:dyDescent="0.25">
      <c r="A6368" t="str">
        <f>"20190303162425835"</f>
        <v>20190303162425835</v>
      </c>
      <c r="B6368" t="str">
        <f>"1551601465821653"</f>
        <v>1551601465821653</v>
      </c>
      <c r="C6368" t="s">
        <v>40</v>
      </c>
      <c r="D6368">
        <v>5.3740769999999998</v>
      </c>
      <c r="E6368">
        <v>0.47704370000000001</v>
      </c>
      <c r="F6368" t="s">
        <v>41</v>
      </c>
      <c r="G6368">
        <v>-190.19929999999999</v>
      </c>
      <c r="H6368" s="1">
        <v>-7.3142519999999898E-7</v>
      </c>
      <c r="I6368">
        <v>-18.829550000000001</v>
      </c>
      <c r="J6368">
        <v>-189.67679999999999</v>
      </c>
      <c r="K6368">
        <v>1.130841</v>
      </c>
      <c r="L6368">
        <v>-44.512239999999998</v>
      </c>
      <c r="M6368">
        <v>0.24375069999999999</v>
      </c>
      <c r="N6368">
        <v>-1.479188E-2</v>
      </c>
      <c r="O6368">
        <v>0.96972510000000001</v>
      </c>
      <c r="P6368">
        <v>3.8379459999999997E-2</v>
      </c>
      <c r="Q6368">
        <v>0.1185348</v>
      </c>
      <c r="R6368">
        <v>0.99220790000000003</v>
      </c>
      <c r="S6368">
        <v>-5.5480960000000003E-2</v>
      </c>
      <c r="T6368">
        <v>-0.13271129999999901</v>
      </c>
      <c r="U6368">
        <v>3.04129</v>
      </c>
      <c r="V6368">
        <v>-0.20788580000000001</v>
      </c>
      <c r="W6368">
        <v>0.1277828</v>
      </c>
      <c r="X6368">
        <v>0.96977060000000004</v>
      </c>
      <c r="Y6368">
        <v>-0.26130160000000002</v>
      </c>
      <c r="Z6368">
        <v>-2.6044870000000001E-2</v>
      </c>
      <c r="AA6368">
        <v>0.96490580000000004</v>
      </c>
      <c r="AB6368">
        <v>29</v>
      </c>
      <c r="AC6368">
        <v>-0.52250000000000796</v>
      </c>
      <c r="AD6368">
        <v>-1.1308417314251999</v>
      </c>
      <c r="AE6368">
        <v>25.682690000000001</v>
      </c>
      <c r="AF6368">
        <v>-6.7545056311148697</v>
      </c>
      <c r="AG6368">
        <v>-1.1308417314251999</v>
      </c>
      <c r="AH6368">
        <v>24.732570330086499</v>
      </c>
      <c r="AI6368">
        <v>92.5255357494771</v>
      </c>
      <c r="AJ6368">
        <v>105.27508173572301</v>
      </c>
      <c r="AK6368">
        <v>25.663245789941801</v>
      </c>
      <c r="AL6368">
        <v>82.658512348413495</v>
      </c>
      <c r="AM6368">
        <v>102.099152574375</v>
      </c>
      <c r="AN6368">
        <v>0.99999998322091899</v>
      </c>
    </row>
    <row r="6369" spans="1:40" x14ac:dyDescent="0.25">
      <c r="A6369" t="str">
        <f>"20190303162425857"</f>
        <v>20190303162425857</v>
      </c>
      <c r="B6369" t="str">
        <f>"1551601465850934"</f>
        <v>1551601465850934</v>
      </c>
      <c r="C6369" t="s">
        <v>40</v>
      </c>
      <c r="D6369">
        <v>5.3598030000000003</v>
      </c>
      <c r="E6369">
        <v>0.477321</v>
      </c>
      <c r="F6369" t="s">
        <v>41</v>
      </c>
      <c r="G6369">
        <v>-190.21709999999999</v>
      </c>
      <c r="H6369" s="1">
        <v>-1.252398E-6</v>
      </c>
      <c r="I6369">
        <v>-17.626139999999999</v>
      </c>
      <c r="J6369">
        <v>-189.62010000000001</v>
      </c>
      <c r="K6369">
        <v>1.1307799999999999</v>
      </c>
      <c r="L6369">
        <v>-44.230649999999997</v>
      </c>
      <c r="M6369">
        <v>0.23081380000000001</v>
      </c>
      <c r="N6369">
        <v>-1.4784189999999999E-2</v>
      </c>
      <c r="O6369">
        <v>0.97288560000000002</v>
      </c>
      <c r="P6369">
        <v>3.5420050000000002E-2</v>
      </c>
      <c r="Q6369">
        <v>0.11889569999999999</v>
      </c>
      <c r="R6369">
        <v>0.99227480000000001</v>
      </c>
      <c r="S6369">
        <v>-6.1111449999999998E-2</v>
      </c>
      <c r="T6369">
        <v>-0.12791430000000001</v>
      </c>
      <c r="U6369">
        <v>3.0411990000000002</v>
      </c>
      <c r="V6369">
        <v>-0.19781580000000001</v>
      </c>
      <c r="W6369">
        <v>0.12844439999999999</v>
      </c>
      <c r="X6369">
        <v>0.97178750000000003</v>
      </c>
      <c r="Y6369">
        <v>-0.25022460000000002</v>
      </c>
      <c r="Z6369">
        <v>-2.4837310000000001E-2</v>
      </c>
      <c r="AA6369">
        <v>0.96786919999999999</v>
      </c>
      <c r="AB6369">
        <v>29</v>
      </c>
      <c r="AC6369">
        <v>-0.59699999999997999</v>
      </c>
      <c r="AD6369">
        <v>-1.1307812523980001</v>
      </c>
      <c r="AE6369">
        <v>26.604510000000001</v>
      </c>
      <c r="AF6369">
        <v>-6.7101195577250996</v>
      </c>
      <c r="AG6369">
        <v>-1.1307812523980001</v>
      </c>
      <c r="AH6369">
        <v>25.7017554677631</v>
      </c>
      <c r="AI6369">
        <v>92.4375750052955</v>
      </c>
      <c r="AJ6369">
        <v>104.631964434122</v>
      </c>
      <c r="AK6369">
        <v>26.587301571322101</v>
      </c>
      <c r="AL6369">
        <v>82.620290615776696</v>
      </c>
      <c r="AM6369">
        <v>101.505853858988</v>
      </c>
      <c r="AN6369">
        <v>0.99999999988862498</v>
      </c>
    </row>
    <row r="6370" spans="1:40" x14ac:dyDescent="0.25">
      <c r="A6370" t="str">
        <f>"20190303162425880"</f>
        <v>20190303162425880</v>
      </c>
      <c r="B6370" t="str">
        <f>"1551601465871429"</f>
        <v>1551601465871429</v>
      </c>
      <c r="C6370" t="s">
        <v>40</v>
      </c>
      <c r="D6370">
        <v>5.3598270000000001</v>
      </c>
      <c r="E6370">
        <v>0.47750150000000002</v>
      </c>
      <c r="F6370" t="s">
        <v>41</v>
      </c>
      <c r="G6370">
        <v>-190.24789999999999</v>
      </c>
      <c r="H6370" s="1">
        <v>-1.5529650000000001E-6</v>
      </c>
      <c r="I6370">
        <v>-16.944610000000001</v>
      </c>
      <c r="J6370">
        <v>-189.56899999999999</v>
      </c>
      <c r="K6370">
        <v>1.1307049999999901</v>
      </c>
      <c r="L6370">
        <v>-43.959229999999998</v>
      </c>
      <c r="M6370">
        <v>0.21843199999999999</v>
      </c>
      <c r="N6370">
        <v>-1.47717E-2</v>
      </c>
      <c r="O6370">
        <v>0.97574039999999995</v>
      </c>
      <c r="P6370">
        <v>3.3870610000000002E-2</v>
      </c>
      <c r="Q6370">
        <v>0.11888550000000001</v>
      </c>
      <c r="R6370">
        <v>0.99233009999999999</v>
      </c>
      <c r="S6370">
        <v>-6.9961549999999997E-2</v>
      </c>
      <c r="T6370">
        <v>-0.12602249999999901</v>
      </c>
      <c r="U6370">
        <v>3.0409549999999999</v>
      </c>
      <c r="V6370">
        <v>-0.18692919999999999</v>
      </c>
      <c r="W6370">
        <v>0.1287584</v>
      </c>
      <c r="X6370">
        <v>0.97389879999999995</v>
      </c>
      <c r="Y6370">
        <v>-0.24073220000000001</v>
      </c>
      <c r="Z6370">
        <v>-2.44902E-2</v>
      </c>
      <c r="AA6370">
        <v>0.9702826</v>
      </c>
      <c r="AB6370">
        <v>29</v>
      </c>
      <c r="AC6370">
        <v>-0.67889999999996997</v>
      </c>
      <c r="AD6370">
        <v>-1.13070655296499</v>
      </c>
      <c r="AE6370">
        <v>27.014620000000001</v>
      </c>
      <c r="AF6370">
        <v>-6.5525316418177901</v>
      </c>
      <c r="AG6370">
        <v>-1.13070655296499</v>
      </c>
      <c r="AH6370">
        <v>26.168007811526799</v>
      </c>
      <c r="AI6370">
        <v>92.400170642455393</v>
      </c>
      <c r="AJ6370">
        <v>104.05794035541599</v>
      </c>
      <c r="AK6370">
        <v>26.999607423999102</v>
      </c>
      <c r="AL6370">
        <v>82.602149562555496</v>
      </c>
      <c r="AM6370">
        <v>100.865156689082</v>
      </c>
      <c r="AN6370">
        <v>1.00000006201231</v>
      </c>
    </row>
    <row r="6371" spans="1:40" x14ac:dyDescent="0.25">
      <c r="A6371" t="str">
        <f>"20190303162425903"</f>
        <v>20190303162425903</v>
      </c>
      <c r="B6371" t="str">
        <f>"1551601465890949"</f>
        <v>1551601465890949</v>
      </c>
      <c r="C6371" t="s">
        <v>40</v>
      </c>
      <c r="D6371">
        <v>5.3614470000000001</v>
      </c>
      <c r="E6371">
        <v>0.47772890000000001</v>
      </c>
      <c r="F6371" t="s">
        <v>41</v>
      </c>
      <c r="G6371">
        <v>-190.24109999999999</v>
      </c>
      <c r="H6371" s="1">
        <v>-1.5915799999999901E-6</v>
      </c>
      <c r="I6371">
        <v>-16.850439999999999</v>
      </c>
      <c r="J6371">
        <v>-189.5189</v>
      </c>
      <c r="K6371">
        <v>1.130592</v>
      </c>
      <c r="L6371">
        <v>-43.672969999999999</v>
      </c>
      <c r="M6371">
        <v>0.20551359999999999</v>
      </c>
      <c r="N6371">
        <v>-1.475243E-2</v>
      </c>
      <c r="O6371">
        <v>0.97854300000000005</v>
      </c>
      <c r="P6371">
        <v>3.208797E-2</v>
      </c>
      <c r="Q6371">
        <v>0.1194861</v>
      </c>
      <c r="R6371">
        <v>0.99231720000000001</v>
      </c>
      <c r="S6371">
        <v>-7.5393680000000005E-2</v>
      </c>
      <c r="T6371">
        <v>-0.12683810000000001</v>
      </c>
      <c r="U6371">
        <v>3.0409549999999999</v>
      </c>
      <c r="V6371">
        <v>-0.17573529999999901</v>
      </c>
      <c r="W6371">
        <v>0.12969320000000001</v>
      </c>
      <c r="X6371">
        <v>0.97585699999999997</v>
      </c>
      <c r="Y6371">
        <v>-0.2296221</v>
      </c>
      <c r="Z6371">
        <v>-2.4993459999999999E-2</v>
      </c>
      <c r="AA6371">
        <v>0.97295889999999996</v>
      </c>
      <c r="AB6371">
        <v>29</v>
      </c>
      <c r="AC6371">
        <v>-0.72219999999998596</v>
      </c>
      <c r="AD6371">
        <v>-1.1305935915799901</v>
      </c>
      <c r="AE6371">
        <v>26.82253</v>
      </c>
      <c r="AF6371">
        <v>-6.2087526082159998</v>
      </c>
      <c r="AG6371">
        <v>-1.1305935915799901</v>
      </c>
      <c r="AH6371">
        <v>26.055160484713799</v>
      </c>
      <c r="AI6371">
        <v>92.417044696209004</v>
      </c>
      <c r="AJ6371">
        <v>103.403200029557</v>
      </c>
      <c r="AK6371">
        <v>26.808547866371701</v>
      </c>
      <c r="AL6371">
        <v>82.548136514141206</v>
      </c>
      <c r="AM6371">
        <v>100.20858245525601</v>
      </c>
      <c r="AN6371">
        <v>1.0000000531206601</v>
      </c>
    </row>
    <row r="6372" spans="1:40" x14ac:dyDescent="0.25">
      <c r="A6372" t="str">
        <f>"20190303162425926"</f>
        <v>20190303162425926</v>
      </c>
      <c r="B6372" t="str">
        <f>"1551601465911445"</f>
        <v>1551601465911445</v>
      </c>
      <c r="C6372" t="s">
        <v>40</v>
      </c>
      <c r="D6372">
        <v>5.3705629999999998</v>
      </c>
      <c r="E6372">
        <v>0.4779003</v>
      </c>
      <c r="F6372" t="s">
        <v>41</v>
      </c>
      <c r="G6372">
        <v>-190.25899999999999</v>
      </c>
      <c r="H6372" s="1">
        <v>-1.94612E-6</v>
      </c>
      <c r="I6372">
        <v>-16.035079999999901</v>
      </c>
      <c r="J6372">
        <v>-189.47290000000001</v>
      </c>
      <c r="K6372">
        <v>1.1304339999999999</v>
      </c>
      <c r="L6372">
        <v>-43.388210000000001</v>
      </c>
      <c r="M6372">
        <v>0.192887</v>
      </c>
      <c r="N6372">
        <v>-1.472482E-2</v>
      </c>
      <c r="O6372">
        <v>0.9811105</v>
      </c>
      <c r="P6372">
        <v>2.9915569999999999E-2</v>
      </c>
      <c r="Q6372">
        <v>0.1216492</v>
      </c>
      <c r="R6372">
        <v>0.99212219999999995</v>
      </c>
      <c r="S6372">
        <v>-8.1436159999999994E-2</v>
      </c>
      <c r="T6372">
        <v>-0.1243925</v>
      </c>
      <c r="U6372">
        <v>3.0408330000000001</v>
      </c>
      <c r="V6372">
        <v>-0.1652187</v>
      </c>
      <c r="W6372">
        <v>0.13217029999999999</v>
      </c>
      <c r="X6372">
        <v>0.97736060000000002</v>
      </c>
      <c r="Y6372">
        <v>-0.2190068</v>
      </c>
      <c r="Z6372">
        <v>-2.4462540000000001E-2</v>
      </c>
      <c r="AA6372">
        <v>0.97541670000000003</v>
      </c>
      <c r="AB6372">
        <v>29</v>
      </c>
      <c r="AC6372">
        <v>-0.78610000000000402</v>
      </c>
      <c r="AD6372">
        <v>-1.13043594612</v>
      </c>
      <c r="AE6372">
        <v>27.35313</v>
      </c>
      <c r="AF6372">
        <v>-6.0376661754934204</v>
      </c>
      <c r="AG6372">
        <v>-1.13043594612</v>
      </c>
      <c r="AH6372">
        <v>26.6422412304121</v>
      </c>
      <c r="AI6372">
        <v>92.369600285218297</v>
      </c>
      <c r="AJ6372">
        <v>102.76870239977799</v>
      </c>
      <c r="AK6372">
        <v>27.3411835159791</v>
      </c>
      <c r="AL6372">
        <v>82.404976100826204</v>
      </c>
      <c r="AM6372">
        <v>99.594900693018204</v>
      </c>
      <c r="AN6372">
        <v>0.99999997473206903</v>
      </c>
    </row>
    <row r="6373" spans="1:40" x14ac:dyDescent="0.25">
      <c r="A6373" t="str">
        <f>"20190303162425947"</f>
        <v>20190303162425947</v>
      </c>
      <c r="B6373" t="str">
        <f>"1551601465941227"</f>
        <v>1551601465941227</v>
      </c>
      <c r="C6373" t="s">
        <v>40</v>
      </c>
      <c r="D6373">
        <v>5.3601650000000003</v>
      </c>
      <c r="E6373">
        <v>0.47811399999999998</v>
      </c>
      <c r="F6373" t="s">
        <v>41</v>
      </c>
      <c r="G6373">
        <v>-190.32919999999999</v>
      </c>
      <c r="H6373" s="1">
        <v>-2.8504950000000001E-6</v>
      </c>
      <c r="I6373">
        <v>-13.970510000000001</v>
      </c>
      <c r="J6373">
        <v>-189.43279999999999</v>
      </c>
      <c r="K6373">
        <v>1.130274</v>
      </c>
      <c r="L6373">
        <v>-43.120060000000002</v>
      </c>
      <c r="M6373">
        <v>0.18117549999999999</v>
      </c>
      <c r="N6373">
        <v>-1.4694240000000001E-2</v>
      </c>
      <c r="O6373">
        <v>0.98334100000000002</v>
      </c>
      <c r="P6373">
        <v>2.7765020000000001E-2</v>
      </c>
      <c r="Q6373">
        <v>0.1238011</v>
      </c>
      <c r="R6373">
        <v>0.99191859999999998</v>
      </c>
      <c r="S6373">
        <v>-8.8516239999999996E-2</v>
      </c>
      <c r="T6373">
        <v>-0.1168492</v>
      </c>
      <c r="U6373">
        <v>3.0408019999999998</v>
      </c>
      <c r="V6373">
        <v>-0.155609</v>
      </c>
      <c r="W6373">
        <v>0.1346012</v>
      </c>
      <c r="X6373">
        <v>0.97860530000000001</v>
      </c>
      <c r="Y6373">
        <v>-0.20964289999999999</v>
      </c>
      <c r="Z6373">
        <v>-2.228372E-2</v>
      </c>
      <c r="AA6373">
        <v>0.97752410000000001</v>
      </c>
      <c r="AB6373">
        <v>29</v>
      </c>
      <c r="AC6373">
        <v>-0.89639999999999898</v>
      </c>
      <c r="AD6373">
        <v>-1.130276850495</v>
      </c>
      <c r="AE6373">
        <v>29.149549999999898</v>
      </c>
      <c r="AF6373">
        <v>-6.1540726232112304</v>
      </c>
      <c r="AG6373">
        <v>-1.130276850495</v>
      </c>
      <c r="AH6373">
        <v>28.461867158610101</v>
      </c>
      <c r="AI6373">
        <v>92.222819796196504</v>
      </c>
      <c r="AJ6373">
        <v>102.200767586331</v>
      </c>
      <c r="AK6373">
        <v>29.141517080702801</v>
      </c>
      <c r="AL6373">
        <v>82.264440054146107</v>
      </c>
      <c r="AM6373">
        <v>99.035016893913095</v>
      </c>
      <c r="AN6373">
        <v>0.99999998855526495</v>
      </c>
    </row>
    <row r="6374" spans="1:40" x14ac:dyDescent="0.25">
      <c r="A6374" t="str">
        <f>"20190303162425969"</f>
        <v>20190303162425969</v>
      </c>
      <c r="B6374" t="str">
        <f>"1551601465960748"</f>
        <v>1551601465960748</v>
      </c>
      <c r="C6374" t="s">
        <v>40</v>
      </c>
      <c r="D6374">
        <v>5.3655619999999997</v>
      </c>
      <c r="E6374">
        <v>0.47817379999999998</v>
      </c>
      <c r="F6374" t="s">
        <v>41</v>
      </c>
      <c r="G6374">
        <v>-190.38390000000001</v>
      </c>
      <c r="H6374" s="1">
        <v>-3.676766E-6</v>
      </c>
      <c r="I6374">
        <v>-12.07835</v>
      </c>
      <c r="J6374">
        <v>-189.3963</v>
      </c>
      <c r="K6374">
        <v>1.1300969999999999</v>
      </c>
      <c r="L6374">
        <v>-42.856720000000003</v>
      </c>
      <c r="M6374">
        <v>0.16989209999999999</v>
      </c>
      <c r="N6374">
        <v>-1.4661769999999999E-2</v>
      </c>
      <c r="O6374">
        <v>0.98535360000000005</v>
      </c>
      <c r="P6374">
        <v>2.6193029999999999E-2</v>
      </c>
      <c r="Q6374">
        <v>0.1246477</v>
      </c>
      <c r="R6374">
        <v>0.9918553</v>
      </c>
      <c r="S6374">
        <v>-9.3170169999999997E-2</v>
      </c>
      <c r="T6374">
        <v>-0.11072269999999899</v>
      </c>
      <c r="U6374">
        <v>3.0408629999999999</v>
      </c>
      <c r="V6374">
        <v>-0.145860299999999</v>
      </c>
      <c r="W6374">
        <v>0.1357266</v>
      </c>
      <c r="X6374">
        <v>0.97995049999999995</v>
      </c>
      <c r="Y6374">
        <v>-0.19992760000000001</v>
      </c>
      <c r="Z6374">
        <v>-2.0523409999999999E-2</v>
      </c>
      <c r="AA6374">
        <v>0.97959569999999996</v>
      </c>
      <c r="AB6374">
        <v>29</v>
      </c>
      <c r="AC6374">
        <v>-0.98760000000001402</v>
      </c>
      <c r="AD6374">
        <v>-1.130100676766</v>
      </c>
      <c r="AE6374">
        <v>30.778369999999999</v>
      </c>
      <c r="AF6374">
        <v>-6.1944612680059796</v>
      </c>
      <c r="AG6374">
        <v>-1.130100676766</v>
      </c>
      <c r="AH6374">
        <v>30.1224660164062</v>
      </c>
      <c r="AI6374">
        <v>92.104552760046104</v>
      </c>
      <c r="AJ6374">
        <v>101.620453380995</v>
      </c>
      <c r="AK6374">
        <v>30.773550930141301</v>
      </c>
      <c r="AL6374">
        <v>82.199361950254499</v>
      </c>
      <c r="AM6374">
        <v>98.466009532979598</v>
      </c>
      <c r="AN6374">
        <v>0.999999959756949</v>
      </c>
    </row>
    <row r="6375" spans="1:40" x14ac:dyDescent="0.25">
      <c r="A6375" t="str">
        <f>"20190303162425991"</f>
        <v>20190303162425991</v>
      </c>
      <c r="B6375" t="str">
        <f>"1551601465981244"</f>
        <v>1551601465981244</v>
      </c>
      <c r="C6375" t="s">
        <v>40</v>
      </c>
      <c r="D6375">
        <v>5.423832</v>
      </c>
      <c r="E6375">
        <v>0.47823710000000003</v>
      </c>
      <c r="F6375" t="s">
        <v>41</v>
      </c>
      <c r="G6375">
        <v>-190.40549999999999</v>
      </c>
      <c r="H6375" s="1">
        <v>-4.0393749999999998E-6</v>
      </c>
      <c r="I6375">
        <v>-11.24648</v>
      </c>
      <c r="J6375">
        <v>-189.36089999999999</v>
      </c>
      <c r="K6375">
        <v>1.1298699999999999</v>
      </c>
      <c r="L6375">
        <v>-42.578830000000004</v>
      </c>
      <c r="M6375">
        <v>0.1582915</v>
      </c>
      <c r="N6375">
        <v>-1.462218E-2</v>
      </c>
      <c r="O6375">
        <v>0.9872841</v>
      </c>
      <c r="P6375">
        <v>2.5506580000000001E-2</v>
      </c>
      <c r="Q6375">
        <v>0.1227762</v>
      </c>
      <c r="R6375">
        <v>0.99210659999999895</v>
      </c>
      <c r="S6375">
        <v>-9.7076419999999997E-2</v>
      </c>
      <c r="T6375">
        <v>-0.1087142</v>
      </c>
      <c r="U6375">
        <v>3.0408629999999999</v>
      </c>
      <c r="V6375">
        <v>-0.1349069</v>
      </c>
      <c r="W6375">
        <v>0.13416420000000001</v>
      </c>
      <c r="X6375">
        <v>0.98173319999999997</v>
      </c>
      <c r="Y6375">
        <v>-0.18965570000000001</v>
      </c>
      <c r="Z6375">
        <v>-2.006519E-2</v>
      </c>
      <c r="AA6375">
        <v>0.98164560000000001</v>
      </c>
      <c r="AB6375">
        <v>28</v>
      </c>
      <c r="AC6375">
        <v>-1.0446</v>
      </c>
      <c r="AD6375">
        <v>-1.129874039375</v>
      </c>
      <c r="AE6375">
        <v>31.332350000000002</v>
      </c>
      <c r="AF6375">
        <v>-5.9838298257502602</v>
      </c>
      <c r="AG6375">
        <v>-1.129874039375</v>
      </c>
      <c r="AH6375">
        <v>30.731951805522801</v>
      </c>
      <c r="AI6375">
        <v>92.066777861715593</v>
      </c>
      <c r="AJ6375">
        <v>101.01822166433099</v>
      </c>
      <c r="AK6375">
        <v>31.329470096146999</v>
      </c>
      <c r="AL6375">
        <v>82.289707510476504</v>
      </c>
      <c r="AM6375">
        <v>97.824413093455505</v>
      </c>
      <c r="AN6375">
        <v>0.99999999010574403</v>
      </c>
    </row>
    <row r="6376" spans="1:40" x14ac:dyDescent="0.25">
      <c r="A6376" t="str">
        <f>"20190303162426013"</f>
        <v>20190303162426013</v>
      </c>
      <c r="B6376" t="str">
        <f>"1551601466000765"</f>
        <v>1551601466000765</v>
      </c>
      <c r="C6376" t="s">
        <v>40</v>
      </c>
      <c r="D6376">
        <v>5.3037400000000003</v>
      </c>
      <c r="E6376">
        <v>0.4784214</v>
      </c>
      <c r="F6376" t="s">
        <v>41</v>
      </c>
      <c r="G6376">
        <v>-190.33609999999999</v>
      </c>
      <c r="H6376" s="1">
        <v>-3.4441900000000001E-6</v>
      </c>
      <c r="I6376">
        <v>-12.59083</v>
      </c>
      <c r="J6376">
        <v>-189.3295</v>
      </c>
      <c r="K6376">
        <v>1.129607</v>
      </c>
      <c r="L6376">
        <v>-42.310879999999997</v>
      </c>
      <c r="M6376">
        <v>0.14745429999999901</v>
      </c>
      <c r="N6376">
        <v>-1.457605E-2</v>
      </c>
      <c r="O6376">
        <v>0.98896150000000005</v>
      </c>
      <c r="P6376">
        <v>2.580696E-2</v>
      </c>
      <c r="Q6376">
        <v>0.11968479999999999</v>
      </c>
      <c r="R6376">
        <v>0.99247649999999998</v>
      </c>
      <c r="S6376">
        <v>-9.8876950000000005E-2</v>
      </c>
      <c r="T6376">
        <v>-0.11456180000000001</v>
      </c>
      <c r="U6376">
        <v>3.0405880000000001</v>
      </c>
      <c r="V6376">
        <v>-0.1237201</v>
      </c>
      <c r="W6376">
        <v>0.13137860000000001</v>
      </c>
      <c r="X6376">
        <v>0.9835817</v>
      </c>
      <c r="Y6376">
        <v>-0.17946110000000001</v>
      </c>
      <c r="Z6376">
        <v>-2.2112840000000002E-2</v>
      </c>
      <c r="AA6376">
        <v>0.98351650000000002</v>
      </c>
      <c r="AB6376">
        <v>28</v>
      </c>
      <c r="AC6376">
        <v>-1.0065999999999899</v>
      </c>
      <c r="AD6376">
        <v>-1.1296104441899999</v>
      </c>
      <c r="AE6376">
        <v>29.720050000000001</v>
      </c>
      <c r="AF6376">
        <v>-5.3706592249526102</v>
      </c>
      <c r="AG6376">
        <v>-1.1296104441899999</v>
      </c>
      <c r="AH6376">
        <v>29.204522059887498</v>
      </c>
      <c r="AI6376">
        <v>92.178560891426301</v>
      </c>
      <c r="AJ6376">
        <v>100.420167072391</v>
      </c>
      <c r="AK6376">
        <v>29.715721579874899</v>
      </c>
      <c r="AL6376">
        <v>82.450736253611495</v>
      </c>
      <c r="AM6376">
        <v>97.169313111533199</v>
      </c>
      <c r="AN6376">
        <v>0.99999998012842894</v>
      </c>
    </row>
    <row r="6377" spans="1:40" x14ac:dyDescent="0.25">
      <c r="A6377" t="str">
        <f>"20190303162426035"</f>
        <v>20190303162426035</v>
      </c>
      <c r="B6377" t="str">
        <f>"1551601466020790"</f>
        <v>1551601466020790</v>
      </c>
      <c r="C6377" t="s">
        <v>40</v>
      </c>
      <c r="D6377">
        <v>5.3033130000000002</v>
      </c>
      <c r="E6377">
        <v>0.47863270000000002</v>
      </c>
      <c r="F6377" t="s">
        <v>41</v>
      </c>
      <c r="G6377">
        <v>-190.2192</v>
      </c>
      <c r="H6377" s="1">
        <v>-2.6067040000000001E-6</v>
      </c>
      <c r="I6377">
        <v>-14.47054</v>
      </c>
      <c r="J6377">
        <v>-189.3005</v>
      </c>
      <c r="K6377">
        <v>1.1293070000000001</v>
      </c>
      <c r="L6377">
        <v>-42.041080000000001</v>
      </c>
      <c r="M6377">
        <v>0.1369272</v>
      </c>
      <c r="N6377">
        <v>-1.452237E-2</v>
      </c>
      <c r="O6377">
        <v>0.99047459999999998</v>
      </c>
      <c r="P6377">
        <v>2.5636989999999998E-2</v>
      </c>
      <c r="Q6377">
        <v>0.119245</v>
      </c>
      <c r="R6377">
        <v>0.99253380000000002</v>
      </c>
      <c r="S6377">
        <v>-9.7152710000000003E-2</v>
      </c>
      <c r="T6377">
        <v>-0.1233519</v>
      </c>
      <c r="U6377">
        <v>3.0401310000000001</v>
      </c>
      <c r="V6377">
        <v>-0.1133053</v>
      </c>
      <c r="W6377">
        <v>0.131210299999999</v>
      </c>
      <c r="X6377">
        <v>0.98485829999999996</v>
      </c>
      <c r="Y6377">
        <v>-0.16843279999999999</v>
      </c>
      <c r="Z6377">
        <v>-2.512174E-2</v>
      </c>
      <c r="AA6377">
        <v>0.98539299999999996</v>
      </c>
      <c r="AB6377">
        <v>28</v>
      </c>
      <c r="AC6377">
        <v>-0.91870000000000096</v>
      </c>
      <c r="AD6377">
        <v>-1.129309606704</v>
      </c>
      <c r="AE6377">
        <v>27.570540000000001</v>
      </c>
      <c r="AF6377">
        <v>-4.6777606793626703</v>
      </c>
      <c r="AG6377">
        <v>-1.129309606704</v>
      </c>
      <c r="AH6377">
        <v>27.139509170997801</v>
      </c>
      <c r="AI6377">
        <v>92.3481908506472</v>
      </c>
      <c r="AJ6377">
        <v>99.779403362699995</v>
      </c>
      <c r="AK6377">
        <v>27.562832641146699</v>
      </c>
      <c r="AL6377">
        <v>82.460463885318703</v>
      </c>
      <c r="AM6377">
        <v>96.562871775359596</v>
      </c>
      <c r="AN6377">
        <v>1.00000005245653</v>
      </c>
    </row>
    <row r="6378" spans="1:40" x14ac:dyDescent="0.25">
      <c r="A6378" t="str">
        <f>"20190303162426057"</f>
        <v>20190303162426057</v>
      </c>
      <c r="B6378" t="str">
        <f>"1551601466051046"</f>
        <v>1551601466051046</v>
      </c>
      <c r="C6378" t="s">
        <v>40</v>
      </c>
      <c r="D6378">
        <v>5.366689</v>
      </c>
      <c r="E6378">
        <v>0.4788694</v>
      </c>
      <c r="F6378" t="s">
        <v>41</v>
      </c>
      <c r="G6378">
        <v>-190.17670000000001</v>
      </c>
      <c r="H6378" s="1">
        <v>-2.6186589999999999E-6</v>
      </c>
      <c r="I6378">
        <v>-14.416309999999999</v>
      </c>
      <c r="J6378">
        <v>-189.27160000000001</v>
      </c>
      <c r="K6378">
        <v>1.1289419999999999</v>
      </c>
      <c r="L6378">
        <v>-41.745820000000002</v>
      </c>
      <c r="M6378">
        <v>0.12589149999999999</v>
      </c>
      <c r="N6378">
        <v>-1.445831E-2</v>
      </c>
      <c r="O6378">
        <v>0.99193869999999895</v>
      </c>
      <c r="P6378">
        <v>2.492923E-2</v>
      </c>
      <c r="Q6378">
        <v>0.1202725</v>
      </c>
      <c r="R6378">
        <v>0.99242790000000003</v>
      </c>
      <c r="S6378">
        <v>-9.6420290000000006E-2</v>
      </c>
      <c r="T6378">
        <v>-0.12427530000000001</v>
      </c>
      <c r="U6378">
        <v>3.0399780000000001</v>
      </c>
      <c r="V6378">
        <v>-0.1029067</v>
      </c>
      <c r="W6378">
        <v>0.1324969</v>
      </c>
      <c r="X6378">
        <v>0.98582700000000001</v>
      </c>
      <c r="Y6378">
        <v>-0.15721640000000001</v>
      </c>
      <c r="Z6378">
        <v>-2.5614979999999999E-2</v>
      </c>
      <c r="AA6378">
        <v>0.98723190000000005</v>
      </c>
      <c r="AB6378">
        <v>28</v>
      </c>
      <c r="AC6378">
        <v>-0.90510000000000401</v>
      </c>
      <c r="AD6378">
        <v>-1.128944618659</v>
      </c>
      <c r="AE6378">
        <v>27.329509999999999</v>
      </c>
      <c r="AF6378">
        <v>-4.3314269751487098</v>
      </c>
      <c r="AG6378">
        <v>-1.128944618659</v>
      </c>
      <c r="AH6378">
        <v>26.952134124952</v>
      </c>
      <c r="AI6378">
        <v>92.368195826983296</v>
      </c>
      <c r="AJ6378">
        <v>99.129832459585998</v>
      </c>
      <c r="AK6378">
        <v>27.321297726909801</v>
      </c>
      <c r="AL6378">
        <v>82.3860978070649</v>
      </c>
      <c r="AM6378">
        <v>95.959304110103304</v>
      </c>
      <c r="AN6378">
        <v>1.0000000456717399</v>
      </c>
    </row>
    <row r="6379" spans="1:40" x14ac:dyDescent="0.25">
      <c r="A6379" t="str">
        <f>"20190303162426080"</f>
        <v>20190303162426080</v>
      </c>
      <c r="B6379" t="str">
        <f>"1551601466071542"</f>
        <v>1551601466071542</v>
      </c>
      <c r="C6379" t="s">
        <v>40</v>
      </c>
      <c r="D6379">
        <v>5.3663689999999997</v>
      </c>
      <c r="E6379">
        <v>0.4789891</v>
      </c>
      <c r="F6379" t="s">
        <v>41</v>
      </c>
      <c r="G6379">
        <v>-190.17619999999999</v>
      </c>
      <c r="H6379" s="1">
        <v>-3.1423119999999999E-6</v>
      </c>
      <c r="I6379">
        <v>-13.195329999999901</v>
      </c>
      <c r="J6379">
        <v>-189.24700000000001</v>
      </c>
      <c r="K6379">
        <v>1.1285700000000001</v>
      </c>
      <c r="L6379">
        <v>-41.47025</v>
      </c>
      <c r="M6379">
        <v>0.1161025</v>
      </c>
      <c r="N6379">
        <v>-1.4394809999999999E-2</v>
      </c>
      <c r="O6379">
        <v>0.99313289999999999</v>
      </c>
      <c r="P6379">
        <v>2.6103399999999999E-2</v>
      </c>
      <c r="Q6379">
        <v>0.1203591</v>
      </c>
      <c r="R6379">
        <v>0.99238720000000002</v>
      </c>
      <c r="S6379">
        <v>-9.6313480000000007E-2</v>
      </c>
      <c r="T6379">
        <v>-0.1202034</v>
      </c>
      <c r="U6379">
        <v>3.0398860000000001</v>
      </c>
      <c r="V6379">
        <v>-9.187099E-2</v>
      </c>
      <c r="W6379">
        <v>0.13284009999999999</v>
      </c>
      <c r="X6379">
        <v>0.98687040000000004</v>
      </c>
      <c r="Y6379">
        <v>-0.14744209999999999</v>
      </c>
      <c r="Z6379">
        <v>-2.4470309999999999E-2</v>
      </c>
      <c r="AA6379">
        <v>0.98876790000000003</v>
      </c>
      <c r="AB6379">
        <v>28</v>
      </c>
      <c r="AC6379">
        <v>-0.92919999999998004</v>
      </c>
      <c r="AD6379">
        <v>-1.128573142312</v>
      </c>
      <c r="AE6379">
        <v>28.274920000000002</v>
      </c>
      <c r="AF6379">
        <v>-4.1993608749420996</v>
      </c>
      <c r="AG6379">
        <v>-1.128573142312</v>
      </c>
      <c r="AH6379">
        <v>27.931319253580899</v>
      </c>
      <c r="AI6379">
        <v>92.288106386395896</v>
      </c>
      <c r="AJ6379">
        <v>98.550150225885602</v>
      </c>
      <c r="AK6379">
        <v>28.267771478151602</v>
      </c>
      <c r="AL6379">
        <v>82.366258011932103</v>
      </c>
      <c r="AM6379">
        <v>95.318522596681106</v>
      </c>
      <c r="AN6379">
        <v>0.99999997868387402</v>
      </c>
    </row>
    <row r="6380" spans="1:40" x14ac:dyDescent="0.25">
      <c r="A6380" t="str">
        <f>"20190303162426103"</f>
        <v>20190303162426103</v>
      </c>
      <c r="B6380" t="str">
        <f>"1551601466091061"</f>
        <v>1551601466091061</v>
      </c>
      <c r="C6380" t="s">
        <v>40</v>
      </c>
      <c r="D6380">
        <v>5.3658140000000003</v>
      </c>
      <c r="E6380">
        <v>0.47905009999999998</v>
      </c>
      <c r="F6380" t="s">
        <v>41</v>
      </c>
      <c r="G6380">
        <v>-190.11439999999999</v>
      </c>
      <c r="H6380" s="1">
        <v>-3.3037100000000001E-6</v>
      </c>
      <c r="I6380">
        <v>-12.78079</v>
      </c>
      <c r="J6380">
        <v>-189.22389999999999</v>
      </c>
      <c r="K6380">
        <v>1.1281429999999999</v>
      </c>
      <c r="L6380">
        <v>-41.184420000000003</v>
      </c>
      <c r="M6380">
        <v>0.1065257</v>
      </c>
      <c r="N6380">
        <v>-1.4325630000000001E-2</v>
      </c>
      <c r="O6380">
        <v>0.9942067</v>
      </c>
      <c r="P6380">
        <v>3.4309699999999999E-2</v>
      </c>
      <c r="Q6380">
        <v>0.11864760000000001</v>
      </c>
      <c r="R6380">
        <v>0.99234350000000004</v>
      </c>
      <c r="S6380">
        <v>-9.1903689999999996E-2</v>
      </c>
      <c r="T6380">
        <v>-0.11958290000000001</v>
      </c>
      <c r="U6380">
        <v>3.039917</v>
      </c>
      <c r="V6380">
        <v>-7.4007149999999994E-2</v>
      </c>
      <c r="W6380">
        <v>0.13150049999999999</v>
      </c>
      <c r="X6380">
        <v>0.98854969999999998</v>
      </c>
      <c r="Y6380">
        <v>-0.1364725</v>
      </c>
      <c r="Z6380">
        <v>-2.443708E-2</v>
      </c>
      <c r="AA6380">
        <v>0.99034239999999996</v>
      </c>
      <c r="AB6380">
        <v>28</v>
      </c>
      <c r="AC6380">
        <v>-0.89050000000000296</v>
      </c>
      <c r="AD6380">
        <v>-1.1281463037099999</v>
      </c>
      <c r="AE6380">
        <v>28.40363</v>
      </c>
      <c r="AF6380">
        <v>-3.9053044281339</v>
      </c>
      <c r="AG6380">
        <v>-1.1281463037099999</v>
      </c>
      <c r="AH6380">
        <v>28.102817676553801</v>
      </c>
      <c r="AI6380">
        <v>92.276963522751501</v>
      </c>
      <c r="AJ6380">
        <v>97.911433713596097</v>
      </c>
      <c r="AK6380">
        <v>28.395289717145001</v>
      </c>
      <c r="AL6380">
        <v>82.443690730354405</v>
      </c>
      <c r="AM6380">
        <v>94.281425662582805</v>
      </c>
      <c r="AN6380">
        <v>0.99999997456072998</v>
      </c>
    </row>
    <row r="6381" spans="1:40" x14ac:dyDescent="0.25">
      <c r="A6381" t="str">
        <f>"20190303162426134"</f>
        <v>20190303162426134</v>
      </c>
      <c r="B6381" t="str">
        <f>"1551601466121318"</f>
        <v>1551601466121318</v>
      </c>
      <c r="C6381" t="s">
        <v>40</v>
      </c>
      <c r="D6381">
        <v>5.4112080000000002</v>
      </c>
      <c r="E6381">
        <v>0.4790971</v>
      </c>
      <c r="F6381" t="s">
        <v>41</v>
      </c>
      <c r="G6381">
        <v>-189.83920000000001</v>
      </c>
      <c r="H6381" s="1">
        <v>-3.0148290000000001E-6</v>
      </c>
      <c r="I6381">
        <v>-13.406040000000001</v>
      </c>
      <c r="J6381">
        <v>-189.19560000000001</v>
      </c>
      <c r="K6381">
        <v>1.127505</v>
      </c>
      <c r="L6381">
        <v>-40.788730000000001</v>
      </c>
      <c r="M6381">
        <v>9.4345780000000004E-2</v>
      </c>
      <c r="N6381">
        <v>-1.422407E-2</v>
      </c>
      <c r="O6381">
        <v>0.99543789999999999</v>
      </c>
      <c r="P6381">
        <v>4.1875660000000002E-2</v>
      </c>
      <c r="Q6381">
        <v>0.11500059999999999</v>
      </c>
      <c r="R6381">
        <v>0.99248239999999999</v>
      </c>
      <c r="S6381">
        <v>-6.7352289999999995E-2</v>
      </c>
      <c r="T6381">
        <v>-0.1234707</v>
      </c>
      <c r="U6381">
        <v>3.040222</v>
      </c>
      <c r="V6381">
        <v>-5.4102200000000003E-2</v>
      </c>
      <c r="W6381">
        <v>0.12821550000000001</v>
      </c>
      <c r="X6381">
        <v>0.99026950000000002</v>
      </c>
      <c r="Y6381">
        <v>-0.1163285</v>
      </c>
      <c r="Z6381">
        <v>-2.5933359999999999E-2</v>
      </c>
      <c r="AA6381">
        <v>0.99287219999999998</v>
      </c>
      <c r="AB6381">
        <v>28</v>
      </c>
      <c r="AC6381">
        <v>-0.64359999999999196</v>
      </c>
      <c r="AD6381">
        <v>-1.127508014829</v>
      </c>
      <c r="AE6381">
        <v>27.38269</v>
      </c>
      <c r="AF6381">
        <v>-3.2189765573906501</v>
      </c>
      <c r="AG6381">
        <v>-1.127508014829</v>
      </c>
      <c r="AH6381">
        <v>27.153784670066798</v>
      </c>
      <c r="AI6381">
        <v>92.361215224329598</v>
      </c>
      <c r="AJ6381">
        <v>96.760642206801407</v>
      </c>
      <c r="AK6381">
        <v>27.367153785311501</v>
      </c>
      <c r="AL6381">
        <v>82.633514762447902</v>
      </c>
      <c r="AM6381">
        <v>93.127178062872602</v>
      </c>
      <c r="AN6381">
        <v>0.99999997255766904</v>
      </c>
    </row>
    <row r="6382" spans="1:40" x14ac:dyDescent="0.25">
      <c r="A6382" t="str">
        <f>"20190303162426158"</f>
        <v>20190303162426158</v>
      </c>
      <c r="B6382" t="str">
        <f>"1551601466151574"</f>
        <v>1551601466151574</v>
      </c>
      <c r="C6382" t="s">
        <v>40</v>
      </c>
      <c r="D6382">
        <v>5.3716929999999996</v>
      </c>
      <c r="E6382">
        <v>0.47912070000000001</v>
      </c>
      <c r="F6382" t="s">
        <v>41</v>
      </c>
      <c r="G6382">
        <v>-189.5992</v>
      </c>
      <c r="H6382" s="1">
        <v>-2.43164E-6</v>
      </c>
      <c r="I6382">
        <v>-14.864710000000001</v>
      </c>
      <c r="J6382">
        <v>-189.1772</v>
      </c>
      <c r="K6382">
        <v>1.1270990000000001</v>
      </c>
      <c r="L6382">
        <v>-40.499420000000001</v>
      </c>
      <c r="M6382">
        <v>8.6039069999999995E-2</v>
      </c>
      <c r="N6382">
        <v>-1.4153819999999999E-2</v>
      </c>
      <c r="O6382">
        <v>0.99619120000000005</v>
      </c>
      <c r="P6382">
        <v>4.565164E-2</v>
      </c>
      <c r="Q6382">
        <v>0.1141103</v>
      </c>
      <c r="R6382">
        <v>0.99241860000000004</v>
      </c>
      <c r="S6382">
        <v>-4.7332760000000001E-2</v>
      </c>
      <c r="T6382">
        <v>-0.1322198</v>
      </c>
      <c r="U6382">
        <v>3.0400390000000002</v>
      </c>
      <c r="V6382">
        <v>-4.1915330000000001E-2</v>
      </c>
      <c r="W6382">
        <v>0.12750799999999901</v>
      </c>
      <c r="X6382">
        <v>0.99095149999999999</v>
      </c>
      <c r="Y6382">
        <v>-0.1014992</v>
      </c>
      <c r="Z6382">
        <v>-2.894091E-2</v>
      </c>
      <c r="AA6382">
        <v>0.99441460000000004</v>
      </c>
      <c r="AB6382">
        <v>28</v>
      </c>
      <c r="AC6382">
        <v>-0.42199999999999599</v>
      </c>
      <c r="AD6382">
        <v>-1.1271014316399901</v>
      </c>
      <c r="AE6382">
        <v>25.634709999999998</v>
      </c>
      <c r="AF6382">
        <v>-2.6211766226034801</v>
      </c>
      <c r="AG6382">
        <v>-1.1271014316399901</v>
      </c>
      <c r="AH6382">
        <v>25.4541255031486</v>
      </c>
      <c r="AI6382">
        <v>92.522065068152003</v>
      </c>
      <c r="AJ6382">
        <v>95.879394971943</v>
      </c>
      <c r="AK6382">
        <v>25.613539967254201</v>
      </c>
      <c r="AL6382">
        <v>82.674387432076003</v>
      </c>
      <c r="AM6382">
        <v>92.422056784035107</v>
      </c>
      <c r="AN6382">
        <v>1.00000003015262</v>
      </c>
    </row>
    <row r="6383" spans="1:40" x14ac:dyDescent="0.25">
      <c r="A6383" t="str">
        <f>"20190303162426180"</f>
        <v>20190303162426180</v>
      </c>
      <c r="B6383" t="str">
        <f>"1551601466171095"</f>
        <v>1551601466171095</v>
      </c>
      <c r="C6383" t="s">
        <v>40</v>
      </c>
      <c r="D6383">
        <v>5.4375369999999998</v>
      </c>
      <c r="E6383">
        <v>0.47906349999999998</v>
      </c>
      <c r="F6383" t="s">
        <v>41</v>
      </c>
      <c r="G6383">
        <v>-189.49870000000001</v>
      </c>
      <c r="H6383" s="1">
        <v>-2.4915019999999998E-6</v>
      </c>
      <c r="I6383">
        <v>-14.76676</v>
      </c>
      <c r="J6383">
        <v>-189.16069999999999</v>
      </c>
      <c r="K6383">
        <v>1.1266860000000001</v>
      </c>
      <c r="L6383">
        <v>-40.211399999999998</v>
      </c>
      <c r="M6383">
        <v>7.8382720000000003E-2</v>
      </c>
      <c r="N6383">
        <v>-1.40859E-2</v>
      </c>
      <c r="O6383">
        <v>0.99682380000000004</v>
      </c>
      <c r="P6383">
        <v>4.9698659999999999E-2</v>
      </c>
      <c r="Q6383">
        <v>0.115246</v>
      </c>
      <c r="R6383">
        <v>0.992093</v>
      </c>
      <c r="S6383">
        <v>-3.797913E-2</v>
      </c>
      <c r="T6383">
        <v>-0.1331522</v>
      </c>
      <c r="U6383">
        <v>3.0399780000000001</v>
      </c>
      <c r="V6383">
        <v>-3.0114849999999999E-2</v>
      </c>
      <c r="W6383">
        <v>0.12879389999999999</v>
      </c>
      <c r="X6383">
        <v>0.99121400000000004</v>
      </c>
      <c r="Y6383">
        <v>-9.0795550000000003E-2</v>
      </c>
      <c r="Z6383">
        <v>-2.938079E-2</v>
      </c>
      <c r="AA6383">
        <v>0.99543610000000005</v>
      </c>
      <c r="AB6383">
        <v>28</v>
      </c>
      <c r="AC6383">
        <v>-0.33800000000002201</v>
      </c>
      <c r="AD6383">
        <v>-1.1266884915019999</v>
      </c>
      <c r="AE6383">
        <v>25.44464</v>
      </c>
      <c r="AF6383">
        <v>-2.3270160951466798</v>
      </c>
      <c r="AG6383">
        <v>-1.1266884915019999</v>
      </c>
      <c r="AH6383">
        <v>25.290265658733599</v>
      </c>
      <c r="AI6383">
        <v>92.540140549077293</v>
      </c>
      <c r="AJ6383">
        <v>95.257115076488503</v>
      </c>
      <c r="AK6383">
        <v>25.422076389494201</v>
      </c>
      <c r="AL6383">
        <v>82.600097899109002</v>
      </c>
      <c r="AM6383">
        <v>91.740212713401405</v>
      </c>
      <c r="AN6383">
        <v>0.99999998333186602</v>
      </c>
    </row>
    <row r="6384" spans="1:40" x14ac:dyDescent="0.25">
      <c r="A6384" t="str">
        <f>"20190303162426202"</f>
        <v>20190303162426202</v>
      </c>
      <c r="B6384" t="str">
        <f>"1551601466190614"</f>
        <v>1551601466190614</v>
      </c>
      <c r="C6384" t="s">
        <v>40</v>
      </c>
      <c r="D6384">
        <v>5.3780710000000003</v>
      </c>
      <c r="E6384">
        <v>0.47900579999999998</v>
      </c>
      <c r="F6384" t="s">
        <v>41</v>
      </c>
      <c r="G6384">
        <v>-189.40710000000001</v>
      </c>
      <c r="H6384" s="1">
        <v>-3.0315000000000001E-6</v>
      </c>
      <c r="I6384">
        <v>-13.54588</v>
      </c>
      <c r="J6384">
        <v>-189.14689999999999</v>
      </c>
      <c r="K6384">
        <v>1.126255</v>
      </c>
      <c r="L6384">
        <v>-39.94641</v>
      </c>
      <c r="M6384">
        <v>7.1985129999999994E-2</v>
      </c>
      <c r="N6384">
        <v>-1.4019790000000001E-2</v>
      </c>
      <c r="O6384">
        <v>0.99730719999999995</v>
      </c>
      <c r="P6384">
        <v>5.4730719999999997E-2</v>
      </c>
      <c r="Q6384">
        <v>0.1168155</v>
      </c>
      <c r="R6384">
        <v>0.99164439999999998</v>
      </c>
      <c r="S6384">
        <v>-2.8091430000000001E-2</v>
      </c>
      <c r="T6384">
        <v>-0.12845870000000001</v>
      </c>
      <c r="U6384">
        <v>3.0402529999999999</v>
      </c>
      <c r="V6384">
        <v>-1.8576329999999999E-2</v>
      </c>
      <c r="W6384">
        <v>0.13048560000000001</v>
      </c>
      <c r="X6384">
        <v>0.99127609999999999</v>
      </c>
      <c r="Y6384">
        <v>-8.1168840000000006E-2</v>
      </c>
      <c r="Z6384">
        <v>-2.7964079999999999E-2</v>
      </c>
      <c r="AA6384">
        <v>0.99630799999999997</v>
      </c>
      <c r="AB6384">
        <v>28</v>
      </c>
      <c r="AC6384">
        <v>-0.26020000000002602</v>
      </c>
      <c r="AD6384">
        <v>-1.1262580314999999</v>
      </c>
      <c r="AE6384">
        <v>26.40053</v>
      </c>
      <c r="AF6384">
        <v>-2.15623337754691</v>
      </c>
      <c r="AG6384">
        <v>-1.1262580314999999</v>
      </c>
      <c r="AH6384">
        <v>26.2654971329757</v>
      </c>
      <c r="AI6384">
        <v>92.447102689057701</v>
      </c>
      <c r="AJ6384">
        <v>94.693101891258095</v>
      </c>
      <c r="AK6384">
        <v>26.377910060774798</v>
      </c>
      <c r="AL6384">
        <v>82.502345366535394</v>
      </c>
      <c r="AM6384">
        <v>91.073586603772597</v>
      </c>
      <c r="AN6384">
        <v>0.99999993913741703</v>
      </c>
    </row>
    <row r="6385" spans="1:40" x14ac:dyDescent="0.25">
      <c r="A6385" t="str">
        <f>"20190303162426224"</f>
        <v>20190303162426224</v>
      </c>
      <c r="B6385" t="str">
        <f>"1551601466211110"</f>
        <v>1551601466211110</v>
      </c>
      <c r="C6385" t="s">
        <v>40</v>
      </c>
      <c r="D6385">
        <v>5.3785920000000003</v>
      </c>
      <c r="E6385">
        <v>0.47890290000000002</v>
      </c>
      <c r="F6385" t="s">
        <v>41</v>
      </c>
      <c r="G6385">
        <v>-189.28229999999999</v>
      </c>
      <c r="H6385" s="1">
        <v>-3.684627E-6</v>
      </c>
      <c r="I6385">
        <v>-12.074999999999999</v>
      </c>
      <c r="J6385">
        <v>-189.13399999999999</v>
      </c>
      <c r="K6385">
        <v>1.1257360000000001</v>
      </c>
      <c r="L6385">
        <v>-39.67407</v>
      </c>
      <c r="M6385">
        <v>6.6105430000000007E-2</v>
      </c>
      <c r="N6385">
        <v>-1.3948550000000001E-2</v>
      </c>
      <c r="O6385">
        <v>0.99771509999999997</v>
      </c>
      <c r="P6385">
        <v>5.9492129999999997E-2</v>
      </c>
      <c r="Q6385">
        <v>0.1179854</v>
      </c>
      <c r="R6385">
        <v>0.99123159999999999</v>
      </c>
      <c r="S6385">
        <v>-1.4770510000000001E-2</v>
      </c>
      <c r="T6385">
        <v>-0.12286619999999999</v>
      </c>
      <c r="U6385">
        <v>3.0405579999999999</v>
      </c>
      <c r="V6385">
        <v>-7.7937880000000003E-3</v>
      </c>
      <c r="W6385">
        <v>0.13173879999999999</v>
      </c>
      <c r="X6385">
        <v>0.99125390000000002</v>
      </c>
      <c r="Y6385">
        <v>-7.0929590000000001E-2</v>
      </c>
      <c r="Z6385">
        <v>-2.624924E-2</v>
      </c>
      <c r="AA6385">
        <v>0.99713589999999996</v>
      </c>
      <c r="AB6385">
        <v>28</v>
      </c>
      <c r="AC6385">
        <v>-0.14829999999997701</v>
      </c>
      <c r="AD6385">
        <v>-1.125739684627</v>
      </c>
      <c r="AE6385">
        <v>27.599070000000001</v>
      </c>
      <c r="AF6385">
        <v>-1.96932517088766</v>
      </c>
      <c r="AG6385">
        <v>-1.125739684627</v>
      </c>
      <c r="AH6385">
        <v>27.483161164836702</v>
      </c>
      <c r="AI6385">
        <v>92.339593214156693</v>
      </c>
      <c r="AJ6385">
        <v>94.098564061157504</v>
      </c>
      <c r="AK6385">
        <v>27.5766147138953</v>
      </c>
      <c r="AL6385">
        <v>82.429918081365201</v>
      </c>
      <c r="AM6385">
        <v>90.450481917160602</v>
      </c>
      <c r="AN6385">
        <v>1.00000007441101</v>
      </c>
    </row>
    <row r="6386" spans="1:40" x14ac:dyDescent="0.25">
      <c r="A6386" t="str">
        <f>"20190303162426247"</f>
        <v>20190303162426247</v>
      </c>
      <c r="B6386" t="str">
        <f>"1551601466241367"</f>
        <v>1551601466241367</v>
      </c>
      <c r="C6386" t="s">
        <v>40</v>
      </c>
      <c r="D6386">
        <v>5.4974160000000003</v>
      </c>
      <c r="E6386">
        <v>0.4744044</v>
      </c>
      <c r="F6386" t="s">
        <v>41</v>
      </c>
      <c r="G6386">
        <v>-189.1473</v>
      </c>
      <c r="H6386" s="1">
        <v>-4.231252E-6</v>
      </c>
      <c r="I6386">
        <v>-10.85665</v>
      </c>
      <c r="J6386">
        <v>-189.1216</v>
      </c>
      <c r="K6386">
        <v>1.125148</v>
      </c>
      <c r="L6386">
        <v>-39.393859999999997</v>
      </c>
      <c r="M6386">
        <v>6.0792249999999999E-2</v>
      </c>
      <c r="N6386">
        <v>-1.38777E-2</v>
      </c>
      <c r="O6386">
        <v>0.998054</v>
      </c>
      <c r="P6386">
        <v>6.2754879999999999E-2</v>
      </c>
      <c r="Q6386">
        <v>0.1180252</v>
      </c>
      <c r="R6386">
        <v>0.99102570000000001</v>
      </c>
      <c r="S6386">
        <v>-1.403809E-3</v>
      </c>
      <c r="T6386">
        <v>-0.1187865</v>
      </c>
      <c r="U6386">
        <v>3.0407709999999999</v>
      </c>
      <c r="V6386">
        <v>9.5129570000000003E-4</v>
      </c>
      <c r="W6386">
        <v>0.1318125</v>
      </c>
      <c r="X6386">
        <v>0.99127419999999999</v>
      </c>
      <c r="Y6386">
        <v>-6.1236209999999999E-2</v>
      </c>
      <c r="Z6386">
        <v>-2.5018820000000001E-2</v>
      </c>
      <c r="AA6386">
        <v>0.99780970000000002</v>
      </c>
      <c r="AB6386">
        <v>28</v>
      </c>
      <c r="AC6386">
        <v>-2.57000000000005E-2</v>
      </c>
      <c r="AD6386">
        <v>-1.1251522312519999</v>
      </c>
      <c r="AE6386">
        <v>28.537209999999899</v>
      </c>
      <c r="AF6386">
        <v>-1.75792792548837</v>
      </c>
      <c r="AG6386">
        <v>-1.1251522312519999</v>
      </c>
      <c r="AH6386">
        <v>28.438647315532801</v>
      </c>
      <c r="AI6386">
        <v>92.261367995884797</v>
      </c>
      <c r="AJ6386">
        <v>93.537223652844602</v>
      </c>
      <c r="AK6386">
        <v>28.515135266590601</v>
      </c>
      <c r="AL6386">
        <v>82.425657590794302</v>
      </c>
      <c r="AM6386">
        <v>89.94501499994</v>
      </c>
      <c r="AN6386">
        <v>0.999999989852699</v>
      </c>
    </row>
    <row r="6387" spans="1:40" x14ac:dyDescent="0.25">
      <c r="A6387" t="str">
        <f>"20190303162426270"</f>
        <v>20190303162426270</v>
      </c>
      <c r="B6387" t="str">
        <f>"1551601466260886"</f>
        <v>1551601466260886</v>
      </c>
      <c r="C6387" t="s">
        <v>40</v>
      </c>
      <c r="D6387">
        <v>5.4369019999999999</v>
      </c>
      <c r="E6387">
        <v>0.4740453</v>
      </c>
      <c r="F6387" t="s">
        <v>41</v>
      </c>
      <c r="G6387">
        <v>-189.39959999999999</v>
      </c>
      <c r="H6387" s="1">
        <v>-1.751267E-6</v>
      </c>
      <c r="I6387">
        <v>-6.5332350000000003</v>
      </c>
      <c r="J6387">
        <v>-189.10910000000001</v>
      </c>
      <c r="K6387">
        <v>1.1245639999999999</v>
      </c>
      <c r="L6387">
        <v>-39.093020000000003</v>
      </c>
      <c r="M6387">
        <v>5.576826E-2</v>
      </c>
      <c r="N6387">
        <v>-1.3809429999999999E-2</v>
      </c>
      <c r="O6387">
        <v>0.99834820000000002</v>
      </c>
      <c r="P6387">
        <v>6.4438659999999995E-2</v>
      </c>
      <c r="Q6387">
        <v>0.11914039999999999</v>
      </c>
      <c r="R6387">
        <v>0.9907842</v>
      </c>
      <c r="S6387">
        <v>-2.572632E-2</v>
      </c>
      <c r="T6387">
        <v>-0.1041309</v>
      </c>
      <c r="U6387">
        <v>3.0411990000000002</v>
      </c>
      <c r="V6387">
        <v>7.8226430000000007E-3</v>
      </c>
      <c r="W6387">
        <v>0.13291939999999999</v>
      </c>
      <c r="X6387">
        <v>0.99109599999999998</v>
      </c>
      <c r="Y6387">
        <v>-6.4194299999999996E-2</v>
      </c>
      <c r="Z6387">
        <v>-2.0296370000000001E-2</v>
      </c>
      <c r="AA6387">
        <v>0.99773100000000003</v>
      </c>
      <c r="AB6387">
        <v>28</v>
      </c>
      <c r="AC6387">
        <v>-0.29049999999998</v>
      </c>
      <c r="AD6387">
        <v>-1.124565751267</v>
      </c>
      <c r="AE6387">
        <v>32.559784999999998</v>
      </c>
      <c r="AF6387">
        <v>-2.1035145052420301</v>
      </c>
      <c r="AG6387">
        <v>-1.124565751267</v>
      </c>
      <c r="AH6387">
        <v>32.454189841084897</v>
      </c>
      <c r="AI6387">
        <v>91.980402177539403</v>
      </c>
      <c r="AJ6387">
        <v>93.708432026118999</v>
      </c>
      <c r="AK6387">
        <v>32.541724902713199</v>
      </c>
      <c r="AL6387">
        <v>82.361674129129398</v>
      </c>
      <c r="AM6387">
        <v>89.547778296511297</v>
      </c>
      <c r="AN6387">
        <v>1.0000000209279301</v>
      </c>
    </row>
    <row r="6388" spans="1:40" x14ac:dyDescent="0.25">
      <c r="A6388" t="str">
        <f>"20190303162426294"</f>
        <v>20190303162426294</v>
      </c>
      <c r="B6388" t="str">
        <f>"1551601466281383"</f>
        <v>1551601466281383</v>
      </c>
      <c r="C6388" t="s">
        <v>40</v>
      </c>
      <c r="D6388">
        <v>5.3808400000000001</v>
      </c>
      <c r="E6388">
        <v>0.47388720000000001</v>
      </c>
      <c r="F6388" t="s">
        <v>41</v>
      </c>
      <c r="G6388">
        <v>-189.3426</v>
      </c>
      <c r="H6388" s="1">
        <v>-1.4630400000000001E-6</v>
      </c>
      <c r="I6388">
        <v>-7.2286489999999999</v>
      </c>
      <c r="J6388">
        <v>-189.09800000000001</v>
      </c>
      <c r="K6388">
        <v>1.1240709999999901</v>
      </c>
      <c r="L6388">
        <v>-38.809809999999999</v>
      </c>
      <c r="M6388">
        <v>5.1727049999999997E-2</v>
      </c>
      <c r="N6388">
        <v>-1.3750389999999999E-2</v>
      </c>
      <c r="O6388">
        <v>0.99856659999999997</v>
      </c>
      <c r="P6388">
        <v>6.4029440000000007E-2</v>
      </c>
      <c r="Q6388">
        <v>0.1209447</v>
      </c>
      <c r="R6388">
        <v>0.99059209999999998</v>
      </c>
      <c r="S6388">
        <v>-2.2293090000000002E-2</v>
      </c>
      <c r="T6388">
        <v>-0.10736850000000001</v>
      </c>
      <c r="U6388">
        <v>3.0422669999999998</v>
      </c>
      <c r="V6388">
        <v>1.1594719999999999E-2</v>
      </c>
      <c r="W6388">
        <v>0.1346811</v>
      </c>
      <c r="X6388">
        <v>0.99082119999999996</v>
      </c>
      <c r="Y6388">
        <v>-5.9026719999999998E-2</v>
      </c>
      <c r="Z6388">
        <v>-2.1420479999999999E-2</v>
      </c>
      <c r="AA6388">
        <v>0.99802650000000004</v>
      </c>
      <c r="AB6388">
        <v>28</v>
      </c>
      <c r="AC6388">
        <v>-0.244600000000019</v>
      </c>
      <c r="AD6388">
        <v>-1.1240724630400001</v>
      </c>
      <c r="AE6388">
        <v>31.581161000000002</v>
      </c>
      <c r="AF6388">
        <v>-1.87565115483786</v>
      </c>
      <c r="AG6388">
        <v>-1.1240724630400001</v>
      </c>
      <c r="AH6388">
        <v>31.486333671067101</v>
      </c>
      <c r="AI6388">
        <v>92.040994745762305</v>
      </c>
      <c r="AJ6388">
        <v>93.409099523976394</v>
      </c>
      <c r="AK6388">
        <v>31.562173787662001</v>
      </c>
      <c r="AL6388">
        <v>82.259820479869603</v>
      </c>
      <c r="AM6388">
        <v>89.329547855081401</v>
      </c>
      <c r="AN6388">
        <v>1.00000004329926</v>
      </c>
    </row>
    <row r="6389" spans="1:40" x14ac:dyDescent="0.25">
      <c r="A6389" t="str">
        <f>"20190303162426315"</f>
        <v>20190303162426315</v>
      </c>
      <c r="B6389" t="str">
        <f>"1551601466300902"</f>
        <v>1551601466300902</v>
      </c>
      <c r="C6389" t="s">
        <v>40</v>
      </c>
      <c r="D6389">
        <v>5.5034799999999997</v>
      </c>
      <c r="E6389">
        <v>0.4735278</v>
      </c>
      <c r="F6389" t="s">
        <v>41</v>
      </c>
      <c r="G6389">
        <v>-189.32849999999999</v>
      </c>
      <c r="H6389" s="1">
        <v>-1.490272E-6</v>
      </c>
      <c r="I6389">
        <v>-7.1710089999999997</v>
      </c>
      <c r="J6389">
        <v>-189.08750000000001</v>
      </c>
      <c r="K6389">
        <v>1.1235839999999999</v>
      </c>
      <c r="L6389">
        <v>-38.531219999999998</v>
      </c>
      <c r="M6389">
        <v>4.8494589999999997E-2</v>
      </c>
      <c r="N6389">
        <v>-1.3694309999999999E-2</v>
      </c>
      <c r="O6389">
        <v>0.9987296</v>
      </c>
      <c r="P6389">
        <v>6.1559830000000003E-2</v>
      </c>
      <c r="Q6389">
        <v>0.1239687</v>
      </c>
      <c r="R6389">
        <v>0.99037470000000005</v>
      </c>
      <c r="S6389">
        <v>-2.217102E-2</v>
      </c>
      <c r="T6389">
        <v>-0.1081169</v>
      </c>
      <c r="U6389">
        <v>3.0431210000000002</v>
      </c>
      <c r="V6389">
        <v>1.2497670000000001E-2</v>
      </c>
      <c r="W6389">
        <v>0.13763499999999901</v>
      </c>
      <c r="X6389">
        <v>0.99040419999999996</v>
      </c>
      <c r="Y6389">
        <v>-5.5754159999999997E-2</v>
      </c>
      <c r="Z6389">
        <v>-2.172371E-2</v>
      </c>
      <c r="AA6389">
        <v>0.99820819999999999</v>
      </c>
      <c r="AB6389">
        <v>28</v>
      </c>
      <c r="AC6389">
        <v>-0.240999999999985</v>
      </c>
      <c r="AD6389">
        <v>-1.1235854902719999</v>
      </c>
      <c r="AE6389">
        <v>31.360211</v>
      </c>
      <c r="AF6389">
        <v>-1.7594011753557799</v>
      </c>
      <c r="AG6389">
        <v>-1.1235854902719999</v>
      </c>
      <c r="AH6389">
        <v>31.271478808377399</v>
      </c>
      <c r="AI6389">
        <v>92.054508124676602</v>
      </c>
      <c r="AJ6389">
        <v>93.220189837829395</v>
      </c>
      <c r="AK6389">
        <v>31.341080449030301</v>
      </c>
      <c r="AL6389">
        <v>82.088983345898896</v>
      </c>
      <c r="AM6389">
        <v>89.277036848815698</v>
      </c>
      <c r="AN6389">
        <v>1.0000000321790301</v>
      </c>
    </row>
    <row r="6390" spans="1:40" x14ac:dyDescent="0.25">
      <c r="A6390" t="str">
        <f>"20190303162426337"</f>
        <v>20190303162426337</v>
      </c>
      <c r="B6390" t="str">
        <f>"1551601466331159"</f>
        <v>1551601466331159</v>
      </c>
      <c r="C6390" t="s">
        <v>40</v>
      </c>
      <c r="D6390">
        <v>5.499288</v>
      </c>
      <c r="E6390">
        <v>0.47258280000000003</v>
      </c>
      <c r="F6390" t="s">
        <v>41</v>
      </c>
      <c r="G6390">
        <v>-189.4014</v>
      </c>
      <c r="H6390" s="1">
        <v>-2.0082800000000002E-6</v>
      </c>
      <c r="I6390">
        <v>-5.9333900000000002</v>
      </c>
      <c r="J6390">
        <v>-189.07749999999999</v>
      </c>
      <c r="K6390">
        <v>1.1230770000000001</v>
      </c>
      <c r="L6390">
        <v>-38.262599999999999</v>
      </c>
      <c r="M6390">
        <v>4.6109020000000001E-2</v>
      </c>
      <c r="N6390">
        <v>-1.3642970000000001E-2</v>
      </c>
      <c r="O6390">
        <v>0.99884329999999999</v>
      </c>
      <c r="P6390">
        <v>5.8712449999999999E-2</v>
      </c>
      <c r="Q6390">
        <v>0.12556010000000001</v>
      </c>
      <c r="R6390">
        <v>0.99034710000000004</v>
      </c>
      <c r="S6390">
        <v>-2.9312129999999999E-2</v>
      </c>
      <c r="T6390">
        <v>-0.1049243</v>
      </c>
      <c r="U6390">
        <v>3.044098</v>
      </c>
      <c r="V6390">
        <v>1.2192980000000001E-2</v>
      </c>
      <c r="W6390">
        <v>0.13915369999999999</v>
      </c>
      <c r="X6390">
        <v>0.99019570000000001</v>
      </c>
      <c r="Y6390">
        <v>-5.570928E-2</v>
      </c>
      <c r="Z6390">
        <v>-2.0724059999999999E-2</v>
      </c>
      <c r="AA6390">
        <v>0.99823189999999995</v>
      </c>
      <c r="AB6390">
        <v>28</v>
      </c>
      <c r="AC6390">
        <v>-0.32390000000000801</v>
      </c>
      <c r="AD6390">
        <v>-1.12307900828</v>
      </c>
      <c r="AE6390">
        <v>32.329210000000003</v>
      </c>
      <c r="AF6390">
        <v>-1.8121756077939</v>
      </c>
      <c r="AG6390">
        <v>-1.12307900828</v>
      </c>
      <c r="AH6390">
        <v>32.240978516049502</v>
      </c>
      <c r="AI6390">
        <v>91.9918873520555</v>
      </c>
      <c r="AJ6390">
        <v>93.217051216839806</v>
      </c>
      <c r="AK6390">
        <v>32.311390910400199</v>
      </c>
      <c r="AL6390">
        <v>82.001122295578696</v>
      </c>
      <c r="AM6390">
        <v>89.294512198328903</v>
      </c>
      <c r="AN6390">
        <v>0.99999997264172902</v>
      </c>
    </row>
    <row r="6391" spans="1:40" x14ac:dyDescent="0.25">
      <c r="A6391" t="str">
        <f>"20190303162426359"</f>
        <v>20190303162426359</v>
      </c>
      <c r="B6391" t="str">
        <f>"1551601466350678"</f>
        <v>1551601466350678</v>
      </c>
      <c r="C6391" t="s">
        <v>40</v>
      </c>
      <c r="D6391">
        <v>5.4861559999999896</v>
      </c>
      <c r="E6391">
        <v>0.47232990000000002</v>
      </c>
      <c r="F6391" t="s">
        <v>41</v>
      </c>
      <c r="G6391">
        <v>-189.5206</v>
      </c>
      <c r="H6391" s="1">
        <v>-1.7677480000000001E-6</v>
      </c>
      <c r="I6391">
        <v>-6.4447929999999998</v>
      </c>
      <c r="J6391">
        <v>-189.0668</v>
      </c>
      <c r="K6391">
        <v>1.1224860000000001</v>
      </c>
      <c r="L6391">
        <v>-37.977539999999998</v>
      </c>
      <c r="M6391">
        <v>4.43553E-2</v>
      </c>
      <c r="N6391">
        <v>-1.359458E-2</v>
      </c>
      <c r="O6391">
        <v>0.99892329999999996</v>
      </c>
      <c r="P6391">
        <v>5.465039E-2</v>
      </c>
      <c r="Q6391">
        <v>0.12522420000000001</v>
      </c>
      <c r="R6391">
        <v>0.99062220000000001</v>
      </c>
      <c r="S6391">
        <v>-4.2404169999999998E-2</v>
      </c>
      <c r="T6391">
        <v>-0.1074933</v>
      </c>
      <c r="U6391">
        <v>3.0453800000000002</v>
      </c>
      <c r="V6391">
        <v>1.0075010000000001E-2</v>
      </c>
      <c r="W6391">
        <v>0.138742899999999</v>
      </c>
      <c r="X6391">
        <v>0.99027719999999997</v>
      </c>
      <c r="Y6391">
        <v>-5.8241519999999998E-2</v>
      </c>
      <c r="Z6391">
        <v>-2.1597910000000001E-2</v>
      </c>
      <c r="AA6391">
        <v>0.99806890000000004</v>
      </c>
      <c r="AB6391">
        <v>28</v>
      </c>
      <c r="AC6391">
        <v>-0.45380000000000098</v>
      </c>
      <c r="AD6391">
        <v>-1.1224877677480001</v>
      </c>
      <c r="AE6391">
        <v>31.532747000000001</v>
      </c>
      <c r="AF6391">
        <v>-1.84978350515499</v>
      </c>
      <c r="AG6391">
        <v>-1.1224877677480001</v>
      </c>
      <c r="AH6391">
        <v>31.4417428273028</v>
      </c>
      <c r="AI6391">
        <v>92.041096665158904</v>
      </c>
      <c r="AJ6391">
        <v>93.366949568901006</v>
      </c>
      <c r="AK6391">
        <v>31.5161049278449</v>
      </c>
      <c r="AL6391">
        <v>82.024890301491197</v>
      </c>
      <c r="AM6391">
        <v>89.417096914103595</v>
      </c>
      <c r="AN6391">
        <v>1.0000000154833699</v>
      </c>
    </row>
    <row r="6392" spans="1:40" x14ac:dyDescent="0.25">
      <c r="A6392" t="str">
        <f>"20190303162426381"</f>
        <v>20190303162426381</v>
      </c>
      <c r="B6392" t="str">
        <f>"1551601466371175"</f>
        <v>1551601466371175</v>
      </c>
      <c r="C6392" t="s">
        <v>40</v>
      </c>
      <c r="D6392">
        <v>5.4966699999999999</v>
      </c>
      <c r="E6392">
        <v>0.47200120000000001</v>
      </c>
      <c r="F6392" t="s">
        <v>41</v>
      </c>
      <c r="G6392">
        <v>-189.6071</v>
      </c>
      <c r="H6392" s="1">
        <v>-1.278994E-6</v>
      </c>
      <c r="I6392">
        <v>-7.5482880000000003</v>
      </c>
      <c r="J6392">
        <v>-189.05609999999999</v>
      </c>
      <c r="K6392">
        <v>1.1218699999999999</v>
      </c>
      <c r="L6392">
        <v>-37.699829999999999</v>
      </c>
      <c r="M6392">
        <v>4.3406609999999998E-2</v>
      </c>
      <c r="N6392">
        <v>-1.355598E-2</v>
      </c>
      <c r="O6392">
        <v>0.99896549999999995</v>
      </c>
      <c r="P6392">
        <v>5.0124969999999998E-2</v>
      </c>
      <c r="Q6392">
        <v>0.12563079999999999</v>
      </c>
      <c r="R6392">
        <v>0.99080999999999997</v>
      </c>
      <c r="S6392">
        <v>-5.4077149999999997E-2</v>
      </c>
      <c r="T6392">
        <v>-0.11234710000000001</v>
      </c>
      <c r="U6392">
        <v>3.0455930000000002</v>
      </c>
      <c r="V6392">
        <v>6.6998839999999997E-3</v>
      </c>
      <c r="W6392">
        <v>0.13908570000000001</v>
      </c>
      <c r="X6392">
        <v>0.99025770000000002</v>
      </c>
      <c r="Y6392">
        <v>-6.1114370000000001E-2</v>
      </c>
      <c r="Z6392">
        <v>-2.3218510000000001E-2</v>
      </c>
      <c r="AA6392">
        <v>0.99786070000000004</v>
      </c>
      <c r="AB6392">
        <v>28</v>
      </c>
      <c r="AC6392">
        <v>-0.55100000000001603</v>
      </c>
      <c r="AD6392">
        <v>-1.121871278994</v>
      </c>
      <c r="AE6392">
        <v>30.151541999999999</v>
      </c>
      <c r="AF6392">
        <v>-1.8568073579167801</v>
      </c>
      <c r="AG6392">
        <v>-1.121871278994</v>
      </c>
      <c r="AH6392">
        <v>30.057601001606301</v>
      </c>
      <c r="AI6392">
        <v>92.133454947632003</v>
      </c>
      <c r="AJ6392">
        <v>93.534952913856301</v>
      </c>
      <c r="AK6392">
        <v>30.1357878062414</v>
      </c>
      <c r="AL6392">
        <v>82.005057020348204</v>
      </c>
      <c r="AM6392">
        <v>89.612354219348504</v>
      </c>
      <c r="AN6392">
        <v>1.0000000163996901</v>
      </c>
    </row>
    <row r="6393" spans="1:40" x14ac:dyDescent="0.25">
      <c r="A6393" t="str">
        <f>"20190303162426406"</f>
        <v>20190303162426406</v>
      </c>
      <c r="B6393" t="str">
        <f>"1551601466401431"</f>
        <v>1551601466401431</v>
      </c>
      <c r="C6393" t="s">
        <v>40</v>
      </c>
      <c r="D6393">
        <v>5.623291</v>
      </c>
      <c r="E6393">
        <v>0.47217979999999998</v>
      </c>
      <c r="F6393" t="s">
        <v>41</v>
      </c>
      <c r="G6393">
        <v>-189.73830000000001</v>
      </c>
      <c r="H6393" s="1">
        <v>-1.1888989999999999E-6</v>
      </c>
      <c r="I6393">
        <v>-7.704072</v>
      </c>
      <c r="J6393">
        <v>-189.04349999999999</v>
      </c>
      <c r="K6393">
        <v>1.121197</v>
      </c>
      <c r="L6393">
        <v>-37.394100000000002</v>
      </c>
      <c r="M6393">
        <v>4.329852E-2</v>
      </c>
      <c r="N6393">
        <v>-1.3522350000000001E-2</v>
      </c>
      <c r="O6393">
        <v>0.99897069999999999</v>
      </c>
      <c r="P6393">
        <v>4.523771E-2</v>
      </c>
      <c r="Q6393">
        <v>0.1269903</v>
      </c>
      <c r="R6393">
        <v>0.99087179999999997</v>
      </c>
      <c r="S6393">
        <v>-6.9274899999999903E-2</v>
      </c>
      <c r="T6393">
        <v>-0.11391510000000001</v>
      </c>
      <c r="U6393">
        <v>3.045776</v>
      </c>
      <c r="V6393">
        <v>2.1537840000000002E-3</v>
      </c>
      <c r="W6393">
        <v>0.14039360000000001</v>
      </c>
      <c r="X6393">
        <v>0.99009340000000001</v>
      </c>
      <c r="Y6393">
        <v>-6.5979490000000002E-2</v>
      </c>
      <c r="Z6393">
        <v>-2.3753779999999999E-2</v>
      </c>
      <c r="AA6393">
        <v>0.99753820000000004</v>
      </c>
      <c r="AB6393">
        <v>28</v>
      </c>
      <c r="AC6393">
        <v>-0.69480000000001496</v>
      </c>
      <c r="AD6393">
        <v>-1.1211981888989999</v>
      </c>
      <c r="AE6393">
        <v>29.690028000000002</v>
      </c>
      <c r="AF6393">
        <v>-1.97698226484377</v>
      </c>
      <c r="AG6393">
        <v>-1.1211981888989999</v>
      </c>
      <c r="AH6393">
        <v>29.589917962308</v>
      </c>
      <c r="AI6393">
        <v>92.165146517717901</v>
      </c>
      <c r="AJ6393">
        <v>93.822404734027003</v>
      </c>
      <c r="AK6393">
        <v>29.677075146826901</v>
      </c>
      <c r="AL6393">
        <v>81.929376950666594</v>
      </c>
      <c r="AM6393">
        <v>89.875362729887001</v>
      </c>
      <c r="AN6393">
        <v>0.99999997121501805</v>
      </c>
    </row>
    <row r="6394" spans="1:40" x14ac:dyDescent="0.25">
      <c r="A6394" t="str">
        <f>"20190303162426426"</f>
        <v>20190303162426426</v>
      </c>
      <c r="B6394" t="str">
        <f>"1551601466420952"</f>
        <v>1551601466420952</v>
      </c>
      <c r="C6394" t="s">
        <v>40</v>
      </c>
      <c r="D6394">
        <v>5.6115839999999997</v>
      </c>
      <c r="E6394">
        <v>0.47240399999999999</v>
      </c>
      <c r="F6394" t="s">
        <v>41</v>
      </c>
      <c r="G6394">
        <v>-189.85990000000001</v>
      </c>
      <c r="H6394" s="1">
        <v>-1.403953E-6</v>
      </c>
      <c r="I6394">
        <v>-7.1524919999999996</v>
      </c>
      <c r="J6394">
        <v>-189.0318</v>
      </c>
      <c r="K6394">
        <v>1.120649</v>
      </c>
      <c r="L6394">
        <v>-37.130400000000002</v>
      </c>
      <c r="M6394">
        <v>4.3913800000000003E-2</v>
      </c>
      <c r="N6394">
        <v>-1.349912E-2</v>
      </c>
      <c r="O6394">
        <v>0.9989441</v>
      </c>
      <c r="P6394">
        <v>4.0697289999999997E-2</v>
      </c>
      <c r="Q6394">
        <v>0.12785959999999999</v>
      </c>
      <c r="R6394">
        <v>0.99095699999999998</v>
      </c>
      <c r="S6394">
        <v>-8.2229609999999995E-2</v>
      </c>
      <c r="T6394">
        <v>-0.1129246</v>
      </c>
      <c r="U6394">
        <v>3.045868</v>
      </c>
      <c r="V6394">
        <v>-2.8057310000000001E-3</v>
      </c>
      <c r="W6394">
        <v>0.14123720000000001</v>
      </c>
      <c r="X6394">
        <v>0.98997179999999996</v>
      </c>
      <c r="Y6394">
        <v>-7.0831420000000006E-2</v>
      </c>
      <c r="Z6394">
        <v>-2.3441139999999999E-2</v>
      </c>
      <c r="AA6394">
        <v>0.99721280000000001</v>
      </c>
      <c r="AB6394">
        <v>28</v>
      </c>
      <c r="AC6394">
        <v>-0.82810000000000605</v>
      </c>
      <c r="AD6394">
        <v>-1.1206504039530001</v>
      </c>
      <c r="AE6394">
        <v>29.977907999999999</v>
      </c>
      <c r="AF6394">
        <v>-2.1408753537340899</v>
      </c>
      <c r="AG6394">
        <v>-1.1206504039530001</v>
      </c>
      <c r="AH6394">
        <v>29.870904019598498</v>
      </c>
      <c r="AI6394">
        <v>92.143034970921903</v>
      </c>
      <c r="AJ6394">
        <v>94.099431953266404</v>
      </c>
      <c r="AK6394">
        <v>29.968485306337602</v>
      </c>
      <c r="AL6394">
        <v>81.880555935671197</v>
      </c>
      <c r="AM6394">
        <v>90.162384538963295</v>
      </c>
      <c r="AN6394">
        <v>0.999999991792762</v>
      </c>
    </row>
    <row r="6395" spans="1:40" x14ac:dyDescent="0.25">
      <c r="A6395" t="str">
        <f>"20190303162426448"</f>
        <v>20190303162426448</v>
      </c>
      <c r="B6395" t="str">
        <f>"1551601466441446"</f>
        <v>1551601466441446</v>
      </c>
      <c r="C6395" t="s">
        <v>40</v>
      </c>
      <c r="D6395">
        <v>5.5498589999999997</v>
      </c>
      <c r="E6395">
        <v>0.47261330000000001</v>
      </c>
      <c r="F6395" t="s">
        <v>41</v>
      </c>
      <c r="G6395">
        <v>-189.97569999999999</v>
      </c>
      <c r="H6395" s="1">
        <v>-1.6446309999999999E-6</v>
      </c>
      <c r="I6395">
        <v>-6.5621219999999996</v>
      </c>
      <c r="J6395">
        <v>-189.01910000000001</v>
      </c>
      <c r="K6395">
        <v>1.12017099999999</v>
      </c>
      <c r="L6395">
        <v>-36.861049999999999</v>
      </c>
      <c r="M6395">
        <v>4.511532E-2</v>
      </c>
      <c r="N6395">
        <v>-1.348035E-2</v>
      </c>
      <c r="O6395">
        <v>0.99889079999999997</v>
      </c>
      <c r="P6395">
        <v>3.6515659999999998E-2</v>
      </c>
      <c r="Q6395">
        <v>0.12754869999999999</v>
      </c>
      <c r="R6395">
        <v>0.99115989999999998</v>
      </c>
      <c r="S6395">
        <v>-9.4039919999999999E-2</v>
      </c>
      <c r="T6395">
        <v>-0.1116555</v>
      </c>
      <c r="U6395">
        <v>3.0456539999999999</v>
      </c>
      <c r="V6395">
        <v>-8.0170550000000004E-3</v>
      </c>
      <c r="W6395">
        <v>0.14091999999999999</v>
      </c>
      <c r="X6395">
        <v>0.98998850000000005</v>
      </c>
      <c r="Y6395">
        <v>-7.5894649999999994E-2</v>
      </c>
      <c r="Z6395">
        <v>-2.3034470000000001E-2</v>
      </c>
      <c r="AA6395">
        <v>0.99684980000000001</v>
      </c>
      <c r="AB6395">
        <v>28</v>
      </c>
      <c r="AC6395">
        <v>-0.95659999999998002</v>
      </c>
      <c r="AD6395">
        <v>-1.1201726446310001</v>
      </c>
      <c r="AE6395">
        <v>30.298928</v>
      </c>
      <c r="AF6395">
        <v>-2.3195286374943</v>
      </c>
      <c r="AG6395">
        <v>-1.1201726446310001</v>
      </c>
      <c r="AH6395">
        <v>30.183695361679099</v>
      </c>
      <c r="AI6395">
        <v>92.119134420718893</v>
      </c>
      <c r="AJ6395">
        <v>94.394376235362003</v>
      </c>
      <c r="AK6395">
        <v>30.293406304682701</v>
      </c>
      <c r="AL6395">
        <v>81.898913626699098</v>
      </c>
      <c r="AM6395">
        <v>90.463978495526106</v>
      </c>
      <c r="AN6395">
        <v>0.999999974851561</v>
      </c>
    </row>
    <row r="6396" spans="1:40" x14ac:dyDescent="0.25">
      <c r="A6396" t="str">
        <f>"20190303162426471"</f>
        <v>20190303162426471</v>
      </c>
      <c r="B6396" t="str">
        <f>"1551601466460967"</f>
        <v>1551601466460967</v>
      </c>
      <c r="C6396" t="s">
        <v>40</v>
      </c>
      <c r="D6396">
        <v>5.5420959999999999</v>
      </c>
      <c r="E6396">
        <v>0.47297899999999998</v>
      </c>
      <c r="F6396" t="s">
        <v>41</v>
      </c>
      <c r="G6396">
        <v>-190.03039999999999</v>
      </c>
      <c r="H6396" s="1">
        <v>-1.3578369999999999E-6</v>
      </c>
      <c r="I6396">
        <v>-7.2645970000000002</v>
      </c>
      <c r="J6396">
        <v>-189.00470000000001</v>
      </c>
      <c r="K6396">
        <v>1.1197410000000001</v>
      </c>
      <c r="L6396">
        <v>-36.577089999999998</v>
      </c>
      <c r="M6396">
        <v>4.6950190000000003E-2</v>
      </c>
      <c r="N6396">
        <v>-1.3467410000000001E-2</v>
      </c>
      <c r="O6396">
        <v>0.99880639999999998</v>
      </c>
      <c r="P6396">
        <v>3.3169539999999997E-2</v>
      </c>
      <c r="Q6396">
        <v>0.12894510000000001</v>
      </c>
      <c r="R6396">
        <v>0.99109689999999995</v>
      </c>
      <c r="S6396">
        <v>-0.1040649</v>
      </c>
      <c r="T6396">
        <v>-0.1152644</v>
      </c>
      <c r="U6396">
        <v>3.0454409999999998</v>
      </c>
      <c r="V6396">
        <v>-1.302383E-2</v>
      </c>
      <c r="W6396">
        <v>0.14232239999999999</v>
      </c>
      <c r="X6396">
        <v>0.98973460000000002</v>
      </c>
      <c r="Y6396">
        <v>-8.1002149999999995E-2</v>
      </c>
      <c r="Z6396">
        <v>-2.4213410000000001E-2</v>
      </c>
      <c r="AA6396">
        <v>0.99641979999999997</v>
      </c>
      <c r="AB6396">
        <v>28</v>
      </c>
      <c r="AC6396">
        <v>-1.0256999999999701</v>
      </c>
      <c r="AD6396">
        <v>-1.1197423578369901</v>
      </c>
      <c r="AE6396">
        <v>29.312493</v>
      </c>
      <c r="AF6396">
        <v>-2.39742650529521</v>
      </c>
      <c r="AG6396">
        <v>-1.1197423578369901</v>
      </c>
      <c r="AH6396">
        <v>29.189458340471599</v>
      </c>
      <c r="AI6396">
        <v>92.189491691502894</v>
      </c>
      <c r="AJ6396">
        <v>94.695352215730296</v>
      </c>
      <c r="AK6396">
        <v>29.309144562855298</v>
      </c>
      <c r="AL6396">
        <v>81.817743547970593</v>
      </c>
      <c r="AM6396">
        <v>90.753906578651197</v>
      </c>
      <c r="AN6396">
        <v>0.99999993206339199</v>
      </c>
    </row>
    <row r="6397" spans="1:40" x14ac:dyDescent="0.25">
      <c r="A6397" t="str">
        <f>"20190303162426495"</f>
        <v>20190303162426495</v>
      </c>
      <c r="B6397" t="str">
        <f>"1551601466481462"</f>
        <v>1551601466481462</v>
      </c>
      <c r="C6397" t="s">
        <v>40</v>
      </c>
      <c r="D6397">
        <v>5.6074060000000001</v>
      </c>
      <c r="E6397">
        <v>0.47951769999999999</v>
      </c>
      <c r="F6397" t="s">
        <v>41</v>
      </c>
      <c r="G6397">
        <v>-190.11089999999999</v>
      </c>
      <c r="H6397" s="1">
        <v>-1.8235800000000001E-6</v>
      </c>
      <c r="I6397">
        <v>-6.2288730000000001</v>
      </c>
      <c r="J6397">
        <v>-188.98920000000001</v>
      </c>
      <c r="K6397">
        <v>1.119367</v>
      </c>
      <c r="L6397">
        <v>-36.293520000000001</v>
      </c>
      <c r="M6397">
        <v>4.9288970000000001E-2</v>
      </c>
      <c r="N6397">
        <v>-1.3460130000000001E-2</v>
      </c>
      <c r="O6397">
        <v>0.99869390000000002</v>
      </c>
      <c r="P6397">
        <v>3.0268659999999999E-2</v>
      </c>
      <c r="Q6397">
        <v>0.13115309999999999</v>
      </c>
      <c r="R6397">
        <v>0.99089989999999994</v>
      </c>
      <c r="S6397">
        <v>-0.1110077</v>
      </c>
      <c r="T6397">
        <v>-0.1123605</v>
      </c>
      <c r="U6397">
        <v>3.0452880000000002</v>
      </c>
      <c r="V6397">
        <v>-1.8091579999999999E-2</v>
      </c>
      <c r="W6397">
        <v>0.14454890000000001</v>
      </c>
      <c r="X6397">
        <v>0.98933230000000005</v>
      </c>
      <c r="Y6397">
        <v>-8.5605600000000004E-2</v>
      </c>
      <c r="Z6397">
        <v>-2.3257920000000001E-2</v>
      </c>
      <c r="AA6397">
        <v>0.99605759999999999</v>
      </c>
      <c r="AB6397">
        <v>28</v>
      </c>
      <c r="AC6397">
        <v>-1.1216999999999699</v>
      </c>
      <c r="AD6397">
        <v>-1.1193688235799999</v>
      </c>
      <c r="AE6397">
        <v>30.064646999999901</v>
      </c>
      <c r="AF6397">
        <v>-2.5987286530731</v>
      </c>
      <c r="AG6397">
        <v>-1.1193688235799999</v>
      </c>
      <c r="AH6397">
        <v>29.9313721757682</v>
      </c>
      <c r="AI6397">
        <v>92.133720922254199</v>
      </c>
      <c r="AJ6397">
        <v>94.962142362044204</v>
      </c>
      <c r="AK6397">
        <v>30.064820263887398</v>
      </c>
      <c r="AL6397">
        <v>81.688842508786294</v>
      </c>
      <c r="AM6397">
        <v>91.047631476442902</v>
      </c>
      <c r="AN6397">
        <v>1.00000004479069</v>
      </c>
    </row>
    <row r="6398" spans="1:40" x14ac:dyDescent="0.25">
      <c r="A6398" t="str">
        <f>"20190303162426519"</f>
        <v>20190303162426519</v>
      </c>
      <c r="B6398" t="str">
        <f>"1551601466510743"</f>
        <v>1551601466510743</v>
      </c>
      <c r="C6398" t="s">
        <v>40</v>
      </c>
      <c r="D6398">
        <v>5.7121259999999996</v>
      </c>
      <c r="E6398">
        <v>0.48179630000000001</v>
      </c>
      <c r="F6398" t="s">
        <v>41</v>
      </c>
      <c r="G6398">
        <v>-189.67529999999999</v>
      </c>
      <c r="H6398" s="1">
        <v>-2.0896509999999998E-6</v>
      </c>
      <c r="I6398">
        <v>-5.6304480000000003</v>
      </c>
      <c r="J6398">
        <v>-188.97059999999999</v>
      </c>
      <c r="K6398">
        <v>1.118976</v>
      </c>
      <c r="L6398">
        <v>-35.976289999999999</v>
      </c>
      <c r="M6398">
        <v>5.2394980000000001E-2</v>
      </c>
      <c r="N6398">
        <v>-1.345679E-2</v>
      </c>
      <c r="O6398">
        <v>0.99853579999999997</v>
      </c>
      <c r="P6398">
        <v>2.874676E-2</v>
      </c>
      <c r="Q6398">
        <v>0.1301195</v>
      </c>
      <c r="R6398">
        <v>0.99108149999999995</v>
      </c>
      <c r="S6398">
        <v>-6.8115229999999999E-2</v>
      </c>
      <c r="T6398">
        <v>-0.1111351</v>
      </c>
      <c r="U6398">
        <v>3.0443419999999999</v>
      </c>
      <c r="V6398">
        <v>-2.257114E-2</v>
      </c>
      <c r="W6398">
        <v>0.14355090000000001</v>
      </c>
      <c r="X6398">
        <v>0.98938550000000003</v>
      </c>
      <c r="Y6398">
        <v>-7.4693629999999997E-2</v>
      </c>
      <c r="Z6398">
        <v>-2.2891470000000001E-2</v>
      </c>
      <c r="AA6398">
        <v>0.99694380000000005</v>
      </c>
      <c r="AB6398">
        <v>28</v>
      </c>
      <c r="AC6398">
        <v>-0.70470000000000199</v>
      </c>
      <c r="AD6398">
        <v>-1.118978089651</v>
      </c>
      <c r="AE6398">
        <v>30.345842000000001</v>
      </c>
      <c r="AF6398">
        <v>-2.29073254847003</v>
      </c>
      <c r="AG6398">
        <v>-1.118978089651</v>
      </c>
      <c r="AH6398">
        <v>30.226150015557899</v>
      </c>
      <c r="AI6398">
        <v>92.114076000115205</v>
      </c>
      <c r="AJ6398">
        <v>94.333958801204602</v>
      </c>
      <c r="AK6398">
        <v>30.333475111446599</v>
      </c>
      <c r="AL6398">
        <v>81.746625922521702</v>
      </c>
      <c r="AM6398">
        <v>91.306878641743197</v>
      </c>
      <c r="AN6398">
        <v>0.99999999243097903</v>
      </c>
    </row>
    <row r="6399" spans="1:40" x14ac:dyDescent="0.25">
      <c r="A6399" t="str">
        <f>"20190303162426540"</f>
        <v>20190303162426540</v>
      </c>
      <c r="B6399" t="str">
        <f>"1551601466531238"</f>
        <v>1551601466531238</v>
      </c>
      <c r="C6399" t="s">
        <v>40</v>
      </c>
      <c r="D6399">
        <v>5.6457410000000001</v>
      </c>
      <c r="E6399">
        <v>0.48387930000000001</v>
      </c>
      <c r="F6399" t="s">
        <v>41</v>
      </c>
      <c r="G6399">
        <v>-189.4804</v>
      </c>
      <c r="H6399" s="1">
        <v>-1.1808139999999999E-6</v>
      </c>
      <c r="I6399">
        <v>-7.8295469999999998</v>
      </c>
      <c r="J6399">
        <v>-188.95480000000001</v>
      </c>
      <c r="K6399">
        <v>1.1186959999999999</v>
      </c>
      <c r="L6399">
        <v>-35.727629999999998</v>
      </c>
      <c r="M6399">
        <v>5.5136379999999999E-2</v>
      </c>
      <c r="N6399">
        <v>-1.345696E-2</v>
      </c>
      <c r="O6399">
        <v>0.99838819999999995</v>
      </c>
      <c r="P6399">
        <v>2.8460030000000001E-2</v>
      </c>
      <c r="Q6399">
        <v>0.1274121</v>
      </c>
      <c r="R6399">
        <v>0.99144149999999998</v>
      </c>
      <c r="S6399">
        <v>-5.5145260000000001E-2</v>
      </c>
      <c r="T6399">
        <v>-0.1210343</v>
      </c>
      <c r="U6399">
        <v>3.044495</v>
      </c>
      <c r="V6399">
        <v>-2.5518679999999998E-2</v>
      </c>
      <c r="W6399">
        <v>0.140878</v>
      </c>
      <c r="X6399">
        <v>0.98969810000000003</v>
      </c>
      <c r="Y6399">
        <v>-7.3182449999999996E-2</v>
      </c>
      <c r="Z6399">
        <v>-2.6119949999999999E-2</v>
      </c>
      <c r="AA6399">
        <v>0.99697650000000004</v>
      </c>
      <c r="AB6399">
        <v>28</v>
      </c>
      <c r="AC6399">
        <v>-0.52559999999999696</v>
      </c>
      <c r="AD6399">
        <v>-1.1186971808139901</v>
      </c>
      <c r="AE6399">
        <v>27.898083</v>
      </c>
      <c r="AF6399">
        <v>-2.0598278929079101</v>
      </c>
      <c r="AG6399">
        <v>-1.1186971808139901</v>
      </c>
      <c r="AH6399">
        <v>27.781998752663601</v>
      </c>
      <c r="AI6399">
        <v>92.299577200855794</v>
      </c>
      <c r="AJ6399">
        <v>94.240296056210596</v>
      </c>
      <c r="AK6399">
        <v>27.8807071112582</v>
      </c>
      <c r="AL6399">
        <v>81.901345086144403</v>
      </c>
      <c r="AM6399">
        <v>91.477004727906902</v>
      </c>
      <c r="AN6399">
        <v>1.00000007152827</v>
      </c>
    </row>
    <row r="6400" spans="1:40" x14ac:dyDescent="0.25">
      <c r="A6400" t="str">
        <f>"20190303162426561"</f>
        <v>20190303162426561</v>
      </c>
      <c r="B6400" t="str">
        <f>"1551601466550759"</f>
        <v>1551601466550759</v>
      </c>
      <c r="C6400" t="s">
        <v>40</v>
      </c>
      <c r="D6400">
        <v>5.2139199999999999</v>
      </c>
      <c r="E6400">
        <v>0.48883189999999999</v>
      </c>
      <c r="F6400" t="s">
        <v>41</v>
      </c>
      <c r="G6400">
        <v>-189.2955</v>
      </c>
      <c r="H6400" s="1">
        <v>-3.106641E-7</v>
      </c>
      <c r="I6400">
        <v>-9.9898860000000003</v>
      </c>
      <c r="J6400">
        <v>-188.9365</v>
      </c>
      <c r="K6400">
        <v>1.1184369999999999</v>
      </c>
      <c r="L6400">
        <v>-35.455469999999998</v>
      </c>
      <c r="M6400">
        <v>5.8352460000000002E-2</v>
      </c>
      <c r="N6400">
        <v>-1.345797E-2</v>
      </c>
      <c r="O6400">
        <v>0.99820529999999996</v>
      </c>
      <c r="P6400">
        <v>2.9731219999999999E-2</v>
      </c>
      <c r="Q6400">
        <v>0.1247808</v>
      </c>
      <c r="R6400">
        <v>0.99173880000000003</v>
      </c>
      <c r="S6400">
        <v>-4.0283199999999998E-2</v>
      </c>
      <c r="T6400">
        <v>-0.1323097</v>
      </c>
      <c r="U6400">
        <v>3.0440369999999999</v>
      </c>
      <c r="V6400">
        <v>-2.7391450000000001E-2</v>
      </c>
      <c r="W6400">
        <v>0.1382787</v>
      </c>
      <c r="X6400">
        <v>0.99001450000000002</v>
      </c>
      <c r="Y6400">
        <v>-7.1529049999999997E-2</v>
      </c>
      <c r="Z6400">
        <v>-2.9801310000000001E-2</v>
      </c>
      <c r="AA6400">
        <v>0.99699320000000002</v>
      </c>
      <c r="AB6400">
        <v>28</v>
      </c>
      <c r="AC6400">
        <v>-0.35900000000000798</v>
      </c>
      <c r="AD6400">
        <v>-1.1184373106640999</v>
      </c>
      <c r="AE6400">
        <v>25.465584</v>
      </c>
      <c r="AF6400">
        <v>-1.84095190769753</v>
      </c>
      <c r="AG6400">
        <v>-1.1184373106640999</v>
      </c>
      <c r="AH6400">
        <v>25.352340329743299</v>
      </c>
      <c r="AI6400">
        <v>92.519383082392395</v>
      </c>
      <c r="AJ6400">
        <v>94.153224707299998</v>
      </c>
      <c r="AK6400">
        <v>25.443686174362899</v>
      </c>
      <c r="AL6400">
        <v>82.051745743623997</v>
      </c>
      <c r="AM6400">
        <v>91.584839615693795</v>
      </c>
      <c r="AN6400">
        <v>1.0000000003085201</v>
      </c>
    </row>
    <row r="6401" spans="1:40" x14ac:dyDescent="0.25">
      <c r="A6401" t="str">
        <f>"20190303162426583"</f>
        <v>20190303162426583</v>
      </c>
      <c r="B6401" t="str">
        <f>"1551601466571254"</f>
        <v>1551601466571254</v>
      </c>
      <c r="C6401" t="s">
        <v>40</v>
      </c>
      <c r="D6401">
        <v>5.4722839999999904</v>
      </c>
      <c r="E6401">
        <v>0.4917395</v>
      </c>
      <c r="F6401" t="s">
        <v>41</v>
      </c>
      <c r="G6401">
        <v>-188.92250000000001</v>
      </c>
      <c r="H6401" s="1">
        <v>-3.844977E-6</v>
      </c>
      <c r="I6401">
        <v>-11.84999</v>
      </c>
      <c r="J6401">
        <v>-188.91650000000001</v>
      </c>
      <c r="K6401">
        <v>1.1182430000000001</v>
      </c>
      <c r="L6401">
        <v>-35.176180000000002</v>
      </c>
      <c r="M6401">
        <v>6.1822549999999997E-2</v>
      </c>
      <c r="N6401">
        <v>-1.3458289999999999E-2</v>
      </c>
      <c r="O6401">
        <v>0.99799640000000001</v>
      </c>
      <c r="P6401">
        <v>3.3328089999999998E-2</v>
      </c>
      <c r="Q6401">
        <v>0.1230887</v>
      </c>
      <c r="R6401">
        <v>0.99183589999999999</v>
      </c>
      <c r="S6401">
        <v>1.8005370000000001E-3</v>
      </c>
      <c r="T6401">
        <v>-0.1441818</v>
      </c>
      <c r="U6401">
        <v>3.0430600000000001</v>
      </c>
      <c r="V6401">
        <v>-2.7205710000000001E-2</v>
      </c>
      <c r="W6401">
        <v>0.136601</v>
      </c>
      <c r="X6401">
        <v>0.99025249999999998</v>
      </c>
      <c r="Y6401">
        <v>-6.1212790000000003E-2</v>
      </c>
      <c r="Z6401">
        <v>-3.3700069999999999E-2</v>
      </c>
      <c r="AA6401">
        <v>0.99755570000000005</v>
      </c>
      <c r="AB6401">
        <v>28</v>
      </c>
      <c r="AC6401">
        <v>-6.0000000000002196E-3</v>
      </c>
      <c r="AD6401">
        <v>-1.118246844977</v>
      </c>
      <c r="AE6401">
        <v>23.32619</v>
      </c>
      <c r="AF6401">
        <v>-1.4448830791954499</v>
      </c>
      <c r="AG6401">
        <v>-1.118246844977</v>
      </c>
      <c r="AH6401">
        <v>23.227809452847499</v>
      </c>
      <c r="AI6401">
        <v>92.750930037776996</v>
      </c>
      <c r="AJ6401">
        <v>93.559490679514894</v>
      </c>
      <c r="AK6401">
        <v>23.299555684532699</v>
      </c>
      <c r="AL6401">
        <v>82.148791829494499</v>
      </c>
      <c r="AM6401">
        <v>91.573720192929301</v>
      </c>
      <c r="AN6401">
        <v>0.99999999880692703</v>
      </c>
    </row>
    <row r="6402" spans="1:40" x14ac:dyDescent="0.25">
      <c r="A6402" t="str">
        <f>"20190303162426627"</f>
        <v>20190303162426627</v>
      </c>
      <c r="B6402" t="str">
        <f>"1551601466621031"</f>
        <v>1551601466621031</v>
      </c>
      <c r="C6402" t="s">
        <v>40</v>
      </c>
      <c r="D6402">
        <v>5.6365689999999997</v>
      </c>
      <c r="E6402">
        <v>0.49547540000000001</v>
      </c>
      <c r="F6402" t="s">
        <v>41</v>
      </c>
      <c r="G6402">
        <v>-188.66560000000001</v>
      </c>
      <c r="H6402" s="1">
        <v>-3.5119749999999999E-6</v>
      </c>
      <c r="I6402">
        <v>-12.73245</v>
      </c>
      <c r="J6402">
        <v>-188.87309999999999</v>
      </c>
      <c r="K6402">
        <v>1.1180859999999999</v>
      </c>
      <c r="L6402">
        <v>-34.617919999999998</v>
      </c>
      <c r="M6402">
        <v>6.8982879999999996E-2</v>
      </c>
      <c r="N6402">
        <v>-1.345438E-2</v>
      </c>
      <c r="O6402">
        <v>0.9975271</v>
      </c>
      <c r="P6402">
        <v>4.1023039999999997E-2</v>
      </c>
      <c r="Q6402">
        <v>0.1166021</v>
      </c>
      <c r="R6402">
        <v>0.99233110000000002</v>
      </c>
      <c r="S6402">
        <v>3.4011840000000002E-2</v>
      </c>
      <c r="T6402">
        <v>-0.15158389999999999</v>
      </c>
      <c r="U6402">
        <v>3.0423580000000001</v>
      </c>
      <c r="V6402">
        <v>-2.6683780000000001E-2</v>
      </c>
      <c r="W6402">
        <v>0.1301263</v>
      </c>
      <c r="X6402">
        <v>0.99113830000000003</v>
      </c>
      <c r="Y6402">
        <v>-5.7815320000000003E-2</v>
      </c>
      <c r="Z6402">
        <v>-3.6104820000000003E-2</v>
      </c>
      <c r="AA6402">
        <v>0.99767419999999996</v>
      </c>
      <c r="AB6402">
        <v>28</v>
      </c>
      <c r="AC6402">
        <v>0.20749999999998101</v>
      </c>
      <c r="AD6402">
        <v>-1.1180895119750001</v>
      </c>
      <c r="AE6402">
        <v>21.885470000000002</v>
      </c>
      <c r="AF6402">
        <v>-1.2994625225124701</v>
      </c>
      <c r="AG6402">
        <v>-1.1180895119750001</v>
      </c>
      <c r="AH6402">
        <v>21.790772264309801</v>
      </c>
      <c r="AI6402">
        <v>92.932083914667004</v>
      </c>
      <c r="AJ6402">
        <v>93.4127128889928</v>
      </c>
      <c r="AK6402">
        <v>21.858098793793101</v>
      </c>
      <c r="AL6402">
        <v>82.523109260774206</v>
      </c>
      <c r="AM6402">
        <v>91.542164957911794</v>
      </c>
      <c r="AN6402">
        <v>1.00000000389683</v>
      </c>
    </row>
    <row r="6403" spans="1:40" x14ac:dyDescent="0.25">
      <c r="A6403" t="str">
        <f>"20190303162426649"</f>
        <v>20190303162426649</v>
      </c>
      <c r="B6403" t="str">
        <f>"1551601466641526"</f>
        <v>1551601466641526</v>
      </c>
      <c r="C6403" t="s">
        <v>40</v>
      </c>
      <c r="D6403">
        <v>5.7018829999999996</v>
      </c>
      <c r="E6403">
        <v>0.49691819999999998</v>
      </c>
      <c r="F6403" t="s">
        <v>41</v>
      </c>
      <c r="G6403">
        <v>-188.32149999999999</v>
      </c>
      <c r="H6403" s="1">
        <v>-2.5533810000000001E-6</v>
      </c>
      <c r="I6403">
        <v>-15.10927</v>
      </c>
      <c r="J6403">
        <v>-188.85050000000001</v>
      </c>
      <c r="K6403">
        <v>1.118099</v>
      </c>
      <c r="L6403">
        <v>-34.345489999999998</v>
      </c>
      <c r="M6403">
        <v>7.2449970000000002E-2</v>
      </c>
      <c r="N6403">
        <v>-1.3451279999999999E-2</v>
      </c>
      <c r="O6403">
        <v>0.99728130000000004</v>
      </c>
      <c r="P6403">
        <v>4.2642760000000002E-2</v>
      </c>
      <c r="Q6403">
        <v>0.11398999999999999</v>
      </c>
      <c r="R6403">
        <v>0.99256630000000001</v>
      </c>
      <c r="S6403">
        <v>8.5968020000000006E-2</v>
      </c>
      <c r="T6403">
        <v>-0.17423559999999999</v>
      </c>
      <c r="U6403">
        <v>3.0400999999999998</v>
      </c>
      <c r="V6403">
        <v>-2.856028E-2</v>
      </c>
      <c r="W6403">
        <v>0.12752550000000001</v>
      </c>
      <c r="X6403">
        <v>0.99142399999999997</v>
      </c>
      <c r="Y6403">
        <v>-4.4240929999999998E-2</v>
      </c>
      <c r="Z6403">
        <v>-4.3533189999999999E-2</v>
      </c>
      <c r="AA6403">
        <v>0.99807199999999996</v>
      </c>
      <c r="AB6403">
        <v>28</v>
      </c>
      <c r="AC6403">
        <v>0.52900000000002401</v>
      </c>
      <c r="AD6403">
        <v>-1.1181015533809999</v>
      </c>
      <c r="AE6403">
        <v>19.236219999999999</v>
      </c>
      <c r="AF6403">
        <v>-0.86326581804350999</v>
      </c>
      <c r="AG6403">
        <v>-1.1181015533809999</v>
      </c>
      <c r="AH6403">
        <v>19.159307800681599</v>
      </c>
      <c r="AI6403">
        <v>93.336509557179696</v>
      </c>
      <c r="AJ6403">
        <v>92.5798456646977</v>
      </c>
      <c r="AK6403">
        <v>19.2113105840683</v>
      </c>
      <c r="AL6403">
        <v>82.673376246115396</v>
      </c>
      <c r="AM6403">
        <v>91.650082178031596</v>
      </c>
      <c r="AN6403">
        <v>0.99999999525996397</v>
      </c>
    </row>
    <row r="6404" spans="1:40" x14ac:dyDescent="0.25">
      <c r="A6404" t="str">
        <f>"20190303162426672"</f>
        <v>20190303162426672</v>
      </c>
      <c r="B6404" t="str">
        <f>"1551601466661047"</f>
        <v>1551601466661047</v>
      </c>
      <c r="C6404" t="s">
        <v>40</v>
      </c>
      <c r="D6404">
        <v>5.7632139999999996</v>
      </c>
      <c r="E6404">
        <v>0.49796119999999999</v>
      </c>
      <c r="F6404" t="s">
        <v>41</v>
      </c>
      <c r="G6404">
        <v>-188.1953</v>
      </c>
      <c r="H6404" s="1">
        <v>-2.5004350000000001E-6</v>
      </c>
      <c r="I6404">
        <v>-15.28486</v>
      </c>
      <c r="J6404">
        <v>-188.82589999999999</v>
      </c>
      <c r="K6404">
        <v>1.118169</v>
      </c>
      <c r="L6404">
        <v>-34.061160000000001</v>
      </c>
      <c r="M6404">
        <v>7.5945589999999993E-2</v>
      </c>
      <c r="N6404">
        <v>-1.344711E-2</v>
      </c>
      <c r="O6404">
        <v>0.9970213</v>
      </c>
      <c r="P6404">
        <v>4.4429259999999998E-2</v>
      </c>
      <c r="Q6404">
        <v>0.1133308</v>
      </c>
      <c r="R6404">
        <v>0.99256339999999998</v>
      </c>
      <c r="S6404">
        <v>0.10444639999999999</v>
      </c>
      <c r="T6404">
        <v>-0.17823639999999999</v>
      </c>
      <c r="U6404">
        <v>3.0384519999999999</v>
      </c>
      <c r="V6404">
        <v>-3.0286440000000001E-2</v>
      </c>
      <c r="W6404">
        <v>0.1268686</v>
      </c>
      <c r="X6404">
        <v>0.99145700000000003</v>
      </c>
      <c r="Y6404">
        <v>-4.1666710000000003E-2</v>
      </c>
      <c r="Z6404">
        <v>-4.4851780000000001E-2</v>
      </c>
      <c r="AA6404">
        <v>0.99812440000000002</v>
      </c>
      <c r="AB6404">
        <v>28</v>
      </c>
      <c r="AC6404">
        <v>0.63059999999998695</v>
      </c>
      <c r="AD6404">
        <v>-1.1181715004349999</v>
      </c>
      <c r="AE6404">
        <v>18.776299999999999</v>
      </c>
      <c r="AF6404">
        <v>-0.79451308378958996</v>
      </c>
      <c r="AG6404">
        <v>-1.1181715004349999</v>
      </c>
      <c r="AH6404">
        <v>18.703701694551899</v>
      </c>
      <c r="AI6404">
        <v>93.418191064016099</v>
      </c>
      <c r="AJ6404">
        <v>92.432400591735103</v>
      </c>
      <c r="AK6404">
        <v>18.753933337395701</v>
      </c>
      <c r="AL6404">
        <v>82.7113217032325</v>
      </c>
      <c r="AM6404">
        <v>91.749693363872595</v>
      </c>
      <c r="AN6404">
        <v>0.99999994648141499</v>
      </c>
    </row>
    <row r="6405" spans="1:40" x14ac:dyDescent="0.25">
      <c r="A6405" t="str">
        <f>"20190303162426694"</f>
        <v>20190303162426694</v>
      </c>
      <c r="B6405" t="str">
        <f>"1551601466680567"</f>
        <v>1551601466680567</v>
      </c>
      <c r="C6405" t="s">
        <v>40</v>
      </c>
      <c r="D6405">
        <v>5.496537</v>
      </c>
      <c r="E6405">
        <v>0.49890760000000001</v>
      </c>
      <c r="F6405" t="s">
        <v>41</v>
      </c>
      <c r="G6405">
        <v>-188.07810000000001</v>
      </c>
      <c r="H6405" s="1">
        <v>-2.592855E-6</v>
      </c>
      <c r="I6405">
        <v>-15.117889999999999</v>
      </c>
      <c r="J6405">
        <v>-188.80170000000001</v>
      </c>
      <c r="K6405">
        <v>1.1182890000000001</v>
      </c>
      <c r="L6405">
        <v>-33.789670000000001</v>
      </c>
      <c r="M6405">
        <v>7.9101829999999998E-2</v>
      </c>
      <c r="N6405">
        <v>-1.3441649999999999E-2</v>
      </c>
      <c r="O6405">
        <v>0.99677590000000005</v>
      </c>
      <c r="P6405">
        <v>4.7424319999999999E-2</v>
      </c>
      <c r="Q6405">
        <v>0.1160487</v>
      </c>
      <c r="R6405">
        <v>0.99211070000000001</v>
      </c>
      <c r="S6405">
        <v>0.11991880000000001</v>
      </c>
      <c r="T6405">
        <v>-0.1793015</v>
      </c>
      <c r="U6405">
        <v>3.037598</v>
      </c>
      <c r="V6405">
        <v>-3.042748E-2</v>
      </c>
      <c r="W6405">
        <v>0.12956880000000001</v>
      </c>
      <c r="X6405">
        <v>0.99110350000000003</v>
      </c>
      <c r="Y6405">
        <v>-3.9744639999999998E-2</v>
      </c>
      <c r="Z6405">
        <v>-4.5199509999999998E-2</v>
      </c>
      <c r="AA6405">
        <v>0.99818709999999999</v>
      </c>
      <c r="AB6405">
        <v>28</v>
      </c>
      <c r="AC6405">
        <v>0.72360000000000402</v>
      </c>
      <c r="AD6405">
        <v>-1.1182915928549999</v>
      </c>
      <c r="AE6405">
        <v>18.671779999999998</v>
      </c>
      <c r="AF6405">
        <v>-0.75307593756039504</v>
      </c>
      <c r="AG6405">
        <v>-1.1182915928549999</v>
      </c>
      <c r="AH6405">
        <v>18.603872268860901</v>
      </c>
      <c r="AI6405">
        <v>93.437141495809996</v>
      </c>
      <c r="AJ6405">
        <v>92.318040461255904</v>
      </c>
      <c r="AK6405">
        <v>18.652661012586702</v>
      </c>
      <c r="AL6405">
        <v>82.555324562356702</v>
      </c>
      <c r="AM6405">
        <v>91.758462936849895</v>
      </c>
      <c r="AN6405">
        <v>1.0000000265924101</v>
      </c>
    </row>
    <row r="6406" spans="1:40" x14ac:dyDescent="0.25">
      <c r="A6406" t="str">
        <f>"20190303162426730"</f>
        <v>20190303162426730</v>
      </c>
      <c r="B6406" t="str">
        <f>"1551601466721559"</f>
        <v>1551601466721559</v>
      </c>
      <c r="C6406" t="s">
        <v>40</v>
      </c>
      <c r="D6406">
        <v>5.4446289999999999</v>
      </c>
      <c r="E6406">
        <v>0.4997182</v>
      </c>
      <c r="F6406" t="s">
        <v>41</v>
      </c>
      <c r="G6406">
        <v>-187.9118</v>
      </c>
      <c r="H6406" s="1">
        <v>-3.1578040000000002E-6</v>
      </c>
      <c r="I6406">
        <v>-13.86975</v>
      </c>
      <c r="J6406">
        <v>-188.7621</v>
      </c>
      <c r="K6406">
        <v>1.118576</v>
      </c>
      <c r="L6406">
        <v>-33.360080000000004</v>
      </c>
      <c r="M6406">
        <v>8.3588490000000001E-2</v>
      </c>
      <c r="N6406">
        <v>-1.3430249999999999E-2</v>
      </c>
      <c r="O6406">
        <v>0.99640980000000001</v>
      </c>
      <c r="P6406">
        <v>5.2253729999999998E-2</v>
      </c>
      <c r="Q6406">
        <v>0.1191619</v>
      </c>
      <c r="R6406">
        <v>0.99149889999999996</v>
      </c>
      <c r="S6406">
        <v>0.13569639999999999</v>
      </c>
      <c r="T6406">
        <v>-0.17051350000000001</v>
      </c>
      <c r="U6406">
        <v>3.0373230000000002</v>
      </c>
      <c r="V6406">
        <v>-3.0101329999999999E-2</v>
      </c>
      <c r="W6406">
        <v>0.13264289999999901</v>
      </c>
      <c r="X6406">
        <v>0.99070670000000005</v>
      </c>
      <c r="Y6406">
        <v>-3.9059000000000003E-2</v>
      </c>
      <c r="Z6406">
        <v>-4.2319009999999997E-2</v>
      </c>
      <c r="AA6406">
        <v>0.99834040000000002</v>
      </c>
      <c r="AB6406">
        <v>28</v>
      </c>
      <c r="AC6406">
        <v>0.85030000000000405</v>
      </c>
      <c r="AD6406">
        <v>-1.1185791578039901</v>
      </c>
      <c r="AE6406">
        <v>19.49033</v>
      </c>
      <c r="AF6406">
        <v>-0.77942817858524505</v>
      </c>
      <c r="AG6406">
        <v>-1.1185791578039901</v>
      </c>
      <c r="AH6406">
        <v>19.429315814724301</v>
      </c>
      <c r="AI6406">
        <v>93.292337180302695</v>
      </c>
      <c r="AJ6406">
        <v>92.2972508438706</v>
      </c>
      <c r="AK6406">
        <v>19.4770901483292</v>
      </c>
      <c r="AL6406">
        <v>82.377657760572305</v>
      </c>
      <c r="AM6406">
        <v>91.740322072224004</v>
      </c>
      <c r="AN6406">
        <v>0.99999999720653399</v>
      </c>
    </row>
    <row r="6407" spans="1:40" x14ac:dyDescent="0.25">
      <c r="A6407" t="str">
        <f>"20190303162426752"</f>
        <v>20190303162426752</v>
      </c>
      <c r="B6407" t="str">
        <f>"1551601466741080"</f>
        <v>1551601466741080</v>
      </c>
      <c r="C6407" t="s">
        <v>40</v>
      </c>
      <c r="D6407">
        <v>5.4688850000000002</v>
      </c>
      <c r="E6407">
        <v>0.50035200000000002</v>
      </c>
      <c r="F6407" t="s">
        <v>41</v>
      </c>
      <c r="G6407">
        <v>-187.66390000000001</v>
      </c>
      <c r="H6407" s="1">
        <v>-4.1416890000000004E-6</v>
      </c>
      <c r="I6407">
        <v>-11.67876</v>
      </c>
      <c r="J6407">
        <v>-188.73589999999999</v>
      </c>
      <c r="K6407">
        <v>1.118803</v>
      </c>
      <c r="L6407">
        <v>-33.083440000000003</v>
      </c>
      <c r="M6407">
        <v>8.6085430000000004E-2</v>
      </c>
      <c r="N6407">
        <v>-1.3421860000000001E-2</v>
      </c>
      <c r="O6407">
        <v>0.99619729999999995</v>
      </c>
      <c r="P6407">
        <v>5.3288950000000002E-2</v>
      </c>
      <c r="Q6407">
        <v>0.1195066</v>
      </c>
      <c r="R6407">
        <v>0.99140229999999996</v>
      </c>
      <c r="S6407">
        <v>0.15379329999999999</v>
      </c>
      <c r="T6407">
        <v>-0.15665560000000001</v>
      </c>
      <c r="U6407">
        <v>3.036438</v>
      </c>
      <c r="V6407">
        <v>-3.161916E-2</v>
      </c>
      <c r="W6407">
        <v>0.13296910000000001</v>
      </c>
      <c r="X6407">
        <v>0.99061569999999999</v>
      </c>
      <c r="Y6407">
        <v>-3.5607109999999997E-2</v>
      </c>
      <c r="Z6407">
        <v>-3.7808269999999998E-2</v>
      </c>
      <c r="AA6407">
        <v>0.99865040000000005</v>
      </c>
      <c r="AB6407">
        <v>28</v>
      </c>
      <c r="AC6407">
        <v>1.0719999999999701</v>
      </c>
      <c r="AD6407">
        <v>-1.118807141689</v>
      </c>
      <c r="AE6407">
        <v>21.404679999999999</v>
      </c>
      <c r="AF6407">
        <v>-0.77267168452714896</v>
      </c>
      <c r="AG6407">
        <v>-1.118807141689</v>
      </c>
      <c r="AH6407">
        <v>21.359288992508102</v>
      </c>
      <c r="AI6407">
        <v>92.996476589473403</v>
      </c>
      <c r="AJ6407">
        <v>92.071769817813703</v>
      </c>
      <c r="AK6407">
        <v>21.4025226835026</v>
      </c>
      <c r="AL6407">
        <v>82.3588009339027</v>
      </c>
      <c r="AM6407">
        <v>91.828185803295995</v>
      </c>
      <c r="AN6407">
        <v>1.0000000089601999</v>
      </c>
    </row>
    <row r="6408" spans="1:40" x14ac:dyDescent="0.25">
      <c r="A6408" t="str">
        <f>"20190303162426772"</f>
        <v>20190303162426772</v>
      </c>
      <c r="B6408" t="str">
        <f>"1551601466761576"</f>
        <v>1551601466761576</v>
      </c>
      <c r="C6408" t="s">
        <v>40</v>
      </c>
      <c r="D6408">
        <v>5.6459390000000003</v>
      </c>
      <c r="E6408">
        <v>0.50066449999999996</v>
      </c>
      <c r="F6408" t="s">
        <v>41</v>
      </c>
      <c r="G6408">
        <v>-187.56</v>
      </c>
      <c r="H6408" s="1">
        <v>-4.3854060000000001E-6</v>
      </c>
      <c r="I6408">
        <v>-11.15363</v>
      </c>
      <c r="J6408">
        <v>-188.71119999999999</v>
      </c>
      <c r="K6408">
        <v>1.119032</v>
      </c>
      <c r="L6408">
        <v>-32.825780000000002</v>
      </c>
      <c r="M6408">
        <v>8.8131840000000003E-2</v>
      </c>
      <c r="N6408">
        <v>-1.341412E-2</v>
      </c>
      <c r="O6408">
        <v>0.99601850000000003</v>
      </c>
      <c r="P6408">
        <v>5.2979440000000003E-2</v>
      </c>
      <c r="Q6408">
        <v>0.1202327</v>
      </c>
      <c r="R6408">
        <v>0.99133099999999996</v>
      </c>
      <c r="S6408">
        <v>0.162796</v>
      </c>
      <c r="T6408">
        <v>-0.1548871</v>
      </c>
      <c r="U6408">
        <v>3.0359500000000001</v>
      </c>
      <c r="V6408">
        <v>-3.4028620000000002E-2</v>
      </c>
      <c r="W6408">
        <v>0.133678399999999</v>
      </c>
      <c r="X6408">
        <v>0.9904404</v>
      </c>
      <c r="Y6408">
        <v>-3.4698159999999999E-2</v>
      </c>
      <c r="Z6408">
        <v>-3.7233139999999998E-2</v>
      </c>
      <c r="AA6408">
        <v>0.99870400000000004</v>
      </c>
      <c r="AB6408">
        <v>28</v>
      </c>
      <c r="AC6408">
        <v>1.15119999999998</v>
      </c>
      <c r="AD6408">
        <v>-1.1190363854059999</v>
      </c>
      <c r="AE6408">
        <v>21.672149999999998</v>
      </c>
      <c r="AF6408">
        <v>-0.76143426016953197</v>
      </c>
      <c r="AG6408">
        <v>-1.1190363854059999</v>
      </c>
      <c r="AH6408">
        <v>21.6317598126254</v>
      </c>
      <c r="AI6408">
        <v>92.959508711598303</v>
      </c>
      <c r="AJ6408">
        <v>92.015969338590196</v>
      </c>
      <c r="AK6408">
        <v>21.674064158702201</v>
      </c>
      <c r="AL6408">
        <v>82.317795072227099</v>
      </c>
      <c r="AM6408">
        <v>91.967740518365403</v>
      </c>
      <c r="AN6408">
        <v>1.00000002377891</v>
      </c>
    </row>
    <row r="6409" spans="1:40" x14ac:dyDescent="0.25">
      <c r="A6409" t="str">
        <f>"20190303162426794"</f>
        <v>20190303162426794</v>
      </c>
      <c r="B6409" t="str">
        <f>"1551601466781095"</f>
        <v>1551601466781095</v>
      </c>
      <c r="C6409" t="s">
        <v>40</v>
      </c>
      <c r="D6409">
        <v>5.6471589999999896</v>
      </c>
      <c r="E6409">
        <v>0.50105549999999999</v>
      </c>
      <c r="F6409" t="s">
        <v>41</v>
      </c>
      <c r="G6409">
        <v>-187.4992</v>
      </c>
      <c r="H6409" s="1">
        <v>-4.6626909999999998E-6</v>
      </c>
      <c r="I6409">
        <v>-10.53241</v>
      </c>
      <c r="J6409">
        <v>-188.6849</v>
      </c>
      <c r="K6409">
        <v>1.11931</v>
      </c>
      <c r="L6409">
        <v>-32.552950000000003</v>
      </c>
      <c r="M6409">
        <v>8.992211E-2</v>
      </c>
      <c r="N6409">
        <v>-1.340585E-2</v>
      </c>
      <c r="O6409">
        <v>0.99585860000000004</v>
      </c>
      <c r="P6409">
        <v>5.2854720000000001E-2</v>
      </c>
      <c r="Q6409">
        <v>0.12275369999999999</v>
      </c>
      <c r="R6409">
        <v>0.99102869999999998</v>
      </c>
      <c r="S6409">
        <v>0.16505429999999999</v>
      </c>
      <c r="T6409">
        <v>-0.15238929999999901</v>
      </c>
      <c r="U6409">
        <v>3.0358890000000001</v>
      </c>
      <c r="V6409">
        <v>-3.5986570000000002E-2</v>
      </c>
      <c r="W6409">
        <v>0.13617029999999999</v>
      </c>
      <c r="X6409">
        <v>0.99003169999999996</v>
      </c>
      <c r="Y6409">
        <v>-3.5750900000000002E-2</v>
      </c>
      <c r="Z6409">
        <v>-3.6415080000000002E-2</v>
      </c>
      <c r="AA6409">
        <v>0.99869699999999995</v>
      </c>
      <c r="AB6409">
        <v>28</v>
      </c>
      <c r="AC6409">
        <v>1.18569999999999</v>
      </c>
      <c r="AD6409">
        <v>-1.119314662691</v>
      </c>
      <c r="AE6409">
        <v>22.02054</v>
      </c>
      <c r="AF6409">
        <v>-0.79736147676159697</v>
      </c>
      <c r="AG6409">
        <v>-1.119314662691</v>
      </c>
      <c r="AH6409">
        <v>21.981314802032699</v>
      </c>
      <c r="AI6409">
        <v>92.913138674520994</v>
      </c>
      <c r="AJ6409">
        <v>92.077465580711404</v>
      </c>
      <c r="AK6409">
        <v>22.024233268488601</v>
      </c>
      <c r="AL6409">
        <v>82.173702489312404</v>
      </c>
      <c r="AM6409">
        <v>92.081722452374507</v>
      </c>
      <c r="AN6409">
        <v>1.00000007541366</v>
      </c>
    </row>
    <row r="6410" spans="1:40" x14ac:dyDescent="0.25">
      <c r="A6410" t="str">
        <f>"20190303162426817"</f>
        <v>20190303162426817</v>
      </c>
      <c r="B6410" t="str">
        <f>"1551601466811351"</f>
        <v>1551601466811351</v>
      </c>
      <c r="C6410" t="s">
        <v>40</v>
      </c>
      <c r="D6410">
        <v>5.4316639999999996</v>
      </c>
      <c r="E6410">
        <v>0.50127159999999904</v>
      </c>
      <c r="F6410" t="s">
        <v>41</v>
      </c>
      <c r="G6410">
        <v>-187.39089999999999</v>
      </c>
      <c r="H6410" s="1">
        <v>-1.142944E-6</v>
      </c>
      <c r="I6410">
        <v>-9.0332869999999996</v>
      </c>
      <c r="J6410">
        <v>-188.65780000000001</v>
      </c>
      <c r="K6410">
        <v>1.119632</v>
      </c>
      <c r="L6410">
        <v>-32.273380000000003</v>
      </c>
      <c r="M6410">
        <v>9.1307159999999998E-2</v>
      </c>
      <c r="N6410">
        <v>-1.33974E-2</v>
      </c>
      <c r="O6410">
        <v>0.99573270000000003</v>
      </c>
      <c r="P6410">
        <v>5.3056550000000001E-2</v>
      </c>
      <c r="Q6410">
        <v>0.1237255</v>
      </c>
      <c r="R6410">
        <v>0.99089709999999998</v>
      </c>
      <c r="S6410">
        <v>0.16703799999999999</v>
      </c>
      <c r="T6410">
        <v>-0.14449100000000001</v>
      </c>
      <c r="U6410">
        <v>3.036133</v>
      </c>
      <c r="V6410">
        <v>-3.7254879999999997E-2</v>
      </c>
      <c r="W6410">
        <v>0.13710739999999999</v>
      </c>
      <c r="X6410">
        <v>0.98985529999999999</v>
      </c>
      <c r="Y6410">
        <v>-3.649003E-2</v>
      </c>
      <c r="Z6410">
        <v>-3.3834820000000002E-2</v>
      </c>
      <c r="AA6410">
        <v>0.99876109999999896</v>
      </c>
      <c r="AB6410">
        <v>28</v>
      </c>
      <c r="AC6410">
        <v>1.2669000000000199</v>
      </c>
      <c r="AD6410">
        <v>-1.1196331429440001</v>
      </c>
      <c r="AE6410">
        <v>23.240092999999899</v>
      </c>
      <c r="AF6410">
        <v>-0.85858345516526802</v>
      </c>
      <c r="AG6410">
        <v>-1.1196331429440001</v>
      </c>
      <c r="AH6410">
        <v>23.204984636947199</v>
      </c>
      <c r="AI6410">
        <v>92.760474912470499</v>
      </c>
      <c r="AJ6410">
        <v>92.118974827238603</v>
      </c>
      <c r="AK6410">
        <v>23.2478398120173</v>
      </c>
      <c r="AL6410">
        <v>82.1195011953278</v>
      </c>
      <c r="AM6410">
        <v>92.155406319674896</v>
      </c>
      <c r="AN6410">
        <v>0.99999994007833004</v>
      </c>
    </row>
    <row r="6411" spans="1:40" x14ac:dyDescent="0.25">
      <c r="A6411" t="str">
        <f>"20190303162426839"</f>
        <v>20190303162426839</v>
      </c>
      <c r="B6411" t="str">
        <f>"1551601466830871"</f>
        <v>1551601466830871</v>
      </c>
      <c r="C6411" t="s">
        <v>40</v>
      </c>
      <c r="D6411">
        <v>5.5836600000000001</v>
      </c>
      <c r="E6411">
        <v>0.50157790000000002</v>
      </c>
      <c r="F6411" t="s">
        <v>41</v>
      </c>
      <c r="G6411">
        <v>-187.33009999999999</v>
      </c>
      <c r="H6411" s="1">
        <v>-1.4024140000000001E-6</v>
      </c>
      <c r="I6411">
        <v>-8.3184000000000005</v>
      </c>
      <c r="J6411">
        <v>-188.63069999999999</v>
      </c>
      <c r="K6411">
        <v>1.1199859999999999</v>
      </c>
      <c r="L6411">
        <v>-31.992370000000001</v>
      </c>
      <c r="M6411">
        <v>9.2223289999999999E-2</v>
      </c>
      <c r="N6411">
        <v>-1.338986E-2</v>
      </c>
      <c r="O6411">
        <v>0.99564830000000004</v>
      </c>
      <c r="P6411">
        <v>5.2108170000000002E-2</v>
      </c>
      <c r="Q6411">
        <v>0.1230299</v>
      </c>
      <c r="R6411">
        <v>0.99103399999999997</v>
      </c>
      <c r="S6411">
        <v>0.1682892</v>
      </c>
      <c r="T6411">
        <v>-0.1419117</v>
      </c>
      <c r="U6411">
        <v>3.0362550000000001</v>
      </c>
      <c r="V6411">
        <v>-3.9243100000000003E-2</v>
      </c>
      <c r="W6411">
        <v>0.1363762</v>
      </c>
      <c r="X6411">
        <v>0.98987950000000002</v>
      </c>
      <c r="Y6411">
        <v>-3.6999829999999997E-2</v>
      </c>
      <c r="Z6411">
        <v>-3.299328E-2</v>
      </c>
      <c r="AA6411">
        <v>0.99877050000000001</v>
      </c>
      <c r="AB6411">
        <v>28</v>
      </c>
      <c r="AC6411">
        <v>1.3006</v>
      </c>
      <c r="AD6411">
        <v>-1.119987402414</v>
      </c>
      <c r="AE6411">
        <v>23.673970000000001</v>
      </c>
      <c r="AF6411">
        <v>-0.88645286423832703</v>
      </c>
      <c r="AG6411">
        <v>-1.119987402414</v>
      </c>
      <c r="AH6411">
        <v>23.6402674633412</v>
      </c>
      <c r="AI6411">
        <v>92.710529384482001</v>
      </c>
      <c r="AJ6411">
        <v>92.147447073242205</v>
      </c>
      <c r="AK6411">
        <v>23.683378479439799</v>
      </c>
      <c r="AL6411">
        <v>82.161793263627501</v>
      </c>
      <c r="AM6411">
        <v>92.270263365557398</v>
      </c>
      <c r="AN6411">
        <v>0.99999995667214903</v>
      </c>
    </row>
    <row r="6412" spans="1:40" x14ac:dyDescent="0.25">
      <c r="A6412" t="str">
        <f>"20190303162426862"</f>
        <v>20190303162426862</v>
      </c>
      <c r="B6412" t="str">
        <f>"1551601466851368"</f>
        <v>1551601466851368</v>
      </c>
      <c r="C6412" t="s">
        <v>40</v>
      </c>
      <c r="D6412">
        <v>5.4225159999999999</v>
      </c>
      <c r="E6412">
        <v>0.50189600000000001</v>
      </c>
      <c r="F6412" t="s">
        <v>41</v>
      </c>
      <c r="G6412">
        <v>-187.3288</v>
      </c>
      <c r="H6412" s="1">
        <v>-1.368281E-6</v>
      </c>
      <c r="I6412">
        <v>-8.4197330000000008</v>
      </c>
      <c r="J6412">
        <v>-188.60489999999999</v>
      </c>
      <c r="K6412">
        <v>1.120344</v>
      </c>
      <c r="L6412">
        <v>-31.721800000000002</v>
      </c>
      <c r="M6412">
        <v>9.2629669999999997E-2</v>
      </c>
      <c r="N6412">
        <v>-1.337966E-2</v>
      </c>
      <c r="O6412">
        <v>0.99561069999999996</v>
      </c>
      <c r="P6412">
        <v>4.9962609999999998E-2</v>
      </c>
      <c r="Q6412">
        <v>0.12219439999999999</v>
      </c>
      <c r="R6412">
        <v>0.99124780000000001</v>
      </c>
      <c r="S6412">
        <v>0.16769410000000001</v>
      </c>
      <c r="T6412">
        <v>-0.14425769999999999</v>
      </c>
      <c r="U6412">
        <v>3.0362239999999998</v>
      </c>
      <c r="V6412">
        <v>-4.1925770000000001E-2</v>
      </c>
      <c r="W6412">
        <v>0.13549849999999999</v>
      </c>
      <c r="X6412">
        <v>0.9898901</v>
      </c>
      <c r="Y6412">
        <v>-3.7603299999999999E-2</v>
      </c>
      <c r="Z6412">
        <v>-3.3765709999999997E-2</v>
      </c>
      <c r="AA6412">
        <v>0.99872209999999995</v>
      </c>
      <c r="AB6412">
        <v>28</v>
      </c>
      <c r="AC6412">
        <v>1.27609999999998</v>
      </c>
      <c r="AD6412">
        <v>-1.1203453682810001</v>
      </c>
      <c r="AE6412">
        <v>23.302067000000001</v>
      </c>
      <c r="AF6412">
        <v>-0.8860015125995</v>
      </c>
      <c r="AG6412">
        <v>-1.1203453682810001</v>
      </c>
      <c r="AH6412">
        <v>23.266457902305099</v>
      </c>
      <c r="AI6412">
        <v>92.754829825665993</v>
      </c>
      <c r="AJ6412">
        <v>92.180805972672403</v>
      </c>
      <c r="AK6412">
        <v>23.310260310521901</v>
      </c>
      <c r="AL6412">
        <v>82.2125533859966</v>
      </c>
      <c r="AM6412">
        <v>92.425253908348594</v>
      </c>
      <c r="AN6412">
        <v>1.00000001188517</v>
      </c>
    </row>
    <row r="6413" spans="1:40" x14ac:dyDescent="0.25">
      <c r="A6413" t="str">
        <f>"20190303162426906"</f>
        <v>20190303162426906</v>
      </c>
      <c r="B6413" t="str">
        <f>"1551601466891383"</f>
        <v>1551601466891383</v>
      </c>
      <c r="C6413" t="s">
        <v>40</v>
      </c>
      <c r="D6413">
        <v>5.4856429999999996</v>
      </c>
      <c r="E6413">
        <v>0.50228629999999996</v>
      </c>
      <c r="F6413" t="s">
        <v>41</v>
      </c>
      <c r="G6413">
        <v>-187.36179999999999</v>
      </c>
      <c r="H6413" s="1">
        <v>-1.2883100000000001E-6</v>
      </c>
      <c r="I6413">
        <v>-8.628914</v>
      </c>
      <c r="J6413">
        <v>-188.554</v>
      </c>
      <c r="K6413">
        <v>1.1211420000000001</v>
      </c>
      <c r="L6413">
        <v>-31.171939999999999</v>
      </c>
      <c r="M6413">
        <v>9.176716E-2</v>
      </c>
      <c r="N6413">
        <v>-1.334903E-2</v>
      </c>
      <c r="O6413">
        <v>0.99569099999999999</v>
      </c>
      <c r="P6413">
        <v>4.684841E-2</v>
      </c>
      <c r="Q6413">
        <v>0.12083239999999899</v>
      </c>
      <c r="R6413">
        <v>0.99156679999999997</v>
      </c>
      <c r="S6413">
        <v>0.16345209999999999</v>
      </c>
      <c r="T6413">
        <v>-0.14731050000000001</v>
      </c>
      <c r="U6413">
        <v>3.0364070000000001</v>
      </c>
      <c r="V6413">
        <v>-4.4461340000000002E-2</v>
      </c>
      <c r="W6413">
        <v>0.1340229</v>
      </c>
      <c r="X6413">
        <v>0.98998030000000004</v>
      </c>
      <c r="Y6413">
        <v>-3.8133489999999999E-2</v>
      </c>
      <c r="Z6413">
        <v>-3.47943E-2</v>
      </c>
      <c r="AA6413">
        <v>0.99866670000000002</v>
      </c>
      <c r="AB6413">
        <v>28</v>
      </c>
      <c r="AC6413">
        <v>1.1922000000000099</v>
      </c>
      <c r="AD6413">
        <v>-1.1211432883100001</v>
      </c>
      <c r="AE6413">
        <v>22.543026000000001</v>
      </c>
      <c r="AF6413">
        <v>-0.87955579506777604</v>
      </c>
      <c r="AG6413">
        <v>-1.1211432883100001</v>
      </c>
      <c r="AH6413">
        <v>22.501801919230299</v>
      </c>
      <c r="AI6413">
        <v>92.850207563522602</v>
      </c>
      <c r="AJ6413">
        <v>92.238451509793194</v>
      </c>
      <c r="AK6413">
        <v>22.546877173609602</v>
      </c>
      <c r="AL6413">
        <v>82.297877042507295</v>
      </c>
      <c r="AM6413">
        <v>92.571502125522201</v>
      </c>
      <c r="AN6413">
        <v>0.99999997143354702</v>
      </c>
    </row>
    <row r="6414" spans="1:40" x14ac:dyDescent="0.25">
      <c r="A6414" t="str">
        <f>"20190303162426930"</f>
        <v>20190303162426930</v>
      </c>
      <c r="B6414" t="str">
        <f>"1551601466920663"</f>
        <v>1551601466920663</v>
      </c>
      <c r="C6414" t="s">
        <v>40</v>
      </c>
      <c r="D6414">
        <v>5.5910539999999997</v>
      </c>
      <c r="E6414">
        <v>0.50281849999999995</v>
      </c>
      <c r="F6414" t="s">
        <v>41</v>
      </c>
      <c r="G6414">
        <v>-187.42609999999999</v>
      </c>
      <c r="H6414" s="1">
        <v>-1.183747E-6</v>
      </c>
      <c r="I6414">
        <v>-8.8858569999999997</v>
      </c>
      <c r="J6414">
        <v>-188.52879999999999</v>
      </c>
      <c r="K6414">
        <v>1.1215310000000001</v>
      </c>
      <c r="L6414">
        <v>-30.887969999999999</v>
      </c>
      <c r="M6414">
        <v>9.0528670000000006E-2</v>
      </c>
      <c r="N6414">
        <v>-1.3330699999999999E-2</v>
      </c>
      <c r="O6414">
        <v>0.99580460000000004</v>
      </c>
      <c r="P6414">
        <v>4.662148E-2</v>
      </c>
      <c r="Q6414">
        <v>0.1207082</v>
      </c>
      <c r="R6414">
        <v>0.99159260000000005</v>
      </c>
      <c r="S6414">
        <v>0.1536865</v>
      </c>
      <c r="T6414">
        <v>-0.1527752</v>
      </c>
      <c r="U6414">
        <v>3.0368650000000001</v>
      </c>
      <c r="V6414">
        <v>-4.3583900000000002E-2</v>
      </c>
      <c r="W6414">
        <v>0.13384089999999901</v>
      </c>
      <c r="X6414">
        <v>0.99004389999999998</v>
      </c>
      <c r="Y6414">
        <v>-4.010325E-2</v>
      </c>
      <c r="Z6414">
        <v>-3.6594349999999998E-2</v>
      </c>
      <c r="AA6414">
        <v>0.9985252</v>
      </c>
      <c r="AB6414">
        <v>28</v>
      </c>
      <c r="AC6414">
        <v>1.10269999999999</v>
      </c>
      <c r="AD6414">
        <v>-1.121532183747</v>
      </c>
      <c r="AE6414">
        <v>22.002113000000001</v>
      </c>
      <c r="AF6414">
        <v>-0.89151708716947797</v>
      </c>
      <c r="AG6414">
        <v>-1.121532183747</v>
      </c>
      <c r="AH6414">
        <v>21.954685120043798</v>
      </c>
      <c r="AI6414">
        <v>92.921949228698793</v>
      </c>
      <c r="AJ6414">
        <v>92.325340485497506</v>
      </c>
      <c r="AK6414">
        <v>22.0013825901048</v>
      </c>
      <c r="AL6414">
        <v>82.308399383593894</v>
      </c>
      <c r="AM6414">
        <v>92.520658187717004</v>
      </c>
      <c r="AN6414">
        <v>0.99999993338961202</v>
      </c>
    </row>
    <row r="6415" spans="1:40" x14ac:dyDescent="0.25">
      <c r="A6415" t="str">
        <f>"20190303162426953"</f>
        <v>20190303162426953</v>
      </c>
      <c r="B6415" t="str">
        <f>"1551601466941160"</f>
        <v>1551601466941160</v>
      </c>
      <c r="C6415" t="s">
        <v>40</v>
      </c>
      <c r="D6415">
        <v>5.4378399999999996</v>
      </c>
      <c r="E6415">
        <v>0.50298419999999999</v>
      </c>
      <c r="F6415" t="s">
        <v>41</v>
      </c>
      <c r="G6415">
        <v>-187.41589999999999</v>
      </c>
      <c r="H6415" s="1">
        <v>-1.1809650000000001E-6</v>
      </c>
      <c r="I6415">
        <v>-8.9020279999999996</v>
      </c>
      <c r="J6415">
        <v>-188.5051</v>
      </c>
      <c r="K6415">
        <v>1.121877</v>
      </c>
      <c r="L6415">
        <v>-30.61063</v>
      </c>
      <c r="M6415">
        <v>8.8834739999999995E-2</v>
      </c>
      <c r="N6415">
        <v>-1.3313409999999999E-2</v>
      </c>
      <c r="O6415">
        <v>0.99595739999999999</v>
      </c>
      <c r="P6415">
        <v>4.685806E-2</v>
      </c>
      <c r="Q6415">
        <v>0.1193693</v>
      </c>
      <c r="R6415">
        <v>0.99174359999999995</v>
      </c>
      <c r="S6415">
        <v>0.15373229999999999</v>
      </c>
      <c r="T6415">
        <v>-0.15492549999999999</v>
      </c>
      <c r="U6415">
        <v>3.0370789999999999</v>
      </c>
      <c r="V6415">
        <v>-4.1787339999999999E-2</v>
      </c>
      <c r="W6415">
        <v>0.13245479999999901</v>
      </c>
      <c r="X6415">
        <v>0.99030779999999996</v>
      </c>
      <c r="Y6415">
        <v>-3.8394070000000002E-2</v>
      </c>
      <c r="Z6415">
        <v>-3.7321500000000001E-2</v>
      </c>
      <c r="AA6415">
        <v>0.99856549999999999</v>
      </c>
      <c r="AB6415">
        <v>28</v>
      </c>
      <c r="AC6415">
        <v>1.0891999999999999</v>
      </c>
      <c r="AD6415">
        <v>-1.121878180965</v>
      </c>
      <c r="AE6415">
        <v>21.708601999999999</v>
      </c>
      <c r="AF6415">
        <v>-0.84151419218250401</v>
      </c>
      <c r="AG6415">
        <v>-1.121878180965</v>
      </c>
      <c r="AH6415">
        <v>21.6618192503453</v>
      </c>
      <c r="AI6415">
        <v>92.962502203259007</v>
      </c>
      <c r="AJ6415">
        <v>92.224696748554507</v>
      </c>
      <c r="AK6415">
        <v>21.707168632117799</v>
      </c>
      <c r="AL6415">
        <v>82.388531037982105</v>
      </c>
      <c r="AM6415">
        <v>92.416237387706602</v>
      </c>
      <c r="AN6415">
        <v>0.99999999728407696</v>
      </c>
    </row>
    <row r="6416" spans="1:40" x14ac:dyDescent="0.25">
      <c r="A6416" t="str">
        <f>"20190303162426973"</f>
        <v>20190303162426973</v>
      </c>
      <c r="B6416" t="str">
        <f>"1551601466960679"</f>
        <v>1551601466960679</v>
      </c>
      <c r="C6416" t="s">
        <v>40</v>
      </c>
      <c r="D6416">
        <v>5.6179269999999999</v>
      </c>
      <c r="E6416">
        <v>0.50314360000000002</v>
      </c>
      <c r="F6416" t="s">
        <v>41</v>
      </c>
      <c r="G6416">
        <v>-187.41419999999999</v>
      </c>
      <c r="H6416" s="1">
        <v>-1.0822899999999999E-6</v>
      </c>
      <c r="I6416">
        <v>-9.1933039999999995</v>
      </c>
      <c r="J6416">
        <v>-188.48490000000001</v>
      </c>
      <c r="K6416">
        <v>1.1221730000000001</v>
      </c>
      <c r="L6416">
        <v>-30.363589999999999</v>
      </c>
      <c r="M6416">
        <v>8.6917659999999994E-2</v>
      </c>
      <c r="N6416">
        <v>-1.3299979999999999E-2</v>
      </c>
      <c r="O6416">
        <v>0.99612670000000003</v>
      </c>
      <c r="P6416">
        <v>4.7853489999999999E-2</v>
      </c>
      <c r="Q6416">
        <v>0.11750910000000001</v>
      </c>
      <c r="R6416">
        <v>0.99191810000000002</v>
      </c>
      <c r="S6416">
        <v>0.15467829999999999</v>
      </c>
      <c r="T6416">
        <v>-0.1590732</v>
      </c>
      <c r="U6416">
        <v>3.0368040000000001</v>
      </c>
      <c r="V6416">
        <v>-3.8993979999999998E-2</v>
      </c>
      <c r="W6416">
        <v>0.1305655</v>
      </c>
      <c r="X6416">
        <v>0.99067260000000001</v>
      </c>
      <c r="Y6416">
        <v>-3.6159179999999999E-2</v>
      </c>
      <c r="Z6416">
        <v>-3.870577E-2</v>
      </c>
      <c r="AA6416">
        <v>0.99859620000000004</v>
      </c>
      <c r="AB6416">
        <v>28</v>
      </c>
      <c r="AC6416">
        <v>1.07070000000001</v>
      </c>
      <c r="AD6416">
        <v>-1.1221740822899999</v>
      </c>
      <c r="AE6416">
        <v>21.170286000000001</v>
      </c>
      <c r="AF6416">
        <v>-0.77142531784397395</v>
      </c>
      <c r="AG6416">
        <v>-1.1221740822899999</v>
      </c>
      <c r="AH6416">
        <v>21.124022099643</v>
      </c>
      <c r="AI6416">
        <v>93.038850662751003</v>
      </c>
      <c r="AJ6416">
        <v>92.091447447941803</v>
      </c>
      <c r="AK6416">
        <v>21.167869079295102</v>
      </c>
      <c r="AL6416">
        <v>82.497728694589895</v>
      </c>
      <c r="AM6416">
        <v>92.254062283741206</v>
      </c>
      <c r="AN6416">
        <v>1.00000004032862</v>
      </c>
    </row>
    <row r="6417" spans="1:40" x14ac:dyDescent="0.25">
      <c r="A6417" t="str">
        <f>"20190303162426994"</f>
        <v>20190303162426994</v>
      </c>
      <c r="B6417" t="str">
        <f>"1551601466981176"</f>
        <v>1551601466981176</v>
      </c>
      <c r="C6417" t="s">
        <v>40</v>
      </c>
      <c r="D6417">
        <v>5.5883599999999998</v>
      </c>
      <c r="E6417">
        <v>0.51715820000000001</v>
      </c>
      <c r="F6417" t="s">
        <v>41</v>
      </c>
      <c r="G6417">
        <v>-187.4091</v>
      </c>
      <c r="H6417" s="1">
        <v>-9.0827939999999997E-7</v>
      </c>
      <c r="I6417">
        <v>-9.7086600000000001</v>
      </c>
      <c r="J6417">
        <v>-188.4639</v>
      </c>
      <c r="K6417">
        <v>1.1224829999999999</v>
      </c>
      <c r="L6417">
        <v>-30.096340000000001</v>
      </c>
      <c r="M6417">
        <v>8.4442950000000003E-2</v>
      </c>
      <c r="N6417">
        <v>-1.3285969999999999E-2</v>
      </c>
      <c r="O6417">
        <v>0.99633970000000005</v>
      </c>
      <c r="P6417">
        <v>4.9600560000000002E-2</v>
      </c>
      <c r="Q6417">
        <v>0.1159738</v>
      </c>
      <c r="R6417">
        <v>0.99201300000000003</v>
      </c>
      <c r="S6417">
        <v>0.15814210000000001</v>
      </c>
      <c r="T6417">
        <v>-0.16496350000000001</v>
      </c>
      <c r="U6417">
        <v>3.036346</v>
      </c>
      <c r="V6417">
        <v>-3.4891039999999998E-2</v>
      </c>
      <c r="W6417">
        <v>0.12900710000000001</v>
      </c>
      <c r="X6417">
        <v>0.99102970000000001</v>
      </c>
      <c r="Y6417">
        <v>-3.2537940000000001E-2</v>
      </c>
      <c r="Z6417">
        <v>-4.0666479999999998E-2</v>
      </c>
      <c r="AA6417">
        <v>0.9986429</v>
      </c>
      <c r="AB6417">
        <v>27</v>
      </c>
      <c r="AC6417">
        <v>1.0548</v>
      </c>
      <c r="AD6417">
        <v>-1.12248390827939</v>
      </c>
      <c r="AE6417">
        <v>20.38768</v>
      </c>
      <c r="AF6417">
        <v>-0.66869436891609202</v>
      </c>
      <c r="AG6417">
        <v>-1.12248390827939</v>
      </c>
      <c r="AH6417">
        <v>20.342428268691599</v>
      </c>
      <c r="AI6417">
        <v>93.1566448862106</v>
      </c>
      <c r="AJ6417">
        <v>91.882743474218998</v>
      </c>
      <c r="AK6417">
        <v>20.384344731931701</v>
      </c>
      <c r="AL6417">
        <v>82.587780107139594</v>
      </c>
      <c r="AM6417">
        <v>92.016371424686696</v>
      </c>
      <c r="AN6417">
        <v>1.00000004140239</v>
      </c>
    </row>
    <row r="6418" spans="1:40" x14ac:dyDescent="0.25">
      <c r="A6418" t="str">
        <f>"20190303162427019"</f>
        <v>20190303162427019</v>
      </c>
      <c r="B6418" t="str">
        <f>"1551601467011432"</f>
        <v>1551601467011432</v>
      </c>
      <c r="C6418" t="s">
        <v>40</v>
      </c>
      <c r="D6418">
        <v>5.5254029999999998</v>
      </c>
      <c r="E6418">
        <v>0.54252860000000003</v>
      </c>
      <c r="F6418" t="s">
        <v>41</v>
      </c>
      <c r="G6418">
        <v>-187.23240000000001</v>
      </c>
      <c r="H6418" s="1">
        <v>-2.2031889999999998E-6</v>
      </c>
      <c r="I6418">
        <v>-16.375900000000001</v>
      </c>
      <c r="J6418">
        <v>-188.44290000000001</v>
      </c>
      <c r="K6418">
        <v>1.122784</v>
      </c>
      <c r="L6418">
        <v>-29.81277</v>
      </c>
      <c r="M6418">
        <v>8.1439890000000001E-2</v>
      </c>
      <c r="N6418">
        <v>-1.3268800000000001E-2</v>
      </c>
      <c r="O6418">
        <v>0.99658990000000003</v>
      </c>
      <c r="P6418">
        <v>5.1067510000000003E-2</v>
      </c>
      <c r="Q6418">
        <v>0.11504499999999999</v>
      </c>
      <c r="R6418">
        <v>0.99204680000000001</v>
      </c>
      <c r="S6418">
        <v>0.27282709999999999</v>
      </c>
      <c r="T6418">
        <v>-0.24867149999999999</v>
      </c>
      <c r="U6418">
        <v>3.0395810000000001</v>
      </c>
      <c r="V6418">
        <v>-3.0533230000000001E-2</v>
      </c>
      <c r="W6418">
        <v>0.12806090000000001</v>
      </c>
      <c r="X6418">
        <v>0.99129619999999996</v>
      </c>
      <c r="Y6418">
        <v>7.7694510000000001E-3</v>
      </c>
      <c r="Z6418">
        <v>-6.7787029999999998E-2</v>
      </c>
      <c r="AA6418">
        <v>0.99766960000000005</v>
      </c>
      <c r="AB6418">
        <v>27</v>
      </c>
      <c r="AC6418">
        <v>1.2104999999999899</v>
      </c>
      <c r="AD6418">
        <v>-1.1227862031889999</v>
      </c>
      <c r="AE6418">
        <v>13.436870000000001</v>
      </c>
      <c r="AF6418">
        <v>0.11131376161961801</v>
      </c>
      <c r="AG6418">
        <v>-1.1227862031889999</v>
      </c>
      <c r="AH6418">
        <v>13.3980241610571</v>
      </c>
      <c r="AI6418">
        <v>94.790164692410798</v>
      </c>
      <c r="AJ6418">
        <v>89.523984885690297</v>
      </c>
      <c r="AK6418">
        <v>13.4454487106927</v>
      </c>
      <c r="AL6418">
        <v>82.642446627094301</v>
      </c>
      <c r="AM6418">
        <v>91.764227775379595</v>
      </c>
      <c r="AN6418">
        <v>1.00000001418874</v>
      </c>
    </row>
    <row r="6419" spans="1:40" x14ac:dyDescent="0.25">
      <c r="A6419" t="str">
        <f>"20190303162427040"</f>
        <v>20190303162427040</v>
      </c>
      <c r="B6419" t="str">
        <f>"1551601467030952"</f>
        <v>1551601467030952</v>
      </c>
      <c r="C6419" t="s">
        <v>40</v>
      </c>
      <c r="D6419">
        <v>5.1978439999999999</v>
      </c>
      <c r="E6419">
        <v>0.54177369999999903</v>
      </c>
      <c r="F6419" t="s">
        <v>42</v>
      </c>
      <c r="G6419">
        <v>-188.3383</v>
      </c>
      <c r="H6419">
        <v>0.8902485</v>
      </c>
      <c r="I6419">
        <v>-29.108550000000001</v>
      </c>
      <c r="J6419">
        <v>-188.42349999999999</v>
      </c>
      <c r="K6419">
        <v>1.1230279999999999</v>
      </c>
      <c r="L6419">
        <v>-29.535740000000001</v>
      </c>
      <c r="M6419">
        <v>7.8211000000000003E-2</v>
      </c>
      <c r="N6419">
        <v>-1.325074E-2</v>
      </c>
      <c r="O6419">
        <v>0.99684879999999998</v>
      </c>
      <c r="P6419">
        <v>5.1438850000000001E-2</v>
      </c>
      <c r="Q6419">
        <v>0.1135823</v>
      </c>
      <c r="R6419">
        <v>0.99219610000000003</v>
      </c>
      <c r="S6419">
        <v>0.46241759999999899</v>
      </c>
      <c r="T6419">
        <v>-1.0302579999999999</v>
      </c>
      <c r="U6419">
        <v>3.11972</v>
      </c>
      <c r="V6419">
        <v>-2.702804E-2</v>
      </c>
      <c r="W6419">
        <v>0.1265848</v>
      </c>
      <c r="X6419">
        <v>0.99158749999999996</v>
      </c>
      <c r="Y6419">
        <v>6.1978999999999999E-2</v>
      </c>
      <c r="Z6419">
        <v>-0.2978364</v>
      </c>
      <c r="AA6419">
        <v>0.95260279999999997</v>
      </c>
      <c r="AB6419">
        <v>27</v>
      </c>
      <c r="AC6419">
        <v>8.5199999999986106E-2</v>
      </c>
      <c r="AD6419">
        <v>-0.2327795</v>
      </c>
      <c r="AE6419">
        <v>0.42719000000000301</v>
      </c>
      <c r="AF6419">
        <v>4.00796782387879E-2</v>
      </c>
      <c r="AG6419">
        <v>-0.2327795</v>
      </c>
      <c r="AH6419">
        <v>0.33646291590444599</v>
      </c>
      <c r="AI6419">
        <v>124.488522527158</v>
      </c>
      <c r="AJ6419">
        <v>83.206900073614094</v>
      </c>
      <c r="AK6419">
        <v>0.41109605934245702</v>
      </c>
      <c r="AL6419">
        <v>82.727714789009696</v>
      </c>
      <c r="AM6419">
        <v>91.561344082955003</v>
      </c>
      <c r="AN6419">
        <v>0.99999999834676501</v>
      </c>
    </row>
    <row r="6420" spans="1:40" x14ac:dyDescent="0.25">
      <c r="A6420" t="str">
        <f>"20190303162427064"</f>
        <v>20190303162427064</v>
      </c>
      <c r="B6420" t="str">
        <f>"1551601467051447"</f>
        <v>1551601467051447</v>
      </c>
      <c r="C6420" t="s">
        <v>40</v>
      </c>
      <c r="D6420">
        <v>5.4823839999999997</v>
      </c>
      <c r="E6420">
        <v>0.54196529999999998</v>
      </c>
      <c r="F6420" t="s">
        <v>42</v>
      </c>
      <c r="G6420">
        <v>-188.3246</v>
      </c>
      <c r="H6420">
        <v>0.8945668</v>
      </c>
      <c r="I6420">
        <v>-28.862950000000001</v>
      </c>
      <c r="J6420">
        <v>-188.40539999999999</v>
      </c>
      <c r="K6420">
        <v>1.123186</v>
      </c>
      <c r="L6420">
        <v>-29.257750000000001</v>
      </c>
      <c r="M6420">
        <v>7.4749369999999996E-2</v>
      </c>
      <c r="N6420">
        <v>-1.322716E-2</v>
      </c>
      <c r="O6420">
        <v>0.99711459999999996</v>
      </c>
      <c r="P6420">
        <v>5.0211449999999998E-2</v>
      </c>
      <c r="Q6420">
        <v>0.1124522</v>
      </c>
      <c r="R6420">
        <v>0.99238769999999998</v>
      </c>
      <c r="S6420">
        <v>0.45864870000000002</v>
      </c>
      <c r="T6420">
        <v>-1.0598730000000001</v>
      </c>
      <c r="U6420">
        <v>3.1211549999999999</v>
      </c>
      <c r="V6420">
        <v>-2.486609E-2</v>
      </c>
      <c r="W6420">
        <v>0.1254353</v>
      </c>
      <c r="X6420">
        <v>0.99179010000000001</v>
      </c>
      <c r="Y6420">
        <v>6.3874210000000001E-2</v>
      </c>
      <c r="Z6420">
        <v>-0.30591049999999997</v>
      </c>
      <c r="AA6420">
        <v>0.94991519999999996</v>
      </c>
      <c r="AB6420">
        <v>27</v>
      </c>
      <c r="AC6420">
        <v>8.0799999999982206E-2</v>
      </c>
      <c r="AD6420">
        <v>-0.22861919999999999</v>
      </c>
      <c r="AE6420">
        <v>0.39479999999999998</v>
      </c>
      <c r="AF6420">
        <v>3.8627946064988698E-2</v>
      </c>
      <c r="AG6420">
        <v>-0.22861919999999999</v>
      </c>
      <c r="AH6420">
        <v>0.30240659070912301</v>
      </c>
      <c r="AI6420">
        <v>126.86646212805999</v>
      </c>
      <c r="AJ6420">
        <v>82.720735322393494</v>
      </c>
      <c r="AK6420">
        <v>0.381062465916226</v>
      </c>
      <c r="AL6420">
        <v>82.794105286563607</v>
      </c>
      <c r="AM6420">
        <v>91.436214774714003</v>
      </c>
      <c r="AN6420">
        <v>0.99999996968799298</v>
      </c>
    </row>
    <row r="6421" spans="1:40" x14ac:dyDescent="0.25">
      <c r="A6421" t="str">
        <f>"20190303162427085"</f>
        <v>20190303162427085</v>
      </c>
      <c r="B6421" t="str">
        <f>"1551601467080728"</f>
        <v>1551601467080728</v>
      </c>
      <c r="C6421" t="s">
        <v>40</v>
      </c>
      <c r="D6421">
        <v>5.5333180000000004</v>
      </c>
      <c r="E6421">
        <v>0.54232369999999996</v>
      </c>
      <c r="F6421" t="s">
        <v>42</v>
      </c>
      <c r="G6421">
        <v>-188.27940000000001</v>
      </c>
      <c r="H6421">
        <v>0.83509219999999895</v>
      </c>
      <c r="I6421">
        <v>-28.401810000000001</v>
      </c>
      <c r="J6421">
        <v>-188.38929999999999</v>
      </c>
      <c r="K6421">
        <v>1.1232759999999999</v>
      </c>
      <c r="L6421">
        <v>-28.994289999999999</v>
      </c>
      <c r="M6421">
        <v>7.1333569999999999E-2</v>
      </c>
      <c r="N6421">
        <v>-1.3200379999999999E-2</v>
      </c>
      <c r="O6421">
        <v>0.99736519999999995</v>
      </c>
      <c r="P6421">
        <v>4.7469949999999997E-2</v>
      </c>
      <c r="Q6421">
        <v>0.11201659999999999</v>
      </c>
      <c r="R6421">
        <v>0.9925718</v>
      </c>
      <c r="S6421">
        <v>0.45916750000000001</v>
      </c>
      <c r="T6421">
        <v>-1.049674</v>
      </c>
      <c r="U6421">
        <v>3.1187130000000001</v>
      </c>
      <c r="V6421">
        <v>-2.4239480000000001E-2</v>
      </c>
      <c r="W6421">
        <v>0.12497220000000001</v>
      </c>
      <c r="X6421">
        <v>0.99186410000000003</v>
      </c>
      <c r="Y6421">
        <v>6.7662070000000005E-2</v>
      </c>
      <c r="Z6421">
        <v>-0.30345840000000002</v>
      </c>
      <c r="AA6421">
        <v>0.95043929999999999</v>
      </c>
      <c r="AB6421">
        <v>27</v>
      </c>
      <c r="AC6421">
        <v>0.109899999999981</v>
      </c>
      <c r="AD6421">
        <v>-0.28818379999999999</v>
      </c>
      <c r="AE6421">
        <v>0.592480000000005</v>
      </c>
      <c r="AF6421">
        <v>5.4815336561697903E-2</v>
      </c>
      <c r="AG6421">
        <v>-0.28818379999999999</v>
      </c>
      <c r="AH6421">
        <v>0.48734589266253697</v>
      </c>
      <c r="AI6421">
        <v>120.439678556468</v>
      </c>
      <c r="AJ6421">
        <v>83.5824992122471</v>
      </c>
      <c r="AK6421">
        <v>0.56882391194451098</v>
      </c>
      <c r="AL6421">
        <v>82.820849615740897</v>
      </c>
      <c r="AM6421">
        <v>91.399933235389597</v>
      </c>
      <c r="AN6421">
        <v>0.99999999801616002</v>
      </c>
    </row>
    <row r="6422" spans="1:40" x14ac:dyDescent="0.25">
      <c r="A6422" t="str">
        <f>"20190303162427108"</f>
        <v>20190303162427108</v>
      </c>
      <c r="B6422" t="str">
        <f>"1551601467101224"</f>
        <v>1551601467101224</v>
      </c>
      <c r="C6422" t="s">
        <v>40</v>
      </c>
      <c r="D6422">
        <v>5.5496829999999999</v>
      </c>
      <c r="E6422">
        <v>0.54240600000000005</v>
      </c>
      <c r="F6422" t="s">
        <v>42</v>
      </c>
      <c r="G6422">
        <v>-188.26650000000001</v>
      </c>
      <c r="H6422">
        <v>0.84437180000000001</v>
      </c>
      <c r="I6422">
        <v>-28.15474</v>
      </c>
      <c r="J6422">
        <v>-188.37379999999999</v>
      </c>
      <c r="K6422">
        <v>1.1233150000000001</v>
      </c>
      <c r="L6422">
        <v>-28.724489999999999</v>
      </c>
      <c r="M6422">
        <v>6.7771150000000002E-2</v>
      </c>
      <c r="N6422">
        <v>-1.317194E-2</v>
      </c>
      <c r="O6422">
        <v>0.997614</v>
      </c>
      <c r="P6422">
        <v>4.3997210000000002E-2</v>
      </c>
      <c r="Q6422">
        <v>0.1115613</v>
      </c>
      <c r="R6422">
        <v>0.99278310000000003</v>
      </c>
      <c r="S6422">
        <v>0.4556885</v>
      </c>
      <c r="T6422">
        <v>-1.0357270000000001</v>
      </c>
      <c r="U6422">
        <v>3.1175540000000002</v>
      </c>
      <c r="V6422">
        <v>-2.418232E-2</v>
      </c>
      <c r="W6422">
        <v>0.12448679999999999</v>
      </c>
      <c r="X6422">
        <v>0.99192659999999999</v>
      </c>
      <c r="Y6422">
        <v>7.0398119999999995E-2</v>
      </c>
      <c r="Z6422">
        <v>-0.29989110000000002</v>
      </c>
      <c r="AA6422">
        <v>0.95137240000000001</v>
      </c>
      <c r="AB6422">
        <v>27</v>
      </c>
      <c r="AC6422">
        <v>0.10729999999997999</v>
      </c>
      <c r="AD6422">
        <v>-0.278943199999999</v>
      </c>
      <c r="AE6422">
        <v>0.56974999999999898</v>
      </c>
      <c r="AF6422">
        <v>5.5572903586107301E-2</v>
      </c>
      <c r="AG6422">
        <v>-0.278943199999999</v>
      </c>
      <c r="AH6422">
        <v>0.46749367218780202</v>
      </c>
      <c r="AI6422">
        <v>120.647010208517</v>
      </c>
      <c r="AJ6422">
        <v>83.220826905283502</v>
      </c>
      <c r="AK6422">
        <v>0.54721841158249296</v>
      </c>
      <c r="AL6422">
        <v>82.848880355335893</v>
      </c>
      <c r="AM6422">
        <v>91.396545345763599</v>
      </c>
      <c r="AN6422">
        <v>1.0000000638811799</v>
      </c>
    </row>
    <row r="6423" spans="1:40" x14ac:dyDescent="0.25">
      <c r="A6423" t="str">
        <f>"20190303162427131"</f>
        <v>20190303162427131</v>
      </c>
      <c r="B6423" t="str">
        <f>"1551601467120745"</f>
        <v>1551601467120745</v>
      </c>
      <c r="C6423" t="s">
        <v>40</v>
      </c>
      <c r="D6423">
        <v>5.5100309999999997</v>
      </c>
      <c r="E6423">
        <v>0.54230059999999902</v>
      </c>
      <c r="F6423" t="s">
        <v>42</v>
      </c>
      <c r="G6423">
        <v>-188.25700000000001</v>
      </c>
      <c r="H6423">
        <v>0.85325869999999904</v>
      </c>
      <c r="I6423">
        <v>-27.90774</v>
      </c>
      <c r="J6423">
        <v>-188.35839999999999</v>
      </c>
      <c r="K6423">
        <v>1.1233229999999901</v>
      </c>
      <c r="L6423">
        <v>-28.436489999999999</v>
      </c>
      <c r="M6423">
        <v>6.3949229999999996E-2</v>
      </c>
      <c r="N6423">
        <v>-1.3137640000000001E-2</v>
      </c>
      <c r="O6423">
        <v>0.9978667</v>
      </c>
      <c r="P6423">
        <v>3.9876380000000003E-2</v>
      </c>
      <c r="Q6423">
        <v>0.110592</v>
      </c>
      <c r="R6423">
        <v>0.99306559999999999</v>
      </c>
      <c r="S6423">
        <v>0.44606020000000002</v>
      </c>
      <c r="T6423">
        <v>-1.030921</v>
      </c>
      <c r="U6423">
        <v>3.1178889999999999</v>
      </c>
      <c r="V6423">
        <v>-2.4505160000000002E-2</v>
      </c>
      <c r="W6423">
        <v>0.1234818</v>
      </c>
      <c r="X6423">
        <v>0.99204420000000004</v>
      </c>
      <c r="Y6423">
        <v>7.1377079999999996E-2</v>
      </c>
      <c r="Z6423">
        <v>-0.2987399</v>
      </c>
      <c r="AA6423">
        <v>0.9516616</v>
      </c>
      <c r="AB6423">
        <v>27</v>
      </c>
      <c r="AC6423">
        <v>0.101399999999983</v>
      </c>
      <c r="AD6423">
        <v>-0.27006429999999898</v>
      </c>
      <c r="AE6423">
        <v>0.52874999999999805</v>
      </c>
      <c r="AF6423">
        <v>5.3831229565342899E-2</v>
      </c>
      <c r="AG6423">
        <v>-0.27006429999999898</v>
      </c>
      <c r="AH6423">
        <v>0.426768333581379</v>
      </c>
      <c r="AI6423">
        <v>122.12214397010599</v>
      </c>
      <c r="AJ6423">
        <v>82.810855894125396</v>
      </c>
      <c r="AK6423">
        <v>0.50790130730175698</v>
      </c>
      <c r="AL6423">
        <v>82.9069097370988</v>
      </c>
      <c r="AM6423">
        <v>91.415014350372502</v>
      </c>
      <c r="AN6423">
        <v>0.99999997627575199</v>
      </c>
    </row>
    <row r="6424" spans="1:40" x14ac:dyDescent="0.25">
      <c r="A6424" t="str">
        <f>"20190303162427153"</f>
        <v>20190303162427153</v>
      </c>
      <c r="B6424" t="str">
        <f>"1551601467141239"</f>
        <v>1551601467141239</v>
      </c>
      <c r="C6424" t="s">
        <v>40</v>
      </c>
      <c r="D6424">
        <v>5.5739769999999904</v>
      </c>
      <c r="E6424">
        <v>0.54236130000000005</v>
      </c>
      <c r="F6424" t="s">
        <v>42</v>
      </c>
      <c r="G6424">
        <v>-188.251</v>
      </c>
      <c r="H6424">
        <v>0.866813099999999</v>
      </c>
      <c r="I6424">
        <v>-27.658819999999999</v>
      </c>
      <c r="J6424">
        <v>-188.345</v>
      </c>
      <c r="K6424">
        <v>1.1233120000000001</v>
      </c>
      <c r="L6424">
        <v>-28.165769999999998</v>
      </c>
      <c r="M6424">
        <v>6.0372750000000003E-2</v>
      </c>
      <c r="N6424">
        <v>-1.309914E-2</v>
      </c>
      <c r="O6424">
        <v>0.99809000000000003</v>
      </c>
      <c r="P6424">
        <v>3.7077249999999999E-2</v>
      </c>
      <c r="Q6424">
        <v>0.10984090000000001</v>
      </c>
      <c r="R6424">
        <v>0.99325739999999996</v>
      </c>
      <c r="S6424">
        <v>0.43098449999999999</v>
      </c>
      <c r="T6424">
        <v>-1.0284580000000001</v>
      </c>
      <c r="U6424">
        <v>3.1181640000000002</v>
      </c>
      <c r="V6424">
        <v>-2.3743980000000001E-2</v>
      </c>
      <c r="W6424">
        <v>0.1226995</v>
      </c>
      <c r="X6424">
        <v>0.99215980000000004</v>
      </c>
      <c r="Y6424">
        <v>7.0450589999999993E-2</v>
      </c>
      <c r="Z6424">
        <v>-0.29827680000000001</v>
      </c>
      <c r="AA6424">
        <v>0.9518759</v>
      </c>
      <c r="AB6424">
        <v>27</v>
      </c>
      <c r="AC6424">
        <v>9.4000000000022496E-2</v>
      </c>
      <c r="AD6424">
        <v>-0.25649889999999997</v>
      </c>
      <c r="AE6424">
        <v>0.50694999999999901</v>
      </c>
      <c r="AF6424">
        <v>5.0677638834999698E-2</v>
      </c>
      <c r="AG6424">
        <v>-0.25649889999999997</v>
      </c>
      <c r="AH6424">
        <v>0.41018372360176297</v>
      </c>
      <c r="AI6424">
        <v>121.824078794172</v>
      </c>
      <c r="AJ6424">
        <v>82.956876016300598</v>
      </c>
      <c r="AK6424">
        <v>0.48642635196595602</v>
      </c>
      <c r="AL6424">
        <v>82.952075908104504</v>
      </c>
      <c r="AM6424">
        <v>91.370918491224799</v>
      </c>
      <c r="AN6424">
        <v>1.00000000631126</v>
      </c>
    </row>
    <row r="6425" spans="1:40" x14ac:dyDescent="0.25">
      <c r="A6425" t="str">
        <f>"20190303162427174"</f>
        <v>20190303162427174</v>
      </c>
      <c r="B6425" t="str">
        <f>"1551601467160759"</f>
        <v>1551601467160759</v>
      </c>
      <c r="C6425" t="s">
        <v>40</v>
      </c>
      <c r="D6425">
        <v>5.5467639999999996</v>
      </c>
      <c r="E6425">
        <v>0.54220190000000001</v>
      </c>
      <c r="F6425" t="s">
        <v>42</v>
      </c>
      <c r="G6425">
        <v>-188.24350000000001</v>
      </c>
      <c r="H6425">
        <v>0.87545539999999999</v>
      </c>
      <c r="I6425">
        <v>-27.411989999999999</v>
      </c>
      <c r="J6425">
        <v>-188.33359999999999</v>
      </c>
      <c r="K6425">
        <v>1.123291</v>
      </c>
      <c r="L6425">
        <v>-27.91995</v>
      </c>
      <c r="M6425">
        <v>5.715245E-2</v>
      </c>
      <c r="N6425">
        <v>-1.3048789999999999E-2</v>
      </c>
      <c r="O6425">
        <v>0.99828019999999995</v>
      </c>
      <c r="P6425">
        <v>3.5262960000000003E-2</v>
      </c>
      <c r="Q6425">
        <v>0.1089615</v>
      </c>
      <c r="R6425">
        <v>0.99342030000000003</v>
      </c>
      <c r="S6425">
        <v>0.41926570000000002</v>
      </c>
      <c r="T6425">
        <v>-1.0253639999999999</v>
      </c>
      <c r="U6425">
        <v>3.1181030000000001</v>
      </c>
      <c r="V6425">
        <v>-2.2350390000000001E-2</v>
      </c>
      <c r="W6425">
        <v>0.1217805</v>
      </c>
      <c r="X6425">
        <v>0.9923054</v>
      </c>
      <c r="Y6425">
        <v>7.0187289999999999E-2</v>
      </c>
      <c r="Z6425">
        <v>-0.29763650000000003</v>
      </c>
      <c r="AA6425">
        <v>0.95209569999999999</v>
      </c>
      <c r="AB6425">
        <v>27</v>
      </c>
      <c r="AC6425">
        <v>9.0099999999978295E-2</v>
      </c>
      <c r="AD6425">
        <v>-0.24783559999999999</v>
      </c>
      <c r="AE6425">
        <v>0.50795999999999697</v>
      </c>
      <c r="AF6425">
        <v>4.9495954391292701E-2</v>
      </c>
      <c r="AG6425">
        <v>-0.24783559999999999</v>
      </c>
      <c r="AH6425">
        <v>0.41622039096583602</v>
      </c>
      <c r="AI6425">
        <v>120.594853866695</v>
      </c>
      <c r="AJ6425">
        <v>83.218367662655893</v>
      </c>
      <c r="AK6425">
        <v>0.48694121614853902</v>
      </c>
      <c r="AL6425">
        <v>83.005128681623503</v>
      </c>
      <c r="AM6425">
        <v>91.290294832091504</v>
      </c>
      <c r="AN6425">
        <v>1.0000000184912801</v>
      </c>
    </row>
    <row r="6426" spans="1:40" x14ac:dyDescent="0.25">
      <c r="A6426" t="str">
        <f>"20190303162427196"</f>
        <v>20190303162427196</v>
      </c>
      <c r="B6426" t="str">
        <f>"1551601467191015"</f>
        <v>1551601467191015</v>
      </c>
      <c r="C6426" t="s">
        <v>40</v>
      </c>
      <c r="D6426">
        <v>5.5786150000000001</v>
      </c>
      <c r="E6426">
        <v>0.54153509999999905</v>
      </c>
      <c r="F6426" t="s">
        <v>42</v>
      </c>
      <c r="G6426">
        <v>-188.2354</v>
      </c>
      <c r="H6426">
        <v>0.87569419999999898</v>
      </c>
      <c r="I6426">
        <v>-27.168559999999999</v>
      </c>
      <c r="J6426">
        <v>-188.32149999999999</v>
      </c>
      <c r="K6426">
        <v>1.123267</v>
      </c>
      <c r="L6426">
        <v>-27.640689999999999</v>
      </c>
      <c r="M6426">
        <v>5.352589E-2</v>
      </c>
      <c r="N6426">
        <v>-1.2964069999999999E-2</v>
      </c>
      <c r="O6426">
        <v>0.99848230000000004</v>
      </c>
      <c r="P6426">
        <v>3.380934E-2</v>
      </c>
      <c r="Q6426">
        <v>0.10912380000000001</v>
      </c>
      <c r="R6426">
        <v>0.99345300000000003</v>
      </c>
      <c r="S6426">
        <v>0.40681460000000003</v>
      </c>
      <c r="T6426">
        <v>-1.027606</v>
      </c>
      <c r="U6426">
        <v>3.118134</v>
      </c>
      <c r="V6426">
        <v>-2.019104E-2</v>
      </c>
      <c r="W6426">
        <v>0.1218737</v>
      </c>
      <c r="X6426">
        <v>0.99234020000000001</v>
      </c>
      <c r="Y6426">
        <v>7.0039470000000006E-2</v>
      </c>
      <c r="Z6426">
        <v>-0.29848970000000002</v>
      </c>
      <c r="AA6426">
        <v>0.9518394</v>
      </c>
      <c r="AB6426">
        <v>27</v>
      </c>
      <c r="AC6426">
        <v>8.6099999999987603E-2</v>
      </c>
      <c r="AD6426">
        <v>-0.24757280000000001</v>
      </c>
      <c r="AE6426">
        <v>0.47213000000000299</v>
      </c>
      <c r="AF6426">
        <v>4.7944383992667802E-2</v>
      </c>
      <c r="AG6426">
        <v>-0.24757280000000001</v>
      </c>
      <c r="AH6426">
        <v>0.376001307787593</v>
      </c>
      <c r="AI6426">
        <v>123.150465727027</v>
      </c>
      <c r="AJ6426">
        <v>82.733359201206497</v>
      </c>
      <c r="AK6426">
        <v>0.45273384975530201</v>
      </c>
      <c r="AL6426">
        <v>82.9997483328236</v>
      </c>
      <c r="AM6426">
        <v>91.165630264976699</v>
      </c>
      <c r="AN6426">
        <v>0.99999997469200497</v>
      </c>
    </row>
    <row r="6427" spans="1:40" x14ac:dyDescent="0.25">
      <c r="A6427" t="str">
        <f>"20190303162427220"</f>
        <v>20190303162427220</v>
      </c>
      <c r="B6427" t="str">
        <f>"1551601467211511"</f>
        <v>1551601467211511</v>
      </c>
      <c r="C6427" t="s">
        <v>40</v>
      </c>
      <c r="D6427">
        <v>5.5578459999999996</v>
      </c>
      <c r="E6427">
        <v>0.54120080000000004</v>
      </c>
      <c r="F6427" t="s">
        <v>42</v>
      </c>
      <c r="G6427">
        <v>-188.2313</v>
      </c>
      <c r="H6427">
        <v>0.88346849999999999</v>
      </c>
      <c r="I6427">
        <v>-26.921700000000001</v>
      </c>
      <c r="J6427">
        <v>-188.31010000000001</v>
      </c>
      <c r="K6427">
        <v>1.123245</v>
      </c>
      <c r="L6427">
        <v>-27.350650000000002</v>
      </c>
      <c r="M6427">
        <v>4.9791450000000001E-2</v>
      </c>
      <c r="N6427">
        <v>-1.284778E-2</v>
      </c>
      <c r="O6427">
        <v>0.99867700000000004</v>
      </c>
      <c r="P6427">
        <v>3.335958E-2</v>
      </c>
      <c r="Q6427">
        <v>0.11067639999999999</v>
      </c>
      <c r="R6427">
        <v>0.99329639999999997</v>
      </c>
      <c r="S6427">
        <v>0.39163209999999998</v>
      </c>
      <c r="T6427">
        <v>-1.0408919999999999</v>
      </c>
      <c r="U6427">
        <v>3.1207889999999998</v>
      </c>
      <c r="V6427">
        <v>-1.6921470000000001E-2</v>
      </c>
      <c r="W6427">
        <v>0.1233303</v>
      </c>
      <c r="X6427">
        <v>0.99222140000000003</v>
      </c>
      <c r="Y6427">
        <v>6.8966659999999999E-2</v>
      </c>
      <c r="Z6427">
        <v>-0.30217889999999997</v>
      </c>
      <c r="AA6427">
        <v>0.95075319999999997</v>
      </c>
      <c r="AB6427">
        <v>27</v>
      </c>
      <c r="AC6427">
        <v>7.8800000000000994E-2</v>
      </c>
      <c r="AD6427">
        <v>-0.2397765</v>
      </c>
      <c r="AE6427">
        <v>0.42895</v>
      </c>
      <c r="AF6427">
        <v>4.4032904404869802E-2</v>
      </c>
      <c r="AG6427">
        <v>-0.2397765</v>
      </c>
      <c r="AH6427">
        <v>0.33199256250619902</v>
      </c>
      <c r="AI6427">
        <v>125.601323857201</v>
      </c>
      <c r="AJ6427">
        <v>82.444830460446397</v>
      </c>
      <c r="AK6427">
        <v>0.41188679049225502</v>
      </c>
      <c r="AL6427">
        <v>82.915657098115304</v>
      </c>
      <c r="AM6427">
        <v>90.977034799811094</v>
      </c>
      <c r="AN6427">
        <v>1.0000000028314999</v>
      </c>
    </row>
    <row r="6428" spans="1:40" x14ac:dyDescent="0.25">
      <c r="A6428" t="str">
        <f>"20190303162427253"</f>
        <v>20190303162427253</v>
      </c>
      <c r="B6428" t="str">
        <f>"1551601467240791"</f>
        <v>1551601467240791</v>
      </c>
      <c r="C6428" t="s">
        <v>40</v>
      </c>
      <c r="D6428">
        <v>5.5384570000000002</v>
      </c>
      <c r="E6428">
        <v>0.54089330000000002</v>
      </c>
      <c r="F6428" t="s">
        <v>42</v>
      </c>
      <c r="G6428">
        <v>-188.22710000000001</v>
      </c>
      <c r="H6428">
        <v>0.8966634</v>
      </c>
      <c r="I6428">
        <v>-26.672339999999998</v>
      </c>
      <c r="J6428">
        <v>-188.29640000000001</v>
      </c>
      <c r="K6428">
        <v>1.123184</v>
      </c>
      <c r="L6428">
        <v>-26.958130000000001</v>
      </c>
      <c r="M6428">
        <v>4.4789160000000001E-2</v>
      </c>
      <c r="N6428">
        <v>-1.2633790000000001E-2</v>
      </c>
      <c r="O6428">
        <v>0.99891660000000004</v>
      </c>
      <c r="P6428">
        <v>3.1513649999999997E-2</v>
      </c>
      <c r="Q6428">
        <v>0.10973810000000001</v>
      </c>
      <c r="R6428">
        <v>0.99346080000000003</v>
      </c>
      <c r="S6428">
        <v>0.38171389999999999</v>
      </c>
      <c r="T6428">
        <v>-1.043536</v>
      </c>
      <c r="U6428">
        <v>3.123688</v>
      </c>
      <c r="V6428">
        <v>-1.378129E-2</v>
      </c>
      <c r="W6428">
        <v>0.1222022</v>
      </c>
      <c r="X6428">
        <v>0.99240949999999994</v>
      </c>
      <c r="Y6428">
        <v>7.0847850000000004E-2</v>
      </c>
      <c r="Z6428">
        <v>-0.302979</v>
      </c>
      <c r="AA6428">
        <v>0.95036010000000004</v>
      </c>
      <c r="AB6428">
        <v>27</v>
      </c>
      <c r="AC6428">
        <v>6.9299999999998294E-2</v>
      </c>
      <c r="AD6428">
        <v>-0.22652059999999999</v>
      </c>
      <c r="AE6428">
        <v>0.28578999999999799</v>
      </c>
      <c r="AF6428">
        <v>3.54154993850265E-2</v>
      </c>
      <c r="AG6428">
        <v>-0.22652059999999999</v>
      </c>
      <c r="AH6428">
        <v>0.18113289326033899</v>
      </c>
      <c r="AI6428">
        <v>140.82781071677101</v>
      </c>
      <c r="AJ6428">
        <v>78.936970727038499</v>
      </c>
      <c r="AK6428">
        <v>0.29218994651067698</v>
      </c>
      <c r="AL6428">
        <v>82.980784812389601</v>
      </c>
      <c r="AM6428">
        <v>90.795597989448794</v>
      </c>
      <c r="AN6428">
        <v>0.99999995866457603</v>
      </c>
    </row>
    <row r="6429" spans="1:40" x14ac:dyDescent="0.25">
      <c r="A6429" t="str">
        <f>"20190303162427274"</f>
        <v>20190303162427274</v>
      </c>
      <c r="B6429" t="str">
        <f>"1551601467261287"</f>
        <v>1551601467261287</v>
      </c>
      <c r="C6429" t="s">
        <v>40</v>
      </c>
      <c r="D6429">
        <v>5.4878479999999996</v>
      </c>
      <c r="E6429">
        <v>0.5406955</v>
      </c>
      <c r="F6429" t="s">
        <v>42</v>
      </c>
      <c r="G6429">
        <v>-188.2056</v>
      </c>
      <c r="H6429">
        <v>0.86748860000000005</v>
      </c>
      <c r="I6429">
        <v>-26.197669999999999</v>
      </c>
      <c r="J6429">
        <v>-188.2886</v>
      </c>
      <c r="K6429">
        <v>1.1231249999999999</v>
      </c>
      <c r="L6429">
        <v>-26.703189999999999</v>
      </c>
      <c r="M6429">
        <v>4.1576580000000002E-2</v>
      </c>
      <c r="N6429">
        <v>-1.246675E-2</v>
      </c>
      <c r="O6429">
        <v>0.99905750000000004</v>
      </c>
      <c r="P6429">
        <v>2.9694089999999999E-2</v>
      </c>
      <c r="Q6429">
        <v>0.10863630000000001</v>
      </c>
      <c r="R6429">
        <v>0.99363800000000002</v>
      </c>
      <c r="S6429">
        <v>0.3727722</v>
      </c>
      <c r="T6429">
        <v>-1.0504739999999999</v>
      </c>
      <c r="U6429">
        <v>3.1239620000000001</v>
      </c>
      <c r="V6429">
        <v>-1.2394769999999999E-2</v>
      </c>
      <c r="W6429">
        <v>0.120946</v>
      </c>
      <c r="X6429">
        <v>0.99258170000000001</v>
      </c>
      <c r="Y6429">
        <v>7.1283630000000001E-2</v>
      </c>
      <c r="Z6429">
        <v>-0.30510799999999999</v>
      </c>
      <c r="AA6429">
        <v>0.94964610000000005</v>
      </c>
      <c r="AB6429">
        <v>27</v>
      </c>
      <c r="AC6429">
        <v>8.2999999999998395E-2</v>
      </c>
      <c r="AD6429">
        <v>-0.25563639999999899</v>
      </c>
      <c r="AE6429">
        <v>0.50551999999999997</v>
      </c>
      <c r="AF6429">
        <v>4.9566303823583201E-2</v>
      </c>
      <c r="AG6429">
        <v>-0.25563639999999899</v>
      </c>
      <c r="AH6429">
        <v>0.407149721046699</v>
      </c>
      <c r="AI6429">
        <v>121.93391293225</v>
      </c>
      <c r="AJ6429">
        <v>83.058981789394096</v>
      </c>
      <c r="AK6429">
        <v>0.48329875111373599</v>
      </c>
      <c r="AL6429">
        <v>83.053297928959907</v>
      </c>
      <c r="AM6429">
        <v>90.715438436019994</v>
      </c>
      <c r="AN6429">
        <v>0.99999999820712104</v>
      </c>
    </row>
    <row r="6430" spans="1:40" x14ac:dyDescent="0.25">
      <c r="A6430" t="str">
        <f>"20190303162427297"</f>
        <v>20190303162427297</v>
      </c>
      <c r="B6430" t="str">
        <f>"1551601467291543"</f>
        <v>1551601467291543</v>
      </c>
      <c r="C6430" t="s">
        <v>40</v>
      </c>
      <c r="D6430">
        <v>5.4169549999999997</v>
      </c>
      <c r="E6430">
        <v>0.54046190000000005</v>
      </c>
      <c r="F6430" t="s">
        <v>42</v>
      </c>
      <c r="G6430">
        <v>-188.20079999999999</v>
      </c>
      <c r="H6430">
        <v>0.86922860000000002</v>
      </c>
      <c r="I6430">
        <v>-25.952839999999998</v>
      </c>
      <c r="J6430">
        <v>-188.2807</v>
      </c>
      <c r="K6430">
        <v>1.1230549999999999</v>
      </c>
      <c r="L6430">
        <v>-26.422550000000001</v>
      </c>
      <c r="M6430">
        <v>3.80951E-2</v>
      </c>
      <c r="N6430">
        <v>-1.227495E-2</v>
      </c>
      <c r="O6430">
        <v>0.9991987</v>
      </c>
      <c r="P6430">
        <v>2.7165760000000001E-2</v>
      </c>
      <c r="Q6430">
        <v>0.1087282</v>
      </c>
      <c r="R6430">
        <v>0.99370029999999998</v>
      </c>
      <c r="S6430">
        <v>0.36521910000000002</v>
      </c>
      <c r="T6430">
        <v>-1.0570389999999901</v>
      </c>
      <c r="U6430">
        <v>3.1238709999999998</v>
      </c>
      <c r="V6430">
        <v>-1.1446400000000001E-2</v>
      </c>
      <c r="W6430">
        <v>0.12085419999999999</v>
      </c>
      <c r="X6430">
        <v>0.99260429999999999</v>
      </c>
      <c r="Y6430">
        <v>7.2419440000000002E-2</v>
      </c>
      <c r="Z6430">
        <v>-0.30717309999999998</v>
      </c>
      <c r="AA6430">
        <v>0.94889409999999996</v>
      </c>
      <c r="AB6430">
        <v>27</v>
      </c>
      <c r="AC6430">
        <v>7.9900000000009103E-2</v>
      </c>
      <c r="AD6430">
        <v>-0.25382639999999901</v>
      </c>
      <c r="AE6430">
        <v>0.46971000000000201</v>
      </c>
      <c r="AF6430">
        <v>4.8252511712650298E-2</v>
      </c>
      <c r="AG6430">
        <v>-0.25382639999999901</v>
      </c>
      <c r="AH6430">
        <v>0.36797773341647699</v>
      </c>
      <c r="AI6430">
        <v>124.36948974499801</v>
      </c>
      <c r="AJ6430">
        <v>82.529491381688601</v>
      </c>
      <c r="AK6430">
        <v>0.44962624313296801</v>
      </c>
      <c r="AL6430">
        <v>83.058596749831395</v>
      </c>
      <c r="AM6430">
        <v>90.660687589420107</v>
      </c>
      <c r="AN6430">
        <v>1.0000000270545399</v>
      </c>
    </row>
    <row r="6431" spans="1:40" x14ac:dyDescent="0.25">
      <c r="A6431" t="str">
        <f>"20190303162427322"</f>
        <v>20190303162427322</v>
      </c>
      <c r="B6431" t="str">
        <f>"1551601467311064"</f>
        <v>1551601467311064</v>
      </c>
      <c r="C6431" t="s">
        <v>40</v>
      </c>
      <c r="D6431">
        <v>5.5419530000000004</v>
      </c>
      <c r="E6431">
        <v>0.54036439999999997</v>
      </c>
      <c r="F6431" t="s">
        <v>42</v>
      </c>
      <c r="G6431">
        <v>-188.19900000000001</v>
      </c>
      <c r="H6431">
        <v>0.87947330000000001</v>
      </c>
      <c r="I6431">
        <v>-25.704239999999999</v>
      </c>
      <c r="J6431">
        <v>-188.2732</v>
      </c>
      <c r="K6431">
        <v>1.122949</v>
      </c>
      <c r="L6431">
        <v>-26.115449999999999</v>
      </c>
      <c r="M6431">
        <v>3.4408809999999998E-2</v>
      </c>
      <c r="N6431">
        <v>-1.2062079999999999E-2</v>
      </c>
      <c r="O6431">
        <v>0.99933510000000003</v>
      </c>
      <c r="P6431">
        <v>2.2366179999999999E-2</v>
      </c>
      <c r="Q6431">
        <v>0.1110073</v>
      </c>
      <c r="R6431">
        <v>0.99356789999999995</v>
      </c>
      <c r="S6431">
        <v>0.35496519999999998</v>
      </c>
      <c r="T6431">
        <v>-1.0599160000000001</v>
      </c>
      <c r="U6431">
        <v>3.1252749999999998</v>
      </c>
      <c r="V6431">
        <v>-1.2559259999999999E-2</v>
      </c>
      <c r="W6431">
        <v>0.12291439999999999</v>
      </c>
      <c r="X6431">
        <v>0.99233780000000005</v>
      </c>
      <c r="Y6431">
        <v>7.2942740000000006E-2</v>
      </c>
      <c r="Z6431">
        <v>-0.30813449999999998</v>
      </c>
      <c r="AA6431">
        <v>0.94854229999999995</v>
      </c>
      <c r="AB6431">
        <v>27</v>
      </c>
      <c r="AC6431">
        <v>7.4199999999990496E-2</v>
      </c>
      <c r="AD6431">
        <v>-0.24347569999999999</v>
      </c>
      <c r="AE6431">
        <v>0.41121000000000002</v>
      </c>
      <c r="AF6431">
        <v>4.47963910754181E-2</v>
      </c>
      <c r="AG6431">
        <v>-0.24347569999999999</v>
      </c>
      <c r="AH6431">
        <v>0.30870682615415901</v>
      </c>
      <c r="AI6431">
        <v>127.97277509944701</v>
      </c>
      <c r="AJ6431">
        <v>81.743450378197593</v>
      </c>
      <c r="AK6431">
        <v>0.39571080053246699</v>
      </c>
      <c r="AL6431">
        <v>82.939669067124896</v>
      </c>
      <c r="AM6431">
        <v>90.725110112692207</v>
      </c>
      <c r="AN6431">
        <v>0.99999999702397302</v>
      </c>
    </row>
    <row r="6432" spans="1:40" x14ac:dyDescent="0.25">
      <c r="A6432" t="str">
        <f>"20190303162427344"</f>
        <v>20190303162427344</v>
      </c>
      <c r="B6432" t="str">
        <f>"1551601467331559"</f>
        <v>1551601467331559</v>
      </c>
      <c r="C6432" t="s">
        <v>40</v>
      </c>
      <c r="D6432">
        <v>5.4262959999999998</v>
      </c>
      <c r="E6432">
        <v>0.52860109999999905</v>
      </c>
      <c r="F6432" t="s">
        <v>42</v>
      </c>
      <c r="G6432">
        <v>-188.20079999999999</v>
      </c>
      <c r="H6432">
        <v>0.89898630000000002</v>
      </c>
      <c r="I6432">
        <v>-25.45093</v>
      </c>
      <c r="J6432">
        <v>-188.26759999999999</v>
      </c>
      <c r="K6432">
        <v>1.1228209999999901</v>
      </c>
      <c r="L6432">
        <v>-25.857150000000001</v>
      </c>
      <c r="M6432">
        <v>3.1483419999999998E-2</v>
      </c>
      <c r="N6432">
        <v>-1.1882210000000001E-2</v>
      </c>
      <c r="O6432">
        <v>0.99943360000000003</v>
      </c>
      <c r="P6432">
        <v>1.5657790000000001E-2</v>
      </c>
      <c r="Q6432">
        <v>0.113802</v>
      </c>
      <c r="R6432">
        <v>0.99338009999999999</v>
      </c>
      <c r="S6432">
        <v>0.34085079999999901</v>
      </c>
      <c r="T6432">
        <v>-1.0548070000000001</v>
      </c>
      <c r="U6432">
        <v>3.1296080000000002</v>
      </c>
      <c r="V6432">
        <v>-1.633124E-2</v>
      </c>
      <c r="W6432">
        <v>0.1255077</v>
      </c>
      <c r="X6432">
        <v>0.99195820000000001</v>
      </c>
      <c r="Y6432">
        <v>7.1546769999999996E-2</v>
      </c>
      <c r="Z6432">
        <v>-0.30664920000000001</v>
      </c>
      <c r="AA6432">
        <v>0.94912980000000002</v>
      </c>
      <c r="AB6432">
        <v>27</v>
      </c>
      <c r="AC6432">
        <v>6.6800000000000595E-2</v>
      </c>
      <c r="AD6432">
        <v>-0.223834699999999</v>
      </c>
      <c r="AE6432">
        <v>0.40622000000000102</v>
      </c>
      <c r="AF6432">
        <v>4.1660739011844403E-2</v>
      </c>
      <c r="AG6432">
        <v>-0.223834699999999</v>
      </c>
      <c r="AH6432">
        <v>0.31499946144851598</v>
      </c>
      <c r="AI6432">
        <v>125.16290344531301</v>
      </c>
      <c r="AJ6432">
        <v>82.465983195264698</v>
      </c>
      <c r="AK6432">
        <v>0.38866727520072702</v>
      </c>
      <c r="AL6432">
        <v>82.7899241130077</v>
      </c>
      <c r="AM6432">
        <v>90.943211718033695</v>
      </c>
      <c r="AN6432">
        <v>0.99999998135323298</v>
      </c>
    </row>
    <row r="6433" spans="1:40" x14ac:dyDescent="0.25">
      <c r="A6433" t="str">
        <f>"20190303162427366"</f>
        <v>20190303162427366</v>
      </c>
      <c r="B6433" t="str">
        <f>"1551601467360840"</f>
        <v>1551601467360840</v>
      </c>
      <c r="C6433" t="s">
        <v>40</v>
      </c>
      <c r="D6433">
        <v>10.430630000000001</v>
      </c>
      <c r="E6433">
        <v>0.47547089999999997</v>
      </c>
      <c r="F6433" t="s">
        <v>42</v>
      </c>
      <c r="G6433">
        <v>-188.19970000000001</v>
      </c>
      <c r="H6433">
        <v>0.87347520000000001</v>
      </c>
      <c r="I6433">
        <v>-24.971019999999999</v>
      </c>
      <c r="J6433">
        <v>-188.2621</v>
      </c>
      <c r="K6433">
        <v>1.1226400000000001</v>
      </c>
      <c r="L6433">
        <v>-25.575099999999999</v>
      </c>
      <c r="M6433">
        <v>2.8559569999999999E-2</v>
      </c>
      <c r="N6433">
        <v>-1.1694349999999999E-2</v>
      </c>
      <c r="O6433">
        <v>0.99952370000000001</v>
      </c>
      <c r="P6433">
        <v>6.7164379999999999E-3</v>
      </c>
      <c r="Q6433">
        <v>0.1166214</v>
      </c>
      <c r="R6433">
        <v>0.99315379999999998</v>
      </c>
      <c r="S6433">
        <v>0.23849490000000001</v>
      </c>
      <c r="T6433">
        <v>-0.87705409999999995</v>
      </c>
      <c r="U6433">
        <v>3.1166990000000001</v>
      </c>
      <c r="V6433">
        <v>-2.2316829999999999E-2</v>
      </c>
      <c r="W6433">
        <v>0.12811149999999999</v>
      </c>
      <c r="X6433">
        <v>0.99150870000000002</v>
      </c>
      <c r="Y6433">
        <v>4.510604E-2</v>
      </c>
      <c r="Z6433">
        <v>-0.25895679999999999</v>
      </c>
      <c r="AA6433">
        <v>0.96483509999999995</v>
      </c>
      <c r="AB6433">
        <v>28</v>
      </c>
      <c r="AC6433">
        <v>6.2399999999996597E-2</v>
      </c>
      <c r="AD6433">
        <v>-0.24916479999999899</v>
      </c>
      <c r="AE6433">
        <v>0.60407999999999595</v>
      </c>
      <c r="AF6433">
        <v>3.8619994317859903E-2</v>
      </c>
      <c r="AG6433">
        <v>-0.24916479999999899</v>
      </c>
      <c r="AH6433">
        <v>0.51835791654993302</v>
      </c>
      <c r="AI6433">
        <v>115.610842230298</v>
      </c>
      <c r="AJ6433">
        <v>85.739079308227303</v>
      </c>
      <c r="AK6433">
        <v>0.57642825327193903</v>
      </c>
      <c r="AL6433">
        <v>82.6395236452679</v>
      </c>
      <c r="AM6433">
        <v>91.289392932483807</v>
      </c>
      <c r="AN6433">
        <v>1.00000004975459</v>
      </c>
    </row>
    <row r="6434" spans="1:40" x14ac:dyDescent="0.25">
      <c r="A6434" t="str">
        <f>"20190303162427389"</f>
        <v>20190303162427389</v>
      </c>
      <c r="B6434" t="str">
        <f>"1551601467381336"</f>
        <v>1551601467381336</v>
      </c>
      <c r="C6434" t="s">
        <v>40</v>
      </c>
      <c r="D6434">
        <v>5.4636339999999999</v>
      </c>
      <c r="E6434">
        <v>0.47490979999999999</v>
      </c>
      <c r="F6434" t="s">
        <v>55</v>
      </c>
      <c r="G6434">
        <v>-197.3845</v>
      </c>
      <c r="H6434" s="1">
        <v>-4.1967619999999996E-6</v>
      </c>
      <c r="I6434">
        <v>124.2007</v>
      </c>
      <c r="J6434">
        <v>-188.25710000000001</v>
      </c>
      <c r="K6434">
        <v>1.122444</v>
      </c>
      <c r="L6434">
        <v>-25.294309999999999</v>
      </c>
      <c r="M6434">
        <v>2.5894070000000002E-2</v>
      </c>
      <c r="N6434">
        <v>-1.152306E-2</v>
      </c>
      <c r="O6434">
        <v>0.99959830000000005</v>
      </c>
      <c r="P6434">
        <v>-1.897492E-3</v>
      </c>
      <c r="Q6434">
        <v>0.1175771</v>
      </c>
      <c r="R6434">
        <v>0.993062</v>
      </c>
      <c r="S6434">
        <v>-0.18421940000000001</v>
      </c>
      <c r="T6434">
        <v>-2.2670869999999999E-2</v>
      </c>
      <c r="U6434">
        <v>3.024597</v>
      </c>
      <c r="V6434">
        <v>-2.8222959999999998E-2</v>
      </c>
      <c r="W6434">
        <v>0.12887609999999999</v>
      </c>
      <c r="X6434">
        <v>0.991259</v>
      </c>
      <c r="Y6434">
        <v>-8.6611939999999998E-2</v>
      </c>
      <c r="Z6434">
        <v>4.0618080000000001E-3</v>
      </c>
      <c r="AA6434">
        <v>0.99623379999999995</v>
      </c>
      <c r="AB6434">
        <v>28</v>
      </c>
      <c r="AC6434">
        <v>-9.1273999999999909</v>
      </c>
      <c r="AD6434">
        <v>-1.1224481967619999</v>
      </c>
      <c r="AE6434">
        <v>149.49501000000001</v>
      </c>
      <c r="AF6434">
        <v>-12.994900443706699</v>
      </c>
      <c r="AG6434">
        <v>-1.1224481967619999</v>
      </c>
      <c r="AH6434">
        <v>149.20013552432599</v>
      </c>
      <c r="AI6434">
        <v>90.429408411992398</v>
      </c>
      <c r="AJ6434">
        <v>94.977735228336797</v>
      </c>
      <c r="AK6434">
        <v>149.76918163618899</v>
      </c>
      <c r="AL6434">
        <v>82.595348691326393</v>
      </c>
      <c r="AM6434">
        <v>91.630875233138397</v>
      </c>
      <c r="AN6434">
        <v>0.999999994851685</v>
      </c>
    </row>
    <row r="6435" spans="1:40" x14ac:dyDescent="0.25">
      <c r="A6435" t="str">
        <f>"20190303162427410"</f>
        <v>20190303162427410</v>
      </c>
      <c r="B6435" t="str">
        <f>"1551601467400856"</f>
        <v>1551601467400856</v>
      </c>
      <c r="C6435" t="s">
        <v>40</v>
      </c>
      <c r="D6435">
        <v>8.4649140000000003</v>
      </c>
      <c r="E6435">
        <v>0.47642790000000002</v>
      </c>
      <c r="F6435" t="s">
        <v>41</v>
      </c>
      <c r="G6435">
        <v>-190.12309999999999</v>
      </c>
      <c r="H6435" s="1">
        <v>-6.6628090000000004E-7</v>
      </c>
      <c r="I6435">
        <v>1.065885</v>
      </c>
      <c r="J6435">
        <v>-188.25280000000001</v>
      </c>
      <c r="K6435">
        <v>1.122241</v>
      </c>
      <c r="L6435">
        <v>-25.030519999999999</v>
      </c>
      <c r="M6435">
        <v>2.364987E-2</v>
      </c>
      <c r="N6435">
        <v>-1.137765E-2</v>
      </c>
      <c r="O6435">
        <v>0.99965550000000003</v>
      </c>
      <c r="P6435">
        <v>-9.0992120000000006E-3</v>
      </c>
      <c r="Q6435">
        <v>0.11551640000000001</v>
      </c>
      <c r="R6435">
        <v>0.99326389999999998</v>
      </c>
      <c r="S6435">
        <v>-0.21490480000000001</v>
      </c>
      <c r="T6435">
        <v>-0.12927</v>
      </c>
      <c r="U6435">
        <v>3.0358580000000002</v>
      </c>
      <c r="V6435">
        <v>-3.3130390000000003E-2</v>
      </c>
      <c r="W6435">
        <v>0.12666379999999999</v>
      </c>
      <c r="X6435">
        <v>0.9913923</v>
      </c>
      <c r="Y6435">
        <v>-9.4121940000000001E-2</v>
      </c>
      <c r="Z6435">
        <v>-3.0997650000000002E-2</v>
      </c>
      <c r="AA6435">
        <v>0.99507800000000002</v>
      </c>
      <c r="AB6435">
        <v>28</v>
      </c>
      <c r="AC6435">
        <v>-1.8702999999999801</v>
      </c>
      <c r="AD6435">
        <v>-1.1222416662809001</v>
      </c>
      <c r="AE6435">
        <v>26.096405000000001</v>
      </c>
      <c r="AF6435">
        <v>-2.4824260527597799</v>
      </c>
      <c r="AG6435">
        <v>-1.1222416662809001</v>
      </c>
      <c r="AH6435">
        <v>25.997038652660901</v>
      </c>
      <c r="AI6435">
        <v>92.460634029743304</v>
      </c>
      <c r="AJ6435">
        <v>95.454566962850095</v>
      </c>
      <c r="AK6435">
        <v>26.1393933398023</v>
      </c>
      <c r="AL6435">
        <v>82.7231518274466</v>
      </c>
      <c r="AM6435">
        <v>91.914000509380102</v>
      </c>
      <c r="AN6435">
        <v>1.00000001673564</v>
      </c>
    </row>
    <row r="6436" spans="1:40" x14ac:dyDescent="0.25">
      <c r="A6436" t="str">
        <f>"20190303162427432"</f>
        <v>20190303162427432</v>
      </c>
      <c r="B6436" t="str">
        <f>"1551601467421353"</f>
        <v>1551601467421353</v>
      </c>
      <c r="C6436" t="s">
        <v>40</v>
      </c>
      <c r="D6436">
        <v>5.1300910000000002</v>
      </c>
      <c r="E6436">
        <v>0.47895539999999998</v>
      </c>
      <c r="F6436" t="s">
        <v>41</v>
      </c>
      <c r="G6436">
        <v>-189.79310000000001</v>
      </c>
      <c r="H6436" s="1">
        <v>-2.7346890000000002E-6</v>
      </c>
      <c r="I6436">
        <v>-4.0781239999999999</v>
      </c>
      <c r="J6436">
        <v>-188.24879999999999</v>
      </c>
      <c r="K6436">
        <v>1.1220209999999999</v>
      </c>
      <c r="L6436">
        <v>-24.764769999999999</v>
      </c>
      <c r="M6436">
        <v>2.168896E-2</v>
      </c>
      <c r="N6436">
        <v>-1.1245369999999999E-2</v>
      </c>
      <c r="O6436">
        <v>0.99970150000000002</v>
      </c>
      <c r="P6436">
        <v>-1.5243710000000001E-2</v>
      </c>
      <c r="Q6436">
        <v>0.1139913</v>
      </c>
      <c r="R6436">
        <v>0.99336480000000005</v>
      </c>
      <c r="S6436">
        <v>-0.22328190000000001</v>
      </c>
      <c r="T6436">
        <v>-0.16267899999999999</v>
      </c>
      <c r="U6436">
        <v>3.0372309999999998</v>
      </c>
      <c r="V6436">
        <v>-3.7260670000000003E-2</v>
      </c>
      <c r="W6436">
        <v>0.12500810000000001</v>
      </c>
      <c r="X6436">
        <v>0.9914558</v>
      </c>
      <c r="Y6436">
        <v>-9.4832470000000002E-2</v>
      </c>
      <c r="Z6436">
        <v>-4.2032229999999997E-2</v>
      </c>
      <c r="AA6436">
        <v>0.99460550000000003</v>
      </c>
      <c r="AB6436">
        <v>28</v>
      </c>
      <c r="AC6436">
        <v>-1.54430000000002</v>
      </c>
      <c r="AD6436">
        <v>-1.1220237346890001</v>
      </c>
      <c r="AE6436">
        <v>20.686646</v>
      </c>
      <c r="AF6436">
        <v>-1.9868243105746499</v>
      </c>
      <c r="AG6436">
        <v>-1.1220237346890001</v>
      </c>
      <c r="AH6436">
        <v>20.588051054816901</v>
      </c>
      <c r="AI6436">
        <v>93.1050675496097</v>
      </c>
      <c r="AJ6436">
        <v>95.512188743058402</v>
      </c>
      <c r="AK6436">
        <v>20.714107616261</v>
      </c>
      <c r="AL6436">
        <v>82.818776402967501</v>
      </c>
      <c r="AM6436">
        <v>92.152264266154305</v>
      </c>
      <c r="AN6436">
        <v>0.99999999297404896</v>
      </c>
    </row>
    <row r="6437" spans="1:40" x14ac:dyDescent="0.25">
      <c r="A6437" t="str">
        <f>"20190303162427453"</f>
        <v>20190303162427453</v>
      </c>
      <c r="B6437" t="str">
        <f>"1551601467440871"</f>
        <v>1551601467440871</v>
      </c>
      <c r="C6437" t="s">
        <v>40</v>
      </c>
      <c r="D6437">
        <v>5.0999470000000002</v>
      </c>
      <c r="E6437">
        <v>0.47965039999999998</v>
      </c>
      <c r="F6437" t="s">
        <v>41</v>
      </c>
      <c r="G6437">
        <v>-189.85890000000001</v>
      </c>
      <c r="H6437" s="1">
        <v>-3.374452E-6</v>
      </c>
      <c r="I6437">
        <v>-2.5596260000000002</v>
      </c>
      <c r="J6437">
        <v>-188.245</v>
      </c>
      <c r="K6437">
        <v>1.1218079999999999</v>
      </c>
      <c r="L6437">
        <v>-24.500520000000002</v>
      </c>
      <c r="M6437">
        <v>2.0039209999999998E-2</v>
      </c>
      <c r="N6437">
        <v>-1.112731E-2</v>
      </c>
      <c r="O6437">
        <v>0.99973730000000005</v>
      </c>
      <c r="P6437">
        <v>-1.9870559999999999E-2</v>
      </c>
      <c r="Q6437">
        <v>0.1134559</v>
      </c>
      <c r="R6437">
        <v>0.99334429999999996</v>
      </c>
      <c r="S6437">
        <v>-0.2200165</v>
      </c>
      <c r="T6437">
        <v>-0.15332000000000001</v>
      </c>
      <c r="U6437">
        <v>3.0342410000000002</v>
      </c>
      <c r="V6437">
        <v>-4.0182629999999997E-2</v>
      </c>
      <c r="W6437">
        <v>0.12436419999999999</v>
      </c>
      <c r="X6437">
        <v>0.99142269999999999</v>
      </c>
      <c r="Y6437">
        <v>-9.2207739999999996E-2</v>
      </c>
      <c r="Z6437">
        <v>-3.9152670000000001E-2</v>
      </c>
      <c r="AA6437">
        <v>0.99496969999999996</v>
      </c>
      <c r="AB6437">
        <v>28</v>
      </c>
      <c r="AC6437">
        <v>-1.6138999999999999</v>
      </c>
      <c r="AD6437">
        <v>-1.121811374452</v>
      </c>
      <c r="AE6437">
        <v>21.940894</v>
      </c>
      <c r="AF6437">
        <v>-2.0479564117583999</v>
      </c>
      <c r="AG6437">
        <v>-1.121811374452</v>
      </c>
      <c r="AH6437">
        <v>21.847339383550398</v>
      </c>
      <c r="AI6437">
        <v>92.9266192772983</v>
      </c>
      <c r="AJ6437">
        <v>95.355222806926704</v>
      </c>
      <c r="AK6437">
        <v>21.971773355019501</v>
      </c>
      <c r="AL6437">
        <v>82.855959618070997</v>
      </c>
      <c r="AM6437">
        <v>92.320943112964002</v>
      </c>
      <c r="AN6437">
        <v>1.0000000340353199</v>
      </c>
    </row>
    <row r="6438" spans="1:40" x14ac:dyDescent="0.25">
      <c r="A6438" t="str">
        <f>"20190303162427476"</f>
        <v>20190303162427476</v>
      </c>
      <c r="B6438" t="str">
        <f>"1551601467471128"</f>
        <v>1551601467471128</v>
      </c>
      <c r="C6438" t="s">
        <v>40</v>
      </c>
      <c r="D6438">
        <v>5.4308100000000001</v>
      </c>
      <c r="E6438">
        <v>0.48177409999999998</v>
      </c>
      <c r="F6438" t="s">
        <v>41</v>
      </c>
      <c r="G6438">
        <v>-190.34819999999999</v>
      </c>
      <c r="H6438" s="1">
        <v>-1.730254E-6</v>
      </c>
      <c r="I6438">
        <v>3.406425</v>
      </c>
      <c r="J6438">
        <v>-188.24100000000001</v>
      </c>
      <c r="K6438">
        <v>1.12159599999999</v>
      </c>
      <c r="L6438">
        <v>-24.216339999999999</v>
      </c>
      <c r="M6438">
        <v>1.8564359999999999E-2</v>
      </c>
      <c r="N6438">
        <v>-1.1014889999999999E-2</v>
      </c>
      <c r="O6438">
        <v>0.99976699999999996</v>
      </c>
      <c r="P6438">
        <v>-2.1723289999999999E-2</v>
      </c>
      <c r="Q6438">
        <v>0.11445470000000001</v>
      </c>
      <c r="R6438">
        <v>0.99319089999999999</v>
      </c>
      <c r="S6438">
        <v>-0.2283173</v>
      </c>
      <c r="T6438">
        <v>-0.1217785</v>
      </c>
      <c r="U6438">
        <v>3.0294490000000001</v>
      </c>
      <c r="V6438">
        <v>-4.0505109999999997E-2</v>
      </c>
      <c r="W6438">
        <v>0.1252702</v>
      </c>
      <c r="X6438">
        <v>0.9912955</v>
      </c>
      <c r="Y6438">
        <v>-9.359489E-2</v>
      </c>
      <c r="Z6438">
        <v>-2.899446E-2</v>
      </c>
      <c r="AA6438">
        <v>0.99518810000000002</v>
      </c>
      <c r="AB6438">
        <v>28</v>
      </c>
      <c r="AC6438">
        <v>-2.1072000000000002</v>
      </c>
      <c r="AD6438">
        <v>-1.1215977302539999</v>
      </c>
      <c r="AE6438">
        <v>27.622765000000001</v>
      </c>
      <c r="AF6438">
        <v>-2.6153798648909001</v>
      </c>
      <c r="AG6438">
        <v>-1.1215977302539999</v>
      </c>
      <c r="AH6438">
        <v>27.533750850492002</v>
      </c>
      <c r="AI6438">
        <v>92.322234091423496</v>
      </c>
      <c r="AJ6438">
        <v>95.426139221779707</v>
      </c>
      <c r="AK6438">
        <v>27.680419599477801</v>
      </c>
      <c r="AL6438">
        <v>82.803640447050697</v>
      </c>
      <c r="AM6438">
        <v>92.339848767988997</v>
      </c>
      <c r="AN6438">
        <v>1.0000000276322001</v>
      </c>
    </row>
    <row r="6439" spans="1:40" x14ac:dyDescent="0.25">
      <c r="A6439" t="str">
        <f>"20190303162427498"</f>
        <v>20190303162427498</v>
      </c>
      <c r="B6439" t="str">
        <f>"1551601467491624"</f>
        <v>1551601467491624</v>
      </c>
      <c r="C6439" t="s">
        <v>40</v>
      </c>
      <c r="D6439">
        <v>5.1665400000000004</v>
      </c>
      <c r="E6439">
        <v>0.48311100000000001</v>
      </c>
      <c r="F6439" t="s">
        <v>41</v>
      </c>
      <c r="G6439">
        <v>-191.22730000000001</v>
      </c>
      <c r="H6439" s="1">
        <v>-3.5648039999999998E-6</v>
      </c>
      <c r="I6439">
        <v>17.137539999999898</v>
      </c>
      <c r="J6439">
        <v>-188.23740000000001</v>
      </c>
      <c r="K6439">
        <v>1.1214170000000001</v>
      </c>
      <c r="L6439">
        <v>-23.94284</v>
      </c>
      <c r="M6439">
        <v>1.739276E-2</v>
      </c>
      <c r="N6439">
        <v>-1.09201E-2</v>
      </c>
      <c r="O6439">
        <v>0.99978909999999999</v>
      </c>
      <c r="P6439">
        <v>-2.1180620000000001E-2</v>
      </c>
      <c r="Q6439">
        <v>0.1164893</v>
      </c>
      <c r="R6439">
        <v>0.99296609999999996</v>
      </c>
      <c r="S6439">
        <v>-0.21846009999999999</v>
      </c>
      <c r="T6439">
        <v>-8.2050440000000002E-2</v>
      </c>
      <c r="U6439">
        <v>3.0252379999999999</v>
      </c>
      <c r="V6439">
        <v>-3.8743529999999998E-2</v>
      </c>
      <c r="W6439">
        <v>0.12723090000000001</v>
      </c>
      <c r="X6439">
        <v>0.9911162</v>
      </c>
      <c r="Y6439">
        <v>-8.9334869999999997E-2</v>
      </c>
      <c r="Z6439">
        <v>-1.6091950000000001E-2</v>
      </c>
      <c r="AA6439">
        <v>0.99587170000000003</v>
      </c>
      <c r="AB6439">
        <v>28</v>
      </c>
      <c r="AC6439">
        <v>-2.9899</v>
      </c>
      <c r="AD6439">
        <v>-1.1214205648039901</v>
      </c>
      <c r="AE6439">
        <v>41.080379999999998</v>
      </c>
      <c r="AF6439">
        <v>-3.7012478658636101</v>
      </c>
      <c r="AG6439">
        <v>-1.1214205648039901</v>
      </c>
      <c r="AH6439">
        <v>40.991773721959298</v>
      </c>
      <c r="AI6439">
        <v>91.560715844093707</v>
      </c>
      <c r="AJ6439">
        <v>95.159385898688498</v>
      </c>
      <c r="AK6439">
        <v>41.173806390957402</v>
      </c>
      <c r="AL6439">
        <v>82.690394554421403</v>
      </c>
      <c r="AM6439">
        <v>92.238598341704403</v>
      </c>
      <c r="AN6439">
        <v>1.0000000424670501</v>
      </c>
    </row>
    <row r="6440" spans="1:40" x14ac:dyDescent="0.25">
      <c r="A6440" t="str">
        <f>"20190303162427524"</f>
        <v>20190303162427524</v>
      </c>
      <c r="B6440" t="str">
        <f>"1551601467520903"</f>
        <v>1551601467520903</v>
      </c>
      <c r="C6440" t="s">
        <v>40</v>
      </c>
      <c r="D6440">
        <v>5.514373</v>
      </c>
      <c r="E6440">
        <v>0.48529620000000001</v>
      </c>
      <c r="F6440" t="s">
        <v>41</v>
      </c>
      <c r="G6440">
        <v>-191.3356</v>
      </c>
      <c r="H6440" s="1">
        <v>-9.7126770000000006E-7</v>
      </c>
      <c r="I6440">
        <v>21.02478</v>
      </c>
      <c r="J6440">
        <v>-188.23320000000001</v>
      </c>
      <c r="K6440">
        <v>1.121254</v>
      </c>
      <c r="L6440">
        <v>-23.62482</v>
      </c>
      <c r="M6440">
        <v>1.626766E-2</v>
      </c>
      <c r="N6440">
        <v>-1.081887E-2</v>
      </c>
      <c r="O6440">
        <v>0.99980910000000001</v>
      </c>
      <c r="P6440">
        <v>-1.8370890000000001E-2</v>
      </c>
      <c r="Q6440">
        <v>0.1186077</v>
      </c>
      <c r="R6440">
        <v>0.99277119999999996</v>
      </c>
      <c r="S6440">
        <v>-0.2084656</v>
      </c>
      <c r="T6440">
        <v>-7.5455069999999999E-2</v>
      </c>
      <c r="U6440">
        <v>3.025665</v>
      </c>
      <c r="V6440">
        <v>-3.4764599999999903E-2</v>
      </c>
      <c r="W6440">
        <v>0.12927139999999901</v>
      </c>
      <c r="X6440">
        <v>0.99099959999999998</v>
      </c>
      <c r="Y6440">
        <v>-8.4934019999999999E-2</v>
      </c>
      <c r="Z6440">
        <v>-1.402813E-2</v>
      </c>
      <c r="AA6440">
        <v>0.99628779999999995</v>
      </c>
      <c r="AB6440">
        <v>28</v>
      </c>
      <c r="AC6440">
        <v>-3.1023999999999798</v>
      </c>
      <c r="AD6440">
        <v>-1.1212549712677</v>
      </c>
      <c r="AE6440">
        <v>44.6496</v>
      </c>
      <c r="AF6440">
        <v>-3.8259752965769098</v>
      </c>
      <c r="AG6440">
        <v>-1.1212549712677</v>
      </c>
      <c r="AH6440">
        <v>44.565250124106299</v>
      </c>
      <c r="AI6440">
        <v>91.435969207789597</v>
      </c>
      <c r="AJ6440">
        <v>94.906873500344801</v>
      </c>
      <c r="AK6440">
        <v>44.743232094974601</v>
      </c>
      <c r="AL6440">
        <v>82.572508200392093</v>
      </c>
      <c r="AM6440">
        <v>92.009131362244403</v>
      </c>
      <c r="AN6440">
        <v>0.99999993973563805</v>
      </c>
    </row>
    <row r="6441" spans="1:40" x14ac:dyDescent="0.25">
      <c r="A6441" t="str">
        <f>"20190303162427544"</f>
        <v>20190303162427544</v>
      </c>
      <c r="B6441" t="str">
        <f>"1551601467531640"</f>
        <v>1551601467531640</v>
      </c>
      <c r="C6441" t="s">
        <v>40</v>
      </c>
      <c r="D6441">
        <v>5.2020910000000002</v>
      </c>
      <c r="E6441">
        <v>0.48561709999999902</v>
      </c>
      <c r="F6441" t="s">
        <v>41</v>
      </c>
      <c r="G6441">
        <v>-191.18010000000001</v>
      </c>
      <c r="H6441" s="1">
        <v>-2.5743040000000002E-6</v>
      </c>
      <c r="I6441">
        <v>24.857949999999999</v>
      </c>
      <c r="J6441">
        <v>-188.23009999999999</v>
      </c>
      <c r="K6441">
        <v>1.121159</v>
      </c>
      <c r="L6441">
        <v>-23.3826</v>
      </c>
      <c r="M6441">
        <v>1.553829E-2</v>
      </c>
      <c r="N6441">
        <v>-1.0743000000000001E-2</v>
      </c>
      <c r="O6441">
        <v>0.99982150000000003</v>
      </c>
      <c r="P6441">
        <v>-1.4594350000000001E-2</v>
      </c>
      <c r="Q6441">
        <v>0.12032809999999999</v>
      </c>
      <c r="R6441">
        <v>0.99262689999999998</v>
      </c>
      <c r="S6441">
        <v>-0.18397520000000001</v>
      </c>
      <c r="T6441">
        <v>-7.0000409999999999E-2</v>
      </c>
      <c r="U6441">
        <v>3.0267940000000002</v>
      </c>
      <c r="V6441">
        <v>-3.0236289999999999E-2</v>
      </c>
      <c r="W6441">
        <v>0.13093089999999999</v>
      </c>
      <c r="X6441">
        <v>0.99093030000000004</v>
      </c>
      <c r="Y6441">
        <v>-7.6155039999999993E-2</v>
      </c>
      <c r="Z6441">
        <v>-1.231517E-2</v>
      </c>
      <c r="AA6441">
        <v>0.99701989999999996</v>
      </c>
      <c r="AB6441">
        <v>28</v>
      </c>
      <c r="AC6441">
        <v>-2.9500000000000099</v>
      </c>
      <c r="AD6441">
        <v>-1.121161574304</v>
      </c>
      <c r="AE6441">
        <v>48.240549999999999</v>
      </c>
      <c r="AF6441">
        <v>-3.6972731437624198</v>
      </c>
      <c r="AG6441">
        <v>-1.121161574304</v>
      </c>
      <c r="AH6441">
        <v>48.162966653924997</v>
      </c>
      <c r="AI6441">
        <v>91.329608384493895</v>
      </c>
      <c r="AJ6441">
        <v>94.389752247248893</v>
      </c>
      <c r="AK6441">
        <v>48.317679878926</v>
      </c>
      <c r="AL6441">
        <v>82.476611208915699</v>
      </c>
      <c r="AM6441">
        <v>91.747725802734095</v>
      </c>
      <c r="AN6441">
        <v>0.99999999663293204</v>
      </c>
    </row>
    <row r="6442" spans="1:40" x14ac:dyDescent="0.25">
      <c r="A6442" t="str">
        <f>"20190303162427565"</f>
        <v>20190303162427565</v>
      </c>
      <c r="B6442" t="str">
        <f>"1551601467560920"</f>
        <v>1551601467560920</v>
      </c>
      <c r="C6442" t="s">
        <v>40</v>
      </c>
      <c r="D6442">
        <v>5.3902080000000003</v>
      </c>
      <c r="E6442">
        <v>0.486512</v>
      </c>
      <c r="F6442" t="s">
        <v>41</v>
      </c>
      <c r="G6442">
        <v>-191.23339999999999</v>
      </c>
      <c r="H6442" s="1">
        <v>-4.295869E-7</v>
      </c>
      <c r="I6442">
        <v>29.825489999999999</v>
      </c>
      <c r="J6442">
        <v>-188.2268</v>
      </c>
      <c r="K6442">
        <v>1.121092</v>
      </c>
      <c r="L6442">
        <v>-23.109159999999999</v>
      </c>
      <c r="M6442">
        <v>1.4789480000000001E-2</v>
      </c>
      <c r="N6442">
        <v>-1.0659409999999999E-2</v>
      </c>
      <c r="O6442">
        <v>0.99983379999999999</v>
      </c>
      <c r="P6442">
        <v>-9.3229230000000003E-3</v>
      </c>
      <c r="Q6442">
        <v>0.121548</v>
      </c>
      <c r="R6442">
        <v>0.99254180000000003</v>
      </c>
      <c r="S6442">
        <v>-0.17088320000000001</v>
      </c>
      <c r="T6442">
        <v>-6.3793059999999999E-2</v>
      </c>
      <c r="U6442">
        <v>3.0274960000000002</v>
      </c>
      <c r="V6442">
        <v>-2.4202310000000001E-2</v>
      </c>
      <c r="W6442">
        <v>0.1320819</v>
      </c>
      <c r="X6442">
        <v>0.99094329999999997</v>
      </c>
      <c r="Y6442">
        <v>-7.1099659999999995E-2</v>
      </c>
      <c r="Z6442">
        <v>-1.035703E-2</v>
      </c>
      <c r="AA6442">
        <v>0.99741539999999995</v>
      </c>
      <c r="AB6442">
        <v>28</v>
      </c>
      <c r="AC6442">
        <v>-3.0065999999999899</v>
      </c>
      <c r="AD6442">
        <v>-1.12109242958689</v>
      </c>
      <c r="AE6442">
        <v>52.934649999999998</v>
      </c>
      <c r="AF6442">
        <v>-3.7874981778595398</v>
      </c>
      <c r="AG6442">
        <v>-1.12109242958689</v>
      </c>
      <c r="AH6442">
        <v>52.860757278601099</v>
      </c>
      <c r="AI6442">
        <v>91.211864226867803</v>
      </c>
      <c r="AJ6442">
        <v>94.098265974718501</v>
      </c>
      <c r="AK6442">
        <v>53.008128157388697</v>
      </c>
      <c r="AL6442">
        <v>82.410086053347698</v>
      </c>
      <c r="AM6442">
        <v>91.399085691711605</v>
      </c>
      <c r="AN6442">
        <v>1.0000000019659101</v>
      </c>
    </row>
    <row r="6443" spans="1:40" x14ac:dyDescent="0.25">
      <c r="A6443" t="str">
        <f>"20190303162427588"</f>
        <v>20190303162427588</v>
      </c>
      <c r="B6443" t="str">
        <f>"1551601467581416"</f>
        <v>1551601467581416</v>
      </c>
      <c r="C6443" t="s">
        <v>40</v>
      </c>
      <c r="D6443">
        <v>5.5224710000000004</v>
      </c>
      <c r="E6443">
        <v>0.48702279999999998</v>
      </c>
      <c r="F6443" t="s">
        <v>41</v>
      </c>
      <c r="G6443">
        <v>-190.94710000000001</v>
      </c>
      <c r="H6443" s="1">
        <v>-1.443529E-6</v>
      </c>
      <c r="I6443">
        <v>32.366579999999999</v>
      </c>
      <c r="J6443">
        <v>-188.2236</v>
      </c>
      <c r="K6443">
        <v>1.121038</v>
      </c>
      <c r="L6443">
        <v>-22.834320000000002</v>
      </c>
      <c r="M6443">
        <v>1.406874E-2</v>
      </c>
      <c r="N6443">
        <v>-1.05583E-2</v>
      </c>
      <c r="O6443">
        <v>0.99984530000000005</v>
      </c>
      <c r="P6443">
        <v>-4.0366909999999898E-3</v>
      </c>
      <c r="Q6443">
        <v>0.1231421</v>
      </c>
      <c r="R6443">
        <v>0.99238090000000001</v>
      </c>
      <c r="S6443">
        <v>-0.1485138</v>
      </c>
      <c r="T6443">
        <v>-6.1205269999999999E-2</v>
      </c>
      <c r="U6443">
        <v>3.0286559999999998</v>
      </c>
      <c r="V6443">
        <v>-1.818966E-2</v>
      </c>
      <c r="W6443">
        <v>0.1335858</v>
      </c>
      <c r="X6443">
        <v>0.99087029999999998</v>
      </c>
      <c r="Y6443">
        <v>-6.3012680000000001E-2</v>
      </c>
      <c r="Z6443">
        <v>-9.6084949999999999E-3</v>
      </c>
      <c r="AA6443">
        <v>0.99796649999999998</v>
      </c>
      <c r="AB6443">
        <v>28</v>
      </c>
      <c r="AC6443">
        <v>-2.7235</v>
      </c>
      <c r="AD6443">
        <v>-1.1210394435290001</v>
      </c>
      <c r="AE6443">
        <v>55.200899999999997</v>
      </c>
      <c r="AF6443">
        <v>-3.49844145890376</v>
      </c>
      <c r="AG6443">
        <v>-1.1210394435290001</v>
      </c>
      <c r="AH6443">
        <v>55.134433994195703</v>
      </c>
      <c r="AI6443">
        <v>91.162487970936496</v>
      </c>
      <c r="AJ6443">
        <v>93.630717633341007</v>
      </c>
      <c r="AK6443">
        <v>55.256688590030898</v>
      </c>
      <c r="AL6443">
        <v>82.323148421145902</v>
      </c>
      <c r="AM6443">
        <v>91.051675182466496</v>
      </c>
      <c r="AN6443">
        <v>0.99999999055732203</v>
      </c>
    </row>
    <row r="6444" spans="1:40" x14ac:dyDescent="0.25">
      <c r="A6444" t="str">
        <f>"20190303162427610"</f>
        <v>20190303162427610</v>
      </c>
      <c r="B6444" t="str">
        <f>"1551601467600936"</f>
        <v>1551601467600936</v>
      </c>
      <c r="C6444" t="s">
        <v>40</v>
      </c>
      <c r="D6444">
        <v>5.4466760000000001</v>
      </c>
      <c r="E6444">
        <v>0.4870661</v>
      </c>
      <c r="F6444" t="s">
        <v>41</v>
      </c>
      <c r="G6444">
        <v>-190.73949999999999</v>
      </c>
      <c r="H6444" s="1">
        <v>-3.1824109999999999E-6</v>
      </c>
      <c r="I6444">
        <v>36.54871</v>
      </c>
      <c r="J6444">
        <v>-188.22049999999999</v>
      </c>
      <c r="K6444">
        <v>1.1210119999999999</v>
      </c>
      <c r="L6444">
        <v>-22.554780000000001</v>
      </c>
      <c r="M6444">
        <v>1.333664E-2</v>
      </c>
      <c r="N6444">
        <v>-1.042301E-2</v>
      </c>
      <c r="O6444">
        <v>0.99985670000000004</v>
      </c>
      <c r="P6444">
        <v>8.0519429999999996E-4</v>
      </c>
      <c r="Q6444">
        <v>0.12568979999999999</v>
      </c>
      <c r="R6444">
        <v>0.99206919999999998</v>
      </c>
      <c r="S6444">
        <v>-0.1283569</v>
      </c>
      <c r="T6444">
        <v>-5.7193279999999999E-2</v>
      </c>
      <c r="U6444">
        <v>3.0296020000000001</v>
      </c>
      <c r="V6444">
        <v>-1.2615100000000001E-2</v>
      </c>
      <c r="W6444">
        <v>0.13600489999999901</v>
      </c>
      <c r="X6444">
        <v>0.99062779999999995</v>
      </c>
      <c r="Y6444">
        <v>-5.564127E-2</v>
      </c>
      <c r="Z6444">
        <v>-8.4240770000000003E-3</v>
      </c>
      <c r="AA6444">
        <v>0.99841530000000001</v>
      </c>
      <c r="AB6444">
        <v>28</v>
      </c>
      <c r="AC6444">
        <v>-2.5190000000000001</v>
      </c>
      <c r="AD6444">
        <v>-1.121015182411</v>
      </c>
      <c r="AE6444">
        <v>59.103490000000001</v>
      </c>
      <c r="AF6444">
        <v>-3.3058736416027399</v>
      </c>
      <c r="AG6444">
        <v>-1.121015182411</v>
      </c>
      <c r="AH6444">
        <v>59.043433959368102</v>
      </c>
      <c r="AI6444">
        <v>91.086002503776697</v>
      </c>
      <c r="AJ6444">
        <v>93.204675501436796</v>
      </c>
      <c r="AK6444">
        <v>59.146534719184601</v>
      </c>
      <c r="AL6444">
        <v>82.183267261772102</v>
      </c>
      <c r="AM6444">
        <v>90.729590791943906</v>
      </c>
      <c r="AN6444">
        <v>0.99999995585242896</v>
      </c>
    </row>
    <row r="6445" spans="1:40" x14ac:dyDescent="0.25">
      <c r="A6445" t="str">
        <f>"20190303162427632"</f>
        <v>20190303162427632</v>
      </c>
      <c r="B6445" t="str">
        <f>"1551601467621432"</f>
        <v>1551601467621432</v>
      </c>
      <c r="C6445" t="s">
        <v>40</v>
      </c>
      <c r="D6445">
        <v>5.4462390000000003</v>
      </c>
      <c r="E6445">
        <v>0.48719489999999999</v>
      </c>
      <c r="F6445" t="s">
        <v>41</v>
      </c>
      <c r="G6445">
        <v>-190.6874</v>
      </c>
      <c r="H6445" s="1">
        <v>-1.9229100000000001E-6</v>
      </c>
      <c r="I6445">
        <v>43.645119999999999</v>
      </c>
      <c r="J6445">
        <v>-188.21770000000001</v>
      </c>
      <c r="K6445">
        <v>1.120984</v>
      </c>
      <c r="L6445">
        <v>-22.280180000000001</v>
      </c>
      <c r="M6445">
        <v>1.260146E-2</v>
      </c>
      <c r="N6445">
        <v>-1.0256950000000001E-2</v>
      </c>
      <c r="O6445">
        <v>0.99986799999999998</v>
      </c>
      <c r="P6445">
        <v>3.8759279999999998E-3</v>
      </c>
      <c r="Q6445">
        <v>0.12727269999999999</v>
      </c>
      <c r="R6445">
        <v>0.99186019999999997</v>
      </c>
      <c r="S6445">
        <v>-0.1129303</v>
      </c>
      <c r="T6445">
        <v>-5.1319120000000003E-2</v>
      </c>
      <c r="U6445">
        <v>3.0305789999999999</v>
      </c>
      <c r="V6445">
        <v>-8.8125979999999996E-3</v>
      </c>
      <c r="W6445">
        <v>0.1374272</v>
      </c>
      <c r="X6445">
        <v>0.99047269999999998</v>
      </c>
      <c r="Y6445">
        <v>-4.9820419999999997E-2</v>
      </c>
      <c r="Z6445">
        <v>-6.6541639999999997E-3</v>
      </c>
      <c r="AA6445">
        <v>0.99873599999999996</v>
      </c>
      <c r="AB6445">
        <v>28</v>
      </c>
      <c r="AC6445">
        <v>-2.46969999999998</v>
      </c>
      <c r="AD6445">
        <v>-1.1209859229100001</v>
      </c>
      <c r="AE6445">
        <v>65.925299999999993</v>
      </c>
      <c r="AF6445">
        <v>-3.29934999695491</v>
      </c>
      <c r="AG6445">
        <v>-1.1209859229100001</v>
      </c>
      <c r="AH6445">
        <v>65.869923006864596</v>
      </c>
      <c r="AI6445">
        <v>90.973755002396501</v>
      </c>
      <c r="AJ6445">
        <v>92.867484369899401</v>
      </c>
      <c r="AK6445">
        <v>65.962027536849106</v>
      </c>
      <c r="AL6445">
        <v>82.101003640919501</v>
      </c>
      <c r="AM6445">
        <v>90.509768062031597</v>
      </c>
      <c r="AN6445">
        <v>1.00000003331431</v>
      </c>
    </row>
    <row r="6446" spans="1:40" x14ac:dyDescent="0.25">
      <c r="A6446" t="str">
        <f>"20190303162427655"</f>
        <v>20190303162427655</v>
      </c>
      <c r="B6446" t="str">
        <f>"1551601467641458"</f>
        <v>1551601467641458</v>
      </c>
      <c r="C6446" t="s">
        <v>40</v>
      </c>
      <c r="D6446">
        <v>5.4504000000000001</v>
      </c>
      <c r="E6446">
        <v>0.48726039999999998</v>
      </c>
      <c r="F6446" t="s">
        <v>41</v>
      </c>
      <c r="G6446">
        <v>-190.5812</v>
      </c>
      <c r="H6446" s="1">
        <v>-3.7657790000000001E-6</v>
      </c>
      <c r="I6446">
        <v>48.00676</v>
      </c>
      <c r="J6446">
        <v>-188.215</v>
      </c>
      <c r="K6446">
        <v>1.1209469999999999</v>
      </c>
      <c r="L6446">
        <v>-21.995149999999999</v>
      </c>
      <c r="M6446">
        <v>1.1815350000000001E-2</v>
      </c>
      <c r="N6446">
        <v>-1.0055339999999999E-2</v>
      </c>
      <c r="O6446">
        <v>0.99987969999999904</v>
      </c>
      <c r="P6446">
        <v>4.6916309999999999E-3</v>
      </c>
      <c r="Q6446">
        <v>0.1283765</v>
      </c>
      <c r="R6446">
        <v>0.9917144</v>
      </c>
      <c r="S6446">
        <v>-0.1019287</v>
      </c>
      <c r="T6446">
        <v>-4.8344140000000001E-2</v>
      </c>
      <c r="U6446">
        <v>3.0312190000000001</v>
      </c>
      <c r="V6446">
        <v>-7.2162579999999997E-3</v>
      </c>
      <c r="W6446">
        <v>0.1383325</v>
      </c>
      <c r="X6446">
        <v>0.99035949999999995</v>
      </c>
      <c r="Y6446">
        <v>-4.540773E-2</v>
      </c>
      <c r="Z6446">
        <v>-5.8754519999999998E-3</v>
      </c>
      <c r="AA6446">
        <v>0.99895129999999999</v>
      </c>
      <c r="AB6446">
        <v>28</v>
      </c>
      <c r="AC6446">
        <v>-2.3661999999999899</v>
      </c>
      <c r="AD6446">
        <v>-1.1209507657790001</v>
      </c>
      <c r="AE6446">
        <v>70.001909999999995</v>
      </c>
      <c r="AF6446">
        <v>-3.1923559933700498</v>
      </c>
      <c r="AG6446">
        <v>-1.1209507657790001</v>
      </c>
      <c r="AH6446">
        <v>69.951147762064494</v>
      </c>
      <c r="AI6446">
        <v>90.917118477981205</v>
      </c>
      <c r="AJ6446">
        <v>92.612990728576094</v>
      </c>
      <c r="AK6446">
        <v>70.032926117918905</v>
      </c>
      <c r="AL6446">
        <v>82.048632893129906</v>
      </c>
      <c r="AM6446">
        <v>90.417478511787806</v>
      </c>
      <c r="AN6446">
        <v>0.99999994708800899</v>
      </c>
    </row>
    <row r="6447" spans="1:40" x14ac:dyDescent="0.25">
      <c r="A6447" t="str">
        <f>"20190303162427676"</f>
        <v>20190303162427676</v>
      </c>
      <c r="B6447" t="str">
        <f>"1551601467671714"</f>
        <v>1551601467671714</v>
      </c>
      <c r="C6447" t="s">
        <v>40</v>
      </c>
      <c r="D6447">
        <v>5.5308609999999998</v>
      </c>
      <c r="E6447">
        <v>0.48759029999999998</v>
      </c>
      <c r="F6447" t="s">
        <v>41</v>
      </c>
      <c r="G6447">
        <v>-190.53270000000001</v>
      </c>
      <c r="H6447" s="1">
        <v>-4.1905690000000003E-7</v>
      </c>
      <c r="I6447">
        <v>50.235570000000003</v>
      </c>
      <c r="J6447">
        <v>-188.21260000000001</v>
      </c>
      <c r="K6447">
        <v>1.1209169999999999</v>
      </c>
      <c r="L6447">
        <v>-21.724910000000001</v>
      </c>
      <c r="M6447">
        <v>1.1050529999999999E-2</v>
      </c>
      <c r="N6447">
        <v>-9.8463219999999994E-3</v>
      </c>
      <c r="O6447">
        <v>0.99989039999999996</v>
      </c>
      <c r="P6447">
        <v>4.3371E-3</v>
      </c>
      <c r="Q6447">
        <v>0.13011030000000001</v>
      </c>
      <c r="R6447">
        <v>0.99149010000000004</v>
      </c>
      <c r="S6447">
        <v>-9.7274780000000005E-2</v>
      </c>
      <c r="T6447">
        <v>-4.7047619999999998E-2</v>
      </c>
      <c r="U6447">
        <v>3.0316160000000001</v>
      </c>
      <c r="V6447">
        <v>-6.8129080000000003E-3</v>
      </c>
      <c r="W6447">
        <v>0.13985729999999999</v>
      </c>
      <c r="X6447">
        <v>0.99014820000000003</v>
      </c>
      <c r="Y6447">
        <v>-4.3107800000000002E-2</v>
      </c>
      <c r="Z6447">
        <v>-5.6568629999999998E-3</v>
      </c>
      <c r="AA6447">
        <v>0.99905440000000001</v>
      </c>
      <c r="AB6447">
        <v>28</v>
      </c>
      <c r="AC6447">
        <v>-2.3200999999999898</v>
      </c>
      <c r="AD6447">
        <v>-1.12091741905689</v>
      </c>
      <c r="AE6447">
        <v>71.960480000000004</v>
      </c>
      <c r="AF6447">
        <v>-3.11444346763076</v>
      </c>
      <c r="AG6447">
        <v>-1.12091741905689</v>
      </c>
      <c r="AH6447">
        <v>71.913015437778697</v>
      </c>
      <c r="AI6447">
        <v>90.892168207738294</v>
      </c>
      <c r="AJ6447">
        <v>92.479843538566698</v>
      </c>
      <c r="AK6447">
        <v>71.989151983667696</v>
      </c>
      <c r="AL6447">
        <v>81.960410848896601</v>
      </c>
      <c r="AM6447">
        <v>90.394228575614093</v>
      </c>
      <c r="AN6447">
        <v>0.99999996902097199</v>
      </c>
    </row>
    <row r="6448" spans="1:40" x14ac:dyDescent="0.25">
      <c r="A6448" t="str">
        <f>"20190303162427699"</f>
        <v>20190303162427699</v>
      </c>
      <c r="B6448" t="str">
        <f>"1551601467691234"</f>
        <v>1551601467691234</v>
      </c>
      <c r="C6448" t="s">
        <v>40</v>
      </c>
      <c r="D6448">
        <v>5.5553730000000003</v>
      </c>
      <c r="E6448">
        <v>0.48778300000000002</v>
      </c>
      <c r="F6448" t="s">
        <v>41</v>
      </c>
      <c r="G6448">
        <v>-190.62629999999999</v>
      </c>
      <c r="H6448" s="1">
        <v>-2.672221E-6</v>
      </c>
      <c r="I6448">
        <v>55.429699999999997</v>
      </c>
      <c r="J6448">
        <v>-188.21029999999999</v>
      </c>
      <c r="K6448">
        <v>1.1208880000000001</v>
      </c>
      <c r="L6448">
        <v>-21.43909</v>
      </c>
      <c r="M6448">
        <v>1.022764E-2</v>
      </c>
      <c r="N6448">
        <v>-9.6226769999999996E-3</v>
      </c>
      <c r="O6448">
        <v>0.99990140000000005</v>
      </c>
      <c r="P6448">
        <v>3.7323899999999999E-3</v>
      </c>
      <c r="Q6448">
        <v>0.1325009</v>
      </c>
      <c r="R6448">
        <v>0.9911759</v>
      </c>
      <c r="S6448">
        <v>-9.4848630000000003E-2</v>
      </c>
      <c r="T6448">
        <v>-4.4048909999999997E-2</v>
      </c>
      <c r="U6448">
        <v>3.031952</v>
      </c>
      <c r="V6448">
        <v>-6.6031099999999997E-3</v>
      </c>
      <c r="W6448">
        <v>0.1420237</v>
      </c>
      <c r="X6448">
        <v>0.98984119999999998</v>
      </c>
      <c r="Y6448">
        <v>-4.1484020000000003E-2</v>
      </c>
      <c r="Z6448">
        <v>-4.8918850000000003E-3</v>
      </c>
      <c r="AA6448">
        <v>0.99912719999999999</v>
      </c>
      <c r="AB6448">
        <v>28</v>
      </c>
      <c r="AC6448">
        <v>-2.4159999999999902</v>
      </c>
      <c r="AD6448">
        <v>-1.1208906722209999</v>
      </c>
      <c r="AE6448">
        <v>76.868789999999905</v>
      </c>
      <c r="AF6448">
        <v>-3.2014162829818398</v>
      </c>
      <c r="AG6448">
        <v>-1.1208906722209999</v>
      </c>
      <c r="AH6448">
        <v>76.823739003495604</v>
      </c>
      <c r="AI6448">
        <v>90.835185451304199</v>
      </c>
      <c r="AJ6448">
        <v>92.386262056031995</v>
      </c>
      <c r="AK6448">
        <v>76.898584750262003</v>
      </c>
      <c r="AL6448">
        <v>81.835033718092802</v>
      </c>
      <c r="AM6448">
        <v>90.382207492305795</v>
      </c>
      <c r="AN6448">
        <v>0.99999996682040004</v>
      </c>
    </row>
    <row r="6449" spans="1:40" x14ac:dyDescent="0.25">
      <c r="A6449" t="str">
        <f>"20190303162427877"</f>
        <v>20190303162427877</v>
      </c>
      <c r="B6449" t="str">
        <f>"1551601467871832"</f>
        <v>1551601467871832</v>
      </c>
      <c r="C6449" t="s">
        <v>40</v>
      </c>
      <c r="D6449">
        <v>5.6064220000000002</v>
      </c>
      <c r="E6449">
        <v>0.4909172</v>
      </c>
      <c r="F6449" t="s">
        <v>41</v>
      </c>
      <c r="G6449">
        <v>-191.04390000000001</v>
      </c>
      <c r="H6449" s="1">
        <v>-4.3227239999999999E-6</v>
      </c>
      <c r="I6449">
        <v>69.145139999999998</v>
      </c>
      <c r="J6449">
        <v>-188.2004</v>
      </c>
      <c r="K6449">
        <v>1.120854</v>
      </c>
      <c r="L6449">
        <v>-19.163969999999999</v>
      </c>
      <c r="M6449">
        <v>3.6217509999999999E-3</v>
      </c>
      <c r="N6449">
        <v>-8.4268490000000001E-3</v>
      </c>
      <c r="O6449">
        <v>0.99995789999999996</v>
      </c>
      <c r="P6449">
        <v>-6.0682669999999996E-3</v>
      </c>
      <c r="Q6449">
        <v>0.14138399999999901</v>
      </c>
      <c r="R6449">
        <v>0.98993620000000004</v>
      </c>
      <c r="S6449">
        <v>-9.4848630000000003E-2</v>
      </c>
      <c r="T6449">
        <v>-3.751898E-2</v>
      </c>
      <c r="U6449">
        <v>3.0320740000000002</v>
      </c>
      <c r="V6449">
        <v>-9.8782369999999998E-3</v>
      </c>
      <c r="W6449">
        <v>0.14970629999999999</v>
      </c>
      <c r="X6449">
        <v>0.98868109999999998</v>
      </c>
      <c r="Y6449">
        <v>-3.4883079999999997E-2</v>
      </c>
      <c r="Z6449">
        <v>-3.9390520000000002E-3</v>
      </c>
      <c r="AA6449">
        <v>0.99938360000000004</v>
      </c>
      <c r="AB6449">
        <v>29</v>
      </c>
      <c r="AC6449">
        <v>-2.8435000000000001</v>
      </c>
      <c r="AD6449">
        <v>-1.1208583227240001</v>
      </c>
      <c r="AE6449">
        <v>88.309110000000004</v>
      </c>
      <c r="AF6449">
        <v>-3.1628173283880998</v>
      </c>
      <c r="AG6449">
        <v>-1.1208583227240001</v>
      </c>
      <c r="AH6449">
        <v>88.284024304769005</v>
      </c>
      <c r="AI6449">
        <v>90.726924667512094</v>
      </c>
      <c r="AJ6449">
        <v>92.051771169297297</v>
      </c>
      <c r="AK6449">
        <v>88.347771246802907</v>
      </c>
      <c r="AL6449">
        <v>81.390092847174103</v>
      </c>
      <c r="AM6449">
        <v>90.572441869195799</v>
      </c>
      <c r="AN6449">
        <v>0.99999993666156195</v>
      </c>
    </row>
    <row r="6450" spans="1:40" x14ac:dyDescent="0.25">
      <c r="A6450" t="str">
        <f>"20190303162427901"</f>
        <v>20190303162427901</v>
      </c>
      <c r="B6450" t="str">
        <f>"1551601467891352"</f>
        <v>1551601467891352</v>
      </c>
      <c r="C6450" t="s">
        <v>40</v>
      </c>
      <c r="D6450">
        <v>6.4405320000000001</v>
      </c>
      <c r="E6450">
        <v>0.49124010000000001</v>
      </c>
      <c r="F6450" t="s">
        <v>42</v>
      </c>
      <c r="G6450">
        <v>-188.23079999999999</v>
      </c>
      <c r="H6450">
        <v>0.92788139999999997</v>
      </c>
      <c r="I6450">
        <v>-18.415980000000001</v>
      </c>
      <c r="J6450">
        <v>-188.2002</v>
      </c>
      <c r="K6450">
        <v>1.1208469999999999</v>
      </c>
      <c r="L6450">
        <v>-18.865690000000001</v>
      </c>
      <c r="M6450">
        <v>2.8025340000000002E-3</v>
      </c>
      <c r="N6450">
        <v>-8.3429809999999993E-3</v>
      </c>
      <c r="O6450">
        <v>0.99996130000000005</v>
      </c>
      <c r="P6450">
        <v>-6.3652429999999996E-3</v>
      </c>
      <c r="Q6450">
        <v>0.14371689999999901</v>
      </c>
      <c r="R6450">
        <v>0.98959839999999999</v>
      </c>
      <c r="S6450">
        <v>-0.12789919999999999</v>
      </c>
      <c r="T6450">
        <v>-0.81153500000000001</v>
      </c>
      <c r="U6450">
        <v>3.1456300000000001</v>
      </c>
      <c r="V6450">
        <v>-9.3620609999999996E-3</v>
      </c>
      <c r="W6450">
        <v>0.15195429999999999</v>
      </c>
      <c r="X6450">
        <v>0.98834319999999998</v>
      </c>
      <c r="Y6450">
        <v>-4.2175850000000001E-2</v>
      </c>
      <c r="Z6450">
        <v>-0.24151139999999999</v>
      </c>
      <c r="AA6450">
        <v>0.96948100000000004</v>
      </c>
      <c r="AB6450">
        <v>29</v>
      </c>
      <c r="AC6450">
        <v>-3.0599999999992598E-2</v>
      </c>
      <c r="AD6450">
        <v>-0.19296559999999899</v>
      </c>
      <c r="AE6450">
        <v>0.449710000000003</v>
      </c>
      <c r="AF6450">
        <v>-2.6925624019227001E-2</v>
      </c>
      <c r="AG6450">
        <v>-0.19296559999999899</v>
      </c>
      <c r="AH6450">
        <v>0.37998337129458698</v>
      </c>
      <c r="AI6450">
        <v>116.864780139495</v>
      </c>
      <c r="AJ6450">
        <v>94.053204444199807</v>
      </c>
      <c r="AK6450">
        <v>0.42702233486386298</v>
      </c>
      <c r="AL6450">
        <v>81.259802045990995</v>
      </c>
      <c r="AM6450">
        <v>90.542716882320804</v>
      </c>
      <c r="AN6450">
        <v>1.0000000192304399</v>
      </c>
    </row>
    <row r="6451" spans="1:40" x14ac:dyDescent="0.25">
      <c r="A6451" t="str">
        <f>"20190303162427921"</f>
        <v>20190303162427921</v>
      </c>
      <c r="B6451" t="str">
        <f>"1551601467910871"</f>
        <v>1551601467910871</v>
      </c>
      <c r="C6451" t="s">
        <v>40</v>
      </c>
      <c r="D6451">
        <v>5.6792389999999999</v>
      </c>
      <c r="E6451">
        <v>0.4919232</v>
      </c>
      <c r="F6451" t="s">
        <v>41</v>
      </c>
      <c r="G6451">
        <v>-188.99889999999999</v>
      </c>
      <c r="H6451" s="1">
        <v>-2.0137770000000001E-6</v>
      </c>
      <c r="I6451">
        <v>3.9130129999999999</v>
      </c>
      <c r="J6451">
        <v>-188.2002</v>
      </c>
      <c r="K6451">
        <v>1.120833</v>
      </c>
      <c r="L6451">
        <v>-18.588069999999998</v>
      </c>
      <c r="M6451">
        <v>2.0863259999999999E-3</v>
      </c>
      <c r="N6451">
        <v>-8.2760549999999992E-3</v>
      </c>
      <c r="O6451">
        <v>0.99996359999999995</v>
      </c>
      <c r="P6451">
        <v>-8.0532690000000001E-3</v>
      </c>
      <c r="Q6451">
        <v>0.14712049999999999</v>
      </c>
      <c r="R6451">
        <v>0.98908580000000001</v>
      </c>
      <c r="S6451">
        <v>-0.10704039999999999</v>
      </c>
      <c r="T6451">
        <v>-0.1502098</v>
      </c>
      <c r="U6451">
        <v>3.052673</v>
      </c>
      <c r="V6451">
        <v>-1.033501E-2</v>
      </c>
      <c r="W6451">
        <v>0.15528649999999999</v>
      </c>
      <c r="X6451">
        <v>0.98781540000000001</v>
      </c>
      <c r="Y6451">
        <v>-3.7089919999999998E-2</v>
      </c>
      <c r="Z6451">
        <v>-4.0846349999999997E-2</v>
      </c>
      <c r="AA6451">
        <v>0.99847680000000005</v>
      </c>
      <c r="AB6451">
        <v>29</v>
      </c>
      <c r="AC6451">
        <v>-0.79869999999999597</v>
      </c>
      <c r="AD6451">
        <v>-1.120835013777</v>
      </c>
      <c r="AE6451">
        <v>22.501082999999898</v>
      </c>
      <c r="AF6451">
        <v>-0.84355399935255204</v>
      </c>
      <c r="AG6451">
        <v>-1.120835013777</v>
      </c>
      <c r="AH6451">
        <v>22.443748377255002</v>
      </c>
      <c r="AI6451">
        <v>92.856947445044298</v>
      </c>
      <c r="AJ6451">
        <v>92.152463288131003</v>
      </c>
      <c r="AK6451">
        <v>22.487545346246002</v>
      </c>
      <c r="AL6451">
        <v>81.066587196955595</v>
      </c>
      <c r="AM6451">
        <v>90.599434721548405</v>
      </c>
      <c r="AN6451">
        <v>0.99999998699555404</v>
      </c>
    </row>
    <row r="6452" spans="1:40" x14ac:dyDescent="0.25">
      <c r="A6452" t="str">
        <f>"20190303162427946"</f>
        <v>20190303162427946</v>
      </c>
      <c r="B6452" t="str">
        <f>"1551601467941634"</f>
        <v>1551601467941634</v>
      </c>
      <c r="C6452" t="s">
        <v>40</v>
      </c>
      <c r="D6452">
        <v>5.632301</v>
      </c>
      <c r="E6452">
        <v>0.49112919999999999</v>
      </c>
      <c r="F6452" t="s">
        <v>67</v>
      </c>
      <c r="G6452">
        <v>-202.05549999999999</v>
      </c>
      <c r="H6452">
        <v>0.79901789999999995</v>
      </c>
      <c r="I6452">
        <v>391.00349999999997</v>
      </c>
      <c r="J6452">
        <v>-188.2003</v>
      </c>
      <c r="K6452">
        <v>1.120806</v>
      </c>
      <c r="L6452">
        <v>-18.270230000000002</v>
      </c>
      <c r="M6452">
        <v>1.351891E-3</v>
      </c>
      <c r="N6452">
        <v>-8.2111919999999904E-3</v>
      </c>
      <c r="O6452">
        <v>0.9999654</v>
      </c>
      <c r="P6452">
        <v>-1.1848630000000001E-2</v>
      </c>
      <c r="Q6452">
        <v>0.15196989999999999</v>
      </c>
      <c r="R6452">
        <v>0.98831409999999997</v>
      </c>
      <c r="S6452">
        <v>-0.1025848</v>
      </c>
      <c r="T6452">
        <v>-2.3827549999999999E-3</v>
      </c>
      <c r="U6452">
        <v>3.0326230000000001</v>
      </c>
      <c r="V6452">
        <v>-1.3389109999999999E-2</v>
      </c>
      <c r="W6452">
        <v>0.16006300000000001</v>
      </c>
      <c r="X6452">
        <v>0.987016</v>
      </c>
      <c r="Y6452">
        <v>-3.5156670000000001E-2</v>
      </c>
      <c r="Z6452">
        <v>7.4261659999999997E-3</v>
      </c>
      <c r="AA6452">
        <v>0.99935419999999997</v>
      </c>
      <c r="AB6452">
        <v>29</v>
      </c>
      <c r="AC6452">
        <v>-13.8551999999999</v>
      </c>
      <c r="AD6452">
        <v>-0.32178809999999902</v>
      </c>
      <c r="AE6452">
        <v>409.27373</v>
      </c>
      <c r="AF6452">
        <v>-14.4084905524925</v>
      </c>
      <c r="AG6452">
        <v>-0.32178809999999902</v>
      </c>
      <c r="AH6452">
        <v>409.25437192555501</v>
      </c>
      <c r="AI6452">
        <v>90.045022562049894</v>
      </c>
      <c r="AJ6452">
        <v>92.016361746946899</v>
      </c>
      <c r="AK6452">
        <v>409.50805741494599</v>
      </c>
      <c r="AL6452">
        <v>80.789447092458204</v>
      </c>
      <c r="AM6452">
        <v>90.777183393559199</v>
      </c>
      <c r="AN6452">
        <v>1.0000000082457901</v>
      </c>
    </row>
    <row r="6453" spans="1:40" x14ac:dyDescent="0.25">
      <c r="A6453" t="str">
        <f>"20190303162427969"</f>
        <v>20190303162427969</v>
      </c>
      <c r="B6453" t="str">
        <f>"1551601467961154"</f>
        <v>1551601467961154</v>
      </c>
      <c r="C6453" t="s">
        <v>40</v>
      </c>
      <c r="D6453">
        <v>5.5670710000000003</v>
      </c>
      <c r="E6453">
        <v>0.49094070000000001</v>
      </c>
      <c r="F6453" t="s">
        <v>67</v>
      </c>
      <c r="G6453">
        <v>-204.29179999999999</v>
      </c>
      <c r="H6453">
        <v>6.1231920000000004</v>
      </c>
      <c r="I6453">
        <v>390.11860000000001</v>
      </c>
      <c r="J6453">
        <v>-188.20060000000001</v>
      </c>
      <c r="K6453">
        <v>1.1207720000000001</v>
      </c>
      <c r="L6453">
        <v>-17.96341</v>
      </c>
      <c r="M6453">
        <v>7.4438949999999999E-4</v>
      </c>
      <c r="N6453">
        <v>-8.1587389999999999E-3</v>
      </c>
      <c r="O6453">
        <v>0.99996640000000003</v>
      </c>
      <c r="P6453">
        <v>-1.811107E-2</v>
      </c>
      <c r="Q6453">
        <v>0.1595172</v>
      </c>
      <c r="R6453">
        <v>0.98702900000000005</v>
      </c>
      <c r="S6453">
        <v>-0.1193237</v>
      </c>
      <c r="T6453">
        <v>3.7094469999999997E-2</v>
      </c>
      <c r="U6453">
        <v>3.0283509999999998</v>
      </c>
      <c r="V6453">
        <v>-1.9033339999999999E-2</v>
      </c>
      <c r="W6453">
        <v>0.1675432</v>
      </c>
      <c r="X6453">
        <v>0.98568100000000003</v>
      </c>
      <c r="Y6453">
        <v>-4.010797E-2</v>
      </c>
      <c r="Z6453">
        <v>2.0396310000000001E-2</v>
      </c>
      <c r="AA6453">
        <v>0.99898710000000002</v>
      </c>
      <c r="AB6453">
        <v>29</v>
      </c>
      <c r="AC6453">
        <v>-16.091199999999901</v>
      </c>
      <c r="AD6453">
        <v>5.0024199999999999</v>
      </c>
      <c r="AE6453">
        <v>408.08201000000003</v>
      </c>
      <c r="AF6453">
        <v>-16.392518187129699</v>
      </c>
      <c r="AG6453">
        <v>5.0024199999999999</v>
      </c>
      <c r="AH6453">
        <v>408.00870309353598</v>
      </c>
      <c r="AI6453">
        <v>89.298122371409903</v>
      </c>
      <c r="AJ6453">
        <v>92.300728467335404</v>
      </c>
      <c r="AK6453">
        <v>408.36851085562603</v>
      </c>
      <c r="AL6453">
        <v>80.354994003861407</v>
      </c>
      <c r="AM6453">
        <v>91.106234715324604</v>
      </c>
      <c r="AN6453">
        <v>1.00000001282939</v>
      </c>
    </row>
    <row r="6454" spans="1:40" x14ac:dyDescent="0.25">
      <c r="A6454" t="str">
        <f>"20190303162427990"</f>
        <v>20190303162427990</v>
      </c>
      <c r="B6454" t="str">
        <f>"1551601467981651"</f>
        <v>1551601467981651</v>
      </c>
      <c r="C6454" t="s">
        <v>40</v>
      </c>
      <c r="D6454">
        <v>5.5471490000000001</v>
      </c>
      <c r="E6454">
        <v>0.4903535</v>
      </c>
      <c r="F6454" t="s">
        <v>67</v>
      </c>
      <c r="G6454">
        <v>-206.98079999999999</v>
      </c>
      <c r="H6454">
        <v>9.7892639999999993</v>
      </c>
      <c r="I6454">
        <v>391.87</v>
      </c>
      <c r="J6454">
        <v>-188.20089999999999</v>
      </c>
      <c r="K6454">
        <v>1.1207400000000001</v>
      </c>
      <c r="L6454">
        <v>-17.6889</v>
      </c>
      <c r="M6454">
        <v>2.7888130000000002E-4</v>
      </c>
      <c r="N6454">
        <v>-8.1189809999999904E-3</v>
      </c>
      <c r="O6454">
        <v>0.99996700000000005</v>
      </c>
      <c r="P6454">
        <v>-2.5106920000000001E-2</v>
      </c>
      <c r="Q6454">
        <v>0.16648470000000001</v>
      </c>
      <c r="R6454">
        <v>0.9857243</v>
      </c>
      <c r="S6454">
        <v>-0.13868710000000001</v>
      </c>
      <c r="T6454">
        <v>6.4014669999999996E-2</v>
      </c>
      <c r="U6454">
        <v>3.0265200000000001</v>
      </c>
      <c r="V6454">
        <v>-2.5550839999999998E-2</v>
      </c>
      <c r="W6454">
        <v>0.17445749999999999</v>
      </c>
      <c r="X6454">
        <v>0.98433320000000002</v>
      </c>
      <c r="Y6454">
        <v>-4.6037380000000003E-2</v>
      </c>
      <c r="Z6454">
        <v>2.9240760000000001E-2</v>
      </c>
      <c r="AA6454">
        <v>0.9985117</v>
      </c>
      <c r="AB6454">
        <v>29</v>
      </c>
      <c r="AC6454">
        <v>-18.779900000000001</v>
      </c>
      <c r="AD6454">
        <v>8.6685239999999997</v>
      </c>
      <c r="AE6454">
        <v>409.55889999999999</v>
      </c>
      <c r="AF6454">
        <v>-18.885678718452802</v>
      </c>
      <c r="AG6454">
        <v>8.6685239999999997</v>
      </c>
      <c r="AH6454">
        <v>409.37064190268399</v>
      </c>
      <c r="AI6454">
        <v>88.788217514011393</v>
      </c>
      <c r="AJ6454">
        <v>92.641378978970707</v>
      </c>
      <c r="AK6454">
        <v>409.89771238787199</v>
      </c>
      <c r="AL6454">
        <v>79.952911060424697</v>
      </c>
      <c r="AM6454">
        <v>91.486921935817193</v>
      </c>
      <c r="AN6454">
        <v>1.0000000566765901</v>
      </c>
    </row>
    <row r="6455" spans="1:40" x14ac:dyDescent="0.25">
      <c r="A6455" t="str">
        <f>"20190303162428013"</f>
        <v>20190303162428013</v>
      </c>
      <c r="B6455" t="str">
        <f>"1551601468001171"</f>
        <v>1551601468001171</v>
      </c>
      <c r="C6455" t="s">
        <v>40</v>
      </c>
      <c r="D6455">
        <v>5.5397660000000002</v>
      </c>
      <c r="E6455">
        <v>0.49071789999999998</v>
      </c>
      <c r="F6455" t="s">
        <v>67</v>
      </c>
      <c r="G6455">
        <v>-210.32560000000001</v>
      </c>
      <c r="H6455">
        <v>12.197559999999999</v>
      </c>
      <c r="I6455">
        <v>391.87</v>
      </c>
      <c r="J6455">
        <v>-188.2013</v>
      </c>
      <c r="K6455">
        <v>1.1206879999999999</v>
      </c>
      <c r="L6455">
        <v>-17.38608</v>
      </c>
      <c r="M6455">
        <v>-1.3361920000000001E-4</v>
      </c>
      <c r="N6455">
        <v>-8.0821019999999903E-3</v>
      </c>
      <c r="O6455">
        <v>0.9999673</v>
      </c>
      <c r="P6455">
        <v>-3.1861430000000003E-2</v>
      </c>
      <c r="Q6455">
        <v>0.171954</v>
      </c>
      <c r="R6455">
        <v>0.98458959999999995</v>
      </c>
      <c r="S6455">
        <v>-0.1634369</v>
      </c>
      <c r="T6455">
        <v>8.1825490000000001E-2</v>
      </c>
      <c r="U6455">
        <v>3.025452</v>
      </c>
      <c r="V6455">
        <v>-3.187338E-2</v>
      </c>
      <c r="W6455">
        <v>0.17988109999999999</v>
      </c>
      <c r="X6455">
        <v>0.98317180000000004</v>
      </c>
      <c r="Y6455">
        <v>-5.3779500000000001E-2</v>
      </c>
      <c r="Z6455">
        <v>3.5074830000000001E-2</v>
      </c>
      <c r="AA6455">
        <v>0.99793659999999995</v>
      </c>
      <c r="AB6455">
        <v>29</v>
      </c>
      <c r="AC6455">
        <v>-22.124300000000002</v>
      </c>
      <c r="AD6455">
        <v>11.076872</v>
      </c>
      <c r="AE6455">
        <v>409.25608</v>
      </c>
      <c r="AF6455">
        <v>-22.0535050759269</v>
      </c>
      <c r="AG6455">
        <v>11.076872</v>
      </c>
      <c r="AH6455">
        <v>408.96031714189797</v>
      </c>
      <c r="AI6455">
        <v>88.450747541606205</v>
      </c>
      <c r="AJ6455">
        <v>93.086729995662793</v>
      </c>
      <c r="AK6455">
        <v>409.704277712889</v>
      </c>
      <c r="AL6455">
        <v>79.637165237174301</v>
      </c>
      <c r="AM6455">
        <v>91.856817680766298</v>
      </c>
      <c r="AN6455">
        <v>0.99999995540253594</v>
      </c>
    </row>
    <row r="6456" spans="1:40" x14ac:dyDescent="0.25">
      <c r="A6456" t="str">
        <f>"20190303162428035"</f>
        <v>20190303162428035</v>
      </c>
      <c r="B6456" t="str">
        <f>"1551601468021667"</f>
        <v>1551601468021667</v>
      </c>
      <c r="C6456" t="s">
        <v>40</v>
      </c>
      <c r="D6456">
        <v>5.5872529999999996</v>
      </c>
      <c r="E6456">
        <v>0.49119059999999998</v>
      </c>
      <c r="F6456" t="s">
        <v>67</v>
      </c>
      <c r="G6456">
        <v>-212.67060000000001</v>
      </c>
      <c r="H6456">
        <v>13.995810000000001</v>
      </c>
      <c r="I6456">
        <v>391.87</v>
      </c>
      <c r="J6456">
        <v>-188.20169999999999</v>
      </c>
      <c r="K6456">
        <v>1.120622</v>
      </c>
      <c r="L6456">
        <v>-17.10934</v>
      </c>
      <c r="M6456">
        <v>-4.1316660000000001E-4</v>
      </c>
      <c r="N6456">
        <v>-8.0539059999999996E-3</v>
      </c>
      <c r="O6456">
        <v>0.99996750000000001</v>
      </c>
      <c r="P6456">
        <v>-3.7158780000000002E-2</v>
      </c>
      <c r="Q6456">
        <v>0.17402690000000001</v>
      </c>
      <c r="R6456">
        <v>0.98403949999999996</v>
      </c>
      <c r="S6456">
        <v>-0.18083189999999999</v>
      </c>
      <c r="T6456">
        <v>9.5149399999999995E-2</v>
      </c>
      <c r="U6456">
        <v>3.0244749999999998</v>
      </c>
      <c r="V6456">
        <v>-3.6867659999999997E-2</v>
      </c>
      <c r="W6456">
        <v>0.18192349999999999</v>
      </c>
      <c r="X6456">
        <v>0.98262130000000003</v>
      </c>
      <c r="Y6456">
        <v>-5.9229619999999997E-2</v>
      </c>
      <c r="Z6456">
        <v>3.9437449999999999E-2</v>
      </c>
      <c r="AA6456">
        <v>0.99746509999999999</v>
      </c>
      <c r="AB6456">
        <v>29</v>
      </c>
      <c r="AC6456">
        <v>-24.468900000000001</v>
      </c>
      <c r="AD6456">
        <v>12.875188</v>
      </c>
      <c r="AE6456">
        <v>408.97933999999998</v>
      </c>
      <c r="AF6456">
        <v>-24.275942480609299</v>
      </c>
      <c r="AG6456">
        <v>12.875188</v>
      </c>
      <c r="AH6456">
        <v>408.58592213309402</v>
      </c>
      <c r="AI6456">
        <v>88.198291894250104</v>
      </c>
      <c r="AJ6456">
        <v>93.400204837736197</v>
      </c>
      <c r="AK6456">
        <v>409.50891029952902</v>
      </c>
      <c r="AL6456">
        <v>79.518181690295094</v>
      </c>
      <c r="AM6456">
        <v>92.148712779502802</v>
      </c>
      <c r="AN6456">
        <v>1.0000000017099</v>
      </c>
    </row>
    <row r="6457" spans="1:40" x14ac:dyDescent="0.25">
      <c r="A6457" t="str">
        <f>"20190303162428056"</f>
        <v>20190303162428056</v>
      </c>
      <c r="B6457" t="str">
        <f>"1551601468050948"</f>
        <v>1551601468050948</v>
      </c>
      <c r="C6457" t="s">
        <v>40</v>
      </c>
      <c r="D6457">
        <v>5.5420680000000004</v>
      </c>
      <c r="E6457">
        <v>0.49095640000000002</v>
      </c>
      <c r="F6457" t="s">
        <v>67</v>
      </c>
      <c r="G6457">
        <v>-214.3578</v>
      </c>
      <c r="H6457">
        <v>14.501950000000001</v>
      </c>
      <c r="I6457">
        <v>391.87</v>
      </c>
      <c r="J6457">
        <v>-188.2021</v>
      </c>
      <c r="K6457">
        <v>1.1205560000000001</v>
      </c>
      <c r="L6457">
        <v>-16.817079999999901</v>
      </c>
      <c r="M6457">
        <v>-6.1906310000000003E-4</v>
      </c>
      <c r="N6457">
        <v>-8.0290889999999997E-3</v>
      </c>
      <c r="O6457">
        <v>0.99996759999999996</v>
      </c>
      <c r="P6457">
        <v>-4.0964449999999999E-2</v>
      </c>
      <c r="Q6457">
        <v>0.1741336</v>
      </c>
      <c r="R6457">
        <v>0.98386960000000001</v>
      </c>
      <c r="S6457">
        <v>-0.1933899</v>
      </c>
      <c r="T6457">
        <v>9.8937269999999994E-2</v>
      </c>
      <c r="U6457">
        <v>3.0238649999999998</v>
      </c>
      <c r="V6457">
        <v>-4.0441329999999998E-2</v>
      </c>
      <c r="W6457">
        <v>0.1820088</v>
      </c>
      <c r="X6457">
        <v>0.98246489999999997</v>
      </c>
      <c r="Y6457">
        <v>-6.3159789999999993E-2</v>
      </c>
      <c r="Z6457">
        <v>4.0658949999999999E-2</v>
      </c>
      <c r="AA6457">
        <v>0.99717489999999998</v>
      </c>
      <c r="AB6457">
        <v>29</v>
      </c>
      <c r="AC6457">
        <v>-26.1557</v>
      </c>
      <c r="AD6457">
        <v>13.381394</v>
      </c>
      <c r="AE6457">
        <v>408.68707999999998</v>
      </c>
      <c r="AF6457">
        <v>-25.875057174818402</v>
      </c>
      <c r="AG6457">
        <v>13.381394</v>
      </c>
      <c r="AH6457">
        <v>408.26729080261998</v>
      </c>
      <c r="AI6457">
        <v>88.126498243132801</v>
      </c>
      <c r="AJ6457">
        <v>93.626426594120005</v>
      </c>
      <c r="AK6457">
        <v>409.305217445972</v>
      </c>
      <c r="AL6457">
        <v>79.513211277945402</v>
      </c>
      <c r="AM6457">
        <v>92.357142881437795</v>
      </c>
      <c r="AN6457">
        <v>0.99999999209080903</v>
      </c>
    </row>
    <row r="6458" spans="1:40" x14ac:dyDescent="0.25">
      <c r="A6458" t="str">
        <f>"20190303162428080"</f>
        <v>20190303162428080</v>
      </c>
      <c r="B6458" t="str">
        <f>"1551601468071442"</f>
        <v>1551601468071442</v>
      </c>
      <c r="C6458" t="s">
        <v>40</v>
      </c>
      <c r="D6458">
        <v>5.6237949999999897</v>
      </c>
      <c r="E6458">
        <v>0.49099280000000001</v>
      </c>
      <c r="F6458" t="s">
        <v>67</v>
      </c>
      <c r="G6458">
        <v>-216.09289999999999</v>
      </c>
      <c r="H6458">
        <v>13.22932</v>
      </c>
      <c r="I6458">
        <v>391.87</v>
      </c>
      <c r="J6458">
        <v>-188.20249999999999</v>
      </c>
      <c r="K6458">
        <v>1.1204829999999999</v>
      </c>
      <c r="L6458">
        <v>-16.513310000000001</v>
      </c>
      <c r="M6458">
        <v>-7.5987549999999998E-4</v>
      </c>
      <c r="N6458">
        <v>-8.0079590000000003E-3</v>
      </c>
      <c r="O6458">
        <v>0.99996759999999996</v>
      </c>
      <c r="P6458">
        <v>-4.3973770000000002E-2</v>
      </c>
      <c r="Q6458">
        <v>0.17309330000000001</v>
      </c>
      <c r="R6458">
        <v>0.98392329999999995</v>
      </c>
      <c r="S6458">
        <v>-0.20642089999999999</v>
      </c>
      <c r="T6458">
        <v>8.9617730000000007E-2</v>
      </c>
      <c r="U6458">
        <v>3.0247190000000002</v>
      </c>
      <c r="V6458">
        <v>-4.3284950000000003E-2</v>
      </c>
      <c r="W6458">
        <v>0.18095330000000001</v>
      </c>
      <c r="X6458">
        <v>0.98253869999999999</v>
      </c>
      <c r="Y6458">
        <v>-6.7285919999999999E-2</v>
      </c>
      <c r="Z6458">
        <v>3.7550849999999997E-2</v>
      </c>
      <c r="AA6458">
        <v>0.99702690000000005</v>
      </c>
      <c r="AB6458">
        <v>29</v>
      </c>
      <c r="AC6458">
        <v>-27.8904</v>
      </c>
      <c r="AD6458">
        <v>12.108836999999999</v>
      </c>
      <c r="AE6458">
        <v>408.38330999999999</v>
      </c>
      <c r="AF6458">
        <v>-27.555947838871599</v>
      </c>
      <c r="AG6458">
        <v>12.108836999999999</v>
      </c>
      <c r="AH6458">
        <v>408.04731177281599</v>
      </c>
      <c r="AI6458">
        <v>88.304102314067194</v>
      </c>
      <c r="AJ6458">
        <v>93.863390171680606</v>
      </c>
      <c r="AK6458">
        <v>409.15591507372</v>
      </c>
      <c r="AL6458">
        <v>79.574708148594098</v>
      </c>
      <c r="AM6458">
        <v>92.522488342233999</v>
      </c>
      <c r="AN6458">
        <v>0.99999999033754094</v>
      </c>
    </row>
    <row r="6459" spans="1:40" x14ac:dyDescent="0.25">
      <c r="A6459" t="str">
        <f>"20190303162428101"</f>
        <v>20190303162428101</v>
      </c>
      <c r="B6459" t="str">
        <f>"1551601468090963"</f>
        <v>1551601468090963</v>
      </c>
      <c r="C6459" t="s">
        <v>40</v>
      </c>
      <c r="D6459">
        <v>5.6225110000000003</v>
      </c>
      <c r="E6459">
        <v>0.49128719999999998</v>
      </c>
      <c r="F6459" t="s">
        <v>67</v>
      </c>
      <c r="G6459">
        <v>-217.14859999999999</v>
      </c>
      <c r="H6459">
        <v>11.975339999999999</v>
      </c>
      <c r="I6459">
        <v>391.87</v>
      </c>
      <c r="J6459">
        <v>-188.2028</v>
      </c>
      <c r="K6459">
        <v>1.120433</v>
      </c>
      <c r="L6459">
        <v>-16.23019</v>
      </c>
      <c r="M6459">
        <v>-8.4408300000000003E-4</v>
      </c>
      <c r="N6459">
        <v>-7.9920440000000002E-3</v>
      </c>
      <c r="O6459">
        <v>0.99996770000000001</v>
      </c>
      <c r="P6459">
        <v>-4.5342359999999998E-2</v>
      </c>
      <c r="Q6459">
        <v>0.17290990000000001</v>
      </c>
      <c r="R6459">
        <v>0.98389340000000003</v>
      </c>
      <c r="S6459">
        <v>-0.21443180000000001</v>
      </c>
      <c r="T6459">
        <v>8.0412629999999999E-2</v>
      </c>
      <c r="U6459">
        <v>3.025299</v>
      </c>
      <c r="V6459">
        <v>-4.4552929999999998E-2</v>
      </c>
      <c r="W6459">
        <v>0.18075820000000001</v>
      </c>
      <c r="X6459">
        <v>0.982518</v>
      </c>
      <c r="Y6459">
        <v>-6.9823209999999997E-2</v>
      </c>
      <c r="Z6459">
        <v>3.449315E-2</v>
      </c>
      <c r="AA6459">
        <v>0.99696280000000004</v>
      </c>
      <c r="AB6459">
        <v>30</v>
      </c>
      <c r="AC6459">
        <v>-28.945799999999899</v>
      </c>
      <c r="AD6459">
        <v>10.854907000000001</v>
      </c>
      <c r="AE6459">
        <v>408.10019</v>
      </c>
      <c r="AF6459">
        <v>-28.581188642211298</v>
      </c>
      <c r="AG6459">
        <v>10.854907000000001</v>
      </c>
      <c r="AH6459">
        <v>407.83738261944802</v>
      </c>
      <c r="AI6459">
        <v>88.479116848103999</v>
      </c>
      <c r="AJ6459">
        <v>94.008726519780396</v>
      </c>
      <c r="AK6459">
        <v>408.98171598747803</v>
      </c>
      <c r="AL6459">
        <v>79.5860746669983</v>
      </c>
      <c r="AM6459">
        <v>92.596336522613797</v>
      </c>
      <c r="AN6459">
        <v>1.0000000553814099</v>
      </c>
    </row>
    <row r="6460" spans="1:40" x14ac:dyDescent="0.25">
      <c r="A6460" t="str">
        <f>"20190303162428124"</f>
        <v>20190303162428124</v>
      </c>
      <c r="B6460" t="str">
        <f>"1551601468111459"</f>
        <v>1551601468111459</v>
      </c>
      <c r="C6460" t="s">
        <v>40</v>
      </c>
      <c r="D6460">
        <v>5.6202959999999997</v>
      </c>
      <c r="E6460">
        <v>0.49176160000000002</v>
      </c>
      <c r="F6460" t="s">
        <v>67</v>
      </c>
      <c r="G6460">
        <v>-217.3032</v>
      </c>
      <c r="H6460">
        <v>10.904909999999999</v>
      </c>
      <c r="I6460">
        <v>391.87</v>
      </c>
      <c r="J6460">
        <v>-188.20320000000001</v>
      </c>
      <c r="K6460">
        <v>1.1203939999999999</v>
      </c>
      <c r="L6460">
        <v>-15.93207</v>
      </c>
      <c r="M6460">
        <v>-9.0196470000000002E-4</v>
      </c>
      <c r="N6460">
        <v>-7.9785979999999999E-3</v>
      </c>
      <c r="O6460">
        <v>0.99996779999999996</v>
      </c>
      <c r="P6460">
        <v>-4.3029060000000001E-2</v>
      </c>
      <c r="Q6460">
        <v>0.17123060000000001</v>
      </c>
      <c r="R6460">
        <v>0.98429089999999997</v>
      </c>
      <c r="S6460">
        <v>-0.2158051</v>
      </c>
      <c r="T6460">
        <v>7.2560669999999994E-2</v>
      </c>
      <c r="U6460">
        <v>3.0264280000000001</v>
      </c>
      <c r="V6460">
        <v>-4.2170569999999998E-2</v>
      </c>
      <c r="W6460">
        <v>0.17907190000000001</v>
      </c>
      <c r="X6460">
        <v>0.98293180000000002</v>
      </c>
      <c r="Y6460">
        <v>-7.0194800000000002E-2</v>
      </c>
      <c r="Z6460">
        <v>3.1884170000000003E-2</v>
      </c>
      <c r="AA6460">
        <v>0.99702360000000001</v>
      </c>
      <c r="AB6460">
        <v>30</v>
      </c>
      <c r="AC6460">
        <v>-29.099999999999898</v>
      </c>
      <c r="AD6460">
        <v>9.784516</v>
      </c>
      <c r="AE6460">
        <v>407.80207000000001</v>
      </c>
      <c r="AF6460">
        <v>-28.715706136752999</v>
      </c>
      <c r="AG6460">
        <v>9.784516</v>
      </c>
      <c r="AH6460">
        <v>407.59469744853999</v>
      </c>
      <c r="AI6460">
        <v>88.628248842749301</v>
      </c>
      <c r="AJ6460">
        <v>94.029921790928697</v>
      </c>
      <c r="AK6460">
        <v>408.72211332451002</v>
      </c>
      <c r="AL6460">
        <v>79.684294853807401</v>
      </c>
      <c r="AM6460">
        <v>92.456645370112597</v>
      </c>
      <c r="AN6460">
        <v>1.00000001289748</v>
      </c>
    </row>
    <row r="6461" spans="1:40" x14ac:dyDescent="0.25">
      <c r="A6461" t="str">
        <f>"20190303162428147"</f>
        <v>20190303162428147</v>
      </c>
      <c r="B6461" t="str">
        <f>"1551601468130978"</f>
        <v>1551601468130978</v>
      </c>
      <c r="C6461" t="s">
        <v>40</v>
      </c>
      <c r="D6461">
        <v>5.5708869999999999</v>
      </c>
      <c r="E6461">
        <v>0.49218119999999999</v>
      </c>
      <c r="F6461" t="s">
        <v>67</v>
      </c>
      <c r="G6461">
        <v>-215.82810000000001</v>
      </c>
      <c r="H6461">
        <v>9.3418759999999992</v>
      </c>
      <c r="I6461">
        <v>391.87</v>
      </c>
      <c r="J6461">
        <v>-188.20349999999999</v>
      </c>
      <c r="K6461">
        <v>1.1203540000000001</v>
      </c>
      <c r="L6461">
        <v>-15.61801</v>
      </c>
      <c r="M6461">
        <v>-9.4504859999999997E-4</v>
      </c>
      <c r="N6461">
        <v>-7.967923E-3</v>
      </c>
      <c r="O6461">
        <v>0.99996779999999996</v>
      </c>
      <c r="P6461">
        <v>-3.9449690000000003E-2</v>
      </c>
      <c r="Q6461">
        <v>0.169658</v>
      </c>
      <c r="R6461">
        <v>0.98471310000000001</v>
      </c>
      <c r="S6461">
        <v>-0.20513919999999999</v>
      </c>
      <c r="T6461">
        <v>6.1051729999999998E-2</v>
      </c>
      <c r="U6461">
        <v>3.0282900000000001</v>
      </c>
      <c r="V6461">
        <v>-3.8541100000000002E-2</v>
      </c>
      <c r="W6461">
        <v>0.1774945</v>
      </c>
      <c r="X6461">
        <v>0.98336679999999999</v>
      </c>
      <c r="Y6461">
        <v>-6.6619670000000006E-2</v>
      </c>
      <c r="Z6461">
        <v>2.807635E-2</v>
      </c>
      <c r="AA6461">
        <v>0.99738340000000003</v>
      </c>
      <c r="AB6461">
        <v>30</v>
      </c>
      <c r="AC6461">
        <v>-27.624600000000001</v>
      </c>
      <c r="AD6461">
        <v>8.2215219999999896</v>
      </c>
      <c r="AE6461">
        <v>407.48800999999997</v>
      </c>
      <c r="AF6461">
        <v>-27.228446139880901</v>
      </c>
      <c r="AG6461">
        <v>8.2215219999999896</v>
      </c>
      <c r="AH6461">
        <v>407.34887236443001</v>
      </c>
      <c r="AI6461">
        <v>88.846330031211806</v>
      </c>
      <c r="AJ6461">
        <v>93.824136733801893</v>
      </c>
      <c r="AK6461">
        <v>408.34064887023101</v>
      </c>
      <c r="AL6461">
        <v>79.776144481999907</v>
      </c>
      <c r="AM6461">
        <v>92.244445024176798</v>
      </c>
      <c r="AN6461">
        <v>0.99999998863084905</v>
      </c>
    </row>
    <row r="6462" spans="1:40" x14ac:dyDescent="0.25">
      <c r="A6462" t="str">
        <f>"20190303162428170"</f>
        <v>20190303162428170</v>
      </c>
      <c r="B6462" t="str">
        <f>"1551601468162211"</f>
        <v>1551601468162211</v>
      </c>
      <c r="C6462" t="s">
        <v>40</v>
      </c>
      <c r="D6462">
        <v>5.4719389999999999</v>
      </c>
      <c r="E6462">
        <v>0.49288789999999999</v>
      </c>
      <c r="F6462" t="s">
        <v>67</v>
      </c>
      <c r="G6462">
        <v>-213.97649999999999</v>
      </c>
      <c r="H6462">
        <v>7.9690289999999901</v>
      </c>
      <c r="I6462">
        <v>391.87</v>
      </c>
      <c r="J6462">
        <v>-188.2039</v>
      </c>
      <c r="K6462">
        <v>1.120323</v>
      </c>
      <c r="L6462">
        <v>-15.31833</v>
      </c>
      <c r="M6462">
        <v>-9.8256740000000008E-4</v>
      </c>
      <c r="N6462">
        <v>-7.9602660000000006E-3</v>
      </c>
      <c r="O6462">
        <v>0.99996779999999996</v>
      </c>
      <c r="P6462">
        <v>-3.5387929999999998E-2</v>
      </c>
      <c r="Q6462">
        <v>0.16621250000000001</v>
      </c>
      <c r="R6462">
        <v>0.98545479999999996</v>
      </c>
      <c r="S6462">
        <v>-0.1916504</v>
      </c>
      <c r="T6462">
        <v>5.0927399999999998E-2</v>
      </c>
      <c r="U6462">
        <v>3.0301209999999998</v>
      </c>
      <c r="V6462">
        <v>-3.4438740000000002E-2</v>
      </c>
      <c r="W6462">
        <v>0.17404849999999999</v>
      </c>
      <c r="X6462">
        <v>0.98413470000000003</v>
      </c>
      <c r="Y6462">
        <v>-6.2124510000000001E-2</v>
      </c>
      <c r="Z6462">
        <v>2.473005E-2</v>
      </c>
      <c r="AA6462">
        <v>0.99776200000000004</v>
      </c>
      <c r="AB6462">
        <v>30</v>
      </c>
      <c r="AC6462">
        <v>-25.772599999999901</v>
      </c>
      <c r="AD6462">
        <v>6.8487059999999902</v>
      </c>
      <c r="AE6462">
        <v>407.18833000000001</v>
      </c>
      <c r="AF6462">
        <v>-25.365337775816599</v>
      </c>
      <c r="AG6462">
        <v>6.8487059999999902</v>
      </c>
      <c r="AH6462">
        <v>407.09875058082901</v>
      </c>
      <c r="AI6462">
        <v>89.038057320549399</v>
      </c>
      <c r="AJ6462">
        <v>93.565352260758601</v>
      </c>
      <c r="AK6462">
        <v>407.94570454758701</v>
      </c>
      <c r="AL6462">
        <v>79.976708623159197</v>
      </c>
      <c r="AM6462">
        <v>92.004186625509902</v>
      </c>
      <c r="AN6462">
        <v>1.0000000074545601</v>
      </c>
    </row>
    <row r="6463" spans="1:40" x14ac:dyDescent="0.25">
      <c r="A6463" t="str">
        <f>"20190303162428194"</f>
        <v>20190303162428194</v>
      </c>
      <c r="B6463" t="str">
        <f>"1551601468181731"</f>
        <v>1551601468181731</v>
      </c>
      <c r="C6463" t="s">
        <v>40</v>
      </c>
      <c r="D6463">
        <v>5.58338</v>
      </c>
      <c r="E6463">
        <v>0.49288789999999999</v>
      </c>
      <c r="F6463" t="s">
        <v>68</v>
      </c>
      <c r="G6463">
        <v>-203.334</v>
      </c>
      <c r="H6463">
        <v>4.009881</v>
      </c>
      <c r="I6463">
        <v>249.14099999999999</v>
      </c>
      <c r="J6463">
        <v>-188.20419999999999</v>
      </c>
      <c r="K6463">
        <v>1.1203050000000001</v>
      </c>
      <c r="L6463">
        <v>-14.99789</v>
      </c>
      <c r="M6463">
        <v>-1.026753E-3</v>
      </c>
      <c r="N6463">
        <v>-7.9545090000000002E-3</v>
      </c>
      <c r="O6463">
        <v>0.99996779999999996</v>
      </c>
      <c r="P6463">
        <v>-3.2457930000000003E-2</v>
      </c>
      <c r="Q6463">
        <v>0.162800799999999</v>
      </c>
      <c r="R6463">
        <v>0.98612489999999997</v>
      </c>
      <c r="S6463">
        <v>-0.17349239999999999</v>
      </c>
      <c r="T6463">
        <v>3.3133629999999997E-2</v>
      </c>
      <c r="U6463">
        <v>3.0324710000000001</v>
      </c>
      <c r="V6463">
        <v>-3.1461799999999998E-2</v>
      </c>
      <c r="W6463">
        <v>0.17063710000000001</v>
      </c>
      <c r="X6463">
        <v>0.98483149999999997</v>
      </c>
      <c r="Y6463">
        <v>-5.6083540000000001E-2</v>
      </c>
      <c r="Z6463">
        <v>1.8861559999999999E-2</v>
      </c>
      <c r="AA6463">
        <v>0.99824789999999997</v>
      </c>
      <c r="AB6463">
        <v>30</v>
      </c>
      <c r="AC6463">
        <v>-15.129799999999999</v>
      </c>
      <c r="AD6463">
        <v>2.8895759999999999</v>
      </c>
      <c r="AE6463">
        <v>264.13889</v>
      </c>
      <c r="AF6463">
        <v>-14.8568058623115</v>
      </c>
      <c r="AG6463">
        <v>2.8895759999999999</v>
      </c>
      <c r="AH6463">
        <v>264.12278028707999</v>
      </c>
      <c r="AI6463">
        <v>89.374182578445499</v>
      </c>
      <c r="AJ6463">
        <v>93.219473158057497</v>
      </c>
      <c r="AK6463">
        <v>264.55607609062298</v>
      </c>
      <c r="AL6463">
        <v>80.175136290629297</v>
      </c>
      <c r="AM6463">
        <v>91.829770366114104</v>
      </c>
      <c r="AN6463">
        <v>0.99999997407394903</v>
      </c>
    </row>
    <row r="6464" spans="1:40" x14ac:dyDescent="0.25">
      <c r="A6464" t="str">
        <f>"20190303162428212"</f>
        <v>20190303162428212</v>
      </c>
      <c r="B6464" t="str">
        <f>"1551601468201252"</f>
        <v>1551601468201252</v>
      </c>
      <c r="C6464" t="s">
        <v>40</v>
      </c>
      <c r="D6464">
        <v>5.5533359999999998</v>
      </c>
      <c r="E6464">
        <v>0.52494379999999996</v>
      </c>
      <c r="F6464" t="s">
        <v>67</v>
      </c>
      <c r="G6464">
        <v>-210.1669</v>
      </c>
      <c r="H6464">
        <v>4.1428589999999996</v>
      </c>
      <c r="I6464">
        <v>391.87</v>
      </c>
      <c r="J6464">
        <v>-188.2046</v>
      </c>
      <c r="K6464">
        <v>1.120288</v>
      </c>
      <c r="L6464">
        <v>-14.740780000000001</v>
      </c>
      <c r="M6464">
        <v>-1.067592E-3</v>
      </c>
      <c r="N6464">
        <v>-7.9535630000000003E-3</v>
      </c>
      <c r="O6464">
        <v>0.99996779999999996</v>
      </c>
      <c r="P6464">
        <v>-2.89863E-2</v>
      </c>
      <c r="Q6464">
        <v>0.16146659999999999</v>
      </c>
      <c r="R6464">
        <v>0.98645240000000001</v>
      </c>
      <c r="S6464">
        <v>-0.16372679999999901</v>
      </c>
      <c r="T6464">
        <v>2.2532460000000001E-2</v>
      </c>
      <c r="U6464">
        <v>3.033112</v>
      </c>
      <c r="V6464">
        <v>-2.7948440000000001E-2</v>
      </c>
      <c r="W6464">
        <v>0.16930490000000001</v>
      </c>
      <c r="X6464">
        <v>0.98516740000000003</v>
      </c>
      <c r="Y6464">
        <v>-5.2828769999999997E-2</v>
      </c>
      <c r="Z6464">
        <v>1.537091E-2</v>
      </c>
      <c r="AA6464">
        <v>0.99848530000000002</v>
      </c>
      <c r="AB6464">
        <v>30</v>
      </c>
      <c r="AC6464">
        <v>-21.962299999999999</v>
      </c>
      <c r="AD6464">
        <v>3.0225710000000001</v>
      </c>
      <c r="AE6464">
        <v>406.61077999999998</v>
      </c>
      <c r="AF6464">
        <v>-21.526993258139498</v>
      </c>
      <c r="AG6464">
        <v>3.0225710000000001</v>
      </c>
      <c r="AH6464">
        <v>406.61159259648099</v>
      </c>
      <c r="AI6464">
        <v>89.574691932886793</v>
      </c>
      <c r="AJ6464">
        <v>93.030546707784097</v>
      </c>
      <c r="AK6464">
        <v>407.19225754922297</v>
      </c>
      <c r="AL6464">
        <v>80.252593403192193</v>
      </c>
      <c r="AM6464">
        <v>91.625001267228498</v>
      </c>
      <c r="AN6464">
        <v>1.0000000352425999</v>
      </c>
    </row>
    <row r="6465" spans="1:40" x14ac:dyDescent="0.25">
      <c r="A6465" t="str">
        <f>"20190303162428235"</f>
        <v>20190303162428235</v>
      </c>
      <c r="B6465" t="str">
        <f>"1551601468220771"</f>
        <v>1551601468220771</v>
      </c>
      <c r="C6465" t="s">
        <v>40</v>
      </c>
      <c r="D6465">
        <v>5.3881259999999997</v>
      </c>
      <c r="E6465">
        <v>0.52889219999999904</v>
      </c>
      <c r="F6465" t="s">
        <v>41</v>
      </c>
      <c r="G6465">
        <v>-186.6652</v>
      </c>
      <c r="H6465" s="1">
        <v>-1.616826E-6</v>
      </c>
      <c r="I6465">
        <v>31.791779999999999</v>
      </c>
      <c r="J6465">
        <v>-188.20490000000001</v>
      </c>
      <c r="K6465">
        <v>1.1202749999999999</v>
      </c>
      <c r="L6465">
        <v>-14.44415</v>
      </c>
      <c r="M6465">
        <v>-1.1204639999999901E-3</v>
      </c>
      <c r="N6465">
        <v>-7.9582690000000005E-3</v>
      </c>
      <c r="O6465">
        <v>0.99996770000000001</v>
      </c>
      <c r="P6465">
        <v>-2.5280480000000001E-2</v>
      </c>
      <c r="Q6465">
        <v>0.16009860000000001</v>
      </c>
      <c r="R6465">
        <v>0.98677720000000002</v>
      </c>
      <c r="S6465">
        <v>0.10110470000000001</v>
      </c>
      <c r="T6465">
        <v>-7.3579549999999994E-2</v>
      </c>
      <c r="U6465">
        <v>3.0562130000000001</v>
      </c>
      <c r="V6465">
        <v>-2.4189269999999999E-2</v>
      </c>
      <c r="W6465">
        <v>0.1679447</v>
      </c>
      <c r="X6465">
        <v>0.98549960000000003</v>
      </c>
      <c r="Y6465">
        <v>3.4174839999999998E-2</v>
      </c>
      <c r="Z6465">
        <v>-1.6097920000000002E-2</v>
      </c>
      <c r="AA6465">
        <v>0.99928620000000001</v>
      </c>
      <c r="AB6465">
        <v>30</v>
      </c>
      <c r="AC6465">
        <v>1.5397000000000101</v>
      </c>
      <c r="AD6465">
        <v>-1.1202766168260001</v>
      </c>
      <c r="AE6465">
        <v>46.235930000000003</v>
      </c>
      <c r="AF6465">
        <v>1.5905736225431499</v>
      </c>
      <c r="AG6465">
        <v>-1.1202766168260001</v>
      </c>
      <c r="AH6465">
        <v>46.207078910020499</v>
      </c>
      <c r="AI6465">
        <v>91.388024932620993</v>
      </c>
      <c r="AJ6465">
        <v>88.028501519576096</v>
      </c>
      <c r="AK6465">
        <v>46.248017098506999</v>
      </c>
      <c r="AL6465">
        <v>80.331659004397494</v>
      </c>
      <c r="AM6465">
        <v>91.4060531867881</v>
      </c>
      <c r="AN6465">
        <v>1.0000000023206901</v>
      </c>
    </row>
    <row r="6466" spans="1:40" x14ac:dyDescent="0.25">
      <c r="A6466" t="str">
        <f>"20190303162428257"</f>
        <v>20190303162428257</v>
      </c>
      <c r="B6466" t="str">
        <f>"1551601468251028"</f>
        <v>1551601468251028</v>
      </c>
      <c r="C6466" t="s">
        <v>40</v>
      </c>
      <c r="D6466">
        <v>5.4386260000000002</v>
      </c>
      <c r="E6466">
        <v>0.53013580000000005</v>
      </c>
      <c r="F6466" t="s">
        <v>41</v>
      </c>
      <c r="G6466">
        <v>-186.68199999999999</v>
      </c>
      <c r="H6466" s="1">
        <v>-4.2127469999999997E-6</v>
      </c>
      <c r="I6466">
        <v>18.080850000000002</v>
      </c>
      <c r="J6466">
        <v>-188.2054</v>
      </c>
      <c r="K6466">
        <v>1.1202589999999999</v>
      </c>
      <c r="L6466">
        <v>-14.12674</v>
      </c>
      <c r="M6466">
        <v>-1.181756E-3</v>
      </c>
      <c r="N6466">
        <v>-7.9672340000000001E-3</v>
      </c>
      <c r="O6466">
        <v>0.99996759999999996</v>
      </c>
      <c r="P6466">
        <v>-1.9935700000000001E-2</v>
      </c>
      <c r="Q6466">
        <v>0.15692979999999901</v>
      </c>
      <c r="R6466">
        <v>0.98740850000000002</v>
      </c>
      <c r="S6466">
        <v>0.143325799999999</v>
      </c>
      <c r="T6466">
        <v>-0.1054311</v>
      </c>
      <c r="U6466">
        <v>3.0609739999999999</v>
      </c>
      <c r="V6466">
        <v>-1.8782259999999999E-2</v>
      </c>
      <c r="W6466">
        <v>0.1647902</v>
      </c>
      <c r="X6466">
        <v>0.98614979999999997</v>
      </c>
      <c r="Y6466">
        <v>4.7928409999999998E-2</v>
      </c>
      <c r="Z6466">
        <v>-2.642077E-2</v>
      </c>
      <c r="AA6466">
        <v>0.99850130000000004</v>
      </c>
      <c r="AB6466">
        <v>30</v>
      </c>
      <c r="AC6466">
        <v>1.5233999999999801</v>
      </c>
      <c r="AD6466">
        <v>-1.120263212747</v>
      </c>
      <c r="AE6466">
        <v>32.207590000000003</v>
      </c>
      <c r="AF6466">
        <v>1.5595790447470299</v>
      </c>
      <c r="AG6466">
        <v>-1.120263212747</v>
      </c>
      <c r="AH6466">
        <v>32.166937568465102</v>
      </c>
      <c r="AI6466">
        <v>91.992269398898401</v>
      </c>
      <c r="AJ6466">
        <v>87.224249949855704</v>
      </c>
      <c r="AK6466">
        <v>32.224201293378599</v>
      </c>
      <c r="AL6466">
        <v>80.514953073536105</v>
      </c>
      <c r="AM6466">
        <v>91.091126451084705</v>
      </c>
      <c r="AN6466">
        <v>1.00000000567339</v>
      </c>
    </row>
    <row r="6467" spans="1:40" x14ac:dyDescent="0.25">
      <c r="A6467" t="str">
        <f>"20190303162428292"</f>
        <v>20190303162428292</v>
      </c>
      <c r="B6467" t="str">
        <f>"1551601468281283"</f>
        <v>1551601468281283</v>
      </c>
      <c r="C6467" t="s">
        <v>40</v>
      </c>
      <c r="D6467">
        <v>5.4055280000000003</v>
      </c>
      <c r="E6467">
        <v>0.53005459999999904</v>
      </c>
      <c r="F6467" t="s">
        <v>41</v>
      </c>
      <c r="G6467">
        <v>-186.70679999999999</v>
      </c>
      <c r="H6467" s="1">
        <v>-1.9934260000000001E-6</v>
      </c>
      <c r="I6467">
        <v>12.9178</v>
      </c>
      <c r="J6467">
        <v>-188.20599999999999</v>
      </c>
      <c r="K6467">
        <v>1.1202510000000001</v>
      </c>
      <c r="L6467">
        <v>-13.673859999999999</v>
      </c>
      <c r="M6467">
        <v>-1.27319E-3</v>
      </c>
      <c r="N6467">
        <v>-7.9822069999999998E-3</v>
      </c>
      <c r="O6467">
        <v>0.9999673</v>
      </c>
      <c r="P6467">
        <v>-1.529384E-2</v>
      </c>
      <c r="Q6467">
        <v>0.15540319999999999</v>
      </c>
      <c r="R6467">
        <v>0.98773270000000002</v>
      </c>
      <c r="S6467">
        <v>0.16966249999999999</v>
      </c>
      <c r="T6467">
        <v>-0.12682959999999999</v>
      </c>
      <c r="U6467">
        <v>3.0618289999999999</v>
      </c>
      <c r="V6467">
        <v>-1.404945E-2</v>
      </c>
      <c r="W6467">
        <v>0.1632817</v>
      </c>
      <c r="X6467">
        <v>0.98647949999999995</v>
      </c>
      <c r="Y6467">
        <v>5.6556599999999999E-2</v>
      </c>
      <c r="Z6467">
        <v>-3.3345569999999998E-2</v>
      </c>
      <c r="AA6467">
        <v>0.99784240000000002</v>
      </c>
      <c r="AB6467">
        <v>30</v>
      </c>
      <c r="AC6467">
        <v>1.4992000000000001</v>
      </c>
      <c r="AD6467">
        <v>-1.1202529934259999</v>
      </c>
      <c r="AE6467">
        <v>26.591659999999901</v>
      </c>
      <c r="AF6467">
        <v>1.5303486934577999</v>
      </c>
      <c r="AG6467">
        <v>-1.1202529934259999</v>
      </c>
      <c r="AH6467">
        <v>26.542771643255399</v>
      </c>
      <c r="AI6467">
        <v>92.412764920430703</v>
      </c>
      <c r="AJ6467">
        <v>86.700210607447502</v>
      </c>
      <c r="AK6467">
        <v>26.610442694529802</v>
      </c>
      <c r="AL6467">
        <v>80.602571042674299</v>
      </c>
      <c r="AM6467">
        <v>90.815951847457299</v>
      </c>
      <c r="AN6467">
        <v>1.0000000522602199</v>
      </c>
    </row>
    <row r="6468" spans="1:40" x14ac:dyDescent="0.25">
      <c r="A6468" t="str">
        <f>"20190303162428313"</f>
        <v>20190303162428313</v>
      </c>
      <c r="B6468" t="str">
        <f>"1551601468300803"</f>
        <v>1551601468300803</v>
      </c>
      <c r="C6468" t="s">
        <v>40</v>
      </c>
      <c r="D6468">
        <v>5.369256</v>
      </c>
      <c r="E6468">
        <v>0.52989519999999901</v>
      </c>
      <c r="F6468" t="s">
        <v>41</v>
      </c>
      <c r="G6468">
        <v>-186.65280000000001</v>
      </c>
      <c r="H6468" s="1">
        <v>-1.72089499999999E-6</v>
      </c>
      <c r="I6468">
        <v>12.08792</v>
      </c>
      <c r="J6468">
        <v>-188.20650000000001</v>
      </c>
      <c r="K6468">
        <v>1.1202479999999999</v>
      </c>
      <c r="L6468">
        <v>-13.372920000000001</v>
      </c>
      <c r="M6468">
        <v>-1.334266E-3</v>
      </c>
      <c r="N6468">
        <v>-7.9928519999999999E-3</v>
      </c>
      <c r="O6468">
        <v>0.99996719999999895</v>
      </c>
      <c r="P6468">
        <v>-1.2816920000000001E-2</v>
      </c>
      <c r="Q6468">
        <v>0.1551766</v>
      </c>
      <c r="R6468">
        <v>0.9878036</v>
      </c>
      <c r="S6468">
        <v>0.1845551</v>
      </c>
      <c r="T6468">
        <v>-0.1331106</v>
      </c>
      <c r="U6468">
        <v>3.0610659999999998</v>
      </c>
      <c r="V6468">
        <v>-1.1512069999999999E-2</v>
      </c>
      <c r="W6468">
        <v>0.16306619999999999</v>
      </c>
      <c r="X6468">
        <v>0.98654790000000003</v>
      </c>
      <c r="Y6468">
        <v>6.1463370000000003E-2</v>
      </c>
      <c r="Z6468">
        <v>-3.5376570000000003E-2</v>
      </c>
      <c r="AA6468">
        <v>0.99748219999999999</v>
      </c>
      <c r="AB6468">
        <v>30</v>
      </c>
      <c r="AC6468">
        <v>1.5536999999999901</v>
      </c>
      <c r="AD6468">
        <v>-1.120249720895</v>
      </c>
      <c r="AE6468">
        <v>25.460840000000001</v>
      </c>
      <c r="AF6468">
        <v>1.58461494981437</v>
      </c>
      <c r="AG6468">
        <v>-1.120249720895</v>
      </c>
      <c r="AH6468">
        <v>25.409735861734401</v>
      </c>
      <c r="AI6468">
        <v>92.519500251551506</v>
      </c>
      <c r="AJ6468">
        <v>86.431512540046498</v>
      </c>
      <c r="AK6468">
        <v>25.4837328611695</v>
      </c>
      <c r="AL6468">
        <v>80.6150849173967</v>
      </c>
      <c r="AM6468">
        <v>90.668556578684203</v>
      </c>
      <c r="AN6468">
        <v>0.99999993616626504</v>
      </c>
    </row>
    <row r="6469" spans="1:40" x14ac:dyDescent="0.25">
      <c r="A6469" t="str">
        <f>"20190303162428336"</f>
        <v>20190303162428336</v>
      </c>
      <c r="B6469" t="str">
        <f>"1551601468331059"</f>
        <v>1551601468331059</v>
      </c>
      <c r="C6469" t="s">
        <v>40</v>
      </c>
      <c r="D6469">
        <v>5.309329</v>
      </c>
      <c r="E6469">
        <v>0.52940699999999996</v>
      </c>
      <c r="F6469" t="s">
        <v>41</v>
      </c>
      <c r="G6469">
        <v>-186.5934</v>
      </c>
      <c r="H6469" s="1">
        <v>-1.8331760000000001E-6</v>
      </c>
      <c r="I6469">
        <v>12.371420000000001</v>
      </c>
      <c r="J6469">
        <v>-188.20699999999999</v>
      </c>
      <c r="K6469">
        <v>1.1202479999999999</v>
      </c>
      <c r="L6469">
        <v>-13.066890000000001</v>
      </c>
      <c r="M6469">
        <v>-1.396177E-3</v>
      </c>
      <c r="N6469">
        <v>-8.0039740000000005E-3</v>
      </c>
      <c r="O6469">
        <v>0.99996700000000005</v>
      </c>
      <c r="P6469">
        <v>-1.030234E-2</v>
      </c>
      <c r="Q6469">
        <v>0.15482899999999999</v>
      </c>
      <c r="R6469">
        <v>0.98788759999999998</v>
      </c>
      <c r="S6469">
        <v>0.19175719999999999</v>
      </c>
      <c r="T6469">
        <v>-0.13317390000000001</v>
      </c>
      <c r="U6469">
        <v>3.0604550000000001</v>
      </c>
      <c r="V6469">
        <v>-8.9364960000000004E-3</v>
      </c>
      <c r="W6469">
        <v>0.16273029999999999</v>
      </c>
      <c r="X6469">
        <v>0.98663009999999995</v>
      </c>
      <c r="Y6469">
        <v>6.3874920000000002E-2</v>
      </c>
      <c r="Z6469">
        <v>-3.5388219999999998E-2</v>
      </c>
      <c r="AA6469">
        <v>0.99733019999999994</v>
      </c>
      <c r="AB6469">
        <v>30</v>
      </c>
      <c r="AC6469">
        <v>1.6135999999999899</v>
      </c>
      <c r="AD6469">
        <v>-1.120249833176</v>
      </c>
      <c r="AE6469">
        <v>25.438310000000001</v>
      </c>
      <c r="AF6469">
        <v>1.64593671414065</v>
      </c>
      <c r="AG6469">
        <v>-1.120249833176</v>
      </c>
      <c r="AH6469">
        <v>25.386995627622699</v>
      </c>
      <c r="AI6469">
        <v>92.521360204189705</v>
      </c>
      <c r="AJ6469">
        <v>86.290485663848102</v>
      </c>
      <c r="AK6469">
        <v>25.4649487404279</v>
      </c>
      <c r="AL6469">
        <v>80.634591559147594</v>
      </c>
      <c r="AM6469">
        <v>90.518947782946796</v>
      </c>
      <c r="AN6469">
        <v>0.99999998286242797</v>
      </c>
    </row>
    <row r="6470" spans="1:40" x14ac:dyDescent="0.25">
      <c r="A6470" t="str">
        <f>"20190303162428360"</f>
        <v>20190303162428360</v>
      </c>
      <c r="B6470" t="str">
        <f>"1551601468351555"</f>
        <v>1551601468351555</v>
      </c>
      <c r="C6470" t="s">
        <v>40</v>
      </c>
      <c r="D6470">
        <v>5.3005810000000002</v>
      </c>
      <c r="E6470">
        <v>0.52925749999999905</v>
      </c>
      <c r="F6470" t="s">
        <v>41</v>
      </c>
      <c r="G6470">
        <v>-186.51769999999999</v>
      </c>
      <c r="H6470" s="1">
        <v>-2.1638630000000002E-6</v>
      </c>
      <c r="I6470">
        <v>13.2369</v>
      </c>
      <c r="J6470">
        <v>-188.20750000000001</v>
      </c>
      <c r="K6470">
        <v>1.1202430000000001</v>
      </c>
      <c r="L6470">
        <v>-12.74469</v>
      </c>
      <c r="M6470">
        <v>-1.461083E-3</v>
      </c>
      <c r="N6470">
        <v>-8.0157159999999904E-3</v>
      </c>
      <c r="O6470">
        <v>0.99996680000000004</v>
      </c>
      <c r="P6470">
        <v>-8.4972380000000007E-3</v>
      </c>
      <c r="Q6470">
        <v>0.15522369999999999</v>
      </c>
      <c r="R6470">
        <v>0.98784280000000002</v>
      </c>
      <c r="S6470">
        <v>0.19647220000000001</v>
      </c>
      <c r="T6470">
        <v>-0.13029069999999901</v>
      </c>
      <c r="U6470">
        <v>3.0592649999999999</v>
      </c>
      <c r="V6470">
        <v>-7.0677960000000003E-3</v>
      </c>
      <c r="W6470">
        <v>0.1631368</v>
      </c>
      <c r="X6470">
        <v>0.98657819999999996</v>
      </c>
      <c r="Y6470">
        <v>6.5496739999999998E-2</v>
      </c>
      <c r="Z6470">
        <v>-3.4450710000000002E-2</v>
      </c>
      <c r="AA6470">
        <v>0.99725790000000003</v>
      </c>
      <c r="AB6470">
        <v>30</v>
      </c>
      <c r="AC6470">
        <v>1.68980000000001</v>
      </c>
      <c r="AD6470">
        <v>-1.120245163863</v>
      </c>
      <c r="AE6470">
        <v>25.981590000000001</v>
      </c>
      <c r="AF6470">
        <v>1.72456809494522</v>
      </c>
      <c r="AG6470">
        <v>-1.120245163863</v>
      </c>
      <c r="AH6470">
        <v>25.931088713231102</v>
      </c>
      <c r="AI6470">
        <v>92.4682426886732</v>
      </c>
      <c r="AJ6470">
        <v>86.195100812182901</v>
      </c>
      <c r="AK6470">
        <v>26.01250557318</v>
      </c>
      <c r="AL6470">
        <v>80.610986078052207</v>
      </c>
      <c r="AM6470">
        <v>90.410457025861803</v>
      </c>
      <c r="AN6470">
        <v>1.0000000569848799</v>
      </c>
    </row>
    <row r="6471" spans="1:40" x14ac:dyDescent="0.25">
      <c r="A6471" t="str">
        <f>"20190303162428382"</f>
        <v>20190303162428382</v>
      </c>
      <c r="B6471" t="str">
        <f>"1551601468371075"</f>
        <v>1551601468371075</v>
      </c>
      <c r="C6471" t="s">
        <v>40</v>
      </c>
      <c r="D6471">
        <v>5.3145150000000001</v>
      </c>
      <c r="E6471">
        <v>0.52892359999999905</v>
      </c>
      <c r="F6471" t="s">
        <v>41</v>
      </c>
      <c r="G6471">
        <v>-186.42250000000001</v>
      </c>
      <c r="H6471" s="1">
        <v>-2.6650560000000002E-6</v>
      </c>
      <c r="I6471">
        <v>14.36585</v>
      </c>
      <c r="J6471">
        <v>-188.208</v>
      </c>
      <c r="K6471">
        <v>1.1202369999999999</v>
      </c>
      <c r="L6471">
        <v>-12.434200000000001</v>
      </c>
      <c r="M6471">
        <v>-1.52374E-3</v>
      </c>
      <c r="N6471">
        <v>-8.0268939999999997E-3</v>
      </c>
      <c r="O6471">
        <v>0.99996660000000004</v>
      </c>
      <c r="P6471">
        <v>-7.187031E-3</v>
      </c>
      <c r="Q6471">
        <v>0.15418760000000001</v>
      </c>
      <c r="R6471">
        <v>0.98801539999999999</v>
      </c>
      <c r="S6471">
        <v>0.2013702</v>
      </c>
      <c r="T6471">
        <v>-0.12638160000000001</v>
      </c>
      <c r="U6471">
        <v>3.0585019999999998</v>
      </c>
      <c r="V6471">
        <v>-5.6960279999999997E-3</v>
      </c>
      <c r="W6471">
        <v>0.16211300000000001</v>
      </c>
      <c r="X6471">
        <v>0.98675579999999996</v>
      </c>
      <c r="Y6471">
        <v>6.7168259999999994E-2</v>
      </c>
      <c r="Z6471">
        <v>-3.3173189999999998E-2</v>
      </c>
      <c r="AA6471">
        <v>0.99719009999999997</v>
      </c>
      <c r="AB6471">
        <v>30</v>
      </c>
      <c r="AC6471">
        <v>1.7854999999999801</v>
      </c>
      <c r="AD6471">
        <v>-1.120239665056</v>
      </c>
      <c r="AE6471">
        <v>26.800049999999999</v>
      </c>
      <c r="AF6471">
        <v>1.8231641370535701</v>
      </c>
      <c r="AG6471">
        <v>-1.120239665056</v>
      </c>
      <c r="AH6471">
        <v>26.750764900136701</v>
      </c>
      <c r="AI6471">
        <v>92.392426308234704</v>
      </c>
      <c r="AJ6471">
        <v>86.101108726426702</v>
      </c>
      <c r="AK6471">
        <v>26.836212234967</v>
      </c>
      <c r="AL6471">
        <v>80.670436740309398</v>
      </c>
      <c r="AM6471">
        <v>90.330735060834101</v>
      </c>
      <c r="AN6471">
        <v>1.0000000391688</v>
      </c>
    </row>
    <row r="6472" spans="1:40" x14ac:dyDescent="0.25">
      <c r="A6472" t="str">
        <f>"20190303162428405"</f>
        <v>20190303162428405</v>
      </c>
      <c r="B6472" t="str">
        <f>"1551601468391571"</f>
        <v>1551601468391571</v>
      </c>
      <c r="C6472" t="s">
        <v>40</v>
      </c>
      <c r="D6472">
        <v>5.2831929999999998</v>
      </c>
      <c r="E6472">
        <v>0.52852739999999998</v>
      </c>
      <c r="F6472" t="s">
        <v>41</v>
      </c>
      <c r="G6472">
        <v>-186.42670000000001</v>
      </c>
      <c r="H6472" s="1">
        <v>-2.6748339999999999E-6</v>
      </c>
      <c r="I6472">
        <v>14.39039</v>
      </c>
      <c r="J6472">
        <v>-188.20849999999999</v>
      </c>
      <c r="K6472">
        <v>1.1202190000000001</v>
      </c>
      <c r="L6472">
        <v>-12.131320000000001</v>
      </c>
      <c r="M6472">
        <v>-1.5846009999999999E-3</v>
      </c>
      <c r="N6472">
        <v>-8.0375930000000009E-3</v>
      </c>
      <c r="O6472">
        <v>0.99996640000000003</v>
      </c>
      <c r="P6472">
        <v>-5.9091909999999899E-3</v>
      </c>
      <c r="Q6472">
        <v>0.15253069999999999</v>
      </c>
      <c r="R6472">
        <v>0.98828110000000002</v>
      </c>
      <c r="S6472">
        <v>0.2030487</v>
      </c>
      <c r="T6472">
        <v>-0.1276988</v>
      </c>
      <c r="U6472">
        <v>3.0577999999999999</v>
      </c>
      <c r="V6472">
        <v>-4.3571629999999998E-3</v>
      </c>
      <c r="W6472">
        <v>0.16046879999999999</v>
      </c>
      <c r="X6472">
        <v>0.98703129999999994</v>
      </c>
      <c r="Y6472">
        <v>6.7787739999999999E-2</v>
      </c>
      <c r="Z6472">
        <v>-3.3599070000000002E-2</v>
      </c>
      <c r="AA6472">
        <v>0.99713390000000002</v>
      </c>
      <c r="AB6472">
        <v>31</v>
      </c>
      <c r="AC6472">
        <v>1.7817999999999701</v>
      </c>
      <c r="AD6472">
        <v>-1.1202216748339999</v>
      </c>
      <c r="AE6472">
        <v>26.521709999999999</v>
      </c>
      <c r="AF6472">
        <v>1.820592033127</v>
      </c>
      <c r="AG6472">
        <v>-1.1202216748339999</v>
      </c>
      <c r="AH6472">
        <v>26.471838515623801</v>
      </c>
      <c r="AI6472">
        <v>92.417463928674195</v>
      </c>
      <c r="AJ6472">
        <v>86.065696731371304</v>
      </c>
      <c r="AK6472">
        <v>26.558006068775601</v>
      </c>
      <c r="AL6472">
        <v>80.7658919486434</v>
      </c>
      <c r="AM6472">
        <v>90.252925544450903</v>
      </c>
      <c r="AN6472">
        <v>1.00000000391126</v>
      </c>
    </row>
    <row r="6473" spans="1:40" x14ac:dyDescent="0.25">
      <c r="A6473" t="str">
        <f>"20190303162428428"</f>
        <v>20190303162428428</v>
      </c>
      <c r="B6473" t="str">
        <f>"1551601468421827"</f>
        <v>1551601468421827</v>
      </c>
      <c r="C6473" t="s">
        <v>40</v>
      </c>
      <c r="D6473">
        <v>5.2636699999999896</v>
      </c>
      <c r="E6473">
        <v>0.52784030000000004</v>
      </c>
      <c r="F6473" t="s">
        <v>41</v>
      </c>
      <c r="G6473">
        <v>-186.4879</v>
      </c>
      <c r="H6473" s="1">
        <v>-2.363389E-6</v>
      </c>
      <c r="I6473">
        <v>13.689690000000001</v>
      </c>
      <c r="J6473">
        <v>-188.20910000000001</v>
      </c>
      <c r="K6473">
        <v>1.120209</v>
      </c>
      <c r="L6473">
        <v>-11.80856</v>
      </c>
      <c r="M6473">
        <v>-1.6488989999999999E-3</v>
      </c>
      <c r="N6473">
        <v>-8.0486849999999999E-3</v>
      </c>
      <c r="O6473">
        <v>0.99996629999999997</v>
      </c>
      <c r="P6473">
        <v>-5.0752610000000002E-3</v>
      </c>
      <c r="Q6473">
        <v>0.15038460000000001</v>
      </c>
      <c r="R6473">
        <v>0.98861460000000001</v>
      </c>
      <c r="S6473">
        <v>0.20372009999999999</v>
      </c>
      <c r="T6473">
        <v>-0.13263610000000001</v>
      </c>
      <c r="U6473">
        <v>3.0572509999999999</v>
      </c>
      <c r="V6473">
        <v>-3.4589500000000001E-3</v>
      </c>
      <c r="W6473">
        <v>0.15833630000000001</v>
      </c>
      <c r="X6473">
        <v>0.98737920000000001</v>
      </c>
      <c r="Y6473">
        <v>6.8077559999999995E-2</v>
      </c>
      <c r="Z6473">
        <v>-3.5202129999999998E-2</v>
      </c>
      <c r="AA6473">
        <v>0.99705880000000002</v>
      </c>
      <c r="AB6473">
        <v>31</v>
      </c>
      <c r="AC6473">
        <v>1.7212000000000101</v>
      </c>
      <c r="AD6473">
        <v>-1.1202113633890001</v>
      </c>
      <c r="AE6473">
        <v>25.498249999999999</v>
      </c>
      <c r="AF6473">
        <v>1.7598617615482</v>
      </c>
      <c r="AG6473">
        <v>-1.1202113633890001</v>
      </c>
      <c r="AH6473">
        <v>25.4464857441119</v>
      </c>
      <c r="AI6473">
        <v>92.514662304492404</v>
      </c>
      <c r="AJ6473">
        <v>86.043762152721101</v>
      </c>
      <c r="AK6473">
        <v>25.531855076427799</v>
      </c>
      <c r="AL6473">
        <v>80.889657848812902</v>
      </c>
      <c r="AM6473">
        <v>90.200715617506702</v>
      </c>
      <c r="AN6473">
        <v>1.0000000164127101</v>
      </c>
    </row>
    <row r="6474" spans="1:40" x14ac:dyDescent="0.25">
      <c r="A6474" t="str">
        <f>"20190303162428450"</f>
        <v>20190303162428450</v>
      </c>
      <c r="B6474" t="str">
        <f>"1551601468441348"</f>
        <v>1551601468441348</v>
      </c>
      <c r="C6474" t="s">
        <v>40</v>
      </c>
      <c r="D6474">
        <v>5.2745769999999998</v>
      </c>
      <c r="E6474">
        <v>0.52736490000000003</v>
      </c>
      <c r="F6474" t="s">
        <v>41</v>
      </c>
      <c r="G6474">
        <v>-186.56450000000001</v>
      </c>
      <c r="H6474" s="1">
        <v>-2.109014E-6</v>
      </c>
      <c r="I6474">
        <v>13.12842</v>
      </c>
      <c r="J6474">
        <v>-188.20959999999999</v>
      </c>
      <c r="K6474">
        <v>1.120196</v>
      </c>
      <c r="L6474">
        <v>-11.51361</v>
      </c>
      <c r="M6474">
        <v>-1.704941E-3</v>
      </c>
      <c r="N6474">
        <v>-8.0586600000000005E-3</v>
      </c>
      <c r="O6474">
        <v>0.99996609999999997</v>
      </c>
      <c r="P6474">
        <v>-3.705954E-3</v>
      </c>
      <c r="Q6474">
        <v>0.14949660000000001</v>
      </c>
      <c r="R6474">
        <v>0.9887553</v>
      </c>
      <c r="S6474">
        <v>0.20156859999999999</v>
      </c>
      <c r="T6474">
        <v>-0.13730120000000001</v>
      </c>
      <c r="U6474">
        <v>3.0564580000000001</v>
      </c>
      <c r="V6474">
        <v>-2.033595E-3</v>
      </c>
      <c r="W6474">
        <v>0.15745960000000001</v>
      </c>
      <c r="X6474">
        <v>0.98752329999999999</v>
      </c>
      <c r="Y6474">
        <v>6.7447960000000001E-2</v>
      </c>
      <c r="Z6474">
        <v>-3.6724239999999998E-2</v>
      </c>
      <c r="AA6474">
        <v>0.99704669999999895</v>
      </c>
      <c r="AB6474">
        <v>31</v>
      </c>
      <c r="AC6474">
        <v>1.64509999999998</v>
      </c>
      <c r="AD6474">
        <v>-1.1201981090140001</v>
      </c>
      <c r="AE6474">
        <v>24.642029999999998</v>
      </c>
      <c r="AF6474">
        <v>1.68364834754047</v>
      </c>
      <c r="AG6474">
        <v>-1.1201981090140001</v>
      </c>
      <c r="AH6474">
        <v>24.588602255605501</v>
      </c>
      <c r="AI6474">
        <v>92.602370444911401</v>
      </c>
      <c r="AJ6474">
        <v>86.082916564879895</v>
      </c>
      <c r="AK6474">
        <v>24.671620871883999</v>
      </c>
      <c r="AL6474">
        <v>80.940526719988</v>
      </c>
      <c r="AM6474">
        <v>90.117988351299502</v>
      </c>
      <c r="AN6474">
        <v>0.99999996459183604</v>
      </c>
    </row>
    <row r="6475" spans="1:40" x14ac:dyDescent="0.25">
      <c r="A6475" t="str">
        <f>"20190303162428470"</f>
        <v>20190303162428470</v>
      </c>
      <c r="B6475" t="str">
        <f>"1551601468460868"</f>
        <v>1551601468460868</v>
      </c>
      <c r="C6475" t="s">
        <v>40</v>
      </c>
      <c r="D6475">
        <v>5.2606380000000001</v>
      </c>
      <c r="E6475">
        <v>0.52694289999999999</v>
      </c>
      <c r="F6475" t="s">
        <v>41</v>
      </c>
      <c r="G6475">
        <v>-186.5949</v>
      </c>
      <c r="H6475" s="1">
        <v>-2.0257380000000001E-6</v>
      </c>
      <c r="I6475">
        <v>12.9384</v>
      </c>
      <c r="J6475">
        <v>-188.21019999999999</v>
      </c>
      <c r="K6475">
        <v>1.120188</v>
      </c>
      <c r="L6475">
        <v>-11.22406</v>
      </c>
      <c r="M6475">
        <v>-1.750553E-3</v>
      </c>
      <c r="N6475">
        <v>-8.068357E-3</v>
      </c>
      <c r="O6475">
        <v>0.99996589999999996</v>
      </c>
      <c r="P6475">
        <v>-1.8510250000000001E-3</v>
      </c>
      <c r="Q6475">
        <v>0.1491635</v>
      </c>
      <c r="R6475">
        <v>0.98881079999999999</v>
      </c>
      <c r="S6475">
        <v>0.20181270000000001</v>
      </c>
      <c r="T6475">
        <v>-0.14000319999999999</v>
      </c>
      <c r="U6475">
        <v>3.0560299999999998</v>
      </c>
      <c r="V6475">
        <v>-1.3168300000000001E-4</v>
      </c>
      <c r="W6475">
        <v>0.157137</v>
      </c>
      <c r="X6475">
        <v>0.98757680000000003</v>
      </c>
      <c r="Y6475">
        <v>6.7579490000000006E-2</v>
      </c>
      <c r="Z6475">
        <v>-3.7600210000000002E-2</v>
      </c>
      <c r="AA6475">
        <v>0.99700509999999998</v>
      </c>
      <c r="AB6475">
        <v>31</v>
      </c>
      <c r="AC6475">
        <v>1.61529999999999</v>
      </c>
      <c r="AD6475">
        <v>-1.120190025738</v>
      </c>
      <c r="AE6475">
        <v>24.162459999999999</v>
      </c>
      <c r="AF6475">
        <v>1.6540572881884199</v>
      </c>
      <c r="AG6475">
        <v>-1.120190025738</v>
      </c>
      <c r="AH6475">
        <v>24.1080099259298</v>
      </c>
      <c r="AI6475">
        <v>92.654131147840403</v>
      </c>
      <c r="AJ6475">
        <v>86.075071564923206</v>
      </c>
      <c r="AK6475">
        <v>24.1906360766951</v>
      </c>
      <c r="AL6475">
        <v>80.959243617139606</v>
      </c>
      <c r="AM6475">
        <v>90.007639790737102</v>
      </c>
      <c r="AN6475">
        <v>0.99999999500382597</v>
      </c>
    </row>
    <row r="6476" spans="1:40" x14ac:dyDescent="0.25">
      <c r="A6476" t="str">
        <f>"20190303162428492"</f>
        <v>20190303162428492</v>
      </c>
      <c r="B6476" t="str">
        <f>"1551601468481363"</f>
        <v>1551601468481363</v>
      </c>
      <c r="C6476" t="s">
        <v>40</v>
      </c>
      <c r="D6476">
        <v>5.228326</v>
      </c>
      <c r="E6476">
        <v>0.52658719999999903</v>
      </c>
      <c r="F6476" t="s">
        <v>41</v>
      </c>
      <c r="G6476">
        <v>-186.6</v>
      </c>
      <c r="H6476" s="1">
        <v>-2.0372810000000001E-6</v>
      </c>
      <c r="I6476">
        <v>12.97588</v>
      </c>
      <c r="J6476">
        <v>-188.2107</v>
      </c>
      <c r="K6476">
        <v>1.1201730000000001</v>
      </c>
      <c r="L6476">
        <v>-10.92712</v>
      </c>
      <c r="M6476">
        <v>-1.7846649999999999E-3</v>
      </c>
      <c r="N6476">
        <v>-8.0779179999999999E-3</v>
      </c>
      <c r="O6476">
        <v>0.99996580000000002</v>
      </c>
      <c r="P6476">
        <v>-4.6546439999999999E-4</v>
      </c>
      <c r="Q6476">
        <v>0.1483805</v>
      </c>
      <c r="R6476">
        <v>0.98893019999999998</v>
      </c>
      <c r="S6476">
        <v>0.20330809999999999</v>
      </c>
      <c r="T6476">
        <v>-0.1414435</v>
      </c>
      <c r="U6476">
        <v>3.0556640000000002</v>
      </c>
      <c r="V6476">
        <v>1.291478E-3</v>
      </c>
      <c r="W6476">
        <v>0.15636420000000001</v>
      </c>
      <c r="X6476">
        <v>0.98769859999999998</v>
      </c>
      <c r="Y6476">
        <v>6.810571E-2</v>
      </c>
      <c r="Z6476">
        <v>-3.8063479999999997E-2</v>
      </c>
      <c r="AA6476">
        <v>0.99695180000000005</v>
      </c>
      <c r="AB6476">
        <v>31</v>
      </c>
      <c r="AC6476">
        <v>1.6107</v>
      </c>
      <c r="AD6476">
        <v>-1.12017503728099</v>
      </c>
      <c r="AE6476">
        <v>23.902999999999999</v>
      </c>
      <c r="AF6476">
        <v>1.6497509087816</v>
      </c>
      <c r="AG6476">
        <v>-1.12017503728099</v>
      </c>
      <c r="AH6476">
        <v>23.8479497470131</v>
      </c>
      <c r="AI6476">
        <v>92.682892075605395</v>
      </c>
      <c r="AJ6476">
        <v>86.042703331095893</v>
      </c>
      <c r="AK6476">
        <v>23.931175844726798</v>
      </c>
      <c r="AL6476">
        <v>81.004075848242394</v>
      </c>
      <c r="AM6476">
        <v>89.925082209731698</v>
      </c>
      <c r="AN6476">
        <v>0.99999997769951199</v>
      </c>
    </row>
    <row r="6477" spans="1:40" x14ac:dyDescent="0.25">
      <c r="A6477" t="str">
        <f>"20190303162428514"</f>
        <v>20190303162428514</v>
      </c>
      <c r="B6477" t="str">
        <f>"1551601468500883"</f>
        <v>1551601468500883</v>
      </c>
      <c r="C6477" t="s">
        <v>40</v>
      </c>
      <c r="D6477">
        <v>5.2017340000000001</v>
      </c>
      <c r="E6477">
        <v>0.5267193</v>
      </c>
      <c r="F6477" t="s">
        <v>41</v>
      </c>
      <c r="G6477">
        <v>-186.60480000000001</v>
      </c>
      <c r="H6477" s="1">
        <v>-2.0804410000000001E-6</v>
      </c>
      <c r="I6477">
        <v>13.07846</v>
      </c>
      <c r="J6477">
        <v>-188.21129999999999</v>
      </c>
      <c r="K6477">
        <v>1.120166</v>
      </c>
      <c r="L6477">
        <v>-10.61176</v>
      </c>
      <c r="M6477">
        <v>-1.809246E-3</v>
      </c>
      <c r="N6477">
        <v>-8.0877710000000005E-3</v>
      </c>
      <c r="O6477">
        <v>0.99996569999999996</v>
      </c>
      <c r="P6477">
        <v>-3.7711320000000001E-4</v>
      </c>
      <c r="Q6477">
        <v>0.148532</v>
      </c>
      <c r="R6477">
        <v>0.98890750000000005</v>
      </c>
      <c r="S6477">
        <v>0.20437620000000001</v>
      </c>
      <c r="T6477">
        <v>-0.1425583</v>
      </c>
      <c r="U6477">
        <v>3.0550540000000002</v>
      </c>
      <c r="V6477">
        <v>1.408365E-3</v>
      </c>
      <c r="W6477">
        <v>0.15652569999999999</v>
      </c>
      <c r="X6477">
        <v>0.98767289999999996</v>
      </c>
      <c r="Y6477">
        <v>6.8489300000000003E-2</v>
      </c>
      <c r="Z6477">
        <v>-3.8424689999999997E-2</v>
      </c>
      <c r="AA6477">
        <v>0.99691160000000001</v>
      </c>
      <c r="AB6477">
        <v>31</v>
      </c>
      <c r="AC6477">
        <v>1.6064999999999801</v>
      </c>
      <c r="AD6477">
        <v>-1.1201680804409999</v>
      </c>
      <c r="AE6477">
        <v>23.69022</v>
      </c>
      <c r="AF6477">
        <v>1.6456976383880499</v>
      </c>
      <c r="AG6477">
        <v>-1.1201680804409999</v>
      </c>
      <c r="AH6477">
        <v>23.634674632926998</v>
      </c>
      <c r="AI6477">
        <v>92.706964849967505</v>
      </c>
      <c r="AJ6477">
        <v>86.016886893907795</v>
      </c>
      <c r="AK6477">
        <v>23.718367191899201</v>
      </c>
      <c r="AL6477">
        <v>80.994707585051401</v>
      </c>
      <c r="AM6477">
        <v>89.918299554617306</v>
      </c>
      <c r="AN6477">
        <v>1.0000000178234301</v>
      </c>
    </row>
    <row r="6478" spans="1:40" x14ac:dyDescent="0.25">
      <c r="A6478" t="str">
        <f>"20190303162428537"</f>
        <v>20190303162428537</v>
      </c>
      <c r="B6478" t="str">
        <f>"1551601468531139"</f>
        <v>1551601468531139</v>
      </c>
      <c r="C6478" t="s">
        <v>40</v>
      </c>
      <c r="D6478">
        <v>5.1880889999999997</v>
      </c>
      <c r="E6478">
        <v>0.52685000000000004</v>
      </c>
      <c r="F6478" t="s">
        <v>41</v>
      </c>
      <c r="G6478">
        <v>-186.52160000000001</v>
      </c>
      <c r="H6478" s="1">
        <v>-2.6697730000000001E-6</v>
      </c>
      <c r="I6478">
        <v>14.41779</v>
      </c>
      <c r="J6478">
        <v>-188.21190000000001</v>
      </c>
      <c r="K6478">
        <v>1.120166</v>
      </c>
      <c r="L6478">
        <v>-10.29135</v>
      </c>
      <c r="M6478">
        <v>-1.8246169999999999E-3</v>
      </c>
      <c r="N6478">
        <v>-8.0976269999999996E-3</v>
      </c>
      <c r="O6478">
        <v>0.99996549999999995</v>
      </c>
      <c r="P6478">
        <v>-1.0958020000000001E-3</v>
      </c>
      <c r="Q6478">
        <v>0.15021099999999901</v>
      </c>
      <c r="R6478">
        <v>0.98865340000000002</v>
      </c>
      <c r="S6478">
        <v>0.20619199999999999</v>
      </c>
      <c r="T6478">
        <v>-0.136689899999999</v>
      </c>
      <c r="U6478">
        <v>3.0542600000000002</v>
      </c>
      <c r="V6478">
        <v>7.0810359999999995E-4</v>
      </c>
      <c r="W6478">
        <v>0.15821199999999999</v>
      </c>
      <c r="X6478">
        <v>0.98740490000000003</v>
      </c>
      <c r="Y6478">
        <v>6.9117090000000006E-2</v>
      </c>
      <c r="Z6478">
        <v>-3.6513360000000002E-2</v>
      </c>
      <c r="AA6478">
        <v>0.9969401</v>
      </c>
      <c r="AB6478">
        <v>31</v>
      </c>
      <c r="AC6478">
        <v>1.6902999999999999</v>
      </c>
      <c r="AD6478">
        <v>-1.120168669773</v>
      </c>
      <c r="AE6478">
        <v>24.709140000000001</v>
      </c>
      <c r="AF6478">
        <v>1.7318407034402701</v>
      </c>
      <c r="AG6478">
        <v>-1.120168669773</v>
      </c>
      <c r="AH6478">
        <v>24.655578783300701</v>
      </c>
      <c r="AI6478">
        <v>92.594926337748404</v>
      </c>
      <c r="AJ6478">
        <v>85.982067389638303</v>
      </c>
      <c r="AK6478">
        <v>24.741697904759501</v>
      </c>
      <c r="AL6478">
        <v>80.896870363808404</v>
      </c>
      <c r="AM6478">
        <v>89.958911140928095</v>
      </c>
      <c r="AN6478">
        <v>0.99999998744935903</v>
      </c>
    </row>
    <row r="6479" spans="1:40" x14ac:dyDescent="0.25">
      <c r="A6479" t="str">
        <f>"20190303162428560"</f>
        <v>20190303162428560</v>
      </c>
      <c r="B6479" t="str">
        <f>"1551601468551635"</f>
        <v>1551601468551635</v>
      </c>
      <c r="C6479" t="s">
        <v>40</v>
      </c>
      <c r="D6479">
        <v>5.2019089999999997</v>
      </c>
      <c r="E6479">
        <v>0.52695530000000002</v>
      </c>
      <c r="F6479" t="s">
        <v>41</v>
      </c>
      <c r="G6479">
        <v>-186.36150000000001</v>
      </c>
      <c r="H6479" s="1">
        <v>-3.90327E-6</v>
      </c>
      <c r="I6479">
        <v>17.226939999999999</v>
      </c>
      <c r="J6479">
        <v>-188.2124</v>
      </c>
      <c r="K6479">
        <v>1.120161</v>
      </c>
      <c r="L6479">
        <v>-9.9757689999999997</v>
      </c>
      <c r="M6479">
        <v>-1.8316649999999999E-3</v>
      </c>
      <c r="N6479">
        <v>-8.1071749999999995E-3</v>
      </c>
      <c r="O6479">
        <v>0.9999654</v>
      </c>
      <c r="P6479">
        <v>-2.32745E-3</v>
      </c>
      <c r="Q6479">
        <v>0.1525146</v>
      </c>
      <c r="R6479">
        <v>0.98829849999999997</v>
      </c>
      <c r="S6479">
        <v>0.20532230000000001</v>
      </c>
      <c r="T6479">
        <v>-0.1242993</v>
      </c>
      <c r="U6479">
        <v>3.0535580000000002</v>
      </c>
      <c r="V6479">
        <v>-5.1472249999999996E-4</v>
      </c>
      <c r="W6479">
        <v>0.160522</v>
      </c>
      <c r="X6479">
        <v>0.98703209999999997</v>
      </c>
      <c r="Y6479">
        <v>6.8867339999999999E-2</v>
      </c>
      <c r="Z6479">
        <v>-3.2476249999999998E-2</v>
      </c>
      <c r="AA6479">
        <v>0.99709709999999996</v>
      </c>
      <c r="AB6479">
        <v>31</v>
      </c>
      <c r="AC6479">
        <v>1.85089999999999</v>
      </c>
      <c r="AD6479">
        <v>-1.1201649032700001</v>
      </c>
      <c r="AE6479">
        <v>27.202708999999999</v>
      </c>
      <c r="AF6479">
        <v>1.8975220542090001</v>
      </c>
      <c r="AG6479">
        <v>-1.1201649032700001</v>
      </c>
      <c r="AH6479">
        <v>27.153442107728601</v>
      </c>
      <c r="AI6479">
        <v>92.356551179093998</v>
      </c>
      <c r="AJ6479">
        <v>86.002586100041995</v>
      </c>
      <c r="AK6479">
        <v>27.242701364851701</v>
      </c>
      <c r="AL6479">
        <v>80.762803481950101</v>
      </c>
      <c r="AM6479">
        <v>90.029878890663298</v>
      </c>
      <c r="AN6479">
        <v>0.99999997192682999</v>
      </c>
    </row>
    <row r="6480" spans="1:40" x14ac:dyDescent="0.25">
      <c r="A6480" t="str">
        <f>"20190303162428582"</f>
        <v>20190303162428582</v>
      </c>
      <c r="B6480" t="str">
        <f>"1551601468571155"</f>
        <v>1551601468571155</v>
      </c>
      <c r="C6480" t="s">
        <v>40</v>
      </c>
      <c r="D6480">
        <v>5.1904839999999997</v>
      </c>
      <c r="E6480">
        <v>0.52703929999999999</v>
      </c>
      <c r="F6480" t="s">
        <v>41</v>
      </c>
      <c r="G6480">
        <v>-186.19409999999999</v>
      </c>
      <c r="H6480" s="1">
        <v>-1.272442E-6</v>
      </c>
      <c r="I6480">
        <v>20.411490000000001</v>
      </c>
      <c r="J6480">
        <v>-188.21299999999999</v>
      </c>
      <c r="K6480">
        <v>1.1201540000000001</v>
      </c>
      <c r="L6480">
        <v>-9.6647639999999999</v>
      </c>
      <c r="M6480">
        <v>-1.8327129999999999E-3</v>
      </c>
      <c r="N6480">
        <v>-8.1164280000000002E-3</v>
      </c>
      <c r="O6480">
        <v>0.9999654</v>
      </c>
      <c r="P6480">
        <v>-3.045795E-3</v>
      </c>
      <c r="Q6480">
        <v>0.152726</v>
      </c>
      <c r="R6480">
        <v>0.98826380000000003</v>
      </c>
      <c r="S6480">
        <v>0.2028046</v>
      </c>
      <c r="T6480">
        <v>-0.1125562</v>
      </c>
      <c r="U6480">
        <v>3.053375</v>
      </c>
      <c r="V6480">
        <v>-1.2305420000000001E-3</v>
      </c>
      <c r="W6480">
        <v>0.1607422</v>
      </c>
      <c r="X6480">
        <v>0.98699559999999997</v>
      </c>
      <c r="Y6480">
        <v>6.8062819999999996E-2</v>
      </c>
      <c r="Z6480">
        <v>-2.8641989999999999E-2</v>
      </c>
      <c r="AA6480">
        <v>0.99726979999999998</v>
      </c>
      <c r="AB6480">
        <v>31</v>
      </c>
      <c r="AC6480">
        <v>2.0188999999999999</v>
      </c>
      <c r="AD6480">
        <v>-1.1201552724420001</v>
      </c>
      <c r="AE6480">
        <v>30.076253999999999</v>
      </c>
      <c r="AF6480">
        <v>2.0711595392753201</v>
      </c>
      <c r="AG6480">
        <v>-1.1201552724420001</v>
      </c>
      <c r="AH6480">
        <v>30.031033994814099</v>
      </c>
      <c r="AI6480">
        <v>92.131080371013894</v>
      </c>
      <c r="AJ6480">
        <v>86.054711714148297</v>
      </c>
      <c r="AK6480">
        <v>30.1232045517934</v>
      </c>
      <c r="AL6480">
        <v>80.750020680061297</v>
      </c>
      <c r="AM6480">
        <v>90.071433780031697</v>
      </c>
      <c r="AN6480">
        <v>0.99999994175690499</v>
      </c>
    </row>
    <row r="6481" spans="1:40" x14ac:dyDescent="0.25">
      <c r="A6481" t="str">
        <f>"20190303162428604"</f>
        <v>20190303162428604</v>
      </c>
      <c r="B6481" t="str">
        <f>"1551601468591651"</f>
        <v>1551601468591651</v>
      </c>
      <c r="C6481" t="s">
        <v>40</v>
      </c>
      <c r="D6481">
        <v>5.2201259999999996</v>
      </c>
      <c r="E6481">
        <v>0.52712950000000003</v>
      </c>
      <c r="F6481" t="s">
        <v>41</v>
      </c>
      <c r="G6481">
        <v>-186.13239999999999</v>
      </c>
      <c r="H6481" s="1">
        <v>-1.8218760000000001E-6</v>
      </c>
      <c r="I6481">
        <v>21.977730000000001</v>
      </c>
      <c r="J6481">
        <v>-188.21360000000001</v>
      </c>
      <c r="K6481">
        <v>1.1201410000000001</v>
      </c>
      <c r="L6481">
        <v>-9.3624880000000008</v>
      </c>
      <c r="M6481">
        <v>-1.83056E-3</v>
      </c>
      <c r="N6481">
        <v>-8.1251980000000001E-3</v>
      </c>
      <c r="O6481">
        <v>0.99996529999999995</v>
      </c>
      <c r="P6481">
        <v>-4.2965440000000002E-3</v>
      </c>
      <c r="Q6481">
        <v>0.15058679999999999</v>
      </c>
      <c r="R6481">
        <v>0.98858740000000001</v>
      </c>
      <c r="S6481">
        <v>0.2007446</v>
      </c>
      <c r="T6481">
        <v>-0.1080755</v>
      </c>
      <c r="U6481">
        <v>3.0529480000000002</v>
      </c>
      <c r="V6481">
        <v>-2.4828279999999999E-3</v>
      </c>
      <c r="W6481">
        <v>0.15861410000000001</v>
      </c>
      <c r="X6481">
        <v>0.98733749999999998</v>
      </c>
      <c r="Y6481">
        <v>6.7403119999999997E-2</v>
      </c>
      <c r="Z6481">
        <v>-2.717806E-2</v>
      </c>
      <c r="AA6481">
        <v>0.99735560000000001</v>
      </c>
      <c r="AB6481">
        <v>31</v>
      </c>
      <c r="AC6481">
        <v>2.0812000000000199</v>
      </c>
      <c r="AD6481">
        <v>-1.1201428218759999</v>
      </c>
      <c r="AE6481">
        <v>31.340218</v>
      </c>
      <c r="AF6481">
        <v>2.1358520989537699</v>
      </c>
      <c r="AG6481">
        <v>-1.1201428218759999</v>
      </c>
      <c r="AH6481">
        <v>31.296551454629501</v>
      </c>
      <c r="AI6481">
        <v>92.045060006105302</v>
      </c>
      <c r="AJ6481">
        <v>86.095868450012105</v>
      </c>
      <c r="AK6481">
        <v>31.389340819492801</v>
      </c>
      <c r="AL6481">
        <v>80.873536920925702</v>
      </c>
      <c r="AM6481">
        <v>90.144079674684605</v>
      </c>
      <c r="AN6481">
        <v>0.99999996802996804</v>
      </c>
    </row>
    <row r="6482" spans="1:40" x14ac:dyDescent="0.25">
      <c r="A6482" t="str">
        <f>"20190303162428625"</f>
        <v>20190303162428625</v>
      </c>
      <c r="B6482" t="str">
        <f>"1551601468620932"</f>
        <v>1551601468620932</v>
      </c>
      <c r="C6482" t="s">
        <v>40</v>
      </c>
      <c r="D6482">
        <v>5.2699590000000001</v>
      </c>
      <c r="E6482">
        <v>0.52721240000000003</v>
      </c>
      <c r="F6482" t="s">
        <v>41</v>
      </c>
      <c r="G6482">
        <v>-186.23699999999999</v>
      </c>
      <c r="H6482" s="1">
        <v>-1.5474650000000001E-6</v>
      </c>
      <c r="I6482">
        <v>21.25319</v>
      </c>
      <c r="J6482">
        <v>-188.2141</v>
      </c>
      <c r="K6482">
        <v>1.120136</v>
      </c>
      <c r="L6482">
        <v>-9.0607299999999995</v>
      </c>
      <c r="M6482">
        <v>-1.8278190000000001E-3</v>
      </c>
      <c r="N6482">
        <v>-8.1338859999999999E-3</v>
      </c>
      <c r="O6482">
        <v>0.99996529999999995</v>
      </c>
      <c r="P6482">
        <v>-5.0246010000000001E-3</v>
      </c>
      <c r="Q6482">
        <v>0.14771589999999901</v>
      </c>
      <c r="R6482">
        <v>0.98901709999999998</v>
      </c>
      <c r="S6482">
        <v>0.1970673</v>
      </c>
      <c r="T6482">
        <v>-0.1116822</v>
      </c>
      <c r="U6482">
        <v>3.0524900000000001</v>
      </c>
      <c r="V6482">
        <v>-3.2126339999999998E-3</v>
      </c>
      <c r="W6482">
        <v>0.1557557</v>
      </c>
      <c r="X6482">
        <v>0.98779039999999996</v>
      </c>
      <c r="Y6482">
        <v>6.6211450000000005E-2</v>
      </c>
      <c r="Z6482">
        <v>-2.8354500000000001E-2</v>
      </c>
      <c r="AA6482">
        <v>0.99740269999999998</v>
      </c>
      <c r="AB6482">
        <v>31</v>
      </c>
      <c r="AC6482">
        <v>1.9771000000000001</v>
      </c>
      <c r="AD6482">
        <v>-1.1201375474649999</v>
      </c>
      <c r="AE6482">
        <v>30.31392</v>
      </c>
      <c r="AF6482">
        <v>2.0297472172024098</v>
      </c>
      <c r="AG6482">
        <v>-1.1201375474649999</v>
      </c>
      <c r="AH6482">
        <v>30.269101219687499</v>
      </c>
      <c r="AI6482">
        <v>92.1145744576543</v>
      </c>
      <c r="AJ6482">
        <v>86.163675141805896</v>
      </c>
      <c r="AK6482">
        <v>30.3577514078146</v>
      </c>
      <c r="AL6482">
        <v>81.039373156905</v>
      </c>
      <c r="AM6482">
        <v>90.186344917209297</v>
      </c>
      <c r="AN6482">
        <v>1.00000001671593</v>
      </c>
    </row>
    <row r="6483" spans="1:40" x14ac:dyDescent="0.25">
      <c r="A6483" t="str">
        <f>"20190303162428649"</f>
        <v>20190303162428649</v>
      </c>
      <c r="B6483" t="str">
        <f>"1551601468641427"</f>
        <v>1551601468641427</v>
      </c>
      <c r="C6483" t="s">
        <v>40</v>
      </c>
      <c r="D6483">
        <v>5.3025760000000002</v>
      </c>
      <c r="E6483">
        <v>0.5303909</v>
      </c>
      <c r="F6483" t="s">
        <v>41</v>
      </c>
      <c r="G6483">
        <v>-186.40940000000001</v>
      </c>
      <c r="H6483" s="1">
        <v>-4.7589329999999997E-6</v>
      </c>
      <c r="I6483">
        <v>19.241289999999999</v>
      </c>
      <c r="J6483">
        <v>-188.2148</v>
      </c>
      <c r="K6483">
        <v>1.120126</v>
      </c>
      <c r="L6483">
        <v>-8.7266239999999993</v>
      </c>
      <c r="M6483">
        <v>-1.8256800000000001E-3</v>
      </c>
      <c r="N6483">
        <v>-8.1435299999999995E-3</v>
      </c>
      <c r="O6483">
        <v>0.9999652</v>
      </c>
      <c r="P6483">
        <v>-4.4965270000000002E-3</v>
      </c>
      <c r="Q6483">
        <v>0.1461296</v>
      </c>
      <c r="R6483">
        <v>0.9892552</v>
      </c>
      <c r="S6483">
        <v>0.19464110000000001</v>
      </c>
      <c r="T6483">
        <v>-0.12080589999999999</v>
      </c>
      <c r="U6483">
        <v>3.0523380000000002</v>
      </c>
      <c r="V6483">
        <v>-2.6857669999999999E-3</v>
      </c>
      <c r="W6483">
        <v>0.15418090000000001</v>
      </c>
      <c r="X6483">
        <v>0.988039</v>
      </c>
      <c r="Y6483">
        <v>6.5416650000000007E-2</v>
      </c>
      <c r="Z6483">
        <v>-3.1325760000000001E-2</v>
      </c>
      <c r="AA6483">
        <v>0.99736619999999998</v>
      </c>
      <c r="AB6483">
        <v>31</v>
      </c>
      <c r="AC6483">
        <v>1.8053999999999899</v>
      </c>
      <c r="AD6483">
        <v>-1.1201307589329901</v>
      </c>
      <c r="AE6483">
        <v>27.967914</v>
      </c>
      <c r="AF6483">
        <v>1.8534983817552499</v>
      </c>
      <c r="AG6483">
        <v>-1.1201307589329901</v>
      </c>
      <c r="AH6483">
        <v>27.919972072197599</v>
      </c>
      <c r="AI6483">
        <v>92.292396100914203</v>
      </c>
      <c r="AJ6483">
        <v>86.201928958098307</v>
      </c>
      <c r="AK6483">
        <v>28.003838838283698</v>
      </c>
      <c r="AL6483">
        <v>81.130705888964897</v>
      </c>
      <c r="AM6483">
        <v>90.155745608058595</v>
      </c>
      <c r="AN6483">
        <v>1.00000001439509</v>
      </c>
    </row>
    <row r="6484" spans="1:40" x14ac:dyDescent="0.25">
      <c r="A6484" t="str">
        <f>"20190303162428671"</f>
        <v>20190303162428671</v>
      </c>
      <c r="B6484" t="str">
        <f>"1551601468660948"</f>
        <v>1551601468660948</v>
      </c>
      <c r="C6484" t="s">
        <v>40</v>
      </c>
      <c r="D6484">
        <v>5.2848519999999999</v>
      </c>
      <c r="E6484">
        <v>0.53153050000000002</v>
      </c>
      <c r="F6484" t="s">
        <v>42</v>
      </c>
      <c r="G6484">
        <v>-188.15129999999999</v>
      </c>
      <c r="H6484">
        <v>1.005423</v>
      </c>
      <c r="I6484">
        <v>-7.8269909999999996</v>
      </c>
      <c r="J6484">
        <v>-188.21530000000001</v>
      </c>
      <c r="K6484">
        <v>1.1201239999999999</v>
      </c>
      <c r="L6484">
        <v>-8.4163209999999999</v>
      </c>
      <c r="M6484">
        <v>-1.8243930000000001E-3</v>
      </c>
      <c r="N6484">
        <v>-8.1523280000000004E-3</v>
      </c>
      <c r="O6484">
        <v>0.99996510000000005</v>
      </c>
      <c r="P6484">
        <v>-4.5329230000000003E-3</v>
      </c>
      <c r="Q6484">
        <v>0.14547959999999999</v>
      </c>
      <c r="R6484">
        <v>0.98935090000000003</v>
      </c>
      <c r="S6484">
        <v>0.217865</v>
      </c>
      <c r="T6484">
        <v>-0.39419389999999999</v>
      </c>
      <c r="U6484">
        <v>3.0917970000000001</v>
      </c>
      <c r="V6484">
        <v>-2.722791E-3</v>
      </c>
      <c r="W6484">
        <v>0.1535406</v>
      </c>
      <c r="X6484">
        <v>0.98813859999999998</v>
      </c>
      <c r="Y6484">
        <v>7.1579809999999994E-2</v>
      </c>
      <c r="Z6484">
        <v>-0.1180648</v>
      </c>
      <c r="AA6484">
        <v>0.99042269999999999</v>
      </c>
      <c r="AB6484">
        <v>31</v>
      </c>
      <c r="AC6484">
        <v>6.4000000000021304E-2</v>
      </c>
      <c r="AD6484">
        <v>-0.114700999999999</v>
      </c>
      <c r="AE6484">
        <v>0.58932999999999902</v>
      </c>
      <c r="AF6484">
        <v>6.2726668605099095E-2</v>
      </c>
      <c r="AG6484">
        <v>-0.114700999999999</v>
      </c>
      <c r="AH6484">
        <v>0.56794876251602</v>
      </c>
      <c r="AI6484">
        <v>101.35047599798401</v>
      </c>
      <c r="AJ6484">
        <v>83.697554032021301</v>
      </c>
      <c r="AK6484">
        <v>0.582800781741731</v>
      </c>
      <c r="AL6484">
        <v>81.167834454840104</v>
      </c>
      <c r="AM6484">
        <v>90.157876676378606</v>
      </c>
      <c r="AN6484">
        <v>1.0000000111245699</v>
      </c>
    </row>
    <row r="6485" spans="1:40" x14ac:dyDescent="0.25">
      <c r="A6485" t="str">
        <f>"20190303162428693"</f>
        <v>20190303162428693</v>
      </c>
      <c r="B6485" t="str">
        <f>"1551601468681443"</f>
        <v>1551601468681443</v>
      </c>
      <c r="C6485" t="s">
        <v>40</v>
      </c>
      <c r="D6485">
        <v>5.3140429999999999</v>
      </c>
      <c r="E6485">
        <v>0.53178840000000005</v>
      </c>
      <c r="F6485" t="s">
        <v>42</v>
      </c>
      <c r="G6485">
        <v>-188.1534</v>
      </c>
      <c r="H6485">
        <v>0.97180429999999995</v>
      </c>
      <c r="I6485">
        <v>-7.560905</v>
      </c>
      <c r="J6485">
        <v>-188.2159</v>
      </c>
      <c r="K6485">
        <v>1.1201159999999999</v>
      </c>
      <c r="L6485">
        <v>-8.1097719999999995</v>
      </c>
      <c r="M6485">
        <v>-1.8178720000000001E-3</v>
      </c>
      <c r="N6485">
        <v>-8.1608730000000008E-3</v>
      </c>
      <c r="O6485">
        <v>0.99996510000000005</v>
      </c>
      <c r="P6485">
        <v>-5.1490520000000003E-3</v>
      </c>
      <c r="Q6485">
        <v>0.14670849999999999</v>
      </c>
      <c r="R6485">
        <v>0.9891664</v>
      </c>
      <c r="S6485">
        <v>0.2251282</v>
      </c>
      <c r="T6485">
        <v>-0.5396938</v>
      </c>
      <c r="U6485">
        <v>3.1126710000000002</v>
      </c>
      <c r="V6485">
        <v>-3.344096E-3</v>
      </c>
      <c r="W6485">
        <v>0.15477639999999901</v>
      </c>
      <c r="X6485">
        <v>0.98794389999999999</v>
      </c>
      <c r="Y6485">
        <v>7.2939820000000002E-2</v>
      </c>
      <c r="Z6485">
        <v>-0.16234589999999999</v>
      </c>
      <c r="AA6485">
        <v>0.98403439999999998</v>
      </c>
      <c r="AB6485">
        <v>32</v>
      </c>
      <c r="AC6485">
        <v>6.25E-2</v>
      </c>
      <c r="AD6485">
        <v>-0.14831169999999899</v>
      </c>
      <c r="AE6485">
        <v>0.54886699999999899</v>
      </c>
      <c r="AF6485">
        <v>5.9228447618828103E-2</v>
      </c>
      <c r="AG6485">
        <v>-0.14831169999999899</v>
      </c>
      <c r="AH6485">
        <v>0.51185723477019296</v>
      </c>
      <c r="AI6485">
        <v>106.057487153479</v>
      </c>
      <c r="AJ6485">
        <v>83.399497977572096</v>
      </c>
      <c r="AK6485">
        <v>0.53619231452046601</v>
      </c>
      <c r="AL6485">
        <v>81.096171877635101</v>
      </c>
      <c r="AM6485">
        <v>90.193940015545707</v>
      </c>
      <c r="AN6485">
        <v>1.0000000332611101</v>
      </c>
    </row>
    <row r="6486" spans="1:40" x14ac:dyDescent="0.25">
      <c r="A6486" t="str">
        <f>"20190303162428715"</f>
        <v>20190303162428715</v>
      </c>
      <c r="B6486" t="str">
        <f>"1551601468710724"</f>
        <v>1551601468710724</v>
      </c>
      <c r="C6486" t="s">
        <v>40</v>
      </c>
      <c r="D6486">
        <v>5.3287909999999998</v>
      </c>
      <c r="E6486">
        <v>0.53223069999999995</v>
      </c>
      <c r="F6486" t="s">
        <v>42</v>
      </c>
      <c r="G6486">
        <v>-188.15649999999999</v>
      </c>
      <c r="H6486">
        <v>0.9591904</v>
      </c>
      <c r="I6486">
        <v>-7.2839720000000003</v>
      </c>
      <c r="J6486">
        <v>-188.21639999999999</v>
      </c>
      <c r="K6486">
        <v>1.120101</v>
      </c>
      <c r="L6486">
        <v>-7.7982179999999897</v>
      </c>
      <c r="M6486">
        <v>-1.7913029999999999E-3</v>
      </c>
      <c r="N6486">
        <v>-8.1695629999999995E-3</v>
      </c>
      <c r="O6486">
        <v>0.99996499999999999</v>
      </c>
      <c r="P6486">
        <v>-5.9551159999999999E-3</v>
      </c>
      <c r="Q6486">
        <v>0.14789459999999999</v>
      </c>
      <c r="R6486">
        <v>0.98898520000000001</v>
      </c>
      <c r="S6486">
        <v>0.2240143</v>
      </c>
      <c r="T6486">
        <v>-0.60882209999999903</v>
      </c>
      <c r="U6486">
        <v>3.1243289999999999</v>
      </c>
      <c r="V6486">
        <v>-4.1724170000000003E-3</v>
      </c>
      <c r="W6486">
        <v>0.15596949999999901</v>
      </c>
      <c r="X6486">
        <v>0.98775299999999999</v>
      </c>
      <c r="Y6486">
        <v>7.2038519999999995E-2</v>
      </c>
      <c r="Z6486">
        <v>-0.18275649999999999</v>
      </c>
      <c r="AA6486">
        <v>0.98051540000000004</v>
      </c>
      <c r="AB6486">
        <v>32</v>
      </c>
      <c r="AC6486">
        <v>5.9899999999998899E-2</v>
      </c>
      <c r="AD6486">
        <v>-0.16091059999999999</v>
      </c>
      <c r="AE6486">
        <v>0.51424599999999898</v>
      </c>
      <c r="AF6486">
        <v>5.5463373964348001E-2</v>
      </c>
      <c r="AG6486">
        <v>-0.16091059999999999</v>
      </c>
      <c r="AH6486">
        <v>0.46884746752981699</v>
      </c>
      <c r="AI6486">
        <v>108.820550275721</v>
      </c>
      <c r="AJ6486">
        <v>83.253420384944505</v>
      </c>
      <c r="AK6486">
        <v>0.49878487833232499</v>
      </c>
      <c r="AL6486">
        <v>81.026971078311703</v>
      </c>
      <c r="AM6486">
        <v>90.242024537093798</v>
      </c>
      <c r="AN6486">
        <v>0.99999994150143401</v>
      </c>
    </row>
    <row r="6487" spans="1:40" x14ac:dyDescent="0.25">
      <c r="A6487" t="str">
        <f>"20190303162428738"</f>
        <v>20190303162428738</v>
      </c>
      <c r="B6487" t="str">
        <f>"1551601468731219"</f>
        <v>1551601468731219</v>
      </c>
      <c r="C6487" t="s">
        <v>40</v>
      </c>
      <c r="D6487">
        <v>5.3439809999999897</v>
      </c>
      <c r="E6487">
        <v>0.53244009999999997</v>
      </c>
      <c r="F6487" t="s">
        <v>42</v>
      </c>
      <c r="G6487">
        <v>-188.1592</v>
      </c>
      <c r="H6487">
        <v>0.95669939999999998</v>
      </c>
      <c r="I6487">
        <v>-7.0014810000000001</v>
      </c>
      <c r="J6487">
        <v>-188.21700000000001</v>
      </c>
      <c r="K6487">
        <v>1.120077</v>
      </c>
      <c r="L6487">
        <v>-7.4654539999999896</v>
      </c>
      <c r="M6487">
        <v>-1.7229379999999901E-3</v>
      </c>
      <c r="N6487">
        <v>-8.1788940000000008E-3</v>
      </c>
      <c r="O6487">
        <v>0.99996510000000005</v>
      </c>
      <c r="P6487">
        <v>-6.3151930000000002E-3</v>
      </c>
      <c r="Q6487">
        <v>0.1479047</v>
      </c>
      <c r="R6487">
        <v>0.98898149999999996</v>
      </c>
      <c r="S6487">
        <v>0.224472</v>
      </c>
      <c r="T6487">
        <v>-0.64207720000000001</v>
      </c>
      <c r="U6487">
        <v>3.1307680000000002</v>
      </c>
      <c r="V6487">
        <v>-4.5901780000000003E-3</v>
      </c>
      <c r="W6487">
        <v>0.155989299999999</v>
      </c>
      <c r="X6487">
        <v>0.98774810000000002</v>
      </c>
      <c r="Y6487">
        <v>7.1834750000000003E-2</v>
      </c>
      <c r="Z6487">
        <v>-0.1923781</v>
      </c>
      <c r="AA6487">
        <v>0.97868809999999995</v>
      </c>
      <c r="AB6487">
        <v>32</v>
      </c>
      <c r="AC6487">
        <v>5.78000000000145E-2</v>
      </c>
      <c r="AD6487">
        <v>-0.16337759999999901</v>
      </c>
      <c r="AE6487">
        <v>0.46397299999999903</v>
      </c>
      <c r="AF6487">
        <v>5.2222974278185202E-2</v>
      </c>
      <c r="AG6487">
        <v>-0.16337759999999901</v>
      </c>
      <c r="AH6487">
        <v>0.41339739009182203</v>
      </c>
      <c r="AI6487">
        <v>111.4096968364</v>
      </c>
      <c r="AJ6487">
        <v>82.800172034576903</v>
      </c>
      <c r="AK6487">
        <v>0.44756773940818201</v>
      </c>
      <c r="AL6487">
        <v>81.0258232769024</v>
      </c>
      <c r="AM6487">
        <v>90.266258101062107</v>
      </c>
      <c r="AN6487">
        <v>1.0000000202510799</v>
      </c>
    </row>
    <row r="6488" spans="1:40" x14ac:dyDescent="0.25">
      <c r="A6488" t="str">
        <f>"20190303162428762"</f>
        <v>20190303162428762</v>
      </c>
      <c r="B6488" t="str">
        <f>"1551601468750922"</f>
        <v>1551601468750922</v>
      </c>
      <c r="C6488" t="s">
        <v>40</v>
      </c>
      <c r="D6488">
        <v>5.3530189999999997</v>
      </c>
      <c r="E6488">
        <v>0.53337509999999999</v>
      </c>
      <c r="F6488" t="s">
        <v>42</v>
      </c>
      <c r="G6488">
        <v>-188.1626</v>
      </c>
      <c r="H6488">
        <v>0.96373569999999997</v>
      </c>
      <c r="I6488">
        <v>-6.7137759999999904</v>
      </c>
      <c r="J6488">
        <v>-188.2175</v>
      </c>
      <c r="K6488">
        <v>1.120036</v>
      </c>
      <c r="L6488">
        <v>-7.1238400000000004</v>
      </c>
      <c r="M6488">
        <v>-1.5897890000000001E-3</v>
      </c>
      <c r="N6488">
        <v>-8.1926929999999992E-3</v>
      </c>
      <c r="O6488">
        <v>0.9999652</v>
      </c>
      <c r="P6488">
        <v>-7.4124319999999896E-3</v>
      </c>
      <c r="Q6488">
        <v>0.14773559999999999</v>
      </c>
      <c r="R6488">
        <v>0.98899910000000002</v>
      </c>
      <c r="S6488">
        <v>0.22595209999999999</v>
      </c>
      <c r="T6488">
        <v>-0.65145559999999902</v>
      </c>
      <c r="U6488">
        <v>3.1322939999999999</v>
      </c>
      <c r="V6488">
        <v>-5.8026579999999996E-3</v>
      </c>
      <c r="W6488">
        <v>0.1558348</v>
      </c>
      <c r="X6488">
        <v>0.98776609999999998</v>
      </c>
      <c r="Y6488">
        <v>7.2088479999999996E-2</v>
      </c>
      <c r="Z6488">
        <v>-0.19507620000000001</v>
      </c>
      <c r="AA6488">
        <v>0.97813519999999998</v>
      </c>
      <c r="AB6488">
        <v>32</v>
      </c>
      <c r="AC6488">
        <v>5.4900000000003502E-2</v>
      </c>
      <c r="AD6488">
        <v>-0.1563003</v>
      </c>
      <c r="AE6488">
        <v>0.41006399999999998</v>
      </c>
      <c r="AF6488">
        <v>4.86134937787258E-2</v>
      </c>
      <c r="AG6488">
        <v>-0.1563003</v>
      </c>
      <c r="AH6488">
        <v>0.35877057313745098</v>
      </c>
      <c r="AI6488">
        <v>113.350347924685</v>
      </c>
      <c r="AJ6488">
        <v>82.283406249193305</v>
      </c>
      <c r="AK6488">
        <v>0.39434677595593298</v>
      </c>
      <c r="AL6488">
        <v>81.034784994542093</v>
      </c>
      <c r="AM6488">
        <v>90.336581695749899</v>
      </c>
      <c r="AN6488">
        <v>1.0000000120200501</v>
      </c>
    </row>
    <row r="6489" spans="1:40" x14ac:dyDescent="0.25">
      <c r="A6489" t="str">
        <f>"20190303162428784"</f>
        <v>20190303162428784</v>
      </c>
      <c r="B6489" t="str">
        <f>"1551601468781177"</f>
        <v>1551601468781177</v>
      </c>
      <c r="C6489" t="s">
        <v>40</v>
      </c>
      <c r="D6489">
        <v>5.3525289999999996</v>
      </c>
      <c r="E6489">
        <v>0.53456870000000001</v>
      </c>
      <c r="F6489" t="s">
        <v>42</v>
      </c>
      <c r="G6489">
        <v>-188.1661</v>
      </c>
      <c r="H6489">
        <v>0.97324790000000005</v>
      </c>
      <c r="I6489">
        <v>-6.4242889999999999</v>
      </c>
      <c r="J6489">
        <v>-188.21780000000001</v>
      </c>
      <c r="K6489">
        <v>1.1199889999999999</v>
      </c>
      <c r="L6489">
        <v>-6.824249</v>
      </c>
      <c r="M6489">
        <v>-1.3946620000000001E-3</v>
      </c>
      <c r="N6489">
        <v>-8.2089709999999903E-3</v>
      </c>
      <c r="O6489">
        <v>0.99996529999999995</v>
      </c>
      <c r="P6489">
        <v>-8.5431420000000001E-3</v>
      </c>
      <c r="Q6489">
        <v>0.14789849999999999</v>
      </c>
      <c r="R6489">
        <v>0.9889656</v>
      </c>
      <c r="S6489">
        <v>0.22972110000000001</v>
      </c>
      <c r="T6489">
        <v>-0.65744969999999903</v>
      </c>
      <c r="U6489">
        <v>3.1333009999999999</v>
      </c>
      <c r="V6489">
        <v>-7.1057169999999897E-3</v>
      </c>
      <c r="W6489">
        <v>0.15601470000000001</v>
      </c>
      <c r="X6489">
        <v>0.98772919999999997</v>
      </c>
      <c r="Y6489">
        <v>7.3015300000000005E-2</v>
      </c>
      <c r="Z6489">
        <v>-0.19677539999999999</v>
      </c>
      <c r="AA6489">
        <v>0.97772599999999998</v>
      </c>
      <c r="AB6489">
        <v>32</v>
      </c>
      <c r="AC6489">
        <v>5.1700000000010897E-2</v>
      </c>
      <c r="AD6489">
        <v>-0.14674109999999899</v>
      </c>
      <c r="AE6489">
        <v>0.39995999999999998</v>
      </c>
      <c r="AF6489">
        <v>4.6147984095463897E-2</v>
      </c>
      <c r="AG6489">
        <v>-0.14674109999999899</v>
      </c>
      <c r="AH6489">
        <v>0.353134080069614</v>
      </c>
      <c r="AI6489">
        <v>112.39342140257899</v>
      </c>
      <c r="AJ6489">
        <v>82.554710176577103</v>
      </c>
      <c r="AK6489">
        <v>0.38518341783090598</v>
      </c>
      <c r="AL6489">
        <v>81.024349970126096</v>
      </c>
      <c r="AM6489">
        <v>90.412178329142805</v>
      </c>
      <c r="AN6489">
        <v>1.0000000251814001</v>
      </c>
    </row>
    <row r="6490" spans="1:40" x14ac:dyDescent="0.25">
      <c r="A6490" t="str">
        <f>"20190303162428805"</f>
        <v>20190303162428805</v>
      </c>
      <c r="B6490" t="str">
        <f>"1551601468801674"</f>
        <v>1551601468801674</v>
      </c>
      <c r="C6490" t="s">
        <v>40</v>
      </c>
      <c r="D6490">
        <v>5.3940939999999999</v>
      </c>
      <c r="E6490">
        <v>0.53497799999999995</v>
      </c>
      <c r="F6490" t="s">
        <v>42</v>
      </c>
      <c r="G6490">
        <v>-188.1463</v>
      </c>
      <c r="H6490">
        <v>0.92100660000000001</v>
      </c>
      <c r="I6490">
        <v>-5.8784090000000004</v>
      </c>
      <c r="J6490">
        <v>-188.21799999999999</v>
      </c>
      <c r="K6490">
        <v>1.119931</v>
      </c>
      <c r="L6490">
        <v>-6.5140989999999999</v>
      </c>
      <c r="M6490">
        <v>-1.10195E-3</v>
      </c>
      <c r="N6490">
        <v>-8.2268810000000001E-3</v>
      </c>
      <c r="O6490">
        <v>0.99996549999999995</v>
      </c>
      <c r="P6490">
        <v>-1.00436E-2</v>
      </c>
      <c r="Q6490">
        <v>0.14876979999999901</v>
      </c>
      <c r="R6490">
        <v>0.9888209</v>
      </c>
      <c r="S6490">
        <v>0.2367554</v>
      </c>
      <c r="T6490">
        <v>-0.65932729999999995</v>
      </c>
      <c r="U6490">
        <v>3.134125</v>
      </c>
      <c r="V6490">
        <v>-8.8687509999999994E-3</v>
      </c>
      <c r="W6490">
        <v>0.15690479999999901</v>
      </c>
      <c r="X6490">
        <v>0.9875739</v>
      </c>
      <c r="Y6490">
        <v>7.4877899999999997E-2</v>
      </c>
      <c r="Z6490">
        <v>-0.19723689999999999</v>
      </c>
      <c r="AA6490">
        <v>0.97749219999999903</v>
      </c>
      <c r="AB6490">
        <v>32</v>
      </c>
      <c r="AC6490">
        <v>7.16999999999927E-2</v>
      </c>
      <c r="AD6490">
        <v>-0.1989244</v>
      </c>
      <c r="AE6490">
        <v>0.63568999999999998</v>
      </c>
      <c r="AF6490">
        <v>6.6017086143208198E-2</v>
      </c>
      <c r="AG6490">
        <v>-0.1989244</v>
      </c>
      <c r="AH6490">
        <v>0.57957019799024101</v>
      </c>
      <c r="AI6490">
        <v>108.83051730957401</v>
      </c>
      <c r="AJ6490">
        <v>83.5016197351393</v>
      </c>
      <c r="AK6490">
        <v>0.61630413512862803</v>
      </c>
      <c r="AL6490">
        <v>80.972714753296799</v>
      </c>
      <c r="AM6490">
        <v>90.514521842415306</v>
      </c>
      <c r="AN6490">
        <v>0.99999998948427504</v>
      </c>
    </row>
    <row r="6491" spans="1:40" x14ac:dyDescent="0.25">
      <c r="A6491" t="str">
        <f>"20190303162428829"</f>
        <v>20190303162428829</v>
      </c>
      <c r="B6491" t="str">
        <f>"1551601468821195"</f>
        <v>1551601468821195</v>
      </c>
      <c r="C6491" t="s">
        <v>40</v>
      </c>
      <c r="D6491">
        <v>5.4053009999999997</v>
      </c>
      <c r="E6491">
        <v>0.53390419999999905</v>
      </c>
      <c r="F6491" t="s">
        <v>42</v>
      </c>
      <c r="G6491">
        <v>-188.148</v>
      </c>
      <c r="H6491">
        <v>0.92440040000000001</v>
      </c>
      <c r="I6491">
        <v>-5.5901750000000003</v>
      </c>
      <c r="J6491">
        <v>-188.21789999999999</v>
      </c>
      <c r="K6491">
        <v>1.119856</v>
      </c>
      <c r="L6491">
        <v>-6.1782529999999998</v>
      </c>
      <c r="M6491">
        <v>-6.9611460000000005E-4</v>
      </c>
      <c r="N6491">
        <v>-8.2459979999999992E-3</v>
      </c>
      <c r="O6491">
        <v>0.99996580000000002</v>
      </c>
      <c r="P6491">
        <v>-1.038332E-2</v>
      </c>
      <c r="Q6491">
        <v>0.1488457</v>
      </c>
      <c r="R6491">
        <v>0.98880590000000002</v>
      </c>
      <c r="S6491">
        <v>0.23661799999999999</v>
      </c>
      <c r="T6491">
        <v>-0.66365689999999999</v>
      </c>
      <c r="U6491">
        <v>3.1361690000000002</v>
      </c>
      <c r="V6491">
        <v>-9.5815589999999999E-3</v>
      </c>
      <c r="W6491">
        <v>0.15700140000000001</v>
      </c>
      <c r="X6491">
        <v>0.98755190000000004</v>
      </c>
      <c r="Y6491">
        <v>7.4365239999999999E-2</v>
      </c>
      <c r="Z6491">
        <v>-0.1983868</v>
      </c>
      <c r="AA6491">
        <v>0.97729860000000002</v>
      </c>
      <c r="AB6491">
        <v>32</v>
      </c>
      <c r="AC6491">
        <v>6.9899999999989804E-2</v>
      </c>
      <c r="AD6491">
        <v>-0.19545559999999901</v>
      </c>
      <c r="AE6491">
        <v>0.58807799999999899</v>
      </c>
      <c r="AF6491">
        <v>6.3403090046251998E-2</v>
      </c>
      <c r="AG6491">
        <v>-0.19545559999999901</v>
      </c>
      <c r="AH6491">
        <v>0.530268866491583</v>
      </c>
      <c r="AI6491">
        <v>110.102133879882</v>
      </c>
      <c r="AJ6491">
        <v>83.181638660264497</v>
      </c>
      <c r="AK6491">
        <v>0.56868964661671295</v>
      </c>
      <c r="AL6491">
        <v>80.967110623065594</v>
      </c>
      <c r="AM6491">
        <v>90.555885383447603</v>
      </c>
      <c r="AN6491">
        <v>1.00000000053422</v>
      </c>
    </row>
    <row r="6492" spans="1:40" x14ac:dyDescent="0.25">
      <c r="A6492" t="str">
        <f>"20190303162428850"</f>
        <v>20190303162428850</v>
      </c>
      <c r="B6492" t="str">
        <f>"1551601468841690"</f>
        <v>1551601468841690</v>
      </c>
      <c r="C6492" t="s">
        <v>40</v>
      </c>
      <c r="D6492">
        <v>5.4004629999999896</v>
      </c>
      <c r="E6492">
        <v>0.53339939999999997</v>
      </c>
      <c r="F6492" t="s">
        <v>42</v>
      </c>
      <c r="G6492">
        <v>-188.1591</v>
      </c>
      <c r="H6492">
        <v>0.85866759999999998</v>
      </c>
      <c r="I6492">
        <v>-5.3301699999999999</v>
      </c>
      <c r="J6492">
        <v>-188.21770000000001</v>
      </c>
      <c r="K6492">
        <v>1.1197900000000001</v>
      </c>
      <c r="L6492">
        <v>-5.862457</v>
      </c>
      <c r="M6492">
        <v>-2.331593E-4</v>
      </c>
      <c r="N6492">
        <v>-8.2634800000000001E-3</v>
      </c>
      <c r="O6492">
        <v>0.99996580000000002</v>
      </c>
      <c r="P6492">
        <v>-9.5100459999999994E-3</v>
      </c>
      <c r="Q6492">
        <v>0.14795059999999999</v>
      </c>
      <c r="R6492">
        <v>0.98894910000000003</v>
      </c>
      <c r="S6492">
        <v>0.21998599999999999</v>
      </c>
      <c r="T6492">
        <v>-0.98049989999999998</v>
      </c>
      <c r="U6492">
        <v>3.1838679999999999</v>
      </c>
      <c r="V6492">
        <v>-9.1420800000000003E-3</v>
      </c>
      <c r="W6492">
        <v>0.15612590000000001</v>
      </c>
      <c r="X6492">
        <v>0.98769490000000004</v>
      </c>
      <c r="Y6492">
        <v>6.6199729999999998E-2</v>
      </c>
      <c r="Z6492">
        <v>-0.28576780000000002</v>
      </c>
      <c r="AA6492">
        <v>0.95600960000000001</v>
      </c>
      <c r="AB6492">
        <v>32</v>
      </c>
      <c r="AC6492">
        <v>5.86000000000126E-2</v>
      </c>
      <c r="AD6492">
        <v>-0.26112239999999998</v>
      </c>
      <c r="AE6492">
        <v>0.53228699999999995</v>
      </c>
      <c r="AF6492">
        <v>4.7443318598803401E-2</v>
      </c>
      <c r="AG6492">
        <v>-0.26112239999999998</v>
      </c>
      <c r="AH6492">
        <v>0.43002461270960102</v>
      </c>
      <c r="AI6492">
        <v>121.11368770259899</v>
      </c>
      <c r="AJ6492">
        <v>83.704191342329693</v>
      </c>
      <c r="AK6492">
        <v>0.50532855034865098</v>
      </c>
      <c r="AL6492">
        <v>81.017899815312902</v>
      </c>
      <c r="AM6492">
        <v>90.530313199090799</v>
      </c>
      <c r="AN6492">
        <v>1.0000000448817701</v>
      </c>
    </row>
    <row r="6493" spans="1:40" x14ac:dyDescent="0.25">
      <c r="A6493" t="str">
        <f>"20190303162428871"</f>
        <v>20190303162428871</v>
      </c>
      <c r="B6493" t="str">
        <f>"1551601468861209"</f>
        <v>1551601468861209</v>
      </c>
      <c r="C6493" t="s">
        <v>40</v>
      </c>
      <c r="D6493">
        <v>5.4387660000000002</v>
      </c>
      <c r="E6493">
        <v>0.53349489999999999</v>
      </c>
      <c r="F6493" t="s">
        <v>42</v>
      </c>
      <c r="G6493">
        <v>-188.16239999999999</v>
      </c>
      <c r="H6493">
        <v>0.85139830000000005</v>
      </c>
      <c r="I6493">
        <v>-5.0452820000000003</v>
      </c>
      <c r="J6493">
        <v>-188.21729999999999</v>
      </c>
      <c r="K6493">
        <v>1.1197299999999999</v>
      </c>
      <c r="L6493">
        <v>-5.559113</v>
      </c>
      <c r="M6493">
        <v>2.8476050000000001E-4</v>
      </c>
      <c r="N6493">
        <v>-8.2796999999999992E-3</v>
      </c>
      <c r="O6493">
        <v>0.99996569999999996</v>
      </c>
      <c r="P6493">
        <v>-7.7593569999999997E-3</v>
      </c>
      <c r="Q6493">
        <v>0.14747950000000001</v>
      </c>
      <c r="R6493">
        <v>0.98903470000000004</v>
      </c>
      <c r="S6493">
        <v>0.21542359999999999</v>
      </c>
      <c r="T6493">
        <v>-1.048476</v>
      </c>
      <c r="U6493">
        <v>3.1924440000000001</v>
      </c>
      <c r="V6493">
        <v>-7.8818589999999997E-3</v>
      </c>
      <c r="W6493">
        <v>0.155671799999999</v>
      </c>
      <c r="X6493">
        <v>0.98777740000000003</v>
      </c>
      <c r="Y6493">
        <v>6.3775289999999998E-2</v>
      </c>
      <c r="Z6493">
        <v>-0.30351270000000002</v>
      </c>
      <c r="AA6493">
        <v>0.9506907</v>
      </c>
      <c r="AB6493">
        <v>32</v>
      </c>
      <c r="AC6493">
        <v>5.4900000000003502E-2</v>
      </c>
      <c r="AD6493">
        <v>-0.26833169999999901</v>
      </c>
      <c r="AE6493">
        <v>0.51383099999999904</v>
      </c>
      <c r="AF6493">
        <v>4.3125578583088797E-2</v>
      </c>
      <c r="AG6493">
        <v>-0.26833169999999901</v>
      </c>
      <c r="AH6493">
        <v>0.40472046671251299</v>
      </c>
      <c r="AI6493">
        <v>123.39577835122201</v>
      </c>
      <c r="AJ6493">
        <v>83.917715489344303</v>
      </c>
      <c r="AK6493">
        <v>0.48750422862679899</v>
      </c>
      <c r="AL6493">
        <v>81.044239594708699</v>
      </c>
      <c r="AM6493">
        <v>90.457175545106907</v>
      </c>
      <c r="AN6493">
        <v>1.0000000124836399</v>
      </c>
    </row>
    <row r="6494" spans="1:40" x14ac:dyDescent="0.25">
      <c r="A6494" t="str">
        <f>"20190303162428894"</f>
        <v>20190303162428894</v>
      </c>
      <c r="B6494" t="str">
        <f>"1551601468891466"</f>
        <v>1551601468891466</v>
      </c>
      <c r="C6494" t="s">
        <v>40</v>
      </c>
      <c r="D6494">
        <v>5.4352970000000003</v>
      </c>
      <c r="E6494">
        <v>0.53353169999999905</v>
      </c>
      <c r="F6494" t="s">
        <v>42</v>
      </c>
      <c r="G6494">
        <v>-188.16220000000001</v>
      </c>
      <c r="H6494">
        <v>0.85172959999999998</v>
      </c>
      <c r="I6494">
        <v>-4.7568339999999996</v>
      </c>
      <c r="J6494">
        <v>-188.2166</v>
      </c>
      <c r="K6494">
        <v>1.1196839999999999</v>
      </c>
      <c r="L6494">
        <v>-5.2304079999999997</v>
      </c>
      <c r="M6494">
        <v>9.1718490000000001E-4</v>
      </c>
      <c r="N6494">
        <v>-8.2989919999999998E-3</v>
      </c>
      <c r="O6494">
        <v>0.99996510000000005</v>
      </c>
      <c r="P6494">
        <v>-6.6116250000000003E-3</v>
      </c>
      <c r="Q6494">
        <v>0.1474925</v>
      </c>
      <c r="R6494">
        <v>0.98904110000000001</v>
      </c>
      <c r="S6494">
        <v>0.21905520000000001</v>
      </c>
      <c r="T6494">
        <v>-1.066954</v>
      </c>
      <c r="U6494">
        <v>3.1940919999999999</v>
      </c>
      <c r="V6494">
        <v>-7.3378050000000002E-3</v>
      </c>
      <c r="W6494">
        <v>0.15570429999999999</v>
      </c>
      <c r="X6494">
        <v>0.98777649999999995</v>
      </c>
      <c r="Y6494">
        <v>6.4079999999999998E-2</v>
      </c>
      <c r="Z6494">
        <v>-0.30828870000000003</v>
      </c>
      <c r="AA6494">
        <v>0.94913210000000003</v>
      </c>
      <c r="AB6494">
        <v>32</v>
      </c>
      <c r="AC6494">
        <v>5.4399999999986903E-2</v>
      </c>
      <c r="AD6494">
        <v>-0.26795439999999998</v>
      </c>
      <c r="AE6494">
        <v>0.47357400000000099</v>
      </c>
      <c r="AF6494">
        <v>4.1008075762944601E-2</v>
      </c>
      <c r="AG6494">
        <v>-0.26795439999999998</v>
      </c>
      <c r="AH6494">
        <v>0.359903232190454</v>
      </c>
      <c r="AI6494">
        <v>126.491499629269</v>
      </c>
      <c r="AJ6494">
        <v>83.499641354997095</v>
      </c>
      <c r="AK6494">
        <v>0.45056804069782302</v>
      </c>
      <c r="AL6494">
        <v>81.042354772799399</v>
      </c>
      <c r="AM6494">
        <v>90.425620091216899</v>
      </c>
      <c r="AN6494">
        <v>1.00000004318647</v>
      </c>
    </row>
    <row r="6495" spans="1:40" x14ac:dyDescent="0.25">
      <c r="A6495" t="str">
        <f>"20190303162428916"</f>
        <v>20190303162428916</v>
      </c>
      <c r="B6495" t="str">
        <f>"1551601468911962"</f>
        <v>1551601468911962</v>
      </c>
      <c r="C6495" t="s">
        <v>40</v>
      </c>
      <c r="D6495">
        <v>5.5079330000000004</v>
      </c>
      <c r="E6495">
        <v>0.53359760000000001</v>
      </c>
      <c r="F6495" t="s">
        <v>42</v>
      </c>
      <c r="G6495">
        <v>-188.16290000000001</v>
      </c>
      <c r="H6495">
        <v>0.86318340000000005</v>
      </c>
      <c r="I6495">
        <v>-4.4635129999999998</v>
      </c>
      <c r="J6495">
        <v>-188.2157</v>
      </c>
      <c r="K6495">
        <v>1.11964</v>
      </c>
      <c r="L6495">
        <v>-4.9154970000000002</v>
      </c>
      <c r="M6495">
        <v>1.578369E-3</v>
      </c>
      <c r="N6495">
        <v>-8.3211359999999998E-3</v>
      </c>
      <c r="O6495">
        <v>0.99996410000000002</v>
      </c>
      <c r="P6495">
        <v>-5.0266419999999996E-3</v>
      </c>
      <c r="Q6495">
        <v>0.14759140000000001</v>
      </c>
      <c r="R6495">
        <v>0.98903569999999996</v>
      </c>
      <c r="S6495">
        <v>0.22299189999999999</v>
      </c>
      <c r="T6495">
        <v>-1.068252</v>
      </c>
      <c r="U6495">
        <v>3.1940309999999998</v>
      </c>
      <c r="V6495">
        <v>-6.3881240000000002E-3</v>
      </c>
      <c r="W6495">
        <v>0.15582489999999999</v>
      </c>
      <c r="X6495">
        <v>0.98776410000000003</v>
      </c>
      <c r="Y6495">
        <v>6.4577590000000004E-2</v>
      </c>
      <c r="Z6495">
        <v>-0.30860270000000001</v>
      </c>
      <c r="AA6495">
        <v>0.94899639999999996</v>
      </c>
      <c r="AB6495">
        <v>32</v>
      </c>
      <c r="AC6495">
        <v>5.2799999999990598E-2</v>
      </c>
      <c r="AD6495">
        <v>-0.25645659999999898</v>
      </c>
      <c r="AE6495">
        <v>0.451984</v>
      </c>
      <c r="AF6495">
        <v>3.9531033326344202E-2</v>
      </c>
      <c r="AG6495">
        <v>-0.25645659999999898</v>
      </c>
      <c r="AH6495">
        <v>0.34309586456367902</v>
      </c>
      <c r="AI6495">
        <v>126.59629880671901</v>
      </c>
      <c r="AJ6495">
        <v>83.427441185681801</v>
      </c>
      <c r="AK6495">
        <v>0.43017143391920698</v>
      </c>
      <c r="AL6495">
        <v>81.035359693285002</v>
      </c>
      <c r="AM6495">
        <v>90.370541348343593</v>
      </c>
      <c r="AN6495">
        <v>1.0000000624185199</v>
      </c>
    </row>
    <row r="6496" spans="1:40" x14ac:dyDescent="0.25">
      <c r="A6496" t="str">
        <f>"20190303162428939"</f>
        <v>20190303162428939</v>
      </c>
      <c r="B6496" t="str">
        <f>"1551601468931482"</f>
        <v>1551601468931482</v>
      </c>
      <c r="C6496" t="s">
        <v>40</v>
      </c>
      <c r="D6496">
        <v>5.5079979999999997</v>
      </c>
      <c r="E6496">
        <v>0.53372410000000003</v>
      </c>
      <c r="F6496" t="s">
        <v>42</v>
      </c>
      <c r="G6496">
        <v>-188.16210000000001</v>
      </c>
      <c r="H6496">
        <v>0.87082859999999995</v>
      </c>
      <c r="I6496">
        <v>-4.1711309999999999</v>
      </c>
      <c r="J6496">
        <v>-188.21449999999999</v>
      </c>
      <c r="K6496">
        <v>1.1195949999999999</v>
      </c>
      <c r="L6496">
        <v>-4.5796809999999999</v>
      </c>
      <c r="M6496">
        <v>2.327773E-3</v>
      </c>
      <c r="N6496">
        <v>-8.3460089999999997E-3</v>
      </c>
      <c r="O6496">
        <v>0.99996240000000003</v>
      </c>
      <c r="P6496">
        <v>-3.0623149999999999E-3</v>
      </c>
      <c r="Q6496">
        <v>0.1473776</v>
      </c>
      <c r="R6496">
        <v>0.9890755</v>
      </c>
      <c r="S6496">
        <v>0.2291107</v>
      </c>
      <c r="T6496">
        <v>-1.0674790000000001</v>
      </c>
      <c r="U6496">
        <v>3.1937259999999998</v>
      </c>
      <c r="V6496">
        <v>-5.1476550000000001E-3</v>
      </c>
      <c r="W6496">
        <v>0.15563460000000001</v>
      </c>
      <c r="X6496">
        <v>0.98780129999999999</v>
      </c>
      <c r="Y6496">
        <v>6.5648880000000007E-2</v>
      </c>
      <c r="Z6496">
        <v>-0.308369</v>
      </c>
      <c r="AA6496">
        <v>0.94899880000000003</v>
      </c>
      <c r="AB6496">
        <v>32</v>
      </c>
      <c r="AC6496">
        <v>5.2399999999977298E-2</v>
      </c>
      <c r="AD6496">
        <v>-0.2487664</v>
      </c>
      <c r="AE6496">
        <v>0.40855000000000002</v>
      </c>
      <c r="AF6496">
        <v>3.7698073773540501E-2</v>
      </c>
      <c r="AG6496">
        <v>-0.2487664</v>
      </c>
      <c r="AH6496">
        <v>0.29944528846813501</v>
      </c>
      <c r="AI6496">
        <v>129.49709764064301</v>
      </c>
      <c r="AJ6496">
        <v>82.824609704675893</v>
      </c>
      <c r="AK6496">
        <v>0.39111807337549598</v>
      </c>
      <c r="AL6496">
        <v>81.046397343122095</v>
      </c>
      <c r="AM6496">
        <v>90.298578505677796</v>
      </c>
      <c r="AN6496">
        <v>1.00000001767542</v>
      </c>
    </row>
    <row r="6497" spans="1:40" x14ac:dyDescent="0.25">
      <c r="A6497" t="str">
        <f>"20190303162428962"</f>
        <v>20190303162428962</v>
      </c>
      <c r="B6497" t="str">
        <f>"1551601468951001"</f>
        <v>1551601468951001</v>
      </c>
      <c r="C6497" t="s">
        <v>40</v>
      </c>
      <c r="D6497">
        <v>5.5163440000000001</v>
      </c>
      <c r="E6497">
        <v>0.53371380000000002</v>
      </c>
      <c r="F6497" t="s">
        <v>42</v>
      </c>
      <c r="G6497">
        <v>-188.16220000000001</v>
      </c>
      <c r="H6497">
        <v>0.88428649999999998</v>
      </c>
      <c r="I6497">
        <v>-3.8758140000000001</v>
      </c>
      <c r="J6497">
        <v>-188.21299999999999</v>
      </c>
      <c r="K6497">
        <v>1.119553</v>
      </c>
      <c r="L6497">
        <v>-4.2477109999999998</v>
      </c>
      <c r="M6497">
        <v>3.1003599999999999E-3</v>
      </c>
      <c r="N6497">
        <v>-8.3698179999999994E-3</v>
      </c>
      <c r="O6497">
        <v>0.99996019999999997</v>
      </c>
      <c r="P6497">
        <v>-1.578536E-3</v>
      </c>
      <c r="Q6497">
        <v>0.1475322</v>
      </c>
      <c r="R6497">
        <v>0.98905600000000005</v>
      </c>
      <c r="S6497">
        <v>0.23666380000000001</v>
      </c>
      <c r="T6497">
        <v>-1.067358</v>
      </c>
      <c r="U6497">
        <v>3.1929020000000001</v>
      </c>
      <c r="V6497">
        <v>-4.4136799999999997E-3</v>
      </c>
      <c r="W6497">
        <v>0.15581220000000001</v>
      </c>
      <c r="X6497">
        <v>0.98777680000000001</v>
      </c>
      <c r="Y6497">
        <v>6.7126649999999996E-2</v>
      </c>
      <c r="Z6497">
        <v>-0.30834699999999998</v>
      </c>
      <c r="AA6497">
        <v>0.94890260000000004</v>
      </c>
      <c r="AB6497">
        <v>32</v>
      </c>
      <c r="AC6497">
        <v>5.0799999999980999E-2</v>
      </c>
      <c r="AD6497">
        <v>-0.23526649999999999</v>
      </c>
      <c r="AE6497">
        <v>0.37189699999999898</v>
      </c>
      <c r="AF6497">
        <v>3.5643519788556198E-2</v>
      </c>
      <c r="AG6497">
        <v>-0.23526649999999999</v>
      </c>
      <c r="AH6497">
        <v>0.26711278121870602</v>
      </c>
      <c r="AI6497">
        <v>131.12217689424099</v>
      </c>
      <c r="AJ6497">
        <v>82.399353969593193</v>
      </c>
      <c r="AK6497">
        <v>0.35772898179426199</v>
      </c>
      <c r="AL6497">
        <v>81.036095461750705</v>
      </c>
      <c r="AM6497">
        <v>90.256012849393798</v>
      </c>
      <c r="AN6497">
        <v>0.99999996442910999</v>
      </c>
    </row>
    <row r="6498" spans="1:40" x14ac:dyDescent="0.25">
      <c r="A6498" t="str">
        <f>"20190303162428985"</f>
        <v>20190303162428985</v>
      </c>
      <c r="B6498" t="str">
        <f>"1551601468981257"</f>
        <v>1551601468981257</v>
      </c>
      <c r="C6498" t="s">
        <v>40</v>
      </c>
      <c r="D6498">
        <v>5.5006550000000001</v>
      </c>
      <c r="E6498">
        <v>0.53353490000000003</v>
      </c>
      <c r="F6498" t="s">
        <v>42</v>
      </c>
      <c r="G6498">
        <v>-188.16210000000001</v>
      </c>
      <c r="H6498">
        <v>0.89667209999999997</v>
      </c>
      <c r="I6498">
        <v>-3.5799669999999999</v>
      </c>
      <c r="J6498">
        <v>-188.21129999999999</v>
      </c>
      <c r="K6498">
        <v>1.1195219999999999</v>
      </c>
      <c r="L6498">
        <v>-3.9248349999999999</v>
      </c>
      <c r="M6498">
        <v>3.8715199999999998E-3</v>
      </c>
      <c r="N6498">
        <v>-8.3916990000000007E-3</v>
      </c>
      <c r="O6498">
        <v>0.99995730000000005</v>
      </c>
      <c r="P6498">
        <v>-6.7959960000000001E-4</v>
      </c>
      <c r="Q6498">
        <v>0.1475079</v>
      </c>
      <c r="R6498">
        <v>0.98906059999999996</v>
      </c>
      <c r="S6498">
        <v>0.24304200000000001</v>
      </c>
      <c r="T6498">
        <v>-1.065593</v>
      </c>
      <c r="U6498">
        <v>3.1925349999999999</v>
      </c>
      <c r="V6498">
        <v>-4.2667260000000002E-3</v>
      </c>
      <c r="W6498">
        <v>0.15580939999999999</v>
      </c>
      <c r="X6498">
        <v>0.98777789999999999</v>
      </c>
      <c r="Y6498">
        <v>6.8260890000000005E-2</v>
      </c>
      <c r="Z6498">
        <v>-0.30785249999999997</v>
      </c>
      <c r="AA6498">
        <v>0.9489822</v>
      </c>
      <c r="AB6498">
        <v>32</v>
      </c>
      <c r="AC6498">
        <v>4.9199999999984798E-2</v>
      </c>
      <c r="AD6498">
        <v>-0.22284989999999999</v>
      </c>
      <c r="AE6498">
        <v>0.34486799999999901</v>
      </c>
      <c r="AF6498">
        <v>3.3964917382923301E-2</v>
      </c>
      <c r="AG6498">
        <v>-0.22284989999999999</v>
      </c>
      <c r="AH6498">
        <v>0.24485400521719</v>
      </c>
      <c r="AI6498">
        <v>132.03471736086701</v>
      </c>
      <c r="AJ6498">
        <v>82.102613441959804</v>
      </c>
      <c r="AK6498">
        <v>0.332820037578476</v>
      </c>
      <c r="AL6498">
        <v>81.036257986227994</v>
      </c>
      <c r="AM6498">
        <v>90.247488703405494</v>
      </c>
      <c r="AN6498">
        <v>0.99999997690376397</v>
      </c>
    </row>
    <row r="6499" spans="1:40" x14ac:dyDescent="0.25">
      <c r="A6499" t="str">
        <f>"20190303162429006"</f>
        <v>20190303162429006</v>
      </c>
      <c r="B6499" t="str">
        <f>"1551601469000778"</f>
        <v>1551601469000778</v>
      </c>
      <c r="C6499" t="s">
        <v>40</v>
      </c>
      <c r="D6499">
        <v>5.5191720000000002</v>
      </c>
      <c r="E6499">
        <v>0.53347029999999995</v>
      </c>
      <c r="F6499" t="s">
        <v>42</v>
      </c>
      <c r="G6499">
        <v>-188.1422</v>
      </c>
      <c r="H6499">
        <v>0.82043120000000003</v>
      </c>
      <c r="I6499">
        <v>-3.0279579999999999</v>
      </c>
      <c r="J6499">
        <v>-188.20930000000001</v>
      </c>
      <c r="K6499">
        <v>1.1194999999999999</v>
      </c>
      <c r="L6499">
        <v>-3.6054689999999998</v>
      </c>
      <c r="M6499">
        <v>4.6445779999999999E-3</v>
      </c>
      <c r="N6499">
        <v>-8.4121630000000003E-3</v>
      </c>
      <c r="O6499">
        <v>0.9999538</v>
      </c>
      <c r="P6499">
        <v>5.6556409999999999E-4</v>
      </c>
      <c r="Q6499">
        <v>0.1471276</v>
      </c>
      <c r="R6499">
        <v>0.98911740000000004</v>
      </c>
      <c r="S6499">
        <v>0.24574280000000001</v>
      </c>
      <c r="T6499">
        <v>-1.0644940000000001</v>
      </c>
      <c r="U6499">
        <v>3.1921080000000002</v>
      </c>
      <c r="V6499">
        <v>-3.7799190000000001E-3</v>
      </c>
      <c r="W6499">
        <v>0.155449</v>
      </c>
      <c r="X6499">
        <v>0.98783670000000001</v>
      </c>
      <c r="Y6499">
        <v>6.8304519999999994E-2</v>
      </c>
      <c r="Z6499">
        <v>-0.30756660000000002</v>
      </c>
      <c r="AA6499">
        <v>0.94907180000000002</v>
      </c>
      <c r="AB6499">
        <v>33</v>
      </c>
      <c r="AC6499">
        <v>6.7100000000010596E-2</v>
      </c>
      <c r="AD6499">
        <v>-0.29906879999999902</v>
      </c>
      <c r="AE6499">
        <v>0.577510999999999</v>
      </c>
      <c r="AF6499">
        <v>5.0938344975341401E-2</v>
      </c>
      <c r="AG6499">
        <v>-0.29906879999999902</v>
      </c>
      <c r="AH6499">
        <v>0.456914552389457</v>
      </c>
      <c r="AI6499">
        <v>123.044401877486</v>
      </c>
      <c r="AJ6499">
        <v>83.638743968308205</v>
      </c>
      <c r="AK6499">
        <v>0.54845945183534195</v>
      </c>
      <c r="AL6499">
        <v>81.057162412980304</v>
      </c>
      <c r="AM6499">
        <v>90.219239018556294</v>
      </c>
      <c r="AN6499">
        <v>1.0000000126277599</v>
      </c>
    </row>
    <row r="6500" spans="1:40" x14ac:dyDescent="0.25">
      <c r="A6500" t="str">
        <f>"20190303162429028"</f>
        <v>20190303162429028</v>
      </c>
      <c r="B6500" t="str">
        <f>"1551601469021274"</f>
        <v>1551601469021274</v>
      </c>
      <c r="C6500" t="s">
        <v>40</v>
      </c>
      <c r="D6500">
        <v>5.5180819999999997</v>
      </c>
      <c r="E6500">
        <v>0.53343799999999997</v>
      </c>
      <c r="F6500" t="s">
        <v>42</v>
      </c>
      <c r="G6500">
        <v>-188.14080000000001</v>
      </c>
      <c r="H6500">
        <v>0.82831279999999996</v>
      </c>
      <c r="I6500">
        <v>-2.7328160000000001</v>
      </c>
      <c r="J6500">
        <v>-188.20699999999999</v>
      </c>
      <c r="K6500">
        <v>1.1194850000000001</v>
      </c>
      <c r="L6500">
        <v>-3.2845460000000002</v>
      </c>
      <c r="M6500">
        <v>5.4261250000000004E-3</v>
      </c>
      <c r="N6500">
        <v>-8.431605E-3</v>
      </c>
      <c r="O6500">
        <v>0.9999498</v>
      </c>
      <c r="P6500">
        <v>1.6351079999999999E-3</v>
      </c>
      <c r="Q6500">
        <v>0.147234</v>
      </c>
      <c r="R6500">
        <v>0.98910030000000004</v>
      </c>
      <c r="S6500">
        <v>0.2499847</v>
      </c>
      <c r="T6500">
        <v>-1.064838</v>
      </c>
      <c r="U6500">
        <v>3.1912539999999998</v>
      </c>
      <c r="V6500">
        <v>-3.4779149999999998E-3</v>
      </c>
      <c r="W6500">
        <v>0.1555743</v>
      </c>
      <c r="X6500">
        <v>0.98781810000000003</v>
      </c>
      <c r="Y6500">
        <v>6.8794129999999995E-2</v>
      </c>
      <c r="Z6500">
        <v>-0.30769479999999999</v>
      </c>
      <c r="AA6500">
        <v>0.94899489999999997</v>
      </c>
      <c r="AB6500">
        <v>33</v>
      </c>
      <c r="AC6500">
        <v>6.6199999999980705E-2</v>
      </c>
      <c r="AD6500">
        <v>-0.29117219999999999</v>
      </c>
      <c r="AE6500">
        <v>0.55172999999999905</v>
      </c>
      <c r="AF6500">
        <v>4.9589752824405899E-2</v>
      </c>
      <c r="AG6500">
        <v>-0.29117219999999999</v>
      </c>
      <c r="AH6500">
        <v>0.43315393660085699</v>
      </c>
      <c r="AI6500">
        <v>123.737046122206</v>
      </c>
      <c r="AJ6500">
        <v>83.468911243549201</v>
      </c>
      <c r="AK6500">
        <v>0.52427352253460702</v>
      </c>
      <c r="AL6500">
        <v>81.049894979998001</v>
      </c>
      <c r="AM6500">
        <v>90.201726438930194</v>
      </c>
      <c r="AN6500">
        <v>1.00000002870042</v>
      </c>
    </row>
    <row r="6501" spans="1:40" x14ac:dyDescent="0.25">
      <c r="A6501" t="str">
        <f>"20190303162429050"</f>
        <v>20190303162429050</v>
      </c>
      <c r="B6501" t="str">
        <f>"1551601469040794"</f>
        <v>1551601469040794</v>
      </c>
      <c r="C6501" t="s">
        <v>40</v>
      </c>
      <c r="D6501">
        <v>5.2681380000000004</v>
      </c>
      <c r="E6501">
        <v>0.53359350000000005</v>
      </c>
      <c r="F6501" t="s">
        <v>42</v>
      </c>
      <c r="G6501">
        <v>-188.13939999999999</v>
      </c>
      <c r="H6501">
        <v>0.8366152</v>
      </c>
      <c r="I6501">
        <v>-2.4369770000000002</v>
      </c>
      <c r="J6501">
        <v>-188.2045</v>
      </c>
      <c r="K6501">
        <v>1.1194740000000001</v>
      </c>
      <c r="L6501">
        <v>-2.9623719999999998</v>
      </c>
      <c r="M6501">
        <v>6.2132539999999997E-3</v>
      </c>
      <c r="N6501">
        <v>-8.4514550000000001E-3</v>
      </c>
      <c r="O6501">
        <v>0.99994499999999997</v>
      </c>
      <c r="P6501">
        <v>1.1813399999999999E-3</v>
      </c>
      <c r="Q6501">
        <v>0.1473711</v>
      </c>
      <c r="R6501">
        <v>0.98908050000000003</v>
      </c>
      <c r="S6501">
        <v>0.25408940000000002</v>
      </c>
      <c r="T6501">
        <v>-1.064991</v>
      </c>
      <c r="U6501">
        <v>3.1911619999999998</v>
      </c>
      <c r="V6501">
        <v>-4.7052930000000001E-3</v>
      </c>
      <c r="W6501">
        <v>0.15573299999999901</v>
      </c>
      <c r="X6501">
        <v>0.987788</v>
      </c>
      <c r="Y6501">
        <v>6.9223090000000001E-2</v>
      </c>
      <c r="Z6501">
        <v>-0.30770419999999998</v>
      </c>
      <c r="AA6501">
        <v>0.94896069999999999</v>
      </c>
      <c r="AB6501">
        <v>33</v>
      </c>
      <c r="AC6501">
        <v>6.5100000000001004E-2</v>
      </c>
      <c r="AD6501">
        <v>-0.28285880000000002</v>
      </c>
      <c r="AE6501">
        <v>0.52539499999999995</v>
      </c>
      <c r="AF6501">
        <v>4.81026622922422E-2</v>
      </c>
      <c r="AG6501">
        <v>-0.28285880000000002</v>
      </c>
      <c r="AH6501">
        <v>0.40902707527777099</v>
      </c>
      <c r="AI6501">
        <v>124.48156901234501</v>
      </c>
      <c r="AJ6501">
        <v>83.2926736920693</v>
      </c>
      <c r="AK6501">
        <v>0.49962597527283198</v>
      </c>
      <c r="AL6501">
        <v>81.040689867748497</v>
      </c>
      <c r="AM6501">
        <v>90.272924343302293</v>
      </c>
      <c r="AN6501">
        <v>1.0000000200076</v>
      </c>
    </row>
    <row r="6502" spans="1:40" x14ac:dyDescent="0.25">
      <c r="A6502" t="str">
        <f>"20190303162429207"</f>
        <v>20190303162429207</v>
      </c>
      <c r="B6502" t="str">
        <f>"1551601469201834"</f>
        <v>1551601469201834</v>
      </c>
      <c r="C6502" t="s">
        <v>40</v>
      </c>
      <c r="D6502">
        <v>5.4962260000000001</v>
      </c>
      <c r="E6502">
        <v>0.49190840000000002</v>
      </c>
      <c r="F6502" t="s">
        <v>41</v>
      </c>
      <c r="G6502">
        <v>-188.37950000000001</v>
      </c>
      <c r="H6502" s="1">
        <v>-1.368765E-6</v>
      </c>
      <c r="I6502">
        <v>12.153359999999999</v>
      </c>
      <c r="J6502">
        <v>-188.17930000000001</v>
      </c>
      <c r="K6502">
        <v>1.119548</v>
      </c>
      <c r="L6502">
        <v>-0.64480590000000004</v>
      </c>
      <c r="M6502">
        <v>1.1602400000000001E-2</v>
      </c>
      <c r="N6502">
        <v>-8.6103289999999999E-3</v>
      </c>
      <c r="O6502">
        <v>0.9998956</v>
      </c>
      <c r="P6502">
        <v>-9.5506270000000003E-4</v>
      </c>
      <c r="Q6502">
        <v>0.1520097</v>
      </c>
      <c r="R6502">
        <v>0.98837850000000005</v>
      </c>
      <c r="S6502">
        <v>-4.5928959999999998E-2</v>
      </c>
      <c r="T6502">
        <v>-0.26233210000000001</v>
      </c>
      <c r="U6502">
        <v>3.075256</v>
      </c>
      <c r="V6502">
        <v>-1.2173430000000001E-2</v>
      </c>
      <c r="W6502">
        <v>0.1605328</v>
      </c>
      <c r="X6502">
        <v>0.98695549999999999</v>
      </c>
      <c r="Y6502">
        <v>-2.6479530000000001E-2</v>
      </c>
      <c r="Z6502">
        <v>-7.6384199999999999E-2</v>
      </c>
      <c r="AA6502">
        <v>0.99672680000000002</v>
      </c>
      <c r="AB6502">
        <v>33</v>
      </c>
      <c r="AC6502">
        <v>-0.20019999999999499</v>
      </c>
      <c r="AD6502">
        <v>-1.119549368765</v>
      </c>
      <c r="AE6502">
        <v>12.798165900000001</v>
      </c>
      <c r="AF6502">
        <v>-0.34603416723404401</v>
      </c>
      <c r="AG6502">
        <v>-1.119549368765</v>
      </c>
      <c r="AH6502">
        <v>12.6978378249146</v>
      </c>
      <c r="AI6502">
        <v>95.036793543672204</v>
      </c>
      <c r="AJ6502">
        <v>91.5610052572885</v>
      </c>
      <c r="AK6502">
        <v>12.751792652871501</v>
      </c>
      <c r="AL6502">
        <v>80.762177430332002</v>
      </c>
      <c r="AM6502">
        <v>90.706668936549505</v>
      </c>
      <c r="AN6502">
        <v>1.00000006562702</v>
      </c>
    </row>
    <row r="6503" spans="1:40" x14ac:dyDescent="0.25">
      <c r="A6503" t="str">
        <f>"20190303162429229"</f>
        <v>20190303162429229</v>
      </c>
      <c r="B6503" t="str">
        <f>"1551601469221354"</f>
        <v>1551601469221354</v>
      </c>
      <c r="C6503" t="s">
        <v>40</v>
      </c>
      <c r="D6503">
        <v>5.0440659999999999</v>
      </c>
      <c r="E6503">
        <v>0.48920069999999999</v>
      </c>
      <c r="F6503" t="s">
        <v>41</v>
      </c>
      <c r="G6503">
        <v>-188.91489999999999</v>
      </c>
      <c r="H6503" s="1">
        <v>-4.4247899999999997E-6</v>
      </c>
      <c r="I6503">
        <v>29.498390000000001</v>
      </c>
      <c r="J6503">
        <v>-188.17490000000001</v>
      </c>
      <c r="K6503">
        <v>1.1195900000000001</v>
      </c>
      <c r="L6503">
        <v>-0.31726070000000001</v>
      </c>
      <c r="M6503">
        <v>1.2208510000000001E-2</v>
      </c>
      <c r="N6503">
        <v>-8.6276169999999902E-3</v>
      </c>
      <c r="O6503">
        <v>0.9998882</v>
      </c>
      <c r="P6503">
        <v>-3.4608799999999998E-4</v>
      </c>
      <c r="Q6503">
        <v>0.152557</v>
      </c>
      <c r="R6503">
        <v>0.98829460000000002</v>
      </c>
      <c r="S6503">
        <v>-7.4493409999999996E-2</v>
      </c>
      <c r="T6503">
        <v>-0.1133786</v>
      </c>
      <c r="U6503">
        <v>3.0526430000000002</v>
      </c>
      <c r="V6503">
        <v>-1.217888E-2</v>
      </c>
      <c r="W6503">
        <v>0.16109470000000001</v>
      </c>
      <c r="X6503">
        <v>0.98686379999999996</v>
      </c>
      <c r="Y6503">
        <v>-3.6582070000000001E-2</v>
      </c>
      <c r="Z6503">
        <v>-2.8469129999999999E-2</v>
      </c>
      <c r="AA6503">
        <v>0.99892499999999995</v>
      </c>
      <c r="AB6503">
        <v>33</v>
      </c>
      <c r="AC6503">
        <v>-0.73999999999998001</v>
      </c>
      <c r="AD6503">
        <v>-1.1195944247899901</v>
      </c>
      <c r="AE6503">
        <v>29.815650699999999</v>
      </c>
      <c r="AF6503">
        <v>-1.10240959324745</v>
      </c>
      <c r="AG6503">
        <v>-1.1195944247899901</v>
      </c>
      <c r="AH6503">
        <v>29.762453286573599</v>
      </c>
      <c r="AI6503">
        <v>92.152843526209693</v>
      </c>
      <c r="AJ6503">
        <v>92.121281931023503</v>
      </c>
      <c r="AK6503">
        <v>29.803899480148299</v>
      </c>
      <c r="AL6503">
        <v>80.729557715787493</v>
      </c>
      <c r="AM6503">
        <v>90.707050964381807</v>
      </c>
      <c r="AN6503">
        <v>0.99999999361829195</v>
      </c>
    </row>
    <row r="6504" spans="1:40" x14ac:dyDescent="0.25">
      <c r="A6504" t="str">
        <f>"20190303162429250"</f>
        <v>20190303162429250</v>
      </c>
      <c r="B6504" t="str">
        <f>"1551601469240873"</f>
        <v>1551601469240873</v>
      </c>
      <c r="C6504" t="s">
        <v>40</v>
      </c>
      <c r="D6504">
        <v>5.861917</v>
      </c>
      <c r="E6504">
        <v>0.48807220000000001</v>
      </c>
      <c r="F6504" t="s">
        <v>41</v>
      </c>
      <c r="G6504">
        <v>-189.3734</v>
      </c>
      <c r="H6504" s="1">
        <v>-3.9143989999999999E-6</v>
      </c>
      <c r="I6504">
        <v>38.498249999999999</v>
      </c>
      <c r="J6504">
        <v>-188.1705</v>
      </c>
      <c r="K6504">
        <v>1.1196489999999999</v>
      </c>
      <c r="L6504">
        <v>-1.5258789999999999E-4</v>
      </c>
      <c r="M6504">
        <v>1.2728440000000001E-2</v>
      </c>
      <c r="N6504">
        <v>-8.6432880000000007E-3</v>
      </c>
      <c r="O6504">
        <v>0.99988160000000004</v>
      </c>
      <c r="P6504">
        <v>5.8331430000000003E-4</v>
      </c>
      <c r="Q6504">
        <v>0.1539073</v>
      </c>
      <c r="R6504">
        <v>0.98808510000000005</v>
      </c>
      <c r="S6504">
        <v>-9.4146729999999998E-2</v>
      </c>
      <c r="T6504">
        <v>-8.7947369999999997E-2</v>
      </c>
      <c r="U6504">
        <v>3.0490719999999998</v>
      </c>
      <c r="V6504">
        <v>-1.177858E-2</v>
      </c>
      <c r="W6504">
        <v>0.162457399999999</v>
      </c>
      <c r="X6504">
        <v>0.98664529999999995</v>
      </c>
      <c r="Y6504">
        <v>-4.3569490000000002E-2</v>
      </c>
      <c r="Z6504">
        <v>-2.016546E-2</v>
      </c>
      <c r="AA6504">
        <v>0.99884689999999998</v>
      </c>
      <c r="AB6504">
        <v>33</v>
      </c>
      <c r="AC6504">
        <v>-1.2028999999999901</v>
      </c>
      <c r="AD6504">
        <v>-1.1196529143989999</v>
      </c>
      <c r="AE6504">
        <v>38.498402587900003</v>
      </c>
      <c r="AF6504">
        <v>-1.6914162249298901</v>
      </c>
      <c r="AG6504">
        <v>-1.1196529143989999</v>
      </c>
      <c r="AH6504">
        <v>38.4474837986835</v>
      </c>
      <c r="AI6504">
        <v>91.666463404710299</v>
      </c>
      <c r="AJ6504">
        <v>92.518983150548095</v>
      </c>
      <c r="AK6504">
        <v>38.500954818610801</v>
      </c>
      <c r="AL6504">
        <v>80.650439036084606</v>
      </c>
      <c r="AM6504">
        <v>90.683965013363505</v>
      </c>
      <c r="AN6504">
        <v>1.00000004488683</v>
      </c>
    </row>
    <row r="6505" spans="1:40" x14ac:dyDescent="0.25">
      <c r="A6505" t="str">
        <f>"20190303162429274"</f>
        <v>20190303162429274</v>
      </c>
      <c r="B6505" t="str">
        <f>"1551601469261370"</f>
        <v>1551601469261370</v>
      </c>
      <c r="C6505" t="s">
        <v>40</v>
      </c>
      <c r="D6505">
        <v>5.7873900000000003</v>
      </c>
      <c r="E6505">
        <v>0.48652620000000002</v>
      </c>
      <c r="F6505" t="s">
        <v>41</v>
      </c>
      <c r="G6505">
        <v>-189.48099999999999</v>
      </c>
      <c r="H6505" s="1">
        <v>-1.9097169999999999E-7</v>
      </c>
      <c r="I6505">
        <v>39.803440000000002</v>
      </c>
      <c r="J6505">
        <v>-188.16569999999999</v>
      </c>
      <c r="K6505">
        <v>1.1197159999999999</v>
      </c>
      <c r="L6505">
        <v>0.34283449999999999</v>
      </c>
      <c r="M6505">
        <v>1.3204270000000001E-2</v>
      </c>
      <c r="N6505">
        <v>-8.6590799999999996E-3</v>
      </c>
      <c r="O6505">
        <v>0.99987530000000002</v>
      </c>
      <c r="P6505">
        <v>1.8209509999999999E-3</v>
      </c>
      <c r="Q6505">
        <v>0.15516250000000001</v>
      </c>
      <c r="R6505">
        <v>0.98788730000000002</v>
      </c>
      <c r="S6505">
        <v>-0.1004028</v>
      </c>
      <c r="T6505">
        <v>-8.5782999999999998E-2</v>
      </c>
      <c r="U6505">
        <v>3.0495909999999999</v>
      </c>
      <c r="V6505">
        <v>-1.1031010000000001E-2</v>
      </c>
      <c r="W6505">
        <v>0.16372390000000001</v>
      </c>
      <c r="X6505">
        <v>0.98644449999999995</v>
      </c>
      <c r="Y6505">
        <v>-4.6086729999999999E-2</v>
      </c>
      <c r="Z6505">
        <v>-1.9433410000000002E-2</v>
      </c>
      <c r="AA6505">
        <v>0.99874839999999998</v>
      </c>
      <c r="AB6505">
        <v>33</v>
      </c>
      <c r="AC6505">
        <v>-1.3152999999999999</v>
      </c>
      <c r="AD6505">
        <v>-1.1197161909716999</v>
      </c>
      <c r="AE6505">
        <v>39.4606055</v>
      </c>
      <c r="AF6505">
        <v>-1.8347776900638899</v>
      </c>
      <c r="AG6505">
        <v>-1.1197161909716999</v>
      </c>
      <c r="AH6505">
        <v>39.408101762612702</v>
      </c>
      <c r="AI6505">
        <v>91.6257669839394</v>
      </c>
      <c r="AJ6505">
        <v>92.665674129742698</v>
      </c>
      <c r="AK6505">
        <v>39.466677818796903</v>
      </c>
      <c r="AL6505">
        <v>80.576888513090395</v>
      </c>
      <c r="AM6505">
        <v>90.640688830966894</v>
      </c>
      <c r="AN6505">
        <v>0.99999997509653904</v>
      </c>
    </row>
    <row r="6506" spans="1:40" x14ac:dyDescent="0.25">
      <c r="A6506" t="str">
        <f>"20190303162429295"</f>
        <v>20190303162429295</v>
      </c>
      <c r="B6506" t="str">
        <f>"1551601469280890"</f>
        <v>1551601469280890</v>
      </c>
      <c r="C6506" t="s">
        <v>40</v>
      </c>
      <c r="D6506">
        <v>5.7801619999999998</v>
      </c>
      <c r="E6506">
        <v>0.48528179999999999</v>
      </c>
      <c r="F6506" t="s">
        <v>41</v>
      </c>
      <c r="G6506">
        <v>-189.5042</v>
      </c>
      <c r="H6506" s="1">
        <v>-3.5647369999999999E-6</v>
      </c>
      <c r="I6506">
        <v>37.737259999999999</v>
      </c>
      <c r="J6506">
        <v>-188.161</v>
      </c>
      <c r="K6506">
        <v>1.1197859999999999</v>
      </c>
      <c r="L6506">
        <v>0.665802</v>
      </c>
      <c r="M6506">
        <v>1.357123E-2</v>
      </c>
      <c r="N6506">
        <v>-8.6729809999999997E-3</v>
      </c>
      <c r="O6506">
        <v>0.99987029999999999</v>
      </c>
      <c r="P6506">
        <v>2.621988E-3</v>
      </c>
      <c r="Q6506">
        <v>0.15575510000000001</v>
      </c>
      <c r="R6506">
        <v>0.98779220000000001</v>
      </c>
      <c r="S6506">
        <v>-0.1092224</v>
      </c>
      <c r="T6506">
        <v>-9.1367480000000001E-2</v>
      </c>
      <c r="U6506">
        <v>3.0513309999999998</v>
      </c>
      <c r="V6506">
        <v>-1.0615070000000001E-2</v>
      </c>
      <c r="W6506">
        <v>0.1643269</v>
      </c>
      <c r="X6506">
        <v>0.98634880000000003</v>
      </c>
      <c r="Y6506">
        <v>-4.9315539999999998E-2</v>
      </c>
      <c r="Z6506">
        <v>-2.1225839999999999E-2</v>
      </c>
      <c r="AA6506">
        <v>0.99855769999999999</v>
      </c>
      <c r="AB6506">
        <v>33</v>
      </c>
      <c r="AC6506">
        <v>-1.3432000000000199</v>
      </c>
      <c r="AD6506">
        <v>-1.119789564737</v>
      </c>
      <c r="AE6506">
        <v>37.071458</v>
      </c>
      <c r="AF6506">
        <v>-1.8445197277417</v>
      </c>
      <c r="AG6506">
        <v>-1.119789564737</v>
      </c>
      <c r="AH6506">
        <v>37.016084311818702</v>
      </c>
      <c r="AI6506">
        <v>91.730604992816595</v>
      </c>
      <c r="AJ6506">
        <v>92.852701884088702</v>
      </c>
      <c r="AK6506">
        <v>37.078925004306598</v>
      </c>
      <c r="AL6506">
        <v>80.5418648702897</v>
      </c>
      <c r="AM6506">
        <v>90.616592458247894</v>
      </c>
      <c r="AN6506">
        <v>0.99999998251807698</v>
      </c>
    </row>
    <row r="6507" spans="1:40" x14ac:dyDescent="0.25">
      <c r="A6507" t="str">
        <f>"20190303162429318"</f>
        <v>20190303162429318</v>
      </c>
      <c r="B6507" t="str">
        <f>"1551601469311146"</f>
        <v>1551601469311146</v>
      </c>
      <c r="C6507" t="s">
        <v>40</v>
      </c>
      <c r="D6507">
        <v>5.8464530000000003</v>
      </c>
      <c r="E6507">
        <v>0.48462300000000003</v>
      </c>
      <c r="F6507" t="s">
        <v>41</v>
      </c>
      <c r="G6507">
        <v>-189.60849999999999</v>
      </c>
      <c r="H6507" s="1">
        <v>-3.9159489999999999E-6</v>
      </c>
      <c r="I6507">
        <v>38.599049999999998</v>
      </c>
      <c r="J6507">
        <v>-188.15600000000001</v>
      </c>
      <c r="K6507">
        <v>1.119856</v>
      </c>
      <c r="L6507">
        <v>1.01474</v>
      </c>
      <c r="M6507">
        <v>1.3891239999999999E-2</v>
      </c>
      <c r="N6507">
        <v>-8.6871869999999903E-3</v>
      </c>
      <c r="O6507">
        <v>0.99986580000000003</v>
      </c>
      <c r="P6507">
        <v>3.019613E-3</v>
      </c>
      <c r="Q6507">
        <v>0.15599370000000001</v>
      </c>
      <c r="R6507">
        <v>0.98775349999999995</v>
      </c>
      <c r="S6507">
        <v>-0.1164398</v>
      </c>
      <c r="T6507">
        <v>-9.0082529999999994E-2</v>
      </c>
      <c r="U6507">
        <v>3.0515750000000001</v>
      </c>
      <c r="V6507">
        <v>-1.055818E-2</v>
      </c>
      <c r="W6507">
        <v>0.16457759999999999</v>
      </c>
      <c r="X6507">
        <v>0.98630759999999995</v>
      </c>
      <c r="Y6507">
        <v>-5.1990649999999999E-2</v>
      </c>
      <c r="Z6507">
        <v>-2.0785399999999999E-2</v>
      </c>
      <c r="AA6507">
        <v>0.99843130000000002</v>
      </c>
      <c r="AB6507">
        <v>33</v>
      </c>
      <c r="AC6507">
        <v>-1.4525000000000099</v>
      </c>
      <c r="AD6507">
        <v>-1.1198599159489999</v>
      </c>
      <c r="AE6507">
        <v>37.584310000000002</v>
      </c>
      <c r="AF6507">
        <v>-1.97272343084765</v>
      </c>
      <c r="AG6507">
        <v>-1.1198599159489999</v>
      </c>
      <c r="AH6507">
        <v>37.527238579946598</v>
      </c>
      <c r="AI6507">
        <v>91.706915353058903</v>
      </c>
      <c r="AJ6507">
        <v>93.009141888825894</v>
      </c>
      <c r="AK6507">
        <v>37.5957359204764</v>
      </c>
      <c r="AL6507">
        <v>80.5273024493723</v>
      </c>
      <c r="AM6507">
        <v>90.613313785593107</v>
      </c>
      <c r="AN6507">
        <v>0.999999971702215</v>
      </c>
    </row>
    <row r="6508" spans="1:40" x14ac:dyDescent="0.25">
      <c r="A6508" t="str">
        <f>"20190303162429341"</f>
        <v>20190303162429341</v>
      </c>
      <c r="B6508" t="str">
        <f>"1551601469331641"</f>
        <v>1551601469331641</v>
      </c>
      <c r="C6508" t="s">
        <v>40</v>
      </c>
      <c r="D6508">
        <v>5.9047239999999999</v>
      </c>
      <c r="E6508">
        <v>0.48462539999999998</v>
      </c>
      <c r="F6508" t="s">
        <v>41</v>
      </c>
      <c r="G6508">
        <v>-189.62729999999999</v>
      </c>
      <c r="H6508" s="1">
        <v>-3.9127730000000004E-6</v>
      </c>
      <c r="I6508">
        <v>38.599449999999997</v>
      </c>
      <c r="J6508">
        <v>-188.15100000000001</v>
      </c>
      <c r="K6508">
        <v>1.119909</v>
      </c>
      <c r="L6508">
        <v>1.354706</v>
      </c>
      <c r="M6508">
        <v>1.4140929999999999E-2</v>
      </c>
      <c r="N6508">
        <v>-8.7003500000000008E-3</v>
      </c>
      <c r="O6508">
        <v>0.99986209999999998</v>
      </c>
      <c r="P6508">
        <v>2.8511460000000001E-3</v>
      </c>
      <c r="Q6508">
        <v>0.15625220000000001</v>
      </c>
      <c r="R6508">
        <v>0.98771310000000001</v>
      </c>
      <c r="S6508">
        <v>-0.11947629999999999</v>
      </c>
      <c r="T6508">
        <v>-9.0933559999999997E-2</v>
      </c>
      <c r="U6508">
        <v>3.0519099999999999</v>
      </c>
      <c r="V6508">
        <v>-1.0993650000000001E-2</v>
      </c>
      <c r="W6508">
        <v>0.16484760000000001</v>
      </c>
      <c r="X6508">
        <v>0.98625779999999996</v>
      </c>
      <c r="Y6508">
        <v>-5.322723E-2</v>
      </c>
      <c r="Z6508">
        <v>-2.1045419999999999E-2</v>
      </c>
      <c r="AA6508">
        <v>0.99836060000000004</v>
      </c>
      <c r="AB6508">
        <v>33</v>
      </c>
      <c r="AC6508">
        <v>-1.4762999999999999</v>
      </c>
      <c r="AD6508">
        <v>-1.1199129127730001</v>
      </c>
      <c r="AE6508">
        <v>37.244743999999997</v>
      </c>
      <c r="AF6508">
        <v>-2.0010412653434302</v>
      </c>
      <c r="AG6508">
        <v>-1.1199129127730001</v>
      </c>
      <c r="AH6508">
        <v>37.186573300560802</v>
      </c>
      <c r="AI6508">
        <v>91.722510950091205</v>
      </c>
      <c r="AJ6508">
        <v>93.080164133710895</v>
      </c>
      <c r="AK6508">
        <v>37.257208764422799</v>
      </c>
      <c r="AL6508">
        <v>80.511618829735298</v>
      </c>
      <c r="AM6508">
        <v>90.638639978374599</v>
      </c>
      <c r="AN6508">
        <v>1.00000001981346</v>
      </c>
    </row>
    <row r="6509" spans="1:40" x14ac:dyDescent="0.25">
      <c r="A6509" t="str">
        <f>"20190303162429365"</f>
        <v>20190303162429365</v>
      </c>
      <c r="B6509" t="str">
        <f>"1551601469360923"</f>
        <v>1551601469360923</v>
      </c>
      <c r="C6509" t="s">
        <v>40</v>
      </c>
      <c r="D6509">
        <v>5.8999189999999997</v>
      </c>
      <c r="E6509">
        <v>0.4845797</v>
      </c>
      <c r="F6509" t="s">
        <v>41</v>
      </c>
      <c r="G6509">
        <v>-189.6062</v>
      </c>
      <c r="H6509" s="1">
        <v>-3.9563830000000001E-6</v>
      </c>
      <c r="I6509">
        <v>38.692369999999997</v>
      </c>
      <c r="J6509">
        <v>-188.1456</v>
      </c>
      <c r="K6509">
        <v>1.1199479999999999</v>
      </c>
      <c r="L6509">
        <v>1.7185360000000001</v>
      </c>
      <c r="M6509">
        <v>1.435731E-2</v>
      </c>
      <c r="N6509">
        <v>-8.7136330000000001E-3</v>
      </c>
      <c r="O6509">
        <v>0.99985900000000005</v>
      </c>
      <c r="P6509">
        <v>2.6117129999999999E-3</v>
      </c>
      <c r="Q6509">
        <v>0.1556437</v>
      </c>
      <c r="R6509">
        <v>0.98780979999999996</v>
      </c>
      <c r="S6509">
        <v>-0.11895749999999999</v>
      </c>
      <c r="T6509">
        <v>-9.1546890000000006E-2</v>
      </c>
      <c r="U6509">
        <v>3.052155</v>
      </c>
      <c r="V6509">
        <v>-1.146603E-2</v>
      </c>
      <c r="W6509">
        <v>0.16425209999999901</v>
      </c>
      <c r="X6509">
        <v>0.98635170000000005</v>
      </c>
      <c r="Y6509">
        <v>-5.3270539999999998E-2</v>
      </c>
      <c r="Z6509">
        <v>-2.1230140000000002E-2</v>
      </c>
      <c r="AA6509">
        <v>0.99835439999999998</v>
      </c>
      <c r="AB6509">
        <v>33</v>
      </c>
      <c r="AC6509">
        <v>-1.4605999999999899</v>
      </c>
      <c r="AD6509">
        <v>-1.119951956383</v>
      </c>
      <c r="AE6509">
        <v>36.973833999999997</v>
      </c>
      <c r="AF6509">
        <v>-1.98949184148001</v>
      </c>
      <c r="AG6509">
        <v>-1.119951956383</v>
      </c>
      <c r="AH6509">
        <v>36.915234434412497</v>
      </c>
      <c r="AI6509">
        <v>91.735217007541394</v>
      </c>
      <c r="AJ6509">
        <v>93.084886722739</v>
      </c>
      <c r="AK6509">
        <v>36.985766228639299</v>
      </c>
      <c r="AL6509">
        <v>80.546209312168202</v>
      </c>
      <c r="AM6509">
        <v>90.666015516561103</v>
      </c>
      <c r="AN6509">
        <v>0.99999994914562895</v>
      </c>
    </row>
    <row r="6510" spans="1:40" x14ac:dyDescent="0.25">
      <c r="A6510" t="str">
        <f>"20190303162429388"</f>
        <v>20190303162429388</v>
      </c>
      <c r="B6510" t="str">
        <f>"1551601469381417"</f>
        <v>1551601469381417</v>
      </c>
      <c r="C6510" t="s">
        <v>40</v>
      </c>
      <c r="D6510">
        <v>5.8388410000000004</v>
      </c>
      <c r="E6510">
        <v>0.48453459999999998</v>
      </c>
      <c r="F6510" t="s">
        <v>41</v>
      </c>
      <c r="G6510">
        <v>-189.57660000000001</v>
      </c>
      <c r="H6510" s="1">
        <v>-3.8240920000000001E-6</v>
      </c>
      <c r="I6510">
        <v>38.371760000000002</v>
      </c>
      <c r="J6510">
        <v>-188.1405</v>
      </c>
      <c r="K6510">
        <v>1.119969</v>
      </c>
      <c r="L6510">
        <v>2.057404</v>
      </c>
      <c r="M6510">
        <v>1.452967E-2</v>
      </c>
      <c r="N6510">
        <v>-8.7253239999999996E-3</v>
      </c>
      <c r="O6510">
        <v>0.99985639999999998</v>
      </c>
      <c r="P6510">
        <v>1.2638250000000001E-3</v>
      </c>
      <c r="Q6510">
        <v>0.1548812</v>
      </c>
      <c r="R6510">
        <v>0.98793229999999999</v>
      </c>
      <c r="S6510">
        <v>-0.1191559</v>
      </c>
      <c r="T6510">
        <v>-9.3255879999999999E-2</v>
      </c>
      <c r="U6510">
        <v>3.0520320000000001</v>
      </c>
      <c r="V6510">
        <v>-1.2997170000000001E-2</v>
      </c>
      <c r="W6510">
        <v>0.16350190000000001</v>
      </c>
      <c r="X6510">
        <v>0.98645740000000004</v>
      </c>
      <c r="Y6510">
        <v>-5.3508399999999998E-2</v>
      </c>
      <c r="Z6510">
        <v>-2.1777870000000001E-2</v>
      </c>
      <c r="AA6510">
        <v>0.99832989999999999</v>
      </c>
      <c r="AB6510">
        <v>34</v>
      </c>
      <c r="AC6510">
        <v>-1.4361000000000099</v>
      </c>
      <c r="AD6510">
        <v>-1.1199728240919999</v>
      </c>
      <c r="AE6510">
        <v>36.314355999999997</v>
      </c>
      <c r="AF6510">
        <v>-1.96174103402898</v>
      </c>
      <c r="AG6510">
        <v>-1.1199728240919999</v>
      </c>
      <c r="AH6510">
        <v>36.255224422534397</v>
      </c>
      <c r="AI6510">
        <v>91.766798402728398</v>
      </c>
      <c r="AJ6510">
        <v>93.097208229767304</v>
      </c>
      <c r="AK6510">
        <v>36.325529107497303</v>
      </c>
      <c r="AL6510">
        <v>80.589782155373896</v>
      </c>
      <c r="AM6510">
        <v>90.754862703297704</v>
      </c>
      <c r="AN6510">
        <v>0.99999999987318899</v>
      </c>
    </row>
    <row r="6511" spans="1:40" x14ac:dyDescent="0.25">
      <c r="A6511" t="str">
        <f>"20190303162429410"</f>
        <v>20190303162429410</v>
      </c>
      <c r="B6511" t="str">
        <f>"1551601469400939"</f>
        <v>1551601469400939</v>
      </c>
      <c r="C6511" t="s">
        <v>40</v>
      </c>
      <c r="D6511">
        <v>5.8486149999999997</v>
      </c>
      <c r="E6511">
        <v>0.48449629999999999</v>
      </c>
      <c r="F6511" t="s">
        <v>41</v>
      </c>
      <c r="G6511">
        <v>-189.59049999999999</v>
      </c>
      <c r="H6511" s="1">
        <v>-3.643626E-6</v>
      </c>
      <c r="I6511">
        <v>37.956850000000003</v>
      </c>
      <c r="J6511">
        <v>-188.13560000000001</v>
      </c>
      <c r="K6511">
        <v>1.119988</v>
      </c>
      <c r="L6511">
        <v>2.3892519999999999</v>
      </c>
      <c r="M6511">
        <v>1.468387E-2</v>
      </c>
      <c r="N6511">
        <v>-8.7362769999999902E-3</v>
      </c>
      <c r="O6511">
        <v>0.99985400000000002</v>
      </c>
      <c r="P6511">
        <v>2.643818E-4</v>
      </c>
      <c r="Q6511">
        <v>0.15464120000000001</v>
      </c>
      <c r="R6511">
        <v>0.98797069999999998</v>
      </c>
      <c r="S6511">
        <v>-0.1232605</v>
      </c>
      <c r="T6511">
        <v>-9.5206260000000001E-2</v>
      </c>
      <c r="U6511">
        <v>3.0517270000000001</v>
      </c>
      <c r="V6511">
        <v>-1.4156719999999999E-2</v>
      </c>
      <c r="W6511">
        <v>0.16327320000000001</v>
      </c>
      <c r="X6511">
        <v>0.98647929999999995</v>
      </c>
      <c r="Y6511">
        <v>-5.5005890000000002E-2</v>
      </c>
      <c r="Z6511">
        <v>-2.2405189999999998E-2</v>
      </c>
      <c r="AA6511">
        <v>0.99823459999999997</v>
      </c>
      <c r="AB6511">
        <v>34</v>
      </c>
      <c r="AC6511">
        <v>-1.4548999999999801</v>
      </c>
      <c r="AD6511">
        <v>-1.119991643626</v>
      </c>
      <c r="AE6511">
        <v>35.567597999999997</v>
      </c>
      <c r="AF6511">
        <v>-1.97507791345428</v>
      </c>
      <c r="AG6511">
        <v>-1.119991643626</v>
      </c>
      <c r="AH6511">
        <v>35.507249772740501</v>
      </c>
      <c r="AI6511">
        <v>91.803873238658696</v>
      </c>
      <c r="AJ6511">
        <v>93.183776055934999</v>
      </c>
      <c r="AK6511">
        <v>35.579770944594202</v>
      </c>
      <c r="AL6511">
        <v>80.6030639955993</v>
      </c>
      <c r="AM6511">
        <v>90.822181096771899</v>
      </c>
      <c r="AN6511">
        <v>0.99999997994394396</v>
      </c>
    </row>
    <row r="6512" spans="1:40" x14ac:dyDescent="0.25">
      <c r="A6512" t="str">
        <f>"20190303162429433"</f>
        <v>20190303162429433</v>
      </c>
      <c r="B6512" t="str">
        <f>"1551601469421434"</f>
        <v>1551601469421434</v>
      </c>
      <c r="C6512" t="s">
        <v>40</v>
      </c>
      <c r="D6512">
        <v>5.9609430000000003</v>
      </c>
      <c r="E6512">
        <v>0.48435909999999899</v>
      </c>
      <c r="F6512" t="s">
        <v>41</v>
      </c>
      <c r="G6512">
        <v>-189.63800000000001</v>
      </c>
      <c r="H6512" s="1">
        <v>-3.8057479999999999E-6</v>
      </c>
      <c r="I6512">
        <v>38.354379999999999</v>
      </c>
      <c r="J6512">
        <v>-188.1302</v>
      </c>
      <c r="K6512">
        <v>1.1199939999999999</v>
      </c>
      <c r="L6512">
        <v>2.7405400000000002</v>
      </c>
      <c r="M6512">
        <v>1.4840320000000001E-2</v>
      </c>
      <c r="N6512">
        <v>-8.7474459999999903E-3</v>
      </c>
      <c r="O6512">
        <v>0.99985159999999995</v>
      </c>
      <c r="P6512">
        <v>4.2092870000000001E-4</v>
      </c>
      <c r="Q6512">
        <v>0.15466579999999999</v>
      </c>
      <c r="R6512">
        <v>0.98796680000000003</v>
      </c>
      <c r="S6512">
        <v>-0.1274719</v>
      </c>
      <c r="T6512">
        <v>-9.502447E-2</v>
      </c>
      <c r="U6512">
        <v>3.0514220000000001</v>
      </c>
      <c r="V6512">
        <v>-1.4160399999999899E-2</v>
      </c>
      <c r="W6512">
        <v>0.16330810000000001</v>
      </c>
      <c r="X6512">
        <v>0.9864735</v>
      </c>
      <c r="Y6512">
        <v>-5.6541279999999999E-2</v>
      </c>
      <c r="Z6512">
        <v>-2.2335259999999999E-2</v>
      </c>
      <c r="AA6512">
        <v>0.99815039999999999</v>
      </c>
      <c r="AB6512">
        <v>34</v>
      </c>
      <c r="AC6512">
        <v>-1.5078</v>
      </c>
      <c r="AD6512">
        <v>-1.119997805748</v>
      </c>
      <c r="AE6512">
        <v>35.613840000000003</v>
      </c>
      <c r="AF6512">
        <v>-2.0341667599673698</v>
      </c>
      <c r="AG6512">
        <v>-1.119997805748</v>
      </c>
      <c r="AH6512">
        <v>35.552442195425101</v>
      </c>
      <c r="AI6512">
        <v>91.801430541914399</v>
      </c>
      <c r="AJ6512">
        <v>93.274662195645504</v>
      </c>
      <c r="AK6512">
        <v>35.628196355573202</v>
      </c>
      <c r="AL6512">
        <v>80.601037447481602</v>
      </c>
      <c r="AM6512">
        <v>90.822399625742506</v>
      </c>
      <c r="AN6512">
        <v>1.0000000093280099</v>
      </c>
    </row>
    <row r="6513" spans="1:40" x14ac:dyDescent="0.25">
      <c r="A6513" t="str">
        <f>"20190303162429454"</f>
        <v>20190303162429454</v>
      </c>
      <c r="B6513" t="str">
        <f>"1551601469441461"</f>
        <v>1551601469441461</v>
      </c>
      <c r="C6513" t="s">
        <v>40</v>
      </c>
      <c r="D6513">
        <v>5.89574</v>
      </c>
      <c r="E6513">
        <v>0.48436990000000002</v>
      </c>
      <c r="F6513" t="s">
        <v>41</v>
      </c>
      <c r="G6513">
        <v>-189.6584</v>
      </c>
      <c r="H6513" s="1">
        <v>-4.0118170000000001E-6</v>
      </c>
      <c r="I6513">
        <v>38.843179999999997</v>
      </c>
      <c r="J6513">
        <v>-188.12540000000001</v>
      </c>
      <c r="K6513">
        <v>1.120004</v>
      </c>
      <c r="L6513">
        <v>3.0535890000000001</v>
      </c>
      <c r="M6513">
        <v>1.4977900000000001E-2</v>
      </c>
      <c r="N6513">
        <v>-8.7571179999999995E-3</v>
      </c>
      <c r="O6513">
        <v>0.99984949999999995</v>
      </c>
      <c r="P6513">
        <v>1.5807760000000001E-3</v>
      </c>
      <c r="Q6513">
        <v>0.15410470000000001</v>
      </c>
      <c r="R6513">
        <v>0.98805330000000002</v>
      </c>
      <c r="S6513">
        <v>-0.12916559999999999</v>
      </c>
      <c r="T6513">
        <v>-9.466302E-2</v>
      </c>
      <c r="U6513">
        <v>3.0514220000000001</v>
      </c>
      <c r="V6513">
        <v>-1.3142269999999999E-2</v>
      </c>
      <c r="W6513">
        <v>0.1627567</v>
      </c>
      <c r="X6513">
        <v>0.98657870000000003</v>
      </c>
      <c r="Y6513">
        <v>-5.723172E-2</v>
      </c>
      <c r="Z6513">
        <v>-2.220633E-2</v>
      </c>
      <c r="AA6513">
        <v>0.9981139</v>
      </c>
      <c r="AB6513">
        <v>34</v>
      </c>
      <c r="AC6513">
        <v>-1.5329999999999799</v>
      </c>
      <c r="AD6513">
        <v>-1.1200080118169999</v>
      </c>
      <c r="AE6513">
        <v>35.789590999999902</v>
      </c>
      <c r="AF6513">
        <v>-2.0668810298507601</v>
      </c>
      <c r="AG6513">
        <v>-1.1200080118169999</v>
      </c>
      <c r="AH6513">
        <v>35.727688895160703</v>
      </c>
      <c r="AI6513">
        <v>91.792551276724296</v>
      </c>
      <c r="AJ6513">
        <v>93.310925430197003</v>
      </c>
      <c r="AK6513">
        <v>35.804946151718802</v>
      </c>
      <c r="AL6513">
        <v>80.633058645974103</v>
      </c>
      <c r="AM6513">
        <v>90.763195140013394</v>
      </c>
      <c r="AN6513">
        <v>0.99999999697466602</v>
      </c>
    </row>
    <row r="6514" spans="1:40" x14ac:dyDescent="0.25">
      <c r="A6514" t="str">
        <f>"20190303162429476"</f>
        <v>20190303162429476</v>
      </c>
      <c r="B6514" t="str">
        <f>"1551601469470742"</f>
        <v>1551601469470742</v>
      </c>
      <c r="C6514" t="s">
        <v>40</v>
      </c>
      <c r="D6514">
        <v>5.8990019999999896</v>
      </c>
      <c r="E6514">
        <v>0.48438189999999998</v>
      </c>
      <c r="F6514" t="s">
        <v>41</v>
      </c>
      <c r="G6514">
        <v>-189.5985</v>
      </c>
      <c r="H6514" s="1">
        <v>-3.8973559999999998E-6</v>
      </c>
      <c r="I6514">
        <v>38.551609999999997</v>
      </c>
      <c r="J6514">
        <v>-188.12020000000001</v>
      </c>
      <c r="K6514">
        <v>1.1200049999999999</v>
      </c>
      <c r="L6514">
        <v>3.3930660000000001</v>
      </c>
      <c r="M6514">
        <v>1.512466E-2</v>
      </c>
      <c r="N6514">
        <v>-8.7673070000000002E-3</v>
      </c>
      <c r="O6514">
        <v>0.99984720000000005</v>
      </c>
      <c r="P6514">
        <v>2.9025589999999999E-3</v>
      </c>
      <c r="Q6514">
        <v>0.15270529999999999</v>
      </c>
      <c r="R6514">
        <v>0.98826749999999997</v>
      </c>
      <c r="S6514">
        <v>-0.12663269999999999</v>
      </c>
      <c r="T6514">
        <v>-9.627819E-2</v>
      </c>
      <c r="U6514">
        <v>3.0514830000000002</v>
      </c>
      <c r="V6514">
        <v>-1.1973640000000001E-2</v>
      </c>
      <c r="W6514">
        <v>0.1613686</v>
      </c>
      <c r="X6514">
        <v>0.98682159999999997</v>
      </c>
      <c r="Y6514">
        <v>-5.6549839999999997E-2</v>
      </c>
      <c r="Z6514">
        <v>-2.272449E-2</v>
      </c>
      <c r="AA6514">
        <v>0.9981411</v>
      </c>
      <c r="AB6514">
        <v>34</v>
      </c>
      <c r="AC6514">
        <v>-1.47829999999999</v>
      </c>
      <c r="AD6514">
        <v>-1.1200088973559901</v>
      </c>
      <c r="AE6514">
        <v>35.158543999999999</v>
      </c>
      <c r="AF6514">
        <v>-2.00787834101348</v>
      </c>
      <c r="AG6514">
        <v>-1.1200088973559901</v>
      </c>
      <c r="AH6514">
        <v>35.096609221937797</v>
      </c>
      <c r="AI6514">
        <v>91.824830386881004</v>
      </c>
      <c r="AJ6514">
        <v>93.274324550071796</v>
      </c>
      <c r="AK6514">
        <v>35.171834956963401</v>
      </c>
      <c r="AL6514">
        <v>80.713656714151298</v>
      </c>
      <c r="AM6514">
        <v>90.695166556465594</v>
      </c>
      <c r="AN6514">
        <v>1.0000000316736799</v>
      </c>
    </row>
    <row r="6515" spans="1:40" x14ac:dyDescent="0.25">
      <c r="A6515" t="str">
        <f>"20190303162429498"</f>
        <v>20190303162429498</v>
      </c>
      <c r="B6515" t="str">
        <f>"1551601469491237"</f>
        <v>1551601469491237</v>
      </c>
      <c r="C6515" t="s">
        <v>40</v>
      </c>
      <c r="D6515">
        <v>5.8393769999999998</v>
      </c>
      <c r="E6515">
        <v>0.48435230000000001</v>
      </c>
      <c r="F6515" t="s">
        <v>41</v>
      </c>
      <c r="G6515">
        <v>-189.4759</v>
      </c>
      <c r="H6515" s="1">
        <v>-3.2732350000000002E-6</v>
      </c>
      <c r="I6515">
        <v>37.04607</v>
      </c>
      <c r="J6515">
        <v>-188.11510000000001</v>
      </c>
      <c r="K6515">
        <v>1.12001</v>
      </c>
      <c r="L6515">
        <v>3.716888</v>
      </c>
      <c r="M6515">
        <v>1.525958E-2</v>
      </c>
      <c r="N6515">
        <v>-8.7766839999999999E-3</v>
      </c>
      <c r="O6515">
        <v>0.99984499999999998</v>
      </c>
      <c r="P6515">
        <v>3.8159470000000001E-3</v>
      </c>
      <c r="Q6515">
        <v>0.15164559999999999</v>
      </c>
      <c r="R6515">
        <v>0.98842759999999996</v>
      </c>
      <c r="S6515">
        <v>-0.1229401</v>
      </c>
      <c r="T6515">
        <v>-0.10156270000000001</v>
      </c>
      <c r="U6515">
        <v>3.051666</v>
      </c>
      <c r="V6515">
        <v>-1.120058E-2</v>
      </c>
      <c r="W6515">
        <v>0.16031909999999999</v>
      </c>
      <c r="X6515">
        <v>0.98700169999999998</v>
      </c>
      <c r="Y6515">
        <v>-5.54744E-2</v>
      </c>
      <c r="Z6515">
        <v>-2.4441979999999999E-2</v>
      </c>
      <c r="AA6515">
        <v>0.99816090000000002</v>
      </c>
      <c r="AB6515">
        <v>34</v>
      </c>
      <c r="AC6515">
        <v>-1.36079999999998</v>
      </c>
      <c r="AD6515">
        <v>-1.1200132732350001</v>
      </c>
      <c r="AE6515">
        <v>33.329182000000003</v>
      </c>
      <c r="AF6515">
        <v>-1.8671454772540499</v>
      </c>
      <c r="AG6515">
        <v>-1.1200132732350001</v>
      </c>
      <c r="AH6515">
        <v>33.267030135742303</v>
      </c>
      <c r="AI6515">
        <v>91.925241920011104</v>
      </c>
      <c r="AJ6515">
        <v>93.212412826708203</v>
      </c>
      <c r="AK6515">
        <v>33.338205650842099</v>
      </c>
      <c r="AL6515">
        <v>80.774581700300104</v>
      </c>
      <c r="AM6515">
        <v>90.650169514819197</v>
      </c>
      <c r="AN6515">
        <v>1.00000001131001</v>
      </c>
    </row>
    <row r="6516" spans="1:40" x14ac:dyDescent="0.25">
      <c r="A6516" t="str">
        <f>"20190303162429521"</f>
        <v>20190303162429521</v>
      </c>
      <c r="B6516" t="str">
        <f>"1551601469510758"</f>
        <v>1551601469510758</v>
      </c>
      <c r="C6516" t="s">
        <v>40</v>
      </c>
      <c r="D6516">
        <v>5.6529400000000001</v>
      </c>
      <c r="E6516">
        <v>0.48428369999999998</v>
      </c>
      <c r="F6516" t="s">
        <v>41</v>
      </c>
      <c r="G6516">
        <v>-189.38069999999999</v>
      </c>
      <c r="H6516" s="1">
        <v>-2.8390269999999999E-6</v>
      </c>
      <c r="I6516">
        <v>35.994540000000001</v>
      </c>
      <c r="J6516">
        <v>-188.1095</v>
      </c>
      <c r="K6516">
        <v>1.120023</v>
      </c>
      <c r="L6516">
        <v>4.0750120000000001</v>
      </c>
      <c r="M6516">
        <v>1.5399909999999999E-2</v>
      </c>
      <c r="N6516">
        <v>-8.7867350000000004E-3</v>
      </c>
      <c r="O6516">
        <v>0.99984280000000003</v>
      </c>
      <c r="P6516">
        <v>4.9406090000000003E-3</v>
      </c>
      <c r="Q6516">
        <v>0.15134839999999999</v>
      </c>
      <c r="R6516">
        <v>0.98846809999999996</v>
      </c>
      <c r="S6516">
        <v>-0.1196594</v>
      </c>
      <c r="T6516">
        <v>-0.10589610000000001</v>
      </c>
      <c r="U6516">
        <v>3.0518190000000001</v>
      </c>
      <c r="V6516">
        <v>-1.022118E-2</v>
      </c>
      <c r="W6516">
        <v>0.16003199999999901</v>
      </c>
      <c r="X6516">
        <v>0.98705889999999996</v>
      </c>
      <c r="Y6516">
        <v>-5.453964E-2</v>
      </c>
      <c r="Z6516">
        <v>-2.5847760000000001E-2</v>
      </c>
      <c r="AA6516">
        <v>0.99817699999999998</v>
      </c>
      <c r="AB6516">
        <v>34</v>
      </c>
      <c r="AC6516">
        <v>-1.2711999999999899</v>
      </c>
      <c r="AD6516">
        <v>-1.1200258390269999</v>
      </c>
      <c r="AE6516">
        <v>31.919528</v>
      </c>
      <c r="AF6516">
        <v>-1.7604619593776401</v>
      </c>
      <c r="AG6516">
        <v>-1.1200258390269999</v>
      </c>
      <c r="AH6516">
        <v>31.857003842554398</v>
      </c>
      <c r="AI6516">
        <v>92.010505787386194</v>
      </c>
      <c r="AJ6516">
        <v>93.1630266265134</v>
      </c>
      <c r="AK6516">
        <v>31.925262379736701</v>
      </c>
      <c r="AL6516">
        <v>80.791246313236996</v>
      </c>
      <c r="AM6516">
        <v>90.593287335358298</v>
      </c>
      <c r="AN6516">
        <v>0.99999999280690099</v>
      </c>
    </row>
    <row r="6517" spans="1:40" x14ac:dyDescent="0.25">
      <c r="A6517" t="str">
        <f>"20190303162429554"</f>
        <v>20190303162429554</v>
      </c>
      <c r="B6517" t="str">
        <f>"1551601469541519"</f>
        <v>1551601469541519</v>
      </c>
      <c r="C6517" t="s">
        <v>40</v>
      </c>
      <c r="D6517">
        <v>5.8460510000000001</v>
      </c>
      <c r="E6517">
        <v>0.48427320000000001</v>
      </c>
      <c r="F6517" t="s">
        <v>41</v>
      </c>
      <c r="G6517">
        <v>-189.34049999999999</v>
      </c>
      <c r="H6517" s="1">
        <v>-2.9992360000000002E-6</v>
      </c>
      <c r="I6517">
        <v>36.351370000000003</v>
      </c>
      <c r="J6517">
        <v>-188.10169999999999</v>
      </c>
      <c r="K6517">
        <v>1.120034</v>
      </c>
      <c r="L6517">
        <v>4.5703740000000002</v>
      </c>
      <c r="M6517">
        <v>1.557034E-2</v>
      </c>
      <c r="N6517">
        <v>-8.8001509999999904E-3</v>
      </c>
      <c r="O6517">
        <v>0.99983999999999995</v>
      </c>
      <c r="P6517">
        <v>6.3916160000000001E-3</v>
      </c>
      <c r="Q6517">
        <v>0.151757</v>
      </c>
      <c r="R6517">
        <v>0.98839719999999998</v>
      </c>
      <c r="S6517">
        <v>-0.116394</v>
      </c>
      <c r="T6517">
        <v>-0.10590049999999999</v>
      </c>
      <c r="U6517">
        <v>3.0517880000000002</v>
      </c>
      <c r="V6517">
        <v>-8.9450520000000002E-3</v>
      </c>
      <c r="W6517">
        <v>0.16045179999999901</v>
      </c>
      <c r="X6517">
        <v>0.98700310000000002</v>
      </c>
      <c r="Y6517">
        <v>-5.3643929999999999E-2</v>
      </c>
      <c r="Z6517">
        <v>-2.5837599999999999E-2</v>
      </c>
      <c r="AA6517">
        <v>0.99822580000000005</v>
      </c>
      <c r="AB6517">
        <v>34</v>
      </c>
      <c r="AC6517">
        <v>-1.2387999999999899</v>
      </c>
      <c r="AD6517">
        <v>-1.120036999236</v>
      </c>
      <c r="AE6517">
        <v>31.780995999999998</v>
      </c>
      <c r="AF6517">
        <v>-1.73136278325313</v>
      </c>
      <c r="AG6517">
        <v>-1.120036999236</v>
      </c>
      <c r="AH6517">
        <v>31.718518389729599</v>
      </c>
      <c r="AI6517">
        <v>92.0193713634022</v>
      </c>
      <c r="AJ6517">
        <v>93.124402953799802</v>
      </c>
      <c r="AK6517">
        <v>31.785476381619699</v>
      </c>
      <c r="AL6517">
        <v>80.766878324440299</v>
      </c>
      <c r="AM6517">
        <v>90.519248314448504</v>
      </c>
      <c r="AN6517">
        <v>0.99999995674406505</v>
      </c>
    </row>
    <row r="6518" spans="1:40" x14ac:dyDescent="0.25">
      <c r="A6518" t="str">
        <f>"20190303162429577"</f>
        <v>20190303162429577</v>
      </c>
      <c r="B6518" t="str">
        <f>"1551601469570799"</f>
        <v>1551601469570799</v>
      </c>
      <c r="C6518" t="s">
        <v>40</v>
      </c>
      <c r="D6518">
        <v>5.7912889999999999</v>
      </c>
      <c r="E6518">
        <v>0.48409609999999897</v>
      </c>
      <c r="F6518" t="s">
        <v>41</v>
      </c>
      <c r="G6518">
        <v>-189.32550000000001</v>
      </c>
      <c r="H6518" s="1">
        <v>-3.6195659999999999E-6</v>
      </c>
      <c r="I6518">
        <v>37.79119</v>
      </c>
      <c r="J6518">
        <v>-188.096</v>
      </c>
      <c r="K6518">
        <v>1.1200490000000001</v>
      </c>
      <c r="L6518">
        <v>4.9277040000000003</v>
      </c>
      <c r="M6518">
        <v>1.567669E-2</v>
      </c>
      <c r="N6518">
        <v>-8.8096359999999992E-3</v>
      </c>
      <c r="O6518">
        <v>0.99983829999999996</v>
      </c>
      <c r="P6518">
        <v>6.1596430000000002E-3</v>
      </c>
      <c r="Q6518">
        <v>0.15160470000000001</v>
      </c>
      <c r="R6518">
        <v>0.98842200000000002</v>
      </c>
      <c r="S6518">
        <v>-0.11242679999999999</v>
      </c>
      <c r="T6518">
        <v>-0.1028888</v>
      </c>
      <c r="U6518">
        <v>3.0517270000000001</v>
      </c>
      <c r="V6518">
        <v>-9.2883670000000005E-3</v>
      </c>
      <c r="W6518">
        <v>0.1603087</v>
      </c>
      <c r="X6518">
        <v>0.98702319999999999</v>
      </c>
      <c r="Y6518">
        <v>-5.2456349999999999E-2</v>
      </c>
      <c r="Z6518">
        <v>-2.4846509999999999E-2</v>
      </c>
      <c r="AA6518">
        <v>0.99831409999999998</v>
      </c>
      <c r="AB6518">
        <v>34</v>
      </c>
      <c r="AC6518">
        <v>-1.22950000000003</v>
      </c>
      <c r="AD6518">
        <v>-1.1200526195659899</v>
      </c>
      <c r="AE6518">
        <v>32.863486000000002</v>
      </c>
      <c r="AF6518">
        <v>-1.7425383050286001</v>
      </c>
      <c r="AG6518">
        <v>-1.1200526195659899</v>
      </c>
      <c r="AH6518">
        <v>32.802122883395299</v>
      </c>
      <c r="AI6518">
        <v>91.952895251320101</v>
      </c>
      <c r="AJ6518">
        <v>93.040849902221794</v>
      </c>
      <c r="AK6518">
        <v>32.867464509335903</v>
      </c>
      <c r="AL6518">
        <v>80.775185048362005</v>
      </c>
      <c r="AM6518">
        <v>90.539165157330302</v>
      </c>
      <c r="AN6518">
        <v>0.99999997519772799</v>
      </c>
    </row>
    <row r="6519" spans="1:40" x14ac:dyDescent="0.25">
      <c r="A6519" t="str">
        <f>"20190303162429600"</f>
        <v>20190303162429600</v>
      </c>
      <c r="B6519" t="str">
        <f>"1551601469591295"</f>
        <v>1551601469591295</v>
      </c>
      <c r="C6519" t="s">
        <v>40</v>
      </c>
      <c r="D6519">
        <v>5.7915599999999996</v>
      </c>
      <c r="E6519">
        <v>0.48398629999999998</v>
      </c>
      <c r="F6519" t="s">
        <v>41</v>
      </c>
      <c r="G6519">
        <v>-189.34190000000001</v>
      </c>
      <c r="H6519" s="1">
        <v>-3.8792899999999996E-6</v>
      </c>
      <c r="I6519">
        <v>38.403390000000002</v>
      </c>
      <c r="J6519">
        <v>-188.09049999999999</v>
      </c>
      <c r="K6519">
        <v>1.120066</v>
      </c>
      <c r="L6519">
        <v>5.2727659999999998</v>
      </c>
      <c r="M6519">
        <v>1.5764420000000001E-2</v>
      </c>
      <c r="N6519">
        <v>-8.8185989999999999E-3</v>
      </c>
      <c r="O6519">
        <v>0.99983690000000003</v>
      </c>
      <c r="P6519">
        <v>5.0353109999999998E-3</v>
      </c>
      <c r="Q6519">
        <v>0.15179039999999999</v>
      </c>
      <c r="R6519">
        <v>0.9883999</v>
      </c>
      <c r="S6519">
        <v>-0.1135712</v>
      </c>
      <c r="T6519">
        <v>-0.1020997</v>
      </c>
      <c r="U6519">
        <v>3.0515140000000001</v>
      </c>
      <c r="V6519">
        <v>-1.050324E-2</v>
      </c>
      <c r="W6519">
        <v>0.1605036</v>
      </c>
      <c r="X6519">
        <v>0.98697939999999995</v>
      </c>
      <c r="Y6519">
        <v>-5.2920639999999998E-2</v>
      </c>
      <c r="Z6519">
        <v>-2.4581220000000001E-2</v>
      </c>
      <c r="AA6519">
        <v>0.99829610000000002</v>
      </c>
      <c r="AB6519">
        <v>34</v>
      </c>
      <c r="AC6519">
        <v>-1.2514000000000101</v>
      </c>
      <c r="AD6519">
        <v>-1.1200698792899999</v>
      </c>
      <c r="AE6519">
        <v>33.130623999999997</v>
      </c>
      <c r="AF6519">
        <v>-1.7715279326015101</v>
      </c>
      <c r="AG6519">
        <v>-1.1200698792899999</v>
      </c>
      <c r="AH6519">
        <v>33.069035567609198</v>
      </c>
      <c r="AI6519">
        <v>91.9371284656292</v>
      </c>
      <c r="AJ6519">
        <v>93.066437914245299</v>
      </c>
      <c r="AK6519">
        <v>33.135388652048199</v>
      </c>
      <c r="AL6519">
        <v>80.763872113067407</v>
      </c>
      <c r="AM6519">
        <v>90.609707363236197</v>
      </c>
      <c r="AN6519">
        <v>1.0000000298439</v>
      </c>
    </row>
    <row r="6520" spans="1:40" x14ac:dyDescent="0.25">
      <c r="A6520" t="str">
        <f>"20190303162429620"</f>
        <v>20190303162429620</v>
      </c>
      <c r="B6520" t="str">
        <f>"1551601469610815"</f>
        <v>1551601469610815</v>
      </c>
      <c r="C6520" t="s">
        <v>40</v>
      </c>
      <c r="D6520">
        <v>5.6234590000000004</v>
      </c>
      <c r="E6520">
        <v>0.4839463</v>
      </c>
      <c r="F6520" t="s">
        <v>41</v>
      </c>
      <c r="G6520">
        <v>-189.40039999999999</v>
      </c>
      <c r="H6520" s="1">
        <v>-4.2241809999999998E-6</v>
      </c>
      <c r="I6520">
        <v>39.231499999999997</v>
      </c>
      <c r="J6520">
        <v>-188.08529999999999</v>
      </c>
      <c r="K6520">
        <v>1.1200810000000001</v>
      </c>
      <c r="L6520">
        <v>5.5978700000000003</v>
      </c>
      <c r="M6520">
        <v>1.5832309999999999E-2</v>
      </c>
      <c r="N6520">
        <v>-8.8269179999999996E-3</v>
      </c>
      <c r="O6520">
        <v>0.99983569999999999</v>
      </c>
      <c r="P6520">
        <v>4.6004269999999998E-3</v>
      </c>
      <c r="Q6520">
        <v>0.15227739999999901</v>
      </c>
      <c r="R6520">
        <v>0.98832710000000001</v>
      </c>
      <c r="S6520">
        <v>-0.117691</v>
      </c>
      <c r="T6520">
        <v>-0.10064090000000001</v>
      </c>
      <c r="U6520">
        <v>3.0512700000000001</v>
      </c>
      <c r="V6520">
        <v>-1.1008739999999999E-2</v>
      </c>
      <c r="W6520">
        <v>0.16099769999999999</v>
      </c>
      <c r="X6520">
        <v>0.98689340000000003</v>
      </c>
      <c r="Y6520">
        <v>-5.4337620000000003E-2</v>
      </c>
      <c r="Z6520">
        <v>-2.409648E-2</v>
      </c>
      <c r="AA6520">
        <v>0.9982318</v>
      </c>
      <c r="AB6520">
        <v>34</v>
      </c>
      <c r="AC6520">
        <v>-1.3150999999999999</v>
      </c>
      <c r="AD6520">
        <v>-1.120085224181</v>
      </c>
      <c r="AE6520">
        <v>33.633629999999997</v>
      </c>
      <c r="AF6520">
        <v>-1.8454104107971201</v>
      </c>
      <c r="AG6520">
        <v>-1.120085224181</v>
      </c>
      <c r="AH6520">
        <v>33.571416343555597</v>
      </c>
      <c r="AI6520">
        <v>91.908043596290796</v>
      </c>
      <c r="AJ6520">
        <v>93.146364803783797</v>
      </c>
      <c r="AK6520">
        <v>33.640750969710197</v>
      </c>
      <c r="AL6520">
        <v>80.735189133096597</v>
      </c>
      <c r="AM6520">
        <v>90.639104668793706</v>
      </c>
      <c r="AN6520">
        <v>1.00000001736261</v>
      </c>
    </row>
    <row r="6521" spans="1:40" x14ac:dyDescent="0.25">
      <c r="A6521" t="str">
        <f>"20190303162429643"</f>
        <v>20190303162429643</v>
      </c>
      <c r="B6521" t="str">
        <f>"1551601469631311"</f>
        <v>1551601469631311</v>
      </c>
      <c r="C6521" t="s">
        <v>40</v>
      </c>
      <c r="D6521">
        <v>5.7815320000000003</v>
      </c>
      <c r="E6521">
        <v>0.48392790000000002</v>
      </c>
      <c r="F6521" t="s">
        <v>41</v>
      </c>
      <c r="G6521">
        <v>-189.44069999999999</v>
      </c>
      <c r="H6521" s="1">
        <v>-3.8462159999999999E-7</v>
      </c>
      <c r="I6521">
        <v>40.298050000000003</v>
      </c>
      <c r="J6521">
        <v>-188.07980000000001</v>
      </c>
      <c r="K6521">
        <v>1.1200969999999999</v>
      </c>
      <c r="L6521">
        <v>5.9429019999999904</v>
      </c>
      <c r="M6521">
        <v>1.5890959999999999E-2</v>
      </c>
      <c r="N6521">
        <v>-8.8356530000000006E-3</v>
      </c>
      <c r="O6521">
        <v>0.99983469999999997</v>
      </c>
      <c r="P6521">
        <v>4.6731469999999999E-3</v>
      </c>
      <c r="Q6521">
        <v>0.15274560000000001</v>
      </c>
      <c r="R6521">
        <v>0.98825450000000004</v>
      </c>
      <c r="S6521">
        <v>-0.1191711</v>
      </c>
      <c r="T6521">
        <v>-9.8487500000000006E-2</v>
      </c>
      <c r="U6521">
        <v>3.0511469999999998</v>
      </c>
      <c r="V6521">
        <v>-1.099752E-2</v>
      </c>
      <c r="W6521">
        <v>0.16147349999999999</v>
      </c>
      <c r="X6521">
        <v>0.98681580000000002</v>
      </c>
      <c r="Y6521">
        <v>-5.488196E-2</v>
      </c>
      <c r="Z6521">
        <v>-2.3384289999999999E-2</v>
      </c>
      <c r="AA6521">
        <v>0.99821899999999997</v>
      </c>
      <c r="AB6521">
        <v>34</v>
      </c>
      <c r="AC6521">
        <v>-1.36089999999998</v>
      </c>
      <c r="AD6521">
        <v>-1.12009738462159</v>
      </c>
      <c r="AE6521">
        <v>34.355148</v>
      </c>
      <c r="AF6521">
        <v>-1.9046642746229501</v>
      </c>
      <c r="AG6521">
        <v>-1.12009738462159</v>
      </c>
      <c r="AH6521">
        <v>34.292787137023801</v>
      </c>
      <c r="AI6521">
        <v>91.867896907625607</v>
      </c>
      <c r="AJ6521">
        <v>93.179013011656906</v>
      </c>
      <c r="AK6521">
        <v>34.3638998627234</v>
      </c>
      <c r="AL6521">
        <v>80.707566501249602</v>
      </c>
      <c r="AM6521">
        <v>90.638503555268599</v>
      </c>
      <c r="AN6521">
        <v>1.0000000298890099</v>
      </c>
    </row>
    <row r="6522" spans="1:40" x14ac:dyDescent="0.25">
      <c r="A6522" t="str">
        <f>"20190303162429664"</f>
        <v>20190303162429664</v>
      </c>
      <c r="B6522" t="str">
        <f>"1551601469651338"</f>
        <v>1551601469651338</v>
      </c>
      <c r="C6522" t="s">
        <v>40</v>
      </c>
      <c r="D6522">
        <v>5.7900210000000003</v>
      </c>
      <c r="E6522">
        <v>0.48392360000000001</v>
      </c>
      <c r="F6522" t="s">
        <v>41</v>
      </c>
      <c r="G6522">
        <v>-189.4726</v>
      </c>
      <c r="H6522" s="1">
        <v>-8.8189809999999997E-7</v>
      </c>
      <c r="I6522">
        <v>41.47043</v>
      </c>
      <c r="J6522">
        <v>-188.0746</v>
      </c>
      <c r="K6522">
        <v>1.1201080000000001</v>
      </c>
      <c r="L6522">
        <v>6.2648929999999998</v>
      </c>
      <c r="M6522">
        <v>1.5930739999999999E-2</v>
      </c>
      <c r="N6522">
        <v>-8.8436709999999905E-3</v>
      </c>
      <c r="O6522">
        <v>0.999834</v>
      </c>
      <c r="P6522">
        <v>5.1027210000000002E-3</v>
      </c>
      <c r="Q6522">
        <v>0.15310270000000001</v>
      </c>
      <c r="R6522">
        <v>0.98819710000000005</v>
      </c>
      <c r="S6522">
        <v>-0.1196136</v>
      </c>
      <c r="T6522">
        <v>-9.6193429999999996E-2</v>
      </c>
      <c r="U6522">
        <v>3.0510860000000002</v>
      </c>
      <c r="V6522">
        <v>-1.0611020000000001E-2</v>
      </c>
      <c r="W6522">
        <v>0.1618378</v>
      </c>
      <c r="X6522">
        <v>0.98676030000000003</v>
      </c>
      <c r="Y6522">
        <v>-5.506784E-2</v>
      </c>
      <c r="Z6522">
        <v>-2.2626690000000001E-2</v>
      </c>
      <c r="AA6522">
        <v>0.99822619999999895</v>
      </c>
      <c r="AB6522">
        <v>34</v>
      </c>
      <c r="AC6522">
        <v>-1.3979999999999899</v>
      </c>
      <c r="AD6522">
        <v>-1.1201088818981</v>
      </c>
      <c r="AE6522">
        <v>35.205537</v>
      </c>
      <c r="AF6522">
        <v>-1.9567171417318501</v>
      </c>
      <c r="AG6522">
        <v>-1.1201088818981</v>
      </c>
      <c r="AH6522">
        <v>35.1432782859928</v>
      </c>
      <c r="AI6522">
        <v>91.822728267006298</v>
      </c>
      <c r="AJ6522">
        <v>93.186839790637407</v>
      </c>
      <c r="AK6522">
        <v>35.215527747952201</v>
      </c>
      <c r="AL6522">
        <v>80.686414971084602</v>
      </c>
      <c r="AM6522">
        <v>90.616100211765698</v>
      </c>
      <c r="AN6522">
        <v>0.99999997845518496</v>
      </c>
    </row>
    <row r="6523" spans="1:40" x14ac:dyDescent="0.25">
      <c r="A6523" t="str">
        <f>"20190303162429687"</f>
        <v>20190303162429687</v>
      </c>
      <c r="B6523" t="str">
        <f>"1551601469681594"</f>
        <v>1551601469681594</v>
      </c>
      <c r="C6523" t="s">
        <v>40</v>
      </c>
      <c r="D6523">
        <v>5.7889970000000002</v>
      </c>
      <c r="E6523">
        <v>0.48387140000000001</v>
      </c>
      <c r="F6523" t="s">
        <v>41</v>
      </c>
      <c r="G6523">
        <v>-189.5009</v>
      </c>
      <c r="H6523" s="1">
        <v>-1.4623820000000001E-6</v>
      </c>
      <c r="I6523">
        <v>42.835250000000002</v>
      </c>
      <c r="J6523">
        <v>-188.06880000000001</v>
      </c>
      <c r="K6523">
        <v>1.1201179999999999</v>
      </c>
      <c r="L6523">
        <v>6.6270749999999996</v>
      </c>
      <c r="M6523">
        <v>1.5961570000000001E-2</v>
      </c>
      <c r="N6523">
        <v>-8.8525619999999996E-3</v>
      </c>
      <c r="O6523">
        <v>0.99983339999999998</v>
      </c>
      <c r="P6523">
        <v>5.3413410000000003E-3</v>
      </c>
      <c r="Q6523">
        <v>0.1527539</v>
      </c>
      <c r="R6523">
        <v>0.98824979999999996</v>
      </c>
      <c r="S6523">
        <v>-0.118988</v>
      </c>
      <c r="T6523">
        <v>-9.3446730000000006E-2</v>
      </c>
      <c r="U6523">
        <v>3.0509339999999998</v>
      </c>
      <c r="V6523">
        <v>-1.040929E-2</v>
      </c>
      <c r="W6523">
        <v>0.161498</v>
      </c>
      <c r="X6523">
        <v>0.98681810000000003</v>
      </c>
      <c r="Y6523">
        <v>-5.4897229999999998E-2</v>
      </c>
      <c r="Z6523">
        <v>-2.1721629999999999E-2</v>
      </c>
      <c r="AA6523">
        <v>0.99825569999999997</v>
      </c>
      <c r="AB6523">
        <v>34</v>
      </c>
      <c r="AC6523">
        <v>-1.4320999999999899</v>
      </c>
      <c r="AD6523">
        <v>-1.1201194623820001</v>
      </c>
      <c r="AE6523">
        <v>36.208174999999997</v>
      </c>
      <c r="AF6523">
        <v>-2.0079608887781801</v>
      </c>
      <c r="AG6523">
        <v>-1.1201194623820001</v>
      </c>
      <c r="AH6523">
        <v>36.146164347914301</v>
      </c>
      <c r="AI6523">
        <v>91.7722180510426</v>
      </c>
      <c r="AJ6523">
        <v>93.179578304750194</v>
      </c>
      <c r="AK6523">
        <v>36.219218263337801</v>
      </c>
      <c r="AL6523">
        <v>80.706143429364104</v>
      </c>
      <c r="AM6523">
        <v>90.604352783893006</v>
      </c>
      <c r="AN6523">
        <v>0.99999995990495605</v>
      </c>
    </row>
    <row r="6524" spans="1:40" x14ac:dyDescent="0.25">
      <c r="A6524" t="str">
        <f>"20190303162429710"</f>
        <v>20190303162429710</v>
      </c>
      <c r="B6524" t="str">
        <f>"1551601469701114"</f>
        <v>1551601469701114</v>
      </c>
      <c r="C6524" t="s">
        <v>40</v>
      </c>
      <c r="D6524">
        <v>5.7850979999999996</v>
      </c>
      <c r="E6524">
        <v>0.48386400000000002</v>
      </c>
      <c r="F6524" t="s">
        <v>41</v>
      </c>
      <c r="G6524">
        <v>-189.5067</v>
      </c>
      <c r="H6524" s="1">
        <v>-1.7633189999999901E-6</v>
      </c>
      <c r="I6524">
        <v>43.53913</v>
      </c>
      <c r="J6524">
        <v>-188.06319999999999</v>
      </c>
      <c r="K6524">
        <v>1.120134</v>
      </c>
      <c r="L6524">
        <v>6.9757689999999997</v>
      </c>
      <c r="M6524">
        <v>1.5980149999999999E-2</v>
      </c>
      <c r="N6524">
        <v>-8.8610970000000001E-3</v>
      </c>
      <c r="O6524">
        <v>0.99983299999999997</v>
      </c>
      <c r="P6524">
        <v>5.676431E-3</v>
      </c>
      <c r="Q6524">
        <v>0.15258939999999999</v>
      </c>
      <c r="R6524">
        <v>0.98827339999999997</v>
      </c>
      <c r="S6524">
        <v>-0.11883539999999999</v>
      </c>
      <c r="T6524">
        <v>-9.2573290000000003E-2</v>
      </c>
      <c r="U6524">
        <v>3.0506289999999998</v>
      </c>
      <c r="V6524">
        <v>-1.0097099999999999E-2</v>
      </c>
      <c r="W6524">
        <v>0.16134129999999899</v>
      </c>
      <c r="X6524">
        <v>0.98684700000000003</v>
      </c>
      <c r="Y6524">
        <v>-5.4870120000000001E-2</v>
      </c>
      <c r="Z6524">
        <v>-2.1430580000000001E-2</v>
      </c>
      <c r="AA6524">
        <v>0.99826349999999997</v>
      </c>
      <c r="AB6524">
        <v>34</v>
      </c>
      <c r="AC6524">
        <v>-1.4435</v>
      </c>
      <c r="AD6524">
        <v>-1.1201357633190001</v>
      </c>
      <c r="AE6524">
        <v>36.563361</v>
      </c>
      <c r="AF6524">
        <v>-2.0257283707581002</v>
      </c>
      <c r="AG6524">
        <v>-1.1201357633190001</v>
      </c>
      <c r="AH6524">
        <v>36.501419137045403</v>
      </c>
      <c r="AI6524">
        <v>91.7550113052651</v>
      </c>
      <c r="AJ6524">
        <v>93.176499706343407</v>
      </c>
      <c r="AK6524">
        <v>36.574743725399202</v>
      </c>
      <c r="AL6524">
        <v>80.715241210366699</v>
      </c>
      <c r="AM6524">
        <v>90.586211468103599</v>
      </c>
      <c r="AN6524">
        <v>0.99999998396154899</v>
      </c>
    </row>
    <row r="6525" spans="1:40" x14ac:dyDescent="0.25">
      <c r="A6525" t="str">
        <f>"20190303162429732"</f>
        <v>20190303162429732</v>
      </c>
      <c r="B6525" t="str">
        <f>"1551601469721609"</f>
        <v>1551601469721609</v>
      </c>
      <c r="C6525" t="s">
        <v>40</v>
      </c>
      <c r="D6525">
        <v>5.7284459999999999</v>
      </c>
      <c r="E6525">
        <v>0.48385410000000001</v>
      </c>
      <c r="F6525" t="s">
        <v>41</v>
      </c>
      <c r="G6525">
        <v>-189.4984</v>
      </c>
      <c r="H6525" s="1">
        <v>-2.0317220000000001E-6</v>
      </c>
      <c r="I6525">
        <v>44.161369999999998</v>
      </c>
      <c r="J6525">
        <v>-188.05779999999999</v>
      </c>
      <c r="K6525">
        <v>1.120142</v>
      </c>
      <c r="L6525">
        <v>7.3099369999999997</v>
      </c>
      <c r="M6525">
        <v>1.5990210000000001E-2</v>
      </c>
      <c r="N6525">
        <v>-8.8692219999999995E-3</v>
      </c>
      <c r="O6525">
        <v>0.99983279999999997</v>
      </c>
      <c r="P6525">
        <v>6.2339079999999998E-3</v>
      </c>
      <c r="Q6525">
        <v>0.1528475</v>
      </c>
      <c r="R6525">
        <v>0.9882301</v>
      </c>
      <c r="S6525">
        <v>-0.1177368</v>
      </c>
      <c r="T6525">
        <v>-9.1889020000000002E-2</v>
      </c>
      <c r="U6525">
        <v>3.0504760000000002</v>
      </c>
      <c r="V6525">
        <v>-9.5527040000000004E-3</v>
      </c>
      <c r="W6525">
        <v>0.16160720000000001</v>
      </c>
      <c r="X6525">
        <v>0.98680900000000005</v>
      </c>
      <c r="Y6525">
        <v>-5.4523410000000001E-2</v>
      </c>
      <c r="Z6525">
        <v>-2.1200710000000001E-2</v>
      </c>
      <c r="AA6525">
        <v>0.99828740000000005</v>
      </c>
      <c r="AB6525">
        <v>35</v>
      </c>
      <c r="AC6525">
        <v>-1.4406000000000101</v>
      </c>
      <c r="AD6525">
        <v>-1.1201440317219999</v>
      </c>
      <c r="AE6525">
        <v>36.851433</v>
      </c>
      <c r="AF6525">
        <v>-2.0278304253108601</v>
      </c>
      <c r="AG6525">
        <v>-1.1201440317219999</v>
      </c>
      <c r="AH6525">
        <v>36.7897454357866</v>
      </c>
      <c r="AI6525">
        <v>91.741314638556901</v>
      </c>
      <c r="AJ6525">
        <v>93.154919226244701</v>
      </c>
      <c r="AK6525">
        <v>36.862612334391002</v>
      </c>
      <c r="AL6525">
        <v>80.699804499121797</v>
      </c>
      <c r="AM6525">
        <v>90.554628632619099</v>
      </c>
      <c r="AN6525">
        <v>1.00000007186327</v>
      </c>
    </row>
    <row r="6526" spans="1:40" x14ac:dyDescent="0.25">
      <c r="A6526" t="str">
        <f>"20190303162429755"</f>
        <v>20190303162429755</v>
      </c>
      <c r="B6526" t="str">
        <f>"1551601469741637"</f>
        <v>1551601469741637</v>
      </c>
      <c r="C6526" t="s">
        <v>40</v>
      </c>
      <c r="D6526">
        <v>5.7265779999999999</v>
      </c>
      <c r="E6526">
        <v>0.48383969999999998</v>
      </c>
      <c r="F6526" t="s">
        <v>41</v>
      </c>
      <c r="G6526">
        <v>-189.50810000000001</v>
      </c>
      <c r="H6526" s="1">
        <v>-2.5115009999999998E-6</v>
      </c>
      <c r="I6526">
        <v>45.283769999999997</v>
      </c>
      <c r="J6526">
        <v>-188.0522</v>
      </c>
      <c r="K6526">
        <v>1.120139</v>
      </c>
      <c r="L6526">
        <v>7.6651309999999997</v>
      </c>
      <c r="M6526">
        <v>1.5995019999999999E-2</v>
      </c>
      <c r="N6526">
        <v>-8.8777779999999994E-3</v>
      </c>
      <c r="O6526">
        <v>0.99983259999999996</v>
      </c>
      <c r="P6526">
        <v>7.0558740000000002E-3</v>
      </c>
      <c r="Q6526">
        <v>0.15272160000000001</v>
      </c>
      <c r="R6526">
        <v>0.98824409999999896</v>
      </c>
      <c r="S6526">
        <v>-0.1165009</v>
      </c>
      <c r="T6526">
        <v>-8.9979649999999994E-2</v>
      </c>
      <c r="U6526">
        <v>3.0503849999999999</v>
      </c>
      <c r="V6526">
        <v>-8.7388250000000004E-3</v>
      </c>
      <c r="W6526">
        <v>0.16148950000000001</v>
      </c>
      <c r="X6526">
        <v>0.98683569999999998</v>
      </c>
      <c r="Y6526">
        <v>-5.4126180000000003E-2</v>
      </c>
      <c r="Z6526">
        <v>-2.0569190000000001E-2</v>
      </c>
      <c r="AA6526">
        <v>0.99832220000000005</v>
      </c>
      <c r="AB6526">
        <v>35</v>
      </c>
      <c r="AC6526">
        <v>-1.45590000000001</v>
      </c>
      <c r="AD6526">
        <v>-1.1201415115009901</v>
      </c>
      <c r="AE6526">
        <v>37.618639000000002</v>
      </c>
      <c r="AF6526">
        <v>-2.05562852127122</v>
      </c>
      <c r="AG6526">
        <v>-1.1201415115009901</v>
      </c>
      <c r="AH6526">
        <v>37.557288651611998</v>
      </c>
      <c r="AI6526">
        <v>91.705781560965605</v>
      </c>
      <c r="AJ6526">
        <v>93.132852316824298</v>
      </c>
      <c r="AK6526">
        <v>37.630177470798003</v>
      </c>
      <c r="AL6526">
        <v>80.7066369430473</v>
      </c>
      <c r="AM6526">
        <v>90.507363792264599</v>
      </c>
      <c r="AN6526">
        <v>0.99999996223355903</v>
      </c>
    </row>
    <row r="6527" spans="1:40" x14ac:dyDescent="0.25">
      <c r="A6527" t="str">
        <f>"20190303162429777"</f>
        <v>20190303162429777</v>
      </c>
      <c r="B6527" t="str">
        <f>"1551601469771893"</f>
        <v>1551601469771893</v>
      </c>
      <c r="C6527" t="s">
        <v>40</v>
      </c>
      <c r="D6527">
        <v>5.7974300000000003</v>
      </c>
      <c r="E6527">
        <v>0.48368860000000002</v>
      </c>
      <c r="F6527" t="s">
        <v>41</v>
      </c>
      <c r="G6527">
        <v>-189.4906</v>
      </c>
      <c r="H6527" s="1">
        <v>-2.7761520000000001E-6</v>
      </c>
      <c r="I6527">
        <v>45.893419999999999</v>
      </c>
      <c r="J6527">
        <v>-188.04660000000001</v>
      </c>
      <c r="K6527">
        <v>1.120144</v>
      </c>
      <c r="L6527">
        <v>8.0124509999999898</v>
      </c>
      <c r="M6527">
        <v>1.5989119999999999E-2</v>
      </c>
      <c r="N6527">
        <v>-8.8860680000000004E-3</v>
      </c>
      <c r="O6527">
        <v>0.99983270000000002</v>
      </c>
      <c r="P6527">
        <v>7.8108680000000003E-3</v>
      </c>
      <c r="Q6527">
        <v>0.1519102</v>
      </c>
      <c r="R6527">
        <v>0.9883634</v>
      </c>
      <c r="S6527">
        <v>-0.11477660000000001</v>
      </c>
      <c r="T6527">
        <v>-8.937871E-2</v>
      </c>
      <c r="U6527">
        <v>3.0503230000000001</v>
      </c>
      <c r="V6527">
        <v>-7.9827500000000003E-3</v>
      </c>
      <c r="W6527">
        <v>0.16068760000000001</v>
      </c>
      <c r="X6527">
        <v>0.98697299999999999</v>
      </c>
      <c r="Y6527">
        <v>-5.3557819999999999E-2</v>
      </c>
      <c r="Z6527">
        <v>-2.036576E-2</v>
      </c>
      <c r="AA6527">
        <v>0.9983571</v>
      </c>
      <c r="AB6527">
        <v>35</v>
      </c>
      <c r="AC6527">
        <v>-1.44399999999998</v>
      </c>
      <c r="AD6527">
        <v>-1.1201467761520001</v>
      </c>
      <c r="AE6527">
        <v>37.880969</v>
      </c>
      <c r="AF6527">
        <v>-2.04773472252</v>
      </c>
      <c r="AG6527">
        <v>-1.1201467761520001</v>
      </c>
      <c r="AH6527">
        <v>37.820015283884302</v>
      </c>
      <c r="AI6527">
        <v>91.694000906293795</v>
      </c>
      <c r="AJ6527">
        <v>93.099208347957699</v>
      </c>
      <c r="AK6527">
        <v>37.891971476385102</v>
      </c>
      <c r="AL6527">
        <v>80.753190456512002</v>
      </c>
      <c r="AM6527">
        <v>90.463404683593694</v>
      </c>
      <c r="AN6527">
        <v>0.99999996591016005</v>
      </c>
    </row>
    <row r="6528" spans="1:40" x14ac:dyDescent="0.25">
      <c r="A6528" t="str">
        <f>"20190303162429800"</f>
        <v>20190303162429800</v>
      </c>
      <c r="B6528" t="str">
        <f>"1551601469791413"</f>
        <v>1551601469791413</v>
      </c>
      <c r="C6528" t="s">
        <v>40</v>
      </c>
      <c r="D6528">
        <v>5.736739</v>
      </c>
      <c r="E6528">
        <v>0.48343459999999999</v>
      </c>
      <c r="F6528" t="s">
        <v>41</v>
      </c>
      <c r="G6528">
        <v>-189.44710000000001</v>
      </c>
      <c r="H6528" s="1">
        <v>-2.6004280000000001E-6</v>
      </c>
      <c r="I6528">
        <v>45.465809999999998</v>
      </c>
      <c r="J6528">
        <v>-188.04079999999999</v>
      </c>
      <c r="K6528">
        <v>1.120155</v>
      </c>
      <c r="L6528">
        <v>8.3715519999999994</v>
      </c>
      <c r="M6528">
        <v>1.5958079999999999E-2</v>
      </c>
      <c r="N6528">
        <v>-8.894562E-3</v>
      </c>
      <c r="O6528">
        <v>0.99983310000000003</v>
      </c>
      <c r="P6528">
        <v>9.2528569999999997E-3</v>
      </c>
      <c r="Q6528">
        <v>0.1508379</v>
      </c>
      <c r="R6528">
        <v>0.98851520000000004</v>
      </c>
      <c r="S6528">
        <v>-0.11405940000000001</v>
      </c>
      <c r="T6528">
        <v>-9.1225619999999993E-2</v>
      </c>
      <c r="U6528">
        <v>3.0502319999999998</v>
      </c>
      <c r="V6528">
        <v>-6.5192940000000001E-3</v>
      </c>
      <c r="W6528">
        <v>0.15962479999999901</v>
      </c>
      <c r="X6528">
        <v>0.98715620000000004</v>
      </c>
      <c r="Y6528">
        <v>-5.3292970000000002E-2</v>
      </c>
      <c r="Z6528">
        <v>-2.0962600000000001E-2</v>
      </c>
      <c r="AA6528">
        <v>0.99835879999999999</v>
      </c>
      <c r="AB6528">
        <v>35</v>
      </c>
      <c r="AC6528">
        <v>-1.4063000000000101</v>
      </c>
      <c r="AD6528">
        <v>-1.1201576004279901</v>
      </c>
      <c r="AE6528">
        <v>37.094258000000004</v>
      </c>
      <c r="AF6528">
        <v>-1.99627967837904</v>
      </c>
      <c r="AG6528">
        <v>-1.1201576004279901</v>
      </c>
      <c r="AH6528">
        <v>37.033369292203503</v>
      </c>
      <c r="AI6528">
        <v>91.7300014604089</v>
      </c>
      <c r="AJ6528">
        <v>93.085536388087107</v>
      </c>
      <c r="AK6528">
        <v>37.104047309381599</v>
      </c>
      <c r="AL6528">
        <v>80.814880777209495</v>
      </c>
      <c r="AM6528">
        <v>90.378382470123</v>
      </c>
      <c r="AN6528">
        <v>0.99999997058386803</v>
      </c>
    </row>
    <row r="6529" spans="1:40" x14ac:dyDescent="0.25">
      <c r="A6529" t="str">
        <f>"20190303162429823"</f>
        <v>20190303162429823</v>
      </c>
      <c r="B6529" t="str">
        <f>"1551601469811910"</f>
        <v>1551601469811910</v>
      </c>
      <c r="C6529" t="s">
        <v>40</v>
      </c>
      <c r="D6529">
        <v>5.0126119999999998</v>
      </c>
      <c r="E6529">
        <v>0.48331039999999997</v>
      </c>
      <c r="F6529" t="s">
        <v>41</v>
      </c>
      <c r="G6529">
        <v>-189.36279999999999</v>
      </c>
      <c r="H6529" s="1">
        <v>-2.1730670000000001E-6</v>
      </c>
      <c r="I6529">
        <v>44.43477</v>
      </c>
      <c r="J6529">
        <v>-188.0351</v>
      </c>
      <c r="K6529">
        <v>1.120185</v>
      </c>
      <c r="L6529">
        <v>8.7351679999999998</v>
      </c>
      <c r="M6529">
        <v>1.5884539999999999E-2</v>
      </c>
      <c r="N6529">
        <v>-8.9033879999999999E-3</v>
      </c>
      <c r="O6529">
        <v>0.99983420000000001</v>
      </c>
      <c r="P6529">
        <v>1.03429E-2</v>
      </c>
      <c r="Q6529">
        <v>0.150928799999999</v>
      </c>
      <c r="R6529">
        <v>0.98849050000000005</v>
      </c>
      <c r="S6529">
        <v>-0.1118164</v>
      </c>
      <c r="T6529">
        <v>-9.4746830000000004E-2</v>
      </c>
      <c r="U6529">
        <v>3.050354</v>
      </c>
      <c r="V6529">
        <v>-5.3678399999999996E-3</v>
      </c>
      <c r="W6529">
        <v>0.15972359999999999</v>
      </c>
      <c r="X6529">
        <v>0.9871472</v>
      </c>
      <c r="Y6529">
        <v>-5.248386E-2</v>
      </c>
      <c r="Z6529">
        <v>-2.2105369999999999E-2</v>
      </c>
      <c r="AA6529">
        <v>0.99837710000000002</v>
      </c>
      <c r="AB6529">
        <v>35</v>
      </c>
      <c r="AC6529">
        <v>-1.3276999999999901</v>
      </c>
      <c r="AD6529">
        <v>-1.1201871730670001</v>
      </c>
      <c r="AE6529">
        <v>35.699601999999999</v>
      </c>
      <c r="AF6529">
        <v>-1.89276568318524</v>
      </c>
      <c r="AG6529">
        <v>-1.1201871730670001</v>
      </c>
      <c r="AH6529">
        <v>35.638965559972704</v>
      </c>
      <c r="AI6529">
        <v>91.797769282862802</v>
      </c>
      <c r="AJ6529">
        <v>93.040090893825706</v>
      </c>
      <c r="AK6529">
        <v>35.706767529686402</v>
      </c>
      <c r="AL6529">
        <v>80.809146822594002</v>
      </c>
      <c r="AM6529">
        <v>90.311555911625206</v>
      </c>
      <c r="AN6529">
        <v>1.00000001828553</v>
      </c>
    </row>
    <row r="6530" spans="1:40" x14ac:dyDescent="0.25">
      <c r="A6530" t="str">
        <f>"20190303162429844"</f>
        <v>20190303162429844</v>
      </c>
      <c r="B6530" t="str">
        <f>"1551601469831430"</f>
        <v>1551601469831430</v>
      </c>
      <c r="C6530" t="s">
        <v>40</v>
      </c>
      <c r="D6530">
        <v>5.7963550000000001</v>
      </c>
      <c r="E6530">
        <v>0.4831029</v>
      </c>
      <c r="F6530" t="s">
        <v>41</v>
      </c>
      <c r="G6530">
        <v>-189.34299999999999</v>
      </c>
      <c r="H6530" s="1">
        <v>-2.3879590000000002E-6</v>
      </c>
      <c r="I6530">
        <v>44.927520000000001</v>
      </c>
      <c r="J6530">
        <v>-188.03</v>
      </c>
      <c r="K6530">
        <v>1.1202299999999901</v>
      </c>
      <c r="L6530">
        <v>9.0551150000000007</v>
      </c>
      <c r="M6530">
        <v>1.5775319999999999E-2</v>
      </c>
      <c r="N6530">
        <v>-8.9110709999999996E-3</v>
      </c>
      <c r="O6530">
        <v>0.99983580000000005</v>
      </c>
      <c r="P6530">
        <v>1.2486580000000001E-2</v>
      </c>
      <c r="Q6530">
        <v>0.15182399999999999</v>
      </c>
      <c r="R6530">
        <v>0.98832869999999995</v>
      </c>
      <c r="S6530">
        <v>-0.1102448</v>
      </c>
      <c r="T6530">
        <v>-9.4416020000000003E-2</v>
      </c>
      <c r="U6530">
        <v>3.0505070000000001</v>
      </c>
      <c r="V6530">
        <v>-3.1282039999999999E-3</v>
      </c>
      <c r="W6530">
        <v>0.1606255</v>
      </c>
      <c r="X6530">
        <v>0.98701050000000001</v>
      </c>
      <c r="Y6530">
        <v>-5.1859460000000003E-2</v>
      </c>
      <c r="Z6530">
        <v>-2.1988879999999999E-2</v>
      </c>
      <c r="AA6530">
        <v>0.99841230000000003</v>
      </c>
      <c r="AB6530">
        <v>35</v>
      </c>
      <c r="AC6530">
        <v>-1.31299999999998</v>
      </c>
      <c r="AD6530">
        <v>-1.1202323879589999</v>
      </c>
      <c r="AE6530">
        <v>35.872405000000001</v>
      </c>
      <c r="AF6530">
        <v>-1.8769298274381701</v>
      </c>
      <c r="AG6530">
        <v>-1.1202323879589999</v>
      </c>
      <c r="AH6530">
        <v>35.8123493287234</v>
      </c>
      <c r="AI6530">
        <v>91.789209093068806</v>
      </c>
      <c r="AJ6530">
        <v>93.000134227108404</v>
      </c>
      <c r="AK6530">
        <v>35.878993166234203</v>
      </c>
      <c r="AL6530">
        <v>80.756795967117199</v>
      </c>
      <c r="AM6530">
        <v>90.181591063653997</v>
      </c>
      <c r="AN6530">
        <v>1.0000000320103799</v>
      </c>
    </row>
    <row r="6531" spans="1:40" x14ac:dyDescent="0.25">
      <c r="A6531" t="str">
        <f>"20190303162429866"</f>
        <v>20190303162429866</v>
      </c>
      <c r="B6531" t="str">
        <f>"1551601469851457"</f>
        <v>1551601469851457</v>
      </c>
      <c r="C6531" t="s">
        <v>40</v>
      </c>
      <c r="D6531">
        <v>5.7995330000000003</v>
      </c>
      <c r="E6531">
        <v>0.4829387</v>
      </c>
      <c r="F6531" t="s">
        <v>41</v>
      </c>
      <c r="G6531">
        <v>-189.32669999999999</v>
      </c>
      <c r="H6531" s="1">
        <v>-2.9857500000000002E-6</v>
      </c>
      <c r="I6531">
        <v>46.314219999999999</v>
      </c>
      <c r="J6531">
        <v>-188.0248</v>
      </c>
      <c r="K6531">
        <v>1.120268</v>
      </c>
      <c r="L6531">
        <v>9.3952939999999998</v>
      </c>
      <c r="M6531">
        <v>1.561882E-2</v>
      </c>
      <c r="N6531">
        <v>-8.9190769999999992E-3</v>
      </c>
      <c r="O6531">
        <v>0.99983820000000001</v>
      </c>
      <c r="P6531">
        <v>1.4121170000000001E-2</v>
      </c>
      <c r="Q6531">
        <v>0.1524982</v>
      </c>
      <c r="R6531">
        <v>0.9882029</v>
      </c>
      <c r="S6531">
        <v>-0.10617070000000001</v>
      </c>
      <c r="T6531">
        <v>-9.1727610000000001E-2</v>
      </c>
      <c r="U6531">
        <v>3.0508730000000002</v>
      </c>
      <c r="V6531">
        <v>-1.3527809999999999E-3</v>
      </c>
      <c r="W6531">
        <v>0.16130649999999999</v>
      </c>
      <c r="X6531">
        <v>0.98690339999999999</v>
      </c>
      <c r="Y6531">
        <v>-5.0368290000000003E-2</v>
      </c>
      <c r="Z6531">
        <v>-2.1100130000000002E-2</v>
      </c>
      <c r="AA6531">
        <v>0.99850779999999995</v>
      </c>
      <c r="AB6531">
        <v>35</v>
      </c>
      <c r="AC6531">
        <v>-1.3018999999999801</v>
      </c>
      <c r="AD6531">
        <v>-1.1202709857499999</v>
      </c>
      <c r="AE6531">
        <v>36.918925999999999</v>
      </c>
      <c r="AF6531">
        <v>-1.8766683771442001</v>
      </c>
      <c r="AG6531">
        <v>-1.1202709857499999</v>
      </c>
      <c r="AH6531">
        <v>36.860189912565097</v>
      </c>
      <c r="AI6531">
        <v>91.738572004430694</v>
      </c>
      <c r="AJ6531">
        <v>92.914592001646099</v>
      </c>
      <c r="AK6531">
        <v>36.924930489706398</v>
      </c>
      <c r="AL6531">
        <v>80.717261426514497</v>
      </c>
      <c r="AM6531">
        <v>90.078537163172797</v>
      </c>
      <c r="AN6531">
        <v>0.999999968945121</v>
      </c>
    </row>
    <row r="6532" spans="1:40" x14ac:dyDescent="0.25">
      <c r="A6532" t="str">
        <f>"20190303162429889"</f>
        <v>20190303162429889</v>
      </c>
      <c r="B6532" t="str">
        <f>"1551601469881713"</f>
        <v>1551601469881713</v>
      </c>
      <c r="C6532" t="s">
        <v>40</v>
      </c>
      <c r="D6532">
        <v>5.7404129999999904</v>
      </c>
      <c r="E6532">
        <v>0.48264230000000002</v>
      </c>
      <c r="F6532" t="s">
        <v>41</v>
      </c>
      <c r="G6532">
        <v>-189.31270000000001</v>
      </c>
      <c r="H6532" s="1">
        <v>-3.519877E-6</v>
      </c>
      <c r="I6532">
        <v>47.553519999999999</v>
      </c>
      <c r="J6532">
        <v>-188.01939999999999</v>
      </c>
      <c r="K6532">
        <v>1.1203080000000001</v>
      </c>
      <c r="L6532">
        <v>9.7565609999999996</v>
      </c>
      <c r="M6532">
        <v>1.540889E-2</v>
      </c>
      <c r="N6532">
        <v>-8.9274999999999997E-3</v>
      </c>
      <c r="O6532">
        <v>0.99984139999999999</v>
      </c>
      <c r="P6532">
        <v>1.472044E-2</v>
      </c>
      <c r="Q6532">
        <v>0.15211540000000001</v>
      </c>
      <c r="R6532">
        <v>0.9882531</v>
      </c>
      <c r="S6532">
        <v>-0.10298160000000001</v>
      </c>
      <c r="T6532">
        <v>-8.957648E-2</v>
      </c>
      <c r="U6532">
        <v>3.0511170000000001</v>
      </c>
      <c r="V6532">
        <v>-5.6222029999999999E-4</v>
      </c>
      <c r="W6532">
        <v>0.16093279999999999</v>
      </c>
      <c r="X6532">
        <v>0.98696519999999999</v>
      </c>
      <c r="Y6532">
        <v>-4.9114209999999998E-2</v>
      </c>
      <c r="Z6532">
        <v>-2.0387530000000001E-2</v>
      </c>
      <c r="AA6532">
        <v>0.99858499999999994</v>
      </c>
      <c r="AB6532">
        <v>35</v>
      </c>
      <c r="AC6532">
        <v>-1.2933000000000101</v>
      </c>
      <c r="AD6532">
        <v>-1.120311519877</v>
      </c>
      <c r="AE6532">
        <v>37.796959000000001</v>
      </c>
      <c r="AF6532">
        <v>-1.8739344379361</v>
      </c>
      <c r="AG6532">
        <v>-1.120311519877</v>
      </c>
      <c r="AH6532">
        <v>37.739425124208303</v>
      </c>
      <c r="AI6532">
        <v>91.698260121580702</v>
      </c>
      <c r="AJ6532">
        <v>92.842661821407503</v>
      </c>
      <c r="AK6532">
        <v>37.802525535802197</v>
      </c>
      <c r="AL6532">
        <v>80.738956541433595</v>
      </c>
      <c r="AM6532">
        <v>90.032638280318494</v>
      </c>
      <c r="AN6532">
        <v>0.99999999410927198</v>
      </c>
    </row>
    <row r="6533" spans="1:40" x14ac:dyDescent="0.25">
      <c r="A6533" t="str">
        <f>"20190303162429910"</f>
        <v>20190303162429910</v>
      </c>
      <c r="B6533" t="str">
        <f>"1551601469901233"</f>
        <v>1551601469901233</v>
      </c>
      <c r="C6533" t="s">
        <v>40</v>
      </c>
      <c r="D6533">
        <v>5.7394150000000002</v>
      </c>
      <c r="E6533">
        <v>0.48246549999999999</v>
      </c>
      <c r="F6533" t="s">
        <v>41</v>
      </c>
      <c r="G6533">
        <v>-189.29050000000001</v>
      </c>
      <c r="H6533" s="1">
        <v>-3.4036770000000001E-6</v>
      </c>
      <c r="I6533">
        <v>47.273449999999997</v>
      </c>
      <c r="J6533">
        <v>-188.01419999999999</v>
      </c>
      <c r="K6533">
        <v>1.1203430000000001</v>
      </c>
      <c r="L6533">
        <v>10.106960000000001</v>
      </c>
      <c r="M6533">
        <v>1.516964E-2</v>
      </c>
      <c r="N6533">
        <v>-8.9356290000000005E-3</v>
      </c>
      <c r="O6533">
        <v>0.99984499999999998</v>
      </c>
      <c r="P6533">
        <v>1.4432459999999999E-2</v>
      </c>
      <c r="Q6533">
        <v>0.15245939999999999</v>
      </c>
      <c r="R6533">
        <v>0.98820439999999998</v>
      </c>
      <c r="S6533">
        <v>-0.10337830000000001</v>
      </c>
      <c r="T6533">
        <v>-9.1114639999999997E-2</v>
      </c>
      <c r="U6533">
        <v>3.0512389999999998</v>
      </c>
      <c r="V6533">
        <v>-6.2571779999999997E-4</v>
      </c>
      <c r="W6533">
        <v>0.16128390000000001</v>
      </c>
      <c r="X6533">
        <v>0.9869078</v>
      </c>
      <c r="Y6533">
        <v>-4.9003110000000002E-2</v>
      </c>
      <c r="Z6533">
        <v>-2.0881460000000001E-2</v>
      </c>
      <c r="AA6533">
        <v>0.99858029999999998</v>
      </c>
      <c r="AB6533">
        <v>35</v>
      </c>
      <c r="AC6533">
        <v>-1.27630000000002</v>
      </c>
      <c r="AD6533">
        <v>-1.1203464036769999</v>
      </c>
      <c r="AE6533">
        <v>37.166490000000003</v>
      </c>
      <c r="AF6533">
        <v>-1.8383094854459601</v>
      </c>
      <c r="AG6533">
        <v>-1.1203464036769999</v>
      </c>
      <c r="AH6533">
        <v>37.109171375041903</v>
      </c>
      <c r="AI6533">
        <v>91.727149372820193</v>
      </c>
      <c r="AJ6533">
        <v>92.835992825034893</v>
      </c>
      <c r="AK6533">
        <v>37.1715638354205</v>
      </c>
      <c r="AL6533">
        <v>80.718573283828107</v>
      </c>
      <c r="AM6533">
        <v>90.0363265791418</v>
      </c>
      <c r="AN6533">
        <v>0.99999994681140603</v>
      </c>
    </row>
    <row r="6534" spans="1:40" x14ac:dyDescent="0.25">
      <c r="A6534" t="str">
        <f>"20190303162429933"</f>
        <v>20190303162429933</v>
      </c>
      <c r="B6534" t="str">
        <f>"1551601469921729"</f>
        <v>1551601469921729</v>
      </c>
      <c r="C6534" t="s">
        <v>40</v>
      </c>
      <c r="D6534">
        <v>5.8613949999999999</v>
      </c>
      <c r="E6534">
        <v>0.48228070000000001</v>
      </c>
      <c r="F6534" t="s">
        <v>41</v>
      </c>
      <c r="G6534">
        <v>-189.31139999999999</v>
      </c>
      <c r="H6534" s="1">
        <v>-3.6465039999999998E-6</v>
      </c>
      <c r="I6534">
        <v>47.848129999999998</v>
      </c>
      <c r="J6534">
        <v>-188.00909999999999</v>
      </c>
      <c r="K6534">
        <v>1.1203700000000001</v>
      </c>
      <c r="L6534">
        <v>10.461880000000001</v>
      </c>
      <c r="M6534">
        <v>1.490056E-2</v>
      </c>
      <c r="N6534">
        <v>-8.9437839999999998E-3</v>
      </c>
      <c r="O6534">
        <v>0.99984899999999999</v>
      </c>
      <c r="P6534">
        <v>1.303725E-2</v>
      </c>
      <c r="Q6534">
        <v>0.153143899999999</v>
      </c>
      <c r="R6534">
        <v>0.98811789999999999</v>
      </c>
      <c r="S6534">
        <v>-0.1048737</v>
      </c>
      <c r="T6534">
        <v>-9.0577840000000007E-2</v>
      </c>
      <c r="U6534">
        <v>3.0512999999999999</v>
      </c>
      <c r="V6534">
        <v>-1.762942E-3</v>
      </c>
      <c r="W6534">
        <v>0.16197510000000001</v>
      </c>
      <c r="X6534">
        <v>0.98679329999999998</v>
      </c>
      <c r="Y6534">
        <v>-4.9222559999999999E-2</v>
      </c>
      <c r="Z6534">
        <v>-2.069694E-2</v>
      </c>
      <c r="AA6534">
        <v>0.99857340000000006</v>
      </c>
      <c r="AB6534">
        <v>35</v>
      </c>
      <c r="AC6534">
        <v>-1.3023</v>
      </c>
      <c r="AD6534">
        <v>-1.120373646504</v>
      </c>
      <c r="AE6534">
        <v>37.386249999999997</v>
      </c>
      <c r="AF6534">
        <v>-1.8575875493241001</v>
      </c>
      <c r="AG6534">
        <v>-1.120373646504</v>
      </c>
      <c r="AH6534">
        <v>37.3292103091974</v>
      </c>
      <c r="AI6534">
        <v>91.716997366283707</v>
      </c>
      <c r="AJ6534">
        <v>92.848820108175502</v>
      </c>
      <c r="AK6534">
        <v>37.392189169925203</v>
      </c>
      <c r="AL6534">
        <v>80.678443555066906</v>
      </c>
      <c r="AM6534">
        <v>90.102360878070897</v>
      </c>
      <c r="AN6534">
        <v>1.00000002895469</v>
      </c>
    </row>
    <row r="6535" spans="1:40" x14ac:dyDescent="0.25">
      <c r="A6535" t="str">
        <f>"20190303162429976"</f>
        <v>20190303162429976</v>
      </c>
      <c r="B6535" t="str">
        <f>"1551601469971037"</f>
        <v>1551601469971037</v>
      </c>
      <c r="C6535" t="s">
        <v>40</v>
      </c>
      <c r="D6535">
        <v>5.7999199999999904</v>
      </c>
      <c r="E6535">
        <v>0.4819522</v>
      </c>
      <c r="F6535" t="s">
        <v>41</v>
      </c>
      <c r="G6535">
        <v>-189.3877</v>
      </c>
      <c r="H6535" s="1">
        <v>-3.9729060000000003E-6</v>
      </c>
      <c r="I6535">
        <v>48.640520000000002</v>
      </c>
      <c r="J6535">
        <v>-187.99959999999999</v>
      </c>
      <c r="K6535">
        <v>1.120395</v>
      </c>
      <c r="L6535">
        <v>11.141450000000001</v>
      </c>
      <c r="M6535">
        <v>1.434644E-2</v>
      </c>
      <c r="N6535">
        <v>-8.9593709999999903E-3</v>
      </c>
      <c r="O6535">
        <v>0.99985690000000005</v>
      </c>
      <c r="P6535">
        <v>9.2793300000000006E-3</v>
      </c>
      <c r="Q6535">
        <v>0.15461720000000001</v>
      </c>
      <c r="R6535">
        <v>0.98793089999999995</v>
      </c>
      <c r="S6535">
        <v>-0.1101837</v>
      </c>
      <c r="T6535">
        <v>-8.9545730000000004E-2</v>
      </c>
      <c r="U6535">
        <v>3.0514220000000001</v>
      </c>
      <c r="V6535">
        <v>-4.9815930000000003E-3</v>
      </c>
      <c r="W6535">
        <v>0.16345999999999999</v>
      </c>
      <c r="X6535">
        <v>0.98653740000000001</v>
      </c>
      <c r="Y6535">
        <v>-5.0403299999999998E-2</v>
      </c>
      <c r="Z6535">
        <v>-2.034122E-2</v>
      </c>
      <c r="AA6535">
        <v>0.99852180000000001</v>
      </c>
      <c r="AB6535">
        <v>35</v>
      </c>
      <c r="AC6535">
        <v>-1.3880999999999999</v>
      </c>
      <c r="AD6535">
        <v>-1.120398972906</v>
      </c>
      <c r="AE6535">
        <v>37.499070000000003</v>
      </c>
      <c r="AF6535">
        <v>-1.9242414910380401</v>
      </c>
      <c r="AG6535">
        <v>-1.120398972906</v>
      </c>
      <c r="AH6535">
        <v>37.441916786532502</v>
      </c>
      <c r="AI6535">
        <v>91.711729954289794</v>
      </c>
      <c r="AJ6535">
        <v>92.941996935444706</v>
      </c>
      <c r="AK6535">
        <v>37.508067556512998</v>
      </c>
      <c r="AL6535">
        <v>80.5922157278019</v>
      </c>
      <c r="AM6535">
        <v>90.289316784396505</v>
      </c>
      <c r="AN6535">
        <v>1.00000001473378</v>
      </c>
    </row>
    <row r="6536" spans="1:40" x14ac:dyDescent="0.25">
      <c r="A6536" t="str">
        <f>"20190303162430002"</f>
        <v>20190303162430002</v>
      </c>
      <c r="B6536" t="str">
        <f>"1551601469991532"</f>
        <v>1551601469991532</v>
      </c>
      <c r="C6536" t="s">
        <v>40</v>
      </c>
      <c r="D6536">
        <v>5.8592610000000001</v>
      </c>
      <c r="E6536">
        <v>0.48181089999999999</v>
      </c>
      <c r="F6536" t="s">
        <v>41</v>
      </c>
      <c r="G6536">
        <v>-189.6181</v>
      </c>
      <c r="H6536" s="1">
        <v>-6.421996E-7</v>
      </c>
      <c r="I6536">
        <v>50.97186</v>
      </c>
      <c r="J6536">
        <v>-187.99420000000001</v>
      </c>
      <c r="K6536">
        <v>1.120404</v>
      </c>
      <c r="L6536">
        <v>11.53134</v>
      </c>
      <c r="M6536">
        <v>1.4032909999999999E-2</v>
      </c>
      <c r="N6536">
        <v>-8.9683419999999903E-3</v>
      </c>
      <c r="O6536">
        <v>0.99986129999999995</v>
      </c>
      <c r="P6536">
        <v>7.7885080000000004E-3</v>
      </c>
      <c r="Q6536">
        <v>0.15583669999999999</v>
      </c>
      <c r="R6536">
        <v>0.98775210000000002</v>
      </c>
      <c r="S6536">
        <v>-0.1239929</v>
      </c>
      <c r="T6536">
        <v>-8.5828779999999993E-2</v>
      </c>
      <c r="U6536">
        <v>3.0512389999999998</v>
      </c>
      <c r="V6536">
        <v>-6.1620049999999999E-3</v>
      </c>
      <c r="W6536">
        <v>0.16468579999999999</v>
      </c>
      <c r="X6536">
        <v>0.98632679999999995</v>
      </c>
      <c r="Y6536">
        <v>-5.4604809999999997E-2</v>
      </c>
      <c r="Z6536">
        <v>-1.9112850000000001E-2</v>
      </c>
      <c r="AA6536">
        <v>0.99832509999999997</v>
      </c>
      <c r="AB6536">
        <v>35</v>
      </c>
      <c r="AC6536">
        <v>-1.6238999999999899</v>
      </c>
      <c r="AD6536">
        <v>-1.1204046421995999</v>
      </c>
      <c r="AE6536">
        <v>39.440519999999999</v>
      </c>
      <c r="AF6536">
        <v>-2.1754750213848402</v>
      </c>
      <c r="AG6536">
        <v>-1.1204046421995999</v>
      </c>
      <c r="AH6536">
        <v>39.382120245393303</v>
      </c>
      <c r="AI6536">
        <v>91.627121767664207</v>
      </c>
      <c r="AJ6536">
        <v>93.161815151233895</v>
      </c>
      <c r="AK6536">
        <v>39.458071330889297</v>
      </c>
      <c r="AL6536">
        <v>80.521017266444304</v>
      </c>
      <c r="AM6536">
        <v>90.357946561560595</v>
      </c>
      <c r="AN6536">
        <v>0.99999996971274896</v>
      </c>
    </row>
    <row r="6537" spans="1:40" x14ac:dyDescent="0.25">
      <c r="A6537" t="str">
        <f>"20190303162430023"</f>
        <v>20190303162430023</v>
      </c>
      <c r="B6537" t="str">
        <f>"1551601470012029"</f>
        <v>1551601470012029</v>
      </c>
      <c r="C6537" t="s">
        <v>40</v>
      </c>
      <c r="D6537">
        <v>5.8594089999999897</v>
      </c>
      <c r="E6537">
        <v>0.48170350000000001</v>
      </c>
      <c r="F6537" t="s">
        <v>41</v>
      </c>
      <c r="G6537">
        <v>-189.7561</v>
      </c>
      <c r="H6537" s="1">
        <v>-1.4539909999999999E-6</v>
      </c>
      <c r="I6537">
        <v>52.921199999999999</v>
      </c>
      <c r="J6537">
        <v>-187.9897</v>
      </c>
      <c r="K6537">
        <v>1.1204099999999999</v>
      </c>
      <c r="L6537">
        <v>11.871549999999999</v>
      </c>
      <c r="M6537">
        <v>1.377748E-2</v>
      </c>
      <c r="N6537">
        <v>-8.976029E-3</v>
      </c>
      <c r="O6537">
        <v>0.9998648</v>
      </c>
      <c r="P6537">
        <v>7.0661209999999999E-3</v>
      </c>
      <c r="Q6537">
        <v>0.15626209999999999</v>
      </c>
      <c r="R6537">
        <v>0.98769030000000002</v>
      </c>
      <c r="S6537">
        <v>-0.12988279999999999</v>
      </c>
      <c r="T6537">
        <v>-8.2596539999999996E-2</v>
      </c>
      <c r="U6537">
        <v>3.0512700000000001</v>
      </c>
      <c r="V6537">
        <v>-6.6299549999999999E-3</v>
      </c>
      <c r="W6537">
        <v>0.16511799999999999</v>
      </c>
      <c r="X6537">
        <v>0.98625149999999995</v>
      </c>
      <c r="Y6537">
        <v>-5.627381E-2</v>
      </c>
      <c r="Z6537">
        <v>-1.804567E-2</v>
      </c>
      <c r="AA6537">
        <v>0.99825229999999998</v>
      </c>
      <c r="AB6537">
        <v>35</v>
      </c>
      <c r="AC6537">
        <v>-1.7664</v>
      </c>
      <c r="AD6537">
        <v>-1.120411453991</v>
      </c>
      <c r="AE6537">
        <v>41.04965</v>
      </c>
      <c r="AF6537">
        <v>-2.3300832218540402</v>
      </c>
      <c r="AG6537">
        <v>-1.120411453991</v>
      </c>
      <c r="AH6537">
        <v>40.990935585377699</v>
      </c>
      <c r="AI6537">
        <v>91.563162220652003</v>
      </c>
      <c r="AJ6537">
        <v>93.253412419277296</v>
      </c>
      <c r="AK6537">
        <v>41.072392306896198</v>
      </c>
      <c r="AL6537">
        <v>80.495910276603098</v>
      </c>
      <c r="AM6537">
        <v>90.385158063522496</v>
      </c>
      <c r="AN6537">
        <v>0.99999996573977501</v>
      </c>
    </row>
    <row r="6538" spans="1:40" x14ac:dyDescent="0.25">
      <c r="A6538" t="str">
        <f>"20190303162430044"</f>
        <v>20190303162430044</v>
      </c>
      <c r="B6538" t="str">
        <f>"1551601470031549"</f>
        <v>1551601470031549</v>
      </c>
      <c r="C6538" t="s">
        <v>40</v>
      </c>
      <c r="D6538">
        <v>5.7985949999999997</v>
      </c>
      <c r="E6538">
        <v>0.48158099999999998</v>
      </c>
      <c r="F6538" t="s">
        <v>41</v>
      </c>
      <c r="G6538">
        <v>-189.80629999999999</v>
      </c>
      <c r="H6538" s="1">
        <v>-1.704702E-6</v>
      </c>
      <c r="I6538">
        <v>53.526380000000003</v>
      </c>
      <c r="J6538">
        <v>-187.98519999999999</v>
      </c>
      <c r="K6538">
        <v>1.120406</v>
      </c>
      <c r="L6538">
        <v>12.20978</v>
      </c>
      <c r="M6538">
        <v>1.3546860000000001E-2</v>
      </c>
      <c r="N6538">
        <v>-8.9837089999999994E-3</v>
      </c>
      <c r="O6538">
        <v>0.99986790000000003</v>
      </c>
      <c r="P6538">
        <v>5.8188329999999998E-3</v>
      </c>
      <c r="Q6538">
        <v>0.1562085</v>
      </c>
      <c r="R6538">
        <v>0.987707</v>
      </c>
      <c r="S6538">
        <v>-0.13307189999999999</v>
      </c>
      <c r="T6538">
        <v>-8.2073209999999994E-2</v>
      </c>
      <c r="U6538">
        <v>3.0513309999999998</v>
      </c>
      <c r="V6538">
        <v>-7.6453479999999997E-3</v>
      </c>
      <c r="W6538">
        <v>0.16507189999999999</v>
      </c>
      <c r="X6538">
        <v>0.98625189999999996</v>
      </c>
      <c r="Y6538">
        <v>-5.7084099999999999E-2</v>
      </c>
      <c r="Z6538">
        <v>-1.7865220000000001E-2</v>
      </c>
      <c r="AA6538">
        <v>0.99820949999999997</v>
      </c>
      <c r="AB6538">
        <v>35</v>
      </c>
      <c r="AC6538">
        <v>-1.8210999999999999</v>
      </c>
      <c r="AD6538">
        <v>-1.120407704702</v>
      </c>
      <c r="AE6538">
        <v>41.316600000000001</v>
      </c>
      <c r="AF6538">
        <v>-2.3789196663499799</v>
      </c>
      <c r="AG6538">
        <v>-1.120407704702</v>
      </c>
      <c r="AH6538">
        <v>41.257856420451702</v>
      </c>
      <c r="AI6538">
        <v>91.552976723938798</v>
      </c>
      <c r="AJ6538">
        <v>93.300009180884501</v>
      </c>
      <c r="AK6538">
        <v>41.341568531132303</v>
      </c>
      <c r="AL6538">
        <v>80.498588660341497</v>
      </c>
      <c r="AM6538">
        <v>90.444143528874093</v>
      </c>
      <c r="AN6538">
        <v>0.99999999688463004</v>
      </c>
    </row>
    <row r="6539" spans="1:40" x14ac:dyDescent="0.25">
      <c r="A6539" t="str">
        <f>"20190303162430067"</f>
        <v>20190303162430067</v>
      </c>
      <c r="B6539" t="str">
        <f>"1551601470061336"</f>
        <v>1551601470061336</v>
      </c>
      <c r="C6539" t="s">
        <v>40</v>
      </c>
      <c r="D6539">
        <v>5.8545509999999998</v>
      </c>
      <c r="E6539">
        <v>0.48145310000000002</v>
      </c>
      <c r="F6539" t="s">
        <v>41</v>
      </c>
      <c r="G6539">
        <v>-189.8382</v>
      </c>
      <c r="H6539" s="1">
        <v>-1.612491E-6</v>
      </c>
      <c r="I6539">
        <v>53.324599999999997</v>
      </c>
      <c r="J6539">
        <v>-187.98050000000001</v>
      </c>
      <c r="K6539">
        <v>1.1203939999999999</v>
      </c>
      <c r="L6539">
        <v>12.571289999999999</v>
      </c>
      <c r="M6539">
        <v>1.332297E-2</v>
      </c>
      <c r="N6539">
        <v>-8.9919070000000004E-3</v>
      </c>
      <c r="O6539">
        <v>0.99987079999999995</v>
      </c>
      <c r="P6539">
        <v>6.7395559999999998E-3</v>
      </c>
      <c r="Q6539">
        <v>0.15674879999999999</v>
      </c>
      <c r="R6539">
        <v>0.98761549999999998</v>
      </c>
      <c r="S6539">
        <v>-0.1375122</v>
      </c>
      <c r="T6539">
        <v>-8.315003E-2</v>
      </c>
      <c r="U6539">
        <v>3.0512999999999999</v>
      </c>
      <c r="V6539">
        <v>-6.4977219999999896E-3</v>
      </c>
      <c r="W6539">
        <v>0.1656202</v>
      </c>
      <c r="X6539">
        <v>0.98616820000000005</v>
      </c>
      <c r="Y6539">
        <v>-5.8310109999999998E-2</v>
      </c>
      <c r="Z6539">
        <v>-1.8207609999999999E-2</v>
      </c>
      <c r="AA6539">
        <v>0.99813249999999998</v>
      </c>
      <c r="AB6539">
        <v>35</v>
      </c>
      <c r="AC6539">
        <v>-1.8576999999999899</v>
      </c>
      <c r="AD6539">
        <v>-1.1203956124909999</v>
      </c>
      <c r="AE6539">
        <v>40.753309999999999</v>
      </c>
      <c r="AF6539">
        <v>-2.39870296987691</v>
      </c>
      <c r="AG6539">
        <v>-1.1203956124909999</v>
      </c>
      <c r="AH6539">
        <v>40.694247925206597</v>
      </c>
      <c r="AI6539">
        <v>91.574339986794101</v>
      </c>
      <c r="AJ6539">
        <v>93.373369043167799</v>
      </c>
      <c r="AK6539">
        <v>40.7802755810253</v>
      </c>
      <c r="AL6539">
        <v>80.466734917477595</v>
      </c>
      <c r="AM6539">
        <v>90.377508278755698</v>
      </c>
      <c r="AN6539">
        <v>0.99999999486523405</v>
      </c>
    </row>
    <row r="6540" spans="1:40" x14ac:dyDescent="0.25">
      <c r="A6540" t="str">
        <f>"20190303162430100"</f>
        <v>20190303162430100</v>
      </c>
      <c r="B6540" t="str">
        <f>"1551601470091592"</f>
        <v>1551601470091592</v>
      </c>
      <c r="C6540" t="s">
        <v>40</v>
      </c>
      <c r="D6540">
        <v>5.7807130000000004</v>
      </c>
      <c r="E6540">
        <v>0.481354</v>
      </c>
      <c r="F6540" t="s">
        <v>41</v>
      </c>
      <c r="G6540">
        <v>-189.82509999999999</v>
      </c>
      <c r="H6540" s="1">
        <v>-1.8719269999999999E-6</v>
      </c>
      <c r="I6540">
        <v>53.923969999999997</v>
      </c>
      <c r="J6540">
        <v>-187.97380000000001</v>
      </c>
      <c r="K6540">
        <v>1.120376</v>
      </c>
      <c r="L6540">
        <v>13.09695</v>
      </c>
      <c r="M6540">
        <v>1.303787E-2</v>
      </c>
      <c r="N6540">
        <v>-9.0038879999999998E-3</v>
      </c>
      <c r="O6540">
        <v>0.9998745</v>
      </c>
      <c r="P6540">
        <v>9.6579620000000008E-3</v>
      </c>
      <c r="Q6540">
        <v>0.1575618</v>
      </c>
      <c r="R6540">
        <v>0.9874619</v>
      </c>
      <c r="S6540">
        <v>-0.13612369999999999</v>
      </c>
      <c r="T6540">
        <v>-8.2680820000000002E-2</v>
      </c>
      <c r="U6540">
        <v>3.051666</v>
      </c>
      <c r="V6540">
        <v>-3.2887699999999999E-3</v>
      </c>
      <c r="W6540">
        <v>0.1664455</v>
      </c>
      <c r="X6540">
        <v>0.98604519999999996</v>
      </c>
      <c r="Y6540">
        <v>-5.7567090000000001E-2</v>
      </c>
      <c r="Z6540">
        <v>-1.804008E-2</v>
      </c>
      <c r="AA6540">
        <v>0.99817869999999997</v>
      </c>
      <c r="AB6540">
        <v>35</v>
      </c>
      <c r="AC6540">
        <v>-1.85129999999998</v>
      </c>
      <c r="AD6540">
        <v>-1.1203778719269999</v>
      </c>
      <c r="AE6540">
        <v>40.827019999999997</v>
      </c>
      <c r="AF6540">
        <v>-2.3816716927562198</v>
      </c>
      <c r="AG6540">
        <v>-1.1203778719269999</v>
      </c>
      <c r="AH6540">
        <v>40.768772949024601</v>
      </c>
      <c r="AI6540">
        <v>91.571486947991403</v>
      </c>
      <c r="AJ6540">
        <v>93.343363257127393</v>
      </c>
      <c r="AK6540">
        <v>40.853646769867403</v>
      </c>
      <c r="AL6540">
        <v>80.418783473928897</v>
      </c>
      <c r="AM6540">
        <v>90.191098686009198</v>
      </c>
      <c r="AN6540">
        <v>1.0000000284607</v>
      </c>
    </row>
    <row r="6541" spans="1:40" x14ac:dyDescent="0.25">
      <c r="A6541" t="str">
        <f>"20190303162430122"</f>
        <v>20190303162430122</v>
      </c>
      <c r="B6541" t="str">
        <f>"1551601470111112"</f>
        <v>1551601470111112</v>
      </c>
      <c r="C6541" t="s">
        <v>40</v>
      </c>
      <c r="D6541">
        <v>5.8438100000000004</v>
      </c>
      <c r="E6541">
        <v>0.48130719999999999</v>
      </c>
      <c r="F6541" t="s">
        <v>41</v>
      </c>
      <c r="G6541">
        <v>-189.7671</v>
      </c>
      <c r="H6541" s="1">
        <v>-2.5835330000000002E-6</v>
      </c>
      <c r="I6541">
        <v>55.558750000000003</v>
      </c>
      <c r="J6541">
        <v>-187.9693</v>
      </c>
      <c r="K6541">
        <v>1.1203620000000001</v>
      </c>
      <c r="L6541">
        <v>13.452909999999999</v>
      </c>
      <c r="M6541">
        <v>1.2868839999999999E-2</v>
      </c>
      <c r="N6541">
        <v>-9.0120849999999995E-3</v>
      </c>
      <c r="O6541">
        <v>0.9998766</v>
      </c>
      <c r="P6541">
        <v>1.1537E-2</v>
      </c>
      <c r="Q6541">
        <v>0.15696060000000001</v>
      </c>
      <c r="R6541">
        <v>0.98753749999999996</v>
      </c>
      <c r="S6541">
        <v>-0.1289063</v>
      </c>
      <c r="T6541">
        <v>-8.0534460000000002E-2</v>
      </c>
      <c r="U6541">
        <v>3.052216</v>
      </c>
      <c r="V6541">
        <v>-1.238421E-3</v>
      </c>
      <c r="W6541">
        <v>0.165854</v>
      </c>
      <c r="X6541">
        <v>0.98614950000000001</v>
      </c>
      <c r="Y6541">
        <v>-5.5035349999999997E-2</v>
      </c>
      <c r="Z6541">
        <v>-1.7328929999999999E-2</v>
      </c>
      <c r="AA6541">
        <v>0.9983341</v>
      </c>
      <c r="AB6541">
        <v>36</v>
      </c>
      <c r="AC6541">
        <v>-1.7977999999999901</v>
      </c>
      <c r="AD6541">
        <v>-1.1203645835330001</v>
      </c>
      <c r="AE6541">
        <v>42.105840000000001</v>
      </c>
      <c r="AF6541">
        <v>-2.3378742241525101</v>
      </c>
      <c r="AG6541">
        <v>-1.1203645835330001</v>
      </c>
      <c r="AH6541">
        <v>42.049499594954398</v>
      </c>
      <c r="AI6541">
        <v>91.5238722183135</v>
      </c>
      <c r="AJ6541">
        <v>93.182262867123796</v>
      </c>
      <c r="AK6541">
        <v>42.129340000456402</v>
      </c>
      <c r="AL6541">
        <v>80.453150963258807</v>
      </c>
      <c r="AM6541">
        <v>90.071952842098796</v>
      </c>
      <c r="AN6541">
        <v>0.99999995967640998</v>
      </c>
    </row>
    <row r="6542" spans="1:40" x14ac:dyDescent="0.25">
      <c r="A6542" t="str">
        <f>"20190303162430144"</f>
        <v>20190303162430144</v>
      </c>
      <c r="B6542" t="str">
        <f>"1551601470131608"</f>
        <v>1551601470131608</v>
      </c>
      <c r="C6542" t="s">
        <v>40</v>
      </c>
      <c r="D6542">
        <v>5.6451750000000001</v>
      </c>
      <c r="E6542">
        <v>0.48122409999999999</v>
      </c>
      <c r="F6542" t="s">
        <v>41</v>
      </c>
      <c r="G6542">
        <v>-189.62520000000001</v>
      </c>
      <c r="H6542" s="1">
        <v>-2.1792429999999999E-6</v>
      </c>
      <c r="I6542">
        <v>54.557659999999998</v>
      </c>
      <c r="J6542">
        <v>-187.96510000000001</v>
      </c>
      <c r="K6542">
        <v>1.120352</v>
      </c>
      <c r="L6542">
        <v>13.78537</v>
      </c>
      <c r="M6542">
        <v>1.2724030000000001E-2</v>
      </c>
      <c r="N6542">
        <v>-9.0196510000000001E-3</v>
      </c>
      <c r="O6542">
        <v>0.9998783</v>
      </c>
      <c r="P6542">
        <v>1.2844299999999901E-2</v>
      </c>
      <c r="Q6542">
        <v>0.1564567</v>
      </c>
      <c r="R6542">
        <v>0.98760130000000002</v>
      </c>
      <c r="S6542">
        <v>-0.1229706</v>
      </c>
      <c r="T6542">
        <v>-8.3200449999999995E-2</v>
      </c>
      <c r="U6542">
        <v>3.052521</v>
      </c>
      <c r="V6542">
        <v>2.145014E-4</v>
      </c>
      <c r="W6542">
        <v>0.16535929999999999</v>
      </c>
      <c r="X6542">
        <v>0.98623340000000004</v>
      </c>
      <c r="Y6542">
        <v>-5.2947939999999999E-2</v>
      </c>
      <c r="Z6542">
        <v>-1.8193029999999999E-2</v>
      </c>
      <c r="AA6542">
        <v>0.99843159999999997</v>
      </c>
      <c r="AB6542">
        <v>36</v>
      </c>
      <c r="AC6542">
        <v>-1.6600999999999999</v>
      </c>
      <c r="AD6542">
        <v>-1.1203541792430001</v>
      </c>
      <c r="AE6542">
        <v>40.772289999999998</v>
      </c>
      <c r="AF6542">
        <v>-2.17713343479415</v>
      </c>
      <c r="AG6542">
        <v>-1.1203541792430001</v>
      </c>
      <c r="AH6542">
        <v>40.717172084563202</v>
      </c>
      <c r="AI6542">
        <v>91.573878383018595</v>
      </c>
      <c r="AJ6542">
        <v>93.060671368590505</v>
      </c>
      <c r="AK6542">
        <v>40.790724509915002</v>
      </c>
      <c r="AL6542">
        <v>80.481892738843797</v>
      </c>
      <c r="AM6542">
        <v>89.987538421710397</v>
      </c>
      <c r="AN6542">
        <v>1.0000000316914499</v>
      </c>
    </row>
    <row r="6543" spans="1:40" x14ac:dyDescent="0.25">
      <c r="A6543" t="str">
        <f>"20190303162430192"</f>
        <v>20190303162430192</v>
      </c>
      <c r="B6543" t="str">
        <f>"1551601470181384"</f>
        <v>1551601470181384</v>
      </c>
      <c r="C6543" t="s">
        <v>40</v>
      </c>
      <c r="D6543">
        <v>5.6594350000000002</v>
      </c>
      <c r="E6543">
        <v>0.49820629999999999</v>
      </c>
      <c r="F6543" t="s">
        <v>41</v>
      </c>
      <c r="G6543">
        <v>-189.52619999999999</v>
      </c>
      <c r="H6543" s="1">
        <v>-1.856458E-6</v>
      </c>
      <c r="I6543">
        <v>53.764319999999998</v>
      </c>
      <c r="J6543">
        <v>-187.95580000000001</v>
      </c>
      <c r="K6543">
        <v>1.1203259999999999</v>
      </c>
      <c r="L6543">
        <v>14.54626</v>
      </c>
      <c r="M6543">
        <v>1.241713E-2</v>
      </c>
      <c r="N6543">
        <v>-9.0368849999999997E-3</v>
      </c>
      <c r="O6543">
        <v>0.99988200000000005</v>
      </c>
      <c r="P6543">
        <v>1.467036E-2</v>
      </c>
      <c r="Q6543">
        <v>0.1557297</v>
      </c>
      <c r="R6543">
        <v>0.98769070000000003</v>
      </c>
      <c r="S6543">
        <v>-0.11920169999999999</v>
      </c>
      <c r="T6543">
        <v>-8.5549470000000002E-2</v>
      </c>
      <c r="U6543">
        <v>3.052765</v>
      </c>
      <c r="V6543">
        <v>2.347764E-3</v>
      </c>
      <c r="W6543">
        <v>0.16465089999999999</v>
      </c>
      <c r="X6543">
        <v>0.98634909999999998</v>
      </c>
      <c r="Y6543">
        <v>-5.140695E-2</v>
      </c>
      <c r="Z6543">
        <v>-1.8943519999999998E-2</v>
      </c>
      <c r="AA6543">
        <v>0.99849810000000006</v>
      </c>
      <c r="AB6543">
        <v>36</v>
      </c>
      <c r="AC6543">
        <v>-1.57039999999997</v>
      </c>
      <c r="AD6543">
        <v>-1.1203278564579999</v>
      </c>
      <c r="AE6543">
        <v>39.218060000000001</v>
      </c>
      <c r="AF6543">
        <v>-2.0555997956223799</v>
      </c>
      <c r="AG6543">
        <v>-1.1203278564579999</v>
      </c>
      <c r="AH6543">
        <v>39.163627147012399</v>
      </c>
      <c r="AI6543">
        <v>91.636324220480404</v>
      </c>
      <c r="AJ6543">
        <v>93.004553548678999</v>
      </c>
      <c r="AK6543">
        <v>39.233535608404303</v>
      </c>
      <c r="AL6543">
        <v>80.523044748035005</v>
      </c>
      <c r="AM6543">
        <v>89.863621597613999</v>
      </c>
      <c r="AN6543">
        <v>0.99999998896870901</v>
      </c>
    </row>
    <row r="6544" spans="1:40" x14ac:dyDescent="0.25">
      <c r="A6544" t="str">
        <f>"20190303162430257"</f>
        <v>20190303162430257</v>
      </c>
      <c r="B6544" t="str">
        <f>"1551601470240920"</f>
        <v>1551601470240920</v>
      </c>
      <c r="C6544" t="s">
        <v>40</v>
      </c>
      <c r="D6544">
        <v>5.571879</v>
      </c>
      <c r="E6544">
        <v>0.52420319999999998</v>
      </c>
      <c r="F6544" t="s">
        <v>41</v>
      </c>
      <c r="G6544">
        <v>-187.68889999999999</v>
      </c>
      <c r="H6544" s="1">
        <v>-1.8096720000000001E-6</v>
      </c>
      <c r="I6544">
        <v>52.895539999999997</v>
      </c>
      <c r="J6544">
        <v>-187.94319999999999</v>
      </c>
      <c r="K6544">
        <v>1.120309</v>
      </c>
      <c r="L6544">
        <v>15.605320000000001</v>
      </c>
      <c r="M6544">
        <v>1.200298E-2</v>
      </c>
      <c r="N6544">
        <v>-9.0608540000000001E-3</v>
      </c>
      <c r="O6544">
        <v>0.99988690000000002</v>
      </c>
      <c r="P6544">
        <v>1.3877769999999999E-2</v>
      </c>
      <c r="Q6544">
        <v>0.15247269999999999</v>
      </c>
      <c r="R6544">
        <v>0.98821029999999999</v>
      </c>
      <c r="S6544">
        <v>2.1240229999999999E-2</v>
      </c>
      <c r="T6544">
        <v>-8.9134690000000003E-2</v>
      </c>
      <c r="U6544">
        <v>3.0511170000000001</v>
      </c>
      <c r="V6544">
        <v>1.9632019999999998E-3</v>
      </c>
      <c r="W6544">
        <v>0.161421799999999</v>
      </c>
      <c r="X6544">
        <v>0.98688359999999997</v>
      </c>
      <c r="Y6544">
        <v>-5.0429259999999997E-3</v>
      </c>
      <c r="Z6544">
        <v>-2.0139830000000001E-2</v>
      </c>
      <c r="AA6544">
        <v>0.99978449999999996</v>
      </c>
      <c r="AB6544">
        <v>36</v>
      </c>
      <c r="AC6544">
        <v>0.25430000000000003</v>
      </c>
      <c r="AD6544">
        <v>-1.120310809672</v>
      </c>
      <c r="AE6544">
        <v>37.290219999999998</v>
      </c>
      <c r="AF6544">
        <v>-0.19315613274040999</v>
      </c>
      <c r="AG6544">
        <v>-1.120310809672</v>
      </c>
      <c r="AH6544">
        <v>37.256960000370199</v>
      </c>
      <c r="AI6544">
        <v>91.722332774527402</v>
      </c>
      <c r="AJ6544">
        <v>90.297043345462598</v>
      </c>
      <c r="AK6544">
        <v>37.274300450458703</v>
      </c>
      <c r="AL6544">
        <v>80.710568218938903</v>
      </c>
      <c r="AM6544">
        <v>89.886021978117995</v>
      </c>
      <c r="AN6544">
        <v>1.0000000458131399</v>
      </c>
    </row>
    <row r="6545" spans="1:40" x14ac:dyDescent="0.25">
      <c r="A6545" t="str">
        <f>"20190303162430279"</f>
        <v>20190303162430279</v>
      </c>
      <c r="B6545" t="str">
        <f>"1551601470271176"</f>
        <v>1551601470271176</v>
      </c>
      <c r="C6545" t="s">
        <v>40</v>
      </c>
      <c r="D6545">
        <v>5.7495229999999999</v>
      </c>
      <c r="E6545">
        <v>0.5235322</v>
      </c>
      <c r="F6545" t="s">
        <v>41</v>
      </c>
      <c r="G6545">
        <v>-186.4725</v>
      </c>
      <c r="H6545" s="1">
        <v>-3.1731370000000001E-6</v>
      </c>
      <c r="I6545">
        <v>35.57085</v>
      </c>
      <c r="J6545">
        <v>-187.93899999999999</v>
      </c>
      <c r="K6545">
        <v>1.1203050000000001</v>
      </c>
      <c r="L6545">
        <v>15.9657</v>
      </c>
      <c r="M6545">
        <v>1.186216E-2</v>
      </c>
      <c r="N6545">
        <v>-9.0690219999999995E-3</v>
      </c>
      <c r="O6545">
        <v>0.99988849999999996</v>
      </c>
      <c r="P6545">
        <v>1.380696E-2</v>
      </c>
      <c r="Q6545">
        <v>0.1526594</v>
      </c>
      <c r="R6545">
        <v>0.98818240000000002</v>
      </c>
      <c r="S6545">
        <v>0.22534179999999901</v>
      </c>
      <c r="T6545">
        <v>-0.1716539</v>
      </c>
      <c r="U6545">
        <v>3.059113</v>
      </c>
      <c r="V6545">
        <v>2.0327190000000001E-3</v>
      </c>
      <c r="W6545">
        <v>0.16161610000000001</v>
      </c>
      <c r="X6545">
        <v>0.98685160000000005</v>
      </c>
      <c r="Y6545">
        <v>6.1528920000000001E-2</v>
      </c>
      <c r="Z6545">
        <v>-4.6836580000000003E-2</v>
      </c>
      <c r="AA6545">
        <v>0.99700580000000005</v>
      </c>
      <c r="AB6545">
        <v>36</v>
      </c>
      <c r="AC6545">
        <v>1.4665000000000199</v>
      </c>
      <c r="AD6545">
        <v>-1.1203081731369999</v>
      </c>
      <c r="AE6545">
        <v>19.605149999999998</v>
      </c>
      <c r="AF6545">
        <v>1.2298342779440199</v>
      </c>
      <c r="AG6545">
        <v>-1.1203081731369999</v>
      </c>
      <c r="AH6545">
        <v>19.557659101973002</v>
      </c>
      <c r="AI6545">
        <v>93.272004111492393</v>
      </c>
      <c r="AJ6545">
        <v>86.401836428614303</v>
      </c>
      <c r="AK6545">
        <v>19.628286025605799</v>
      </c>
      <c r="AL6545">
        <v>80.699286987862394</v>
      </c>
      <c r="AM6545">
        <v>89.881982199833502</v>
      </c>
      <c r="AN6545">
        <v>0.99999998807415102</v>
      </c>
    </row>
    <row r="6546" spans="1:40" x14ac:dyDescent="0.25">
      <c r="A6546" t="str">
        <f>"20190303162430301"</f>
        <v>20190303162430301</v>
      </c>
      <c r="B6546" t="str">
        <f>"1551601470291672"</f>
        <v>1551601470291672</v>
      </c>
      <c r="C6546" t="s">
        <v>40</v>
      </c>
      <c r="D6546">
        <v>5.5622780000000001</v>
      </c>
      <c r="E6546">
        <v>0.5232774</v>
      </c>
      <c r="F6546" t="s">
        <v>41</v>
      </c>
      <c r="G6546">
        <v>-186.3768</v>
      </c>
      <c r="H6546" s="1">
        <v>-4.1073550000000001E-6</v>
      </c>
      <c r="I6546">
        <v>37.708979999999997</v>
      </c>
      <c r="J6546">
        <v>-187.935</v>
      </c>
      <c r="K6546">
        <v>1.1203080000000001</v>
      </c>
      <c r="L6546">
        <v>16.318020000000001</v>
      </c>
      <c r="M6546">
        <v>1.172494E-2</v>
      </c>
      <c r="N6546">
        <v>-9.0770239999999995E-3</v>
      </c>
      <c r="O6546">
        <v>0.9998901</v>
      </c>
      <c r="P6546">
        <v>1.366114E-2</v>
      </c>
      <c r="Q6546">
        <v>0.15373290000000001</v>
      </c>
      <c r="R6546">
        <v>0.98801799999999995</v>
      </c>
      <c r="S6546">
        <v>0.21965029999999999</v>
      </c>
      <c r="T6546">
        <v>-0.15751670000000001</v>
      </c>
      <c r="U6546">
        <v>3.0571290000000002</v>
      </c>
      <c r="V6546">
        <v>2.0249019999999999E-3</v>
      </c>
      <c r="W6546">
        <v>0.16269639999999999</v>
      </c>
      <c r="X6546">
        <v>0.9866741</v>
      </c>
      <c r="Y6546">
        <v>5.9883119999999998E-2</v>
      </c>
      <c r="Z6546">
        <v>-4.2275359999999998E-2</v>
      </c>
      <c r="AA6546">
        <v>0.99730980000000002</v>
      </c>
      <c r="AB6546">
        <v>36</v>
      </c>
      <c r="AC6546">
        <v>1.55819999999999</v>
      </c>
      <c r="AD6546">
        <v>-1.120312107355</v>
      </c>
      <c r="AE6546">
        <v>21.39096</v>
      </c>
      <c r="AF6546">
        <v>1.3037176815128</v>
      </c>
      <c r="AG6546">
        <v>-1.120312107355</v>
      </c>
      <c r="AH6546">
        <v>21.3495085420195</v>
      </c>
      <c r="AI6546">
        <v>92.9982571092645</v>
      </c>
      <c r="AJ6546">
        <v>86.505545826907394</v>
      </c>
      <c r="AK6546">
        <v>21.4185969194235</v>
      </c>
      <c r="AL6546">
        <v>80.6365602747764</v>
      </c>
      <c r="AM6546">
        <v>89.882414897027601</v>
      </c>
      <c r="AN6546">
        <v>0.99999999920593896</v>
      </c>
    </row>
    <row r="6547" spans="1:40" x14ac:dyDescent="0.25">
      <c r="A6547" t="str">
        <f>"20190303162430324"</f>
        <v>20190303162430324</v>
      </c>
      <c r="B6547" t="str">
        <f>"1551601470311192"</f>
        <v>1551601470311192</v>
      </c>
      <c r="C6547" t="s">
        <v>40</v>
      </c>
      <c r="D6547">
        <v>5.5974539999999999</v>
      </c>
      <c r="E6547">
        <v>0.52318980000000004</v>
      </c>
      <c r="F6547" t="s">
        <v>41</v>
      </c>
      <c r="G6547">
        <v>-186.25569999999999</v>
      </c>
      <c r="H6547" s="1">
        <v>-1.0818439999999999E-6</v>
      </c>
      <c r="I6547">
        <v>39.899520000000003</v>
      </c>
      <c r="J6547">
        <v>-187.9308</v>
      </c>
      <c r="K6547">
        <v>1.1203099999999999</v>
      </c>
      <c r="L6547">
        <v>16.683260000000001</v>
      </c>
      <c r="M6547">
        <v>1.1583319999999999E-2</v>
      </c>
      <c r="N6547">
        <v>-9.0852929999999995E-3</v>
      </c>
      <c r="O6547">
        <v>0.99989159999999999</v>
      </c>
      <c r="P6547">
        <v>1.469152E-2</v>
      </c>
      <c r="Q6547">
        <v>0.1541698</v>
      </c>
      <c r="R6547">
        <v>0.98793509999999995</v>
      </c>
      <c r="S6547">
        <v>0.2176208</v>
      </c>
      <c r="T6547">
        <v>-0.1451828</v>
      </c>
      <c r="U6547">
        <v>3.0559690000000002</v>
      </c>
      <c r="V6547">
        <v>3.196693E-3</v>
      </c>
      <c r="W6547">
        <v>0.16314100000000001</v>
      </c>
      <c r="X6547">
        <v>0.98659759999999996</v>
      </c>
      <c r="Y6547">
        <v>5.9405279999999998E-2</v>
      </c>
      <c r="Z6547">
        <v>-3.8274660000000002E-2</v>
      </c>
      <c r="AA6547">
        <v>0.99749989999999999</v>
      </c>
      <c r="AB6547">
        <v>36</v>
      </c>
      <c r="AC6547">
        <v>1.67510000000001</v>
      </c>
      <c r="AD6547">
        <v>-1.1203110818440001</v>
      </c>
      <c r="AE6547">
        <v>23.216259999999998</v>
      </c>
      <c r="AF6547">
        <v>1.4028054927810301</v>
      </c>
      <c r="AG6547">
        <v>-1.1203110818440001</v>
      </c>
      <c r="AH6547">
        <v>23.180408254565201</v>
      </c>
      <c r="AI6547">
        <v>92.761911842282103</v>
      </c>
      <c r="AJ6547">
        <v>86.536862952639595</v>
      </c>
      <c r="AK6547">
        <v>23.249823376081601</v>
      </c>
      <c r="AL6547">
        <v>80.610741765898098</v>
      </c>
      <c r="AM6547">
        <v>89.814355542367807</v>
      </c>
      <c r="AN6547">
        <v>1.0000000145264401</v>
      </c>
    </row>
    <row r="6548" spans="1:40" x14ac:dyDescent="0.25">
      <c r="A6548" t="str">
        <f>"20190303162430368"</f>
        <v>20190303162430368</v>
      </c>
      <c r="B6548" t="str">
        <f>"1551601470361945"</f>
        <v>1551601470361945</v>
      </c>
      <c r="C6548" t="s">
        <v>40</v>
      </c>
      <c r="D6548">
        <v>5.5736530000000002</v>
      </c>
      <c r="E6548">
        <v>0.52199099999999998</v>
      </c>
      <c r="F6548" t="s">
        <v>41</v>
      </c>
      <c r="G6548">
        <v>-186.19990000000001</v>
      </c>
      <c r="H6548" s="1">
        <v>-1.3962230000000001E-6</v>
      </c>
      <c r="I6548">
        <v>40.77975</v>
      </c>
      <c r="J6548">
        <v>-187.92269999999999</v>
      </c>
      <c r="K6548">
        <v>1.120301</v>
      </c>
      <c r="L6548">
        <v>17.410640000000001</v>
      </c>
      <c r="M6548">
        <v>1.130278E-2</v>
      </c>
      <c r="N6548">
        <v>-9.1015929999999998E-3</v>
      </c>
      <c r="O6548">
        <v>0.99989470000000003</v>
      </c>
      <c r="P6548">
        <v>1.8280709999999999E-2</v>
      </c>
      <c r="Q6548">
        <v>0.15492779999999901</v>
      </c>
      <c r="R6548">
        <v>0.98775670000000004</v>
      </c>
      <c r="S6548">
        <v>0.21948239999999999</v>
      </c>
      <c r="T6548">
        <v>-0.1420604</v>
      </c>
      <c r="U6548">
        <v>3.055542</v>
      </c>
      <c r="V6548">
        <v>7.0656010000000003E-3</v>
      </c>
      <c r="W6548">
        <v>0.1639149</v>
      </c>
      <c r="X6548">
        <v>0.98644920000000003</v>
      </c>
      <c r="Y6548">
        <v>6.0302630000000003E-2</v>
      </c>
      <c r="Z6548">
        <v>-3.724624E-2</v>
      </c>
      <c r="AA6548">
        <v>0.99748499999999996</v>
      </c>
      <c r="AB6548">
        <v>36</v>
      </c>
      <c r="AC6548">
        <v>1.7227999999999699</v>
      </c>
      <c r="AD6548">
        <v>-1.1203023962230001</v>
      </c>
      <c r="AE6548">
        <v>23.369109999999999</v>
      </c>
      <c r="AF6548">
        <v>1.45521680241341</v>
      </c>
      <c r="AG6548">
        <v>-1.1203023962230001</v>
      </c>
      <c r="AH6548">
        <v>23.333754765724201</v>
      </c>
      <c r="AI6548">
        <v>92.743457545393298</v>
      </c>
      <c r="AJ6548">
        <v>86.431352945063395</v>
      </c>
      <c r="AK6548">
        <v>23.405914741107001</v>
      </c>
      <c r="AL6548">
        <v>80.565795585313495</v>
      </c>
      <c r="AM6548">
        <v>89.589616784971696</v>
      </c>
      <c r="AN6548">
        <v>1.0000000206700701</v>
      </c>
    </row>
    <row r="6549" spans="1:40" x14ac:dyDescent="0.25">
      <c r="A6549" t="str">
        <f>"20190303162430392"</f>
        <v>20190303162430392</v>
      </c>
      <c r="B6549" t="str">
        <f>"1551601470381465"</f>
        <v>1551601470381465</v>
      </c>
      <c r="C6549" t="s">
        <v>40</v>
      </c>
      <c r="D6549">
        <v>5.5675569999999999</v>
      </c>
      <c r="E6549">
        <v>0.52156349999999996</v>
      </c>
      <c r="F6549" t="s">
        <v>41</v>
      </c>
      <c r="G6549">
        <v>-186.0231</v>
      </c>
      <c r="H6549" s="1">
        <v>-2.4255490000000002E-6</v>
      </c>
      <c r="I6549">
        <v>43.642380000000003</v>
      </c>
      <c r="J6549">
        <v>-187.91849999999999</v>
      </c>
      <c r="K6549">
        <v>1.1202989999999999</v>
      </c>
      <c r="L6549">
        <v>17.787960000000002</v>
      </c>
      <c r="M6549">
        <v>1.115829E-2</v>
      </c>
      <c r="N6549">
        <v>-9.1100250000000008E-3</v>
      </c>
      <c r="O6549">
        <v>0.99989620000000001</v>
      </c>
      <c r="P6549">
        <v>1.9194139999999998E-2</v>
      </c>
      <c r="Q6549">
        <v>0.1548216</v>
      </c>
      <c r="R6549">
        <v>0.98775599999999997</v>
      </c>
      <c r="S6549">
        <v>0.2211304</v>
      </c>
      <c r="T6549">
        <v>-0.13041130000000001</v>
      </c>
      <c r="U6549">
        <v>3.0535580000000002</v>
      </c>
      <c r="V6549">
        <v>8.1219180000000005E-3</v>
      </c>
      <c r="W6549">
        <v>0.16381799999999999</v>
      </c>
      <c r="X6549">
        <v>0.98645720000000003</v>
      </c>
      <c r="Y6549">
        <v>6.103919E-2</v>
      </c>
      <c r="Z6549">
        <v>-3.3469829999999999E-2</v>
      </c>
      <c r="AA6549">
        <v>0.99757399999999996</v>
      </c>
      <c r="AB6549">
        <v>36</v>
      </c>
      <c r="AC6549">
        <v>1.89539999999999</v>
      </c>
      <c r="AD6549">
        <v>-1.120301425549</v>
      </c>
      <c r="AE6549">
        <v>25.854419999999902</v>
      </c>
      <c r="AF6549">
        <v>1.6037837426983199</v>
      </c>
      <c r="AG6549">
        <v>-1.120301425549</v>
      </c>
      <c r="AH6549">
        <v>25.825729730549501</v>
      </c>
      <c r="AI6549">
        <v>92.479122395604705</v>
      </c>
      <c r="AJ6549">
        <v>86.446482230212396</v>
      </c>
      <c r="AK6549">
        <v>25.899720340050401</v>
      </c>
      <c r="AL6549">
        <v>80.571423950200199</v>
      </c>
      <c r="AM6549">
        <v>89.528270351615006</v>
      </c>
      <c r="AN6549">
        <v>1.0000000550539101</v>
      </c>
    </row>
    <row r="6550" spans="1:40" x14ac:dyDescent="0.25">
      <c r="A6550" t="str">
        <f>"20190303162430427"</f>
        <v>20190303162430427</v>
      </c>
      <c r="B6550" t="str">
        <f>"1551601470421480"</f>
        <v>1551601470421480</v>
      </c>
      <c r="C6550" t="s">
        <v>40</v>
      </c>
      <c r="D6550">
        <v>5.6776070000000001</v>
      </c>
      <c r="E6550">
        <v>0.52111949999999996</v>
      </c>
      <c r="F6550" t="s">
        <v>41</v>
      </c>
      <c r="G6550">
        <v>-185.98589999999999</v>
      </c>
      <c r="H6550" s="1">
        <v>-2.799921E-6</v>
      </c>
      <c r="I6550">
        <v>44.499690000000001</v>
      </c>
      <c r="J6550">
        <v>-187.91249999999999</v>
      </c>
      <c r="K6550">
        <v>1.120298</v>
      </c>
      <c r="L6550">
        <v>18.346889999999998</v>
      </c>
      <c r="M6550">
        <v>1.0945430000000001E-2</v>
      </c>
      <c r="N6550">
        <v>-9.1226239999999993E-3</v>
      </c>
      <c r="O6550">
        <v>0.99989850000000002</v>
      </c>
      <c r="P6550">
        <v>1.9253570000000001E-2</v>
      </c>
      <c r="Q6550">
        <v>0.1544142</v>
      </c>
      <c r="R6550">
        <v>0.98781859999999999</v>
      </c>
      <c r="S6550">
        <v>0.2208862</v>
      </c>
      <c r="T6550">
        <v>-0.1280433</v>
      </c>
      <c r="U6550">
        <v>3.0529790000000001</v>
      </c>
      <c r="V6550">
        <v>8.3911650000000008E-3</v>
      </c>
      <c r="W6550">
        <v>0.16342329999999999</v>
      </c>
      <c r="X6550">
        <v>0.98652030000000002</v>
      </c>
      <c r="Y6550">
        <v>6.1187989999999998E-2</v>
      </c>
      <c r="Z6550">
        <v>-3.269329E-2</v>
      </c>
      <c r="AA6550">
        <v>0.99759070000000005</v>
      </c>
      <c r="AB6550">
        <v>36</v>
      </c>
      <c r="AC6550">
        <v>1.9266000000000001</v>
      </c>
      <c r="AD6550">
        <v>-1.120300799921</v>
      </c>
      <c r="AE6550">
        <v>26.152799999999999</v>
      </c>
      <c r="AF6550">
        <v>1.6372309513810901</v>
      </c>
      <c r="AG6550">
        <v>-1.120300799921</v>
      </c>
      <c r="AH6550">
        <v>26.124641961224</v>
      </c>
      <c r="AI6550">
        <v>92.450703591991996</v>
      </c>
      <c r="AJ6550">
        <v>86.413964132366402</v>
      </c>
      <c r="AK6550">
        <v>26.199857188019301</v>
      </c>
      <c r="AL6550">
        <v>80.594346477172493</v>
      </c>
      <c r="AM6550">
        <v>89.512664112849805</v>
      </c>
      <c r="AN6550">
        <v>0.99999994447251705</v>
      </c>
    </row>
    <row r="6551" spans="1:40" x14ac:dyDescent="0.25">
      <c r="A6551" t="str">
        <f>"20190303162430448"</f>
        <v>20190303162430448</v>
      </c>
      <c r="B6551" t="str">
        <f>"1551601470441000"</f>
        <v>1551601470441000</v>
      </c>
      <c r="C6551" t="s">
        <v>40</v>
      </c>
      <c r="D6551">
        <v>5.546462</v>
      </c>
      <c r="E6551">
        <v>0.52118120000000001</v>
      </c>
      <c r="F6551" t="s">
        <v>41</v>
      </c>
      <c r="G6551">
        <v>-185.98259999999999</v>
      </c>
      <c r="H6551" s="1">
        <v>-3.190754E-6</v>
      </c>
      <c r="I6551">
        <v>45.40936</v>
      </c>
      <c r="J6551">
        <v>-187.90870000000001</v>
      </c>
      <c r="K6551">
        <v>1.1202970000000001</v>
      </c>
      <c r="L6551">
        <v>18.704930000000001</v>
      </c>
      <c r="M6551">
        <v>1.0811680000000001E-2</v>
      </c>
      <c r="N6551">
        <v>-9.1308380000000005E-3</v>
      </c>
      <c r="O6551">
        <v>0.99989989999999995</v>
      </c>
      <c r="P6551">
        <v>1.8971749999999999E-2</v>
      </c>
      <c r="Q6551">
        <v>0.1551331</v>
      </c>
      <c r="R6551">
        <v>0.98771140000000002</v>
      </c>
      <c r="S6551">
        <v>0.21768190000000001</v>
      </c>
      <c r="T6551">
        <v>-0.12636349999999999</v>
      </c>
      <c r="U6551">
        <v>3.0524900000000001</v>
      </c>
      <c r="V6551">
        <v>8.2428780000000004E-3</v>
      </c>
      <c r="W6551">
        <v>0.16414909999999999</v>
      </c>
      <c r="X6551">
        <v>0.98640110000000003</v>
      </c>
      <c r="Y6551">
        <v>6.0292709999999999E-2</v>
      </c>
      <c r="Z6551">
        <v>-3.2146630000000002E-2</v>
      </c>
      <c r="AA6551">
        <v>0.99766299999999997</v>
      </c>
      <c r="AB6551">
        <v>36</v>
      </c>
      <c r="AC6551">
        <v>1.9261000000000199</v>
      </c>
      <c r="AD6551">
        <v>-1.12030019075399</v>
      </c>
      <c r="AE6551">
        <v>26.704429999999999</v>
      </c>
      <c r="AF6551">
        <v>1.63439405922155</v>
      </c>
      <c r="AG6551">
        <v>-1.12030019075399</v>
      </c>
      <c r="AH6551">
        <v>26.676986914407799</v>
      </c>
      <c r="AI6551">
        <v>92.400228384518797</v>
      </c>
      <c r="AJ6551">
        <v>86.494095077142006</v>
      </c>
      <c r="AK6551">
        <v>26.750475646046102</v>
      </c>
      <c r="AL6551">
        <v>80.552192475835</v>
      </c>
      <c r="AM6551">
        <v>89.521217963432406</v>
      </c>
      <c r="AN6551">
        <v>1.00000000107487</v>
      </c>
    </row>
    <row r="6552" spans="1:40" x14ac:dyDescent="0.25">
      <c r="A6552" t="str">
        <f>"20190303162430470"</f>
        <v>20190303162430470</v>
      </c>
      <c r="B6552" t="str">
        <f>"1551601470461496"</f>
        <v>1551601470461496</v>
      </c>
      <c r="C6552" t="s">
        <v>40</v>
      </c>
      <c r="D6552">
        <v>5.5368500000000003</v>
      </c>
      <c r="E6552">
        <v>0.52113489999999996</v>
      </c>
      <c r="F6552" t="s">
        <v>41</v>
      </c>
      <c r="G6552">
        <v>-185.9776</v>
      </c>
      <c r="H6552" s="1">
        <v>-3.3619730000000001E-6</v>
      </c>
      <c r="I6552">
        <v>45.806399999999996</v>
      </c>
      <c r="J6552">
        <v>-187.905</v>
      </c>
      <c r="K6552">
        <v>1.120303</v>
      </c>
      <c r="L6552">
        <v>19.05893</v>
      </c>
      <c r="M6552">
        <v>1.068268E-2</v>
      </c>
      <c r="N6552">
        <v>-9.1387619999999999E-3</v>
      </c>
      <c r="O6552">
        <v>0.99990120000000005</v>
      </c>
      <c r="P6552">
        <v>1.8543799999999999E-2</v>
      </c>
      <c r="Q6552">
        <v>0.1569604</v>
      </c>
      <c r="R6552">
        <v>0.98743080000000005</v>
      </c>
      <c r="S6552">
        <v>0.2175446</v>
      </c>
      <c r="T6552">
        <v>-0.1262017</v>
      </c>
      <c r="U6552">
        <v>3.0529790000000001</v>
      </c>
      <c r="V6552">
        <v>7.9456560000000006E-3</v>
      </c>
      <c r="W6552">
        <v>0.165981399999999</v>
      </c>
      <c r="X6552">
        <v>0.98609690000000005</v>
      </c>
      <c r="Y6552">
        <v>6.0365660000000002E-2</v>
      </c>
      <c r="Z6552">
        <v>-3.2079410000000003E-2</v>
      </c>
      <c r="AA6552">
        <v>0.99766069999999996</v>
      </c>
      <c r="AB6552">
        <v>36</v>
      </c>
      <c r="AC6552">
        <v>1.9274</v>
      </c>
      <c r="AD6552">
        <v>-1.120306361973</v>
      </c>
      <c r="AE6552">
        <v>26.74747</v>
      </c>
      <c r="AF6552">
        <v>1.6386835009057501</v>
      </c>
      <c r="AG6552">
        <v>-1.120306361973</v>
      </c>
      <c r="AH6552">
        <v>26.719901233631202</v>
      </c>
      <c r="AI6552">
        <v>92.396382024357806</v>
      </c>
      <c r="AJ6552">
        <v>86.490548310819705</v>
      </c>
      <c r="AK6552">
        <v>26.793534516666899</v>
      </c>
      <c r="AL6552">
        <v>80.445749537936706</v>
      </c>
      <c r="AM6552">
        <v>89.538338775801193</v>
      </c>
      <c r="AN6552">
        <v>1.0000000273924099</v>
      </c>
    </row>
    <row r="6553" spans="1:40" x14ac:dyDescent="0.25">
      <c r="A6553" t="str">
        <f>"20190303162430513"</f>
        <v>20190303162430513</v>
      </c>
      <c r="B6553" t="str">
        <f>"1551601470501512"</f>
        <v>1551601470501512</v>
      </c>
      <c r="C6553" t="s">
        <v>40</v>
      </c>
      <c r="D6553">
        <v>5.6179079999999999</v>
      </c>
      <c r="E6553">
        <v>0.52078049999999998</v>
      </c>
      <c r="F6553" t="s">
        <v>41</v>
      </c>
      <c r="G6553">
        <v>-185.95920000000001</v>
      </c>
      <c r="H6553" s="1">
        <v>-3.6889430000000001E-6</v>
      </c>
      <c r="I6553">
        <v>46.560989999999997</v>
      </c>
      <c r="J6553">
        <v>-187.89779999999999</v>
      </c>
      <c r="K6553">
        <v>1.1202810000000001</v>
      </c>
      <c r="L6553">
        <v>19.76099</v>
      </c>
      <c r="M6553">
        <v>1.0452100000000001E-2</v>
      </c>
      <c r="N6553">
        <v>-9.1540110000000001E-3</v>
      </c>
      <c r="O6553">
        <v>0.99990349999999995</v>
      </c>
      <c r="P6553">
        <v>1.7655710000000002E-2</v>
      </c>
      <c r="Q6553">
        <v>0.15694820000000001</v>
      </c>
      <c r="R6553">
        <v>0.98744900000000002</v>
      </c>
      <c r="S6553">
        <v>0.21606449999999999</v>
      </c>
      <c r="T6553">
        <v>-0.1244015</v>
      </c>
      <c r="U6553">
        <v>3.0538940000000001</v>
      </c>
      <c r="V6553">
        <v>7.2897839999999997E-3</v>
      </c>
      <c r="W6553">
        <v>0.16598379999999999</v>
      </c>
      <c r="X6553">
        <v>0.98610160000000002</v>
      </c>
      <c r="Y6553">
        <v>6.009511E-2</v>
      </c>
      <c r="Z6553">
        <v>-3.1466050000000002E-2</v>
      </c>
      <c r="AA6553">
        <v>0.99769660000000004</v>
      </c>
      <c r="AB6553">
        <v>37</v>
      </c>
      <c r="AC6553">
        <v>1.9385999999999799</v>
      </c>
      <c r="AD6553">
        <v>-1.12028468894299</v>
      </c>
      <c r="AE6553">
        <v>26.8</v>
      </c>
      <c r="AF6553">
        <v>1.65548837713302</v>
      </c>
      <c r="AG6553">
        <v>-1.12028468894299</v>
      </c>
      <c r="AH6553">
        <v>26.772261434632899</v>
      </c>
      <c r="AI6553">
        <v>92.391580088080502</v>
      </c>
      <c r="AJ6553">
        <v>86.461566068762295</v>
      </c>
      <c r="AK6553">
        <v>26.846781220016599</v>
      </c>
      <c r="AL6553">
        <v>80.445610448456307</v>
      </c>
      <c r="AM6553">
        <v>89.576447043125</v>
      </c>
      <c r="AN6553">
        <v>1.0000000641678799</v>
      </c>
    </row>
    <row r="6554" spans="1:40" x14ac:dyDescent="0.25">
      <c r="A6554" t="str">
        <f>"20190303162430559"</f>
        <v>20190303162430559</v>
      </c>
      <c r="B6554" t="str">
        <f>"1551601470551289"</f>
        <v>1551601470551289</v>
      </c>
      <c r="C6554" t="s">
        <v>40</v>
      </c>
      <c r="D6554">
        <v>5.4984970000000004</v>
      </c>
      <c r="E6554">
        <v>0.52059230000000001</v>
      </c>
      <c r="F6554" t="s">
        <v>41</v>
      </c>
      <c r="G6554">
        <v>-185.98390000000001</v>
      </c>
      <c r="H6554" s="1">
        <v>-4.1140319999999999E-6</v>
      </c>
      <c r="I6554">
        <v>47.562089999999998</v>
      </c>
      <c r="J6554">
        <v>-187.89</v>
      </c>
      <c r="K6554">
        <v>1.120244</v>
      </c>
      <c r="L6554">
        <v>20.520510000000002</v>
      </c>
      <c r="M6554">
        <v>1.026708E-2</v>
      </c>
      <c r="N6554">
        <v>-9.1704130000000005E-3</v>
      </c>
      <c r="O6554">
        <v>0.99990520000000005</v>
      </c>
      <c r="P6554">
        <v>1.797499E-2</v>
      </c>
      <c r="Q6554">
        <v>0.1544006</v>
      </c>
      <c r="R6554">
        <v>0.98784479999999997</v>
      </c>
      <c r="S6554">
        <v>0.21023559999999999</v>
      </c>
      <c r="T6554">
        <v>-0.1230623</v>
      </c>
      <c r="U6554">
        <v>3.053925</v>
      </c>
      <c r="V6554">
        <v>7.7990480000000003E-3</v>
      </c>
      <c r="W6554">
        <v>0.16345580000000001</v>
      </c>
      <c r="X6554">
        <v>0.98651979999999995</v>
      </c>
      <c r="Y6554">
        <v>5.8385449999999998E-2</v>
      </c>
      <c r="Z6554">
        <v>-3.1017320000000001E-2</v>
      </c>
      <c r="AA6554">
        <v>0.99781220000000004</v>
      </c>
      <c r="AB6554">
        <v>37</v>
      </c>
      <c r="AC6554">
        <v>1.9060999999999799</v>
      </c>
      <c r="AD6554">
        <v>-1.120248114032</v>
      </c>
      <c r="AE6554">
        <v>27.04158</v>
      </c>
      <c r="AF6554">
        <v>1.6255737795282601</v>
      </c>
      <c r="AG6554">
        <v>-1.120248114032</v>
      </c>
      <c r="AH6554">
        <v>27.013594336560701</v>
      </c>
      <c r="AI6554">
        <v>92.370400323243601</v>
      </c>
      <c r="AJ6554">
        <v>86.556313982697404</v>
      </c>
      <c r="AK6554">
        <v>27.085636875103098</v>
      </c>
      <c r="AL6554">
        <v>80.592459223707195</v>
      </c>
      <c r="AM6554">
        <v>89.5470509302274</v>
      </c>
      <c r="AN6554">
        <v>0.99999996974769201</v>
      </c>
    </row>
    <row r="6555" spans="1:40" x14ac:dyDescent="0.25">
      <c r="A6555" t="str">
        <f>"20190303162430580"</f>
        <v>20190303162430580</v>
      </c>
      <c r="B6555" t="str">
        <f>"1551601470571785"</f>
        <v>1551601470571785</v>
      </c>
      <c r="C6555" t="s">
        <v>40</v>
      </c>
      <c r="D6555">
        <v>5.5053599999999996</v>
      </c>
      <c r="E6555">
        <v>0.52050220000000003</v>
      </c>
      <c r="F6555" t="s">
        <v>41</v>
      </c>
      <c r="G6555">
        <v>-186.07040000000001</v>
      </c>
      <c r="H6555" s="1">
        <v>-3.8243370000000003E-6</v>
      </c>
      <c r="I6555">
        <v>46.922580000000004</v>
      </c>
      <c r="J6555">
        <v>-187.88650000000001</v>
      </c>
      <c r="K6555">
        <v>1.1202240000000001</v>
      </c>
      <c r="L6555">
        <v>20.870239999999999</v>
      </c>
      <c r="M6555">
        <v>1.0207219999999999E-2</v>
      </c>
      <c r="N6555">
        <v>-9.1780060000000007E-3</v>
      </c>
      <c r="O6555">
        <v>0.99990579999999996</v>
      </c>
      <c r="P6555">
        <v>1.8276130000000002E-2</v>
      </c>
      <c r="Q6555">
        <v>0.1539845</v>
      </c>
      <c r="R6555">
        <v>0.98790429999999996</v>
      </c>
      <c r="S6555">
        <v>0.21043400000000001</v>
      </c>
      <c r="T6555">
        <v>-0.12955430000000001</v>
      </c>
      <c r="U6555">
        <v>3.0533450000000002</v>
      </c>
      <c r="V6555">
        <v>8.1646840000000002E-3</v>
      </c>
      <c r="W6555">
        <v>0.16304739999999901</v>
      </c>
      <c r="X6555">
        <v>0.98658440000000003</v>
      </c>
      <c r="Y6555">
        <v>5.8517430000000002E-2</v>
      </c>
      <c r="Z6555">
        <v>-3.31341E-2</v>
      </c>
      <c r="AA6555">
        <v>0.99773630000000002</v>
      </c>
      <c r="AB6555">
        <v>37</v>
      </c>
      <c r="AC6555">
        <v>1.8161</v>
      </c>
      <c r="AD6555">
        <v>-1.1202278243370001</v>
      </c>
      <c r="AE6555">
        <v>26.052340000000001</v>
      </c>
      <c r="AF6555">
        <v>1.54722535077085</v>
      </c>
      <c r="AG6555">
        <v>-1.1202278243370001</v>
      </c>
      <c r="AH6555">
        <v>26.021641411151201</v>
      </c>
      <c r="AI6555">
        <v>92.4607121901727</v>
      </c>
      <c r="AJ6555">
        <v>86.597246425266903</v>
      </c>
      <c r="AK6555">
        <v>26.0916584063763</v>
      </c>
      <c r="AL6555">
        <v>80.616176797136404</v>
      </c>
      <c r="AM6555">
        <v>89.525847707308102</v>
      </c>
      <c r="AN6555">
        <v>0.99999994751746801</v>
      </c>
    </row>
    <row r="6556" spans="1:40" x14ac:dyDescent="0.25">
      <c r="A6556" t="str">
        <f>"20190303162430603"</f>
        <v>20190303162430603</v>
      </c>
      <c r="B6556" t="str">
        <f>"1551601470591304"</f>
        <v>1551601470591304</v>
      </c>
      <c r="C6556" t="s">
        <v>40</v>
      </c>
      <c r="D6556">
        <v>5.5280800000000001</v>
      </c>
      <c r="E6556">
        <v>0.52156570000000002</v>
      </c>
      <c r="F6556" t="s">
        <v>41</v>
      </c>
      <c r="G6556">
        <v>-186.10210000000001</v>
      </c>
      <c r="H6556" s="1">
        <v>-3.7194590000000001E-6</v>
      </c>
      <c r="I6556">
        <v>46.691200000000002</v>
      </c>
      <c r="J6556">
        <v>-187.8827</v>
      </c>
      <c r="K6556">
        <v>1.120207</v>
      </c>
      <c r="L6556">
        <v>21.245940000000001</v>
      </c>
      <c r="M6556">
        <v>1.015693E-2</v>
      </c>
      <c r="N6556">
        <v>-9.1863180000000006E-3</v>
      </c>
      <c r="O6556">
        <v>0.99990619999999997</v>
      </c>
      <c r="P6556">
        <v>1.9202650000000002E-2</v>
      </c>
      <c r="Q6556">
        <v>0.1531708</v>
      </c>
      <c r="R6556">
        <v>0.98801309999999998</v>
      </c>
      <c r="S6556">
        <v>0.2110138</v>
      </c>
      <c r="T6556">
        <v>-0.1324729</v>
      </c>
      <c r="U6556">
        <v>3.0534669999999999</v>
      </c>
      <c r="V6556">
        <v>9.14535E-3</v>
      </c>
      <c r="W6556">
        <v>0.16224340000000001</v>
      </c>
      <c r="X6556">
        <v>0.98670840000000004</v>
      </c>
      <c r="Y6556">
        <v>5.8750950000000003E-2</v>
      </c>
      <c r="Z6556">
        <v>-3.4075069999999999E-2</v>
      </c>
      <c r="AA6556">
        <v>0.99769090000000005</v>
      </c>
      <c r="AB6556">
        <v>37</v>
      </c>
      <c r="AC6556">
        <v>1.78059999999999</v>
      </c>
      <c r="AD6556">
        <v>-1.1202107194590001</v>
      </c>
      <c r="AE6556">
        <v>25.445260000000001</v>
      </c>
      <c r="AF6556">
        <v>1.5191215819544699</v>
      </c>
      <c r="AG6556">
        <v>-1.1202107194590001</v>
      </c>
      <c r="AH6556">
        <v>25.4130195080105</v>
      </c>
      <c r="AI6556">
        <v>92.519483284308905</v>
      </c>
      <c r="AJ6556">
        <v>86.579084051374906</v>
      </c>
      <c r="AK6556">
        <v>25.483017147725501</v>
      </c>
      <c r="AL6556">
        <v>80.662864882440104</v>
      </c>
      <c r="AM6556">
        <v>89.468966765324893</v>
      </c>
      <c r="AN6556">
        <v>1.0000000124503701</v>
      </c>
    </row>
    <row r="6557" spans="1:40" x14ac:dyDescent="0.25">
      <c r="A6557" t="str">
        <f>"20190303162430628"</f>
        <v>20190303162430628</v>
      </c>
      <c r="B6557" t="str">
        <f>"1551601470621560"</f>
        <v>1551601470621560</v>
      </c>
      <c r="C6557" t="s">
        <v>40</v>
      </c>
      <c r="D6557">
        <v>5.5139969999999998</v>
      </c>
      <c r="E6557">
        <v>0.5218353</v>
      </c>
      <c r="F6557" t="s">
        <v>42</v>
      </c>
      <c r="G6557">
        <v>-187.8126</v>
      </c>
      <c r="H6557">
        <v>0.94069579999999997</v>
      </c>
      <c r="I6557">
        <v>22.247969999999999</v>
      </c>
      <c r="J6557">
        <v>-187.87860000000001</v>
      </c>
      <c r="K6557">
        <v>1.1201939999999999</v>
      </c>
      <c r="L6557">
        <v>21.65344</v>
      </c>
      <c r="M6557">
        <v>1.0116109999999999E-2</v>
      </c>
      <c r="N6557">
        <v>-9.1952370000000002E-3</v>
      </c>
      <c r="O6557">
        <v>0.99990650000000003</v>
      </c>
      <c r="P6557">
        <v>2.072914E-2</v>
      </c>
      <c r="Q6557">
        <v>0.151617</v>
      </c>
      <c r="R6557">
        <v>0.98822189999999999</v>
      </c>
      <c r="S6557">
        <v>0.21806339999999999</v>
      </c>
      <c r="T6557">
        <v>-0.55871859999999995</v>
      </c>
      <c r="U6557">
        <v>3.1187740000000002</v>
      </c>
      <c r="V6557">
        <v>1.0714400000000001E-2</v>
      </c>
      <c r="W6557">
        <v>0.160699799999999</v>
      </c>
      <c r="X6557">
        <v>0.98694519999999997</v>
      </c>
      <c r="Y6557">
        <v>5.8624379999999997E-2</v>
      </c>
      <c r="Z6557">
        <v>-0.16691110000000001</v>
      </c>
      <c r="AA6557">
        <v>0.98422750000000003</v>
      </c>
      <c r="AB6557">
        <v>37</v>
      </c>
      <c r="AC6557">
        <v>6.6000000000002501E-2</v>
      </c>
      <c r="AD6557">
        <v>-0.1794982</v>
      </c>
      <c r="AE6557">
        <v>0.594530000000002</v>
      </c>
      <c r="AF6557">
        <v>5.50271865146848E-2</v>
      </c>
      <c r="AG6557">
        <v>-0.1794982</v>
      </c>
      <c r="AH6557">
        <v>0.54600313395551703</v>
      </c>
      <c r="AI6557">
        <v>108.11253028118399</v>
      </c>
      <c r="AJ6557">
        <v>84.2450591495721</v>
      </c>
      <c r="AK6557">
        <v>0.57737943966529404</v>
      </c>
      <c r="AL6557">
        <v>80.752482804327201</v>
      </c>
      <c r="AM6557">
        <v>89.378014316331303</v>
      </c>
      <c r="AN6557">
        <v>1.00000002594521</v>
      </c>
    </row>
    <row r="6558" spans="1:40" x14ac:dyDescent="0.25">
      <c r="A6558" t="str">
        <f>"20190303162430648"</f>
        <v>20190303162430648</v>
      </c>
      <c r="B6558" t="str">
        <f>"1551601470641080"</f>
        <v>1551601470641080</v>
      </c>
      <c r="C6558" t="s">
        <v>40</v>
      </c>
      <c r="D6558">
        <v>5.5455740000000002</v>
      </c>
      <c r="E6558">
        <v>0.52168939999999997</v>
      </c>
      <c r="F6558" t="s">
        <v>42</v>
      </c>
      <c r="G6558">
        <v>-187.81440000000001</v>
      </c>
      <c r="H6558">
        <v>0.90537230000000002</v>
      </c>
      <c r="I6558">
        <v>22.56241</v>
      </c>
      <c r="J6558">
        <v>-187.8751</v>
      </c>
      <c r="K6558">
        <v>1.1201779999999999</v>
      </c>
      <c r="L6558">
        <v>22.002410000000001</v>
      </c>
      <c r="M6558">
        <v>1.0088099999999999E-2</v>
      </c>
      <c r="N6558">
        <v>-9.2027989999999994E-3</v>
      </c>
      <c r="O6558">
        <v>0.99990679999999998</v>
      </c>
      <c r="P6558">
        <v>2.3141700000000001E-2</v>
      </c>
      <c r="Q6558">
        <v>0.1491519</v>
      </c>
      <c r="R6558">
        <v>0.98854350000000002</v>
      </c>
      <c r="S6558">
        <v>0.22227479999999999</v>
      </c>
      <c r="T6558">
        <v>-0.74330529999999995</v>
      </c>
      <c r="U6558">
        <v>3.1451419999999999</v>
      </c>
      <c r="V6558">
        <v>1.3153990000000001E-2</v>
      </c>
      <c r="W6558">
        <v>0.15824540000000001</v>
      </c>
      <c r="X6558">
        <v>0.98731219999999997</v>
      </c>
      <c r="Y6558">
        <v>5.8626690000000002E-2</v>
      </c>
      <c r="Z6558">
        <v>-0.2205503</v>
      </c>
      <c r="AA6558">
        <v>0.97361209999999998</v>
      </c>
      <c r="AB6558">
        <v>37</v>
      </c>
      <c r="AC6558">
        <v>6.0699999999996999E-2</v>
      </c>
      <c r="AD6558">
        <v>-0.21480569999999999</v>
      </c>
      <c r="AE6558">
        <v>0.55999999999999805</v>
      </c>
      <c r="AF6558">
        <v>4.8058385804885403E-2</v>
      </c>
      <c r="AG6558">
        <v>-0.21480569999999999</v>
      </c>
      <c r="AH6558">
        <v>0.48941071704278999</v>
      </c>
      <c r="AI6558">
        <v>113.595989836839</v>
      </c>
      <c r="AJ6558">
        <v>84.3917387700821</v>
      </c>
      <c r="AK6558">
        <v>0.53663204074579696</v>
      </c>
      <c r="AL6558">
        <v>80.8949324506859</v>
      </c>
      <c r="AM6558">
        <v>89.236691775214993</v>
      </c>
      <c r="AN6558">
        <v>1.0000000071714601</v>
      </c>
    </row>
    <row r="6559" spans="1:40" x14ac:dyDescent="0.25">
      <c r="A6559" t="str">
        <f>"20190303162430670"</f>
        <v>20190303162430670</v>
      </c>
      <c r="B6559" t="str">
        <f>"1551601470661577"</f>
        <v>1551601470661577</v>
      </c>
      <c r="C6559" t="s">
        <v>40</v>
      </c>
      <c r="D6559">
        <v>5.5287829999999998</v>
      </c>
      <c r="E6559">
        <v>0.52217069999999999</v>
      </c>
      <c r="F6559" t="s">
        <v>42</v>
      </c>
      <c r="G6559">
        <v>-187.81049999999999</v>
      </c>
      <c r="H6559">
        <v>0.89936779999999905</v>
      </c>
      <c r="I6559">
        <v>22.890740000000001</v>
      </c>
      <c r="J6559">
        <v>-187.8715</v>
      </c>
      <c r="K6559">
        <v>1.1201589999999999</v>
      </c>
      <c r="L6559">
        <v>22.359559999999998</v>
      </c>
      <c r="M6559">
        <v>1.006378E-2</v>
      </c>
      <c r="N6559">
        <v>-9.2106010000000006E-3</v>
      </c>
      <c r="O6559">
        <v>0.99990699999999999</v>
      </c>
      <c r="P6559">
        <v>2.599806E-2</v>
      </c>
      <c r="Q6559">
        <v>0.146811</v>
      </c>
      <c r="R6559">
        <v>0.98882289999999995</v>
      </c>
      <c r="S6559">
        <v>0.22857669999999999</v>
      </c>
      <c r="T6559">
        <v>-0.78235669999999902</v>
      </c>
      <c r="U6559">
        <v>3.1474609999999998</v>
      </c>
      <c r="V6559">
        <v>1.6033410000000001E-2</v>
      </c>
      <c r="W6559">
        <v>0.15591579999999999</v>
      </c>
      <c r="X6559">
        <v>0.98764019999999997</v>
      </c>
      <c r="Y6559">
        <v>6.0346009999999999E-2</v>
      </c>
      <c r="Z6559">
        <v>-0.2317458</v>
      </c>
      <c r="AA6559">
        <v>0.97090279999999995</v>
      </c>
      <c r="AB6559">
        <v>37</v>
      </c>
      <c r="AC6559">
        <v>6.1000000000007E-2</v>
      </c>
      <c r="AD6559">
        <v>-0.22079119999999999</v>
      </c>
      <c r="AE6559">
        <v>0.53117999999999899</v>
      </c>
      <c r="AF6559">
        <v>4.7543595940893302E-2</v>
      </c>
      <c r="AG6559">
        <v>-0.22079119999999999</v>
      </c>
      <c r="AH6559">
        <v>0.45429756104785002</v>
      </c>
      <c r="AI6559">
        <v>115.797540325106</v>
      </c>
      <c r="AJ6559">
        <v>84.025573427325298</v>
      </c>
      <c r="AK6559">
        <v>0.50734152351887796</v>
      </c>
      <c r="AL6559">
        <v>81.030086369635598</v>
      </c>
      <c r="AM6559">
        <v>89.069938591532406</v>
      </c>
      <c r="AN6559">
        <v>0.99999998579095395</v>
      </c>
    </row>
    <row r="6560" spans="1:40" x14ac:dyDescent="0.25">
      <c r="A6560" t="str">
        <f>"20190303162430692"</f>
        <v>20190303162430692</v>
      </c>
      <c r="B6560" t="str">
        <f>"1551601470681096"</f>
        <v>1551601470681096</v>
      </c>
      <c r="C6560" t="s">
        <v>40</v>
      </c>
      <c r="D6560">
        <v>5.503152</v>
      </c>
      <c r="E6560">
        <v>0.52269449999999995</v>
      </c>
      <c r="F6560" t="s">
        <v>42</v>
      </c>
      <c r="G6560">
        <v>-187.8047</v>
      </c>
      <c r="H6560">
        <v>0.90073669999999995</v>
      </c>
      <c r="I6560">
        <v>23.22268</v>
      </c>
      <c r="J6560">
        <v>-187.86789999999999</v>
      </c>
      <c r="K6560">
        <v>1.120144</v>
      </c>
      <c r="L6560">
        <v>22.717929999999999</v>
      </c>
      <c r="M6560">
        <v>1.0041349999999999E-2</v>
      </c>
      <c r="N6560">
        <v>-9.2184550000000004E-3</v>
      </c>
      <c r="O6560">
        <v>0.99990710000000005</v>
      </c>
      <c r="P6560">
        <v>2.864821E-2</v>
      </c>
      <c r="Q6560">
        <v>0.1447725</v>
      </c>
      <c r="R6560">
        <v>0.98905010000000004</v>
      </c>
      <c r="S6560">
        <v>0.24319460000000001</v>
      </c>
      <c r="T6560">
        <v>-0.79984160000000004</v>
      </c>
      <c r="U6560">
        <v>3.146271</v>
      </c>
      <c r="V6560">
        <v>1.8704829999999999E-2</v>
      </c>
      <c r="W6560">
        <v>0.15388729999999901</v>
      </c>
      <c r="X6560">
        <v>0.98791130000000005</v>
      </c>
      <c r="Y6560">
        <v>6.4778630000000004E-2</v>
      </c>
      <c r="Z6560">
        <v>-0.23682020000000001</v>
      </c>
      <c r="AA6560">
        <v>0.96939149999999996</v>
      </c>
      <c r="AB6560">
        <v>37</v>
      </c>
      <c r="AC6560">
        <v>6.3199999999994802E-2</v>
      </c>
      <c r="AD6560">
        <v>-0.2194073</v>
      </c>
      <c r="AE6560">
        <v>0.50475000000000103</v>
      </c>
      <c r="AF6560">
        <v>4.9010568176285699E-2</v>
      </c>
      <c r="AG6560">
        <v>-0.2194073</v>
      </c>
      <c r="AH6560">
        <v>0.42609146143790499</v>
      </c>
      <c r="AI6560">
        <v>117.092337846604</v>
      </c>
      <c r="AJ6560">
        <v>83.438469821284201</v>
      </c>
      <c r="AK6560">
        <v>0.48176294232385902</v>
      </c>
      <c r="AL6560">
        <v>81.1477305796883</v>
      </c>
      <c r="AM6560">
        <v>88.915307701070901</v>
      </c>
      <c r="AN6560">
        <v>0.99999995421715304</v>
      </c>
    </row>
    <row r="6561" spans="1:40" x14ac:dyDescent="0.25">
      <c r="A6561" t="str">
        <f>"20190303162430714"</f>
        <v>20190303162430714</v>
      </c>
      <c r="B6561" t="str">
        <f>"1551601470701593"</f>
        <v>1551601470701593</v>
      </c>
      <c r="C6561" t="s">
        <v>40</v>
      </c>
      <c r="D6561">
        <v>5.5504519999999999</v>
      </c>
      <c r="E6561">
        <v>0.52251289999999995</v>
      </c>
      <c r="F6561" t="s">
        <v>42</v>
      </c>
      <c r="G6561">
        <v>-187.7996</v>
      </c>
      <c r="H6561">
        <v>0.90349579999999996</v>
      </c>
      <c r="I6561">
        <v>23.555730000000001</v>
      </c>
      <c r="J6561">
        <v>-187.86420000000001</v>
      </c>
      <c r="K6561">
        <v>1.120131</v>
      </c>
      <c r="L6561">
        <v>23.085750000000001</v>
      </c>
      <c r="M6561">
        <v>1.0018590000000001E-2</v>
      </c>
      <c r="N6561">
        <v>-9.2265520000000007E-3</v>
      </c>
      <c r="O6561">
        <v>0.99990730000000005</v>
      </c>
      <c r="P6561">
        <v>3.1391740000000001E-2</v>
      </c>
      <c r="Q6561">
        <v>0.14413960000000001</v>
      </c>
      <c r="R6561">
        <v>0.98905929999999997</v>
      </c>
      <c r="S6561">
        <v>0.255722</v>
      </c>
      <c r="T6561">
        <v>-0.81322289999999997</v>
      </c>
      <c r="U6561">
        <v>3.1448360000000002</v>
      </c>
      <c r="V6561">
        <v>2.147189E-2</v>
      </c>
      <c r="W6561">
        <v>0.15326300000000001</v>
      </c>
      <c r="X6561">
        <v>0.9879521</v>
      </c>
      <c r="Y6561">
        <v>6.8588430000000006E-2</v>
      </c>
      <c r="Z6561">
        <v>-0.2407164</v>
      </c>
      <c r="AA6561">
        <v>0.96816899999999995</v>
      </c>
      <c r="AB6561">
        <v>37</v>
      </c>
      <c r="AC6561">
        <v>6.46000000000128E-2</v>
      </c>
      <c r="AD6561">
        <v>-0.216635199999999</v>
      </c>
      <c r="AE6561">
        <v>0.46997999999999901</v>
      </c>
      <c r="AF6561">
        <v>4.9554393501391097E-2</v>
      </c>
      <c r="AG6561">
        <v>-0.216635199999999</v>
      </c>
      <c r="AH6561">
        <v>0.38940138153097298</v>
      </c>
      <c r="AI6561">
        <v>118.89334085188401</v>
      </c>
      <c r="AJ6561">
        <v>82.747642627966798</v>
      </c>
      <c r="AK6561">
        <v>0.44835241020045902</v>
      </c>
      <c r="AL6561">
        <v>81.183929914434799</v>
      </c>
      <c r="AM6561">
        <v>88.754944672690101</v>
      </c>
      <c r="AN6561">
        <v>0.99999997056179002</v>
      </c>
    </row>
    <row r="6562" spans="1:40" x14ac:dyDescent="0.25">
      <c r="A6562" t="str">
        <f>"20190303162430737"</f>
        <v>20190303162430737</v>
      </c>
      <c r="B6562" t="str">
        <f>"1551601470731849"</f>
        <v>1551601470731849</v>
      </c>
      <c r="C6562" t="s">
        <v>40</v>
      </c>
      <c r="D6562">
        <v>5.5909550000000001</v>
      </c>
      <c r="E6562">
        <v>0.52287139999999999</v>
      </c>
      <c r="F6562" t="s">
        <v>42</v>
      </c>
      <c r="G6562">
        <v>-187.7971</v>
      </c>
      <c r="H6562">
        <v>0.90973400000000004</v>
      </c>
      <c r="I6562">
        <v>23.890899999999998</v>
      </c>
      <c r="J6562">
        <v>-187.8604</v>
      </c>
      <c r="K6562">
        <v>1.120126</v>
      </c>
      <c r="L6562">
        <v>23.463709999999999</v>
      </c>
      <c r="M6562">
        <v>9.9947190000000009E-3</v>
      </c>
      <c r="N6562">
        <v>-9.2348940000000004E-3</v>
      </c>
      <c r="O6562">
        <v>0.9999074</v>
      </c>
      <c r="P6562">
        <v>3.3842619999999997E-2</v>
      </c>
      <c r="Q6562">
        <v>0.14295439999999901</v>
      </c>
      <c r="R6562">
        <v>0.98915050000000004</v>
      </c>
      <c r="S6562">
        <v>0.26222230000000002</v>
      </c>
      <c r="T6562">
        <v>-0.82173969999999896</v>
      </c>
      <c r="U6562">
        <v>3.1446230000000002</v>
      </c>
      <c r="V6562">
        <v>2.3946499999999999E-2</v>
      </c>
      <c r="W6562">
        <v>0.15208729999999901</v>
      </c>
      <c r="X6562">
        <v>0.98807690000000004</v>
      </c>
      <c r="Y6562">
        <v>7.0551539999999996E-2</v>
      </c>
      <c r="Z6562">
        <v>-0.24314189999999999</v>
      </c>
      <c r="AA6562">
        <v>0.96742159999999999</v>
      </c>
      <c r="AB6562">
        <v>37</v>
      </c>
      <c r="AC6562">
        <v>6.3299999999998094E-2</v>
      </c>
      <c r="AD6562">
        <v>-0.210391999999999</v>
      </c>
      <c r="AE6562">
        <v>0.42718999999999901</v>
      </c>
      <c r="AF6562">
        <v>4.7704491671182098E-2</v>
      </c>
      <c r="AG6562">
        <v>-0.210391999999999</v>
      </c>
      <c r="AH6562">
        <v>0.34574079647158101</v>
      </c>
      <c r="AI6562">
        <v>121.082167611233</v>
      </c>
      <c r="AJ6562">
        <v>82.1440674850558</v>
      </c>
      <c r="AK6562">
        <v>0.40752571763559797</v>
      </c>
      <c r="AL6562">
        <v>81.252091671755906</v>
      </c>
      <c r="AM6562">
        <v>88.611682092772597</v>
      </c>
      <c r="AN6562">
        <v>0.99999997099857396</v>
      </c>
    </row>
    <row r="6563" spans="1:40" x14ac:dyDescent="0.25">
      <c r="A6563" t="str">
        <f>"20190303162430760"</f>
        <v>20190303162430760</v>
      </c>
      <c r="B6563" t="str">
        <f>"1551601470751369"</f>
        <v>1551601470751369</v>
      </c>
      <c r="C6563" t="s">
        <v>40</v>
      </c>
      <c r="D6563">
        <v>5.5548570000000002</v>
      </c>
      <c r="E6563">
        <v>0.53022659999999999</v>
      </c>
      <c r="F6563" t="s">
        <v>42</v>
      </c>
      <c r="G6563">
        <v>-187.7945</v>
      </c>
      <c r="H6563">
        <v>0.91740809999999995</v>
      </c>
      <c r="I6563">
        <v>24.227150000000002</v>
      </c>
      <c r="J6563">
        <v>-187.85659999999999</v>
      </c>
      <c r="K6563">
        <v>1.1201209999999999</v>
      </c>
      <c r="L6563">
        <v>23.847989999999999</v>
      </c>
      <c r="M6563">
        <v>9.9695689999999993E-3</v>
      </c>
      <c r="N6563">
        <v>-9.2433810000000002E-3</v>
      </c>
      <c r="O6563">
        <v>0.99990760000000001</v>
      </c>
      <c r="P6563">
        <v>3.5671109999999999E-2</v>
      </c>
      <c r="Q6563">
        <v>0.14099979999999901</v>
      </c>
      <c r="R6563">
        <v>0.98936679999999999</v>
      </c>
      <c r="S6563">
        <v>0.27117920000000001</v>
      </c>
      <c r="T6563">
        <v>-0.83491179999999998</v>
      </c>
      <c r="U6563">
        <v>3.1442869999999998</v>
      </c>
      <c r="V6563">
        <v>2.5798720000000001E-2</v>
      </c>
      <c r="W6563">
        <v>0.1501429</v>
      </c>
      <c r="X6563">
        <v>0.98832759999999997</v>
      </c>
      <c r="Y6563">
        <v>7.3234670000000002E-2</v>
      </c>
      <c r="Z6563">
        <v>-0.24689259999999999</v>
      </c>
      <c r="AA6563">
        <v>0.96627160000000001</v>
      </c>
      <c r="AB6563">
        <v>37</v>
      </c>
      <c r="AC6563">
        <v>6.2099999999986701E-2</v>
      </c>
      <c r="AD6563">
        <v>-0.202712899999999</v>
      </c>
      <c r="AE6563">
        <v>0.379160000000002</v>
      </c>
      <c r="AF6563">
        <v>4.5618030664603799E-2</v>
      </c>
      <c r="AG6563">
        <v>-0.202712899999999</v>
      </c>
      <c r="AH6563">
        <v>0.29706618360547099</v>
      </c>
      <c r="AI6563">
        <v>123.99875069354501</v>
      </c>
      <c r="AJ6563">
        <v>81.269751582292301</v>
      </c>
      <c r="AK6563">
        <v>0.36252150555525098</v>
      </c>
      <c r="AL6563">
        <v>81.364791694767803</v>
      </c>
      <c r="AM6563">
        <v>88.504724367659094</v>
      </c>
      <c r="AN6563">
        <v>0.99999995464790303</v>
      </c>
    </row>
    <row r="6564" spans="1:40" x14ac:dyDescent="0.25">
      <c r="A6564" t="str">
        <f>"20190303162430781"</f>
        <v>20190303162430781</v>
      </c>
      <c r="B6564" t="str">
        <f>"1551601470770889"</f>
        <v>1551601470770889</v>
      </c>
      <c r="C6564" t="s">
        <v>40</v>
      </c>
      <c r="D6564">
        <v>5.5385660000000003</v>
      </c>
      <c r="E6564">
        <v>0.53194069999999904</v>
      </c>
      <c r="F6564" t="s">
        <v>42</v>
      </c>
      <c r="G6564">
        <v>-187.78319999999999</v>
      </c>
      <c r="H6564">
        <v>0.88560190000000005</v>
      </c>
      <c r="I6564">
        <v>24.546559999999999</v>
      </c>
      <c r="J6564">
        <v>-187.85310000000001</v>
      </c>
      <c r="K6564">
        <v>1.120104</v>
      </c>
      <c r="L6564">
        <v>24.2027</v>
      </c>
      <c r="M6564">
        <v>9.9458359999999996E-3</v>
      </c>
      <c r="N6564">
        <v>-9.2544700000000008E-3</v>
      </c>
      <c r="O6564">
        <v>0.99990769999999995</v>
      </c>
      <c r="P6564">
        <v>3.6684219999999997E-2</v>
      </c>
      <c r="Q6564">
        <v>0.1387533</v>
      </c>
      <c r="R6564">
        <v>0.98964730000000001</v>
      </c>
      <c r="S6564">
        <v>0.3330688</v>
      </c>
      <c r="T6564">
        <v>-1.064878</v>
      </c>
      <c r="U6564">
        <v>3.1719970000000002</v>
      </c>
      <c r="V6564">
        <v>2.6833320000000001E-2</v>
      </c>
      <c r="W6564">
        <v>0.14791029999999999</v>
      </c>
      <c r="X6564">
        <v>0.98863670000000003</v>
      </c>
      <c r="Y6564">
        <v>8.9309059999999996E-2</v>
      </c>
      <c r="Z6564">
        <v>-0.308035</v>
      </c>
      <c r="AA6564">
        <v>0.94717379999999995</v>
      </c>
      <c r="AB6564">
        <v>37</v>
      </c>
      <c r="AC6564">
        <v>6.9900000000018198E-2</v>
      </c>
      <c r="AD6564">
        <v>-0.23450209999999999</v>
      </c>
      <c r="AE6564">
        <v>0.343859999999999</v>
      </c>
      <c r="AF6564">
        <v>4.5952710975405403E-2</v>
      </c>
      <c r="AG6564">
        <v>-0.23450209999999999</v>
      </c>
      <c r="AH6564">
        <v>0.23816664234603599</v>
      </c>
      <c r="AI6564">
        <v>134.03241348542701</v>
      </c>
      <c r="AJ6564">
        <v>79.079345920682101</v>
      </c>
      <c r="AK6564">
        <v>0.33738144003010001</v>
      </c>
      <c r="AL6564">
        <v>81.494155286316797</v>
      </c>
      <c r="AM6564">
        <v>88.445274565083494</v>
      </c>
      <c r="AN6564">
        <v>1.0000000042476</v>
      </c>
    </row>
    <row r="6565" spans="1:40" x14ac:dyDescent="0.25">
      <c r="A6565" t="str">
        <f>"20190303162430805"</f>
        <v>20190303162430805</v>
      </c>
      <c r="B6565" t="str">
        <f>"1551601470791385"</f>
        <v>1551601470791385</v>
      </c>
      <c r="C6565" t="s">
        <v>40</v>
      </c>
      <c r="D6565">
        <v>5.559825</v>
      </c>
      <c r="E6565">
        <v>0.53163800000000005</v>
      </c>
      <c r="F6565" t="s">
        <v>42</v>
      </c>
      <c r="G6565">
        <v>-187.77799999999999</v>
      </c>
      <c r="H6565">
        <v>0.88984129999999995</v>
      </c>
      <c r="I6565">
        <v>24.881910000000001</v>
      </c>
      <c r="J6565">
        <v>-187.8493</v>
      </c>
      <c r="K6565">
        <v>1.120093</v>
      </c>
      <c r="L6565">
        <v>24.58334</v>
      </c>
      <c r="M6565">
        <v>9.9201859999999992E-3</v>
      </c>
      <c r="N6565">
        <v>-9.2705879999999997E-3</v>
      </c>
      <c r="O6565">
        <v>0.99990780000000001</v>
      </c>
      <c r="P6565">
        <v>3.7514659999999998E-2</v>
      </c>
      <c r="Q6565">
        <v>0.137438</v>
      </c>
      <c r="R6565">
        <v>0.98979969999999995</v>
      </c>
      <c r="S6565">
        <v>0.3501129</v>
      </c>
      <c r="T6565">
        <v>-1.074333</v>
      </c>
      <c r="U6565">
        <v>3.1690369999999999</v>
      </c>
      <c r="V6565">
        <v>2.7688279999999999E-2</v>
      </c>
      <c r="W6565">
        <v>0.14661189999999999</v>
      </c>
      <c r="X6565">
        <v>0.98880650000000003</v>
      </c>
      <c r="Y6565">
        <v>9.4357099999999999E-2</v>
      </c>
      <c r="Z6565">
        <v>-0.3106642</v>
      </c>
      <c r="AA6565">
        <v>0.94582480000000002</v>
      </c>
      <c r="AB6565">
        <v>37</v>
      </c>
      <c r="AC6565">
        <v>7.1300000000007899E-2</v>
      </c>
      <c r="AD6565">
        <v>-0.230251699999999</v>
      </c>
      <c r="AE6565">
        <v>0.298570000000001</v>
      </c>
      <c r="AF6565">
        <v>4.37302908263777E-2</v>
      </c>
      <c r="AG6565">
        <v>-0.230251699999999</v>
      </c>
      <c r="AH6565">
        <v>0.19151151655502999</v>
      </c>
      <c r="AI6565">
        <v>139.53061807928901</v>
      </c>
      <c r="AJ6565">
        <v>77.137443873265298</v>
      </c>
      <c r="AK6565">
        <v>0.30266292250927801</v>
      </c>
      <c r="AL6565">
        <v>81.569368026436607</v>
      </c>
      <c r="AM6565">
        <v>88.396038916369605</v>
      </c>
      <c r="AN6565">
        <v>0.99999999225660896</v>
      </c>
    </row>
    <row r="6566" spans="1:40" x14ac:dyDescent="0.25">
      <c r="A6566" t="str">
        <f>"20190303162430828"</f>
        <v>20190303162430828</v>
      </c>
      <c r="B6566" t="str">
        <f>"1551601470821641"</f>
        <v>1551601470821641</v>
      </c>
      <c r="C6566" t="s">
        <v>40</v>
      </c>
      <c r="D6566">
        <v>5.5689129999999896</v>
      </c>
      <c r="E6566">
        <v>0.53045940000000003</v>
      </c>
      <c r="F6566" t="s">
        <v>42</v>
      </c>
      <c r="G6566">
        <v>-187.74639999999999</v>
      </c>
      <c r="H6566">
        <v>0.80253790000000003</v>
      </c>
      <c r="I6566">
        <v>25.515920000000001</v>
      </c>
      <c r="J6566">
        <v>-187.84540000000001</v>
      </c>
      <c r="K6566">
        <v>1.1200810000000001</v>
      </c>
      <c r="L6566">
        <v>24.985230000000001</v>
      </c>
      <c r="M6566">
        <v>9.8931169999999999E-3</v>
      </c>
      <c r="N6566">
        <v>-9.2939949999999993E-3</v>
      </c>
      <c r="O6566">
        <v>0.99990789999999996</v>
      </c>
      <c r="P6566">
        <v>3.6860869999999997E-2</v>
      </c>
      <c r="Q6566">
        <v>0.13655870000000001</v>
      </c>
      <c r="R6566">
        <v>0.98994590000000005</v>
      </c>
      <c r="S6566">
        <v>0.34954829999999998</v>
      </c>
      <c r="T6566">
        <v>-1.078541</v>
      </c>
      <c r="U6566">
        <v>3.1674190000000002</v>
      </c>
      <c r="V6566">
        <v>2.7060379999999998E-2</v>
      </c>
      <c r="W6566">
        <v>0.1457571</v>
      </c>
      <c r="X6566">
        <v>0.98895029999999995</v>
      </c>
      <c r="Y6566">
        <v>9.4224189999999999E-2</v>
      </c>
      <c r="Z6566">
        <v>-0.3119191</v>
      </c>
      <c r="AA6566">
        <v>0.94542490000000001</v>
      </c>
      <c r="AB6566">
        <v>37</v>
      </c>
      <c r="AC6566">
        <v>9.9000000000017893E-2</v>
      </c>
      <c r="AD6566">
        <v>-0.31754309999999902</v>
      </c>
      <c r="AE6566">
        <v>0.53069000000000299</v>
      </c>
      <c r="AF6566">
        <v>6.9647299255065104E-2</v>
      </c>
      <c r="AG6566">
        <v>-0.31754309999999902</v>
      </c>
      <c r="AH6566">
        <v>0.39498247255173802</v>
      </c>
      <c r="AI6566">
        <v>128.36965063455301</v>
      </c>
      <c r="AJ6566">
        <v>79.999826614685006</v>
      </c>
      <c r="AK6566">
        <v>0.51156184403669003</v>
      </c>
      <c r="AL6566">
        <v>81.618876765933393</v>
      </c>
      <c r="AM6566">
        <v>88.432622154611096</v>
      </c>
      <c r="AN6566">
        <v>1.00000004611812</v>
      </c>
    </row>
    <row r="6567" spans="1:40" x14ac:dyDescent="0.25">
      <c r="A6567" t="str">
        <f>"20190303162430850"</f>
        <v>20190303162430850</v>
      </c>
      <c r="B6567" t="str">
        <f>"1551601470842136"</f>
        <v>1551601470842136</v>
      </c>
      <c r="C6567" t="s">
        <v>40</v>
      </c>
      <c r="D6567">
        <v>5.5781150000000004</v>
      </c>
      <c r="E6567">
        <v>0.53014989999999995</v>
      </c>
      <c r="F6567" t="s">
        <v>42</v>
      </c>
      <c r="G6567">
        <v>-187.75239999999999</v>
      </c>
      <c r="H6567">
        <v>0.8195713</v>
      </c>
      <c r="I6567">
        <v>25.857589999999998</v>
      </c>
      <c r="J6567">
        <v>-187.84180000000001</v>
      </c>
      <c r="K6567">
        <v>1.120085</v>
      </c>
      <c r="L6567">
        <v>25.347439999999999</v>
      </c>
      <c r="M6567">
        <v>9.8688230000000005E-3</v>
      </c>
      <c r="N6567">
        <v>-9.3192120000000003E-3</v>
      </c>
      <c r="O6567">
        <v>0.99990789999999996</v>
      </c>
      <c r="P6567">
        <v>3.546643E-2</v>
      </c>
      <c r="Q6567">
        <v>0.13650019999999999</v>
      </c>
      <c r="R6567">
        <v>0.99000500000000002</v>
      </c>
      <c r="S6567">
        <v>0.33760069999999998</v>
      </c>
      <c r="T6567">
        <v>-1.091469</v>
      </c>
      <c r="U6567">
        <v>3.1684570000000001</v>
      </c>
      <c r="V6567">
        <v>2.5689779999999999E-2</v>
      </c>
      <c r="W6567">
        <v>0.1457241</v>
      </c>
      <c r="X6567">
        <v>0.98899170000000003</v>
      </c>
      <c r="Y6567">
        <v>9.0573459999999995E-2</v>
      </c>
      <c r="Z6567">
        <v>-0.31536589999999998</v>
      </c>
      <c r="AA6567">
        <v>0.94463799999999998</v>
      </c>
      <c r="AB6567">
        <v>37</v>
      </c>
      <c r="AC6567">
        <v>8.9400000000011901E-2</v>
      </c>
      <c r="AD6567">
        <v>-0.30051369999999999</v>
      </c>
      <c r="AE6567">
        <v>0.51014999999999899</v>
      </c>
      <c r="AF6567">
        <v>6.3112993374948495E-2</v>
      </c>
      <c r="AG6567">
        <v>-0.30051369999999999</v>
      </c>
      <c r="AH6567">
        <v>0.38230069711930198</v>
      </c>
      <c r="AI6567">
        <v>127.79603770916199</v>
      </c>
      <c r="AJ6567">
        <v>80.625745107854897</v>
      </c>
      <c r="AK6567">
        <v>0.49035248223939898</v>
      </c>
      <c r="AL6567">
        <v>81.620787799691598</v>
      </c>
      <c r="AM6567">
        <v>88.512034982902904</v>
      </c>
      <c r="AN6567">
        <v>1.0000000303930701</v>
      </c>
    </row>
    <row r="6568" spans="1:40" x14ac:dyDescent="0.25">
      <c r="A6568" t="str">
        <f>"20190303162430871"</f>
        <v>20190303162430871</v>
      </c>
      <c r="B6568" t="str">
        <f>"1551601470861657"</f>
        <v>1551601470861657</v>
      </c>
      <c r="C6568" t="s">
        <v>40</v>
      </c>
      <c r="D6568">
        <v>5.5793910000000002</v>
      </c>
      <c r="E6568">
        <v>0.53001640000000005</v>
      </c>
      <c r="F6568" t="s">
        <v>42</v>
      </c>
      <c r="G6568">
        <v>-187.75309999999999</v>
      </c>
      <c r="H6568">
        <v>0.82829869999999906</v>
      </c>
      <c r="I6568">
        <v>26.19633</v>
      </c>
      <c r="J6568">
        <v>-187.83840000000001</v>
      </c>
      <c r="K6568">
        <v>1.1200889999999999</v>
      </c>
      <c r="L6568">
        <v>25.702000000000002</v>
      </c>
      <c r="M6568">
        <v>9.845431E-3</v>
      </c>
      <c r="N6568">
        <v>-9.3495139999999997E-3</v>
      </c>
      <c r="O6568">
        <v>0.99990789999999996</v>
      </c>
      <c r="P6568">
        <v>3.2881250000000001E-2</v>
      </c>
      <c r="Q6568">
        <v>0.13706160000000001</v>
      </c>
      <c r="R6568">
        <v>0.99001660000000002</v>
      </c>
      <c r="S6568">
        <v>0.33096310000000001</v>
      </c>
      <c r="T6568">
        <v>-1.089137</v>
      </c>
      <c r="U6568">
        <v>3.1686100000000001</v>
      </c>
      <c r="V6568">
        <v>2.312792E-2</v>
      </c>
      <c r="W6568">
        <v>0.14631469999999999</v>
      </c>
      <c r="X6568">
        <v>0.98896770000000001</v>
      </c>
      <c r="Y6568">
        <v>8.8658539999999994E-2</v>
      </c>
      <c r="Z6568">
        <v>-0.31476100000000001</v>
      </c>
      <c r="AA6568">
        <v>0.94502129999999995</v>
      </c>
      <c r="AB6568">
        <v>37</v>
      </c>
      <c r="AC6568">
        <v>8.5300000000017903E-2</v>
      </c>
      <c r="AD6568">
        <v>-0.291790299999999</v>
      </c>
      <c r="AE6568">
        <v>0.49433000000000099</v>
      </c>
      <c r="AF6568">
        <v>6.0095500727053802E-2</v>
      </c>
      <c r="AG6568">
        <v>-0.291790299999999</v>
      </c>
      <c r="AH6568">
        <v>0.36996765631658701</v>
      </c>
      <c r="AI6568">
        <v>127.900331571488</v>
      </c>
      <c r="AJ6568">
        <v>80.773771708717504</v>
      </c>
      <c r="AK6568">
        <v>0.47500433166668399</v>
      </c>
      <c r="AL6568">
        <v>81.586582047194199</v>
      </c>
      <c r="AM6568">
        <v>88.660329642727604</v>
      </c>
      <c r="AN6568">
        <v>1.0000000018814501</v>
      </c>
    </row>
    <row r="6569" spans="1:40" x14ac:dyDescent="0.25">
      <c r="A6569" t="str">
        <f>"20190303162430892"</f>
        <v>20190303162430892</v>
      </c>
      <c r="B6569" t="str">
        <f>"1551601470881177"</f>
        <v>1551601470881177</v>
      </c>
      <c r="C6569" t="s">
        <v>40</v>
      </c>
      <c r="D6569">
        <v>5.5767309999999997</v>
      </c>
      <c r="E6569">
        <v>0.52986060000000001</v>
      </c>
      <c r="F6569" t="s">
        <v>42</v>
      </c>
      <c r="G6569">
        <v>-187.75360000000001</v>
      </c>
      <c r="H6569">
        <v>0.83468809999999904</v>
      </c>
      <c r="I6569">
        <v>26.53453</v>
      </c>
      <c r="J6569">
        <v>-187.8348</v>
      </c>
      <c r="K6569">
        <v>1.120082</v>
      </c>
      <c r="L6569">
        <v>26.068940000000001</v>
      </c>
      <c r="M6569">
        <v>9.8212520000000008E-3</v>
      </c>
      <c r="N6569">
        <v>-9.3886270000000001E-3</v>
      </c>
      <c r="O6569">
        <v>0.99990769999999995</v>
      </c>
      <c r="P6569">
        <v>3.0257740000000002E-2</v>
      </c>
      <c r="Q6569">
        <v>0.137625</v>
      </c>
      <c r="R6569">
        <v>0.99002210000000002</v>
      </c>
      <c r="S6569">
        <v>0.3226929</v>
      </c>
      <c r="T6569">
        <v>-1.0867</v>
      </c>
      <c r="U6569">
        <v>3.1699830000000002</v>
      </c>
      <c r="V6569">
        <v>2.0528520000000001E-2</v>
      </c>
      <c r="W6569">
        <v>0.14691699999999999</v>
      </c>
      <c r="X6569">
        <v>0.98893580000000003</v>
      </c>
      <c r="Y6569">
        <v>8.6229E-2</v>
      </c>
      <c r="Z6569">
        <v>-0.31402180000000002</v>
      </c>
      <c r="AA6569">
        <v>0.94549190000000005</v>
      </c>
      <c r="AB6569">
        <v>38</v>
      </c>
      <c r="AC6569">
        <v>8.1199999999995498E-2</v>
      </c>
      <c r="AD6569">
        <v>-0.28539389999999998</v>
      </c>
      <c r="AE6569">
        <v>0.465590000000002</v>
      </c>
      <c r="AF6569">
        <v>5.61488484358783E-2</v>
      </c>
      <c r="AG6569">
        <v>-0.28539389999999998</v>
      </c>
      <c r="AH6569">
        <v>0.34174844569595703</v>
      </c>
      <c r="AI6569">
        <v>129.49026788201601</v>
      </c>
      <c r="AJ6569">
        <v>80.669732117637693</v>
      </c>
      <c r="AK6569">
        <v>0.44876984242870799</v>
      </c>
      <c r="AL6569">
        <v>81.551695961441695</v>
      </c>
      <c r="AM6569">
        <v>88.810813950579401</v>
      </c>
      <c r="AN6569">
        <v>1.0000000207720099</v>
      </c>
    </row>
    <row r="6570" spans="1:40" x14ac:dyDescent="0.25">
      <c r="A6570" t="str">
        <f>"20190303162430926"</f>
        <v>20190303162430926</v>
      </c>
      <c r="B6570" t="str">
        <f>"1551601470921193"</f>
        <v>1551601470921193</v>
      </c>
      <c r="C6570" t="s">
        <v>40</v>
      </c>
      <c r="D6570">
        <v>5.6190509999999998</v>
      </c>
      <c r="E6570">
        <v>0.5299064</v>
      </c>
      <c r="F6570" t="s">
        <v>42</v>
      </c>
      <c r="G6570">
        <v>-187.7551</v>
      </c>
      <c r="H6570">
        <v>0.84522749999999902</v>
      </c>
      <c r="I6570">
        <v>26.87472</v>
      </c>
      <c r="J6570">
        <v>-187.82929999999999</v>
      </c>
      <c r="K6570">
        <v>1.1201030000000001</v>
      </c>
      <c r="L6570">
        <v>26.62781</v>
      </c>
      <c r="M6570">
        <v>9.7843170000000007E-3</v>
      </c>
      <c r="N6570">
        <v>-9.4688629999999992E-3</v>
      </c>
      <c r="O6570">
        <v>0.99990730000000005</v>
      </c>
      <c r="P6570">
        <v>2.899229E-2</v>
      </c>
      <c r="Q6570">
        <v>0.1377342</v>
      </c>
      <c r="R6570">
        <v>0.99004479999999995</v>
      </c>
      <c r="S6570">
        <v>0.3129883</v>
      </c>
      <c r="T6570">
        <v>-1.0816349999999999</v>
      </c>
      <c r="U6570">
        <v>3.1710210000000001</v>
      </c>
      <c r="V6570">
        <v>1.929966E-2</v>
      </c>
      <c r="W6570">
        <v>0.14710570000000001</v>
      </c>
      <c r="X6570">
        <v>0.98893249999999999</v>
      </c>
      <c r="Y6570">
        <v>8.3420240000000007E-2</v>
      </c>
      <c r="Z6570">
        <v>-0.31258089999999999</v>
      </c>
      <c r="AA6570">
        <v>0.94622099999999998</v>
      </c>
      <c r="AB6570">
        <v>38</v>
      </c>
      <c r="AC6570">
        <v>7.4199999999990496E-2</v>
      </c>
      <c r="AD6570">
        <v>-0.27487549999999999</v>
      </c>
      <c r="AE6570">
        <v>0.24691000000000299</v>
      </c>
      <c r="AF6570">
        <v>3.3594119767034802E-2</v>
      </c>
      <c r="AG6570">
        <v>-0.27487549999999999</v>
      </c>
      <c r="AH6570">
        <v>0.11589105727521801</v>
      </c>
      <c r="AI6570">
        <v>156.29999574960601</v>
      </c>
      <c r="AJ6570">
        <v>73.834356577228107</v>
      </c>
      <c r="AK6570">
        <v>0.30019300881189698</v>
      </c>
      <c r="AL6570">
        <v>81.5407655368533</v>
      </c>
      <c r="AM6570">
        <v>88.881977574516199</v>
      </c>
      <c r="AN6570">
        <v>1.0000000267024201</v>
      </c>
    </row>
    <row r="6571" spans="1:40" x14ac:dyDescent="0.25">
      <c r="A6571" t="str">
        <f>"20190303162430949"</f>
        <v>20190303162430949</v>
      </c>
      <c r="B6571" t="str">
        <f>"1551601470941689"</f>
        <v>1551601470941689</v>
      </c>
      <c r="C6571" t="s">
        <v>40</v>
      </c>
      <c r="D6571">
        <v>5.6186259999999999</v>
      </c>
      <c r="E6571">
        <v>0.52995749999999997</v>
      </c>
      <c r="F6571" t="s">
        <v>42</v>
      </c>
      <c r="G6571">
        <v>-187.7406</v>
      </c>
      <c r="H6571">
        <v>0.81262449999999997</v>
      </c>
      <c r="I6571">
        <v>27.534829999999999</v>
      </c>
      <c r="J6571">
        <v>-187.8254</v>
      </c>
      <c r="K6571">
        <v>1.1201110000000001</v>
      </c>
      <c r="L6571">
        <v>27.025849999999998</v>
      </c>
      <c r="M6571">
        <v>9.7583029999999994E-3</v>
      </c>
      <c r="N6571">
        <v>-9.5462910000000002E-3</v>
      </c>
      <c r="O6571">
        <v>0.99990679999999998</v>
      </c>
      <c r="P6571">
        <v>2.9951160000000001E-2</v>
      </c>
      <c r="Q6571">
        <v>0.13913619999999999</v>
      </c>
      <c r="R6571">
        <v>0.98982020000000004</v>
      </c>
      <c r="S6571">
        <v>0.30967709999999998</v>
      </c>
      <c r="T6571">
        <v>-1.074824</v>
      </c>
      <c r="U6571">
        <v>3.1706240000000001</v>
      </c>
      <c r="V6571">
        <v>2.0286410000000001E-2</v>
      </c>
      <c r="W6571">
        <v>0.14858180000000001</v>
      </c>
      <c r="X6571">
        <v>0.98869200000000002</v>
      </c>
      <c r="Y6571">
        <v>8.2538600000000004E-2</v>
      </c>
      <c r="Z6571">
        <v>-0.31074750000000001</v>
      </c>
      <c r="AA6571">
        <v>0.94690200000000002</v>
      </c>
      <c r="AB6571">
        <v>38</v>
      </c>
      <c r="AC6571">
        <v>8.4800000000001305E-2</v>
      </c>
      <c r="AD6571">
        <v>-0.3074865</v>
      </c>
      <c r="AE6571">
        <v>0.50898000000000099</v>
      </c>
      <c r="AF6571">
        <v>5.8909687361531203E-2</v>
      </c>
      <c r="AG6571">
        <v>-0.3074865</v>
      </c>
      <c r="AH6571">
        <v>0.37619401774806799</v>
      </c>
      <c r="AI6571">
        <v>128.92158836447101</v>
      </c>
      <c r="AJ6571">
        <v>81.100107584780005</v>
      </c>
      <c r="AK6571">
        <v>0.48942848092108099</v>
      </c>
      <c r="AL6571">
        <v>81.455251094281607</v>
      </c>
      <c r="AM6571">
        <v>88.824545358640194</v>
      </c>
      <c r="AN6571">
        <v>0.999999980292963</v>
      </c>
    </row>
    <row r="6572" spans="1:40" x14ac:dyDescent="0.25">
      <c r="A6572" t="str">
        <f>"20190303162430971"</f>
        <v>20190303162430971</v>
      </c>
      <c r="B6572" t="str">
        <f>"1551601470961208"</f>
        <v>1551601470961208</v>
      </c>
      <c r="C6572" t="s">
        <v>40</v>
      </c>
      <c r="D6572">
        <v>5.6269470000000004</v>
      </c>
      <c r="E6572">
        <v>0.5300125</v>
      </c>
      <c r="F6572" t="s">
        <v>42</v>
      </c>
      <c r="G6572">
        <v>-187.74109999999999</v>
      </c>
      <c r="H6572">
        <v>0.8325593</v>
      </c>
      <c r="I6572">
        <v>27.8796</v>
      </c>
      <c r="J6572">
        <v>-187.8219</v>
      </c>
      <c r="K6572">
        <v>1.1201350000000001</v>
      </c>
      <c r="L6572">
        <v>27.391850000000002</v>
      </c>
      <c r="M6572">
        <v>9.734276E-3</v>
      </c>
      <c r="N6572">
        <v>-9.6287760000000003E-3</v>
      </c>
      <c r="O6572">
        <v>0.99990619999999997</v>
      </c>
      <c r="P6572">
        <v>3.1160440000000001E-2</v>
      </c>
      <c r="Q6572">
        <v>0.13948369999999999</v>
      </c>
      <c r="R6572">
        <v>0.98973390000000006</v>
      </c>
      <c r="S6572">
        <v>0.3131409</v>
      </c>
      <c r="T6572">
        <v>-1.0681929999999999</v>
      </c>
      <c r="U6572">
        <v>3.1715390000000001</v>
      </c>
      <c r="V6572">
        <v>2.1520279999999999E-2</v>
      </c>
      <c r="W6572">
        <v>0.14901039999999999</v>
      </c>
      <c r="X6572">
        <v>0.98860139999999996</v>
      </c>
      <c r="Y6572">
        <v>8.3621169999999995E-2</v>
      </c>
      <c r="Z6572">
        <v>-0.30877929999999998</v>
      </c>
      <c r="AA6572">
        <v>0.94745069999999998</v>
      </c>
      <c r="AB6572">
        <v>38</v>
      </c>
      <c r="AC6572">
        <v>8.0800000000010599E-2</v>
      </c>
      <c r="AD6572">
        <v>-0.28757569999999999</v>
      </c>
      <c r="AE6572">
        <v>0.48774999999999802</v>
      </c>
      <c r="AF6572">
        <v>5.6822713177403103E-2</v>
      </c>
      <c r="AG6572">
        <v>-0.28757569999999999</v>
      </c>
      <c r="AH6572">
        <v>0.365014711609911</v>
      </c>
      <c r="AI6572">
        <v>127.899710784192</v>
      </c>
      <c r="AJ6572">
        <v>81.151649492034096</v>
      </c>
      <c r="AK6572">
        <v>0.46814991579086901</v>
      </c>
      <c r="AL6572">
        <v>81.430417627945502</v>
      </c>
      <c r="AM6572">
        <v>88.752958966086098</v>
      </c>
      <c r="AN6572">
        <v>0.99999997492069803</v>
      </c>
    </row>
    <row r="6573" spans="1:40" x14ac:dyDescent="0.25">
      <c r="A6573" t="str">
        <f>"20190303162430993"</f>
        <v>20190303162430993</v>
      </c>
      <c r="B6573" t="str">
        <f>"1551601470981705"</f>
        <v>1551601470981705</v>
      </c>
      <c r="C6573" t="s">
        <v>40</v>
      </c>
      <c r="D6573">
        <v>5.6141069999999997</v>
      </c>
      <c r="E6573">
        <v>0.53016240000000003</v>
      </c>
      <c r="F6573" t="s">
        <v>42</v>
      </c>
      <c r="G6573">
        <v>-187.73939999999999</v>
      </c>
      <c r="H6573">
        <v>0.84134109999999995</v>
      </c>
      <c r="I6573">
        <v>28.220220000000001</v>
      </c>
      <c r="J6573">
        <v>-187.81829999999999</v>
      </c>
      <c r="K6573">
        <v>1.1201680000000001</v>
      </c>
      <c r="L6573">
        <v>27.759029999999999</v>
      </c>
      <c r="M6573">
        <v>9.7102720000000007E-3</v>
      </c>
      <c r="N6573">
        <v>-9.7276310000000005E-3</v>
      </c>
      <c r="O6573">
        <v>0.9999055</v>
      </c>
      <c r="P6573">
        <v>3.3203330000000003E-2</v>
      </c>
      <c r="Q6573">
        <v>0.14075969999999999</v>
      </c>
      <c r="R6573">
        <v>0.98948689999999995</v>
      </c>
      <c r="S6573">
        <v>0.3155212</v>
      </c>
      <c r="T6573">
        <v>-1.0674140000000001</v>
      </c>
      <c r="U6573">
        <v>3.1716310000000001</v>
      </c>
      <c r="V6573">
        <v>2.3589189999999999E-2</v>
      </c>
      <c r="W6573">
        <v>0.15038190000000001</v>
      </c>
      <c r="X6573">
        <v>0.98834650000000002</v>
      </c>
      <c r="Y6573">
        <v>8.4354570000000004E-2</v>
      </c>
      <c r="Z6573">
        <v>-0.30844779999999999</v>
      </c>
      <c r="AA6573">
        <v>0.94749369999999999</v>
      </c>
      <c r="AB6573">
        <v>38</v>
      </c>
      <c r="AC6573">
        <v>7.8900000000004397E-2</v>
      </c>
      <c r="AD6573">
        <v>-0.27882689999999999</v>
      </c>
      <c r="AE6573">
        <v>0.46119000000000199</v>
      </c>
      <c r="AF6573">
        <v>5.49158160917365E-2</v>
      </c>
      <c r="AG6573">
        <v>-0.27882689999999999</v>
      </c>
      <c r="AH6573">
        <v>0.34087960905057402</v>
      </c>
      <c r="AI6573">
        <v>128.922636215312</v>
      </c>
      <c r="AJ6573">
        <v>80.848263267693397</v>
      </c>
      <c r="AK6573">
        <v>0.44380073781721402</v>
      </c>
      <c r="AL6573">
        <v>81.350941004786904</v>
      </c>
      <c r="AM6573">
        <v>88.632762418649406</v>
      </c>
      <c r="AN6573">
        <v>0.99999998489735797</v>
      </c>
    </row>
    <row r="6574" spans="1:40" x14ac:dyDescent="0.25">
      <c r="A6574" t="str">
        <f>"20190303162431017"</f>
        <v>20190303162431017</v>
      </c>
      <c r="B6574" t="str">
        <f>"1551601471011960"</f>
        <v>1551601471011960</v>
      </c>
      <c r="C6574" t="s">
        <v>40</v>
      </c>
      <c r="D6574">
        <v>5.7248950000000001</v>
      </c>
      <c r="E6574">
        <v>0.5303928</v>
      </c>
      <c r="F6574" t="s">
        <v>42</v>
      </c>
      <c r="G6574">
        <v>-187.7371</v>
      </c>
      <c r="H6574">
        <v>0.8508462</v>
      </c>
      <c r="I6574">
        <v>28.561330000000002</v>
      </c>
      <c r="J6574">
        <v>-187.81440000000001</v>
      </c>
      <c r="K6574">
        <v>1.120196</v>
      </c>
      <c r="L6574">
        <v>28.161829999999998</v>
      </c>
      <c r="M6574">
        <v>9.6839920000000006E-3</v>
      </c>
      <c r="N6574">
        <v>-9.8519999999999996E-3</v>
      </c>
      <c r="O6574">
        <v>0.99990460000000003</v>
      </c>
      <c r="P6574">
        <v>3.4537140000000001E-2</v>
      </c>
      <c r="Q6574">
        <v>0.14364869999999999</v>
      </c>
      <c r="R6574">
        <v>0.98902590000000001</v>
      </c>
      <c r="S6574">
        <v>0.32107540000000001</v>
      </c>
      <c r="T6574">
        <v>-1.0650120000000001</v>
      </c>
      <c r="U6574">
        <v>3.1726070000000002</v>
      </c>
      <c r="V6574">
        <v>2.4953340000000001E-2</v>
      </c>
      <c r="W6574">
        <v>0.15338879999999999</v>
      </c>
      <c r="X6574">
        <v>0.98785080000000003</v>
      </c>
      <c r="Y6574">
        <v>8.6019010000000007E-2</v>
      </c>
      <c r="Z6574">
        <v>-0.30754999999999999</v>
      </c>
      <c r="AA6574">
        <v>0.94763580000000003</v>
      </c>
      <c r="AB6574">
        <v>38</v>
      </c>
      <c r="AC6574">
        <v>7.7300000000008098E-2</v>
      </c>
      <c r="AD6574">
        <v>-0.26934979999999997</v>
      </c>
      <c r="AE6574">
        <v>0.39949999999999902</v>
      </c>
      <c r="AF6574">
        <v>5.1056353608747301E-2</v>
      </c>
      <c r="AG6574">
        <v>-0.26934979999999997</v>
      </c>
      <c r="AH6574">
        <v>0.27829214888972598</v>
      </c>
      <c r="AI6574">
        <v>133.590723422221</v>
      </c>
      <c r="AJ6574">
        <v>79.603946400192399</v>
      </c>
      <c r="AK6574">
        <v>0.390643809803154</v>
      </c>
      <c r="AL6574">
        <v>81.176636102800998</v>
      </c>
      <c r="AM6574">
        <v>88.553003053379499</v>
      </c>
      <c r="AN6574">
        <v>0.99999999810161699</v>
      </c>
    </row>
    <row r="6575" spans="1:40" x14ac:dyDescent="0.25">
      <c r="A6575" t="str">
        <f>"20190303162431040"</f>
        <v>20190303162431040</v>
      </c>
      <c r="B6575" t="str">
        <f>"1551601471033433"</f>
        <v>1551601471033433</v>
      </c>
      <c r="C6575" t="s">
        <v>40</v>
      </c>
      <c r="D6575">
        <v>5.6210380000000004</v>
      </c>
      <c r="E6575">
        <v>0.53061569999999902</v>
      </c>
      <c r="F6575" t="s">
        <v>42</v>
      </c>
      <c r="G6575">
        <v>-187.73759999999999</v>
      </c>
      <c r="H6575">
        <v>0.8718188</v>
      </c>
      <c r="I6575">
        <v>28.907150000000001</v>
      </c>
      <c r="J6575">
        <v>-187.8107</v>
      </c>
      <c r="K6575">
        <v>1.120231</v>
      </c>
      <c r="L6575">
        <v>28.54712</v>
      </c>
      <c r="M6575">
        <v>9.6588750000000008E-3</v>
      </c>
      <c r="N6575">
        <v>-9.9817680000000002E-3</v>
      </c>
      <c r="O6575">
        <v>0.9999036</v>
      </c>
      <c r="P6575">
        <v>3.4860929999999998E-2</v>
      </c>
      <c r="Q6575">
        <v>0.14711399999999999</v>
      </c>
      <c r="R6575">
        <v>0.98850499999999997</v>
      </c>
      <c r="S6575">
        <v>0.32678220000000002</v>
      </c>
      <c r="T6575">
        <v>-1.0582560000000001</v>
      </c>
      <c r="U6575">
        <v>3.1755680000000002</v>
      </c>
      <c r="V6575">
        <v>2.530688E-2</v>
      </c>
      <c r="W6575">
        <v>0.15697739999999999</v>
      </c>
      <c r="X6575">
        <v>0.98727790000000004</v>
      </c>
      <c r="Y6575">
        <v>8.7711259999999999E-2</v>
      </c>
      <c r="Z6575">
        <v>-0.30529840000000003</v>
      </c>
      <c r="AA6575">
        <v>0.94820859999999996</v>
      </c>
      <c r="AB6575">
        <v>38</v>
      </c>
      <c r="AC6575">
        <v>7.3100000000010795E-2</v>
      </c>
      <c r="AD6575">
        <v>-0.2484122</v>
      </c>
      <c r="AE6575">
        <v>0.36003000000000102</v>
      </c>
      <c r="AF6575">
        <v>4.7775211029027403E-2</v>
      </c>
      <c r="AG6575">
        <v>-0.2484122</v>
      </c>
      <c r="AH6575">
        <v>0.24753957476050201</v>
      </c>
      <c r="AI6575">
        <v>134.57697006467001</v>
      </c>
      <c r="AJ6575">
        <v>79.076209873291901</v>
      </c>
      <c r="AK6575">
        <v>0.35393068950052697</v>
      </c>
      <c r="AL6575">
        <v>80.968502955016504</v>
      </c>
      <c r="AM6575">
        <v>88.531659654704399</v>
      </c>
      <c r="AN6575">
        <v>0.99999999705725195</v>
      </c>
    </row>
    <row r="6576" spans="1:40" x14ac:dyDescent="0.25">
      <c r="A6576" t="str">
        <f>"20190303162431063"</f>
        <v>20190303162431063</v>
      </c>
      <c r="B6576" t="str">
        <f>"1551601471051977"</f>
        <v>1551601471051977</v>
      </c>
      <c r="C6576" t="s">
        <v>40</v>
      </c>
      <c r="D6576">
        <v>5.6340649999999997</v>
      </c>
      <c r="E6576">
        <v>0.53068300000000002</v>
      </c>
      <c r="F6576" t="s">
        <v>42</v>
      </c>
      <c r="G6576">
        <v>-187.7373</v>
      </c>
      <c r="H6576">
        <v>0.88843289999999997</v>
      </c>
      <c r="I6576">
        <v>29.251480000000001</v>
      </c>
      <c r="J6576">
        <v>-187.80699999999999</v>
      </c>
      <c r="K6576">
        <v>1.120261</v>
      </c>
      <c r="L6576">
        <v>28.93506</v>
      </c>
      <c r="M6576">
        <v>9.6334100000000002E-3</v>
      </c>
      <c r="N6576">
        <v>-1.011721E-2</v>
      </c>
      <c r="O6576">
        <v>0.99990239999999997</v>
      </c>
      <c r="P6576">
        <v>3.362275E-2</v>
      </c>
      <c r="Q6576">
        <v>0.1495127</v>
      </c>
      <c r="R6576">
        <v>0.98818799999999996</v>
      </c>
      <c r="S6576">
        <v>0.33108520000000002</v>
      </c>
      <c r="T6576">
        <v>-1.046141</v>
      </c>
      <c r="U6576">
        <v>3.1788940000000001</v>
      </c>
      <c r="V6576">
        <v>2.4096960000000001E-2</v>
      </c>
      <c r="W6576">
        <v>0.15950619999999999</v>
      </c>
      <c r="X6576">
        <v>0.98690279999999997</v>
      </c>
      <c r="Y6576">
        <v>8.9025770000000004E-2</v>
      </c>
      <c r="Z6576">
        <v>-0.30157659999999997</v>
      </c>
      <c r="AA6576">
        <v>0.94927660000000003</v>
      </c>
      <c r="AB6576">
        <v>38</v>
      </c>
      <c r="AC6576">
        <v>6.97000000000116E-2</v>
      </c>
      <c r="AD6576">
        <v>-0.23182810000000001</v>
      </c>
      <c r="AE6576">
        <v>0.31641999999999998</v>
      </c>
      <c r="AF6576">
        <v>4.4081116910131203E-2</v>
      </c>
      <c r="AG6576">
        <v>-0.23182810000000001</v>
      </c>
      <c r="AH6576">
        <v>0.20971393510299599</v>
      </c>
      <c r="AI6576">
        <v>137.250397470536</v>
      </c>
      <c r="AJ6576">
        <v>78.129442993801106</v>
      </c>
      <c r="AK6576">
        <v>0.31570135792238502</v>
      </c>
      <c r="AL6576">
        <v>80.821764654250202</v>
      </c>
      <c r="AM6576">
        <v>88.601301127676194</v>
      </c>
      <c r="AN6576">
        <v>1.0000000139837599</v>
      </c>
    </row>
    <row r="6577" spans="1:40" x14ac:dyDescent="0.25">
      <c r="A6577" t="str">
        <f>"20190303162431084"</f>
        <v>20190303162431084</v>
      </c>
      <c r="B6577" t="str">
        <f>"1551601471081256"</f>
        <v>1551601471081256</v>
      </c>
      <c r="C6577" t="s">
        <v>40</v>
      </c>
      <c r="D6577">
        <v>5.6245260000000004</v>
      </c>
      <c r="E6577">
        <v>0.53091290000000002</v>
      </c>
      <c r="F6577" t="s">
        <v>42</v>
      </c>
      <c r="G6577">
        <v>-187.7388</v>
      </c>
      <c r="H6577">
        <v>0.90426870000000004</v>
      </c>
      <c r="I6577">
        <v>29.596039999999999</v>
      </c>
      <c r="J6577">
        <v>-187.80359999999999</v>
      </c>
      <c r="K6577">
        <v>1.1202909999999999</v>
      </c>
      <c r="L6577">
        <v>29.282810000000001</v>
      </c>
      <c r="M6577">
        <v>9.6107870000000008E-3</v>
      </c>
      <c r="N6577">
        <v>-1.0243830000000001E-2</v>
      </c>
      <c r="O6577">
        <v>0.99990140000000005</v>
      </c>
      <c r="P6577">
        <v>3.2544040000000003E-2</v>
      </c>
      <c r="Q6577">
        <v>0.15087509999999901</v>
      </c>
      <c r="R6577">
        <v>0.98801700000000003</v>
      </c>
      <c r="S6577">
        <v>0.32742310000000002</v>
      </c>
      <c r="T6577">
        <v>-1.0397940000000001</v>
      </c>
      <c r="U6577">
        <v>3.1820369999999998</v>
      </c>
      <c r="V6577">
        <v>2.3042239999999999E-2</v>
      </c>
      <c r="W6577">
        <v>0.16099160000000001</v>
      </c>
      <c r="X6577">
        <v>0.98668679999999997</v>
      </c>
      <c r="Y6577">
        <v>8.7938639999999998E-2</v>
      </c>
      <c r="Z6577">
        <v>-0.29950019999999999</v>
      </c>
      <c r="AA6577">
        <v>0.95003499999999996</v>
      </c>
      <c r="AB6577">
        <v>38</v>
      </c>
      <c r="AC6577">
        <v>6.4799999999991004E-2</v>
      </c>
      <c r="AD6577">
        <v>-0.216022299999999</v>
      </c>
      <c r="AE6577">
        <v>0.31323000000000401</v>
      </c>
      <c r="AF6577">
        <v>4.24325301018494E-2</v>
      </c>
      <c r="AG6577">
        <v>-0.216022299999999</v>
      </c>
      <c r="AH6577">
        <v>0.21553192183132999</v>
      </c>
      <c r="AI6577">
        <v>134.52043265819299</v>
      </c>
      <c r="AJ6577">
        <v>78.862414458689301</v>
      </c>
      <c r="AK6577">
        <v>0.30809116026987998</v>
      </c>
      <c r="AL6577">
        <v>80.735543474851198</v>
      </c>
      <c r="AM6577">
        <v>88.662206509762001</v>
      </c>
      <c r="AN6577">
        <v>1.0000000406945</v>
      </c>
    </row>
    <row r="6578" spans="1:40" x14ac:dyDescent="0.25">
      <c r="A6578" t="str">
        <f>"20190303162431106"</f>
        <v>20190303162431106</v>
      </c>
      <c r="B6578" t="str">
        <f>"1551601471101753"</f>
        <v>1551601471101753</v>
      </c>
      <c r="C6578" t="s">
        <v>40</v>
      </c>
      <c r="D6578">
        <v>5.6507820000000004</v>
      </c>
      <c r="E6578">
        <v>0.53099949999999996</v>
      </c>
      <c r="F6578" t="s">
        <v>42</v>
      </c>
      <c r="G6578">
        <v>-187.70670000000001</v>
      </c>
      <c r="H6578">
        <v>0.81031189999999997</v>
      </c>
      <c r="I6578">
        <v>30.23442</v>
      </c>
      <c r="J6578">
        <v>-187.8</v>
      </c>
      <c r="K6578">
        <v>1.1203149999999999</v>
      </c>
      <c r="L6578">
        <v>29.659389999999998</v>
      </c>
      <c r="M6578">
        <v>9.5865570000000008E-3</v>
      </c>
      <c r="N6578">
        <v>-1.038889E-2</v>
      </c>
      <c r="O6578">
        <v>0.99990009999999996</v>
      </c>
      <c r="P6578">
        <v>3.1006740000000001E-2</v>
      </c>
      <c r="Q6578">
        <v>0.15111449999999901</v>
      </c>
      <c r="R6578">
        <v>0.98802979999999996</v>
      </c>
      <c r="S6578">
        <v>0.32391360000000002</v>
      </c>
      <c r="T6578">
        <v>-1.0371900000000001</v>
      </c>
      <c r="U6578">
        <v>3.184113</v>
      </c>
      <c r="V6578">
        <v>2.1528740000000001E-2</v>
      </c>
      <c r="W6578">
        <v>0.16137379999999901</v>
      </c>
      <c r="X6578">
        <v>0.98665849999999999</v>
      </c>
      <c r="Y6578">
        <v>8.6894910000000006E-2</v>
      </c>
      <c r="Z6578">
        <v>-0.29850749999999998</v>
      </c>
      <c r="AA6578">
        <v>0.95044340000000005</v>
      </c>
      <c r="AB6578">
        <v>38</v>
      </c>
      <c r="AC6578">
        <v>9.3299999999999203E-2</v>
      </c>
      <c r="AD6578">
        <v>-0.31000309999999898</v>
      </c>
      <c r="AE6578">
        <v>0.57502999999999804</v>
      </c>
      <c r="AF6578">
        <v>6.8410287763817496E-2</v>
      </c>
      <c r="AG6578">
        <v>-0.31000309999999898</v>
      </c>
      <c r="AH6578">
        <v>0.44880461303499602</v>
      </c>
      <c r="AI6578">
        <v>124.32696213407201</v>
      </c>
      <c r="AJ6578">
        <v>81.333242827330096</v>
      </c>
      <c r="AK6578">
        <v>0.54973399946067603</v>
      </c>
      <c r="AL6578">
        <v>80.713354455183193</v>
      </c>
      <c r="AM6578">
        <v>88.750013062933306</v>
      </c>
      <c r="AN6578">
        <v>0.99999999279733798</v>
      </c>
    </row>
    <row r="6579" spans="1:40" x14ac:dyDescent="0.25">
      <c r="A6579" t="str">
        <f>"20190303162431128"</f>
        <v>20190303162431128</v>
      </c>
      <c r="B6579" t="str">
        <f>"1551601471121272"</f>
        <v>1551601471121272</v>
      </c>
      <c r="C6579" t="s">
        <v>40</v>
      </c>
      <c r="D6579">
        <v>5.656625</v>
      </c>
      <c r="E6579">
        <v>0.53102959999999999</v>
      </c>
      <c r="F6579" t="s">
        <v>42</v>
      </c>
      <c r="G6579">
        <v>-187.70779999999999</v>
      </c>
      <c r="H6579">
        <v>0.82104049999999995</v>
      </c>
      <c r="I6579">
        <v>30.576820000000001</v>
      </c>
      <c r="J6579">
        <v>-187.79640000000001</v>
      </c>
      <c r="K6579">
        <v>1.1203369999999999</v>
      </c>
      <c r="L6579">
        <v>30.043240000000001</v>
      </c>
      <c r="M6579">
        <v>9.5617510000000003E-3</v>
      </c>
      <c r="N6579">
        <v>-1.053776E-2</v>
      </c>
      <c r="O6579">
        <v>0.99989870000000003</v>
      </c>
      <c r="P6579">
        <v>3.038979E-2</v>
      </c>
      <c r="Q6579">
        <v>0.151888</v>
      </c>
      <c r="R6579">
        <v>0.98793039999999999</v>
      </c>
      <c r="S6579">
        <v>0.32011410000000001</v>
      </c>
      <c r="T6579">
        <v>-1.03905</v>
      </c>
      <c r="U6579">
        <v>3.1852109999999998</v>
      </c>
      <c r="V6579">
        <v>2.0937219999999999E-2</v>
      </c>
      <c r="W6579">
        <v>0.1622932</v>
      </c>
      <c r="X6579">
        <v>0.98652039999999996</v>
      </c>
      <c r="Y6579">
        <v>8.5754510000000006E-2</v>
      </c>
      <c r="Z6579">
        <v>-0.29880299999999999</v>
      </c>
      <c r="AA6579">
        <v>0.95045409999999997</v>
      </c>
      <c r="AB6579">
        <v>38</v>
      </c>
      <c r="AC6579">
        <v>8.8600000000013696E-2</v>
      </c>
      <c r="AD6579">
        <v>-0.29929650000000002</v>
      </c>
      <c r="AE6579">
        <v>0.53358000000000005</v>
      </c>
      <c r="AF6579">
        <v>6.3921531245943797E-2</v>
      </c>
      <c r="AG6579">
        <v>-0.29929650000000002</v>
      </c>
      <c r="AH6579">
        <v>0.40913079765555599</v>
      </c>
      <c r="AI6579">
        <v>125.85842543082801</v>
      </c>
      <c r="AJ6579">
        <v>81.120045687326098</v>
      </c>
      <c r="AK6579">
        <v>0.51093283967596703</v>
      </c>
      <c r="AL6579">
        <v>80.659972873651299</v>
      </c>
      <c r="AM6579">
        <v>88.784176915257305</v>
      </c>
      <c r="AN6579">
        <v>0.99999997478186298</v>
      </c>
    </row>
    <row r="6580" spans="1:40" x14ac:dyDescent="0.25">
      <c r="A6580" t="str">
        <f>"20190303162431151"</f>
        <v>20190303162431151</v>
      </c>
      <c r="B6580" t="str">
        <f>"1551601471141769"</f>
        <v>1551601471141769</v>
      </c>
      <c r="C6580" t="s">
        <v>40</v>
      </c>
      <c r="D6580">
        <v>5.6396499999999996</v>
      </c>
      <c r="E6580">
        <v>0.53104719999999905</v>
      </c>
      <c r="F6580" t="s">
        <v>42</v>
      </c>
      <c r="G6580">
        <v>-187.709</v>
      </c>
      <c r="H6580">
        <v>0.83402289999999901</v>
      </c>
      <c r="I6580">
        <v>30.920169999999999</v>
      </c>
      <c r="J6580">
        <v>-187.7928</v>
      </c>
      <c r="K6580">
        <v>1.1203479999999999</v>
      </c>
      <c r="L6580">
        <v>30.425139999999999</v>
      </c>
      <c r="M6580">
        <v>9.5370839999999995E-3</v>
      </c>
      <c r="N6580">
        <v>-1.0687139999999999E-2</v>
      </c>
      <c r="O6580">
        <v>0.99989740000000005</v>
      </c>
      <c r="P6580">
        <v>2.954041E-2</v>
      </c>
      <c r="Q6580">
        <v>0.15231029999999901</v>
      </c>
      <c r="R6580">
        <v>0.98789110000000002</v>
      </c>
      <c r="S6580">
        <v>0.31742859999999901</v>
      </c>
      <c r="T6580">
        <v>-1.0404949999999999</v>
      </c>
      <c r="U6580">
        <v>3.1868590000000001</v>
      </c>
      <c r="V6580">
        <v>2.0112580000000001E-2</v>
      </c>
      <c r="W6580">
        <v>0.16286249999999999</v>
      </c>
      <c r="X6580">
        <v>0.98644379999999998</v>
      </c>
      <c r="Y6580">
        <v>8.4932320000000006E-2</v>
      </c>
      <c r="Z6580">
        <v>-0.29892839999999998</v>
      </c>
      <c r="AA6580">
        <v>0.95048840000000001</v>
      </c>
      <c r="AB6580">
        <v>38</v>
      </c>
      <c r="AC6580">
        <v>8.3799999999996502E-2</v>
      </c>
      <c r="AD6580">
        <v>-0.2863251</v>
      </c>
      <c r="AE6580">
        <v>0.49502999999999903</v>
      </c>
      <c r="AF6580">
        <v>5.9668894728952898E-2</v>
      </c>
      <c r="AG6580">
        <v>-0.2863251</v>
      </c>
      <c r="AH6580">
        <v>0.37412992470929302</v>
      </c>
      <c r="AI6580">
        <v>127.080451055484</v>
      </c>
      <c r="AJ6580">
        <v>80.9383791426377</v>
      </c>
      <c r="AK6580">
        <v>0.47488487073307201</v>
      </c>
      <c r="AL6580">
        <v>80.626915186476893</v>
      </c>
      <c r="AM6580">
        <v>88.831959503988799</v>
      </c>
      <c r="AN6580">
        <v>1.00000004016947</v>
      </c>
    </row>
    <row r="6581" spans="1:40" x14ac:dyDescent="0.25">
      <c r="A6581" t="str">
        <f>"20190303162431173"</f>
        <v>20190303162431173</v>
      </c>
      <c r="B6581" t="str">
        <f>"1551601471161289"</f>
        <v>1551601471161289</v>
      </c>
      <c r="C6581" t="s">
        <v>40</v>
      </c>
      <c r="D6581">
        <v>5.7626359999999996</v>
      </c>
      <c r="E6581">
        <v>0.52980959999999999</v>
      </c>
      <c r="F6581" t="s">
        <v>42</v>
      </c>
      <c r="G6581">
        <v>-187.71</v>
      </c>
      <c r="H6581">
        <v>0.84667349999999997</v>
      </c>
      <c r="I6581">
        <v>31.26343</v>
      </c>
      <c r="J6581">
        <v>-187.7894</v>
      </c>
      <c r="K6581">
        <v>1.120363</v>
      </c>
      <c r="L6581">
        <v>30.786100000000001</v>
      </c>
      <c r="M6581">
        <v>9.5136990000000005E-3</v>
      </c>
      <c r="N6581">
        <v>-1.0828620000000001E-2</v>
      </c>
      <c r="O6581">
        <v>0.99989609999999995</v>
      </c>
      <c r="P6581">
        <v>2.8654679999999998E-2</v>
      </c>
      <c r="Q6581">
        <v>0.1524037</v>
      </c>
      <c r="R6581">
        <v>0.98790279999999997</v>
      </c>
      <c r="S6581">
        <v>0.31484990000000002</v>
      </c>
      <c r="T6581">
        <v>-1.040718</v>
      </c>
      <c r="U6581">
        <v>3.187805</v>
      </c>
      <c r="V6581">
        <v>1.9249869999999999E-2</v>
      </c>
      <c r="W6581">
        <v>0.1630954</v>
      </c>
      <c r="X6581">
        <v>0.98642249999999998</v>
      </c>
      <c r="Y6581">
        <v>8.4169830000000001E-2</v>
      </c>
      <c r="Z6581">
        <v>-0.298792</v>
      </c>
      <c r="AA6581">
        <v>0.95059910000000003</v>
      </c>
      <c r="AB6581">
        <v>38</v>
      </c>
      <c r="AC6581">
        <v>7.9399999999992504E-2</v>
      </c>
      <c r="AD6581">
        <v>-0.27368949999999898</v>
      </c>
      <c r="AE6581">
        <v>0.47732999999999798</v>
      </c>
      <c r="AF6581">
        <v>5.6712254428362398E-2</v>
      </c>
      <c r="AG6581">
        <v>-0.27368949999999898</v>
      </c>
      <c r="AH6581">
        <v>0.36219477297511299</v>
      </c>
      <c r="AI6581">
        <v>126.74301751064699</v>
      </c>
      <c r="AJ6581">
        <v>81.100916145479303</v>
      </c>
      <c r="AK6581">
        <v>0.45750112107304203</v>
      </c>
      <c r="AL6581">
        <v>80.613389857214202</v>
      </c>
      <c r="AM6581">
        <v>88.882024356472002</v>
      </c>
      <c r="AN6581">
        <v>1.0000000077512099</v>
      </c>
    </row>
    <row r="6582" spans="1:40" x14ac:dyDescent="0.25">
      <c r="A6582" t="str">
        <f>"20190303162431195"</f>
        <v>20190303162431195</v>
      </c>
      <c r="B6582" t="str">
        <f>"1551601471191546"</f>
        <v>1551601471191546</v>
      </c>
      <c r="C6582" t="s">
        <v>40</v>
      </c>
      <c r="D6582">
        <v>5.6913130000000001</v>
      </c>
      <c r="E6582">
        <v>0.53058450000000001</v>
      </c>
      <c r="F6582" t="s">
        <v>42</v>
      </c>
      <c r="G6582">
        <v>-187.7133</v>
      </c>
      <c r="H6582">
        <v>0.83474760000000003</v>
      </c>
      <c r="I6582">
        <v>31.597049999999999</v>
      </c>
      <c r="J6582">
        <v>-187.78579999999999</v>
      </c>
      <c r="K6582">
        <v>1.1203780000000001</v>
      </c>
      <c r="L6582">
        <v>31.165859999999999</v>
      </c>
      <c r="M6582">
        <v>9.4887659999999992E-3</v>
      </c>
      <c r="N6582">
        <v>-1.0978399999999999E-2</v>
      </c>
      <c r="O6582">
        <v>0.99989470000000003</v>
      </c>
      <c r="P6582">
        <v>2.7667899999999999E-2</v>
      </c>
      <c r="Q6582">
        <v>0.1519432</v>
      </c>
      <c r="R6582">
        <v>0.98800189999999999</v>
      </c>
      <c r="S6582">
        <v>0.29988100000000001</v>
      </c>
      <c r="T6582">
        <v>-1.127745</v>
      </c>
      <c r="U6582">
        <v>3.202026</v>
      </c>
      <c r="V6582">
        <v>1.8286819999999999E-2</v>
      </c>
      <c r="W6582">
        <v>0.1627835</v>
      </c>
      <c r="X6582">
        <v>0.98649229999999999</v>
      </c>
      <c r="Y6582">
        <v>7.8709390000000004E-2</v>
      </c>
      <c r="Z6582">
        <v>-0.3206463</v>
      </c>
      <c r="AA6582">
        <v>0.94392310000000001</v>
      </c>
      <c r="AB6582">
        <v>38</v>
      </c>
      <c r="AC6582">
        <v>7.2499999999990905E-2</v>
      </c>
      <c r="AD6582">
        <v>-0.28563040000000001</v>
      </c>
      <c r="AE6582">
        <v>0.43119000000000002</v>
      </c>
      <c r="AF6582">
        <v>4.7944964496785397E-2</v>
      </c>
      <c r="AG6582">
        <v>-0.28563040000000001</v>
      </c>
      <c r="AH6582">
        <v>0.302688911169399</v>
      </c>
      <c r="AI6582">
        <v>132.98494087795399</v>
      </c>
      <c r="AJ6582">
        <v>80.999307406376701</v>
      </c>
      <c r="AK6582">
        <v>0.41893200160607702</v>
      </c>
      <c r="AL6582">
        <v>80.631502079388895</v>
      </c>
      <c r="AM6582">
        <v>88.938017439788993</v>
      </c>
      <c r="AN6582">
        <v>0.99999996680862502</v>
      </c>
    </row>
    <row r="6583" spans="1:40" x14ac:dyDescent="0.25">
      <c r="A6583" t="str">
        <f>"20190303162431216"</f>
        <v>20190303162431216</v>
      </c>
      <c r="B6583" t="str">
        <f>"1551601471211064"</f>
        <v>1551601471211064</v>
      </c>
      <c r="C6583" t="s">
        <v>40</v>
      </c>
      <c r="D6583">
        <v>5.6992279999999997</v>
      </c>
      <c r="E6583">
        <v>0.53067739999999997</v>
      </c>
      <c r="F6583" t="s">
        <v>42</v>
      </c>
      <c r="G6583">
        <v>-187.71279999999999</v>
      </c>
      <c r="H6583">
        <v>0.84780789999999995</v>
      </c>
      <c r="I6583">
        <v>31.940480000000001</v>
      </c>
      <c r="J6583">
        <v>-187.78229999999999</v>
      </c>
      <c r="K6583">
        <v>1.1204019999999999</v>
      </c>
      <c r="L6583">
        <v>31.53491</v>
      </c>
      <c r="M6583">
        <v>9.4634609999999994E-3</v>
      </c>
      <c r="N6583">
        <v>-1.1128539999999999E-2</v>
      </c>
      <c r="O6583">
        <v>0.99989329999999998</v>
      </c>
      <c r="P6583">
        <v>2.6561350000000001E-2</v>
      </c>
      <c r="Q6583">
        <v>0.15164749999999999</v>
      </c>
      <c r="R6583">
        <v>0.98807769999999995</v>
      </c>
      <c r="S6583">
        <v>0.30189510000000003</v>
      </c>
      <c r="T6583">
        <v>-1.1264379999999901</v>
      </c>
      <c r="U6583">
        <v>3.2012019999999999</v>
      </c>
      <c r="V6583">
        <v>1.7204379999999998E-2</v>
      </c>
      <c r="W6583">
        <v>0.16263720000000001</v>
      </c>
      <c r="X6583">
        <v>0.98653599999999997</v>
      </c>
      <c r="Y6583">
        <v>7.9355930000000005E-2</v>
      </c>
      <c r="Z6583">
        <v>-0.32022020000000001</v>
      </c>
      <c r="AA6583">
        <v>0.94401360000000001</v>
      </c>
      <c r="AB6583">
        <v>38</v>
      </c>
      <c r="AC6583">
        <v>6.9500000000005002E-2</v>
      </c>
      <c r="AD6583">
        <v>-0.27259410000000001</v>
      </c>
      <c r="AE6583">
        <v>0.40556999999999999</v>
      </c>
      <c r="AF6583">
        <v>4.56321630095749E-2</v>
      </c>
      <c r="AG6583">
        <v>-0.27259410000000001</v>
      </c>
      <c r="AH6583">
        <v>0.28231237249536401</v>
      </c>
      <c r="AI6583">
        <v>133.62755128947001</v>
      </c>
      <c r="AJ6583">
        <v>80.818286959683903</v>
      </c>
      <c r="AK6583">
        <v>0.39508241332626198</v>
      </c>
      <c r="AL6583">
        <v>80.639998587160903</v>
      </c>
      <c r="AM6583">
        <v>89.000909797381198</v>
      </c>
      <c r="AN6583">
        <v>1.00000006440551</v>
      </c>
    </row>
    <row r="6584" spans="1:40" x14ac:dyDescent="0.25">
      <c r="A6584" t="str">
        <f>"20190303162431241"</f>
        <v>20190303162431241</v>
      </c>
      <c r="B6584" t="str">
        <f>"1551601471231561"</f>
        <v>1551601471231561</v>
      </c>
      <c r="C6584" t="s">
        <v>40</v>
      </c>
      <c r="D6584">
        <v>5.6914619999999996</v>
      </c>
      <c r="E6584">
        <v>0.53078019999999904</v>
      </c>
      <c r="F6584" t="s">
        <v>42</v>
      </c>
      <c r="G6584">
        <v>-187.7124</v>
      </c>
      <c r="H6584">
        <v>0.85614230000000002</v>
      </c>
      <c r="I6584">
        <v>32.281999999999996</v>
      </c>
      <c r="J6584">
        <v>-187.7784</v>
      </c>
      <c r="K6584">
        <v>1.120431</v>
      </c>
      <c r="L6584">
        <v>31.951450000000001</v>
      </c>
      <c r="M6584">
        <v>9.432915E-3</v>
      </c>
      <c r="N6584">
        <v>-1.130249E-2</v>
      </c>
      <c r="O6584">
        <v>0.99989159999999999</v>
      </c>
      <c r="P6584">
        <v>2.5718439999999999E-2</v>
      </c>
      <c r="Q6584">
        <v>0.15198349999999999</v>
      </c>
      <c r="R6584">
        <v>0.98804840000000005</v>
      </c>
      <c r="S6584">
        <v>0.29902649999999997</v>
      </c>
      <c r="T6584">
        <v>-1.132593</v>
      </c>
      <c r="U6584">
        <v>3.2019959999999998</v>
      </c>
      <c r="V6584">
        <v>1.6391180000000002E-2</v>
      </c>
      <c r="W6584">
        <v>0.16314429999999999</v>
      </c>
      <c r="X6584">
        <v>0.98646610000000001</v>
      </c>
      <c r="Y6584">
        <v>7.8480300000000003E-2</v>
      </c>
      <c r="Z6584">
        <v>-0.32161990000000001</v>
      </c>
      <c r="AA6584">
        <v>0.94361090000000003</v>
      </c>
      <c r="AB6584">
        <v>38</v>
      </c>
      <c r="AC6584">
        <v>6.6000000000002501E-2</v>
      </c>
      <c r="AD6584">
        <v>-0.26428869999999899</v>
      </c>
      <c r="AE6584">
        <v>0.33054999999999501</v>
      </c>
      <c r="AF6584">
        <v>3.8940054981886303E-2</v>
      </c>
      <c r="AG6584">
        <v>-0.26428869999999899</v>
      </c>
      <c r="AH6584">
        <v>0.20508190571400101</v>
      </c>
      <c r="AI6584">
        <v>141.696873478051</v>
      </c>
      <c r="AJ6584">
        <v>79.248910951127399</v>
      </c>
      <c r="AK6584">
        <v>0.33678395579505999</v>
      </c>
      <c r="AL6584">
        <v>80.610550457678698</v>
      </c>
      <c r="AM6584">
        <v>89.048057486294994</v>
      </c>
      <c r="AN6584">
        <v>1.0000000499267401</v>
      </c>
    </row>
    <row r="6585" spans="1:40" x14ac:dyDescent="0.25">
      <c r="A6585" t="str">
        <f>"20190303162431263"</f>
        <v>20190303162431263</v>
      </c>
      <c r="B6585" t="str">
        <f>"1551601471251081"</f>
        <v>1551601471251081</v>
      </c>
      <c r="C6585" t="s">
        <v>40</v>
      </c>
      <c r="D6585">
        <v>5.7151149999999999</v>
      </c>
      <c r="E6585">
        <v>0.53086160000000004</v>
      </c>
      <c r="F6585" t="s">
        <v>42</v>
      </c>
      <c r="G6585">
        <v>-187.715</v>
      </c>
      <c r="H6585">
        <v>0.88046380000000002</v>
      </c>
      <c r="I6585">
        <v>32.629800000000003</v>
      </c>
      <c r="J6585">
        <v>-187.77500000000001</v>
      </c>
      <c r="K6585">
        <v>1.120452</v>
      </c>
      <c r="L6585">
        <v>32.317500000000003</v>
      </c>
      <c r="M6585">
        <v>9.4085539999999995E-3</v>
      </c>
      <c r="N6585">
        <v>-1.145524E-2</v>
      </c>
      <c r="O6585">
        <v>0.9998901</v>
      </c>
      <c r="P6585">
        <v>2.5253970000000001E-2</v>
      </c>
      <c r="Q6585">
        <v>0.15262319999999999</v>
      </c>
      <c r="R6585">
        <v>0.9879618</v>
      </c>
      <c r="S6585">
        <v>0.29890440000000001</v>
      </c>
      <c r="T6585">
        <v>-1.132971</v>
      </c>
      <c r="U6585">
        <v>3.2027890000000001</v>
      </c>
      <c r="V6585">
        <v>1.5951119999999999E-2</v>
      </c>
      <c r="W6585">
        <v>0.1639332</v>
      </c>
      <c r="X6585">
        <v>0.98634250000000001</v>
      </c>
      <c r="Y6585">
        <v>7.8448710000000005E-2</v>
      </c>
      <c r="Z6585">
        <v>-0.32150210000000001</v>
      </c>
      <c r="AA6585">
        <v>0.94365359999999998</v>
      </c>
      <c r="AB6585">
        <v>38</v>
      </c>
      <c r="AC6585">
        <v>6.0000000000002197E-2</v>
      </c>
      <c r="AD6585">
        <v>-0.23998819999999901</v>
      </c>
      <c r="AE6585">
        <v>0.31230000000000002</v>
      </c>
      <c r="AF6585">
        <v>3.6354785461935601E-2</v>
      </c>
      <c r="AG6585">
        <v>-0.23998819999999901</v>
      </c>
      <c r="AH6585">
        <v>0.199331375976908</v>
      </c>
      <c r="AI6585">
        <v>139.82594906273999</v>
      </c>
      <c r="AJ6585">
        <v>79.663794049440696</v>
      </c>
      <c r="AK6585">
        <v>0.31408438995605997</v>
      </c>
      <c r="AL6585">
        <v>80.564732781730797</v>
      </c>
      <c r="AM6585">
        <v>89.073494052531004</v>
      </c>
      <c r="AN6585">
        <v>1.00000002979887</v>
      </c>
    </row>
    <row r="6586" spans="1:40" x14ac:dyDescent="0.25">
      <c r="A6586" t="str">
        <f>"20190303162431285"</f>
        <v>20190303162431285</v>
      </c>
      <c r="B6586" t="str">
        <f>"1551601471271576"</f>
        <v>1551601471271576</v>
      </c>
      <c r="C6586" t="s">
        <v>40</v>
      </c>
      <c r="D6586">
        <v>5.696466</v>
      </c>
      <c r="E6586">
        <v>0.5307693</v>
      </c>
      <c r="F6586" t="s">
        <v>42</v>
      </c>
      <c r="G6586">
        <v>-187.71379999999999</v>
      </c>
      <c r="H6586">
        <v>0.88910339999999999</v>
      </c>
      <c r="I6586">
        <v>32.971409999999999</v>
      </c>
      <c r="J6586">
        <v>-187.77160000000001</v>
      </c>
      <c r="K6586">
        <v>1.1204719999999999</v>
      </c>
      <c r="L6586">
        <v>32.684080000000002</v>
      </c>
      <c r="M6586">
        <v>9.3887759999999997E-3</v>
      </c>
      <c r="N6586">
        <v>-1.1605259999999999E-2</v>
      </c>
      <c r="O6586">
        <v>0.99988860000000002</v>
      </c>
      <c r="P6586">
        <v>2.558566E-2</v>
      </c>
      <c r="Q6586">
        <v>0.1535609</v>
      </c>
      <c r="R6586">
        <v>0.98780789999999996</v>
      </c>
      <c r="S6586">
        <v>0.29884339999999998</v>
      </c>
      <c r="T6586">
        <v>-1.1335489999999999</v>
      </c>
      <c r="U6586">
        <v>3.2040410000000001</v>
      </c>
      <c r="V6586">
        <v>1.6303350000000001E-2</v>
      </c>
      <c r="W6586">
        <v>0.16501740000000001</v>
      </c>
      <c r="X6586">
        <v>0.98615589999999997</v>
      </c>
      <c r="Y6586">
        <v>7.8417589999999995E-2</v>
      </c>
      <c r="Z6586">
        <v>-0.32139689999999999</v>
      </c>
      <c r="AA6586">
        <v>0.94369210000000003</v>
      </c>
      <c r="AB6586">
        <v>38</v>
      </c>
      <c r="AC6586">
        <v>5.78000000000145E-2</v>
      </c>
      <c r="AD6586">
        <v>-0.23136859999999901</v>
      </c>
      <c r="AE6586">
        <v>0.28732999999999698</v>
      </c>
      <c r="AF6586">
        <v>3.3945300276961098E-2</v>
      </c>
      <c r="AG6586">
        <v>-0.23136859999999901</v>
      </c>
      <c r="AH6586">
        <v>0.17734242569193601</v>
      </c>
      <c r="AI6586">
        <v>142.03123049817401</v>
      </c>
      <c r="AJ6586">
        <v>79.164022716304103</v>
      </c>
      <c r="AK6586">
        <v>0.29348602765234399</v>
      </c>
      <c r="AL6586">
        <v>80.501754731964695</v>
      </c>
      <c r="AM6586">
        <v>89.052859635399102</v>
      </c>
      <c r="AN6586">
        <v>1.0000000003143901</v>
      </c>
    </row>
    <row r="6587" spans="1:40" x14ac:dyDescent="0.25">
      <c r="A6587" t="str">
        <f>"20190303162431307"</f>
        <v>20190303162431307</v>
      </c>
      <c r="B6587" t="str">
        <f>"1551601471301832"</f>
        <v>1551601471301832</v>
      </c>
      <c r="C6587" t="s">
        <v>40</v>
      </c>
      <c r="D6587">
        <v>5.7324169999999999</v>
      </c>
      <c r="E6587">
        <v>0.53071080000000004</v>
      </c>
      <c r="F6587" t="s">
        <v>42</v>
      </c>
      <c r="G6587">
        <v>-187.68510000000001</v>
      </c>
      <c r="H6587">
        <v>0.79345429999999995</v>
      </c>
      <c r="I6587">
        <v>33.609250000000003</v>
      </c>
      <c r="J6587">
        <v>-187.7681</v>
      </c>
      <c r="K6587">
        <v>1.1204889999999901</v>
      </c>
      <c r="L6587">
        <v>33.062869999999997</v>
      </c>
      <c r="M6587">
        <v>9.369334E-3</v>
      </c>
      <c r="N6587">
        <v>-1.175622E-2</v>
      </c>
      <c r="O6587">
        <v>0.99988699999999997</v>
      </c>
      <c r="P6587">
        <v>2.5429520000000001E-2</v>
      </c>
      <c r="Q6587">
        <v>0.153923799999999</v>
      </c>
      <c r="R6587">
        <v>0.98775539999999995</v>
      </c>
      <c r="S6587">
        <v>0.2989349</v>
      </c>
      <c r="T6587">
        <v>-1.1330039999999999</v>
      </c>
      <c r="U6587">
        <v>3.2054140000000002</v>
      </c>
      <c r="V6587">
        <v>1.616714E-2</v>
      </c>
      <c r="W6587">
        <v>0.1655286</v>
      </c>
      <c r="X6587">
        <v>0.98607250000000002</v>
      </c>
      <c r="Y6587">
        <v>7.8437099999999996E-2</v>
      </c>
      <c r="Z6587">
        <v>-0.3209844</v>
      </c>
      <c r="AA6587">
        <v>0.94383079999999997</v>
      </c>
      <c r="AB6587">
        <v>38</v>
      </c>
      <c r="AC6587">
        <v>8.2999999999998395E-2</v>
      </c>
      <c r="AD6587">
        <v>-0.32703469999999901</v>
      </c>
      <c r="AE6587">
        <v>0.54637999999999898</v>
      </c>
      <c r="AF6587">
        <v>5.7678861903856002E-2</v>
      </c>
      <c r="AG6587">
        <v>-0.32703469999999901</v>
      </c>
      <c r="AH6587">
        <v>0.40523052007707999</v>
      </c>
      <c r="AI6587">
        <v>128.62418452185099</v>
      </c>
      <c r="AJ6587">
        <v>81.899165953524104</v>
      </c>
      <c r="AK6587">
        <v>0.52391823838892504</v>
      </c>
      <c r="AL6587">
        <v>80.472057046981604</v>
      </c>
      <c r="AM6587">
        <v>89.060691885038807</v>
      </c>
      <c r="AN6587">
        <v>1.00000003454499</v>
      </c>
    </row>
    <row r="6588" spans="1:40" x14ac:dyDescent="0.25">
      <c r="A6588" t="str">
        <f>"20190303162431329"</f>
        <v>20190303162431329</v>
      </c>
      <c r="B6588" t="str">
        <f>"1551601471321353"</f>
        <v>1551601471321353</v>
      </c>
      <c r="C6588" t="s">
        <v>40</v>
      </c>
      <c r="D6588">
        <v>5.7526339999999996</v>
      </c>
      <c r="E6588">
        <v>0.53064800000000001</v>
      </c>
      <c r="F6588" t="s">
        <v>42</v>
      </c>
      <c r="G6588">
        <v>-187.685</v>
      </c>
      <c r="H6588">
        <v>0.80585430000000002</v>
      </c>
      <c r="I6588">
        <v>33.95196</v>
      </c>
      <c r="J6588">
        <v>-187.7646</v>
      </c>
      <c r="K6588">
        <v>1.120503</v>
      </c>
      <c r="L6588">
        <v>33.436039999999998</v>
      </c>
      <c r="M6588">
        <v>9.3442209999999998E-3</v>
      </c>
      <c r="N6588">
        <v>-1.18973E-2</v>
      </c>
      <c r="O6588">
        <v>0.99988560000000004</v>
      </c>
      <c r="P6588">
        <v>2.5475910000000001E-2</v>
      </c>
      <c r="Q6588">
        <v>0.15392500000000001</v>
      </c>
      <c r="R6588">
        <v>0.98775400000000002</v>
      </c>
      <c r="S6588">
        <v>0.29924010000000001</v>
      </c>
      <c r="T6588">
        <v>-1.1346400000000001</v>
      </c>
      <c r="U6588">
        <v>3.206299</v>
      </c>
      <c r="V6588">
        <v>1.623991E-2</v>
      </c>
      <c r="W6588">
        <v>0.1656687</v>
      </c>
      <c r="X6588">
        <v>0.98604769999999997</v>
      </c>
      <c r="Y6588">
        <v>7.8517920000000005E-2</v>
      </c>
      <c r="Z6588">
        <v>-0.32119510000000001</v>
      </c>
      <c r="AA6588">
        <v>0.94375240000000005</v>
      </c>
      <c r="AB6588">
        <v>38</v>
      </c>
      <c r="AC6588">
        <v>7.9599999999999199E-2</v>
      </c>
      <c r="AD6588">
        <v>-0.3146487</v>
      </c>
      <c r="AE6588">
        <v>0.51591999999999405</v>
      </c>
      <c r="AF6588">
        <v>5.48486015818659E-2</v>
      </c>
      <c r="AG6588">
        <v>-0.3146487</v>
      </c>
      <c r="AH6588">
        <v>0.37896269719522102</v>
      </c>
      <c r="AI6588">
        <v>129.410878959862</v>
      </c>
      <c r="AJ6588">
        <v>81.764567635900704</v>
      </c>
      <c r="AK6588">
        <v>0.49560558852040099</v>
      </c>
      <c r="AL6588">
        <v>80.463916808231005</v>
      </c>
      <c r="AM6588">
        <v>89.056440996416597</v>
      </c>
      <c r="AN6588">
        <v>0.99999995975589295</v>
      </c>
    </row>
    <row r="6589" spans="1:40" x14ac:dyDescent="0.25">
      <c r="A6589" t="str">
        <f>"20190303162431353"</f>
        <v>20190303162431353</v>
      </c>
      <c r="B6589" t="str">
        <f>"1551601471341850"</f>
        <v>1551601471341850</v>
      </c>
      <c r="C6589" t="s">
        <v>40</v>
      </c>
      <c r="D6589">
        <v>5.8803979999999996</v>
      </c>
      <c r="E6589">
        <v>0.53068850000000001</v>
      </c>
      <c r="F6589" t="s">
        <v>42</v>
      </c>
      <c r="G6589">
        <v>-187.68450000000001</v>
      </c>
      <c r="H6589">
        <v>0.81633069999999996</v>
      </c>
      <c r="I6589">
        <v>34.293790000000001</v>
      </c>
      <c r="J6589">
        <v>-187.76089999999999</v>
      </c>
      <c r="K6589">
        <v>1.120514</v>
      </c>
      <c r="L6589">
        <v>33.835909999999998</v>
      </c>
      <c r="M6589">
        <v>9.3153839999999995E-3</v>
      </c>
      <c r="N6589">
        <v>-1.2043420000000001E-2</v>
      </c>
      <c r="O6589">
        <v>0.99988410000000005</v>
      </c>
      <c r="P6589">
        <v>2.5171519999999999E-2</v>
      </c>
      <c r="Q6589">
        <v>0.1547539</v>
      </c>
      <c r="R6589">
        <v>0.98763230000000002</v>
      </c>
      <c r="S6589">
        <v>0.29913329999999999</v>
      </c>
      <c r="T6589">
        <v>-1.1371199999999999</v>
      </c>
      <c r="U6589">
        <v>3.206696</v>
      </c>
      <c r="V6589">
        <v>1.5966350000000001E-2</v>
      </c>
      <c r="W6589">
        <v>0.1666397</v>
      </c>
      <c r="X6589">
        <v>0.9858886</v>
      </c>
      <c r="Y6589">
        <v>7.8487199999999993E-2</v>
      </c>
      <c r="Z6589">
        <v>-0.3216695</v>
      </c>
      <c r="AA6589">
        <v>0.94359340000000003</v>
      </c>
      <c r="AB6589">
        <v>38</v>
      </c>
      <c r="AC6589">
        <v>7.6399999999978194E-2</v>
      </c>
      <c r="AD6589">
        <v>-0.30418329999999999</v>
      </c>
      <c r="AE6589">
        <v>0.45788000000000301</v>
      </c>
      <c r="AF6589">
        <v>5.0463182230124602E-2</v>
      </c>
      <c r="AG6589">
        <v>-0.30418329999999999</v>
      </c>
      <c r="AH6589">
        <v>0.32081880233647098</v>
      </c>
      <c r="AI6589">
        <v>133.125866934698</v>
      </c>
      <c r="AJ6589">
        <v>81.060904993571995</v>
      </c>
      <c r="AK6589">
        <v>0.44497046721359901</v>
      </c>
      <c r="AL6589">
        <v>80.407498983348304</v>
      </c>
      <c r="AM6589">
        <v>89.072182693592794</v>
      </c>
      <c r="AN6589">
        <v>1.0000000227791801</v>
      </c>
    </row>
    <row r="6590" spans="1:40" x14ac:dyDescent="0.25">
      <c r="A6590" t="str">
        <f>"20190303162431376"</f>
        <v>20190303162431376</v>
      </c>
      <c r="B6590" t="str">
        <f>"1551601471371130"</f>
        <v>1551601471371130</v>
      </c>
      <c r="C6590" t="s">
        <v>40</v>
      </c>
      <c r="D6590">
        <v>5.770079</v>
      </c>
      <c r="E6590">
        <v>0.53072369999999902</v>
      </c>
      <c r="F6590" t="s">
        <v>42</v>
      </c>
      <c r="G6590">
        <v>-187.6866</v>
      </c>
      <c r="H6590">
        <v>0.83619480000000002</v>
      </c>
      <c r="I6590">
        <v>34.639209999999999</v>
      </c>
      <c r="J6590">
        <v>-187.75739999999999</v>
      </c>
      <c r="K6590">
        <v>1.120539</v>
      </c>
      <c r="L6590">
        <v>34.213009999999997</v>
      </c>
      <c r="M6590">
        <v>9.289917E-3</v>
      </c>
      <c r="N6590">
        <v>-1.218412E-2</v>
      </c>
      <c r="O6590">
        <v>0.99988259999999995</v>
      </c>
      <c r="P6590">
        <v>2.4886450000000001E-2</v>
      </c>
      <c r="Q6590">
        <v>0.1557828</v>
      </c>
      <c r="R6590">
        <v>0.98747779999999996</v>
      </c>
      <c r="S6590">
        <v>0.2965546</v>
      </c>
      <c r="T6590">
        <v>-1.135392</v>
      </c>
      <c r="U6590">
        <v>3.207916</v>
      </c>
      <c r="V6590">
        <v>1.5708219999999998E-2</v>
      </c>
      <c r="W6590">
        <v>0.1678056</v>
      </c>
      <c r="X6590">
        <v>0.98569490000000004</v>
      </c>
      <c r="Y6590">
        <v>7.7748280000000003E-2</v>
      </c>
      <c r="Z6590">
        <v>-0.32099270000000002</v>
      </c>
      <c r="AA6590">
        <v>0.94388499999999997</v>
      </c>
      <c r="AB6590">
        <v>38</v>
      </c>
      <c r="AC6590">
        <v>7.07999999999913E-2</v>
      </c>
      <c r="AD6590">
        <v>-0.28434419999999899</v>
      </c>
      <c r="AE6590">
        <v>0.42620000000000102</v>
      </c>
      <c r="AF6590">
        <v>4.6636588567283303E-2</v>
      </c>
      <c r="AG6590">
        <v>-0.28434419999999899</v>
      </c>
      <c r="AH6590">
        <v>0.29783274054660203</v>
      </c>
      <c r="AI6590">
        <v>133.32624439596199</v>
      </c>
      <c r="AJ6590">
        <v>81.100520870429193</v>
      </c>
      <c r="AK6590">
        <v>0.41440431562464902</v>
      </c>
      <c r="AL6590">
        <v>80.339743088059393</v>
      </c>
      <c r="AM6590">
        <v>89.087000925548594</v>
      </c>
      <c r="AN6590">
        <v>0.99999995172646805</v>
      </c>
    </row>
    <row r="6591" spans="1:40" x14ac:dyDescent="0.25">
      <c r="A6591" t="str">
        <f>"20190303162431396"</f>
        <v>20190303162431396</v>
      </c>
      <c r="B6591" t="str">
        <f>"1551601471391625"</f>
        <v>1551601471391625</v>
      </c>
      <c r="C6591" t="s">
        <v>40</v>
      </c>
      <c r="D6591">
        <v>5.7659849999999997</v>
      </c>
      <c r="E6591">
        <v>0.53069820000000001</v>
      </c>
      <c r="F6591" t="s">
        <v>42</v>
      </c>
      <c r="G6591">
        <v>-187.68629999999999</v>
      </c>
      <c r="H6591">
        <v>0.84893079999999999</v>
      </c>
      <c r="I6591">
        <v>34.981619999999999</v>
      </c>
      <c r="J6591">
        <v>-187.7542</v>
      </c>
      <c r="K6591">
        <v>1.1205590000000001</v>
      </c>
      <c r="L6591">
        <v>34.560519999999997</v>
      </c>
      <c r="M6591">
        <v>9.2683190000000006E-3</v>
      </c>
      <c r="N6591">
        <v>-1.232012E-2</v>
      </c>
      <c r="O6591">
        <v>0.99988109999999997</v>
      </c>
      <c r="P6591">
        <v>2.4903060000000001E-2</v>
      </c>
      <c r="Q6591">
        <v>0.15563479999999999</v>
      </c>
      <c r="R6591">
        <v>0.98750070000000001</v>
      </c>
      <c r="S6591">
        <v>0.29660029999999998</v>
      </c>
      <c r="T6591">
        <v>-1.1341380000000001</v>
      </c>
      <c r="U6591">
        <v>3.209473</v>
      </c>
      <c r="V6591">
        <v>1.57459E-2</v>
      </c>
      <c r="W6591">
        <v>0.16779189999999999</v>
      </c>
      <c r="X6591">
        <v>0.98569669999999998</v>
      </c>
      <c r="Y6591">
        <v>7.7758110000000005E-2</v>
      </c>
      <c r="Z6591">
        <v>-0.32039250000000002</v>
      </c>
      <c r="AA6591">
        <v>0.94408809999999999</v>
      </c>
      <c r="AB6591">
        <v>38</v>
      </c>
      <c r="AC6591">
        <v>6.7900000000008703E-2</v>
      </c>
      <c r="AD6591">
        <v>-0.27162819999999999</v>
      </c>
      <c r="AE6591">
        <v>0.42109999999999498</v>
      </c>
      <c r="AF6591">
        <v>4.5529811119491399E-2</v>
      </c>
      <c r="AG6591">
        <v>-0.27162819999999999</v>
      </c>
      <c r="AH6591">
        <v>0.30003540201656398</v>
      </c>
      <c r="AI6591">
        <v>131.830881073955</v>
      </c>
      <c r="AJ6591">
        <v>81.371303162081404</v>
      </c>
      <c r="AK6591">
        <v>0.40727887890124898</v>
      </c>
      <c r="AL6591">
        <v>80.3405399931641</v>
      </c>
      <c r="AM6591">
        <v>89.084812917414297</v>
      </c>
      <c r="AN6591">
        <v>1.0000000197316501</v>
      </c>
    </row>
    <row r="6592" spans="1:40" x14ac:dyDescent="0.25">
      <c r="A6592" t="str">
        <f>"20190303162431419"</f>
        <v>20190303162431419</v>
      </c>
      <c r="B6592" t="str">
        <f>"1551601471411145"</f>
        <v>1551601471411145</v>
      </c>
      <c r="C6592" t="s">
        <v>40</v>
      </c>
      <c r="D6592">
        <v>5.7912549999999996</v>
      </c>
      <c r="E6592">
        <v>0.53065609999999996</v>
      </c>
      <c r="F6592" t="s">
        <v>42</v>
      </c>
      <c r="G6592">
        <v>-187.6841</v>
      </c>
      <c r="H6592">
        <v>0.85177219999999998</v>
      </c>
      <c r="I6592">
        <v>35.319890000000001</v>
      </c>
      <c r="J6592">
        <v>-187.75040000000001</v>
      </c>
      <c r="K6592">
        <v>1.1205750000000001</v>
      </c>
      <c r="L6592">
        <v>34.969639999999998</v>
      </c>
      <c r="M6592">
        <v>9.2436879999999999E-3</v>
      </c>
      <c r="N6592">
        <v>-1.2488900000000001E-2</v>
      </c>
      <c r="O6592">
        <v>0.99987930000000003</v>
      </c>
      <c r="P6592">
        <v>2.5071380000000001E-2</v>
      </c>
      <c r="Q6592">
        <v>0.1548358</v>
      </c>
      <c r="R6592">
        <v>0.987622</v>
      </c>
      <c r="S6592">
        <v>0.29637150000000001</v>
      </c>
      <c r="T6592">
        <v>-1.136047</v>
      </c>
      <c r="U6592">
        <v>3.2095340000000001</v>
      </c>
      <c r="V6592">
        <v>1.5937340000000001E-2</v>
      </c>
      <c r="W6592">
        <v>0.16716059999999999</v>
      </c>
      <c r="X6592">
        <v>0.98580089999999998</v>
      </c>
      <c r="Y6592">
        <v>7.7701069999999997E-2</v>
      </c>
      <c r="Z6592">
        <v>-0.32072800000000001</v>
      </c>
      <c r="AA6592">
        <v>0.94397880000000001</v>
      </c>
      <c r="AB6592">
        <v>38</v>
      </c>
      <c r="AC6592">
        <v>6.6300000000012405E-2</v>
      </c>
      <c r="AD6592">
        <v>-0.26880280000000001</v>
      </c>
      <c r="AE6592">
        <v>0.35024999999999501</v>
      </c>
      <c r="AF6592">
        <v>4.0200508095493602E-2</v>
      </c>
      <c r="AG6592">
        <v>-0.26880280000000001</v>
      </c>
      <c r="AH6592">
        <v>0.22366665203995201</v>
      </c>
      <c r="AI6592">
        <v>139.78823121416201</v>
      </c>
      <c r="AJ6592">
        <v>79.8107878357429</v>
      </c>
      <c r="AK6592">
        <v>0.35199118934106399</v>
      </c>
      <c r="AL6592">
        <v>80.377229204493702</v>
      </c>
      <c r="AM6592">
        <v>89.073785816597507</v>
      </c>
      <c r="AN6592">
        <v>1.00000003971972</v>
      </c>
    </row>
    <row r="6593" spans="1:40" x14ac:dyDescent="0.25">
      <c r="A6593" t="str">
        <f>"20190303162431444"</f>
        <v>20190303162431444</v>
      </c>
      <c r="B6593" t="str">
        <f>"1551601471431641"</f>
        <v>1551601471431641</v>
      </c>
      <c r="C6593" t="s">
        <v>40</v>
      </c>
      <c r="D6593">
        <v>5.7762779999999996</v>
      </c>
      <c r="E6593">
        <v>0.53060289999999999</v>
      </c>
      <c r="F6593" t="s">
        <v>42</v>
      </c>
      <c r="G6593">
        <v>-187.68620000000001</v>
      </c>
      <c r="H6593">
        <v>0.87345519999999999</v>
      </c>
      <c r="I6593">
        <v>35.665419999999997</v>
      </c>
      <c r="J6593">
        <v>-187.7467</v>
      </c>
      <c r="K6593">
        <v>1.1206</v>
      </c>
      <c r="L6593">
        <v>35.369599999999998</v>
      </c>
      <c r="M6593">
        <v>9.2197310000000001E-3</v>
      </c>
      <c r="N6593">
        <v>-1.2667390000000001E-2</v>
      </c>
      <c r="O6593">
        <v>0.99987729999999997</v>
      </c>
      <c r="P6593">
        <v>2.5751179999999999E-2</v>
      </c>
      <c r="Q6593">
        <v>0.15520110000000001</v>
      </c>
      <c r="R6593">
        <v>0.98754719999999996</v>
      </c>
      <c r="S6593">
        <v>0.29579159999999999</v>
      </c>
      <c r="T6593">
        <v>-1.1396539999999999</v>
      </c>
      <c r="U6593">
        <v>3.208771</v>
      </c>
      <c r="V6593">
        <v>1.6641340000000001E-2</v>
      </c>
      <c r="W6593">
        <v>0.16770119999999999</v>
      </c>
      <c r="X6593">
        <v>0.98569739999999995</v>
      </c>
      <c r="Y6593">
        <v>7.7546970000000007E-2</v>
      </c>
      <c r="Z6593">
        <v>-0.32157639999999998</v>
      </c>
      <c r="AA6593">
        <v>0.94370290000000001</v>
      </c>
      <c r="AB6593">
        <v>38</v>
      </c>
      <c r="AC6593">
        <v>6.0499999999990402E-2</v>
      </c>
      <c r="AD6593">
        <v>-0.2471448</v>
      </c>
      <c r="AE6593">
        <v>0.29582000000000602</v>
      </c>
      <c r="AF6593">
        <v>3.45934301472881E-2</v>
      </c>
      <c r="AG6593">
        <v>-0.2471448</v>
      </c>
      <c r="AH6593">
        <v>0.177467915000731</v>
      </c>
      <c r="AI6593">
        <v>143.81125717299099</v>
      </c>
      <c r="AJ6593">
        <v>78.969776297545096</v>
      </c>
      <c r="AK6593">
        <v>0.30622233496448598</v>
      </c>
      <c r="AL6593">
        <v>80.345811179542494</v>
      </c>
      <c r="AM6593">
        <v>89.032778240881498</v>
      </c>
      <c r="AN6593">
        <v>0.999999995522597</v>
      </c>
    </row>
    <row r="6594" spans="1:40" x14ac:dyDescent="0.25">
      <c r="A6594" t="str">
        <f>"20190303162431465"</f>
        <v>20190303162431465</v>
      </c>
      <c r="B6594" t="str">
        <f>"1551601471461429"</f>
        <v>1551601471461429</v>
      </c>
      <c r="C6594" t="s">
        <v>40</v>
      </c>
      <c r="D6594">
        <v>5.7845329999999997</v>
      </c>
      <c r="E6594">
        <v>0.53056230000000004</v>
      </c>
      <c r="F6594" t="s">
        <v>42</v>
      </c>
      <c r="G6594">
        <v>-187.66</v>
      </c>
      <c r="H6594">
        <v>0.78842449999999997</v>
      </c>
      <c r="I6594">
        <v>36.30442</v>
      </c>
      <c r="J6594">
        <v>-187.74350000000001</v>
      </c>
      <c r="K6594">
        <v>1.120627</v>
      </c>
      <c r="L6594">
        <v>35.727290000000004</v>
      </c>
      <c r="M6594">
        <v>9.1974689999999998E-3</v>
      </c>
      <c r="N6594">
        <v>-1.2842350000000001E-2</v>
      </c>
      <c r="O6594">
        <v>0.99987519999999996</v>
      </c>
      <c r="P6594">
        <v>2.5890380000000001E-2</v>
      </c>
      <c r="Q6594">
        <v>0.1553755</v>
      </c>
      <c r="R6594">
        <v>0.98751619999999996</v>
      </c>
      <c r="S6594">
        <v>0.29740909999999998</v>
      </c>
      <c r="T6594">
        <v>-1.1403589999999999</v>
      </c>
      <c r="U6594">
        <v>3.2092900000000002</v>
      </c>
      <c r="V6594">
        <v>1.6802810000000001E-2</v>
      </c>
      <c r="W6594">
        <v>0.16804769999999999</v>
      </c>
      <c r="X6594">
        <v>0.98563559999999995</v>
      </c>
      <c r="Y6594">
        <v>7.8024220000000005E-2</v>
      </c>
      <c r="Z6594">
        <v>-0.32153409999999999</v>
      </c>
      <c r="AA6594">
        <v>0.94367800000000002</v>
      </c>
      <c r="AB6594">
        <v>38</v>
      </c>
      <c r="AC6594">
        <v>8.3500000000015007E-2</v>
      </c>
      <c r="AD6594">
        <v>-0.33220250000000001</v>
      </c>
      <c r="AE6594">
        <v>0.57712999999999604</v>
      </c>
      <c r="AF6594">
        <v>5.9030453602919301E-2</v>
      </c>
      <c r="AG6594">
        <v>-0.33220250000000001</v>
      </c>
      <c r="AH6594">
        <v>0.43628419969410198</v>
      </c>
      <c r="AI6594">
        <v>127.036763195228</v>
      </c>
      <c r="AJ6594">
        <v>82.294516888245099</v>
      </c>
      <c r="AK6594">
        <v>0.55153150260120198</v>
      </c>
      <c r="AL6594">
        <v>80.325671944569706</v>
      </c>
      <c r="AM6594">
        <v>89.023333928736406</v>
      </c>
      <c r="AN6594">
        <v>0.99999994994327102</v>
      </c>
    </row>
    <row r="6595" spans="1:40" x14ac:dyDescent="0.25">
      <c r="A6595" t="str">
        <f>"20190303162431486"</f>
        <v>20190303162431486</v>
      </c>
      <c r="B6595" t="str">
        <f>"1551601471480950"</f>
        <v>1551601471480950</v>
      </c>
      <c r="C6595" t="s">
        <v>40</v>
      </c>
      <c r="D6595">
        <v>5.793723</v>
      </c>
      <c r="E6595">
        <v>0.53051969999999904</v>
      </c>
      <c r="F6595" t="s">
        <v>42</v>
      </c>
      <c r="G6595">
        <v>-187.65860000000001</v>
      </c>
      <c r="H6595">
        <v>0.79496489999999997</v>
      </c>
      <c r="I6595">
        <v>36.642949999999999</v>
      </c>
      <c r="J6595">
        <v>-187.74019999999999</v>
      </c>
      <c r="K6595">
        <v>1.1206529999999999</v>
      </c>
      <c r="L6595">
        <v>36.088749999999997</v>
      </c>
      <c r="M6595">
        <v>9.1743629999999996E-3</v>
      </c>
      <c r="N6595">
        <v>-1.3022199999999999E-2</v>
      </c>
      <c r="O6595">
        <v>0.99987309999999996</v>
      </c>
      <c r="P6595">
        <v>2.581522E-2</v>
      </c>
      <c r="Q6595">
        <v>0.15457939999999901</v>
      </c>
      <c r="R6595">
        <v>0.9876431</v>
      </c>
      <c r="S6595">
        <v>0.29742429999999997</v>
      </c>
      <c r="T6595">
        <v>-1.1415839999999999</v>
      </c>
      <c r="U6595">
        <v>3.2097470000000001</v>
      </c>
      <c r="V6595">
        <v>1.6749360000000001E-2</v>
      </c>
      <c r="W6595">
        <v>0.16743039999999901</v>
      </c>
      <c r="X6595">
        <v>0.9857416</v>
      </c>
      <c r="Y6595">
        <v>7.8033000000000005E-2</v>
      </c>
      <c r="Z6595">
        <v>-0.32164120000000002</v>
      </c>
      <c r="AA6595">
        <v>0.9436407</v>
      </c>
      <c r="AB6595">
        <v>38</v>
      </c>
      <c r="AC6595">
        <v>8.1599999999980299E-2</v>
      </c>
      <c r="AD6595">
        <v>-0.32568809999999998</v>
      </c>
      <c r="AE6595">
        <v>0.55420000000000103</v>
      </c>
      <c r="AF6595">
        <v>5.7182323221768701E-2</v>
      </c>
      <c r="AG6595">
        <v>-0.32568809999999998</v>
      </c>
      <c r="AH6595">
        <v>0.41473291902006598</v>
      </c>
      <c r="AI6595">
        <v>127.880647563425</v>
      </c>
      <c r="AJ6595">
        <v>82.1496987632014</v>
      </c>
      <c r="AK6595">
        <v>0.53042054135332395</v>
      </c>
      <c r="AL6595">
        <v>80.361549356525501</v>
      </c>
      <c r="AM6595">
        <v>89.026544789697397</v>
      </c>
      <c r="AN6595">
        <v>0.99999999093756398</v>
      </c>
    </row>
    <row r="6596" spans="1:40" x14ac:dyDescent="0.25">
      <c r="A6596" t="str">
        <f>"20190303162431508"</f>
        <v>20190303162431508</v>
      </c>
      <c r="B6596" t="str">
        <f>"1551601471501447"</f>
        <v>1551601471501447</v>
      </c>
      <c r="C6596" t="s">
        <v>40</v>
      </c>
      <c r="D6596">
        <v>5.8658799999999998</v>
      </c>
      <c r="E6596">
        <v>0.53054780000000001</v>
      </c>
      <c r="F6596" t="s">
        <v>42</v>
      </c>
      <c r="G6596">
        <v>-187.6575</v>
      </c>
      <c r="H6596">
        <v>0.80179209999999901</v>
      </c>
      <c r="I6596">
        <v>36.98122</v>
      </c>
      <c r="J6596">
        <v>-187.73689999999999</v>
      </c>
      <c r="K6596">
        <v>1.12066</v>
      </c>
      <c r="L6596">
        <v>36.446440000000003</v>
      </c>
      <c r="M6596">
        <v>9.1515499999999996E-3</v>
      </c>
      <c r="N6596">
        <v>-1.319972E-2</v>
      </c>
      <c r="O6596">
        <v>0.99987099999999995</v>
      </c>
      <c r="P6596">
        <v>2.5734770000000001E-2</v>
      </c>
      <c r="Q6596">
        <v>0.15289159999999999</v>
      </c>
      <c r="R6596">
        <v>0.9879078</v>
      </c>
      <c r="S6596">
        <v>0.29693599999999998</v>
      </c>
      <c r="T6596">
        <v>-1.1465799999999999</v>
      </c>
      <c r="U6596">
        <v>3.2092290000000001</v>
      </c>
      <c r="V6596">
        <v>1.6688970000000001E-2</v>
      </c>
      <c r="W6596">
        <v>0.16592119999999999</v>
      </c>
      <c r="X6596">
        <v>0.98599780000000004</v>
      </c>
      <c r="Y6596">
        <v>7.788689E-2</v>
      </c>
      <c r="Z6596">
        <v>-0.32282840000000002</v>
      </c>
      <c r="AA6596">
        <v>0.94324730000000001</v>
      </c>
      <c r="AB6596">
        <v>38</v>
      </c>
      <c r="AC6596">
        <v>7.9399999999992504E-2</v>
      </c>
      <c r="AD6596">
        <v>-0.31886789999999998</v>
      </c>
      <c r="AE6596">
        <v>0.53477999999999704</v>
      </c>
      <c r="AF6596">
        <v>5.5274513820941999E-2</v>
      </c>
      <c r="AG6596">
        <v>-0.31886789999999998</v>
      </c>
      <c r="AH6596">
        <v>0.39728546707337498</v>
      </c>
      <c r="AI6596">
        <v>128.48327136254599</v>
      </c>
      <c r="AJ6596">
        <v>82.079258109975996</v>
      </c>
      <c r="AK6596">
        <v>0.51241365309314402</v>
      </c>
      <c r="AL6596">
        <v>80.449247113700096</v>
      </c>
      <c r="AM6596">
        <v>89.030305902343699</v>
      </c>
      <c r="AN6596">
        <v>1.00000001396697</v>
      </c>
    </row>
    <row r="6597" spans="1:40" x14ac:dyDescent="0.25">
      <c r="A6597" t="str">
        <f>"20190303162431530"</f>
        <v>20190303162431530</v>
      </c>
      <c r="B6597" t="str">
        <f>"1551601471521941"</f>
        <v>1551601471521941</v>
      </c>
      <c r="C6597" t="s">
        <v>40</v>
      </c>
      <c r="D6597">
        <v>5.7987650000000004</v>
      </c>
      <c r="E6597">
        <v>0.53060609999999997</v>
      </c>
      <c r="F6597" t="s">
        <v>42</v>
      </c>
      <c r="G6597">
        <v>-187.65629999999999</v>
      </c>
      <c r="H6597">
        <v>0.8070621</v>
      </c>
      <c r="I6597">
        <v>37.318489999999997</v>
      </c>
      <c r="J6597">
        <v>-187.73349999999999</v>
      </c>
      <c r="K6597">
        <v>1.1206780000000001</v>
      </c>
      <c r="L6597">
        <v>36.81964</v>
      </c>
      <c r="M6597">
        <v>9.1277960000000005E-3</v>
      </c>
      <c r="N6597">
        <v>-1.33814E-2</v>
      </c>
      <c r="O6597">
        <v>0.9998688</v>
      </c>
      <c r="P6597">
        <v>2.6148129999999999E-2</v>
      </c>
      <c r="Q6597">
        <v>0.15166209999999999</v>
      </c>
      <c r="R6597">
        <v>0.98808649999999998</v>
      </c>
      <c r="S6597">
        <v>0.29634090000000002</v>
      </c>
      <c r="T6597">
        <v>-1.1534530000000001</v>
      </c>
      <c r="U6597">
        <v>3.2075200000000001</v>
      </c>
      <c r="V6597">
        <v>1.712406E-2</v>
      </c>
      <c r="W6597">
        <v>0.16487349999999901</v>
      </c>
      <c r="X6597">
        <v>0.98616610000000005</v>
      </c>
      <c r="Y6597">
        <v>7.7723349999999997E-2</v>
      </c>
      <c r="Z6597">
        <v>-0.32461040000000002</v>
      </c>
      <c r="AA6597">
        <v>0.94264899999999996</v>
      </c>
      <c r="AB6597">
        <v>38</v>
      </c>
      <c r="AC6597">
        <v>7.7200000000004806E-2</v>
      </c>
      <c r="AD6597">
        <v>-0.3136159</v>
      </c>
      <c r="AE6597">
        <v>0.49885000000000401</v>
      </c>
      <c r="AF6597">
        <v>5.24122814905848E-2</v>
      </c>
      <c r="AG6597">
        <v>-0.3136159</v>
      </c>
      <c r="AH6597">
        <v>0.36041632132655099</v>
      </c>
      <c r="AI6597">
        <v>130.73146803911899</v>
      </c>
      <c r="AJ6597">
        <v>81.725961409186795</v>
      </c>
      <c r="AK6597">
        <v>0.48062657506885997</v>
      </c>
      <c r="AL6597">
        <v>80.510114481372696</v>
      </c>
      <c r="AM6597">
        <v>89.005200266110904</v>
      </c>
      <c r="AN6597">
        <v>1.00000004061117</v>
      </c>
    </row>
    <row r="6598" spans="1:40" x14ac:dyDescent="0.25">
      <c r="A6598" t="str">
        <f>"20190303162431553"</f>
        <v>20190303162431553</v>
      </c>
      <c r="B6598" t="str">
        <f>"1551601471541461"</f>
        <v>1551601471541461</v>
      </c>
      <c r="C6598" t="s">
        <v>40</v>
      </c>
      <c r="D6598">
        <v>5.7853919999999999</v>
      </c>
      <c r="E6598">
        <v>0.53063689999999997</v>
      </c>
      <c r="F6598" t="s">
        <v>42</v>
      </c>
      <c r="G6598">
        <v>-187.65520000000001</v>
      </c>
      <c r="H6598">
        <v>0.81809119999999902</v>
      </c>
      <c r="I6598">
        <v>37.657670000000003</v>
      </c>
      <c r="J6598">
        <v>-187.73009999999999</v>
      </c>
      <c r="K6598">
        <v>1.1206989999999999</v>
      </c>
      <c r="L6598">
        <v>37.193179999999998</v>
      </c>
      <c r="M6598">
        <v>9.1042269999999995E-3</v>
      </c>
      <c r="N6598">
        <v>-1.3554139999999999E-2</v>
      </c>
      <c r="O6598">
        <v>0.9998667</v>
      </c>
      <c r="P6598">
        <v>2.6503189999999999E-2</v>
      </c>
      <c r="Q6598">
        <v>0.1509374</v>
      </c>
      <c r="R6598">
        <v>0.98818799999999996</v>
      </c>
      <c r="S6598">
        <v>0.29911799999999999</v>
      </c>
      <c r="T6598">
        <v>-1.157559</v>
      </c>
      <c r="U6598">
        <v>3.2059329999999999</v>
      </c>
      <c r="V6598">
        <v>1.7501349999999999E-2</v>
      </c>
      <c r="W6598">
        <v>0.1643203</v>
      </c>
      <c r="X6598">
        <v>0.98625180000000001</v>
      </c>
      <c r="Y6598">
        <v>7.8560580000000005E-2</v>
      </c>
      <c r="Z6598">
        <v>-0.3256405</v>
      </c>
      <c r="AA6598">
        <v>0.94222430000000001</v>
      </c>
      <c r="AB6598">
        <v>37</v>
      </c>
      <c r="AC6598">
        <v>7.4899999999985298E-2</v>
      </c>
      <c r="AD6598">
        <v>-0.30260779999999998</v>
      </c>
      <c r="AE6598">
        <v>0.46449000000000501</v>
      </c>
      <c r="AF6598">
        <v>4.9988638554508601E-2</v>
      </c>
      <c r="AG6598">
        <v>-0.30260779999999998</v>
      </c>
      <c r="AH6598">
        <v>0.32903796346504499</v>
      </c>
      <c r="AI6598">
        <v>132.27840584689901</v>
      </c>
      <c r="AJ6598">
        <v>81.361474889839997</v>
      </c>
      <c r="AK6598">
        <v>0.44981810324463101</v>
      </c>
      <c r="AL6598">
        <v>80.542248740567999</v>
      </c>
      <c r="AM6598">
        <v>88.983374979668596</v>
      </c>
      <c r="AN6598">
        <v>1.0000000356235701</v>
      </c>
    </row>
    <row r="6599" spans="1:40" x14ac:dyDescent="0.25">
      <c r="A6599" t="str">
        <f>"20190303162431573"</f>
        <v>20190303162431573</v>
      </c>
      <c r="B6599" t="str">
        <f>"1551601471560981"</f>
        <v>1551601471560981</v>
      </c>
      <c r="C6599" t="s">
        <v>40</v>
      </c>
      <c r="D6599">
        <v>5.7779939999999996</v>
      </c>
      <c r="E6599">
        <v>0.53058719999999904</v>
      </c>
      <c r="F6599" t="s">
        <v>42</v>
      </c>
      <c r="G6599">
        <v>-187.65440000000001</v>
      </c>
      <c r="H6599">
        <v>0.82982089999999997</v>
      </c>
      <c r="I6599">
        <v>37.996740000000003</v>
      </c>
      <c r="J6599">
        <v>-187.727</v>
      </c>
      <c r="K6599">
        <v>1.1207180000000001</v>
      </c>
      <c r="L6599">
        <v>37.545349999999999</v>
      </c>
      <c r="M6599">
        <v>9.0822539999999997E-3</v>
      </c>
      <c r="N6599">
        <v>-1.370421E-2</v>
      </c>
      <c r="O6599">
        <v>0.9998648</v>
      </c>
      <c r="P6599">
        <v>2.700143E-2</v>
      </c>
      <c r="Q6599">
        <v>0.1506836</v>
      </c>
      <c r="R6599">
        <v>0.98821320000000001</v>
      </c>
      <c r="S6599">
        <v>0.30175780000000002</v>
      </c>
      <c r="T6599">
        <v>-1.160137</v>
      </c>
      <c r="U6599">
        <v>3.2049560000000001</v>
      </c>
      <c r="V6599">
        <v>1.8020910000000001E-2</v>
      </c>
      <c r="W6599">
        <v>0.16421540000000001</v>
      </c>
      <c r="X6599">
        <v>0.98625989999999997</v>
      </c>
      <c r="Y6599">
        <v>7.9354030000000006E-2</v>
      </c>
      <c r="Z6599">
        <v>-0.32623799999999997</v>
      </c>
      <c r="AA6599">
        <v>0.94195099999999998</v>
      </c>
      <c r="AB6599">
        <v>37</v>
      </c>
      <c r="AC6599">
        <v>7.2599999999994197E-2</v>
      </c>
      <c r="AD6599">
        <v>-0.29089709999999902</v>
      </c>
      <c r="AE6599">
        <v>0.45139000000000301</v>
      </c>
      <c r="AF6599">
        <v>4.8757857085464797E-2</v>
      </c>
      <c r="AG6599">
        <v>-0.29089709999999902</v>
      </c>
      <c r="AH6599">
        <v>0.321766789773829</v>
      </c>
      <c r="AI6599">
        <v>131.79218693514301</v>
      </c>
      <c r="AJ6599">
        <v>81.383426952424898</v>
      </c>
      <c r="AK6599">
        <v>0.43650007837036198</v>
      </c>
      <c r="AL6599">
        <v>80.548341694072803</v>
      </c>
      <c r="AM6599">
        <v>88.953209796534296</v>
      </c>
      <c r="AN6599">
        <v>1.0000000205711901</v>
      </c>
    </row>
    <row r="6600" spans="1:40" x14ac:dyDescent="0.25">
      <c r="A6600" t="str">
        <f>"20190303162431596"</f>
        <v>20190303162431596</v>
      </c>
      <c r="B6600" t="str">
        <f>"1551601471591237"</f>
        <v>1551601471591237</v>
      </c>
      <c r="C6600" t="s">
        <v>40</v>
      </c>
      <c r="D6600">
        <v>5.8069419999999896</v>
      </c>
      <c r="E6600">
        <v>0.53047719999999998</v>
      </c>
      <c r="F6600" t="s">
        <v>42</v>
      </c>
      <c r="G6600">
        <v>-187.6524</v>
      </c>
      <c r="H6600">
        <v>0.83524359999999997</v>
      </c>
      <c r="I6600">
        <v>38.332920000000001</v>
      </c>
      <c r="J6600">
        <v>-187.7235</v>
      </c>
      <c r="K6600">
        <v>1.1207309999999999</v>
      </c>
      <c r="L6600">
        <v>37.925840000000001</v>
      </c>
      <c r="M6600">
        <v>9.0582500000000003E-3</v>
      </c>
      <c r="N6600">
        <v>-1.3850579999999999E-2</v>
      </c>
      <c r="O6600">
        <v>0.99986299999999995</v>
      </c>
      <c r="P6600">
        <v>2.7693800000000001E-2</v>
      </c>
      <c r="Q6600">
        <v>0.14999949999999901</v>
      </c>
      <c r="R6600">
        <v>0.98829809999999996</v>
      </c>
      <c r="S6600">
        <v>0.30258180000000001</v>
      </c>
      <c r="T6600">
        <v>-1.1615679999999999</v>
      </c>
      <c r="U6600">
        <v>3.2046199999999998</v>
      </c>
      <c r="V6600">
        <v>1.8736160000000002E-2</v>
      </c>
      <c r="W6600">
        <v>0.16367689999999999</v>
      </c>
      <c r="X6600">
        <v>0.98633610000000005</v>
      </c>
      <c r="Y6600">
        <v>7.9615530000000004E-2</v>
      </c>
      <c r="Z6600">
        <v>-0.32649610000000001</v>
      </c>
      <c r="AA6600">
        <v>0.94183950000000005</v>
      </c>
      <c r="AB6600">
        <v>37</v>
      </c>
      <c r="AC6600">
        <v>7.1100000000001204E-2</v>
      </c>
      <c r="AD6600">
        <v>-0.285487399999999</v>
      </c>
      <c r="AE6600">
        <v>0.40708</v>
      </c>
      <c r="AF6600">
        <v>4.5630997013674297E-2</v>
      </c>
      <c r="AG6600">
        <v>-0.285487399999999</v>
      </c>
      <c r="AH6600">
        <v>0.27598708456237397</v>
      </c>
      <c r="AI6600">
        <v>135.583204271407</v>
      </c>
      <c r="AJ6600">
        <v>80.611794657373395</v>
      </c>
      <c r="AK6600">
        <v>0.39969252468924299</v>
      </c>
      <c r="AL6600">
        <v>80.579618824361901</v>
      </c>
      <c r="AM6600">
        <v>88.911756550023796</v>
      </c>
      <c r="AN6600">
        <v>1.0000000367241799</v>
      </c>
    </row>
    <row r="6601" spans="1:40" x14ac:dyDescent="0.25">
      <c r="A6601" t="str">
        <f>"20190303162431619"</f>
        <v>20190303162431619</v>
      </c>
      <c r="B6601" t="str">
        <f>"1551601471611733"</f>
        <v>1551601471611733</v>
      </c>
      <c r="C6601" t="s">
        <v>40</v>
      </c>
      <c r="D6601">
        <v>5.8200690000000002</v>
      </c>
      <c r="E6601">
        <v>0.53040750000000003</v>
      </c>
      <c r="F6601" t="s">
        <v>42</v>
      </c>
      <c r="G6601">
        <v>-187.65289999999999</v>
      </c>
      <c r="H6601">
        <v>0.84922799999999998</v>
      </c>
      <c r="I6601">
        <v>38.672139999999999</v>
      </c>
      <c r="J6601">
        <v>-187.72</v>
      </c>
      <c r="K6601">
        <v>1.12073</v>
      </c>
      <c r="L6601">
        <v>38.313510000000001</v>
      </c>
      <c r="M6601">
        <v>9.0339370000000006E-3</v>
      </c>
      <c r="N6601">
        <v>-1.3983310000000001E-2</v>
      </c>
      <c r="O6601">
        <v>0.99986140000000001</v>
      </c>
      <c r="P6601">
        <v>2.795603E-2</v>
      </c>
      <c r="Q6601">
        <v>0.14969739999999901</v>
      </c>
      <c r="R6601">
        <v>0.98833660000000001</v>
      </c>
      <c r="S6601">
        <v>0.30273440000000001</v>
      </c>
      <c r="T6601">
        <v>-1.165586</v>
      </c>
      <c r="U6601">
        <v>3.2039490000000002</v>
      </c>
      <c r="V6601">
        <v>1.9021969999999999E-2</v>
      </c>
      <c r="W6601">
        <v>0.16350609999999999</v>
      </c>
      <c r="X6601">
        <v>0.98635890000000004</v>
      </c>
      <c r="Y6601">
        <v>7.9667740000000001E-2</v>
      </c>
      <c r="Z6601">
        <v>-0.32747549999999997</v>
      </c>
      <c r="AA6601">
        <v>0.94149499999999997</v>
      </c>
      <c r="AB6601">
        <v>37</v>
      </c>
      <c r="AC6601">
        <v>6.7100000000010596E-2</v>
      </c>
      <c r="AD6601">
        <v>-0.27150199999999902</v>
      </c>
      <c r="AE6601">
        <v>0.35862999999999801</v>
      </c>
      <c r="AF6601">
        <v>4.1098836924390897E-2</v>
      </c>
      <c r="AG6601">
        <v>-0.27150199999999902</v>
      </c>
      <c r="AH6601">
        <v>0.231197299523209</v>
      </c>
      <c r="AI6601">
        <v>139.14349869369201</v>
      </c>
      <c r="AJ6601">
        <v>79.920099932053603</v>
      </c>
      <c r="AK6601">
        <v>0.35896328740884098</v>
      </c>
      <c r="AL6601">
        <v>80.589538040331007</v>
      </c>
      <c r="AM6601">
        <v>88.895185600369999</v>
      </c>
      <c r="AN6601">
        <v>0.99999997984455002</v>
      </c>
    </row>
    <row r="6602" spans="1:40" x14ac:dyDescent="0.25">
      <c r="A6602" t="str">
        <f>"20190303162431643"</f>
        <v>20190303162431643</v>
      </c>
      <c r="B6602" t="str">
        <f>"1551601471631253"</f>
        <v>1551601471631253</v>
      </c>
      <c r="C6602" t="s">
        <v>40</v>
      </c>
      <c r="D6602">
        <v>5.8109349999999997</v>
      </c>
      <c r="E6602">
        <v>0.53034689999999995</v>
      </c>
      <c r="F6602" t="s">
        <v>42</v>
      </c>
      <c r="G6602">
        <v>-187.65379999999999</v>
      </c>
      <c r="H6602">
        <v>0.86609480000000005</v>
      </c>
      <c r="I6602">
        <v>39.012129999999999</v>
      </c>
      <c r="J6602">
        <v>-187.7165</v>
      </c>
      <c r="K6602">
        <v>1.1207450000000001</v>
      </c>
      <c r="L6602">
        <v>38.704799999999999</v>
      </c>
      <c r="M6602">
        <v>9.0092100000000001E-3</v>
      </c>
      <c r="N6602">
        <v>-1.4101529999999999E-2</v>
      </c>
      <c r="O6602">
        <v>0.99985999999999997</v>
      </c>
      <c r="P6602">
        <v>2.740892E-2</v>
      </c>
      <c r="Q6602">
        <v>0.1490513</v>
      </c>
      <c r="R6602">
        <v>0.98844949999999998</v>
      </c>
      <c r="S6602">
        <v>0.30305480000000001</v>
      </c>
      <c r="T6602">
        <v>-1.1676569999999999</v>
      </c>
      <c r="U6602">
        <v>3.2036739999999999</v>
      </c>
      <c r="V6602">
        <v>1.8498279999999999E-2</v>
      </c>
      <c r="W6602">
        <v>0.1629787</v>
      </c>
      <c r="X6602">
        <v>0.98645620000000001</v>
      </c>
      <c r="Y6602">
        <v>7.9776E-2</v>
      </c>
      <c r="Z6602">
        <v>-0.3279244</v>
      </c>
      <c r="AA6602">
        <v>0.94132959999999999</v>
      </c>
      <c r="AB6602">
        <v>37</v>
      </c>
      <c r="AC6602">
        <v>6.2700000000006598E-2</v>
      </c>
      <c r="AD6602">
        <v>-0.25465019999999999</v>
      </c>
      <c r="AE6602">
        <v>0.30732999999999999</v>
      </c>
      <c r="AF6602">
        <v>3.6120468832503499E-2</v>
      </c>
      <c r="AG6602">
        <v>-0.25465019999999999</v>
      </c>
      <c r="AH6602">
        <v>0.185569156287229</v>
      </c>
      <c r="AI6602">
        <v>143.409874428205</v>
      </c>
      <c r="AJ6602">
        <v>78.985279992205804</v>
      </c>
      <c r="AK6602">
        <v>0.31715504787701798</v>
      </c>
      <c r="AL6602">
        <v>80.620167246082204</v>
      </c>
      <c r="AM6602">
        <v>88.925700741051898</v>
      </c>
      <c r="AN6602">
        <v>1.0000000387675401</v>
      </c>
    </row>
    <row r="6603" spans="1:40" x14ac:dyDescent="0.25">
      <c r="A6603" t="str">
        <f>"20190303162431665"</f>
        <v>20190303162431665</v>
      </c>
      <c r="B6603" t="str">
        <f>"1551601471661510"</f>
        <v>1551601471661510</v>
      </c>
      <c r="C6603" t="s">
        <v>40</v>
      </c>
      <c r="D6603">
        <v>5.8016249999999996</v>
      </c>
      <c r="E6603">
        <v>0.53027290000000005</v>
      </c>
      <c r="F6603" t="s">
        <v>42</v>
      </c>
      <c r="G6603">
        <v>-187.62790000000001</v>
      </c>
      <c r="H6603">
        <v>0.77812799999999904</v>
      </c>
      <c r="I6603">
        <v>39.642330000000001</v>
      </c>
      <c r="J6603">
        <v>-187.7133</v>
      </c>
      <c r="K6603">
        <v>1.120752</v>
      </c>
      <c r="L6603">
        <v>39.0687</v>
      </c>
      <c r="M6603">
        <v>8.9859299999999996E-3</v>
      </c>
      <c r="N6603">
        <v>-1.419687E-2</v>
      </c>
      <c r="O6603">
        <v>0.99985889999999999</v>
      </c>
      <c r="P6603">
        <v>2.6678279999999999E-2</v>
      </c>
      <c r="Q6603">
        <v>0.14931220000000001</v>
      </c>
      <c r="R6603">
        <v>0.98843009999999998</v>
      </c>
      <c r="S6603">
        <v>0.30233759999999998</v>
      </c>
      <c r="T6603">
        <v>-1.170587</v>
      </c>
      <c r="U6603">
        <v>3.2031860000000001</v>
      </c>
      <c r="V6603">
        <v>1.7790879999999999E-2</v>
      </c>
      <c r="W6603">
        <v>0.16333339999999999</v>
      </c>
      <c r="X6603">
        <v>0.98641049999999997</v>
      </c>
      <c r="Y6603">
        <v>7.9578579999999996E-2</v>
      </c>
      <c r="Z6603">
        <v>-0.3286461</v>
      </c>
      <c r="AA6603">
        <v>0.9410946</v>
      </c>
      <c r="AB6603">
        <v>37</v>
      </c>
      <c r="AC6603">
        <v>8.5399999999992801E-2</v>
      </c>
      <c r="AD6603">
        <v>-0.34262399999999998</v>
      </c>
      <c r="AE6603">
        <v>0.57363000000000097</v>
      </c>
      <c r="AF6603">
        <v>5.94812467611558E-2</v>
      </c>
      <c r="AG6603">
        <v>-0.34262399999999998</v>
      </c>
      <c r="AH6603">
        <v>0.42577131068447799</v>
      </c>
      <c r="AI6603">
        <v>128.55393773363301</v>
      </c>
      <c r="AJ6603">
        <v>82.047117322316893</v>
      </c>
      <c r="AK6603">
        <v>0.54973669433123995</v>
      </c>
      <c r="AL6603">
        <v>80.599567997470899</v>
      </c>
      <c r="AM6603">
        <v>88.966726499901696</v>
      </c>
      <c r="AN6603">
        <v>0.99999999473849199</v>
      </c>
    </row>
    <row r="6604" spans="1:40" x14ac:dyDescent="0.25">
      <c r="A6604" t="str">
        <f>"20190303162431685"</f>
        <v>20190303162431685</v>
      </c>
      <c r="B6604" t="str">
        <f>"1551601471681030"</f>
        <v>1551601471681030</v>
      </c>
      <c r="C6604" t="s">
        <v>40</v>
      </c>
      <c r="D6604">
        <v>5.8162979999999997</v>
      </c>
      <c r="E6604">
        <v>0.53024340000000003</v>
      </c>
      <c r="F6604" t="s">
        <v>42</v>
      </c>
      <c r="G6604">
        <v>-187.62799999999999</v>
      </c>
      <c r="H6604">
        <v>0.7881399</v>
      </c>
      <c r="I6604">
        <v>39.978430000000003</v>
      </c>
      <c r="J6604">
        <v>-187.71019999999999</v>
      </c>
      <c r="K6604">
        <v>1.1207689999999999</v>
      </c>
      <c r="L6604">
        <v>39.408940000000001</v>
      </c>
      <c r="M6604">
        <v>8.9645090000000007E-3</v>
      </c>
      <c r="N6604">
        <v>-1.4275329999999999E-2</v>
      </c>
      <c r="O6604">
        <v>0.99985789999999997</v>
      </c>
      <c r="P6604">
        <v>2.6088819999999999E-2</v>
      </c>
      <c r="Q6604">
        <v>0.14960490000000001</v>
      </c>
      <c r="R6604">
        <v>0.98840159999999999</v>
      </c>
      <c r="S6604">
        <v>0.29995729999999998</v>
      </c>
      <c r="T6604">
        <v>-1.171414</v>
      </c>
      <c r="U6604">
        <v>3.2039789999999999</v>
      </c>
      <c r="V6604">
        <v>1.7222830000000001E-2</v>
      </c>
      <c r="W6604">
        <v>0.16370270000000001</v>
      </c>
      <c r="X6604">
        <v>0.9863594</v>
      </c>
      <c r="Y6604">
        <v>7.8882809999999998E-2</v>
      </c>
      <c r="Z6604">
        <v>-0.32873160000000001</v>
      </c>
      <c r="AA6604">
        <v>0.94112320000000005</v>
      </c>
      <c r="AB6604">
        <v>37</v>
      </c>
      <c r="AC6604">
        <v>8.2200000000000203E-2</v>
      </c>
      <c r="AD6604">
        <v>-0.33262910000000001</v>
      </c>
      <c r="AE6604">
        <v>0.56948999999999395</v>
      </c>
      <c r="AF6604">
        <v>5.7781118143715698E-2</v>
      </c>
      <c r="AG6604">
        <v>-0.33262910000000001</v>
      </c>
      <c r="AH6604">
        <v>0.42737852948157301</v>
      </c>
      <c r="AI6604">
        <v>127.642419503236</v>
      </c>
      <c r="AJ6604">
        <v>82.300358913839702</v>
      </c>
      <c r="AK6604">
        <v>0.54464041646078698</v>
      </c>
      <c r="AL6604">
        <v>80.578120345884798</v>
      </c>
      <c r="AM6604">
        <v>88.999659554484296</v>
      </c>
      <c r="AN6604">
        <v>1.0000000329144201</v>
      </c>
    </row>
    <row r="6605" spans="1:40" x14ac:dyDescent="0.25">
      <c r="A6605" t="str">
        <f>"20190303162431708"</f>
        <v>20190303162431708</v>
      </c>
      <c r="B6605" t="str">
        <f>"1551601471701525"</f>
        <v>1551601471701525</v>
      </c>
      <c r="C6605" t="s">
        <v>40</v>
      </c>
      <c r="D6605">
        <v>5.8177909999999997</v>
      </c>
      <c r="E6605">
        <v>0.53019369999999999</v>
      </c>
      <c r="F6605" t="s">
        <v>42</v>
      </c>
      <c r="G6605">
        <v>-187.62629999999999</v>
      </c>
      <c r="H6605">
        <v>0.79100930000000003</v>
      </c>
      <c r="I6605">
        <v>40.311300000000003</v>
      </c>
      <c r="J6605">
        <v>-187.70689999999999</v>
      </c>
      <c r="K6605">
        <v>1.1207720000000001</v>
      </c>
      <c r="L6605">
        <v>39.784120000000001</v>
      </c>
      <c r="M6605">
        <v>8.9406499999999996E-3</v>
      </c>
      <c r="N6605">
        <v>-1.435058E-2</v>
      </c>
      <c r="O6605">
        <v>0.99985710000000005</v>
      </c>
      <c r="P6605">
        <v>2.620579E-2</v>
      </c>
      <c r="Q6605">
        <v>0.150152799999999</v>
      </c>
      <c r="R6605">
        <v>0.98831539999999996</v>
      </c>
      <c r="S6605">
        <v>0.29742429999999997</v>
      </c>
      <c r="T6605">
        <v>-1.171076</v>
      </c>
      <c r="U6605">
        <v>3.2046199999999998</v>
      </c>
      <c r="V6605">
        <v>1.7364149999999998E-2</v>
      </c>
      <c r="W6605">
        <v>0.16432359999999999</v>
      </c>
      <c r="X6605">
        <v>0.98625359999999995</v>
      </c>
      <c r="Y6605">
        <v>7.8158899999999906E-2</v>
      </c>
      <c r="Z6605">
        <v>-0.32853339999999998</v>
      </c>
      <c r="AA6605">
        <v>0.94125289999999995</v>
      </c>
      <c r="AB6605">
        <v>37</v>
      </c>
      <c r="AC6605">
        <v>8.0600000000004002E-2</v>
      </c>
      <c r="AD6605">
        <v>-0.32976269999999902</v>
      </c>
      <c r="AE6605">
        <v>0.52718000000000098</v>
      </c>
      <c r="AF6605">
        <v>5.48945477491792E-2</v>
      </c>
      <c r="AG6605">
        <v>-0.32976269999999902</v>
      </c>
      <c r="AH6605">
        <v>0.38187377574998299</v>
      </c>
      <c r="AI6605">
        <v>130.52224114101199</v>
      </c>
      <c r="AJ6605">
        <v>81.819741822020006</v>
      </c>
      <c r="AK6605">
        <v>0.50752776307254899</v>
      </c>
      <c r="AL6605">
        <v>80.542056350169702</v>
      </c>
      <c r="AM6605">
        <v>88.991344892506106</v>
      </c>
      <c r="AN6605">
        <v>0.99999996136756997</v>
      </c>
    </row>
    <row r="6606" spans="1:40" x14ac:dyDescent="0.25">
      <c r="A6606" t="str">
        <f>"20190303162431730"</f>
        <v>20190303162431730</v>
      </c>
      <c r="B6606" t="str">
        <f>"1551601471721045"</f>
        <v>1551601471721045</v>
      </c>
      <c r="C6606" t="s">
        <v>40</v>
      </c>
      <c r="D6606">
        <v>5.8239169999999998</v>
      </c>
      <c r="E6606">
        <v>0.53015409999999996</v>
      </c>
      <c r="F6606" t="s">
        <v>42</v>
      </c>
      <c r="G6606">
        <v>-187.6267</v>
      </c>
      <c r="H6606">
        <v>0.80534899999999998</v>
      </c>
      <c r="I6606">
        <v>40.64837</v>
      </c>
      <c r="J6606">
        <v>-187.70349999999999</v>
      </c>
      <c r="K6606">
        <v>1.1207780000000001</v>
      </c>
      <c r="L6606">
        <v>40.16431</v>
      </c>
      <c r="M6606">
        <v>8.9164540000000007E-3</v>
      </c>
      <c r="N6606">
        <v>-1.4416480000000001E-2</v>
      </c>
      <c r="O6606">
        <v>0.99985630000000003</v>
      </c>
      <c r="P6606">
        <v>2.588712E-2</v>
      </c>
      <c r="Q6606">
        <v>0.15050629999999901</v>
      </c>
      <c r="R6606">
        <v>0.98826999999999998</v>
      </c>
      <c r="S6606">
        <v>0.29733280000000001</v>
      </c>
      <c r="T6606">
        <v>-1.1698390000000001</v>
      </c>
      <c r="U6606">
        <v>3.2053219999999998</v>
      </c>
      <c r="V6606">
        <v>1.7069830000000001E-2</v>
      </c>
      <c r="W6606">
        <v>0.16474129999999901</v>
      </c>
      <c r="X6606">
        <v>0.98618910000000004</v>
      </c>
      <c r="Y6606">
        <v>7.8151040000000005E-2</v>
      </c>
      <c r="Z6606">
        <v>-0.32808490000000001</v>
      </c>
      <c r="AA6606">
        <v>0.94140999999999997</v>
      </c>
      <c r="AB6606">
        <v>37</v>
      </c>
      <c r="AC6606">
        <v>7.67999999999915E-2</v>
      </c>
      <c r="AD6606">
        <v>-0.31542900000000001</v>
      </c>
      <c r="AE6606">
        <v>0.48405999999999899</v>
      </c>
      <c r="AF6606">
        <v>5.1251947117938998E-2</v>
      </c>
      <c r="AG6606">
        <v>-0.31542900000000001</v>
      </c>
      <c r="AH6606">
        <v>0.34275654650016701</v>
      </c>
      <c r="AI6606">
        <v>132.306974706906</v>
      </c>
      <c r="AJ6606">
        <v>81.495644475424001</v>
      </c>
      <c r="AK6606">
        <v>0.468619532556104</v>
      </c>
      <c r="AL6606">
        <v>80.517793682385701</v>
      </c>
      <c r="AM6606">
        <v>89.0083731792419</v>
      </c>
      <c r="AN6606">
        <v>1.0000000079903599</v>
      </c>
    </row>
    <row r="6607" spans="1:40" x14ac:dyDescent="0.25">
      <c r="A6607" t="str">
        <f>"20190303162431752"</f>
        <v>20190303162431752</v>
      </c>
      <c r="B6607" t="str">
        <f>"1551601471741540"</f>
        <v>1551601471741540</v>
      </c>
      <c r="C6607" t="s">
        <v>40</v>
      </c>
      <c r="D6607">
        <v>5.8265529999999996</v>
      </c>
      <c r="E6607">
        <v>0.53010550000000001</v>
      </c>
      <c r="F6607" t="s">
        <v>42</v>
      </c>
      <c r="G6607">
        <v>-187.62739999999999</v>
      </c>
      <c r="H6607">
        <v>0.82111329999999905</v>
      </c>
      <c r="I6607">
        <v>40.98563</v>
      </c>
      <c r="J6607">
        <v>-187.7004</v>
      </c>
      <c r="K6607">
        <v>1.120787</v>
      </c>
      <c r="L6607">
        <v>40.518859999999997</v>
      </c>
      <c r="M6607">
        <v>8.8941890000000003E-3</v>
      </c>
      <c r="N6607">
        <v>-1.4469640000000001E-2</v>
      </c>
      <c r="O6607">
        <v>0.99985579999999996</v>
      </c>
      <c r="P6607">
        <v>2.5594349999999998E-2</v>
      </c>
      <c r="Q6607">
        <v>0.1505292</v>
      </c>
      <c r="R6607">
        <v>0.98827419999999999</v>
      </c>
      <c r="S6607">
        <v>0.29641719999999999</v>
      </c>
      <c r="T6607">
        <v>-1.169699</v>
      </c>
      <c r="U6607">
        <v>3.205994</v>
      </c>
      <c r="V6607">
        <v>1.679899E-2</v>
      </c>
      <c r="W6607">
        <v>0.16481660000000001</v>
      </c>
      <c r="X6607">
        <v>0.98618110000000003</v>
      </c>
      <c r="Y6607">
        <v>7.7893030000000002E-2</v>
      </c>
      <c r="Z6607">
        <v>-0.32794269999999998</v>
      </c>
      <c r="AA6607">
        <v>0.94148089999999995</v>
      </c>
      <c r="AB6607">
        <v>37</v>
      </c>
      <c r="AC6607">
        <v>7.3000000000007503E-2</v>
      </c>
      <c r="AD6607">
        <v>-0.29967369999999999</v>
      </c>
      <c r="AE6607">
        <v>0.46677000000000302</v>
      </c>
      <c r="AF6607">
        <v>4.9092926546175003E-2</v>
      </c>
      <c r="AG6607">
        <v>-0.29967369999999999</v>
      </c>
      <c r="AH6607">
        <v>0.33329989558637302</v>
      </c>
      <c r="AI6607">
        <v>131.65353736773099</v>
      </c>
      <c r="AJ6607">
        <v>81.620949888751596</v>
      </c>
      <c r="AK6607">
        <v>0.45089163033532298</v>
      </c>
      <c r="AL6607">
        <v>80.513418865269898</v>
      </c>
      <c r="AM6607">
        <v>89.024095933404297</v>
      </c>
      <c r="AN6607">
        <v>0.99999993984889302</v>
      </c>
    </row>
    <row r="6608" spans="1:40" x14ac:dyDescent="0.25">
      <c r="A6608" t="str">
        <f>"20190303162431775"</f>
        <v>20190303162431775</v>
      </c>
      <c r="B6608" t="str">
        <f>"1551601471771796"</f>
        <v>1551601471771796</v>
      </c>
      <c r="C6608" t="s">
        <v>40</v>
      </c>
      <c r="D6608">
        <v>5.8257029999999999</v>
      </c>
      <c r="E6608">
        <v>0.53007190000000004</v>
      </c>
      <c r="F6608" t="s">
        <v>42</v>
      </c>
      <c r="G6608">
        <v>-187.62639999999999</v>
      </c>
      <c r="H6608">
        <v>0.82864199999999999</v>
      </c>
      <c r="I6608">
        <v>41.319229999999997</v>
      </c>
      <c r="J6608">
        <v>-187.69710000000001</v>
      </c>
      <c r="K6608">
        <v>1.12079</v>
      </c>
      <c r="L6608">
        <v>40.894289999999998</v>
      </c>
      <c r="M6608">
        <v>8.8703979999999998E-3</v>
      </c>
      <c r="N6608">
        <v>-1.4518049999999999E-2</v>
      </c>
      <c r="O6608">
        <v>0.9998553</v>
      </c>
      <c r="P6608">
        <v>2.571822E-2</v>
      </c>
      <c r="Q6608">
        <v>0.1507066</v>
      </c>
      <c r="R6608">
        <v>0.98824389999999995</v>
      </c>
      <c r="S6608">
        <v>0.29605100000000001</v>
      </c>
      <c r="T6608">
        <v>-1.1702939999999999</v>
      </c>
      <c r="U6608">
        <v>3.2061769999999998</v>
      </c>
      <c r="V6608">
        <v>1.6946650000000001E-2</v>
      </c>
      <c r="W6608">
        <v>0.165041299999999</v>
      </c>
      <c r="X6608">
        <v>0.98614100000000005</v>
      </c>
      <c r="Y6608">
        <v>7.7801579999999995E-2</v>
      </c>
      <c r="Z6608">
        <v>-0.32803680000000002</v>
      </c>
      <c r="AA6608">
        <v>0.94145570000000001</v>
      </c>
      <c r="AB6608">
        <v>37</v>
      </c>
      <c r="AC6608">
        <v>7.0700000000016403E-2</v>
      </c>
      <c r="AD6608">
        <v>-0.29214800000000002</v>
      </c>
      <c r="AE6608">
        <v>0.42493999999999199</v>
      </c>
      <c r="AF6608">
        <v>4.5842889627092903E-2</v>
      </c>
      <c r="AG6608">
        <v>-0.29214800000000002</v>
      </c>
      <c r="AH6608">
        <v>0.29148680357458201</v>
      </c>
      <c r="AI6608">
        <v>134.71492747430401</v>
      </c>
      <c r="AJ6608">
        <v>81.0621550544505</v>
      </c>
      <c r="AK6608">
        <v>0.41523075643729601</v>
      </c>
      <c r="AL6608">
        <v>80.500365802935804</v>
      </c>
      <c r="AM6608">
        <v>89.015479574341597</v>
      </c>
      <c r="AN6608">
        <v>0.99999994576645401</v>
      </c>
    </row>
    <row r="6609" spans="1:40" x14ac:dyDescent="0.25">
      <c r="A6609" t="str">
        <f>"20190303162431797"</f>
        <v>20190303162431797</v>
      </c>
      <c r="B6609" t="str">
        <f>"1551601471791317"</f>
        <v>1551601471791317</v>
      </c>
      <c r="C6609" t="s">
        <v>40</v>
      </c>
      <c r="D6609">
        <v>5.8413079999999997</v>
      </c>
      <c r="E6609">
        <v>0.53003469999999997</v>
      </c>
      <c r="F6609" t="s">
        <v>42</v>
      </c>
      <c r="G6609">
        <v>-187.6267</v>
      </c>
      <c r="H6609">
        <v>0.8430183</v>
      </c>
      <c r="I6609">
        <v>41.655180000000001</v>
      </c>
      <c r="J6609">
        <v>-187.69390000000001</v>
      </c>
      <c r="K6609">
        <v>1.120792</v>
      </c>
      <c r="L6609">
        <v>41.252839999999999</v>
      </c>
      <c r="M6609">
        <v>8.8477539999999993E-3</v>
      </c>
      <c r="N6609">
        <v>-1.455775E-2</v>
      </c>
      <c r="O6609">
        <v>0.99985489999999999</v>
      </c>
      <c r="P6609">
        <v>2.6041109999999999E-2</v>
      </c>
      <c r="Q6609">
        <v>0.1505716</v>
      </c>
      <c r="R6609">
        <v>0.98825600000000002</v>
      </c>
      <c r="S6609">
        <v>0.29586790000000002</v>
      </c>
      <c r="T6609">
        <v>-1.1705350000000001</v>
      </c>
      <c r="U6609">
        <v>3.2064819999999998</v>
      </c>
      <c r="V6609">
        <v>1.7291810000000001E-2</v>
      </c>
      <c r="W6609">
        <v>0.16494589999999901</v>
      </c>
      <c r="X6609">
        <v>0.986151</v>
      </c>
      <c r="Y6609">
        <v>7.776218E-2</v>
      </c>
      <c r="Z6609">
        <v>-0.3280344</v>
      </c>
      <c r="AA6609">
        <v>0.94145979999999996</v>
      </c>
      <c r="AB6609">
        <v>37</v>
      </c>
      <c r="AC6609">
        <v>6.7200000000013901E-2</v>
      </c>
      <c r="AD6609">
        <v>-0.27777369999999901</v>
      </c>
      <c r="AE6609">
        <v>0.40234000000000197</v>
      </c>
      <c r="AF6609">
        <v>4.3476638612307897E-2</v>
      </c>
      <c r="AG6609">
        <v>-0.27777369999999901</v>
      </c>
      <c r="AH6609">
        <v>0.27527236043836101</v>
      </c>
      <c r="AI6609">
        <v>134.90621208730099</v>
      </c>
      <c r="AJ6609">
        <v>81.024818320975299</v>
      </c>
      <c r="AK6609">
        <v>0.39347594454810397</v>
      </c>
      <c r="AL6609">
        <v>80.505908062271203</v>
      </c>
      <c r="AM6609">
        <v>88.995441659377306</v>
      </c>
      <c r="AN6609">
        <v>0.99999997571044197</v>
      </c>
    </row>
    <row r="6610" spans="1:40" x14ac:dyDescent="0.25">
      <c r="A6610" t="str">
        <f>"20190303162431822"</f>
        <v>20190303162431822</v>
      </c>
      <c r="B6610" t="str">
        <f>"1551601471811813"</f>
        <v>1551601471811813</v>
      </c>
      <c r="C6610" t="s">
        <v>40</v>
      </c>
      <c r="D6610">
        <v>5.8402240000000001</v>
      </c>
      <c r="E6610">
        <v>0.53002289999999996</v>
      </c>
      <c r="F6610" t="s">
        <v>42</v>
      </c>
      <c r="G6610">
        <v>-187.62569999999999</v>
      </c>
      <c r="H6610">
        <v>0.85193660000000004</v>
      </c>
      <c r="I6610">
        <v>41.988570000000003</v>
      </c>
      <c r="J6610">
        <v>-187.6902</v>
      </c>
      <c r="K6610">
        <v>1.12079</v>
      </c>
      <c r="L6610">
        <v>41.67841</v>
      </c>
      <c r="M6610">
        <v>8.8210509999999999E-3</v>
      </c>
      <c r="N6610">
        <v>-1.459796E-2</v>
      </c>
      <c r="O6610">
        <v>0.99985449999999998</v>
      </c>
      <c r="P6610">
        <v>2.586577E-2</v>
      </c>
      <c r="Q6610">
        <v>0.15090599999999901</v>
      </c>
      <c r="R6610">
        <v>0.98820969999999997</v>
      </c>
      <c r="S6610">
        <v>0.29696660000000002</v>
      </c>
      <c r="T6610">
        <v>-1.1716759999999999</v>
      </c>
      <c r="U6610">
        <v>3.2063290000000002</v>
      </c>
      <c r="V6610">
        <v>1.7143229999999999E-2</v>
      </c>
      <c r="W6610">
        <v>0.16531879999999999</v>
      </c>
      <c r="X6610">
        <v>0.98609119999999995</v>
      </c>
      <c r="Y6610">
        <v>7.8102499999999894E-2</v>
      </c>
      <c r="Z6610">
        <v>-0.32829720000000001</v>
      </c>
      <c r="AA6610">
        <v>0.94133999999999995</v>
      </c>
      <c r="AB6610">
        <v>37</v>
      </c>
      <c r="AC6610">
        <v>6.4500000000009494E-2</v>
      </c>
      <c r="AD6610">
        <v>-0.26885339999999902</v>
      </c>
      <c r="AE6610">
        <v>0.31016000000000299</v>
      </c>
      <c r="AF6610">
        <v>3.5902857947509997E-2</v>
      </c>
      <c r="AG6610">
        <v>-0.26885339999999902</v>
      </c>
      <c r="AH6610">
        <v>0.18062497847515799</v>
      </c>
      <c r="AI6610">
        <v>145.589720689541</v>
      </c>
      <c r="AJ6610">
        <v>78.757837352077701</v>
      </c>
      <c r="AK6610">
        <v>0.32587811947031697</v>
      </c>
      <c r="AL6610">
        <v>80.484245539807105</v>
      </c>
      <c r="AM6610">
        <v>89.004011203556203</v>
      </c>
      <c r="AN6610">
        <v>1.00000002534285</v>
      </c>
    </row>
    <row r="6611" spans="1:40" x14ac:dyDescent="0.25">
      <c r="A6611" t="str">
        <f>"20190303162431844"</f>
        <v>20190303162431844</v>
      </c>
      <c r="B6611" t="str">
        <f>"1551601471831333"</f>
        <v>1551601471831333</v>
      </c>
      <c r="C6611" t="s">
        <v>40</v>
      </c>
      <c r="D6611">
        <v>5.914676</v>
      </c>
      <c r="E6611">
        <v>0.53002389999999999</v>
      </c>
      <c r="F6611" t="s">
        <v>42</v>
      </c>
      <c r="G6611">
        <v>-187.62950000000001</v>
      </c>
      <c r="H6611">
        <v>0.8827739</v>
      </c>
      <c r="I6611">
        <v>42.330379999999998</v>
      </c>
      <c r="J6611">
        <v>-187.68719999999999</v>
      </c>
      <c r="K6611">
        <v>1.120806</v>
      </c>
      <c r="L6611">
        <v>42.019069999999999</v>
      </c>
      <c r="M6611">
        <v>8.7992279999999992E-3</v>
      </c>
      <c r="N6611">
        <v>-1.462456E-2</v>
      </c>
      <c r="O6611">
        <v>0.99985429999999997</v>
      </c>
      <c r="P6611">
        <v>2.528998E-2</v>
      </c>
      <c r="Q6611">
        <v>0.15183440000000001</v>
      </c>
      <c r="R6611">
        <v>0.98808229999999997</v>
      </c>
      <c r="S6611">
        <v>0.2976685</v>
      </c>
      <c r="T6611">
        <v>-1.1706810000000001</v>
      </c>
      <c r="U6611">
        <v>3.2067570000000001</v>
      </c>
      <c r="V6611">
        <v>1.6590230000000001E-2</v>
      </c>
      <c r="W6611">
        <v>0.16627149999999999</v>
      </c>
      <c r="X6611">
        <v>0.9859405</v>
      </c>
      <c r="Y6611">
        <v>7.8326759999999995E-2</v>
      </c>
      <c r="Z6611">
        <v>-0.32796809999999998</v>
      </c>
      <c r="AA6611">
        <v>0.9414361</v>
      </c>
      <c r="AB6611">
        <v>37</v>
      </c>
      <c r="AC6611">
        <v>5.7699999999982703E-2</v>
      </c>
      <c r="AD6611">
        <v>-0.2380321</v>
      </c>
      <c r="AE6611">
        <v>0.31130999999999798</v>
      </c>
      <c r="AF6611">
        <v>3.5112156460210403E-2</v>
      </c>
      <c r="AG6611">
        <v>-0.2380321</v>
      </c>
      <c r="AH6611">
        <v>0.19920910891195601</v>
      </c>
      <c r="AI6611">
        <v>139.642094520451</v>
      </c>
      <c r="AJ6611">
        <v>80.003845071708497</v>
      </c>
      <c r="AK6611">
        <v>0.31237223505809802</v>
      </c>
      <c r="AL6611">
        <v>80.428894113734799</v>
      </c>
      <c r="AM6611">
        <v>89.035985982910404</v>
      </c>
      <c r="AN6611">
        <v>1.0000000584919699</v>
      </c>
    </row>
    <row r="6612" spans="1:40" x14ac:dyDescent="0.25">
      <c r="A6612" t="str">
        <f>"20190303162431865"</f>
        <v>20190303162431865</v>
      </c>
      <c r="B6612" t="str">
        <f>"1551601471861590"</f>
        <v>1551601471861590</v>
      </c>
      <c r="C6612" t="s">
        <v>40</v>
      </c>
      <c r="D6612">
        <v>5.8578289999999997</v>
      </c>
      <c r="E6612">
        <v>0.49541950000000001</v>
      </c>
      <c r="F6612" t="s">
        <v>42</v>
      </c>
      <c r="G6612">
        <v>-187.60159999999999</v>
      </c>
      <c r="H6612">
        <v>0.78259979999999996</v>
      </c>
      <c r="I6612">
        <v>42.948039999999999</v>
      </c>
      <c r="J6612">
        <v>-187.684</v>
      </c>
      <c r="K6612">
        <v>1.120817</v>
      </c>
      <c r="L6612">
        <v>42.380980000000001</v>
      </c>
      <c r="M6612">
        <v>8.7764439999999996E-3</v>
      </c>
      <c r="N6612">
        <v>-1.4646930000000001E-2</v>
      </c>
      <c r="O6612">
        <v>0.99985420000000003</v>
      </c>
      <c r="P6612">
        <v>2.4639620000000001E-2</v>
      </c>
      <c r="Q6612">
        <v>0.1530928</v>
      </c>
      <c r="R6612">
        <v>0.98790460000000002</v>
      </c>
      <c r="S6612">
        <v>0.29522710000000002</v>
      </c>
      <c r="T6612">
        <v>-1.167948</v>
      </c>
      <c r="U6612">
        <v>3.2080989999999998</v>
      </c>
      <c r="V6612">
        <v>1.5963930000000001E-2</v>
      </c>
      <c r="W6612">
        <v>0.16754939999999999</v>
      </c>
      <c r="X6612">
        <v>0.98573440000000001</v>
      </c>
      <c r="Y6612">
        <v>7.7631549999999994E-2</v>
      </c>
      <c r="Z6612">
        <v>-0.32713229999999999</v>
      </c>
      <c r="AA6612">
        <v>0.94178439999999997</v>
      </c>
      <c r="AB6612">
        <v>37</v>
      </c>
      <c r="AC6612">
        <v>8.2400000000035306E-2</v>
      </c>
      <c r="AD6612">
        <v>-0.338217199999999</v>
      </c>
      <c r="AE6612">
        <v>0.56705999999999701</v>
      </c>
      <c r="AF6612">
        <v>5.7416510222436198E-2</v>
      </c>
      <c r="AG6612">
        <v>-0.338217199999999</v>
      </c>
      <c r="AH6612">
        <v>0.42106794657202101</v>
      </c>
      <c r="AI6612">
        <v>128.515284324589</v>
      </c>
      <c r="AJ6612">
        <v>82.235080603126207</v>
      </c>
      <c r="AK6612">
        <v>0.543125902210842</v>
      </c>
      <c r="AL6612">
        <v>80.354633336612906</v>
      </c>
      <c r="AM6612">
        <v>89.072178204565503</v>
      </c>
      <c r="AN6612">
        <v>0.99999997792238204</v>
      </c>
    </row>
    <row r="6613" spans="1:40" x14ac:dyDescent="0.25">
      <c r="A6613" t="str">
        <f>"20190303162431887"</f>
        <v>20190303162431887</v>
      </c>
      <c r="B6613" t="str">
        <f>"1551601471882085"</f>
        <v>1551601471882085</v>
      </c>
      <c r="C6613" t="s">
        <v>40</v>
      </c>
      <c r="D6613">
        <v>5.9079090000000001</v>
      </c>
      <c r="E6613">
        <v>0.45898519999999998</v>
      </c>
      <c r="F6613" t="s">
        <v>42</v>
      </c>
      <c r="G6613">
        <v>-187.67769999999999</v>
      </c>
      <c r="H6613">
        <v>0.88386390000000004</v>
      </c>
      <c r="I6613">
        <v>43.320360000000001</v>
      </c>
      <c r="J6613">
        <v>-187.68090000000001</v>
      </c>
      <c r="K6613">
        <v>1.1208290000000001</v>
      </c>
      <c r="L6613">
        <v>42.74539</v>
      </c>
      <c r="M6613">
        <v>8.7534380000000005E-3</v>
      </c>
      <c r="N6613">
        <v>-1.466431E-2</v>
      </c>
      <c r="O6613">
        <v>0.99985409999999997</v>
      </c>
      <c r="P6613">
        <v>2.3637350000000001E-2</v>
      </c>
      <c r="Q6613">
        <v>0.15413270000000001</v>
      </c>
      <c r="R6613">
        <v>0.98776739999999996</v>
      </c>
      <c r="S6613">
        <v>2.1179199999999999E-2</v>
      </c>
      <c r="T6613">
        <v>-0.79701359999999999</v>
      </c>
      <c r="U6613">
        <v>3.1596980000000001</v>
      </c>
      <c r="V6613">
        <v>1.498561E-2</v>
      </c>
      <c r="W6613">
        <v>0.16860420000000001</v>
      </c>
      <c r="X6613">
        <v>0.9855699</v>
      </c>
      <c r="Y6613">
        <v>-2.2279320000000002E-3</v>
      </c>
      <c r="Z6613">
        <v>-0.230321</v>
      </c>
      <c r="AA6613">
        <v>0.97311219999999998</v>
      </c>
      <c r="AB6613">
        <v>37</v>
      </c>
      <c r="AC6613">
        <v>3.2000000000209599E-3</v>
      </c>
      <c r="AD6613">
        <v>-0.23696509999999901</v>
      </c>
      <c r="AE6613">
        <v>0.57496999999999998</v>
      </c>
      <c r="AF6613">
        <v>-1.5674050191767899E-3</v>
      </c>
      <c r="AG6613">
        <v>-0.23696509999999901</v>
      </c>
      <c r="AH6613">
        <v>0.49149557275660299</v>
      </c>
      <c r="AI6613">
        <v>115.740028777322</v>
      </c>
      <c r="AJ6613">
        <v>90.1827186101427</v>
      </c>
      <c r="AK6613">
        <v>0.54563982022561897</v>
      </c>
      <c r="AL6613">
        <v>80.293325655603297</v>
      </c>
      <c r="AM6613">
        <v>89.128883656720603</v>
      </c>
      <c r="AN6613">
        <v>0.99999998627536102</v>
      </c>
    </row>
    <row r="6614" spans="1:40" x14ac:dyDescent="0.25">
      <c r="A6614" t="str">
        <f>"20190303162431910"</f>
        <v>20190303162431910</v>
      </c>
      <c r="B6614" t="str">
        <f>"1551601471901606"</f>
        <v>1551601471901606</v>
      </c>
      <c r="C6614" t="s">
        <v>40</v>
      </c>
      <c r="D6614">
        <v>6.152908</v>
      </c>
      <c r="E6614">
        <v>0.45657809999999999</v>
      </c>
      <c r="F6614" t="s">
        <v>41</v>
      </c>
      <c r="G6614">
        <v>-188.32820000000001</v>
      </c>
      <c r="H6614" s="1">
        <v>-6.6392009999999997E-7</v>
      </c>
      <c r="I6614">
        <v>50.291930000000001</v>
      </c>
      <c r="J6614">
        <v>-187.67760000000001</v>
      </c>
      <c r="K6614">
        <v>1.120838</v>
      </c>
      <c r="L6614">
        <v>43.117220000000003</v>
      </c>
      <c r="M6614">
        <v>8.7298199999999992E-3</v>
      </c>
      <c r="N6614">
        <v>-1.46769E-2</v>
      </c>
      <c r="O6614">
        <v>0.99985420000000003</v>
      </c>
      <c r="P6614">
        <v>2.2716110000000001E-2</v>
      </c>
      <c r="Q6614">
        <v>0.15462290000000001</v>
      </c>
      <c r="R6614">
        <v>0.98771240000000005</v>
      </c>
      <c r="S6614">
        <v>-0.26728819999999998</v>
      </c>
      <c r="T6614">
        <v>-0.46275889999999997</v>
      </c>
      <c r="U6614">
        <v>3.1157530000000002</v>
      </c>
      <c r="V6614">
        <v>1.408824E-2</v>
      </c>
      <c r="W6614">
        <v>0.16910559999999999</v>
      </c>
      <c r="X6614">
        <v>0.98549719999999996</v>
      </c>
      <c r="Y6614">
        <v>-9.3310480000000001E-2</v>
      </c>
      <c r="Z6614">
        <v>-0.1317797</v>
      </c>
      <c r="AA6614">
        <v>0.98687760000000002</v>
      </c>
      <c r="AB6614">
        <v>37</v>
      </c>
      <c r="AC6614">
        <v>-0.65059999999999696</v>
      </c>
      <c r="AD6614">
        <v>-1.1208386639201</v>
      </c>
      <c r="AE6614">
        <v>7.1747099999999904</v>
      </c>
      <c r="AF6614">
        <v>-0.69635986788249105</v>
      </c>
      <c r="AG6614">
        <v>-1.1208386639201</v>
      </c>
      <c r="AH6614">
        <v>6.9993312930894502</v>
      </c>
      <c r="AI6614">
        <v>99.0538723472757</v>
      </c>
      <c r="AJ6614">
        <v>95.681630946377595</v>
      </c>
      <c r="AK6614">
        <v>7.1226283720658099</v>
      </c>
      <c r="AL6614">
        <v>80.264178742871394</v>
      </c>
      <c r="AM6614">
        <v>89.180980207341804</v>
      </c>
      <c r="AN6614">
        <v>0.99999995683274701</v>
      </c>
    </row>
    <row r="6615" spans="1:40" x14ac:dyDescent="0.25">
      <c r="A6615" t="str">
        <f>"20190303162431932"</f>
        <v>20190303162431932</v>
      </c>
      <c r="B6615" t="str">
        <f>"1551601471921126"</f>
        <v>1551601471921126</v>
      </c>
      <c r="C6615" t="s">
        <v>40</v>
      </c>
      <c r="D6615">
        <v>5.8975900000000001</v>
      </c>
      <c r="E6615">
        <v>0.45553709999999997</v>
      </c>
      <c r="F6615" t="s">
        <v>41</v>
      </c>
      <c r="G6615">
        <v>-188.58099999999999</v>
      </c>
      <c r="H6615" s="1">
        <v>-1.6344669999999999E-6</v>
      </c>
      <c r="I6615">
        <v>52.856000000000002</v>
      </c>
      <c r="J6615">
        <v>-187.6746</v>
      </c>
      <c r="K6615">
        <v>1.120846</v>
      </c>
      <c r="L6615">
        <v>43.468600000000002</v>
      </c>
      <c r="M6615">
        <v>8.7074530000000004E-3</v>
      </c>
      <c r="N6615">
        <v>-1.468186E-2</v>
      </c>
      <c r="O6615">
        <v>0.99985429999999997</v>
      </c>
      <c r="P6615">
        <v>2.2301120000000001E-2</v>
      </c>
      <c r="Q6615">
        <v>0.15491079999999999</v>
      </c>
      <c r="R6615">
        <v>0.98767669999999996</v>
      </c>
      <c r="S6615">
        <v>-0.28752139999999998</v>
      </c>
      <c r="T6615">
        <v>-0.35675600000000002</v>
      </c>
      <c r="U6615">
        <v>3.0997919999999999</v>
      </c>
      <c r="V6615">
        <v>1.369571E-2</v>
      </c>
      <c r="W6615">
        <v>0.16939799999999999</v>
      </c>
      <c r="X6615">
        <v>0.98545260000000001</v>
      </c>
      <c r="Y6615">
        <v>-0.1004752</v>
      </c>
      <c r="Z6615">
        <v>-9.9194619999999997E-2</v>
      </c>
      <c r="AA6615">
        <v>0.98998240000000004</v>
      </c>
      <c r="AB6615">
        <v>37</v>
      </c>
      <c r="AC6615">
        <v>-0.90639999999998999</v>
      </c>
      <c r="AD6615">
        <v>-1.120847634467</v>
      </c>
      <c r="AE6615">
        <v>9.3873999999999995</v>
      </c>
      <c r="AF6615">
        <v>-0.97435256485282995</v>
      </c>
      <c r="AG6615">
        <v>-1.120847634467</v>
      </c>
      <c r="AH6615">
        <v>9.2485202358986101</v>
      </c>
      <c r="AI6615">
        <v>96.872429960968702</v>
      </c>
      <c r="AJ6615">
        <v>96.014055483335795</v>
      </c>
      <c r="AK6615">
        <v>9.3670053322367508</v>
      </c>
      <c r="AL6615">
        <v>80.247181043230398</v>
      </c>
      <c r="AM6615">
        <v>89.203760927782497</v>
      </c>
      <c r="AN6615">
        <v>1.0000000408615799</v>
      </c>
    </row>
    <row r="6616" spans="1:40" x14ac:dyDescent="0.25">
      <c r="A6616" t="str">
        <f>"20190303162431954"</f>
        <v>20190303162431954</v>
      </c>
      <c r="B6616" t="str">
        <f>"1551601471941621"</f>
        <v>1551601471941621</v>
      </c>
      <c r="C6616" t="s">
        <v>40</v>
      </c>
      <c r="D6616">
        <v>6.1112190000000002</v>
      </c>
      <c r="E6616">
        <v>0.45602939999999997</v>
      </c>
      <c r="F6616" t="s">
        <v>41</v>
      </c>
      <c r="G6616">
        <v>-188.62860000000001</v>
      </c>
      <c r="H6616" s="1">
        <v>-1.86455E-6</v>
      </c>
      <c r="I6616">
        <v>53.412050000000001</v>
      </c>
      <c r="J6616">
        <v>-187.67140000000001</v>
      </c>
      <c r="K6616">
        <v>1.1208480000000001</v>
      </c>
      <c r="L6616">
        <v>43.831629999999997</v>
      </c>
      <c r="M6616">
        <v>8.684275E-3</v>
      </c>
      <c r="N6616">
        <v>-1.468187E-2</v>
      </c>
      <c r="O6616">
        <v>0.99985449999999998</v>
      </c>
      <c r="P6616">
        <v>2.211842E-2</v>
      </c>
      <c r="Q6616">
        <v>0.1551392</v>
      </c>
      <c r="R6616">
        <v>0.987645</v>
      </c>
      <c r="S6616">
        <v>-0.29733280000000001</v>
      </c>
      <c r="T6616">
        <v>-0.3493192</v>
      </c>
      <c r="U6616">
        <v>3.098938</v>
      </c>
      <c r="V6616">
        <v>1.353623E-2</v>
      </c>
      <c r="W6616">
        <v>0.1696259</v>
      </c>
      <c r="X6616">
        <v>0.98541559999999995</v>
      </c>
      <c r="Y6616">
        <v>-0.1036044</v>
      </c>
      <c r="Z6616">
        <v>-9.6844520000000003E-2</v>
      </c>
      <c r="AA6616">
        <v>0.98989249999999995</v>
      </c>
      <c r="AB6616">
        <v>37</v>
      </c>
      <c r="AC6616">
        <v>-0.95720000000000005</v>
      </c>
      <c r="AD6616">
        <v>-1.12084986455</v>
      </c>
      <c r="AE6616">
        <v>9.5804200000000002</v>
      </c>
      <c r="AF6616">
        <v>-1.0264609936134601</v>
      </c>
      <c r="AG6616">
        <v>-1.12084986455</v>
      </c>
      <c r="AH6616">
        <v>9.4437607954671705</v>
      </c>
      <c r="AI6616">
        <v>96.729323327306005</v>
      </c>
      <c r="AJ6616">
        <v>96.203239563235798</v>
      </c>
      <c r="AK6616">
        <v>9.5652780697831492</v>
      </c>
      <c r="AL6616">
        <v>80.233931583749794</v>
      </c>
      <c r="AM6616">
        <v>89.213002033375204</v>
      </c>
      <c r="AN6616">
        <v>1.0000000400983899</v>
      </c>
    </row>
    <row r="6617" spans="1:40" x14ac:dyDescent="0.25">
      <c r="A6617" t="str">
        <f>"20190303162431976"</f>
        <v>20190303162431976</v>
      </c>
      <c r="B6617" t="str">
        <f>"1551601471971878"</f>
        <v>1551601471971878</v>
      </c>
      <c r="C6617" t="s">
        <v>40</v>
      </c>
      <c r="D6617">
        <v>5.9281689999999996</v>
      </c>
      <c r="E6617">
        <v>0.45680500000000002</v>
      </c>
      <c r="F6617" t="s">
        <v>41</v>
      </c>
      <c r="G6617">
        <v>-188.607</v>
      </c>
      <c r="H6617" s="1">
        <v>-1.9893479999999998E-6</v>
      </c>
      <c r="I6617">
        <v>53.694009999999999</v>
      </c>
      <c r="J6617">
        <v>-187.66829999999999</v>
      </c>
      <c r="K6617">
        <v>1.120846</v>
      </c>
      <c r="L6617">
        <v>44.19885</v>
      </c>
      <c r="M6617">
        <v>8.6608039999999994E-3</v>
      </c>
      <c r="N6617">
        <v>-1.467941E-2</v>
      </c>
      <c r="O6617">
        <v>0.99985469999999999</v>
      </c>
      <c r="P6617">
        <v>2.2054859999999999E-2</v>
      </c>
      <c r="Q6617">
        <v>0.15493779999999999</v>
      </c>
      <c r="R6617">
        <v>0.98767799999999994</v>
      </c>
      <c r="S6617">
        <v>-0.29402159999999999</v>
      </c>
      <c r="T6617">
        <v>-0.35225050000000002</v>
      </c>
      <c r="U6617">
        <v>3.0994570000000001</v>
      </c>
      <c r="V6617">
        <v>1.349563E-2</v>
      </c>
      <c r="W6617">
        <v>0.16942189999999999</v>
      </c>
      <c r="X6617">
        <v>0.98545119999999997</v>
      </c>
      <c r="Y6617">
        <v>-0.10250910000000001</v>
      </c>
      <c r="Z6617">
        <v>-9.7765420000000006E-2</v>
      </c>
      <c r="AA6617">
        <v>0.98991609999999997</v>
      </c>
      <c r="AB6617">
        <v>37</v>
      </c>
      <c r="AC6617">
        <v>-0.93870000000001097</v>
      </c>
      <c r="AD6617">
        <v>-1.1208479893479999</v>
      </c>
      <c r="AE6617">
        <v>9.4951599999999896</v>
      </c>
      <c r="AF6617">
        <v>-1.00701304481572</v>
      </c>
      <c r="AG6617">
        <v>-1.1208479893479999</v>
      </c>
      <c r="AH6617">
        <v>9.3575431521133705</v>
      </c>
      <c r="AI6617">
        <v>96.791512161114298</v>
      </c>
      <c r="AJ6617">
        <v>96.142253286681097</v>
      </c>
      <c r="AK6617">
        <v>9.4780794115326099</v>
      </c>
      <c r="AL6617">
        <v>80.245791088652297</v>
      </c>
      <c r="AM6617">
        <v>89.215390568435296</v>
      </c>
      <c r="AN6617">
        <v>0.99999998990507299</v>
      </c>
    </row>
    <row r="6618" spans="1:40" x14ac:dyDescent="0.25">
      <c r="A6618" t="str">
        <f>"20190303162431999"</f>
        <v>20190303162431999</v>
      </c>
      <c r="B6618" t="str">
        <f>"1551601471991398"</f>
        <v>1551601471991398</v>
      </c>
      <c r="C6618" t="s">
        <v>40</v>
      </c>
      <c r="D6618">
        <v>6.0977030000000001</v>
      </c>
      <c r="E6618">
        <v>0.45705820000000003</v>
      </c>
      <c r="F6618" t="s">
        <v>41</v>
      </c>
      <c r="G6618">
        <v>-188.5881</v>
      </c>
      <c r="H6618" s="1">
        <v>-2.1715619999999999E-6</v>
      </c>
      <c r="I6618">
        <v>54.110950000000003</v>
      </c>
      <c r="J6618">
        <v>-187.6651</v>
      </c>
      <c r="K6618">
        <v>1.1208419999999999</v>
      </c>
      <c r="L6618">
        <v>44.565190000000001</v>
      </c>
      <c r="M6618">
        <v>8.6374160000000002E-3</v>
      </c>
      <c r="N6618">
        <v>-1.4675840000000001E-2</v>
      </c>
      <c r="O6618">
        <v>0.99985500000000005</v>
      </c>
      <c r="P6618">
        <v>2.2325540000000001E-2</v>
      </c>
      <c r="Q6618">
        <v>0.155085</v>
      </c>
      <c r="R6618">
        <v>0.98764879999999999</v>
      </c>
      <c r="S6618">
        <v>-0.28756710000000002</v>
      </c>
      <c r="T6618">
        <v>-0.35041030000000001</v>
      </c>
      <c r="U6618">
        <v>3.0988159999999998</v>
      </c>
      <c r="V6618">
        <v>1.378968E-2</v>
      </c>
      <c r="W6618">
        <v>0.1695652</v>
      </c>
      <c r="X6618">
        <v>0.98542249999999998</v>
      </c>
      <c r="Y6618">
        <v>-0.10046819999999999</v>
      </c>
      <c r="Z6618">
        <v>-9.7233819999999999E-2</v>
      </c>
      <c r="AA6618">
        <v>0.99017759999999999</v>
      </c>
      <c r="AB6618">
        <v>37</v>
      </c>
      <c r="AC6618">
        <v>-0.92300000000000104</v>
      </c>
      <c r="AD6618">
        <v>-1.1208441715619999</v>
      </c>
      <c r="AE6618">
        <v>9.5457599999999996</v>
      </c>
      <c r="AF6618">
        <v>-0.99187681504313496</v>
      </c>
      <c r="AG6618">
        <v>-1.1208441715619999</v>
      </c>
      <c r="AH6618">
        <v>9.4089116456497202</v>
      </c>
      <c r="AI6618">
        <v>96.756302449009198</v>
      </c>
      <c r="AJ6618">
        <v>96.017829577518697</v>
      </c>
      <c r="AK6618">
        <v>9.5272099603602491</v>
      </c>
      <c r="AL6618">
        <v>80.237460241786195</v>
      </c>
      <c r="AM6618">
        <v>89.198273940062705</v>
      </c>
      <c r="AN6618">
        <v>1.0000000079158899</v>
      </c>
    </row>
    <row r="6619" spans="1:40" x14ac:dyDescent="0.25">
      <c r="A6619" t="str">
        <f>"20190303162432020"</f>
        <v>20190303162432020</v>
      </c>
      <c r="B6619" t="str">
        <f>"1551601472011894"</f>
        <v>1551601472011894</v>
      </c>
      <c r="C6619" t="s">
        <v>40</v>
      </c>
      <c r="D6619">
        <v>6.0310410000000001</v>
      </c>
      <c r="E6619">
        <v>0.45736389999999999</v>
      </c>
      <c r="F6619" t="s">
        <v>41</v>
      </c>
      <c r="G6619">
        <v>-188.5787</v>
      </c>
      <c r="H6619" s="1">
        <v>-2.3366000000000002E-6</v>
      </c>
      <c r="I6619">
        <v>54.49174</v>
      </c>
      <c r="J6619">
        <v>-187.66210000000001</v>
      </c>
      <c r="K6619">
        <v>1.120838</v>
      </c>
      <c r="L6619">
        <v>44.922910000000002</v>
      </c>
      <c r="M6619">
        <v>8.6145960000000004E-3</v>
      </c>
      <c r="N6619">
        <v>-1.467158E-2</v>
      </c>
      <c r="O6619">
        <v>0.9998553</v>
      </c>
      <c r="P6619">
        <v>2.2760510000000001E-2</v>
      </c>
      <c r="Q6619">
        <v>0.15471699999999999</v>
      </c>
      <c r="R6619">
        <v>0.98769660000000004</v>
      </c>
      <c r="S6619">
        <v>-0.28518680000000002</v>
      </c>
      <c r="T6619">
        <v>-0.34990890000000002</v>
      </c>
      <c r="U6619">
        <v>3.0989070000000001</v>
      </c>
      <c r="V6619">
        <v>1.424681E-2</v>
      </c>
      <c r="W6619">
        <v>0.16919400000000001</v>
      </c>
      <c r="X6619">
        <v>0.98547980000000002</v>
      </c>
      <c r="Y6619">
        <v>-9.9690790000000001E-2</v>
      </c>
      <c r="Z6619">
        <v>-9.7084909999999996E-2</v>
      </c>
      <c r="AA6619">
        <v>0.99027080000000001</v>
      </c>
      <c r="AB6619">
        <v>37</v>
      </c>
      <c r="AC6619">
        <v>-0.91659999999998798</v>
      </c>
      <c r="AD6619">
        <v>-1.1208403365999999</v>
      </c>
      <c r="AE6619">
        <v>9.5688300000000002</v>
      </c>
      <c r="AF6619">
        <v>-0.98560640194369697</v>
      </c>
      <c r="AG6619">
        <v>-1.1208403365999999</v>
      </c>
      <c r="AH6619">
        <v>9.4323382046739592</v>
      </c>
      <c r="AI6619">
        <v>96.740296278919601</v>
      </c>
      <c r="AJ6619">
        <v>95.965317705477702</v>
      </c>
      <c r="AK6619">
        <v>9.5496966992179395</v>
      </c>
      <c r="AL6619">
        <v>80.259040254941993</v>
      </c>
      <c r="AM6619">
        <v>89.171748396211996</v>
      </c>
      <c r="AN6619">
        <v>1.0000000087195999</v>
      </c>
    </row>
    <row r="6620" spans="1:40" x14ac:dyDescent="0.25">
      <c r="A6620" t="str">
        <f>"20190303162432045"</f>
        <v>20190303162432045</v>
      </c>
      <c r="B6620" t="str">
        <f>"1551601472031413"</f>
        <v>1551601472031413</v>
      </c>
      <c r="C6620" t="s">
        <v>40</v>
      </c>
      <c r="D6620">
        <v>6.0908759999999997</v>
      </c>
      <c r="E6620">
        <v>0.45766000000000001</v>
      </c>
      <c r="F6620" t="s">
        <v>41</v>
      </c>
      <c r="G6620">
        <v>-188.56360000000001</v>
      </c>
      <c r="H6620" s="1">
        <v>-2.489553E-6</v>
      </c>
      <c r="I6620">
        <v>54.842039999999997</v>
      </c>
      <c r="J6620">
        <v>-187.65880000000001</v>
      </c>
      <c r="K6620">
        <v>1.1208389999999999</v>
      </c>
      <c r="L6620">
        <v>45.305790000000002</v>
      </c>
      <c r="M6620">
        <v>8.5901620000000001E-3</v>
      </c>
      <c r="N6620">
        <v>-1.4666469999999999E-2</v>
      </c>
      <c r="O6620">
        <v>0.99985550000000001</v>
      </c>
      <c r="P6620">
        <v>2.310891E-2</v>
      </c>
      <c r="Q6620">
        <v>0.1543186</v>
      </c>
      <c r="R6620">
        <v>0.98775080000000004</v>
      </c>
      <c r="S6620">
        <v>-0.28163149999999998</v>
      </c>
      <c r="T6620">
        <v>-0.35014899999999999</v>
      </c>
      <c r="U6620">
        <v>3.0987239999999998</v>
      </c>
      <c r="V6620">
        <v>1.4618910000000001E-2</v>
      </c>
      <c r="W6620">
        <v>0.16879169999999999</v>
      </c>
      <c r="X6620">
        <v>0.98554330000000001</v>
      </c>
      <c r="Y6620">
        <v>-9.8545160000000007E-2</v>
      </c>
      <c r="Z6620">
        <v>-9.7184569999999998E-2</v>
      </c>
      <c r="AA6620">
        <v>0.99037569999999997</v>
      </c>
      <c r="AB6620">
        <v>36</v>
      </c>
      <c r="AC6620">
        <v>-0.90479999999999405</v>
      </c>
      <c r="AD6620">
        <v>-1.1208414895529999</v>
      </c>
      <c r="AE6620">
        <v>9.5362500000000008</v>
      </c>
      <c r="AF6620">
        <v>-0.97336681245664602</v>
      </c>
      <c r="AG6620">
        <v>-1.1208414895529999</v>
      </c>
      <c r="AH6620">
        <v>9.3994354554283603</v>
      </c>
      <c r="AI6620">
        <v>96.764325151329999</v>
      </c>
      <c r="AJ6620">
        <v>95.9122410445447</v>
      </c>
      <c r="AK6620">
        <v>9.5159400732171004</v>
      </c>
      <c r="AL6620">
        <v>80.282426360809495</v>
      </c>
      <c r="AM6620">
        <v>89.150173898852799</v>
      </c>
      <c r="AN6620">
        <v>0.999999973346683</v>
      </c>
    </row>
    <row r="6621" spans="1:40" x14ac:dyDescent="0.25">
      <c r="A6621" t="str">
        <f>"20190303162432067"</f>
        <v>20190303162432067</v>
      </c>
      <c r="B6621" t="str">
        <f>"1551601472061669"</f>
        <v>1551601472061669</v>
      </c>
      <c r="C6621" t="s">
        <v>40</v>
      </c>
      <c r="D6621">
        <v>5.9238860000000004</v>
      </c>
      <c r="E6621">
        <v>0.45786830000000001</v>
      </c>
      <c r="F6621" t="s">
        <v>41</v>
      </c>
      <c r="G6621">
        <v>-188.55029999999999</v>
      </c>
      <c r="H6621" s="1">
        <v>-2.6550040000000001E-6</v>
      </c>
      <c r="I6621">
        <v>55.222209999999997</v>
      </c>
      <c r="J6621">
        <v>-187.6557</v>
      </c>
      <c r="K6621">
        <v>1.1208389999999999</v>
      </c>
      <c r="L6621">
        <v>45.670529999999999</v>
      </c>
      <c r="M6621">
        <v>8.5668729999999992E-3</v>
      </c>
      <c r="N6621">
        <v>-1.4661250000000001E-2</v>
      </c>
      <c r="O6621">
        <v>0.99985579999999996</v>
      </c>
      <c r="P6621">
        <v>2.3660319999999999E-2</v>
      </c>
      <c r="Q6621">
        <v>0.15374959999999999</v>
      </c>
      <c r="R6621">
        <v>0.98782650000000005</v>
      </c>
      <c r="S6621">
        <v>-0.2785492</v>
      </c>
      <c r="T6621">
        <v>-0.35021409999999997</v>
      </c>
      <c r="U6621">
        <v>3.0984500000000001</v>
      </c>
      <c r="V6621">
        <v>1.519271E-2</v>
      </c>
      <c r="W6621">
        <v>0.168218799999999</v>
      </c>
      <c r="X6621">
        <v>0.98563259999999997</v>
      </c>
      <c r="Y6621">
        <v>-9.7553150000000005E-2</v>
      </c>
      <c r="Z6621">
        <v>-9.7230590000000006E-2</v>
      </c>
      <c r="AA6621">
        <v>0.99046940000000006</v>
      </c>
      <c r="AB6621">
        <v>36</v>
      </c>
      <c r="AC6621">
        <v>-0.89459999999999695</v>
      </c>
      <c r="AD6621">
        <v>-1.1208416550039999</v>
      </c>
      <c r="AE6621">
        <v>9.5516799999999904</v>
      </c>
      <c r="AF6621">
        <v>-0.96325545359718001</v>
      </c>
      <c r="AG6621">
        <v>-1.1208416550039999</v>
      </c>
      <c r="AH6621">
        <v>9.4151469237421992</v>
      </c>
      <c r="AI6621">
        <v>96.753992237803004</v>
      </c>
      <c r="AJ6621">
        <v>95.841556213529998</v>
      </c>
      <c r="AK6621">
        <v>9.5304322399421704</v>
      </c>
      <c r="AL6621">
        <v>80.315727578918896</v>
      </c>
      <c r="AM6621">
        <v>89.116902960307897</v>
      </c>
      <c r="AN6621">
        <v>1.00000000264667</v>
      </c>
    </row>
    <row r="6622" spans="1:40" x14ac:dyDescent="0.25">
      <c r="A6622" t="str">
        <f>"20190303162432089"</f>
        <v>20190303162432089</v>
      </c>
      <c r="B6622" t="str">
        <f>"1551601472081190"</f>
        <v>1551601472081190</v>
      </c>
      <c r="C6622" t="s">
        <v>40</v>
      </c>
      <c r="D6622">
        <v>6.0471849999999998</v>
      </c>
      <c r="E6622">
        <v>0.45672410000000002</v>
      </c>
      <c r="F6622" t="s">
        <v>41</v>
      </c>
      <c r="G6622">
        <v>-188.53360000000001</v>
      </c>
      <c r="H6622" s="1">
        <v>-2.8007429999999998E-6</v>
      </c>
      <c r="I6622">
        <v>55.555059999999997</v>
      </c>
      <c r="J6622">
        <v>-187.65260000000001</v>
      </c>
      <c r="K6622">
        <v>1.1208419999999999</v>
      </c>
      <c r="L6622">
        <v>46.032679999999999</v>
      </c>
      <c r="M6622">
        <v>8.5437429999999995E-3</v>
      </c>
      <c r="N6622">
        <v>-1.4655980000000001E-2</v>
      </c>
      <c r="O6622">
        <v>0.99985610000000003</v>
      </c>
      <c r="P6622">
        <v>2.446307E-2</v>
      </c>
      <c r="Q6622">
        <v>0.1534981</v>
      </c>
      <c r="R6622">
        <v>0.98784609999999995</v>
      </c>
      <c r="S6622">
        <v>-0.2751923</v>
      </c>
      <c r="T6622">
        <v>-0.35132010000000002</v>
      </c>
      <c r="U6622">
        <v>3.098236</v>
      </c>
      <c r="V6622">
        <v>1.601814E-2</v>
      </c>
      <c r="W6622">
        <v>0.16796259999999999</v>
      </c>
      <c r="X6622">
        <v>0.98566319999999996</v>
      </c>
      <c r="Y6622">
        <v>-9.6469070000000004E-2</v>
      </c>
      <c r="Z6622">
        <v>-9.7604090000000004E-2</v>
      </c>
      <c r="AA6622">
        <v>0.99053880000000005</v>
      </c>
      <c r="AB6622">
        <v>36</v>
      </c>
      <c r="AC6622">
        <v>-0.88100000000000001</v>
      </c>
      <c r="AD6622">
        <v>-1.1208448007430001</v>
      </c>
      <c r="AE6622">
        <v>9.5223799999999894</v>
      </c>
      <c r="AF6622">
        <v>-0.94929271712303098</v>
      </c>
      <c r="AG6622">
        <v>-1.1208448007430001</v>
      </c>
      <c r="AH6622">
        <v>9.3855730054829394</v>
      </c>
      <c r="AI6622">
        <v>96.775882933649697</v>
      </c>
      <c r="AJ6622">
        <v>95.775473012020996</v>
      </c>
      <c r="AK6622">
        <v>9.4998121229519903</v>
      </c>
      <c r="AL6622">
        <v>80.330618411689102</v>
      </c>
      <c r="AM6622">
        <v>89.068960841611698</v>
      </c>
      <c r="AN6622">
        <v>0.99999997982102895</v>
      </c>
    </row>
    <row r="6623" spans="1:40" x14ac:dyDescent="0.25">
      <c r="A6623" t="str">
        <f>"20190303162432111"</f>
        <v>20190303162432111</v>
      </c>
      <c r="B6623" t="str">
        <f>"1551601472101686"</f>
        <v>1551601472101686</v>
      </c>
      <c r="C6623" t="s">
        <v>40</v>
      </c>
      <c r="D6623">
        <v>5.84823</v>
      </c>
      <c r="E6623">
        <v>0.45620559999999899</v>
      </c>
      <c r="F6623" t="s">
        <v>41</v>
      </c>
      <c r="G6623">
        <v>-188.5728</v>
      </c>
      <c r="H6623" s="1">
        <v>-3.0482579999999998E-6</v>
      </c>
      <c r="I6623">
        <v>56.148209999999999</v>
      </c>
      <c r="J6623">
        <v>-187.64959999999999</v>
      </c>
      <c r="K6623">
        <v>1.120841</v>
      </c>
      <c r="L6623">
        <v>46.39011</v>
      </c>
      <c r="M6623">
        <v>8.5209159999999999E-3</v>
      </c>
      <c r="N6623">
        <v>-1.465081E-2</v>
      </c>
      <c r="O6623">
        <v>0.99985639999999998</v>
      </c>
      <c r="P6623">
        <v>2.4907209999999999E-2</v>
      </c>
      <c r="Q6623">
        <v>0.15309879999999901</v>
      </c>
      <c r="R6623">
        <v>0.98789700000000003</v>
      </c>
      <c r="S6623">
        <v>-0.28175349999999999</v>
      </c>
      <c r="T6623">
        <v>-0.34318660000000001</v>
      </c>
      <c r="U6623">
        <v>3.097229</v>
      </c>
      <c r="V6623">
        <v>1.6484390000000002E-2</v>
      </c>
      <c r="W6623">
        <v>0.16755880000000001</v>
      </c>
      <c r="X6623">
        <v>0.9857243</v>
      </c>
      <c r="Y6623">
        <v>-9.8578360000000004E-2</v>
      </c>
      <c r="Z6623">
        <v>-9.5053200000000004E-2</v>
      </c>
      <c r="AA6623">
        <v>0.99057919999999999</v>
      </c>
      <c r="AB6623">
        <v>36</v>
      </c>
      <c r="AC6623">
        <v>-0.92320000000000801</v>
      </c>
      <c r="AD6623">
        <v>-1.120844048258</v>
      </c>
      <c r="AE6623">
        <v>9.7581000000000007</v>
      </c>
      <c r="AF6623">
        <v>-0.99333406618809605</v>
      </c>
      <c r="AG6623">
        <v>-1.120844048258</v>
      </c>
      <c r="AH6623">
        <v>9.6240301628158402</v>
      </c>
      <c r="AI6623">
        <v>96.608123520667405</v>
      </c>
      <c r="AJ6623">
        <v>95.892856469008507</v>
      </c>
      <c r="AK6623">
        <v>9.7398645022584596</v>
      </c>
      <c r="AL6623">
        <v>80.354087648256296</v>
      </c>
      <c r="AM6623">
        <v>89.041924863039995</v>
      </c>
      <c r="AN6623">
        <v>1.0000000410908001</v>
      </c>
    </row>
    <row r="6624" spans="1:40" x14ac:dyDescent="0.25">
      <c r="A6624" t="str">
        <f>"20190303162432133"</f>
        <v>20190303162432133</v>
      </c>
      <c r="B6624" t="str">
        <f>"1551601472121206"</f>
        <v>1551601472121206</v>
      </c>
      <c r="C6624" t="s">
        <v>40</v>
      </c>
      <c r="D6624">
        <v>5.8455199999999996</v>
      </c>
      <c r="E6624">
        <v>0.45541680000000001</v>
      </c>
      <c r="F6624" t="s">
        <v>41</v>
      </c>
      <c r="G6624">
        <v>-188.59020000000001</v>
      </c>
      <c r="H6624" s="1">
        <v>-3.255378E-6</v>
      </c>
      <c r="I6624">
        <v>56.638199999999998</v>
      </c>
      <c r="J6624">
        <v>-187.6465</v>
      </c>
      <c r="K6624">
        <v>1.120841</v>
      </c>
      <c r="L6624">
        <v>46.754759999999997</v>
      </c>
      <c r="M6624">
        <v>8.4976329999999992E-3</v>
      </c>
      <c r="N6624">
        <v>-1.464559E-2</v>
      </c>
      <c r="O6624">
        <v>0.99985670000000004</v>
      </c>
      <c r="P6624">
        <v>2.504783E-2</v>
      </c>
      <c r="Q6624">
        <v>0.15354200000000001</v>
      </c>
      <c r="R6624">
        <v>0.98782460000000005</v>
      </c>
      <c r="S6624">
        <v>-0.28421020000000002</v>
      </c>
      <c r="T6624">
        <v>-0.33865679999999998</v>
      </c>
      <c r="U6624">
        <v>3.0964049999999999</v>
      </c>
      <c r="V6624">
        <v>1.6648639999999999E-2</v>
      </c>
      <c r="W6624">
        <v>0.16799549999999999</v>
      </c>
      <c r="X6624">
        <v>0.9856471</v>
      </c>
      <c r="Y6624">
        <v>-9.9370899999999998E-2</v>
      </c>
      <c r="Z6624">
        <v>-9.364654E-2</v>
      </c>
      <c r="AA6624">
        <v>0.99063400000000001</v>
      </c>
      <c r="AB6624">
        <v>36</v>
      </c>
      <c r="AC6624">
        <v>-0.94370000000000598</v>
      </c>
      <c r="AD6624">
        <v>-1.120844255378</v>
      </c>
      <c r="AE6624">
        <v>9.8834400000000002</v>
      </c>
      <c r="AF6624">
        <v>-1.0147282682854599</v>
      </c>
      <c r="AG6624">
        <v>-1.120844255378</v>
      </c>
      <c r="AH6624">
        <v>9.7507911926234296</v>
      </c>
      <c r="AI6624">
        <v>96.522398652282703</v>
      </c>
      <c r="AJ6624">
        <v>95.941171269792704</v>
      </c>
      <c r="AK6624">
        <v>9.8673144363303908</v>
      </c>
      <c r="AL6624">
        <v>80.328705776293603</v>
      </c>
      <c r="AM6624">
        <v>89.032304661691398</v>
      </c>
      <c r="AN6624">
        <v>0.99999993548625199</v>
      </c>
    </row>
    <row r="6625" spans="1:40" x14ac:dyDescent="0.25">
      <c r="A6625" t="str">
        <f>"20190303162432156"</f>
        <v>20190303162432156</v>
      </c>
      <c r="B6625" t="str">
        <f>"1551601472141702"</f>
        <v>1551601472141702</v>
      </c>
      <c r="C6625" t="s">
        <v>40</v>
      </c>
      <c r="D6625">
        <v>5.7693770000000004</v>
      </c>
      <c r="E6625">
        <v>0.45479770000000003</v>
      </c>
      <c r="F6625" t="s">
        <v>41</v>
      </c>
      <c r="G6625">
        <v>-188.63470000000001</v>
      </c>
      <c r="H6625" s="1">
        <v>-3.5382389999999999E-6</v>
      </c>
      <c r="I6625">
        <v>57.315980000000003</v>
      </c>
      <c r="J6625">
        <v>-187.64349999999999</v>
      </c>
      <c r="K6625">
        <v>1.1208450000000001</v>
      </c>
      <c r="L6625">
        <v>47.111449999999998</v>
      </c>
      <c r="M6625">
        <v>8.4746979999999993E-3</v>
      </c>
      <c r="N6625">
        <v>-1.464057E-2</v>
      </c>
      <c r="O6625">
        <v>0.99985690000000005</v>
      </c>
      <c r="P6625">
        <v>2.51404E-2</v>
      </c>
      <c r="Q6625">
        <v>0.15384120000000001</v>
      </c>
      <c r="R6625">
        <v>0.98777570000000003</v>
      </c>
      <c r="S6625">
        <v>-0.28964230000000002</v>
      </c>
      <c r="T6625">
        <v>-0.32850960000000001</v>
      </c>
      <c r="U6625">
        <v>3.0953979999999999</v>
      </c>
      <c r="V6625">
        <v>1.6764330000000001E-2</v>
      </c>
      <c r="W6625">
        <v>0.168289299999999</v>
      </c>
      <c r="X6625">
        <v>0.98559509999999995</v>
      </c>
      <c r="Y6625">
        <v>-0.1011292</v>
      </c>
      <c r="Z6625">
        <v>-9.0456519999999999E-2</v>
      </c>
      <c r="AA6625">
        <v>0.99075250000000004</v>
      </c>
      <c r="AB6625">
        <v>36</v>
      </c>
      <c r="AC6625">
        <v>-0.99120000000001995</v>
      </c>
      <c r="AD6625">
        <v>-1.1208485382390001</v>
      </c>
      <c r="AE6625">
        <v>10.20453</v>
      </c>
      <c r="AF6625">
        <v>-1.06492630247889</v>
      </c>
      <c r="AG6625">
        <v>-1.1208485382390001</v>
      </c>
      <c r="AH6625">
        <v>10.075344986409601</v>
      </c>
      <c r="AI6625">
        <v>96.312984467467402</v>
      </c>
      <c r="AJ6625">
        <v>96.033547935780405</v>
      </c>
      <c r="AK6625">
        <v>10.193279456119701</v>
      </c>
      <c r="AL6625">
        <v>80.311629939841197</v>
      </c>
      <c r="AM6625">
        <v>89.025530119779702</v>
      </c>
      <c r="AN6625">
        <v>1.00000001619942</v>
      </c>
    </row>
    <row r="6626" spans="1:40" x14ac:dyDescent="0.25">
      <c r="A6626" t="str">
        <f>"20190303162432176"</f>
        <v>20190303162432176</v>
      </c>
      <c r="B6626" t="str">
        <f>"1551601472171958"</f>
        <v>1551601472171958</v>
      </c>
      <c r="C6626" t="s">
        <v>40</v>
      </c>
      <c r="D6626">
        <v>5.7979719999999997</v>
      </c>
      <c r="E6626">
        <v>0.45438060000000002</v>
      </c>
      <c r="F6626" t="s">
        <v>41</v>
      </c>
      <c r="G6626">
        <v>-188.69120000000001</v>
      </c>
      <c r="H6626" s="1">
        <v>-3.8852950000000004E-6</v>
      </c>
      <c r="I6626">
        <v>58.148299999999999</v>
      </c>
      <c r="J6626">
        <v>-187.64060000000001</v>
      </c>
      <c r="K6626">
        <v>1.12086</v>
      </c>
      <c r="L6626">
        <v>47.451720000000002</v>
      </c>
      <c r="M6626">
        <v>8.4528350000000006E-3</v>
      </c>
      <c r="N6626">
        <v>-1.4635860000000001E-2</v>
      </c>
      <c r="O6626">
        <v>0.9998572</v>
      </c>
      <c r="P6626">
        <v>2.4892549999999999E-2</v>
      </c>
      <c r="Q6626">
        <v>0.15441479999999999</v>
      </c>
      <c r="R6626">
        <v>0.98769249999999997</v>
      </c>
      <c r="S6626">
        <v>-0.29365540000000001</v>
      </c>
      <c r="T6626">
        <v>-0.31416450000000001</v>
      </c>
      <c r="U6626">
        <v>3.0935359999999998</v>
      </c>
      <c r="V6626">
        <v>1.6538810000000001E-2</v>
      </c>
      <c r="W6626">
        <v>0.16885700000000001</v>
      </c>
      <c r="X6626">
        <v>0.98550179999999998</v>
      </c>
      <c r="Y6626">
        <v>-0.1024765</v>
      </c>
      <c r="Z6626">
        <v>-8.5962590000000005E-2</v>
      </c>
      <c r="AA6626">
        <v>0.99101410000000001</v>
      </c>
      <c r="AB6626">
        <v>36</v>
      </c>
      <c r="AC6626">
        <v>-1.0506</v>
      </c>
      <c r="AD6626">
        <v>-1.1208638852949999</v>
      </c>
      <c r="AE6626">
        <v>10.6965799999999</v>
      </c>
      <c r="AF6626">
        <v>-1.1287133251058401</v>
      </c>
      <c r="AG6626">
        <v>-1.1208638852949999</v>
      </c>
      <c r="AH6626">
        <v>10.572337573268699</v>
      </c>
      <c r="AI6626">
        <v>96.017863689046393</v>
      </c>
      <c r="AJ6626">
        <v>96.093872163802601</v>
      </c>
      <c r="AK6626">
        <v>10.691335341423899</v>
      </c>
      <c r="AL6626">
        <v>80.278630803077206</v>
      </c>
      <c r="AM6626">
        <v>89.038545576202907</v>
      </c>
      <c r="AN6626">
        <v>1.00000000824422</v>
      </c>
    </row>
    <row r="6627" spans="1:40" x14ac:dyDescent="0.25">
      <c r="A6627" t="str">
        <f>"20190303162432200"</f>
        <v>20190303162432200</v>
      </c>
      <c r="B6627" t="str">
        <f>"1551601472191477"</f>
        <v>1551601472191477</v>
      </c>
      <c r="C6627" t="s">
        <v>40</v>
      </c>
      <c r="D6627">
        <v>5.6723929999999996</v>
      </c>
      <c r="E6627">
        <v>0.45417469999999999</v>
      </c>
      <c r="F6627" t="s">
        <v>41</v>
      </c>
      <c r="G6627">
        <v>-188.7354</v>
      </c>
      <c r="H6627" s="1">
        <v>-4.1673449999999997E-6</v>
      </c>
      <c r="I6627">
        <v>58.824039999999997</v>
      </c>
      <c r="J6627">
        <v>-187.63749999999999</v>
      </c>
      <c r="K6627">
        <v>1.1208640000000001</v>
      </c>
      <c r="L6627">
        <v>47.816890000000001</v>
      </c>
      <c r="M6627">
        <v>8.4296459999999903E-3</v>
      </c>
      <c r="N6627">
        <v>-1.4630900000000001E-2</v>
      </c>
      <c r="O6627">
        <v>0.99985740000000001</v>
      </c>
      <c r="P6627">
        <v>2.426422E-2</v>
      </c>
      <c r="Q6627">
        <v>0.15491070000000001</v>
      </c>
      <c r="R6627">
        <v>0.98763049999999997</v>
      </c>
      <c r="S6627">
        <v>-0.29769899999999999</v>
      </c>
      <c r="T6627">
        <v>-0.30480190000000001</v>
      </c>
      <c r="U6627">
        <v>3.0925289999999999</v>
      </c>
      <c r="V6627">
        <v>1.5933880000000001E-2</v>
      </c>
      <c r="W6627">
        <v>0.16934669999999999</v>
      </c>
      <c r="X6627">
        <v>0.98542770000000002</v>
      </c>
      <c r="Y6627">
        <v>-0.10379289999999899</v>
      </c>
      <c r="Z6627">
        <v>-8.3014989999999997E-2</v>
      </c>
      <c r="AA6627">
        <v>0.99112840000000002</v>
      </c>
      <c r="AB6627">
        <v>36</v>
      </c>
      <c r="AC6627">
        <v>-1.0979000000000101</v>
      </c>
      <c r="AD6627">
        <v>-1.1208681673449901</v>
      </c>
      <c r="AE6627">
        <v>11.007149999999999</v>
      </c>
      <c r="AF6627">
        <v>-1.1785566008123201</v>
      </c>
      <c r="AG6627">
        <v>-1.1208681673449901</v>
      </c>
      <c r="AH6627">
        <v>10.885734888835399</v>
      </c>
      <c r="AI6627">
        <v>95.844922029432595</v>
      </c>
      <c r="AJ6627">
        <v>96.179125440422595</v>
      </c>
      <c r="AK6627">
        <v>11.0065691829877</v>
      </c>
      <c r="AL6627">
        <v>80.250162733624293</v>
      </c>
      <c r="AM6627">
        <v>89.073636225395305</v>
      </c>
      <c r="AN6627">
        <v>0.99999997263001605</v>
      </c>
    </row>
    <row r="6628" spans="1:40" x14ac:dyDescent="0.25">
      <c r="A6628" t="str">
        <f>"20190303162432221"</f>
        <v>20190303162432221</v>
      </c>
      <c r="B6628" t="str">
        <f>"1551601472211975"</f>
        <v>1551601472211975</v>
      </c>
      <c r="C6628" t="s">
        <v>40</v>
      </c>
      <c r="D6628">
        <v>5.6724379999999996</v>
      </c>
      <c r="E6628">
        <v>0.45409860000000002</v>
      </c>
      <c r="F6628" t="s">
        <v>41</v>
      </c>
      <c r="G6628">
        <v>-188.7867</v>
      </c>
      <c r="H6628" s="1">
        <v>-4.4824139999999996E-6</v>
      </c>
      <c r="I6628">
        <v>59.579720000000002</v>
      </c>
      <c r="J6628">
        <v>-187.63460000000001</v>
      </c>
      <c r="K6628">
        <v>1.1208640000000001</v>
      </c>
      <c r="L6628">
        <v>48.173920000000003</v>
      </c>
      <c r="M6628">
        <v>8.4066769999999996E-3</v>
      </c>
      <c r="N6628">
        <v>-1.4626210000000001E-2</v>
      </c>
      <c r="O6628">
        <v>0.99985769999999996</v>
      </c>
      <c r="P6628">
        <v>2.4341379999999999E-2</v>
      </c>
      <c r="Q6628">
        <v>0.1550609</v>
      </c>
      <c r="R6628">
        <v>0.98760499999999996</v>
      </c>
      <c r="S6628">
        <v>-0.30200199999999999</v>
      </c>
      <c r="T6628">
        <v>-0.29455629999999999</v>
      </c>
      <c r="U6628">
        <v>3.0911870000000001</v>
      </c>
      <c r="V6628">
        <v>1.6034E-2</v>
      </c>
      <c r="W6628">
        <v>0.169491899999999</v>
      </c>
      <c r="X6628">
        <v>0.98540119999999998</v>
      </c>
      <c r="Y6628">
        <v>-0.1052048</v>
      </c>
      <c r="Z6628">
        <v>-7.9791940000000006E-2</v>
      </c>
      <c r="AA6628">
        <v>0.99124429999999997</v>
      </c>
      <c r="AB6628">
        <v>36</v>
      </c>
      <c r="AC6628">
        <v>-1.1520999999999899</v>
      </c>
      <c r="AD6628">
        <v>-1.1208684824139901</v>
      </c>
      <c r="AE6628">
        <v>11.4057999999999</v>
      </c>
      <c r="AF6628">
        <v>-1.2361371797757199</v>
      </c>
      <c r="AG6628">
        <v>-1.1208684824139901</v>
      </c>
      <c r="AH6628">
        <v>11.2878012939467</v>
      </c>
      <c r="AI6628">
        <v>95.6373456986192</v>
      </c>
      <c r="AJ6628">
        <v>96.249608186654498</v>
      </c>
      <c r="AK6628">
        <v>11.4104706008874</v>
      </c>
      <c r="AL6628">
        <v>80.241722210669806</v>
      </c>
      <c r="AM6628">
        <v>89.067791409226899</v>
      </c>
      <c r="AN6628">
        <v>1.0000000591415199</v>
      </c>
    </row>
    <row r="6629" spans="1:40" x14ac:dyDescent="0.25">
      <c r="A6629" t="str">
        <f>"20190303162432245"</f>
        <v>20190303162432245</v>
      </c>
      <c r="B6629" t="str">
        <f>"1551601472231493"</f>
        <v>1551601472231493</v>
      </c>
      <c r="C6629" t="s">
        <v>40</v>
      </c>
      <c r="D6629">
        <v>5.5485660000000001</v>
      </c>
      <c r="E6629">
        <v>0.45408589999999999</v>
      </c>
      <c r="F6629" t="s">
        <v>41</v>
      </c>
      <c r="G6629">
        <v>-188.82</v>
      </c>
      <c r="H6629" s="1">
        <v>-5.30924E-7</v>
      </c>
      <c r="I6629">
        <v>60.285629999999998</v>
      </c>
      <c r="J6629">
        <v>-187.63140000000001</v>
      </c>
      <c r="K6629">
        <v>1.1208629999999999</v>
      </c>
      <c r="L6629">
        <v>48.546810000000001</v>
      </c>
      <c r="M6629">
        <v>8.3828770000000004E-3</v>
      </c>
      <c r="N6629">
        <v>-1.4621500000000001E-2</v>
      </c>
      <c r="O6629">
        <v>0.99985800000000002</v>
      </c>
      <c r="P6629">
        <v>2.4394530000000001E-2</v>
      </c>
      <c r="Q6629">
        <v>0.15546579999999999</v>
      </c>
      <c r="R6629">
        <v>0.98753999999999997</v>
      </c>
      <c r="S6629">
        <v>-0.30244450000000001</v>
      </c>
      <c r="T6629">
        <v>-0.2859602</v>
      </c>
      <c r="U6629">
        <v>3.0899960000000002</v>
      </c>
      <c r="V6629">
        <v>1.6111210000000001E-2</v>
      </c>
      <c r="W6629">
        <v>0.1698914</v>
      </c>
      <c r="X6629">
        <v>0.98533110000000002</v>
      </c>
      <c r="Y6629">
        <v>-0.1053814</v>
      </c>
      <c r="Z6629">
        <v>-7.7096239999999996E-2</v>
      </c>
      <c r="AA6629">
        <v>0.99143879999999995</v>
      </c>
      <c r="AB6629">
        <v>36</v>
      </c>
      <c r="AC6629">
        <v>-1.1885999999999699</v>
      </c>
      <c r="AD6629">
        <v>-1.120863530924</v>
      </c>
      <c r="AE6629">
        <v>11.73882</v>
      </c>
      <c r="AF6629">
        <v>-1.27546331452474</v>
      </c>
      <c r="AG6629">
        <v>-1.120863530924</v>
      </c>
      <c r="AH6629">
        <v>11.6235449468897</v>
      </c>
      <c r="AI6629">
        <v>95.475362534956901</v>
      </c>
      <c r="AJ6629">
        <v>96.2620702488327</v>
      </c>
      <c r="AK6629">
        <v>11.746911885854001</v>
      </c>
      <c r="AL6629">
        <v>80.218495289861593</v>
      </c>
      <c r="AM6629">
        <v>89.063236628949795</v>
      </c>
      <c r="AN6629">
        <v>1.0000000177544099</v>
      </c>
    </row>
    <row r="6630" spans="1:40" x14ac:dyDescent="0.25">
      <c r="A6630" t="str">
        <f>"20190303162432268"</f>
        <v>20190303162432268</v>
      </c>
      <c r="B6630" t="str">
        <f>"1551601472261749"</f>
        <v>1551601472261749</v>
      </c>
      <c r="C6630" t="s">
        <v>40</v>
      </c>
      <c r="D6630">
        <v>5.4918570000000004</v>
      </c>
      <c r="E6630">
        <v>0.454208</v>
      </c>
      <c r="F6630" t="s">
        <v>41</v>
      </c>
      <c r="G6630">
        <v>-188.8527</v>
      </c>
      <c r="H6630" s="1">
        <v>-8.0594350000000002E-7</v>
      </c>
      <c r="I6630">
        <v>61.037059999999997</v>
      </c>
      <c r="J6630">
        <v>-187.6284</v>
      </c>
      <c r="K6630">
        <v>1.120868</v>
      </c>
      <c r="L6630">
        <v>48.913939999999997</v>
      </c>
      <c r="M6630">
        <v>8.3596030000000002E-3</v>
      </c>
      <c r="N6630">
        <v>-1.4617130000000001E-2</v>
      </c>
      <c r="O6630">
        <v>0.99985820000000003</v>
      </c>
      <c r="P6630">
        <v>2.454429E-2</v>
      </c>
      <c r="Q6630">
        <v>0.15583820000000001</v>
      </c>
      <c r="R6630">
        <v>0.98747759999999996</v>
      </c>
      <c r="S6630">
        <v>-0.30203249999999998</v>
      </c>
      <c r="T6630">
        <v>-0.27720050000000002</v>
      </c>
      <c r="U6630">
        <v>3.088959</v>
      </c>
      <c r="V6630">
        <v>1.6284449999999999E-2</v>
      </c>
      <c r="W6630">
        <v>0.17025879999999999</v>
      </c>
      <c r="X6630">
        <v>0.98526480000000005</v>
      </c>
      <c r="Y6630">
        <v>-0.1052821</v>
      </c>
      <c r="Z6630">
        <v>-7.43423E-2</v>
      </c>
      <c r="AA6630">
        <v>0.99165959999999997</v>
      </c>
      <c r="AB6630">
        <v>36</v>
      </c>
      <c r="AC6630">
        <v>-1.22429999999999</v>
      </c>
      <c r="AD6630">
        <v>-1.1208688059434999</v>
      </c>
      <c r="AE6630">
        <v>12.123119999999901</v>
      </c>
      <c r="AF6630">
        <v>-1.3144892802064401</v>
      </c>
      <c r="AG6630">
        <v>-1.1208688059434999</v>
      </c>
      <c r="AH6630">
        <v>12.0108247346508</v>
      </c>
      <c r="AI6630">
        <v>95.300025305404702</v>
      </c>
      <c r="AJ6630">
        <v>96.245710583127803</v>
      </c>
      <c r="AK6630">
        <v>12.134419629896399</v>
      </c>
      <c r="AL6630">
        <v>80.197133272408706</v>
      </c>
      <c r="AM6630">
        <v>89.053101957392002</v>
      </c>
      <c r="AN6630">
        <v>0.99999998420414105</v>
      </c>
    </row>
    <row r="6631" spans="1:40" x14ac:dyDescent="0.25">
      <c r="A6631" t="str">
        <f>"20190303162432290"</f>
        <v>20190303162432290</v>
      </c>
      <c r="B6631" t="str">
        <f>"1551601472281271"</f>
        <v>1551601472281271</v>
      </c>
      <c r="C6631" t="s">
        <v>40</v>
      </c>
      <c r="D6631">
        <v>5.5516240000000003</v>
      </c>
      <c r="E6631">
        <v>0.45429750000000002</v>
      </c>
      <c r="F6631" t="s">
        <v>41</v>
      </c>
      <c r="G6631">
        <v>-188.88829999999999</v>
      </c>
      <c r="H6631" s="1">
        <v>-1.163638E-6</v>
      </c>
      <c r="I6631">
        <v>61.885550000000002</v>
      </c>
      <c r="J6631">
        <v>-187.62540000000001</v>
      </c>
      <c r="K6631">
        <v>1.1208739999999999</v>
      </c>
      <c r="L6631">
        <v>49.27167</v>
      </c>
      <c r="M6631">
        <v>8.336652E-3</v>
      </c>
      <c r="N6631">
        <v>-1.4612750000000001E-2</v>
      </c>
      <c r="O6631">
        <v>0.99985849999999998</v>
      </c>
      <c r="P6631">
        <v>2.4549419999999999E-2</v>
      </c>
      <c r="Q6631">
        <v>0.1560011</v>
      </c>
      <c r="R6631">
        <v>0.98745170000000004</v>
      </c>
      <c r="S6631">
        <v>-0.29988100000000001</v>
      </c>
      <c r="T6631">
        <v>-0.26679920000000001</v>
      </c>
      <c r="U6631">
        <v>3.0876160000000001</v>
      </c>
      <c r="V6631">
        <v>1.6312500000000001E-2</v>
      </c>
      <c r="W6631">
        <v>0.1704167</v>
      </c>
      <c r="X6631">
        <v>0.98523709999999998</v>
      </c>
      <c r="Y6631">
        <v>-0.10464270000000001</v>
      </c>
      <c r="Z6631">
        <v>-7.1074109999999996E-2</v>
      </c>
      <c r="AA6631">
        <v>0.99196689999999998</v>
      </c>
      <c r="AB6631">
        <v>36</v>
      </c>
      <c r="AC6631">
        <v>-1.2628999999999699</v>
      </c>
      <c r="AD6631">
        <v>-1.1208751636380001</v>
      </c>
      <c r="AE6631">
        <v>12.61388</v>
      </c>
      <c r="AF6631">
        <v>-1.35741285530691</v>
      </c>
      <c r="AG6631">
        <v>-1.1208751636380001</v>
      </c>
      <c r="AH6631">
        <v>12.505149138071801</v>
      </c>
      <c r="AI6631">
        <v>95.0921571416158</v>
      </c>
      <c r="AJ6631">
        <v>96.195104488139194</v>
      </c>
      <c r="AK6631">
        <v>12.6284474800994</v>
      </c>
      <c r="AL6631">
        <v>80.187952707365298</v>
      </c>
      <c r="AM6631">
        <v>89.051444558150095</v>
      </c>
      <c r="AN6631">
        <v>1.0000000462557701</v>
      </c>
    </row>
    <row r="6632" spans="1:40" x14ac:dyDescent="0.25">
      <c r="A6632" t="str">
        <f>"20190303162432311"</f>
        <v>20190303162432311</v>
      </c>
      <c r="B6632" t="str">
        <f>"1551601472301766"</f>
        <v>1551601472301766</v>
      </c>
      <c r="C6632" t="s">
        <v>40</v>
      </c>
      <c r="D6632">
        <v>5.4950549999999998</v>
      </c>
      <c r="E6632">
        <v>0.45438119999999999</v>
      </c>
      <c r="F6632" t="s">
        <v>41</v>
      </c>
      <c r="G6632">
        <v>-188.91480000000001</v>
      </c>
      <c r="H6632" s="1">
        <v>-1.4493940000000001E-6</v>
      </c>
      <c r="I6632">
        <v>62.562609999999999</v>
      </c>
      <c r="J6632">
        <v>-187.62260000000001</v>
      </c>
      <c r="K6632">
        <v>1.1208720000000001</v>
      </c>
      <c r="L6632">
        <v>49.61551</v>
      </c>
      <c r="M6632">
        <v>8.3144869999999902E-3</v>
      </c>
      <c r="N6632">
        <v>-1.460844E-2</v>
      </c>
      <c r="O6632">
        <v>0.99985869999999999</v>
      </c>
      <c r="P6632">
        <v>2.475892E-2</v>
      </c>
      <c r="Q6632">
        <v>0.15626180000000001</v>
      </c>
      <c r="R6632">
        <v>0.98740530000000004</v>
      </c>
      <c r="S6632">
        <v>-0.2994385</v>
      </c>
      <c r="T6632">
        <v>-0.26031300000000002</v>
      </c>
      <c r="U6632">
        <v>3.0867</v>
      </c>
      <c r="V6632">
        <v>1.6544329999999999E-2</v>
      </c>
      <c r="W6632">
        <v>0.1706724</v>
      </c>
      <c r="X6632">
        <v>0.98518899999999998</v>
      </c>
      <c r="Y6632">
        <v>-0.10452359999999999</v>
      </c>
      <c r="Z6632">
        <v>-6.9034349999999994E-2</v>
      </c>
      <c r="AA6632">
        <v>0.99212350000000005</v>
      </c>
      <c r="AB6632">
        <v>36</v>
      </c>
      <c r="AC6632">
        <v>-1.2922</v>
      </c>
      <c r="AD6632">
        <v>-1.12087344939399</v>
      </c>
      <c r="AE6632">
        <v>12.947100000000001</v>
      </c>
      <c r="AF6632">
        <v>-1.38950377805573</v>
      </c>
      <c r="AG6632">
        <v>-1.12087344939399</v>
      </c>
      <c r="AH6632">
        <v>12.8406168097861</v>
      </c>
      <c r="AI6632">
        <v>94.959964820115999</v>
      </c>
      <c r="AJ6632">
        <v>96.176036565933202</v>
      </c>
      <c r="AK6632">
        <v>12.9641242702524</v>
      </c>
      <c r="AL6632">
        <v>80.173084634150101</v>
      </c>
      <c r="AM6632">
        <v>89.037919432356304</v>
      </c>
      <c r="AN6632">
        <v>1.0000000743489501</v>
      </c>
    </row>
    <row r="6633" spans="1:40" x14ac:dyDescent="0.25">
      <c r="A6633" t="str">
        <f>"20190303162432332"</f>
        <v>20190303162432332</v>
      </c>
      <c r="B6633" t="str">
        <f>"1551601472321286"</f>
        <v>1551601472321286</v>
      </c>
      <c r="C6633" t="s">
        <v>40</v>
      </c>
      <c r="D6633">
        <v>5.3832620000000002</v>
      </c>
      <c r="E6633">
        <v>0.46764260000000002</v>
      </c>
      <c r="F6633" t="s">
        <v>41</v>
      </c>
      <c r="G6633">
        <v>-188.92580000000001</v>
      </c>
      <c r="H6633" s="1">
        <v>-1.6750409999999999E-6</v>
      </c>
      <c r="I6633">
        <v>63.093150000000001</v>
      </c>
      <c r="J6633">
        <v>-187.6198</v>
      </c>
      <c r="K6633">
        <v>1.120873</v>
      </c>
      <c r="L6633">
        <v>49.956969999999998</v>
      </c>
      <c r="M6633">
        <v>8.2925540000000006E-3</v>
      </c>
      <c r="N6633">
        <v>-1.4604219999999999E-2</v>
      </c>
      <c r="O6633">
        <v>0.99985900000000005</v>
      </c>
      <c r="P6633">
        <v>2.484834E-2</v>
      </c>
      <c r="Q6633">
        <v>0.155977</v>
      </c>
      <c r="R6633">
        <v>0.98744810000000005</v>
      </c>
      <c r="S6633">
        <v>-0.29843140000000001</v>
      </c>
      <c r="T6633">
        <v>-0.25667879999999998</v>
      </c>
      <c r="U6633">
        <v>3.0863649999999998</v>
      </c>
      <c r="V6633">
        <v>1.6655079999999999E-2</v>
      </c>
      <c r="W6633">
        <v>0.17038429999999999</v>
      </c>
      <c r="X6633">
        <v>0.98523689999999997</v>
      </c>
      <c r="Y6633">
        <v>-0.1042001</v>
      </c>
      <c r="Z6633">
        <v>-6.7889690000000003E-2</v>
      </c>
      <c r="AA6633">
        <v>0.99223660000000002</v>
      </c>
      <c r="AB6633">
        <v>36</v>
      </c>
      <c r="AC6633">
        <v>-1.30600000000001</v>
      </c>
      <c r="AD6633">
        <v>-1.1208746750409999</v>
      </c>
      <c r="AE6633">
        <v>13.13618</v>
      </c>
      <c r="AF6633">
        <v>-1.40477150180105</v>
      </c>
      <c r="AG6633">
        <v>-1.1208746750409999</v>
      </c>
      <c r="AH6633">
        <v>13.0309505487254</v>
      </c>
      <c r="AI6633">
        <v>94.888089420279897</v>
      </c>
      <c r="AJ6633">
        <v>96.152877429324704</v>
      </c>
      <c r="AK6633">
        <v>13.1542926534553</v>
      </c>
      <c r="AL6633">
        <v>80.189835939831198</v>
      </c>
      <c r="AM6633">
        <v>89.031527434869503</v>
      </c>
      <c r="AN6633">
        <v>0.99999997524895201</v>
      </c>
    </row>
    <row r="6634" spans="1:40" x14ac:dyDescent="0.25">
      <c r="A6634" t="str">
        <f>"20190303162432357"</f>
        <v>20190303162432357</v>
      </c>
      <c r="B6634" t="str">
        <f>"1551601472351542"</f>
        <v>1551601472351542</v>
      </c>
      <c r="C6634" t="s">
        <v>40</v>
      </c>
      <c r="D6634">
        <v>5.3783890000000003</v>
      </c>
      <c r="E6634">
        <v>0.47026859999999998</v>
      </c>
      <c r="F6634" t="s">
        <v>41</v>
      </c>
      <c r="G6634">
        <v>-189.36709999999999</v>
      </c>
      <c r="H6634" s="1">
        <v>-3.6965600000000001E-6</v>
      </c>
      <c r="I6634">
        <v>77.987830000000002</v>
      </c>
      <c r="J6634">
        <v>-187.61660000000001</v>
      </c>
      <c r="K6634">
        <v>1.120878</v>
      </c>
      <c r="L6634">
        <v>50.338169999999998</v>
      </c>
      <c r="M6634">
        <v>8.2680689999999994E-3</v>
      </c>
      <c r="N6634">
        <v>-1.4599590000000001E-2</v>
      </c>
      <c r="O6634">
        <v>0.99985919999999895</v>
      </c>
      <c r="P6634">
        <v>2.5147949999999999E-2</v>
      </c>
      <c r="Q6634">
        <v>0.15541740000000001</v>
      </c>
      <c r="R6634">
        <v>0.98752870000000004</v>
      </c>
      <c r="S6634">
        <v>-0.19088749999999999</v>
      </c>
      <c r="T6634">
        <v>-0.1224524</v>
      </c>
      <c r="U6634">
        <v>3.0622859999999998</v>
      </c>
      <c r="V6634">
        <v>1.6978239999999999E-2</v>
      </c>
      <c r="W6634">
        <v>0.16982139999999901</v>
      </c>
      <c r="X6634">
        <v>0.9853286</v>
      </c>
      <c r="Y6634">
        <v>-7.0417140000000003E-2</v>
      </c>
      <c r="Z6634">
        <v>-2.5269090000000001E-2</v>
      </c>
      <c r="AA6634">
        <v>0.99719749999999996</v>
      </c>
      <c r="AB6634">
        <v>36</v>
      </c>
      <c r="AC6634">
        <v>-1.75049999999998</v>
      </c>
      <c r="AD6634">
        <v>-1.1208816965599999</v>
      </c>
      <c r="AE6634">
        <v>27.649660000000001</v>
      </c>
      <c r="AF6634">
        <v>-1.9758397184583101</v>
      </c>
      <c r="AG6634">
        <v>-1.1208816965599999</v>
      </c>
      <c r="AH6634">
        <v>27.589081358191802</v>
      </c>
      <c r="AI6634">
        <v>92.320580911384596</v>
      </c>
      <c r="AJ6634">
        <v>94.096342455114396</v>
      </c>
      <c r="AK6634">
        <v>27.6824444108473</v>
      </c>
      <c r="AL6634">
        <v>80.222565050054101</v>
      </c>
      <c r="AM6634">
        <v>89.012831620951303</v>
      </c>
      <c r="AN6634">
        <v>1.0000000092546999</v>
      </c>
    </row>
    <row r="6635" spans="1:40" x14ac:dyDescent="0.25">
      <c r="A6635" t="str">
        <f>"20190303162432379"</f>
        <v>20190303162432379</v>
      </c>
      <c r="B6635" t="str">
        <f>"1551601472371062"</f>
        <v>1551601472371062</v>
      </c>
      <c r="C6635" t="s">
        <v>40</v>
      </c>
      <c r="D6635">
        <v>5.3204799999999999</v>
      </c>
      <c r="E6635">
        <v>0.47072229999999998</v>
      </c>
      <c r="F6635" t="s">
        <v>41</v>
      </c>
      <c r="G6635">
        <v>-189.2372</v>
      </c>
      <c r="H6635" s="1">
        <v>-2.2747680000000001E-7</v>
      </c>
      <c r="I6635">
        <v>79.720109999999906</v>
      </c>
      <c r="J6635">
        <v>-187.61359999999999</v>
      </c>
      <c r="K6635">
        <v>1.1208739999999999</v>
      </c>
      <c r="L6635">
        <v>50.70926</v>
      </c>
      <c r="M6635">
        <v>8.2442709999999992E-3</v>
      </c>
      <c r="N6635">
        <v>-1.4595169999999999E-2</v>
      </c>
      <c r="O6635">
        <v>0.99985950000000001</v>
      </c>
      <c r="P6635">
        <v>2.54624E-2</v>
      </c>
      <c r="Q6635">
        <v>0.15501219999999999</v>
      </c>
      <c r="R6635">
        <v>0.98758440000000003</v>
      </c>
      <c r="S6635">
        <v>-0.16880800000000001</v>
      </c>
      <c r="T6635">
        <v>-0.116755399999999</v>
      </c>
      <c r="U6635">
        <v>3.0605470000000001</v>
      </c>
      <c r="V6635">
        <v>1.7315759999999999E-2</v>
      </c>
      <c r="W6635">
        <v>0.1694126</v>
      </c>
      <c r="X6635">
        <v>0.98539310000000002</v>
      </c>
      <c r="Y6635">
        <v>-6.3263739999999999E-2</v>
      </c>
      <c r="Z6635">
        <v>-2.3459859999999999E-2</v>
      </c>
      <c r="AA6635">
        <v>0.99772110000000003</v>
      </c>
      <c r="AB6635">
        <v>36</v>
      </c>
      <c r="AC6635">
        <v>-1.6236000000000099</v>
      </c>
      <c r="AD6635">
        <v>-1.1208742274768</v>
      </c>
      <c r="AE6635">
        <v>29.010849999999898</v>
      </c>
      <c r="AF6635">
        <v>-1.85997575116297</v>
      </c>
      <c r="AG6635">
        <v>-1.1208742274768</v>
      </c>
      <c r="AH6635">
        <v>28.9533912436744</v>
      </c>
      <c r="AI6635">
        <v>92.212431662760906</v>
      </c>
      <c r="AJ6635">
        <v>93.675649764539997</v>
      </c>
      <c r="AK6635">
        <v>29.0347160023654</v>
      </c>
      <c r="AL6635">
        <v>80.2463319830632</v>
      </c>
      <c r="AM6635">
        <v>88.993277031401703</v>
      </c>
      <c r="AN6635">
        <v>1.0000000130553699</v>
      </c>
    </row>
    <row r="6636" spans="1:40" x14ac:dyDescent="0.25">
      <c r="A6636" t="str">
        <f>"20190303162432413"</f>
        <v>20190303162432413</v>
      </c>
      <c r="B6636" t="str">
        <f>"1551601472401318"</f>
        <v>1551601472401318</v>
      </c>
      <c r="C6636" t="s">
        <v>40</v>
      </c>
      <c r="D6636">
        <v>5.377491</v>
      </c>
      <c r="E6636">
        <v>0.47120960000000001</v>
      </c>
      <c r="F6636" t="s">
        <v>41</v>
      </c>
      <c r="G6636">
        <v>-189.2159</v>
      </c>
      <c r="H6636" s="1">
        <v>-5.3291309999999999E-7</v>
      </c>
      <c r="I6636">
        <v>80.550799999999995</v>
      </c>
      <c r="J6636">
        <v>-187.60929999999999</v>
      </c>
      <c r="K6636">
        <v>1.1208720000000001</v>
      </c>
      <c r="L6636">
        <v>51.230499999999999</v>
      </c>
      <c r="M6636">
        <v>8.2108900000000002E-3</v>
      </c>
      <c r="N6636">
        <v>-1.4589120000000001E-2</v>
      </c>
      <c r="O6636">
        <v>0.99985990000000002</v>
      </c>
      <c r="P6636">
        <v>2.6045559999999999E-2</v>
      </c>
      <c r="Q6636">
        <v>0.15535099999999999</v>
      </c>
      <c r="R6636">
        <v>0.9875159</v>
      </c>
      <c r="S6636">
        <v>-0.1643066</v>
      </c>
      <c r="T6636">
        <v>-0.1149362</v>
      </c>
      <c r="U6636">
        <v>3.0599980000000002</v>
      </c>
      <c r="V6636">
        <v>1.7932440000000001E-2</v>
      </c>
      <c r="W6636">
        <v>0.16974429999999999</v>
      </c>
      <c r="X6636">
        <v>0.98532500000000001</v>
      </c>
      <c r="Y6636">
        <v>-6.1778420000000001E-2</v>
      </c>
      <c r="Z6636">
        <v>-2.2883669999999998E-2</v>
      </c>
      <c r="AA6636">
        <v>0.99782749999999998</v>
      </c>
      <c r="AB6636">
        <v>36</v>
      </c>
      <c r="AC6636">
        <v>-1.60660000000001</v>
      </c>
      <c r="AD6636">
        <v>-1.1208725329131</v>
      </c>
      <c r="AE6636">
        <v>29.3203</v>
      </c>
      <c r="AF6636">
        <v>-1.84462949069194</v>
      </c>
      <c r="AG6636">
        <v>-1.1208725329131</v>
      </c>
      <c r="AH6636">
        <v>29.2634801122365</v>
      </c>
      <c r="AI6636">
        <v>92.189174420210193</v>
      </c>
      <c r="AJ6636">
        <v>93.606879067478602</v>
      </c>
      <c r="AK6636">
        <v>29.342976697537502</v>
      </c>
      <c r="AL6636">
        <v>80.227047817122596</v>
      </c>
      <c r="AM6636">
        <v>88.957359538837196</v>
      </c>
      <c r="AN6636">
        <v>1.00000002770592</v>
      </c>
    </row>
    <row r="6637" spans="1:40" x14ac:dyDescent="0.25">
      <c r="A6637" t="str">
        <f>"20190303162432444"</f>
        <v>20190303162432444</v>
      </c>
      <c r="B6637" t="str">
        <f>"1551601472431573"</f>
        <v>1551601472431573</v>
      </c>
      <c r="C6637" t="s">
        <v>40</v>
      </c>
      <c r="D6637">
        <v>5.1062699999999897</v>
      </c>
      <c r="E6637">
        <v>0.47120099999999998</v>
      </c>
      <c r="F6637" t="s">
        <v>41</v>
      </c>
      <c r="G6637">
        <v>-189.23519999999999</v>
      </c>
      <c r="H6637" s="1">
        <v>-1.354464E-6</v>
      </c>
      <c r="I6637">
        <v>82.473830000000007</v>
      </c>
      <c r="J6637">
        <v>-187.6052</v>
      </c>
      <c r="K6637">
        <v>1.120876</v>
      </c>
      <c r="L6637">
        <v>51.735199999999999</v>
      </c>
      <c r="M6637">
        <v>8.1785450000000006E-3</v>
      </c>
      <c r="N6637">
        <v>-1.4583489999999999E-2</v>
      </c>
      <c r="O6637">
        <v>0.99986019999999998</v>
      </c>
      <c r="P6637">
        <v>2.637517E-2</v>
      </c>
      <c r="Q6637">
        <v>0.15619859999999999</v>
      </c>
      <c r="R6637">
        <v>0.98737350000000002</v>
      </c>
      <c r="S6637">
        <v>-0.1592102</v>
      </c>
      <c r="T6637">
        <v>-0.1097574</v>
      </c>
      <c r="U6637">
        <v>3.0593870000000001</v>
      </c>
      <c r="V6637">
        <v>1.8295189999999999E-2</v>
      </c>
      <c r="W6637">
        <v>0.1705845</v>
      </c>
      <c r="X6637">
        <v>0.98517319999999997</v>
      </c>
      <c r="Y6637">
        <v>-6.0102419999999997E-2</v>
      </c>
      <c r="Z6637">
        <v>-2.1213139999999998E-2</v>
      </c>
      <c r="AA6637">
        <v>0.99796680000000004</v>
      </c>
      <c r="AB6637">
        <v>36</v>
      </c>
      <c r="AC6637">
        <v>-1.6299999999999899</v>
      </c>
      <c r="AD6637">
        <v>-1.1208773544640001</v>
      </c>
      <c r="AE6637">
        <v>30.738630000000001</v>
      </c>
      <c r="AF6637">
        <v>-1.8788781797496701</v>
      </c>
      <c r="AG6637">
        <v>-1.1208773544640001</v>
      </c>
      <c r="AH6637">
        <v>30.6835843374914</v>
      </c>
      <c r="AI6637">
        <v>92.088187991827496</v>
      </c>
      <c r="AJ6637">
        <v>93.504073716163404</v>
      </c>
      <c r="AK6637">
        <v>30.761483986538099</v>
      </c>
      <c r="AL6637">
        <v>80.178195246859602</v>
      </c>
      <c r="AM6637">
        <v>88.936109206646705</v>
      </c>
      <c r="AN6637">
        <v>1.0000000098078099</v>
      </c>
    </row>
    <row r="6638" spans="1:40" x14ac:dyDescent="0.25">
      <c r="A6638" t="str">
        <f>"20190303162432468"</f>
        <v>20190303162432468</v>
      </c>
      <c r="B6638" t="str">
        <f>"1551601472461830"</f>
        <v>1551601472461830</v>
      </c>
      <c r="C6638" t="s">
        <v>40</v>
      </c>
      <c r="D6638">
        <v>5.3148809999999997</v>
      </c>
      <c r="E6638">
        <v>0.47125329999999899</v>
      </c>
      <c r="F6638" t="s">
        <v>41</v>
      </c>
      <c r="G6638">
        <v>-189.28370000000001</v>
      </c>
      <c r="H6638" s="1">
        <v>-2.0895660000000002E-6</v>
      </c>
      <c r="I6638">
        <v>84.207440000000005</v>
      </c>
      <c r="J6638">
        <v>-187.60210000000001</v>
      </c>
      <c r="K6638">
        <v>1.1208800000000001</v>
      </c>
      <c r="L6638">
        <v>52.121400000000001</v>
      </c>
      <c r="M6638">
        <v>8.1539379999999995E-3</v>
      </c>
      <c r="N6638">
        <v>-1.457922E-2</v>
      </c>
      <c r="O6638">
        <v>0.99986050000000004</v>
      </c>
      <c r="P6638">
        <v>2.642974E-2</v>
      </c>
      <c r="Q6638">
        <v>0.15670979999999901</v>
      </c>
      <c r="R6638">
        <v>0.98729100000000003</v>
      </c>
      <c r="S6638">
        <v>-0.15814210000000001</v>
      </c>
      <c r="T6638">
        <v>-0.105601</v>
      </c>
      <c r="U6638">
        <v>3.0592959999999998</v>
      </c>
      <c r="V6638">
        <v>1.8374709999999999E-2</v>
      </c>
      <c r="W6638">
        <v>0.17108999999999999</v>
      </c>
      <c r="X6638">
        <v>0.98508410000000002</v>
      </c>
      <c r="Y6638">
        <v>-5.973407E-2</v>
      </c>
      <c r="Z6638">
        <v>-1.986475E-2</v>
      </c>
      <c r="AA6638">
        <v>0.99801669999999998</v>
      </c>
      <c r="AB6638">
        <v>36</v>
      </c>
      <c r="AC6638">
        <v>-1.6816</v>
      </c>
      <c r="AD6638">
        <v>-1.1208820895660001</v>
      </c>
      <c r="AE6638">
        <v>32.086039999999997</v>
      </c>
      <c r="AF6638">
        <v>-1.94083743687898</v>
      </c>
      <c r="AG6638">
        <v>-1.1208820895660001</v>
      </c>
      <c r="AH6638">
        <v>32.032276188682602</v>
      </c>
      <c r="AI6638">
        <v>92.000426150911906</v>
      </c>
      <c r="AJ6638">
        <v>93.467315668866604</v>
      </c>
      <c r="AK6638">
        <v>32.110589288319602</v>
      </c>
      <c r="AL6638">
        <v>80.148800510420102</v>
      </c>
      <c r="AM6638">
        <v>88.931389453856596</v>
      </c>
      <c r="AN6638">
        <v>1.0000000510701901</v>
      </c>
    </row>
    <row r="6639" spans="1:40" x14ac:dyDescent="0.25">
      <c r="A6639" t="str">
        <f>"20190303162432492"</f>
        <v>20190303162432492</v>
      </c>
      <c r="B6639" t="str">
        <f>"1551601472481350"</f>
        <v>1551601472481350</v>
      </c>
      <c r="C6639" t="s">
        <v>40</v>
      </c>
      <c r="D6639">
        <v>5.3146519999999997</v>
      </c>
      <c r="E6639">
        <v>0.47127950000000002</v>
      </c>
      <c r="F6639" t="s">
        <v>41</v>
      </c>
      <c r="G6639">
        <v>-189.32220000000001</v>
      </c>
      <c r="H6639" s="1">
        <v>-2.6699890000000002E-6</v>
      </c>
      <c r="I6639">
        <v>85.576319999999996</v>
      </c>
      <c r="J6639">
        <v>-187.59899999999999</v>
      </c>
      <c r="K6639">
        <v>1.120886</v>
      </c>
      <c r="L6639">
        <v>52.501649999999998</v>
      </c>
      <c r="M6639">
        <v>8.1293960000000005E-3</v>
      </c>
      <c r="N6639">
        <v>-1.4575060000000001E-2</v>
      </c>
      <c r="O6639">
        <v>0.99986070000000005</v>
      </c>
      <c r="P6639">
        <v>2.6622920000000001E-2</v>
      </c>
      <c r="Q6639">
        <v>0.1574536</v>
      </c>
      <c r="R6639">
        <v>0.98716749999999998</v>
      </c>
      <c r="S6639">
        <v>-0.1572876</v>
      </c>
      <c r="T6639">
        <v>-0.10249229999999999</v>
      </c>
      <c r="U6639">
        <v>3.0590820000000001</v>
      </c>
      <c r="V6639">
        <v>1.8593180000000001E-2</v>
      </c>
      <c r="W6639">
        <v>0.17182800000000001</v>
      </c>
      <c r="X6639">
        <v>0.98495149999999998</v>
      </c>
      <c r="Y6639">
        <v>-5.9436679999999999E-2</v>
      </c>
      <c r="Z6639">
        <v>-1.8858679999999999E-2</v>
      </c>
      <c r="AA6639">
        <v>0.99805390000000005</v>
      </c>
      <c r="AB6639">
        <v>36</v>
      </c>
      <c r="AC6639">
        <v>-1.7231999999999901</v>
      </c>
      <c r="AD6639">
        <v>-1.1208886699889999</v>
      </c>
      <c r="AE6639">
        <v>33.074669999999998</v>
      </c>
      <c r="AF6639">
        <v>-1.9897696288448801</v>
      </c>
      <c r="AG6639">
        <v>-1.1208886699889999</v>
      </c>
      <c r="AH6639">
        <v>33.021743722509697</v>
      </c>
      <c r="AI6639">
        <v>91.940582014610996</v>
      </c>
      <c r="AJ6639">
        <v>93.448265019726506</v>
      </c>
      <c r="AK6639">
        <v>33.100621339508002</v>
      </c>
      <c r="AL6639">
        <v>80.105880252810906</v>
      </c>
      <c r="AM6639">
        <v>88.918541443558297</v>
      </c>
      <c r="AN6639">
        <v>1.00000001263938</v>
      </c>
    </row>
    <row r="6640" spans="1:40" x14ac:dyDescent="0.25">
      <c r="A6640" t="str">
        <f>"20190303162432511"</f>
        <v>20190303162432511</v>
      </c>
      <c r="B6640" t="str">
        <f>"1551601472501845"</f>
        <v>1551601472501845</v>
      </c>
      <c r="C6640" t="s">
        <v>40</v>
      </c>
      <c r="D6640">
        <v>5.1993650000000002</v>
      </c>
      <c r="E6640">
        <v>0.47132639999999998</v>
      </c>
      <c r="F6640" t="s">
        <v>41</v>
      </c>
      <c r="G6640">
        <v>-189.36529999999999</v>
      </c>
      <c r="H6640" s="1">
        <v>-3.2829579999999998E-6</v>
      </c>
      <c r="I6640">
        <v>87.022999999999996</v>
      </c>
      <c r="J6640">
        <v>-187.59649999999999</v>
      </c>
      <c r="K6640">
        <v>1.120892</v>
      </c>
      <c r="L6640">
        <v>52.806339999999999</v>
      </c>
      <c r="M6640">
        <v>8.1099229999999998E-3</v>
      </c>
      <c r="N6640">
        <v>-1.457177E-2</v>
      </c>
      <c r="O6640">
        <v>0.99986090000000005</v>
      </c>
      <c r="P6640">
        <v>2.6128620000000002E-2</v>
      </c>
      <c r="Q6640">
        <v>0.1571013</v>
      </c>
      <c r="R6640">
        <v>0.98723680000000003</v>
      </c>
      <c r="S6640">
        <v>-0.15652469999999999</v>
      </c>
      <c r="T6640">
        <v>-9.9325659999999996E-2</v>
      </c>
      <c r="U6640">
        <v>3.0590519999999999</v>
      </c>
      <c r="V6640">
        <v>1.8117560000000001E-2</v>
      </c>
      <c r="W6640">
        <v>0.17147379999999901</v>
      </c>
      <c r="X6640">
        <v>0.98502210000000001</v>
      </c>
      <c r="Y6640">
        <v>-5.9170979999999998E-2</v>
      </c>
      <c r="Z6640">
        <v>-1.7830559999999999E-2</v>
      </c>
      <c r="AA6640">
        <v>0.99808859999999999</v>
      </c>
      <c r="AB6640">
        <v>36</v>
      </c>
      <c r="AC6640">
        <v>-1.7687999999999899</v>
      </c>
      <c r="AD6640">
        <v>-1.1208952829579999</v>
      </c>
      <c r="AE6640">
        <v>34.216659999999898</v>
      </c>
      <c r="AF6640">
        <v>-2.0440780448639799</v>
      </c>
      <c r="AG6640">
        <v>-1.1208952829579999</v>
      </c>
      <c r="AH6640">
        <v>34.164622576974701</v>
      </c>
      <c r="AI6640">
        <v>91.875771458258299</v>
      </c>
      <c r="AJ6640">
        <v>93.423939418948393</v>
      </c>
      <c r="AK6640">
        <v>34.244066597236703</v>
      </c>
      <c r="AL6640">
        <v>80.126480276049193</v>
      </c>
      <c r="AM6640">
        <v>88.9462747213272</v>
      </c>
      <c r="AN6640">
        <v>1.0000000237775999</v>
      </c>
    </row>
    <row r="6641" spans="1:40" x14ac:dyDescent="0.25">
      <c r="A6641" t="str">
        <f>"20190303162432534"</f>
        <v>20190303162432534</v>
      </c>
      <c r="B6641" t="str">
        <f>"1551601472521366"</f>
        <v>1551601472521366</v>
      </c>
      <c r="C6641" t="s">
        <v>40</v>
      </c>
      <c r="D6641">
        <v>5.2060870000000001</v>
      </c>
      <c r="E6641">
        <v>0.47144839999999999</v>
      </c>
      <c r="F6641" t="s">
        <v>41</v>
      </c>
      <c r="G6641">
        <v>-189.35640000000001</v>
      </c>
      <c r="H6641" s="1">
        <v>-3.2923140000000002E-6</v>
      </c>
      <c r="I6641">
        <v>87.0411</v>
      </c>
      <c r="J6641">
        <v>-187.59360000000001</v>
      </c>
      <c r="K6641">
        <v>1.1208929999999999</v>
      </c>
      <c r="L6641">
        <v>53.162379999999999</v>
      </c>
      <c r="M6641">
        <v>8.0870600000000001E-3</v>
      </c>
      <c r="N6641">
        <v>-1.456796E-2</v>
      </c>
      <c r="O6641">
        <v>0.99986120000000001</v>
      </c>
      <c r="P6641">
        <v>2.578221E-2</v>
      </c>
      <c r="Q6641">
        <v>0.15728809999999999</v>
      </c>
      <c r="R6641">
        <v>0.98721619999999999</v>
      </c>
      <c r="S6641">
        <v>-0.15724179999999999</v>
      </c>
      <c r="T6641">
        <v>-0.1001527</v>
      </c>
      <c r="U6641">
        <v>3.0588989999999998</v>
      </c>
      <c r="V6641">
        <v>1.7793920000000001E-2</v>
      </c>
      <c r="W6641">
        <v>0.17165610000000001</v>
      </c>
      <c r="X6641">
        <v>0.98499619999999999</v>
      </c>
      <c r="Y6641">
        <v>-5.9383650000000003E-2</v>
      </c>
      <c r="Z6641">
        <v>-1.810521E-2</v>
      </c>
      <c r="AA6641">
        <v>0.99807100000000004</v>
      </c>
      <c r="AB6641">
        <v>36</v>
      </c>
      <c r="AC6641">
        <v>-1.7627999999999899</v>
      </c>
      <c r="AD6641">
        <v>-1.120896292314</v>
      </c>
      <c r="AE6641">
        <v>33.878719999999902</v>
      </c>
      <c r="AF6641">
        <v>-2.0345295626694302</v>
      </c>
      <c r="AG6641">
        <v>-1.120896292314</v>
      </c>
      <c r="AH6641">
        <v>33.826426267293797</v>
      </c>
      <c r="AI6641">
        <v>91.894477763696003</v>
      </c>
      <c r="AJ6641">
        <v>93.441974459606897</v>
      </c>
      <c r="AK6641">
        <v>33.906088436387897</v>
      </c>
      <c r="AL6641">
        <v>80.115877588897206</v>
      </c>
      <c r="AM6641">
        <v>88.965066428972406</v>
      </c>
      <c r="AN6641">
        <v>0.99999997713530797</v>
      </c>
    </row>
    <row r="6642" spans="1:40" x14ac:dyDescent="0.25">
      <c r="A6642" t="str">
        <f>"20190303162432556"</f>
        <v>20190303162432556</v>
      </c>
      <c r="B6642" t="str">
        <f>"1551601472551622"</f>
        <v>1551601472551622</v>
      </c>
      <c r="C6642" t="s">
        <v>40</v>
      </c>
      <c r="D6642">
        <v>5.3231529999999996</v>
      </c>
      <c r="E6642">
        <v>0.47148879999999999</v>
      </c>
      <c r="F6642" t="s">
        <v>41</v>
      </c>
      <c r="G6642">
        <v>-189.37209999999999</v>
      </c>
      <c r="H6642" s="1">
        <v>-3.6144660000000002E-6</v>
      </c>
      <c r="I6642">
        <v>87.798569999999998</v>
      </c>
      <c r="J6642">
        <v>-187.5908</v>
      </c>
      <c r="K6642">
        <v>1.1208959999999999</v>
      </c>
      <c r="L6642">
        <v>53.525449999999999</v>
      </c>
      <c r="M6642">
        <v>8.0638020000000001E-3</v>
      </c>
      <c r="N6642">
        <v>-1.456406E-2</v>
      </c>
      <c r="O6642">
        <v>0.99986140000000001</v>
      </c>
      <c r="P6642">
        <v>2.49325E-2</v>
      </c>
      <c r="Q6642">
        <v>0.15742729999999999</v>
      </c>
      <c r="R6642">
        <v>0.98721579999999998</v>
      </c>
      <c r="S6642">
        <v>-0.1570587</v>
      </c>
      <c r="T6642">
        <v>-9.8986149999999995E-2</v>
      </c>
      <c r="U6642">
        <v>3.058716</v>
      </c>
      <c r="V6642">
        <v>1.6967220000000002E-2</v>
      </c>
      <c r="W6642">
        <v>0.1717909</v>
      </c>
      <c r="X6642">
        <v>0.98498730000000001</v>
      </c>
      <c r="Y6642">
        <v>-5.9304450000000002E-2</v>
      </c>
      <c r="Z6642">
        <v>-1.7730880000000001E-2</v>
      </c>
      <c r="AA6642">
        <v>0.99808249999999998</v>
      </c>
      <c r="AB6642">
        <v>35</v>
      </c>
      <c r="AC6642">
        <v>-1.7812999999999799</v>
      </c>
      <c r="AD6642">
        <v>-1.1208996144659999</v>
      </c>
      <c r="AE6642">
        <v>34.273119999999999</v>
      </c>
      <c r="AF6642">
        <v>-2.0554504364679498</v>
      </c>
      <c r="AG6642">
        <v>-1.1208996144659999</v>
      </c>
      <c r="AH6642">
        <v>34.221135149138199</v>
      </c>
      <c r="AI6642">
        <v>91.872657157287506</v>
      </c>
      <c r="AJ6642">
        <v>93.437271070392995</v>
      </c>
      <c r="AK6642">
        <v>34.301128018449603</v>
      </c>
      <c r="AL6642">
        <v>80.108037790632295</v>
      </c>
      <c r="AM6642">
        <v>89.013130465625807</v>
      </c>
      <c r="AN6642">
        <v>0.99999999051931399</v>
      </c>
    </row>
    <row r="6643" spans="1:40" x14ac:dyDescent="0.25">
      <c r="A6643" t="str">
        <f>"20190303162432578"</f>
        <v>20190303162432578</v>
      </c>
      <c r="B6643" t="str">
        <f>"1551601472571143"</f>
        <v>1551601472571143</v>
      </c>
      <c r="C6643" t="s">
        <v>40</v>
      </c>
      <c r="D6643">
        <v>5.2575710000000004</v>
      </c>
      <c r="E6643">
        <v>0.47157450000000001</v>
      </c>
      <c r="F6643" t="s">
        <v>41</v>
      </c>
      <c r="G6643">
        <v>-189.4169</v>
      </c>
      <c r="H6643" s="1">
        <v>-3.9599869999999996E-6</v>
      </c>
      <c r="I6643">
        <v>88.622489999999999</v>
      </c>
      <c r="J6643">
        <v>-187.58789999999999</v>
      </c>
      <c r="K6643">
        <v>1.120892</v>
      </c>
      <c r="L6643">
        <v>53.878329999999998</v>
      </c>
      <c r="M6643">
        <v>8.0414030000000008E-3</v>
      </c>
      <c r="N6643">
        <v>-1.456027E-2</v>
      </c>
      <c r="O6643">
        <v>0.99986169999999996</v>
      </c>
      <c r="P6643">
        <v>2.4530759999999999E-2</v>
      </c>
      <c r="Q6643">
        <v>0.1576342</v>
      </c>
      <c r="R6643">
        <v>0.98719290000000004</v>
      </c>
      <c r="S6643">
        <v>-0.15913389999999999</v>
      </c>
      <c r="T6643">
        <v>-9.7677949999999999E-2</v>
      </c>
      <c r="U6643">
        <v>3.0584410000000002</v>
      </c>
      <c r="V6643">
        <v>1.6587749999999998E-2</v>
      </c>
      <c r="W6643">
        <v>0.17199429999999999</v>
      </c>
      <c r="X6643">
        <v>0.98495829999999995</v>
      </c>
      <c r="Y6643">
        <v>-5.9962420000000002E-2</v>
      </c>
      <c r="Z6643">
        <v>-1.7309809999999998E-2</v>
      </c>
      <c r="AA6643">
        <v>0.99805049999999995</v>
      </c>
      <c r="AB6643">
        <v>35</v>
      </c>
      <c r="AC6643">
        <v>-1.829</v>
      </c>
      <c r="AD6643">
        <v>-1.1208959599869901</v>
      </c>
      <c r="AE6643">
        <v>34.744159999999901</v>
      </c>
      <c r="AF6643">
        <v>-2.10617620347583</v>
      </c>
      <c r="AG6643">
        <v>-1.1208959599869901</v>
      </c>
      <c r="AH6643">
        <v>34.692319152166199</v>
      </c>
      <c r="AI6643">
        <v>91.847163043039401</v>
      </c>
      <c r="AJ6643">
        <v>93.474171778834702</v>
      </c>
      <c r="AK6643">
        <v>34.774263387007302</v>
      </c>
      <c r="AL6643">
        <v>80.096208069004803</v>
      </c>
      <c r="AM6643">
        <v>89.0351690728167</v>
      </c>
      <c r="AN6643">
        <v>1.00000002271072</v>
      </c>
    </row>
    <row r="6644" spans="1:40" x14ac:dyDescent="0.25">
      <c r="A6644" t="str">
        <f>"20190303162432602"</f>
        <v>20190303162432602</v>
      </c>
      <c r="B6644" t="str">
        <f>"1551601472591638"</f>
        <v>1551601472591638</v>
      </c>
      <c r="C6644" t="s">
        <v>40</v>
      </c>
      <c r="D6644">
        <v>5.200634</v>
      </c>
      <c r="E6644">
        <v>0.4716167</v>
      </c>
      <c r="F6644" t="s">
        <v>41</v>
      </c>
      <c r="G6644">
        <v>-189.44630000000001</v>
      </c>
      <c r="H6644" s="1">
        <v>-4.3010010000000002E-6</v>
      </c>
      <c r="I6644">
        <v>89.429569999999998</v>
      </c>
      <c r="J6644">
        <v>-187.58510000000001</v>
      </c>
      <c r="K6644">
        <v>1.120895</v>
      </c>
      <c r="L6644">
        <v>54.240110000000001</v>
      </c>
      <c r="M6644">
        <v>8.0180110000000002E-3</v>
      </c>
      <c r="N6644">
        <v>-1.4556400000000001E-2</v>
      </c>
      <c r="O6644">
        <v>0.99986189999999997</v>
      </c>
      <c r="P6644">
        <v>2.4253139999999999E-2</v>
      </c>
      <c r="Q6644">
        <v>0.15794459999999999</v>
      </c>
      <c r="R6644">
        <v>0.98715010000000003</v>
      </c>
      <c r="S6644">
        <v>-0.15986629999999999</v>
      </c>
      <c r="T6644">
        <v>-9.6424940000000001E-2</v>
      </c>
      <c r="U6644">
        <v>3.0582889999999998</v>
      </c>
      <c r="V6644">
        <v>1.6333650000000002E-2</v>
      </c>
      <c r="W6644">
        <v>0.17230009999999901</v>
      </c>
      <c r="X6644">
        <v>0.98490909999999998</v>
      </c>
      <c r="Y6644">
        <v>-6.0180499999999998E-2</v>
      </c>
      <c r="Z6644">
        <v>-1.6906299999999999E-2</v>
      </c>
      <c r="AA6644">
        <v>0.9980443</v>
      </c>
      <c r="AB6644">
        <v>35</v>
      </c>
      <c r="AC6644">
        <v>-1.86119999999999</v>
      </c>
      <c r="AD6644">
        <v>-1.120899301001</v>
      </c>
      <c r="AE6644">
        <v>35.189459999999997</v>
      </c>
      <c r="AF6644">
        <v>-2.1411531150442702</v>
      </c>
      <c r="AG6644">
        <v>-1.120899301001</v>
      </c>
      <c r="AH6644">
        <v>35.137851413664997</v>
      </c>
      <c r="AI6644">
        <v>91.823738270830205</v>
      </c>
      <c r="AJ6644">
        <v>93.487052465341804</v>
      </c>
      <c r="AK6644">
        <v>35.220868159002698</v>
      </c>
      <c r="AL6644">
        <v>80.0784215004564</v>
      </c>
      <c r="AM6644">
        <v>89.049898687275999</v>
      </c>
      <c r="AN6644">
        <v>1.0000000239225699</v>
      </c>
    </row>
    <row r="6645" spans="1:40" x14ac:dyDescent="0.25">
      <c r="A6645" t="str">
        <f>"20190303162432622"</f>
        <v>20190303162432622</v>
      </c>
      <c r="B6645" t="str">
        <f>"1551601472611158"</f>
        <v>1551601472611158</v>
      </c>
      <c r="C6645" t="s">
        <v>40</v>
      </c>
      <c r="D6645">
        <v>5.1339139999999999</v>
      </c>
      <c r="E6645">
        <v>0.47173100000000001</v>
      </c>
      <c r="F6645" t="s">
        <v>41</v>
      </c>
      <c r="G6645">
        <v>-189.47229999999999</v>
      </c>
      <c r="H6645" s="1">
        <v>-3.7863800000000001E-7</v>
      </c>
      <c r="I6645">
        <v>90.297169999999994</v>
      </c>
      <c r="J6645">
        <v>-187.58250000000001</v>
      </c>
      <c r="K6645">
        <v>1.1208990000000001</v>
      </c>
      <c r="L6645">
        <v>54.566470000000002</v>
      </c>
      <c r="M6645">
        <v>7.9972469999999903E-3</v>
      </c>
      <c r="N6645">
        <v>-1.455291E-2</v>
      </c>
      <c r="O6645">
        <v>0.99986209999999998</v>
      </c>
      <c r="P6645">
        <v>2.431241E-2</v>
      </c>
      <c r="Q6645">
        <v>0.15862679999999901</v>
      </c>
      <c r="R6645">
        <v>0.98703920000000001</v>
      </c>
      <c r="S6645">
        <v>-0.1600647</v>
      </c>
      <c r="T6645">
        <v>-9.5069290000000001E-2</v>
      </c>
      <c r="U6645">
        <v>3.0581969999999998</v>
      </c>
      <c r="V6645">
        <v>1.6414270000000002E-2</v>
      </c>
      <c r="W6645">
        <v>0.17297689999999999</v>
      </c>
      <c r="X6645">
        <v>0.98478909999999997</v>
      </c>
      <c r="Y6645">
        <v>-6.0226439999999999E-2</v>
      </c>
      <c r="Z6645">
        <v>-1.646858E-2</v>
      </c>
      <c r="AA6645">
        <v>0.99804890000000002</v>
      </c>
      <c r="AB6645">
        <v>35</v>
      </c>
      <c r="AC6645">
        <v>-1.8897999999999799</v>
      </c>
      <c r="AD6645">
        <v>-1.1208993786379999</v>
      </c>
      <c r="AE6645">
        <v>35.730699999999999</v>
      </c>
      <c r="AF6645">
        <v>-2.1733841417877402</v>
      </c>
      <c r="AG6645">
        <v>-1.1208993786379999</v>
      </c>
      <c r="AH6645">
        <v>35.679427283733297</v>
      </c>
      <c r="AI6645">
        <v>91.796076605391704</v>
      </c>
      <c r="AJ6645">
        <v>93.485820002076593</v>
      </c>
      <c r="AK6645">
        <v>35.763131089713298</v>
      </c>
      <c r="AL6645">
        <v>80.039052400841797</v>
      </c>
      <c r="AM6645">
        <v>89.045093698713103</v>
      </c>
      <c r="AN6645">
        <v>1.0000000038360199</v>
      </c>
    </row>
    <row r="6646" spans="1:40" x14ac:dyDescent="0.25">
      <c r="A6646" t="str">
        <f>"20190303162432646"</f>
        <v>20190303162432646</v>
      </c>
      <c r="B6646" t="str">
        <f>"1551601472641414"</f>
        <v>1551601472641414</v>
      </c>
      <c r="C6646" t="s">
        <v>40</v>
      </c>
      <c r="D6646">
        <v>5.2584429999999998</v>
      </c>
      <c r="E6646">
        <v>0.47192240000000002</v>
      </c>
      <c r="F6646" t="s">
        <v>41</v>
      </c>
      <c r="G6646">
        <v>-189.51499999999999</v>
      </c>
      <c r="H6646" s="1">
        <v>-9.9323210000000005E-7</v>
      </c>
      <c r="I6646">
        <v>91.747470000000007</v>
      </c>
      <c r="J6646">
        <v>-187.5796</v>
      </c>
      <c r="K6646">
        <v>1.1208990000000001</v>
      </c>
      <c r="L6646">
        <v>54.92841</v>
      </c>
      <c r="M6646">
        <v>7.973951E-3</v>
      </c>
      <c r="N6646">
        <v>-1.4549090000000001E-2</v>
      </c>
      <c r="O6646">
        <v>0.99986240000000004</v>
      </c>
      <c r="P6646">
        <v>2.4250560000000001E-2</v>
      </c>
      <c r="Q6646">
        <v>0.15891060000000001</v>
      </c>
      <c r="R6646">
        <v>0.98699510000000001</v>
      </c>
      <c r="S6646">
        <v>-0.158950799999999</v>
      </c>
      <c r="T6646">
        <v>-9.2193960000000005E-2</v>
      </c>
      <c r="U6646">
        <v>3.0581360000000002</v>
      </c>
      <c r="V6646">
        <v>1.6375799999999999E-2</v>
      </c>
      <c r="W6646">
        <v>0.173256299999999</v>
      </c>
      <c r="X6646">
        <v>0.98474059999999997</v>
      </c>
      <c r="Y6646">
        <v>-5.9842999999999903E-2</v>
      </c>
      <c r="Z6646">
        <v>-1.5536009999999999E-2</v>
      </c>
      <c r="AA6646">
        <v>0.9980869</v>
      </c>
      <c r="AB6646">
        <v>35</v>
      </c>
      <c r="AC6646">
        <v>-1.93539999999998</v>
      </c>
      <c r="AD6646">
        <v>-1.12089999323209</v>
      </c>
      <c r="AE6646">
        <v>36.819059999999901</v>
      </c>
      <c r="AF6646">
        <v>-2.2269046836630602</v>
      </c>
      <c r="AG6646">
        <v>-1.12089999323209</v>
      </c>
      <c r="AH6646">
        <v>36.768471464416798</v>
      </c>
      <c r="AI6646">
        <v>91.742949683901699</v>
      </c>
      <c r="AJ6646">
        <v>93.465919745505701</v>
      </c>
      <c r="AK6646">
        <v>36.8528969701783</v>
      </c>
      <c r="AL6646">
        <v>80.022798316438298</v>
      </c>
      <c r="AM6646">
        <v>89.047284380654204</v>
      </c>
      <c r="AN6646">
        <v>0.99999998080184405</v>
      </c>
    </row>
    <row r="6647" spans="1:40" x14ac:dyDescent="0.25">
      <c r="A6647" t="str">
        <f>"20190303162432670"</f>
        <v>20190303162432670</v>
      </c>
      <c r="B6647" t="str">
        <f>"1551601472661909"</f>
        <v>1551601472661909</v>
      </c>
      <c r="C6647" t="s">
        <v>40</v>
      </c>
      <c r="D6647">
        <v>5.1970210000000003</v>
      </c>
      <c r="E6647">
        <v>0.47201029999999999</v>
      </c>
      <c r="F6647" t="s">
        <v>41</v>
      </c>
      <c r="G6647">
        <v>-189.5444</v>
      </c>
      <c r="H6647" s="1">
        <v>-1.5263900000000001E-6</v>
      </c>
      <c r="I6647">
        <v>93.002459999999999</v>
      </c>
      <c r="J6647">
        <v>-187.57660000000001</v>
      </c>
      <c r="K6647">
        <v>1.1209</v>
      </c>
      <c r="L6647">
        <v>55.309629999999999</v>
      </c>
      <c r="M6647">
        <v>7.9491849999999992E-3</v>
      </c>
      <c r="N6647">
        <v>-1.45451E-2</v>
      </c>
      <c r="O6647">
        <v>0.99986260000000005</v>
      </c>
      <c r="P6647">
        <v>2.4772740000000001E-2</v>
      </c>
      <c r="Q6647">
        <v>0.15920299999999901</v>
      </c>
      <c r="R6647">
        <v>0.98693500000000001</v>
      </c>
      <c r="S6647">
        <v>-0.15780640000000001</v>
      </c>
      <c r="T6647">
        <v>-9.0024350000000003E-2</v>
      </c>
      <c r="U6647">
        <v>3.0578919999999998</v>
      </c>
      <c r="V6647">
        <v>1.6922980000000001E-2</v>
      </c>
      <c r="W6647">
        <v>0.1735438</v>
      </c>
      <c r="X6647">
        <v>0.98468080000000002</v>
      </c>
      <c r="Y6647">
        <v>-5.945085E-2</v>
      </c>
      <c r="Z6647">
        <v>-1.483541E-2</v>
      </c>
      <c r="AA6647">
        <v>0.99812100000000004</v>
      </c>
      <c r="AB6647">
        <v>35</v>
      </c>
      <c r="AC6647">
        <v>-1.96779999999998</v>
      </c>
      <c r="AD6647">
        <v>-1.12090152639</v>
      </c>
      <c r="AE6647">
        <v>37.692830000000001</v>
      </c>
      <c r="AF6647">
        <v>-2.2653988678331101</v>
      </c>
      <c r="AG6647">
        <v>-1.12090152639</v>
      </c>
      <c r="AH6647">
        <v>37.642796363764198</v>
      </c>
      <c r="AI6647">
        <v>91.702532144585803</v>
      </c>
      <c r="AJ6647">
        <v>93.443990490860799</v>
      </c>
      <c r="AK6647">
        <v>37.727557174379299</v>
      </c>
      <c r="AL6647">
        <v>80.006073184242993</v>
      </c>
      <c r="AM6647">
        <v>89.015396782992198</v>
      </c>
      <c r="AN6647">
        <v>1.00000005782957</v>
      </c>
    </row>
    <row r="6648" spans="1:40" x14ac:dyDescent="0.25">
      <c r="A6648" t="str">
        <f>"20190303162432692"</f>
        <v>20190303162432692</v>
      </c>
      <c r="B6648" t="str">
        <f>"1551601472681430"</f>
        <v>1551601472681430</v>
      </c>
      <c r="C6648" t="s">
        <v>40</v>
      </c>
      <c r="D6648">
        <v>5.3223599999999998</v>
      </c>
      <c r="E6648">
        <v>0.47209879999999999</v>
      </c>
      <c r="F6648" t="s">
        <v>41</v>
      </c>
      <c r="G6648">
        <v>-189.54</v>
      </c>
      <c r="H6648" s="1">
        <v>-1.9206829999999998E-6</v>
      </c>
      <c r="I6648">
        <v>93.919709999999995</v>
      </c>
      <c r="J6648">
        <v>-187.57380000000001</v>
      </c>
      <c r="K6648">
        <v>1.120903</v>
      </c>
      <c r="L6648">
        <v>55.658290000000001</v>
      </c>
      <c r="M6648">
        <v>7.9266619999999993E-3</v>
      </c>
      <c r="N6648">
        <v>-1.4541470000000001E-2</v>
      </c>
      <c r="O6648">
        <v>0.99986280000000005</v>
      </c>
      <c r="P6648">
        <v>2.526461E-2</v>
      </c>
      <c r="Q6648">
        <v>0.15946540000000001</v>
      </c>
      <c r="R6648">
        <v>0.98688019999999999</v>
      </c>
      <c r="S6648">
        <v>-0.15550229999999901</v>
      </c>
      <c r="T6648">
        <v>-8.8776469999999996E-2</v>
      </c>
      <c r="U6648">
        <v>3.0579529999999999</v>
      </c>
      <c r="V6648">
        <v>1.7437540000000001E-2</v>
      </c>
      <c r="W6648">
        <v>0.17380200000000001</v>
      </c>
      <c r="X6648">
        <v>0.98462620000000001</v>
      </c>
      <c r="Y6648">
        <v>-5.8677970000000003E-2</v>
      </c>
      <c r="Z6648">
        <v>-1.44327E-2</v>
      </c>
      <c r="AA6648">
        <v>0.99817259999999997</v>
      </c>
      <c r="AB6648">
        <v>35</v>
      </c>
      <c r="AC6648">
        <v>-1.96619999999998</v>
      </c>
      <c r="AD6648">
        <v>-1.120904920683</v>
      </c>
      <c r="AE6648">
        <v>38.261420000000001</v>
      </c>
      <c r="AF6648">
        <v>-2.2675146690027299</v>
      </c>
      <c r="AG6648">
        <v>-1.120904920683</v>
      </c>
      <c r="AH6648">
        <v>38.211921532424398</v>
      </c>
      <c r="AI6648">
        <v>91.677278386267005</v>
      </c>
      <c r="AJ6648">
        <v>93.395978068547294</v>
      </c>
      <c r="AK6648">
        <v>38.2955480156051</v>
      </c>
      <c r="AL6648">
        <v>79.991050327030905</v>
      </c>
      <c r="AM6648">
        <v>88.985408863439602</v>
      </c>
      <c r="AN6648">
        <v>0.99999997836584498</v>
      </c>
    </row>
    <row r="6649" spans="1:40" x14ac:dyDescent="0.25">
      <c r="A6649" t="str">
        <f>"20190303162432712"</f>
        <v>20190303162432712</v>
      </c>
      <c r="B6649" t="str">
        <f>"1551601472701925"</f>
        <v>1551601472701925</v>
      </c>
      <c r="C6649" t="s">
        <v>40</v>
      </c>
      <c r="D6649">
        <v>5.3127060000000004</v>
      </c>
      <c r="E6649">
        <v>0.47948030000000003</v>
      </c>
      <c r="F6649" t="s">
        <v>41</v>
      </c>
      <c r="G6649">
        <v>-189.5361</v>
      </c>
      <c r="H6649" s="1">
        <v>-2.348438E-6</v>
      </c>
      <c r="I6649">
        <v>94.915210000000002</v>
      </c>
      <c r="J6649">
        <v>-187.57130000000001</v>
      </c>
      <c r="K6649">
        <v>1.1209089999999999</v>
      </c>
      <c r="L6649">
        <v>55.979520000000001</v>
      </c>
      <c r="M6649">
        <v>7.9059200000000003E-3</v>
      </c>
      <c r="N6649">
        <v>-1.45381E-2</v>
      </c>
      <c r="O6649">
        <v>0.9998631</v>
      </c>
      <c r="P6649">
        <v>2.6122019999999999E-2</v>
      </c>
      <c r="Q6649">
        <v>0.15956699999999999</v>
      </c>
      <c r="R6649">
        <v>0.98684139999999998</v>
      </c>
      <c r="S6649">
        <v>-0.15284729999999999</v>
      </c>
      <c r="T6649">
        <v>-8.7312219999999996E-2</v>
      </c>
      <c r="U6649">
        <v>3.0578919999999998</v>
      </c>
      <c r="V6649">
        <v>1.8315729999999999E-2</v>
      </c>
      <c r="W6649">
        <v>0.1739001</v>
      </c>
      <c r="X6649">
        <v>0.98459300000000005</v>
      </c>
      <c r="Y6649">
        <v>-5.7794610000000003E-2</v>
      </c>
      <c r="Z6649">
        <v>-1.3960419999999999E-2</v>
      </c>
      <c r="AA6649">
        <v>0.99823090000000003</v>
      </c>
      <c r="AB6649">
        <v>35</v>
      </c>
      <c r="AC6649">
        <v>-1.9647999999999901</v>
      </c>
      <c r="AD6649">
        <v>-1.120911348438</v>
      </c>
      <c r="AE6649">
        <v>38.935690000000001</v>
      </c>
      <c r="AF6649">
        <v>-2.27071637929892</v>
      </c>
      <c r="AG6649">
        <v>-1.120911348438</v>
      </c>
      <c r="AH6649">
        <v>38.886790431576301</v>
      </c>
      <c r="AI6649">
        <v>91.648286917787402</v>
      </c>
      <c r="AJ6649">
        <v>93.341877624301404</v>
      </c>
      <c r="AK6649">
        <v>38.969155305133398</v>
      </c>
      <c r="AL6649">
        <v>79.985343350837397</v>
      </c>
      <c r="AM6649">
        <v>88.934287564506107</v>
      </c>
      <c r="AN6649">
        <v>1.00000004319722</v>
      </c>
    </row>
    <row r="6650" spans="1:40" x14ac:dyDescent="0.25">
      <c r="A6650" t="str">
        <f>"20190303162432734"</f>
        <v>20190303162432734</v>
      </c>
      <c r="B6650" t="str">
        <f>"1551601472721445"</f>
        <v>1551601472721445</v>
      </c>
      <c r="C6650" t="s">
        <v>40</v>
      </c>
      <c r="D6650">
        <v>5.1724189999999997</v>
      </c>
      <c r="E6650">
        <v>0.50708640000000005</v>
      </c>
      <c r="F6650" t="s">
        <v>41</v>
      </c>
      <c r="G6650">
        <v>-188.95529999999999</v>
      </c>
      <c r="H6650" s="1">
        <v>-1.405097E-6</v>
      </c>
      <c r="I6650">
        <v>102.4761</v>
      </c>
      <c r="J6650">
        <v>-187.56870000000001</v>
      </c>
      <c r="K6650">
        <v>1.120911</v>
      </c>
      <c r="L6650">
        <v>56.314540000000001</v>
      </c>
      <c r="M6650">
        <v>7.8843490000000006E-3</v>
      </c>
      <c r="N6650">
        <v>-1.453461E-2</v>
      </c>
      <c r="O6650">
        <v>0.99986330000000001</v>
      </c>
      <c r="P6650">
        <v>2.6649140000000002E-2</v>
      </c>
      <c r="Q6650">
        <v>0.15946089999999999</v>
      </c>
      <c r="R6650">
        <v>0.98684450000000001</v>
      </c>
      <c r="S6650">
        <v>-9.0911870000000006E-2</v>
      </c>
      <c r="T6650">
        <v>-7.3631639999999998E-2</v>
      </c>
      <c r="U6650">
        <v>3.0543209999999998</v>
      </c>
      <c r="V6650">
        <v>1.8864100000000002E-2</v>
      </c>
      <c r="W6650">
        <v>0.17379029999999901</v>
      </c>
      <c r="X6650">
        <v>0.98460199999999998</v>
      </c>
      <c r="Y6650">
        <v>-3.7620670000000002E-2</v>
      </c>
      <c r="Z6650">
        <v>-9.5507390000000008E-3</v>
      </c>
      <c r="AA6650">
        <v>0.99924650000000004</v>
      </c>
      <c r="AB6650">
        <v>35</v>
      </c>
      <c r="AC6650">
        <v>-1.3865999999999801</v>
      </c>
      <c r="AD6650">
        <v>-1.1209124050970001</v>
      </c>
      <c r="AE6650">
        <v>46.161559999999902</v>
      </c>
      <c r="AF6650">
        <v>-1.7495185396310999</v>
      </c>
      <c r="AG6650">
        <v>-1.1209124050970001</v>
      </c>
      <c r="AH6650">
        <v>46.122020723442503</v>
      </c>
      <c r="AI6650">
        <v>91.391196255503104</v>
      </c>
      <c r="AJ6650">
        <v>92.172324435471197</v>
      </c>
      <c r="AK6650">
        <v>46.1687995875361</v>
      </c>
      <c r="AL6650">
        <v>79.991731372258201</v>
      </c>
      <c r="AM6650">
        <v>88.902398029149296</v>
      </c>
      <c r="AN6650">
        <v>1.0000000105234499</v>
      </c>
    </row>
    <row r="6651" spans="1:40" x14ac:dyDescent="0.25">
      <c r="A6651" t="str">
        <f>"20190303162432780"</f>
        <v>20190303162432780</v>
      </c>
      <c r="B6651" t="str">
        <f>"1551601472771222"</f>
        <v>1551601472771222</v>
      </c>
      <c r="C6651" t="s">
        <v>40</v>
      </c>
      <c r="D6651">
        <v>5.1364619999999999</v>
      </c>
      <c r="E6651">
        <v>0.51737109999999997</v>
      </c>
      <c r="F6651" t="s">
        <v>41</v>
      </c>
      <c r="G6651">
        <v>-186.0891</v>
      </c>
      <c r="H6651" s="1">
        <v>-1.479088E-6</v>
      </c>
      <c r="I6651">
        <v>90.936580000000006</v>
      </c>
      <c r="J6651">
        <v>-187.56299999999999</v>
      </c>
      <c r="K6651">
        <v>1.1209020000000001</v>
      </c>
      <c r="L6651">
        <v>57.042850000000001</v>
      </c>
      <c r="M6651">
        <v>7.8376009999999996E-3</v>
      </c>
      <c r="N6651">
        <v>-1.452696E-2</v>
      </c>
      <c r="O6651">
        <v>0.99986370000000002</v>
      </c>
      <c r="P6651">
        <v>2.717636E-2</v>
      </c>
      <c r="Q6651">
        <v>0.1588666</v>
      </c>
      <c r="R6651">
        <v>0.98692599999999997</v>
      </c>
      <c r="S6651">
        <v>0.13044739999999999</v>
      </c>
      <c r="T6651">
        <v>-9.8824499999999996E-2</v>
      </c>
      <c r="U6651">
        <v>3.0524290000000001</v>
      </c>
      <c r="V6651">
        <v>1.9436849999999999E-2</v>
      </c>
      <c r="W6651">
        <v>0.1731896</v>
      </c>
      <c r="X6651">
        <v>0.98469669999999998</v>
      </c>
      <c r="Y6651">
        <v>3.4845399999999999E-2</v>
      </c>
      <c r="Z6651">
        <v>-1.7812339999999999E-2</v>
      </c>
      <c r="AA6651">
        <v>0.99923399999999996</v>
      </c>
      <c r="AB6651">
        <v>35</v>
      </c>
      <c r="AC6651">
        <v>1.47389999999998</v>
      </c>
      <c r="AD6651">
        <v>-1.1209034790879999</v>
      </c>
      <c r="AE6651">
        <v>33.893729999999998</v>
      </c>
      <c r="AF6651">
        <v>1.20686368389382</v>
      </c>
      <c r="AG6651">
        <v>-1.1209034790879999</v>
      </c>
      <c r="AH6651">
        <v>33.867271133658697</v>
      </c>
      <c r="AI6651">
        <v>91.894422192519599</v>
      </c>
      <c r="AJ6651">
        <v>87.959122598895604</v>
      </c>
      <c r="AK6651">
        <v>33.9073000783266</v>
      </c>
      <c r="AL6651">
        <v>80.026678897285507</v>
      </c>
      <c r="AM6651">
        <v>88.869190004789203</v>
      </c>
      <c r="AN6651">
        <v>1.00000000983848</v>
      </c>
    </row>
    <row r="6652" spans="1:40" x14ac:dyDescent="0.25">
      <c r="A6652" t="str">
        <f>"20190303162432802"</f>
        <v>20190303162432802</v>
      </c>
      <c r="B6652" t="str">
        <f>"1551601472791718"</f>
        <v>1551601472791718</v>
      </c>
      <c r="C6652" t="s">
        <v>40</v>
      </c>
      <c r="D6652">
        <v>5.1777559999999996</v>
      </c>
      <c r="E6652">
        <v>0.51771840000000002</v>
      </c>
      <c r="F6652" t="s">
        <v>41</v>
      </c>
      <c r="G6652">
        <v>-185.88820000000001</v>
      </c>
      <c r="H6652" s="1">
        <v>-1.548104E-6</v>
      </c>
      <c r="I6652">
        <v>80.982349999999997</v>
      </c>
      <c r="J6652">
        <v>-187.56030000000001</v>
      </c>
      <c r="K6652">
        <v>1.120903</v>
      </c>
      <c r="L6652">
        <v>57.383850000000002</v>
      </c>
      <c r="M6652">
        <v>7.8156059999999992E-3</v>
      </c>
      <c r="N6652">
        <v>-1.4523360000000001E-2</v>
      </c>
      <c r="O6652">
        <v>0.99986399999999998</v>
      </c>
      <c r="P6652">
        <v>2.7575550000000001E-2</v>
      </c>
      <c r="Q6652">
        <v>0.15854409999999999</v>
      </c>
      <c r="R6652">
        <v>0.98696669999999997</v>
      </c>
      <c r="S6652">
        <v>0.21385190000000001</v>
      </c>
      <c r="T6652">
        <v>-0.14313039999999999</v>
      </c>
      <c r="U6652">
        <v>3.0568849999999999</v>
      </c>
      <c r="V6652">
        <v>1.9857469999999999E-2</v>
      </c>
      <c r="W6652">
        <v>0.17286460000000001</v>
      </c>
      <c r="X6652">
        <v>0.98474539999999999</v>
      </c>
      <c r="Y6652">
        <v>6.1923810000000003E-2</v>
      </c>
      <c r="Z6652">
        <v>-3.2158689999999997E-2</v>
      </c>
      <c r="AA6652">
        <v>0.99756259999999997</v>
      </c>
      <c r="AB6652">
        <v>35</v>
      </c>
      <c r="AC6652">
        <v>1.6720999999999999</v>
      </c>
      <c r="AD6652">
        <v>-1.1209045481039901</v>
      </c>
      <c r="AE6652">
        <v>23.598499999999898</v>
      </c>
      <c r="AF6652">
        <v>1.4842608990686601</v>
      </c>
      <c r="AG6652">
        <v>-1.1209045481039901</v>
      </c>
      <c r="AH6652">
        <v>23.557964100622399</v>
      </c>
      <c r="AI6652">
        <v>92.718736439566797</v>
      </c>
      <c r="AJ6652">
        <v>86.3948656539892</v>
      </c>
      <c r="AK6652">
        <v>23.631274404667199</v>
      </c>
      <c r="AL6652">
        <v>80.045585048089904</v>
      </c>
      <c r="AM6652">
        <v>88.844782574333607</v>
      </c>
      <c r="AN6652">
        <v>0.99999999593456002</v>
      </c>
    </row>
    <row r="6653" spans="1:40" x14ac:dyDescent="0.25">
      <c r="A6653" t="str">
        <f>"20190303162432825"</f>
        <v>20190303162432825</v>
      </c>
      <c r="B6653" t="str">
        <f>"1551601472811238"</f>
        <v>1551601472811238</v>
      </c>
      <c r="C6653" t="s">
        <v>40</v>
      </c>
      <c r="D6653">
        <v>5.1952720000000001</v>
      </c>
      <c r="E6653">
        <v>0.51780219999999999</v>
      </c>
      <c r="F6653" t="s">
        <v>41</v>
      </c>
      <c r="G6653">
        <v>-185.929</v>
      </c>
      <c r="H6653" s="1">
        <v>-1.3153280000000001E-6</v>
      </c>
      <c r="I6653">
        <v>80.330250000000007</v>
      </c>
      <c r="J6653">
        <v>-187.5575</v>
      </c>
      <c r="K6653">
        <v>1.1209100000000001</v>
      </c>
      <c r="L6653">
        <v>57.745330000000003</v>
      </c>
      <c r="M6653">
        <v>7.7924439999999999E-3</v>
      </c>
      <c r="N6653">
        <v>-1.4519539999999999E-2</v>
      </c>
      <c r="O6653">
        <v>0.99986419999999998</v>
      </c>
      <c r="P6653">
        <v>2.8580439999999999E-2</v>
      </c>
      <c r="Q6653">
        <v>0.1585627</v>
      </c>
      <c r="R6653">
        <v>0.98693520000000001</v>
      </c>
      <c r="S6653">
        <v>0.21736150000000001</v>
      </c>
      <c r="T6653">
        <v>-0.1493565</v>
      </c>
      <c r="U6653">
        <v>3.0575260000000002</v>
      </c>
      <c r="V6653">
        <v>2.088543E-2</v>
      </c>
      <c r="W6653">
        <v>0.17287920000000001</v>
      </c>
      <c r="X6653">
        <v>0.98472159999999997</v>
      </c>
      <c r="Y6653">
        <v>6.3065529999999995E-2</v>
      </c>
      <c r="Z6653">
        <v>-3.4175169999999998E-2</v>
      </c>
      <c r="AA6653">
        <v>0.99742410000000004</v>
      </c>
      <c r="AB6653">
        <v>35</v>
      </c>
      <c r="AC6653">
        <v>1.6285000000000001</v>
      </c>
      <c r="AD6653">
        <v>-1.1209113153279999</v>
      </c>
      <c r="AE6653">
        <v>22.58492</v>
      </c>
      <c r="AF6653">
        <v>1.4488897712820501</v>
      </c>
      <c r="AG6653">
        <v>-1.1209113153279999</v>
      </c>
      <c r="AH6653">
        <v>22.541687256058701</v>
      </c>
      <c r="AI6653">
        <v>92.840900900467602</v>
      </c>
      <c r="AJ6653">
        <v>86.322314863372796</v>
      </c>
      <c r="AK6653">
        <v>22.615998498764501</v>
      </c>
      <c r="AL6653">
        <v>80.044736027520301</v>
      </c>
      <c r="AM6653">
        <v>88.784968658409298</v>
      </c>
      <c r="AN6653">
        <v>1.00000002424274</v>
      </c>
    </row>
    <row r="6654" spans="1:40" x14ac:dyDescent="0.25">
      <c r="A6654" t="str">
        <f>"20190303162432847"</f>
        <v>20190303162432847</v>
      </c>
      <c r="B6654" t="str">
        <f>"1551601472831734"</f>
        <v>1551601472831734</v>
      </c>
      <c r="C6654" t="s">
        <v>40</v>
      </c>
      <c r="D6654">
        <v>5.1891600000000002</v>
      </c>
      <c r="E6654">
        <v>0.5177503</v>
      </c>
      <c r="F6654" t="s">
        <v>41</v>
      </c>
      <c r="G6654">
        <v>-185.9239</v>
      </c>
      <c r="H6654" s="1">
        <v>-1.34176899999999E-6</v>
      </c>
      <c r="I6654">
        <v>80.403919999999999</v>
      </c>
      <c r="J6654">
        <v>-187.5549</v>
      </c>
      <c r="K6654">
        <v>1.1209020000000001</v>
      </c>
      <c r="L6654">
        <v>58.074800000000003</v>
      </c>
      <c r="M6654">
        <v>7.77103E-3</v>
      </c>
      <c r="N6654">
        <v>-1.4516029999999999E-2</v>
      </c>
      <c r="O6654">
        <v>0.99986450000000004</v>
      </c>
      <c r="P6654">
        <v>2.9774269999999999E-2</v>
      </c>
      <c r="Q6654">
        <v>0.1575985</v>
      </c>
      <c r="R6654">
        <v>0.98705430000000005</v>
      </c>
      <c r="S6654">
        <v>0.22044369999999999</v>
      </c>
      <c r="T6654">
        <v>-0.15125910000000001</v>
      </c>
      <c r="U6654">
        <v>3.057617</v>
      </c>
      <c r="V6654">
        <v>2.2099520000000001E-2</v>
      </c>
      <c r="W6654">
        <v>0.1719135</v>
      </c>
      <c r="X6654">
        <v>0.98486410000000002</v>
      </c>
      <c r="Y6654">
        <v>6.4082819999999999E-2</v>
      </c>
      <c r="Z6654">
        <v>-3.4792860000000002E-2</v>
      </c>
      <c r="AA6654">
        <v>0.9973379</v>
      </c>
      <c r="AB6654">
        <v>35</v>
      </c>
      <c r="AC6654">
        <v>1.631</v>
      </c>
      <c r="AD6654">
        <v>-1.120903341769</v>
      </c>
      <c r="AE6654">
        <v>22.32912</v>
      </c>
      <c r="AF6654">
        <v>1.4537682152031499</v>
      </c>
      <c r="AG6654">
        <v>-1.120903341769</v>
      </c>
      <c r="AH6654">
        <v>22.285261651296501</v>
      </c>
      <c r="AI6654">
        <v>92.873337569236199</v>
      </c>
      <c r="AJ6654">
        <v>86.267626093634803</v>
      </c>
      <c r="AK6654">
        <v>22.360741338155002</v>
      </c>
      <c r="AL6654">
        <v>80.100907018551396</v>
      </c>
      <c r="AM6654">
        <v>88.714546737281495</v>
      </c>
      <c r="AN6654">
        <v>0.999999967867644</v>
      </c>
    </row>
    <row r="6655" spans="1:40" x14ac:dyDescent="0.25">
      <c r="A6655" t="str">
        <f>"20190303162432871"</f>
        <v>20190303162432871</v>
      </c>
      <c r="B6655" t="str">
        <f>"1551601472861990"</f>
        <v>1551601472861990</v>
      </c>
      <c r="C6655" t="s">
        <v>40</v>
      </c>
      <c r="D6655">
        <v>5.218299</v>
      </c>
      <c r="E6655">
        <v>0.51775769999999999</v>
      </c>
      <c r="F6655" t="s">
        <v>41</v>
      </c>
      <c r="G6655">
        <v>-185.935</v>
      </c>
      <c r="H6655" s="1">
        <v>-1.2695639999999999E-6</v>
      </c>
      <c r="I6655">
        <v>80.200419999999994</v>
      </c>
      <c r="J6655">
        <v>-187.55199999999999</v>
      </c>
      <c r="K6655">
        <v>1.1208990000000001</v>
      </c>
      <c r="L6655">
        <v>58.451349999999998</v>
      </c>
      <c r="M6655">
        <v>7.7469239999999997E-3</v>
      </c>
      <c r="N6655">
        <v>-1.451216E-2</v>
      </c>
      <c r="O6655">
        <v>0.99986470000000005</v>
      </c>
      <c r="P6655">
        <v>3.1142940000000001E-2</v>
      </c>
      <c r="Q6655">
        <v>0.15696370000000001</v>
      </c>
      <c r="R6655">
        <v>0.98711320000000002</v>
      </c>
      <c r="S6655">
        <v>0.2238464</v>
      </c>
      <c r="T6655">
        <v>-0.15488769999999999</v>
      </c>
      <c r="U6655">
        <v>3.0573429999999999</v>
      </c>
      <c r="V6655">
        <v>2.349149E-2</v>
      </c>
      <c r="W6655">
        <v>0.1712755</v>
      </c>
      <c r="X6655">
        <v>0.98494309999999996</v>
      </c>
      <c r="Y6655">
        <v>6.5213300000000002E-2</v>
      </c>
      <c r="Z6655">
        <v>-3.5977679999999998E-2</v>
      </c>
      <c r="AA6655">
        <v>0.99722250000000001</v>
      </c>
      <c r="AB6655">
        <v>35</v>
      </c>
      <c r="AC6655">
        <v>1.61700000000001</v>
      </c>
      <c r="AD6655">
        <v>-1.12090026956399</v>
      </c>
      <c r="AE6655">
        <v>21.74907</v>
      </c>
      <c r="AF6655">
        <v>1.44462927483945</v>
      </c>
      <c r="AG6655">
        <v>-1.12090026956399</v>
      </c>
      <c r="AH6655">
        <v>21.703614169162702</v>
      </c>
      <c r="AI6655">
        <v>92.949942998301495</v>
      </c>
      <c r="AJ6655">
        <v>86.191913217273296</v>
      </c>
      <c r="AK6655">
        <v>21.780501352354399</v>
      </c>
      <c r="AL6655">
        <v>80.138012687666503</v>
      </c>
      <c r="AM6655">
        <v>88.633719957172701</v>
      </c>
      <c r="AN6655">
        <v>1.00000002862013</v>
      </c>
    </row>
    <row r="6656" spans="1:40" x14ac:dyDescent="0.25">
      <c r="A6656" t="str">
        <f>"20190303162432893"</f>
        <v>20190303162432893</v>
      </c>
      <c r="B6656" t="str">
        <f>"1551601472881510"</f>
        <v>1551601472881510</v>
      </c>
      <c r="C6656" t="s">
        <v>40</v>
      </c>
      <c r="D6656">
        <v>5.2508140000000001</v>
      </c>
      <c r="E6656">
        <v>0.51771369999999906</v>
      </c>
      <c r="F6656" t="s">
        <v>41</v>
      </c>
      <c r="G6656">
        <v>-185.90799999999999</v>
      </c>
      <c r="H6656" s="1">
        <v>-1.382648E-6</v>
      </c>
      <c r="I6656">
        <v>80.511619999999994</v>
      </c>
      <c r="J6656">
        <v>-187.54939999999999</v>
      </c>
      <c r="K6656">
        <v>1.1208979999999999</v>
      </c>
      <c r="L6656">
        <v>58.7909199999999</v>
      </c>
      <c r="M6656">
        <v>7.7249279999999998E-3</v>
      </c>
      <c r="N6656">
        <v>-1.4508760000000001E-2</v>
      </c>
      <c r="O6656">
        <v>0.99986489999999995</v>
      </c>
      <c r="P6656">
        <v>3.2272120000000001E-2</v>
      </c>
      <c r="Q6656">
        <v>0.15657779999999999</v>
      </c>
      <c r="R6656">
        <v>0.98713819999999997</v>
      </c>
      <c r="S6656">
        <v>0.22779849999999999</v>
      </c>
      <c r="T6656">
        <v>-0.1553119</v>
      </c>
      <c r="U6656">
        <v>3.0566710000000001</v>
      </c>
      <c r="V6656">
        <v>2.4642210000000001E-2</v>
      </c>
      <c r="W6656">
        <v>0.17088699999999901</v>
      </c>
      <c r="X6656">
        <v>0.98498240000000004</v>
      </c>
      <c r="Y6656">
        <v>6.6532389999999997E-2</v>
      </c>
      <c r="Z6656">
        <v>-3.6125589999999999E-2</v>
      </c>
      <c r="AA6656">
        <v>0.99713010000000002</v>
      </c>
      <c r="AB6656">
        <v>35</v>
      </c>
      <c r="AC6656">
        <v>1.6414</v>
      </c>
      <c r="AD6656">
        <v>-1.120899382648</v>
      </c>
      <c r="AE6656">
        <v>21.720700000000001</v>
      </c>
      <c r="AF6656">
        <v>1.4696509196668299</v>
      </c>
      <c r="AG6656">
        <v>-1.120899382648</v>
      </c>
      <c r="AH6656">
        <v>21.675337217456701</v>
      </c>
      <c r="AI6656">
        <v>92.953537497496995</v>
      </c>
      <c r="AJ6656">
        <v>86.121116244846903</v>
      </c>
      <c r="AK6656">
        <v>21.754000384806599</v>
      </c>
      <c r="AL6656">
        <v>80.160604565988194</v>
      </c>
      <c r="AM6656">
        <v>88.566877768662707</v>
      </c>
      <c r="AN6656">
        <v>0.99999996679622105</v>
      </c>
    </row>
    <row r="6657" spans="1:40" x14ac:dyDescent="0.25">
      <c r="A6657" t="str">
        <f>"20190303162432914"</f>
        <v>20190303162432914</v>
      </c>
      <c r="B6657" t="str">
        <f>"1551601472901031"</f>
        <v>1551601472901031</v>
      </c>
      <c r="C6657" t="s">
        <v>40</v>
      </c>
      <c r="D6657">
        <v>5.2358760000000002</v>
      </c>
      <c r="E6657">
        <v>0.51770159999999998</v>
      </c>
      <c r="F6657" t="s">
        <v>41</v>
      </c>
      <c r="G6657">
        <v>-185.89410000000001</v>
      </c>
      <c r="H6657" s="1">
        <v>-1.4534539999999999E-6</v>
      </c>
      <c r="I6657">
        <v>80.708849999999998</v>
      </c>
      <c r="J6657">
        <v>-187.54679999999999</v>
      </c>
      <c r="K6657">
        <v>1.1208979999999999</v>
      </c>
      <c r="L6657">
        <v>59.129759999999997</v>
      </c>
      <c r="M6657">
        <v>7.7029169999999897E-3</v>
      </c>
      <c r="N6657">
        <v>-1.4505179999999999E-2</v>
      </c>
      <c r="O6657">
        <v>0.99986509999999995</v>
      </c>
      <c r="P6657">
        <v>3.3743839999999997E-2</v>
      </c>
      <c r="Q6657">
        <v>0.15625929999999999</v>
      </c>
      <c r="R6657">
        <v>0.98713949999999995</v>
      </c>
      <c r="S6657">
        <v>0.23081969999999999</v>
      </c>
      <c r="T6657">
        <v>-0.15630339999999901</v>
      </c>
      <c r="U6657">
        <v>3.0563349999999998</v>
      </c>
      <c r="V6657">
        <v>2.613567E-2</v>
      </c>
      <c r="W6657">
        <v>0.1705652</v>
      </c>
      <c r="X6657">
        <v>0.98499970000000003</v>
      </c>
      <c r="Y6657">
        <v>6.7541089999999998E-2</v>
      </c>
      <c r="Z6657">
        <v>-3.6453680000000002E-2</v>
      </c>
      <c r="AA6657">
        <v>0.99705029999999994</v>
      </c>
      <c r="AB6657">
        <v>35</v>
      </c>
      <c r="AC6657">
        <v>1.6526999999999801</v>
      </c>
      <c r="AD6657">
        <v>-1.120899453454</v>
      </c>
      <c r="AE6657">
        <v>21.579090000000001</v>
      </c>
      <c r="AF6657">
        <v>1.4824350093021501</v>
      </c>
      <c r="AG6657">
        <v>-1.120899453454</v>
      </c>
      <c r="AH6657">
        <v>21.533419896995198</v>
      </c>
      <c r="AI6657">
        <v>92.972758356948205</v>
      </c>
      <c r="AJ6657">
        <v>86.061774412535499</v>
      </c>
      <c r="AK6657">
        <v>21.613472687235301</v>
      </c>
      <c r="AL6657">
        <v>80.1793172548157</v>
      </c>
      <c r="AM6657">
        <v>88.480088561254306</v>
      </c>
      <c r="AN6657">
        <v>0.99999998484873898</v>
      </c>
    </row>
    <row r="6658" spans="1:40" x14ac:dyDescent="0.25">
      <c r="A6658" t="str">
        <f>"20190303162432937"</f>
        <v>20190303162432937</v>
      </c>
      <c r="B6658" t="str">
        <f>"1551601472932262"</f>
        <v>1551601472932262</v>
      </c>
      <c r="C6658" t="s">
        <v>40</v>
      </c>
      <c r="D6658">
        <v>5.2718020000000001</v>
      </c>
      <c r="E6658">
        <v>0.51768080000000005</v>
      </c>
      <c r="F6658" t="s">
        <v>41</v>
      </c>
      <c r="G6658">
        <v>-185.86070000000001</v>
      </c>
      <c r="H6658" s="1">
        <v>-1.567545E-6</v>
      </c>
      <c r="I6658">
        <v>81.017969999999906</v>
      </c>
      <c r="J6658">
        <v>-187.54419999999999</v>
      </c>
      <c r="K6658">
        <v>1.120897</v>
      </c>
      <c r="L6658">
        <v>59.474609999999998</v>
      </c>
      <c r="M6658">
        <v>7.6805869999999896E-3</v>
      </c>
      <c r="N6658">
        <v>-1.4501389999999999E-2</v>
      </c>
      <c r="O6658">
        <v>0.99986540000000002</v>
      </c>
      <c r="P6658">
        <v>3.4439009999999999E-2</v>
      </c>
      <c r="Q6658">
        <v>0.1557646</v>
      </c>
      <c r="R6658">
        <v>0.9871936</v>
      </c>
      <c r="S6658">
        <v>0.2353973</v>
      </c>
      <c r="T6658">
        <v>-0.15648889999999999</v>
      </c>
      <c r="U6658">
        <v>3.0558169999999998</v>
      </c>
      <c r="V6658">
        <v>2.6852480000000001E-2</v>
      </c>
      <c r="W6658">
        <v>0.17006760000000001</v>
      </c>
      <c r="X6658">
        <v>0.98506649999999996</v>
      </c>
      <c r="Y6658">
        <v>6.9060010000000005E-2</v>
      </c>
      <c r="Z6658">
        <v>-3.6520950000000003E-2</v>
      </c>
      <c r="AA6658">
        <v>0.99694380000000005</v>
      </c>
      <c r="AB6658">
        <v>35</v>
      </c>
      <c r="AC6658">
        <v>1.68349999999998</v>
      </c>
      <c r="AD6658">
        <v>-1.1208985675450001</v>
      </c>
      <c r="AE6658">
        <v>21.54336</v>
      </c>
      <c r="AF6658">
        <v>1.5138938884369</v>
      </c>
      <c r="AG6658">
        <v>-1.1208985675450001</v>
      </c>
      <c r="AH6658">
        <v>21.4978123535418</v>
      </c>
      <c r="AI6658">
        <v>92.977346157849794</v>
      </c>
      <c r="AJ6658">
        <v>85.9718332894019</v>
      </c>
      <c r="AK6658">
        <v>21.580181284972198</v>
      </c>
      <c r="AL6658">
        <v>80.208250779965397</v>
      </c>
      <c r="AM6658">
        <v>88.438528914699901</v>
      </c>
      <c r="AN6658">
        <v>1.0000000268370699</v>
      </c>
    </row>
    <row r="6659" spans="1:40" x14ac:dyDescent="0.25">
      <c r="A6659" t="str">
        <f>"20190303162432959"</f>
        <v>20190303162432959</v>
      </c>
      <c r="B6659" t="str">
        <f>"1551601472951783"</f>
        <v>1551601472951783</v>
      </c>
      <c r="C6659" t="s">
        <v>40</v>
      </c>
      <c r="D6659">
        <v>5.2604769999999998</v>
      </c>
      <c r="E6659">
        <v>0.5177214</v>
      </c>
      <c r="F6659" t="s">
        <v>41</v>
      </c>
      <c r="G6659">
        <v>-185.852</v>
      </c>
      <c r="H6659" s="1">
        <v>-1.655887E-6</v>
      </c>
      <c r="I6659">
        <v>81.270740000000004</v>
      </c>
      <c r="J6659">
        <v>-187.54150000000001</v>
      </c>
      <c r="K6659">
        <v>1.120895</v>
      </c>
      <c r="L6659">
        <v>59.824680000000001</v>
      </c>
      <c r="M6659">
        <v>7.6579400000000002E-3</v>
      </c>
      <c r="N6659">
        <v>-1.449754E-2</v>
      </c>
      <c r="O6659">
        <v>0.99986560000000002</v>
      </c>
      <c r="P6659">
        <v>3.4509489999999997E-2</v>
      </c>
      <c r="Q6659">
        <v>0.15577260000000001</v>
      </c>
      <c r="R6659">
        <v>0.98718989999999995</v>
      </c>
      <c r="S6659">
        <v>0.23721310000000001</v>
      </c>
      <c r="T6659">
        <v>-0.15712950000000001</v>
      </c>
      <c r="U6659">
        <v>3.0554199999999998</v>
      </c>
      <c r="V6659">
        <v>2.6945360000000002E-2</v>
      </c>
      <c r="W6659">
        <v>0.1700718</v>
      </c>
      <c r="X6659">
        <v>0.98506320000000003</v>
      </c>
      <c r="Y6659">
        <v>6.9680439999999996E-2</v>
      </c>
      <c r="Z6659">
        <v>-3.6737560000000002E-2</v>
      </c>
      <c r="AA6659">
        <v>0.99689269999999996</v>
      </c>
      <c r="AB6659">
        <v>35</v>
      </c>
      <c r="AC6659">
        <v>1.6895</v>
      </c>
      <c r="AD6659">
        <v>-1.1208966558869999</v>
      </c>
      <c r="AE6659">
        <v>21.446059999999999</v>
      </c>
      <c r="AF6659">
        <v>1.5210710389086</v>
      </c>
      <c r="AG6659">
        <v>-1.1208966558869999</v>
      </c>
      <c r="AH6659">
        <v>21.4002714957563</v>
      </c>
      <c r="AI6659">
        <v>92.9907490676121</v>
      </c>
      <c r="AJ6659">
        <v>85.934414526934304</v>
      </c>
      <c r="AK6659">
        <v>21.483521278195202</v>
      </c>
      <c r="AL6659">
        <v>80.208006203953204</v>
      </c>
      <c r="AM6659">
        <v>88.433125386151204</v>
      </c>
      <c r="AN6659">
        <v>0.99999998878750396</v>
      </c>
    </row>
    <row r="6660" spans="1:40" x14ac:dyDescent="0.25">
      <c r="A6660" t="str">
        <f>"20190303162432982"</f>
        <v>20190303162432982</v>
      </c>
      <c r="B6660" t="str">
        <f>"1551601472971302"</f>
        <v>1551601472971302</v>
      </c>
      <c r="C6660" t="s">
        <v>40</v>
      </c>
      <c r="D6660">
        <v>5.2868700000000004</v>
      </c>
      <c r="E6660">
        <v>0.51773440000000004</v>
      </c>
      <c r="F6660" t="s">
        <v>41</v>
      </c>
      <c r="G6660">
        <v>-185.83510000000001</v>
      </c>
      <c r="H6660" s="1">
        <v>-1.832682E-6</v>
      </c>
      <c r="I6660">
        <v>81.777069999999995</v>
      </c>
      <c r="J6660">
        <v>-187.53890000000001</v>
      </c>
      <c r="K6660">
        <v>1.120897</v>
      </c>
      <c r="L6660">
        <v>60.167659999999998</v>
      </c>
      <c r="M6660">
        <v>7.6357939999999996E-3</v>
      </c>
      <c r="N6660">
        <v>-1.4493829999999999E-2</v>
      </c>
      <c r="O6660">
        <v>0.99986580000000003</v>
      </c>
      <c r="P6660">
        <v>3.4256699999999897E-2</v>
      </c>
      <c r="Q6660">
        <v>0.15617539999999999</v>
      </c>
      <c r="R6660">
        <v>0.98713510000000004</v>
      </c>
      <c r="S6660">
        <v>0.2374878</v>
      </c>
      <c r="T6660">
        <v>-0.15600139999999901</v>
      </c>
      <c r="U6660">
        <v>3.055237</v>
      </c>
      <c r="V6660">
        <v>2.671488E-2</v>
      </c>
      <c r="W6660">
        <v>0.17047029999999999</v>
      </c>
      <c r="X6660">
        <v>0.9850006</v>
      </c>
      <c r="Y6660">
        <v>6.9797399999999996E-2</v>
      </c>
      <c r="Z6660">
        <v>-3.6376940000000003E-2</v>
      </c>
      <c r="AA6660">
        <v>0.9968977</v>
      </c>
      <c r="AB6660">
        <v>35</v>
      </c>
      <c r="AC6660">
        <v>1.7038</v>
      </c>
      <c r="AD6660">
        <v>-1.120898832682</v>
      </c>
      <c r="AE6660">
        <v>21.60941</v>
      </c>
      <c r="AF6660">
        <v>1.5346244502684701</v>
      </c>
      <c r="AG6660">
        <v>-1.120898832682</v>
      </c>
      <c r="AH6660">
        <v>21.564129414449301</v>
      </c>
      <c r="AI6660">
        <v>92.968051465161494</v>
      </c>
      <c r="AJ6660">
        <v>85.929373530035093</v>
      </c>
      <c r="AK6660">
        <v>21.647705739860498</v>
      </c>
      <c r="AL6660">
        <v>80.184835540989894</v>
      </c>
      <c r="AM6660">
        <v>88.4464225386875</v>
      </c>
      <c r="AN6660">
        <v>0.99999999499793202</v>
      </c>
    </row>
    <row r="6661" spans="1:40" x14ac:dyDescent="0.25">
      <c r="A6661" t="str">
        <f>"20190303162433003"</f>
        <v>20190303162433003</v>
      </c>
      <c r="B6661" t="str">
        <f>"1551601472991798"</f>
        <v>1551601472991798</v>
      </c>
      <c r="C6661" t="s">
        <v>40</v>
      </c>
      <c r="D6661">
        <v>5.2682339999999996</v>
      </c>
      <c r="E6661">
        <v>0.51774259999999905</v>
      </c>
      <c r="F6661" t="s">
        <v>41</v>
      </c>
      <c r="G6661">
        <v>-185.82089999999999</v>
      </c>
      <c r="H6661" s="1">
        <v>-2.0337110000000002E-6</v>
      </c>
      <c r="I6661">
        <v>82.356700000000004</v>
      </c>
      <c r="J6661">
        <v>-187.53630000000001</v>
      </c>
      <c r="K6661">
        <v>1.1209039999999999</v>
      </c>
      <c r="L6661">
        <v>60.504269999999998</v>
      </c>
      <c r="M6661">
        <v>7.6143169999999998E-3</v>
      </c>
      <c r="N6661">
        <v>-1.44902E-2</v>
      </c>
      <c r="O6661">
        <v>0.99986600000000003</v>
      </c>
      <c r="P6661">
        <v>3.4021790000000003E-2</v>
      </c>
      <c r="Q6661">
        <v>0.1571871</v>
      </c>
      <c r="R6661">
        <v>0.98698260000000004</v>
      </c>
      <c r="S6661">
        <v>0.23655699999999999</v>
      </c>
      <c r="T6661">
        <v>-0.15434100000000001</v>
      </c>
      <c r="U6661">
        <v>3.0552980000000001</v>
      </c>
      <c r="V6661">
        <v>2.6502270000000001E-2</v>
      </c>
      <c r="W6661">
        <v>0.1714762</v>
      </c>
      <c r="X6661">
        <v>0.98483180000000003</v>
      </c>
      <c r="Y6661">
        <v>6.9517309999999999E-2</v>
      </c>
      <c r="Z6661">
        <v>-3.5840400000000001E-2</v>
      </c>
      <c r="AA6661">
        <v>0.99693670000000001</v>
      </c>
      <c r="AB6661">
        <v>35</v>
      </c>
      <c r="AC6661">
        <v>1.71540000000001</v>
      </c>
      <c r="AD6661">
        <v>-1.1209060337109999</v>
      </c>
      <c r="AE6661">
        <v>21.852429999999998</v>
      </c>
      <c r="AF6661">
        <v>1.54490154702034</v>
      </c>
      <c r="AG6661">
        <v>-1.1209060337109999</v>
      </c>
      <c r="AH6661">
        <v>21.807831965298899</v>
      </c>
      <c r="AI6661">
        <v>92.9350276927686</v>
      </c>
      <c r="AJ6661">
        <v>85.947845305241501</v>
      </c>
      <c r="AK6661">
        <v>21.8912011126185</v>
      </c>
      <c r="AL6661">
        <v>80.126341118762994</v>
      </c>
      <c r="AM6661">
        <v>88.458516638682795</v>
      </c>
      <c r="AN6661">
        <v>1.0000000658864101</v>
      </c>
    </row>
    <row r="6662" spans="1:40" x14ac:dyDescent="0.25">
      <c r="A6662" t="str">
        <f>"20190303162433024"</f>
        <v>20190303162433024</v>
      </c>
      <c r="B6662" t="str">
        <f>"1551601473011319"</f>
        <v>1551601473011319</v>
      </c>
      <c r="C6662" t="s">
        <v>40</v>
      </c>
      <c r="D6662">
        <v>5.2795839999999998</v>
      </c>
      <c r="E6662">
        <v>0.51772770000000001</v>
      </c>
      <c r="F6662" t="s">
        <v>41</v>
      </c>
      <c r="G6662">
        <v>-185.7825</v>
      </c>
      <c r="H6662" s="1">
        <v>-2.3461989999999998E-6</v>
      </c>
      <c r="I6662">
        <v>83.244950000000003</v>
      </c>
      <c r="J6662">
        <v>-187.53380000000001</v>
      </c>
      <c r="K6662">
        <v>1.1209100000000001</v>
      </c>
      <c r="L6662">
        <v>60.844360000000002</v>
      </c>
      <c r="M6662">
        <v>7.5921699999999996E-3</v>
      </c>
      <c r="N6662">
        <v>-1.4486519999999999E-2</v>
      </c>
      <c r="O6662">
        <v>0.99986620000000004</v>
      </c>
      <c r="P6662">
        <v>3.3979699999999897E-2</v>
      </c>
      <c r="Q6662">
        <v>0.15844920000000001</v>
      </c>
      <c r="R6662">
        <v>0.9867823</v>
      </c>
      <c r="S6662">
        <v>0.2356415</v>
      </c>
      <c r="T6662">
        <v>-0.15060409999999999</v>
      </c>
      <c r="U6662">
        <v>3.0554199999999998</v>
      </c>
      <c r="V6662">
        <v>2.6483639999999999E-2</v>
      </c>
      <c r="W6662">
        <v>0.17273129999999901</v>
      </c>
      <c r="X6662">
        <v>0.98461290000000001</v>
      </c>
      <c r="Y6662">
        <v>6.9243429999999995E-2</v>
      </c>
      <c r="Z6662">
        <v>-3.4627199999999997E-2</v>
      </c>
      <c r="AA6662">
        <v>0.99699870000000002</v>
      </c>
      <c r="AB6662">
        <v>35</v>
      </c>
      <c r="AC6662">
        <v>1.7513000000000101</v>
      </c>
      <c r="AD6662">
        <v>-1.120912346199</v>
      </c>
      <c r="AE6662">
        <v>22.400590000000001</v>
      </c>
      <c r="AF6662">
        <v>1.5772372536999</v>
      </c>
      <c r="AG6662">
        <v>-1.120912346199</v>
      </c>
      <c r="AH6662">
        <v>22.357599771279698</v>
      </c>
      <c r="AI6662">
        <v>92.863053221539403</v>
      </c>
      <c r="AJ6662">
        <v>85.964702340807094</v>
      </c>
      <c r="AK6662">
        <v>22.4411762030212</v>
      </c>
      <c r="AL6662">
        <v>80.053339501430202</v>
      </c>
      <c r="AM6662">
        <v>88.459257417403407</v>
      </c>
      <c r="AN6662">
        <v>1.00000002401687</v>
      </c>
    </row>
    <row r="6663" spans="1:40" x14ac:dyDescent="0.25">
      <c r="A6663" t="str">
        <f>"20190303162433048"</f>
        <v>20190303162433048</v>
      </c>
      <c r="B6663" t="str">
        <f>"1551601473041574"</f>
        <v>1551601473041574</v>
      </c>
      <c r="C6663" t="s">
        <v>40</v>
      </c>
      <c r="D6663">
        <v>5.2455790000000002</v>
      </c>
      <c r="E6663">
        <v>0.51769989999999999</v>
      </c>
      <c r="F6663" t="s">
        <v>41</v>
      </c>
      <c r="G6663">
        <v>-185.73220000000001</v>
      </c>
      <c r="H6663" s="1">
        <v>-2.7508239999999998E-6</v>
      </c>
      <c r="I6663">
        <v>84.280330000000006</v>
      </c>
      <c r="J6663">
        <v>-187.53110000000001</v>
      </c>
      <c r="K6663">
        <v>1.1209129999999901</v>
      </c>
      <c r="L6663">
        <v>61.197600000000001</v>
      </c>
      <c r="M6663">
        <v>7.5693139999999997E-3</v>
      </c>
      <c r="N6663">
        <v>-1.448289E-2</v>
      </c>
      <c r="O6663">
        <v>0.99986649999999999</v>
      </c>
      <c r="P6663">
        <v>3.4293259999999999E-2</v>
      </c>
      <c r="Q6663">
        <v>0.1589409</v>
      </c>
      <c r="R6663">
        <v>0.98669229999999997</v>
      </c>
      <c r="S6663">
        <v>0.23489380000000001</v>
      </c>
      <c r="T6663">
        <v>-0.1461442</v>
      </c>
      <c r="U6663">
        <v>3.0555729999999999</v>
      </c>
      <c r="V6663">
        <v>2.6820460000000001E-2</v>
      </c>
      <c r="W6663">
        <v>0.17321829999999999</v>
      </c>
      <c r="X6663">
        <v>0.98451820000000001</v>
      </c>
      <c r="Y6663">
        <v>6.9024500000000003E-2</v>
      </c>
      <c r="Z6663">
        <v>-3.31778E-2</v>
      </c>
      <c r="AA6663">
        <v>0.99706309999999998</v>
      </c>
      <c r="AB6663">
        <v>35</v>
      </c>
      <c r="AC6663">
        <v>1.7988999999999999</v>
      </c>
      <c r="AD6663">
        <v>-1.12091575082399</v>
      </c>
      <c r="AE6663">
        <v>23.082730000000002</v>
      </c>
      <c r="AF6663">
        <v>1.6203118288674601</v>
      </c>
      <c r="AG6663">
        <v>-1.12091575082399</v>
      </c>
      <c r="AH6663">
        <v>23.041678721827498</v>
      </c>
      <c r="AI6663">
        <v>92.778240080043005</v>
      </c>
      <c r="AJ6663">
        <v>85.977530303553394</v>
      </c>
      <c r="AK6663">
        <v>23.1257609791144</v>
      </c>
      <c r="AL6663">
        <v>80.025009187967996</v>
      </c>
      <c r="AM6663">
        <v>88.439521804750299</v>
      </c>
      <c r="AN6663">
        <v>1.00000000133037</v>
      </c>
    </row>
    <row r="6664" spans="1:40" x14ac:dyDescent="0.25">
      <c r="A6664" t="str">
        <f>"20190303162433071"</f>
        <v>20190303162433071</v>
      </c>
      <c r="B6664" t="str">
        <f>"1551601473061601"</f>
        <v>1551601473061601</v>
      </c>
      <c r="C6664" t="s">
        <v>40</v>
      </c>
      <c r="D6664">
        <v>5.2725269999999904</v>
      </c>
      <c r="E6664">
        <v>0.51769790000000004</v>
      </c>
      <c r="F6664" t="s">
        <v>41</v>
      </c>
      <c r="G6664">
        <v>-185.6961</v>
      </c>
      <c r="H6664" s="1">
        <v>-3.0543070000000001E-6</v>
      </c>
      <c r="I6664">
        <v>84.972849999999994</v>
      </c>
      <c r="J6664">
        <v>-187.5284</v>
      </c>
      <c r="K6664">
        <v>1.1209150000000001</v>
      </c>
      <c r="L6664">
        <v>61.554989999999997</v>
      </c>
      <c r="M6664">
        <v>7.5460529999999996E-3</v>
      </c>
      <c r="N6664">
        <v>-1.4479179999999999E-2</v>
      </c>
      <c r="O6664">
        <v>0.9998667</v>
      </c>
      <c r="P6664">
        <v>3.4570759999999999E-2</v>
      </c>
      <c r="Q6664">
        <v>0.15960299999999999</v>
      </c>
      <c r="R6664">
        <v>0.9865758</v>
      </c>
      <c r="S6664">
        <v>0.2358246</v>
      </c>
      <c r="T6664">
        <v>-0.14405479999999901</v>
      </c>
      <c r="U6664">
        <v>3.0554809999999999</v>
      </c>
      <c r="V6664">
        <v>2.7121840000000001E-2</v>
      </c>
      <c r="W6664">
        <v>0.173874799999999</v>
      </c>
      <c r="X6664">
        <v>0.9843942</v>
      </c>
      <c r="Y6664">
        <v>6.9353849999999995E-2</v>
      </c>
      <c r="Z6664">
        <v>-3.2501780000000001E-2</v>
      </c>
      <c r="AA6664">
        <v>0.99706249999999996</v>
      </c>
      <c r="AB6664">
        <v>35</v>
      </c>
      <c r="AC6664">
        <v>1.8323</v>
      </c>
      <c r="AD6664">
        <v>-1.1209180543070001</v>
      </c>
      <c r="AE6664">
        <v>23.417859999999902</v>
      </c>
      <c r="AF6664">
        <v>1.65175549122479</v>
      </c>
      <c r="AG6664">
        <v>-1.1209180543070001</v>
      </c>
      <c r="AH6664">
        <v>23.377785120752101</v>
      </c>
      <c r="AI6664">
        <v>92.738299654677903</v>
      </c>
      <c r="AJ6664">
        <v>85.958487700711302</v>
      </c>
      <c r="AK6664">
        <v>23.4628555516868</v>
      </c>
      <c r="AL6664">
        <v>79.986814827537302</v>
      </c>
      <c r="AM6664">
        <v>88.421796941630603</v>
      </c>
      <c r="AN6664">
        <v>0.99999999063683198</v>
      </c>
    </row>
    <row r="6665" spans="1:40" x14ac:dyDescent="0.25">
      <c r="A6665" t="str">
        <f>"20190303162433094"</f>
        <v>20190303162433094</v>
      </c>
      <c r="B6665" t="str">
        <f>"1551601473081122"</f>
        <v>1551601473081122</v>
      </c>
      <c r="C6665" t="s">
        <v>40</v>
      </c>
      <c r="D6665">
        <v>5.1987949999999996</v>
      </c>
      <c r="E6665">
        <v>0.51774909999999996</v>
      </c>
      <c r="F6665" t="s">
        <v>41</v>
      </c>
      <c r="G6665">
        <v>-185.6551</v>
      </c>
      <c r="H6665" s="1">
        <v>-3.3894620000000001E-6</v>
      </c>
      <c r="I6665">
        <v>85.737139999999997</v>
      </c>
      <c r="J6665">
        <v>-187.5257</v>
      </c>
      <c r="K6665">
        <v>1.120919</v>
      </c>
      <c r="L6665">
        <v>61.91666</v>
      </c>
      <c r="M6665">
        <v>7.5225969999999998E-3</v>
      </c>
      <c r="N6665">
        <v>-1.4475419999999999E-2</v>
      </c>
      <c r="O6665">
        <v>0.9998669</v>
      </c>
      <c r="P6665">
        <v>3.4620489999999997E-2</v>
      </c>
      <c r="Q6665">
        <v>0.1601061</v>
      </c>
      <c r="R6665">
        <v>0.98649249999999999</v>
      </c>
      <c r="S6665">
        <v>0.2366943</v>
      </c>
      <c r="T6665">
        <v>-0.14162829999999901</v>
      </c>
      <c r="U6665">
        <v>3.0554199999999998</v>
      </c>
      <c r="V6665">
        <v>2.719537E-2</v>
      </c>
      <c r="W6665">
        <v>0.174373</v>
      </c>
      <c r="X6665">
        <v>0.98430410000000002</v>
      </c>
      <c r="Y6665">
        <v>6.9663130000000004E-2</v>
      </c>
      <c r="Z6665">
        <v>-3.1715609999999998E-2</v>
      </c>
      <c r="AA6665">
        <v>0.99706629999999996</v>
      </c>
      <c r="AB6665">
        <v>34</v>
      </c>
      <c r="AC6665">
        <v>1.87059999999999</v>
      </c>
      <c r="AD6665">
        <v>-1.120922389462</v>
      </c>
      <c r="AE6665">
        <v>23.82048</v>
      </c>
      <c r="AF6665">
        <v>1.68762229212349</v>
      </c>
      <c r="AG6665">
        <v>-1.120922389462</v>
      </c>
      <c r="AH6665">
        <v>23.781540744774201</v>
      </c>
      <c r="AI6665">
        <v>92.6918305728082</v>
      </c>
      <c r="AJ6665">
        <v>85.940893243782</v>
      </c>
      <c r="AK6665">
        <v>23.8676814164976</v>
      </c>
      <c r="AL6665">
        <v>79.957827812665698</v>
      </c>
      <c r="AM6665">
        <v>88.417375667810305</v>
      </c>
      <c r="AN6665">
        <v>1.00000004627762</v>
      </c>
    </row>
    <row r="6666" spans="1:40" x14ac:dyDescent="0.25">
      <c r="A6666" t="str">
        <f>"20190303162433138"</f>
        <v>20190303162433138</v>
      </c>
      <c r="B6666" t="str">
        <f>"1551601473131872"</f>
        <v>1551601473131872</v>
      </c>
      <c r="C6666" t="s">
        <v>40</v>
      </c>
      <c r="D6666">
        <v>5.3758920000000003</v>
      </c>
      <c r="E6666">
        <v>0.50175779999999903</v>
      </c>
      <c r="F6666" t="s">
        <v>41</v>
      </c>
      <c r="G6666">
        <v>-185.62610000000001</v>
      </c>
      <c r="H6666" s="1">
        <v>-3.695567E-6</v>
      </c>
      <c r="I6666">
        <v>86.438689999999994</v>
      </c>
      <c r="J6666">
        <v>-187.52070000000001</v>
      </c>
      <c r="K6666">
        <v>1.120914</v>
      </c>
      <c r="L6666">
        <v>62.588009999999997</v>
      </c>
      <c r="M6666">
        <v>7.4792790000000001E-3</v>
      </c>
      <c r="N6666">
        <v>-1.4468440000000001E-2</v>
      </c>
      <c r="O6666">
        <v>0.99986739999999996</v>
      </c>
      <c r="P6666">
        <v>3.4497449999999999E-2</v>
      </c>
      <c r="Q6666">
        <v>0.16033539999999999</v>
      </c>
      <c r="R6666">
        <v>0.98645959999999999</v>
      </c>
      <c r="S6666">
        <v>0.2366943</v>
      </c>
      <c r="T6666">
        <v>-0.139667299999999</v>
      </c>
      <c r="U6666">
        <v>3.05545</v>
      </c>
      <c r="V6666">
        <v>2.7115299999999998E-2</v>
      </c>
      <c r="W6666">
        <v>0.1745951</v>
      </c>
      <c r="X6666">
        <v>0.98426689999999994</v>
      </c>
      <c r="Y6666">
        <v>6.9707430000000001E-2</v>
      </c>
      <c r="Z6666">
        <v>-3.1083690000000001E-2</v>
      </c>
      <c r="AA6666">
        <v>0.9970831</v>
      </c>
      <c r="AB6666">
        <v>34</v>
      </c>
      <c r="AC6666">
        <v>1.8945999999999901</v>
      </c>
      <c r="AD6666">
        <v>-1.1209176955669999</v>
      </c>
      <c r="AE6666">
        <v>23.850680000000001</v>
      </c>
      <c r="AF6666">
        <v>1.7123839345870999</v>
      </c>
      <c r="AG6666">
        <v>-1.1209176955669999</v>
      </c>
      <c r="AH6666">
        <v>23.8119197704298</v>
      </c>
      <c r="AI6666">
        <v>92.688209032527993</v>
      </c>
      <c r="AJ6666">
        <v>85.886775700167505</v>
      </c>
      <c r="AK6666">
        <v>23.899712098120599</v>
      </c>
      <c r="AL6666">
        <v>79.944903797682201</v>
      </c>
      <c r="AM6666">
        <v>88.421973343516697</v>
      </c>
      <c r="AN6666">
        <v>1.00000000943685</v>
      </c>
    </row>
    <row r="6667" spans="1:40" x14ac:dyDescent="0.25">
      <c r="A6667" t="str">
        <f>"20190303162433160"</f>
        <v>20190303162433160</v>
      </c>
      <c r="B6667" t="str">
        <f>"1551601473151393"</f>
        <v>1551601473151393</v>
      </c>
      <c r="C6667" t="s">
        <v>40</v>
      </c>
      <c r="D6667">
        <v>5.3743670000000003</v>
      </c>
      <c r="E6667">
        <v>0.4960444</v>
      </c>
      <c r="F6667" t="s">
        <v>41</v>
      </c>
      <c r="G6667">
        <v>-186.42679999999999</v>
      </c>
      <c r="H6667" s="1">
        <v>-2.1168420000000001E-6</v>
      </c>
      <c r="I6667">
        <v>93.074740000000006</v>
      </c>
      <c r="J6667">
        <v>-187.51830000000001</v>
      </c>
      <c r="K6667">
        <v>1.1209089999999999</v>
      </c>
      <c r="L6667">
        <v>62.918880000000001</v>
      </c>
      <c r="M6667">
        <v>7.457923E-3</v>
      </c>
      <c r="N6667">
        <v>-1.446503E-2</v>
      </c>
      <c r="O6667">
        <v>0.99986759999999997</v>
      </c>
      <c r="P6667">
        <v>3.466694E-2</v>
      </c>
      <c r="Q6667">
        <v>0.16055999999999901</v>
      </c>
      <c r="R6667">
        <v>0.98641710000000005</v>
      </c>
      <c r="S6667">
        <v>0.10963440000000001</v>
      </c>
      <c r="T6667">
        <v>-0.1123464</v>
      </c>
      <c r="U6667">
        <v>3.0556030000000001</v>
      </c>
      <c r="V6667">
        <v>2.7306179999999999E-2</v>
      </c>
      <c r="W6667">
        <v>0.17481569999999999</v>
      </c>
      <c r="X6667">
        <v>0.9842225</v>
      </c>
      <c r="Y6667">
        <v>2.8382419999999998E-2</v>
      </c>
      <c r="Z6667">
        <v>-2.2264610000000001E-2</v>
      </c>
      <c r="AA6667">
        <v>0.99934920000000005</v>
      </c>
      <c r="AB6667">
        <v>34</v>
      </c>
      <c r="AC6667">
        <v>1.0915000000000199</v>
      </c>
      <c r="AD6667">
        <v>-1.1209111168419901</v>
      </c>
      <c r="AE6667">
        <v>30.155860000000001</v>
      </c>
      <c r="AF6667">
        <v>0.86535198080182996</v>
      </c>
      <c r="AG6667">
        <v>-1.1209111168419901</v>
      </c>
      <c r="AH6667">
        <v>30.1215992040175</v>
      </c>
      <c r="AI6667">
        <v>92.130278840170902</v>
      </c>
      <c r="AJ6667">
        <v>88.354423932969695</v>
      </c>
      <c r="AK6667">
        <v>30.154867175797701</v>
      </c>
      <c r="AL6667">
        <v>79.932067268512796</v>
      </c>
      <c r="AM6667">
        <v>88.410798741981907</v>
      </c>
      <c r="AN6667">
        <v>1.00000004296946</v>
      </c>
    </row>
    <row r="6668" spans="1:40" x14ac:dyDescent="0.25">
      <c r="A6668" t="str">
        <f>"20190303162433183"</f>
        <v>20190303162433183</v>
      </c>
      <c r="B6668" t="str">
        <f>"1551601473171420"</f>
        <v>1551601473171420</v>
      </c>
      <c r="C6668" t="s">
        <v>40</v>
      </c>
      <c r="D6668">
        <v>5.1354800000000003</v>
      </c>
      <c r="E6668">
        <v>0.49426530000000002</v>
      </c>
      <c r="F6668" t="s">
        <v>41</v>
      </c>
      <c r="G6668">
        <v>-186.75129999999999</v>
      </c>
      <c r="H6668" s="1">
        <v>-4.6832950000000002E-6</v>
      </c>
      <c r="I6668">
        <v>99.206339999999997</v>
      </c>
      <c r="J6668">
        <v>-187.51570000000001</v>
      </c>
      <c r="K6668">
        <v>1.120911</v>
      </c>
      <c r="L6668">
        <v>63.262509999999999</v>
      </c>
      <c r="M6668">
        <v>7.435685E-3</v>
      </c>
      <c r="N6668">
        <v>-1.446155E-2</v>
      </c>
      <c r="O6668">
        <v>0.99986779999999997</v>
      </c>
      <c r="P6668">
        <v>3.5184439999999997E-2</v>
      </c>
      <c r="Q6668">
        <v>0.16100410000000001</v>
      </c>
      <c r="R6668">
        <v>0.98632640000000005</v>
      </c>
      <c r="S6668">
        <v>6.4559939999999996E-2</v>
      </c>
      <c r="T6668">
        <v>-9.4349379999999997E-2</v>
      </c>
      <c r="U6668">
        <v>3.0543819999999999</v>
      </c>
      <c r="V6668">
        <v>2.7846300000000001E-2</v>
      </c>
      <c r="W6668">
        <v>0.17525470000000001</v>
      </c>
      <c r="X6668">
        <v>0.98412929999999998</v>
      </c>
      <c r="Y6668">
        <v>1.3689379999999999E-2</v>
      </c>
      <c r="Z6668">
        <v>-1.6412199999999998E-2</v>
      </c>
      <c r="AA6668">
        <v>0.99977159999999998</v>
      </c>
      <c r="AB6668">
        <v>34</v>
      </c>
      <c r="AC6668">
        <v>0.76440000000002295</v>
      </c>
      <c r="AD6668">
        <v>-1.120915683295</v>
      </c>
      <c r="AE6668">
        <v>35.943829999999998</v>
      </c>
      <c r="AF6668">
        <v>0.49660118511928802</v>
      </c>
      <c r="AG6668">
        <v>-1.120915683295</v>
      </c>
      <c r="AH6668">
        <v>35.913609747780399</v>
      </c>
      <c r="AI6668">
        <v>91.787532993596201</v>
      </c>
      <c r="AJ6668">
        <v>89.207783930312701</v>
      </c>
      <c r="AK6668">
        <v>35.934529770430899</v>
      </c>
      <c r="AL6668">
        <v>79.906520127717897</v>
      </c>
      <c r="AM6668">
        <v>88.379227327678706</v>
      </c>
      <c r="AN6668">
        <v>1.00000005270713</v>
      </c>
    </row>
    <row r="6669" spans="1:40" x14ac:dyDescent="0.25">
      <c r="A6669" t="str">
        <f>"20190303162433203"</f>
        <v>20190303162433203</v>
      </c>
      <c r="B6669" t="str">
        <f>"1551601473191928"</f>
        <v>1551601473191928</v>
      </c>
      <c r="C6669" t="s">
        <v>40</v>
      </c>
      <c r="D6669">
        <v>5.431953</v>
      </c>
      <c r="E6669">
        <v>0.49363410000000002</v>
      </c>
      <c r="F6669" t="s">
        <v>41</v>
      </c>
      <c r="G6669">
        <v>-186.84460000000001</v>
      </c>
      <c r="H6669" s="1">
        <v>-1.9196830000000002E-6</v>
      </c>
      <c r="I6669">
        <v>102.80289999999999</v>
      </c>
      <c r="J6669">
        <v>-187.51339999999999</v>
      </c>
      <c r="K6669">
        <v>1.120914</v>
      </c>
      <c r="L6669">
        <v>63.5783699999999</v>
      </c>
      <c r="M6669">
        <v>7.4149559999999899E-3</v>
      </c>
      <c r="N6669">
        <v>-1.445831E-2</v>
      </c>
      <c r="O6669">
        <v>0.99986799999999998</v>
      </c>
      <c r="P6669">
        <v>3.5795929999999997E-2</v>
      </c>
      <c r="Q6669">
        <v>0.16165959999999999</v>
      </c>
      <c r="R6669">
        <v>0.9861972</v>
      </c>
      <c r="S6669">
        <v>5.1834110000000003E-2</v>
      </c>
      <c r="T6669">
        <v>-8.6572650000000001E-2</v>
      </c>
      <c r="U6669">
        <v>3.0538639999999999</v>
      </c>
      <c r="V6669">
        <v>2.8479270000000001E-2</v>
      </c>
      <c r="W6669">
        <v>0.17590529999999999</v>
      </c>
      <c r="X6669">
        <v>0.98399499999999995</v>
      </c>
      <c r="Y6669">
        <v>9.5511260000000001E-3</v>
      </c>
      <c r="Z6669">
        <v>-1.387878E-2</v>
      </c>
      <c r="AA6669">
        <v>0.99985809999999997</v>
      </c>
      <c r="AB6669">
        <v>34</v>
      </c>
      <c r="AC6669">
        <v>0.66879999999997597</v>
      </c>
      <c r="AD6669">
        <v>-1.1209159196830001</v>
      </c>
      <c r="AE6669">
        <v>39.224530000000001</v>
      </c>
      <c r="AF6669">
        <v>0.37759477812216702</v>
      </c>
      <c r="AG6669">
        <v>-1.1209159196830001</v>
      </c>
      <c r="AH6669">
        <v>39.196411038678598</v>
      </c>
      <c r="AI6669">
        <v>91.637988611771604</v>
      </c>
      <c r="AJ6669">
        <v>89.448063805610502</v>
      </c>
      <c r="AK6669">
        <v>39.214253386090498</v>
      </c>
      <c r="AL6669">
        <v>79.868654236517898</v>
      </c>
      <c r="AM6669">
        <v>88.342180006881705</v>
      </c>
      <c r="AN6669">
        <v>0.99999995170640998</v>
      </c>
    </row>
    <row r="6670" spans="1:40" x14ac:dyDescent="0.25">
      <c r="A6670" t="str">
        <f>"20190303162433226"</f>
        <v>20190303162433226</v>
      </c>
      <c r="B6670" t="str">
        <f>"1551601473211436"</f>
        <v>1551601473211436</v>
      </c>
      <c r="C6670" t="s">
        <v>40</v>
      </c>
      <c r="D6670">
        <v>5.4346019999999999</v>
      </c>
      <c r="E6670">
        <v>0.49351840000000002</v>
      </c>
      <c r="F6670" t="s">
        <v>41</v>
      </c>
      <c r="G6670">
        <v>-186.83</v>
      </c>
      <c r="H6670" s="1">
        <v>-3.5141509999999999E-6</v>
      </c>
      <c r="I6670">
        <v>106.5136</v>
      </c>
      <c r="J6670">
        <v>-187.51079999999999</v>
      </c>
      <c r="K6670">
        <v>1.1209209999999901</v>
      </c>
      <c r="L6670">
        <v>63.921750000000003</v>
      </c>
      <c r="M6670">
        <v>7.3926169999999998E-3</v>
      </c>
      <c r="N6670">
        <v>-1.445481E-2</v>
      </c>
      <c r="O6670">
        <v>0.99986819999999998</v>
      </c>
      <c r="P6670">
        <v>3.6272699999999998E-2</v>
      </c>
      <c r="Q6670">
        <v>0.16214100000000001</v>
      </c>
      <c r="R6670">
        <v>0.98610070000000005</v>
      </c>
      <c r="S6670">
        <v>4.8599240000000002E-2</v>
      </c>
      <c r="T6670">
        <v>-7.9712630000000007E-2</v>
      </c>
      <c r="U6670">
        <v>3.0532840000000001</v>
      </c>
      <c r="V6670">
        <v>2.8978790000000001E-2</v>
      </c>
      <c r="W6670">
        <v>0.17638219999999999</v>
      </c>
      <c r="X6670">
        <v>0.98389510000000002</v>
      </c>
      <c r="Y6670">
        <v>8.5185620000000004E-3</v>
      </c>
      <c r="Z6670">
        <v>-1.164333E-2</v>
      </c>
      <c r="AA6670">
        <v>0.99989589999999995</v>
      </c>
      <c r="AB6670">
        <v>34</v>
      </c>
      <c r="AC6670">
        <v>0.68079999999997598</v>
      </c>
      <c r="AD6670">
        <v>-1.12092451415099</v>
      </c>
      <c r="AE6670">
        <v>42.591850000000001</v>
      </c>
      <c r="AF6670">
        <v>0.36563007975898798</v>
      </c>
      <c r="AG6670">
        <v>-1.12092451415099</v>
      </c>
      <c r="AH6670">
        <v>42.566244301094201</v>
      </c>
      <c r="AI6670">
        <v>91.508402675233796</v>
      </c>
      <c r="AJ6670">
        <v>89.507860146565804</v>
      </c>
      <c r="AK6670">
        <v>42.582570507451599</v>
      </c>
      <c r="AL6670">
        <v>79.840896451315103</v>
      </c>
      <c r="AM6670">
        <v>88.3129476933413</v>
      </c>
      <c r="AN6670">
        <v>1.00000000927535</v>
      </c>
    </row>
    <row r="6671" spans="1:40" x14ac:dyDescent="0.25">
      <c r="A6671" t="str">
        <f>"20190303162433249"</f>
        <v>20190303162433249</v>
      </c>
      <c r="B6671" t="str">
        <f>"1551601473241692"</f>
        <v>1551601473241692</v>
      </c>
      <c r="C6671" t="s">
        <v>40</v>
      </c>
      <c r="D6671">
        <v>5.3628900000000002</v>
      </c>
      <c r="E6671">
        <v>0.4933882</v>
      </c>
      <c r="F6671" t="s">
        <v>41</v>
      </c>
      <c r="G6671">
        <v>-186.81270000000001</v>
      </c>
      <c r="H6671" s="1">
        <v>-3.9510290000000001E-6</v>
      </c>
      <c r="I6671">
        <v>107.5248</v>
      </c>
      <c r="J6671">
        <v>-187.50819999999999</v>
      </c>
      <c r="K6671">
        <v>1.1209150000000001</v>
      </c>
      <c r="L6671">
        <v>64.283749999999998</v>
      </c>
      <c r="M6671">
        <v>7.3691030000000001E-3</v>
      </c>
      <c r="N6671">
        <v>-1.4451149999999999E-2</v>
      </c>
      <c r="O6671">
        <v>0.99986839999999999</v>
      </c>
      <c r="P6671">
        <v>3.6702289999999999E-2</v>
      </c>
      <c r="Q6671">
        <v>0.16159479999999901</v>
      </c>
      <c r="R6671">
        <v>0.98617449999999995</v>
      </c>
      <c r="S6671">
        <v>4.8889160000000001E-2</v>
      </c>
      <c r="T6671">
        <v>-7.8495380000000003E-2</v>
      </c>
      <c r="U6671">
        <v>3.0534059999999998</v>
      </c>
      <c r="V6671">
        <v>2.943105E-2</v>
      </c>
      <c r="W6671">
        <v>0.17583299999999999</v>
      </c>
      <c r="X6671">
        <v>0.98397990000000002</v>
      </c>
      <c r="Y6671">
        <v>8.6364219999999995E-3</v>
      </c>
      <c r="Z6671">
        <v>-1.124762E-2</v>
      </c>
      <c r="AA6671">
        <v>0.99989939999999999</v>
      </c>
      <c r="AB6671">
        <v>34</v>
      </c>
      <c r="AC6671">
        <v>0.69549999999998102</v>
      </c>
      <c r="AD6671">
        <v>-1.1209189510290001</v>
      </c>
      <c r="AE6671">
        <v>43.241050000000001</v>
      </c>
      <c r="AF6671">
        <v>0.37654710933079999</v>
      </c>
      <c r="AG6671">
        <v>-1.1209189510290001</v>
      </c>
      <c r="AH6671">
        <v>43.215968681266602</v>
      </c>
      <c r="AI6671">
        <v>91.485726093631698</v>
      </c>
      <c r="AJ6671">
        <v>89.500786055175197</v>
      </c>
      <c r="AK6671">
        <v>43.232143089147598</v>
      </c>
      <c r="AL6671">
        <v>79.872862161013302</v>
      </c>
      <c r="AM6671">
        <v>88.286781709233296</v>
      </c>
      <c r="AN6671">
        <v>0.99999993709855395</v>
      </c>
    </row>
    <row r="6672" spans="1:40" x14ac:dyDescent="0.25">
      <c r="A6672" t="str">
        <f>"20190303162433270"</f>
        <v>20190303162433270</v>
      </c>
      <c r="B6672" t="str">
        <f>"1551601473261212"</f>
        <v>1551601473261212</v>
      </c>
      <c r="C6672" t="s">
        <v>40</v>
      </c>
      <c r="D6672">
        <v>5.4196879999999998</v>
      </c>
      <c r="E6672">
        <v>0.49332009999999998</v>
      </c>
      <c r="F6672" t="s">
        <v>41</v>
      </c>
      <c r="G6672">
        <v>-186.82210000000001</v>
      </c>
      <c r="H6672" s="1">
        <v>-3.7004000000000002E-6</v>
      </c>
      <c r="I6672">
        <v>106.94450000000001</v>
      </c>
      <c r="J6672">
        <v>-187.50579999999999</v>
      </c>
      <c r="K6672">
        <v>1.12090499999999</v>
      </c>
      <c r="L6672">
        <v>64.608279999999993</v>
      </c>
      <c r="M6672">
        <v>7.3481680000000004E-3</v>
      </c>
      <c r="N6672">
        <v>-1.444787E-2</v>
      </c>
      <c r="O6672">
        <v>0.9998686</v>
      </c>
      <c r="P6672">
        <v>3.7328779999999999E-2</v>
      </c>
      <c r="Q6672">
        <v>0.15903729999999999</v>
      </c>
      <c r="R6672">
        <v>0.98656659999999996</v>
      </c>
      <c r="S6672">
        <v>4.9102779999999999E-2</v>
      </c>
      <c r="T6672">
        <v>-8.0227969999999996E-2</v>
      </c>
      <c r="U6672">
        <v>3.053375</v>
      </c>
      <c r="V6672">
        <v>3.0075310000000001E-2</v>
      </c>
      <c r="W6672">
        <v>0.1732784</v>
      </c>
      <c r="X6672">
        <v>0.9844136</v>
      </c>
      <c r="Y6672">
        <v>8.7272919999999993E-3</v>
      </c>
      <c r="Z6672">
        <v>-1.181808E-2</v>
      </c>
      <c r="AA6672">
        <v>0.99989209999999995</v>
      </c>
      <c r="AB6672">
        <v>34</v>
      </c>
      <c r="AC6672">
        <v>0.68369999999998698</v>
      </c>
      <c r="AD6672">
        <v>-1.12090870039999</v>
      </c>
      <c r="AE6672">
        <v>42.336219999999997</v>
      </c>
      <c r="AF6672">
        <v>0.37229448982444802</v>
      </c>
      <c r="AG6672">
        <v>-1.12090870039999</v>
      </c>
      <c r="AH6672">
        <v>42.3104494526129</v>
      </c>
      <c r="AI6672">
        <v>91.517493562155096</v>
      </c>
      <c r="AJ6672">
        <v>89.495860885583895</v>
      </c>
      <c r="AK6672">
        <v>42.326931998243197</v>
      </c>
      <c r="AL6672">
        <v>80.021513149835599</v>
      </c>
      <c r="AM6672">
        <v>88.250072436312394</v>
      </c>
      <c r="AN6672">
        <v>1.0000000320215501</v>
      </c>
    </row>
    <row r="6673" spans="1:40" x14ac:dyDescent="0.25">
      <c r="A6673" t="str">
        <f>"20190303162433294"</f>
        <v>20190303162433294</v>
      </c>
      <c r="B6673" t="str">
        <f>"1551601473281708"</f>
        <v>1551601473281708</v>
      </c>
      <c r="C6673" t="s">
        <v>40</v>
      </c>
      <c r="D6673">
        <v>5.4793710000000004</v>
      </c>
      <c r="E6673">
        <v>0.49324370000000001</v>
      </c>
      <c r="F6673" t="s">
        <v>41</v>
      </c>
      <c r="G6673">
        <v>-186.86879999999999</v>
      </c>
      <c r="H6673" s="1">
        <v>-2.090639E-6</v>
      </c>
      <c r="I6673">
        <v>103.2114</v>
      </c>
      <c r="J6673">
        <v>-187.50319999999999</v>
      </c>
      <c r="K6673">
        <v>1.1209</v>
      </c>
      <c r="L6673">
        <v>64.966890000000006</v>
      </c>
      <c r="M6673">
        <v>7.3250140000000004E-3</v>
      </c>
      <c r="N6673">
        <v>-1.444425E-2</v>
      </c>
      <c r="O6673">
        <v>0.99986889999999995</v>
      </c>
      <c r="P6673">
        <v>3.8440679999999998E-2</v>
      </c>
      <c r="Q6673">
        <v>0.1567769</v>
      </c>
      <c r="R6673">
        <v>0.98688569999999998</v>
      </c>
      <c r="S6673">
        <v>5.0384520000000002E-2</v>
      </c>
      <c r="T6673">
        <v>-8.865547E-2</v>
      </c>
      <c r="U6673">
        <v>3.053223</v>
      </c>
      <c r="V6673">
        <v>3.1207729999999999E-2</v>
      </c>
      <c r="W6673">
        <v>0.17101949999999999</v>
      </c>
      <c r="X6673">
        <v>0.98477329999999996</v>
      </c>
      <c r="Y6673">
        <v>9.1699759999999998E-3</v>
      </c>
      <c r="Z6673">
        <v>-1.458038E-2</v>
      </c>
      <c r="AA6673">
        <v>0.99985159999999995</v>
      </c>
      <c r="AB6673">
        <v>34</v>
      </c>
      <c r="AC6673">
        <v>0.63439999999999896</v>
      </c>
      <c r="AD6673">
        <v>-1.1209020906389999</v>
      </c>
      <c r="AE6673">
        <v>38.244509999999899</v>
      </c>
      <c r="AF6673">
        <v>0.353908265945863</v>
      </c>
      <c r="AG6673">
        <v>-1.1209020906389999</v>
      </c>
      <c r="AH6673">
        <v>38.215312999904398</v>
      </c>
      <c r="AI6673">
        <v>91.680001930499003</v>
      </c>
      <c r="AJ6673">
        <v>89.469404573251197</v>
      </c>
      <c r="AK6673">
        <v>38.233386198951401</v>
      </c>
      <c r="AL6673">
        <v>80.152899998931105</v>
      </c>
      <c r="AM6673">
        <v>88.184888839903707</v>
      </c>
      <c r="AN6673">
        <v>1.0000000220924401</v>
      </c>
    </row>
    <row r="6674" spans="1:40" x14ac:dyDescent="0.25">
      <c r="A6674" t="str">
        <f>"20190303162433317"</f>
        <v>20190303162433317</v>
      </c>
      <c r="B6674" t="str">
        <f>"1551601473311964"</f>
        <v>1551601473311964</v>
      </c>
      <c r="C6674" t="s">
        <v>40</v>
      </c>
      <c r="D6674">
        <v>5.4845360000000003</v>
      </c>
      <c r="E6674">
        <v>0.49323739999999999</v>
      </c>
      <c r="F6674" t="s">
        <v>41</v>
      </c>
      <c r="G6674">
        <v>-186.87440000000001</v>
      </c>
      <c r="H6674" s="1">
        <v>-1.273012E-6</v>
      </c>
      <c r="I6674">
        <v>100.94499999999999</v>
      </c>
      <c r="J6674">
        <v>-187.50069999999999</v>
      </c>
      <c r="K6674">
        <v>1.1208880000000001</v>
      </c>
      <c r="L6674">
        <v>65.316890000000001</v>
      </c>
      <c r="M6674">
        <v>7.3024500000000003E-3</v>
      </c>
      <c r="N6674">
        <v>-1.4440720000000001E-2</v>
      </c>
      <c r="O6674">
        <v>0.99986900000000001</v>
      </c>
      <c r="P6674">
        <v>3.956639E-2</v>
      </c>
      <c r="Q6674">
        <v>0.1550716</v>
      </c>
      <c r="R6674">
        <v>0.98711059999999995</v>
      </c>
      <c r="S6674">
        <v>5.3359990000000003E-2</v>
      </c>
      <c r="T6674">
        <v>-9.5112920000000004E-2</v>
      </c>
      <c r="U6674">
        <v>3.0528870000000001</v>
      </c>
      <c r="V6674">
        <v>3.2354059999999997E-2</v>
      </c>
      <c r="W6674">
        <v>0.169314299999999</v>
      </c>
      <c r="X6674">
        <v>0.98503090000000004</v>
      </c>
      <c r="Y6674">
        <v>1.0167519999999999E-2</v>
      </c>
      <c r="Z6674">
        <v>-1.6699499999999999E-2</v>
      </c>
      <c r="AA6674">
        <v>0.99980880000000005</v>
      </c>
      <c r="AB6674">
        <v>34</v>
      </c>
      <c r="AC6674">
        <v>0.62629999999998598</v>
      </c>
      <c r="AD6674">
        <v>-1.1208892730119999</v>
      </c>
      <c r="AE6674">
        <v>35.6281099999999</v>
      </c>
      <c r="AF6674">
        <v>0.36572178452377402</v>
      </c>
      <c r="AG6674">
        <v>-1.1208892730119999</v>
      </c>
      <c r="AH6674">
        <v>35.596511914995297</v>
      </c>
      <c r="AI6674">
        <v>91.803480778569806</v>
      </c>
      <c r="AJ6674">
        <v>89.411358687759801</v>
      </c>
      <c r="AK6674">
        <v>35.616032986569898</v>
      </c>
      <c r="AL6674">
        <v>80.2520465439259</v>
      </c>
      <c r="AM6674">
        <v>88.118754564527705</v>
      </c>
      <c r="AN6674">
        <v>0.99999999566889097</v>
      </c>
    </row>
    <row r="6675" spans="1:40" x14ac:dyDescent="0.25">
      <c r="A6675" t="str">
        <f>"20190303162433339"</f>
        <v>20190303162433339</v>
      </c>
      <c r="B6675" t="str">
        <f>"1551601473331483"</f>
        <v>1551601473331483</v>
      </c>
      <c r="C6675" t="s">
        <v>40</v>
      </c>
      <c r="D6675">
        <v>5.4865059999999897</v>
      </c>
      <c r="E6675">
        <v>0.49308459999999898</v>
      </c>
      <c r="F6675" t="s">
        <v>41</v>
      </c>
      <c r="G6675">
        <v>-186.85589999999999</v>
      </c>
      <c r="H6675" s="1">
        <v>-9.2734790000000001E-7</v>
      </c>
      <c r="I6675">
        <v>99.914829999999995</v>
      </c>
      <c r="J6675">
        <v>-187.4983</v>
      </c>
      <c r="K6675">
        <v>1.1208940000000001</v>
      </c>
      <c r="L6675">
        <v>65.647949999999994</v>
      </c>
      <c r="M6675">
        <v>7.2810619999999996E-3</v>
      </c>
      <c r="N6675">
        <v>-1.443735E-2</v>
      </c>
      <c r="O6675">
        <v>0.99986929999999996</v>
      </c>
      <c r="P6675">
        <v>4.0808129999999998E-2</v>
      </c>
      <c r="Q6675">
        <v>0.1542308</v>
      </c>
      <c r="R6675">
        <v>0.98719170000000001</v>
      </c>
      <c r="S6675">
        <v>5.6884770000000001E-2</v>
      </c>
      <c r="T6675">
        <v>-9.8891259999999995E-2</v>
      </c>
      <c r="U6675">
        <v>3.0524290000000001</v>
      </c>
      <c r="V6675">
        <v>3.3616319999999998E-2</v>
      </c>
      <c r="W6675">
        <v>0.16847119999999999</v>
      </c>
      <c r="X6675">
        <v>0.98513320000000004</v>
      </c>
      <c r="Y6675">
        <v>1.134478E-2</v>
      </c>
      <c r="Z6675">
        <v>-1.7943259999999999E-2</v>
      </c>
      <c r="AA6675">
        <v>0.99977459999999996</v>
      </c>
      <c r="AB6675">
        <v>34</v>
      </c>
      <c r="AC6675">
        <v>0.64240000000000896</v>
      </c>
      <c r="AD6675">
        <v>-1.1208949273479001</v>
      </c>
      <c r="AE6675">
        <v>34.26688</v>
      </c>
      <c r="AF6675">
        <v>0.39243793424734102</v>
      </c>
      <c r="AG6675">
        <v>-1.1208949273479001</v>
      </c>
      <c r="AH6675">
        <v>34.234032046482703</v>
      </c>
      <c r="AI6675">
        <v>91.875192458706394</v>
      </c>
      <c r="AJ6675">
        <v>89.343225113344999</v>
      </c>
      <c r="AK6675">
        <v>34.254625426794497</v>
      </c>
      <c r="AL6675">
        <v>80.301056835337306</v>
      </c>
      <c r="AM6675">
        <v>88.045618406496303</v>
      </c>
      <c r="AN6675">
        <v>1.00000001197101</v>
      </c>
    </row>
    <row r="6676" spans="1:40" x14ac:dyDescent="0.25">
      <c r="A6676" t="str">
        <f>"20190303162433360"</f>
        <v>20190303162433360</v>
      </c>
      <c r="B6676" t="str">
        <f>"1551601473351980"</f>
        <v>1551601473351980</v>
      </c>
      <c r="C6676" t="s">
        <v>40</v>
      </c>
      <c r="D6676">
        <v>5.5392929999999998</v>
      </c>
      <c r="E6676">
        <v>0.49315110000000001</v>
      </c>
      <c r="F6676" t="s">
        <v>41</v>
      </c>
      <c r="G6676">
        <v>-186.83330000000001</v>
      </c>
      <c r="H6676" s="1">
        <v>-8.8525940000000002E-7</v>
      </c>
      <c r="I6676">
        <v>99.773449999999997</v>
      </c>
      <c r="J6676">
        <v>-187.49590000000001</v>
      </c>
      <c r="K6676">
        <v>1.1208940000000001</v>
      </c>
      <c r="L6676">
        <v>65.975830000000002</v>
      </c>
      <c r="M6676">
        <v>7.2592369999999896E-3</v>
      </c>
      <c r="N6676">
        <v>-1.4433970000000001E-2</v>
      </c>
      <c r="O6676">
        <v>0.99986949999999997</v>
      </c>
      <c r="P6676">
        <v>4.2065650000000003E-2</v>
      </c>
      <c r="Q6676">
        <v>0.156636</v>
      </c>
      <c r="R6676">
        <v>0.98676019999999998</v>
      </c>
      <c r="S6676">
        <v>5.9478759999999999E-2</v>
      </c>
      <c r="T6676">
        <v>-0.1002508</v>
      </c>
      <c r="U6676">
        <v>3.0521240000000001</v>
      </c>
      <c r="V6676">
        <v>3.4898489999999997E-2</v>
      </c>
      <c r="W6676">
        <v>0.17086680000000001</v>
      </c>
      <c r="X6676">
        <v>0.98467590000000005</v>
      </c>
      <c r="Y6676">
        <v>1.221737E-2</v>
      </c>
      <c r="Z6676">
        <v>-1.8394319999999999E-2</v>
      </c>
      <c r="AA6676">
        <v>0.99975619999999998</v>
      </c>
      <c r="AB6676">
        <v>34</v>
      </c>
      <c r="AC6676">
        <v>0.66259999999999697</v>
      </c>
      <c r="AD6676">
        <v>-1.1208948852593901</v>
      </c>
      <c r="AE6676">
        <v>33.797619999999903</v>
      </c>
      <c r="AF6676">
        <v>0.41675383315444198</v>
      </c>
      <c r="AG6676">
        <v>-1.1208948852593901</v>
      </c>
      <c r="AH6676">
        <v>33.764416182152402</v>
      </c>
      <c r="AI6676">
        <v>91.901234795854506</v>
      </c>
      <c r="AJ6676">
        <v>89.292834707813995</v>
      </c>
      <c r="AK6676">
        <v>33.785587004266297</v>
      </c>
      <c r="AL6676">
        <v>80.161779527069299</v>
      </c>
      <c r="AM6676">
        <v>87.970195464025295</v>
      </c>
      <c r="AN6676">
        <v>0.99999999799366501</v>
      </c>
    </row>
    <row r="6677" spans="1:40" x14ac:dyDescent="0.25">
      <c r="A6677" t="str">
        <f>"20190303162433385"</f>
        <v>20190303162433385</v>
      </c>
      <c r="B6677" t="str">
        <f>"1551601473371500"</f>
        <v>1551601473371500</v>
      </c>
      <c r="C6677" t="s">
        <v>40</v>
      </c>
      <c r="D6677">
        <v>5.3815809999999997</v>
      </c>
      <c r="E6677">
        <v>0.51441190000000003</v>
      </c>
      <c r="F6677" t="s">
        <v>41</v>
      </c>
      <c r="G6677">
        <v>-186.73390000000001</v>
      </c>
      <c r="H6677" s="1">
        <v>-1.797217E-6</v>
      </c>
      <c r="I6677">
        <v>102.37560000000001</v>
      </c>
      <c r="J6677">
        <v>-187.4933</v>
      </c>
      <c r="K6677">
        <v>1.1208880000000001</v>
      </c>
      <c r="L6677">
        <v>66.334230000000005</v>
      </c>
      <c r="M6677">
        <v>7.2350009999999996E-3</v>
      </c>
      <c r="N6677">
        <v>-1.443028E-2</v>
      </c>
      <c r="O6677">
        <v>0.99986969999999997</v>
      </c>
      <c r="P6677">
        <v>4.3794489999999998E-2</v>
      </c>
      <c r="Q6677">
        <v>0.15542039999999999</v>
      </c>
      <c r="R6677">
        <v>0.98687709999999995</v>
      </c>
      <c r="S6677">
        <v>6.3903810000000005E-2</v>
      </c>
      <c r="T6677">
        <v>-9.3997600000000001E-2</v>
      </c>
      <c r="U6677">
        <v>3.05246</v>
      </c>
      <c r="V6677">
        <v>3.6650269999999999E-2</v>
      </c>
      <c r="W6677">
        <v>0.16964989999999999</v>
      </c>
      <c r="X6677">
        <v>0.98482270000000005</v>
      </c>
      <c r="Y6677">
        <v>1.368862E-2</v>
      </c>
      <c r="Z6677">
        <v>-1.634789E-2</v>
      </c>
      <c r="AA6677">
        <v>0.99977269999999896</v>
      </c>
      <c r="AB6677">
        <v>34</v>
      </c>
      <c r="AC6677">
        <v>0.75939999999999896</v>
      </c>
      <c r="AD6677">
        <v>-1.120889797217</v>
      </c>
      <c r="AE6677">
        <v>36.041370000000001</v>
      </c>
      <c r="AF6677">
        <v>0.498112050002125</v>
      </c>
      <c r="AG6677">
        <v>-1.120889797217</v>
      </c>
      <c r="AH6677">
        <v>36.011106281940897</v>
      </c>
      <c r="AI6677">
        <v>91.782655296772703</v>
      </c>
      <c r="AJ6677">
        <v>89.207525089201596</v>
      </c>
      <c r="AK6677">
        <v>36.031989748015597</v>
      </c>
      <c r="AL6677">
        <v>80.232536267368701</v>
      </c>
      <c r="AM6677">
        <v>87.868715695730501</v>
      </c>
      <c r="AN6677">
        <v>1.0000000406481799</v>
      </c>
    </row>
    <row r="6678" spans="1:40" x14ac:dyDescent="0.25">
      <c r="A6678" t="str">
        <f>"20190303162433405"</f>
        <v>20190303162433405</v>
      </c>
      <c r="B6678" t="str">
        <f>"1551601473401757"</f>
        <v>1551601473401757</v>
      </c>
      <c r="C6678" t="s">
        <v>40</v>
      </c>
      <c r="D6678">
        <v>5.3564699999999998</v>
      </c>
      <c r="E6678">
        <v>0.53282750000000001</v>
      </c>
      <c r="F6678" t="s">
        <v>42</v>
      </c>
      <c r="G6678">
        <v>-187.4161</v>
      </c>
      <c r="H6678">
        <v>1.0334509999999999</v>
      </c>
      <c r="I6678">
        <v>67.336619999999996</v>
      </c>
      <c r="J6678">
        <v>-187.49100000000001</v>
      </c>
      <c r="K6678">
        <v>1.120889</v>
      </c>
      <c r="L6678">
        <v>66.65625</v>
      </c>
      <c r="M6678">
        <v>7.2128599999999998E-3</v>
      </c>
      <c r="N6678">
        <v>-1.442688E-2</v>
      </c>
      <c r="O6678">
        <v>0.99986989999999998</v>
      </c>
      <c r="P6678">
        <v>4.5880240000000003E-2</v>
      </c>
      <c r="Q6678">
        <v>0.15485479999999999</v>
      </c>
      <c r="R6678">
        <v>0.98687130000000001</v>
      </c>
      <c r="S6678">
        <v>0.2364502</v>
      </c>
      <c r="T6678">
        <v>-0.26794089999999998</v>
      </c>
      <c r="U6678">
        <v>3.0715940000000002</v>
      </c>
      <c r="V6678">
        <v>3.8757729999999997E-2</v>
      </c>
      <c r="W6678">
        <v>0.16908119999999999</v>
      </c>
      <c r="X6678">
        <v>0.98483980000000004</v>
      </c>
      <c r="Y6678">
        <v>6.9306740000000006E-2</v>
      </c>
      <c r="Z6678">
        <v>-7.2289329999999999E-2</v>
      </c>
      <c r="AA6678">
        <v>0.99497279999999999</v>
      </c>
      <c r="AB6678">
        <v>34</v>
      </c>
      <c r="AC6678">
        <v>7.4899999999985298E-2</v>
      </c>
      <c r="AD6678">
        <v>-8.7437999999999905E-2</v>
      </c>
      <c r="AE6678">
        <v>0.68036999999999603</v>
      </c>
      <c r="AF6678">
        <v>6.8866336105091602E-2</v>
      </c>
      <c r="AG6678">
        <v>-8.7437999999999905E-2</v>
      </c>
      <c r="AH6678">
        <v>0.66995990126887495</v>
      </c>
      <c r="AI6678">
        <v>97.397232061553296</v>
      </c>
      <c r="AJ6678">
        <v>84.131080487915497</v>
      </c>
      <c r="AK6678">
        <v>0.67914228656500297</v>
      </c>
      <c r="AL6678">
        <v>80.265597833355599</v>
      </c>
      <c r="AM6678">
        <v>87.7463248410007</v>
      </c>
      <c r="AN6678">
        <v>1.0000000227461101</v>
      </c>
    </row>
    <row r="6679" spans="1:40" x14ac:dyDescent="0.25">
      <c r="A6679" t="str">
        <f>"20190303162433428"</f>
        <v>20190303162433428</v>
      </c>
      <c r="B6679" t="str">
        <f>"1551601473421276"</f>
        <v>1551601473421276</v>
      </c>
      <c r="C6679" t="s">
        <v>40</v>
      </c>
      <c r="D6679">
        <v>5.3720850000000002</v>
      </c>
      <c r="E6679">
        <v>0.53225880000000003</v>
      </c>
      <c r="F6679" t="s">
        <v>42</v>
      </c>
      <c r="G6679">
        <v>-187.38</v>
      </c>
      <c r="H6679">
        <v>0.88534020000000002</v>
      </c>
      <c r="I6679">
        <v>67.568060000000003</v>
      </c>
      <c r="J6679">
        <v>-187.48849999999999</v>
      </c>
      <c r="K6679">
        <v>1.1209</v>
      </c>
      <c r="L6679">
        <v>67.003109999999893</v>
      </c>
      <c r="M6679">
        <v>7.1882159999999999E-3</v>
      </c>
      <c r="N6679">
        <v>-1.4423200000000001E-2</v>
      </c>
      <c r="O6679">
        <v>0.99987009999999998</v>
      </c>
      <c r="P6679">
        <v>4.7495839999999998E-2</v>
      </c>
      <c r="Q6679">
        <v>0.15549170000000001</v>
      </c>
      <c r="R6679">
        <v>0.98669479999999998</v>
      </c>
      <c r="S6679">
        <v>0.38291930000000002</v>
      </c>
      <c r="T6679">
        <v>-0.81367990000000001</v>
      </c>
      <c r="U6679">
        <v>3.1497799999999998</v>
      </c>
      <c r="V6679">
        <v>4.039864E-2</v>
      </c>
      <c r="W6679">
        <v>0.16971240000000001</v>
      </c>
      <c r="X6679">
        <v>0.98466529999999997</v>
      </c>
      <c r="Y6679">
        <v>0.10996</v>
      </c>
      <c r="Z6679">
        <v>-0.23450770000000001</v>
      </c>
      <c r="AA6679">
        <v>0.96587520000000004</v>
      </c>
      <c r="AB6679">
        <v>34</v>
      </c>
      <c r="AC6679">
        <v>0.10849999999999201</v>
      </c>
      <c r="AD6679">
        <v>-0.23555980000000001</v>
      </c>
      <c r="AE6679">
        <v>0.56495000000001006</v>
      </c>
      <c r="AF6679">
        <v>8.9439570752689407E-2</v>
      </c>
      <c r="AG6679">
        <v>-0.23555980000000001</v>
      </c>
      <c r="AH6679">
        <v>0.48448278507223203</v>
      </c>
      <c r="AI6679">
        <v>115.553847630177</v>
      </c>
      <c r="AJ6679">
        <v>79.540480311253006</v>
      </c>
      <c r="AK6679">
        <v>0.54608737874429203</v>
      </c>
      <c r="AL6679">
        <v>80.228902690795195</v>
      </c>
      <c r="AM6679">
        <v>87.650598498984706</v>
      </c>
      <c r="AN6679">
        <v>1.00000005092584</v>
      </c>
    </row>
    <row r="6680" spans="1:40" x14ac:dyDescent="0.25">
      <c r="A6680" t="str">
        <f>"20190303162433450"</f>
        <v>20190303162433450</v>
      </c>
      <c r="B6680" t="str">
        <f>"1551601473441773"</f>
        <v>1551601473441773</v>
      </c>
      <c r="C6680" t="s">
        <v>40</v>
      </c>
      <c r="D6680">
        <v>5.3792739999999997</v>
      </c>
      <c r="E6680">
        <v>0.5319313</v>
      </c>
      <c r="F6680" t="s">
        <v>42</v>
      </c>
      <c r="G6680">
        <v>-187.38339999999999</v>
      </c>
      <c r="H6680">
        <v>0.88843300000000003</v>
      </c>
      <c r="I6680">
        <v>67.871009999999998</v>
      </c>
      <c r="J6680">
        <v>-187.4862</v>
      </c>
      <c r="K6680">
        <v>1.1209089999999999</v>
      </c>
      <c r="L6680">
        <v>67.329099999999997</v>
      </c>
      <c r="M6680">
        <v>7.161845E-3</v>
      </c>
      <c r="N6680">
        <v>-1.441977E-2</v>
      </c>
      <c r="O6680">
        <v>0.99987040000000005</v>
      </c>
      <c r="P6680">
        <v>4.8379320000000003E-2</v>
      </c>
      <c r="Q6680">
        <v>0.15618029999999999</v>
      </c>
      <c r="R6680">
        <v>0.98654310000000001</v>
      </c>
      <c r="S6680">
        <v>0.38204959999999999</v>
      </c>
      <c r="T6680">
        <v>-0.84513700000000003</v>
      </c>
      <c r="U6680">
        <v>3.1552730000000002</v>
      </c>
      <c r="V6680">
        <v>4.130847E-2</v>
      </c>
      <c r="W6680">
        <v>0.17039509999999999</v>
      </c>
      <c r="X6680">
        <v>0.98450959999999998</v>
      </c>
      <c r="Y6680">
        <v>0.1092615</v>
      </c>
      <c r="Z6680">
        <v>-0.24311849999999999</v>
      </c>
      <c r="AA6680">
        <v>0.96382330000000005</v>
      </c>
      <c r="AB6680">
        <v>34</v>
      </c>
      <c r="AC6680">
        <v>0.102800000000001</v>
      </c>
      <c r="AD6680">
        <v>-0.23247599999999899</v>
      </c>
      <c r="AE6680">
        <v>0.541910000000001</v>
      </c>
      <c r="AF6680">
        <v>8.3994796720599799E-2</v>
      </c>
      <c r="AG6680">
        <v>-0.23247599999999899</v>
      </c>
      <c r="AH6680">
        <v>0.46077836400426597</v>
      </c>
      <c r="AI6680">
        <v>116.39748615564299</v>
      </c>
      <c r="AJ6680">
        <v>79.669046698165303</v>
      </c>
      <c r="AK6680">
        <v>0.52289283527944996</v>
      </c>
      <c r="AL6680">
        <v>80.189208367518006</v>
      </c>
      <c r="AM6680">
        <v>87.597368751481795</v>
      </c>
      <c r="AN6680">
        <v>1.00000001614495</v>
      </c>
    </row>
    <row r="6681" spans="1:40" x14ac:dyDescent="0.25">
      <c r="A6681" t="str">
        <f>"20190303162433473"</f>
        <v>20190303162433473</v>
      </c>
      <c r="B6681" t="str">
        <f>"1551601473461292"</f>
        <v>1551601473461292</v>
      </c>
      <c r="C6681" t="s">
        <v>40</v>
      </c>
      <c r="D6681">
        <v>5.4069349999999998</v>
      </c>
      <c r="E6681">
        <v>0.53230040000000001</v>
      </c>
      <c r="F6681" t="s">
        <v>42</v>
      </c>
      <c r="G6681">
        <v>-187.3836</v>
      </c>
      <c r="H6681">
        <v>0.89434959999999997</v>
      </c>
      <c r="I6681">
        <v>68.175039999999996</v>
      </c>
      <c r="J6681">
        <v>-187.48390000000001</v>
      </c>
      <c r="K6681">
        <v>1.120914</v>
      </c>
      <c r="L6681">
        <v>67.657229999999998</v>
      </c>
      <c r="M6681">
        <v>7.1292250000000003E-3</v>
      </c>
      <c r="N6681">
        <v>-1.441636E-2</v>
      </c>
      <c r="O6681">
        <v>0.9998707</v>
      </c>
      <c r="P6681">
        <v>4.8926839999999999E-2</v>
      </c>
      <c r="Q6681">
        <v>0.1566622</v>
      </c>
      <c r="R6681">
        <v>0.98643959999999997</v>
      </c>
      <c r="S6681">
        <v>0.38221739999999998</v>
      </c>
      <c r="T6681">
        <v>-0.84525300000000003</v>
      </c>
      <c r="U6681">
        <v>3.1560060000000001</v>
      </c>
      <c r="V6681">
        <v>4.1887269999999997E-2</v>
      </c>
      <c r="W6681">
        <v>0.17087289999999999</v>
      </c>
      <c r="X6681">
        <v>0.98440229999999995</v>
      </c>
      <c r="Y6681">
        <v>0.10931829999999999</v>
      </c>
      <c r="Z6681">
        <v>-0.24309790000000001</v>
      </c>
      <c r="AA6681">
        <v>0.96382210000000001</v>
      </c>
      <c r="AB6681">
        <v>34</v>
      </c>
      <c r="AC6681">
        <v>0.100300000000004</v>
      </c>
      <c r="AD6681">
        <v>-0.226564399999999</v>
      </c>
      <c r="AE6681">
        <v>0.51780999999999699</v>
      </c>
      <c r="AF6681">
        <v>8.1556573384075404E-2</v>
      </c>
      <c r="AG6681">
        <v>-0.226564399999999</v>
      </c>
      <c r="AH6681">
        <v>0.43773974847878599</v>
      </c>
      <c r="AI6681">
        <v>116.96799097726201</v>
      </c>
      <c r="AJ6681">
        <v>79.446063232823306</v>
      </c>
      <c r="AK6681">
        <v>0.49959882846918602</v>
      </c>
      <c r="AL6681">
        <v>80.161424724672003</v>
      </c>
      <c r="AM6681">
        <v>87.563478964016795</v>
      </c>
      <c r="AN6681">
        <v>0.99999998979387605</v>
      </c>
    </row>
    <row r="6682" spans="1:40" x14ac:dyDescent="0.25">
      <c r="A6682" t="str">
        <f>"20190303162433495"</f>
        <v>20190303162433495</v>
      </c>
      <c r="B6682" t="str">
        <f>"1551601473491548"</f>
        <v>1551601473491548</v>
      </c>
      <c r="C6682" t="s">
        <v>40</v>
      </c>
      <c r="D6682">
        <v>5.4447739999999998</v>
      </c>
      <c r="E6682">
        <v>0.53230480000000002</v>
      </c>
      <c r="F6682" t="s">
        <v>42</v>
      </c>
      <c r="G6682">
        <v>-187.38329999999999</v>
      </c>
      <c r="H6682">
        <v>0.90116569999999996</v>
      </c>
      <c r="I6682">
        <v>68.479140000000001</v>
      </c>
      <c r="J6682">
        <v>-187.48140000000001</v>
      </c>
      <c r="K6682">
        <v>1.1209229999999999</v>
      </c>
      <c r="L6682">
        <v>68.003540000000001</v>
      </c>
      <c r="M6682">
        <v>7.0851489999999998E-3</v>
      </c>
      <c r="N6682">
        <v>-1.441274E-2</v>
      </c>
      <c r="O6682">
        <v>0.99987099999999995</v>
      </c>
      <c r="P6682">
        <v>4.8334410000000001E-2</v>
      </c>
      <c r="Q6682">
        <v>0.1573611</v>
      </c>
      <c r="R6682">
        <v>0.98635759999999995</v>
      </c>
      <c r="S6682">
        <v>0.38618469999999999</v>
      </c>
      <c r="T6682">
        <v>-0.84381159999999999</v>
      </c>
      <c r="U6682">
        <v>3.1560969999999999</v>
      </c>
      <c r="V6682">
        <v>4.1336030000000003E-2</v>
      </c>
      <c r="W6682">
        <v>0.17156729999999901</v>
      </c>
      <c r="X6682">
        <v>0.98430479999999998</v>
      </c>
      <c r="Y6682">
        <v>0.1105641</v>
      </c>
      <c r="Z6682">
        <v>-0.2426479</v>
      </c>
      <c r="AA6682">
        <v>0.96379329999999996</v>
      </c>
      <c r="AB6682">
        <v>34</v>
      </c>
      <c r="AC6682">
        <v>9.8100000000016493E-2</v>
      </c>
      <c r="AD6682">
        <v>-0.21975729999999999</v>
      </c>
      <c r="AE6682">
        <v>0.47560000000000002</v>
      </c>
      <c r="AF6682">
        <v>7.8625754008542395E-2</v>
      </c>
      <c r="AG6682">
        <v>-0.21975729999999999</v>
      </c>
      <c r="AH6682">
        <v>0.39532478371928897</v>
      </c>
      <c r="AI6682">
        <v>118.599734025636</v>
      </c>
      <c r="AJ6682">
        <v>78.751287468848702</v>
      </c>
      <c r="AK6682">
        <v>0.45908274278108602</v>
      </c>
      <c r="AL6682">
        <v>80.121042025333395</v>
      </c>
      <c r="AM6682">
        <v>87.595268004172596</v>
      </c>
      <c r="AN6682">
        <v>0.999999972554245</v>
      </c>
    </row>
    <row r="6683" spans="1:40" x14ac:dyDescent="0.25">
      <c r="A6683" t="str">
        <f>"20190303162433529"</f>
        <v>20190303162433529</v>
      </c>
      <c r="B6683" t="str">
        <f>"1551601473521804"</f>
        <v>1551601473521804</v>
      </c>
      <c r="C6683" t="s">
        <v>40</v>
      </c>
      <c r="D6683">
        <v>5.4771049999999999</v>
      </c>
      <c r="E6683">
        <v>0.53185649999999995</v>
      </c>
      <c r="F6683" t="s">
        <v>42</v>
      </c>
      <c r="G6683">
        <v>-187.38679999999999</v>
      </c>
      <c r="H6683">
        <v>0.9110798</v>
      </c>
      <c r="I6683">
        <v>68.784390000000002</v>
      </c>
      <c r="J6683">
        <v>-187.47790000000001</v>
      </c>
      <c r="K6683">
        <v>1.120906</v>
      </c>
      <c r="L6683">
        <v>68.516359999999906</v>
      </c>
      <c r="M6683">
        <v>6.9912259999999997E-3</v>
      </c>
      <c r="N6683">
        <v>-1.440755E-2</v>
      </c>
      <c r="O6683">
        <v>0.99987179999999998</v>
      </c>
      <c r="P6683">
        <v>4.5086880000000003E-2</v>
      </c>
      <c r="Q6683">
        <v>0.15434400000000001</v>
      </c>
      <c r="R6683">
        <v>0.98698790000000003</v>
      </c>
      <c r="S6683">
        <v>0.3821716</v>
      </c>
      <c r="T6683">
        <v>-0.84870349999999894</v>
      </c>
      <c r="U6683">
        <v>3.1581419999999998</v>
      </c>
      <c r="V6683">
        <v>3.8170370000000002E-2</v>
      </c>
      <c r="W6683">
        <v>0.16855580000000001</v>
      </c>
      <c r="X6683">
        <v>0.98495279999999996</v>
      </c>
      <c r="Y6683">
        <v>0.1093382</v>
      </c>
      <c r="Z6683">
        <v>-0.24392710000000001</v>
      </c>
      <c r="AA6683">
        <v>0.96361019999999997</v>
      </c>
      <c r="AB6683">
        <v>34</v>
      </c>
      <c r="AC6683">
        <v>9.1100000000011505E-2</v>
      </c>
      <c r="AD6683">
        <v>-0.20982619999999899</v>
      </c>
      <c r="AE6683">
        <v>0.26803000000000998</v>
      </c>
      <c r="AF6683">
        <v>5.7586673988105602E-2</v>
      </c>
      <c r="AG6683">
        <v>-0.20982619999999899</v>
      </c>
      <c r="AH6683">
        <v>0.17339850508628299</v>
      </c>
      <c r="AI6683">
        <v>138.951548293477</v>
      </c>
      <c r="AJ6683">
        <v>71.628366339727407</v>
      </c>
      <c r="AK6683">
        <v>0.27822706696798899</v>
      </c>
      <c r="AL6683">
        <v>80.296139431088307</v>
      </c>
      <c r="AM6683">
        <v>87.780698474593393</v>
      </c>
      <c r="AN6683">
        <v>1.0000000265436999</v>
      </c>
    </row>
    <row r="6684" spans="1:40" x14ac:dyDescent="0.25">
      <c r="A6684" t="str">
        <f>"20190303162433550"</f>
        <v>20190303162433550</v>
      </c>
      <c r="B6684" t="str">
        <f>"1551601473541324"</f>
        <v>1551601473541324</v>
      </c>
      <c r="C6684" t="s">
        <v>40</v>
      </c>
      <c r="D6684">
        <v>5.4709729999999999</v>
      </c>
      <c r="E6684">
        <v>0.52963340000000003</v>
      </c>
      <c r="F6684" t="s">
        <v>42</v>
      </c>
      <c r="G6684">
        <v>-187.3783</v>
      </c>
      <c r="H6684">
        <v>0.88547609999999999</v>
      </c>
      <c r="I6684">
        <v>69.374080000000006</v>
      </c>
      <c r="J6684">
        <v>-187.47579999999999</v>
      </c>
      <c r="K6684">
        <v>1.1209039999999999</v>
      </c>
      <c r="L6684">
        <v>68.827849999999998</v>
      </c>
      <c r="M6684">
        <v>6.9127040000000004E-3</v>
      </c>
      <c r="N6684">
        <v>-1.440456E-2</v>
      </c>
      <c r="O6684">
        <v>0.99987230000000005</v>
      </c>
      <c r="P6684">
        <v>4.2341669999999998E-2</v>
      </c>
      <c r="Q6684">
        <v>0.15001610000000001</v>
      </c>
      <c r="R6684">
        <v>0.98777649999999995</v>
      </c>
      <c r="S6684">
        <v>0.36650090000000002</v>
      </c>
      <c r="T6684">
        <v>-0.86691469999999904</v>
      </c>
      <c r="U6684">
        <v>3.1583860000000001</v>
      </c>
      <c r="V6684">
        <v>3.5492389999999999E-2</v>
      </c>
      <c r="W6684">
        <v>0.1642371</v>
      </c>
      <c r="X6684">
        <v>0.98578209999999999</v>
      </c>
      <c r="Y6684">
        <v>0.1045412</v>
      </c>
      <c r="Z6684">
        <v>-0.249222</v>
      </c>
      <c r="AA6684">
        <v>0.96278739999999996</v>
      </c>
      <c r="AB6684">
        <v>34</v>
      </c>
      <c r="AC6684">
        <v>9.7499999999996603E-2</v>
      </c>
      <c r="AD6684">
        <v>-0.2354279</v>
      </c>
      <c r="AE6684">
        <v>0.54623000000000799</v>
      </c>
      <c r="AF6684">
        <v>7.9422890775252802E-2</v>
      </c>
      <c r="AG6684">
        <v>-0.2354279</v>
      </c>
      <c r="AH6684">
        <v>0.46345537895521</v>
      </c>
      <c r="AI6684">
        <v>116.59644451987199</v>
      </c>
      <c r="AJ6684">
        <v>80.275616416900604</v>
      </c>
      <c r="AK6684">
        <v>0.525856615400077</v>
      </c>
      <c r="AL6684">
        <v>80.5470805102334</v>
      </c>
      <c r="AM6684">
        <v>87.937996515377307</v>
      </c>
      <c r="AN6684">
        <v>0.99999994172236395</v>
      </c>
    </row>
    <row r="6685" spans="1:40" x14ac:dyDescent="0.25">
      <c r="A6685" t="str">
        <f>"20190303162433571"</f>
        <v>20190303162433571</v>
      </c>
      <c r="B6685" t="str">
        <f>"1551601473561820"</f>
        <v>1551601473561820</v>
      </c>
      <c r="C6685" t="s">
        <v>40</v>
      </c>
      <c r="D6685">
        <v>5.480721</v>
      </c>
      <c r="E6685">
        <v>0.53009439999999997</v>
      </c>
      <c r="F6685" t="s">
        <v>42</v>
      </c>
      <c r="G6685">
        <v>-187.3888</v>
      </c>
      <c r="H6685">
        <v>0.83895429999999904</v>
      </c>
      <c r="I6685">
        <v>69.655190000000005</v>
      </c>
      <c r="J6685">
        <v>-187.47370000000001</v>
      </c>
      <c r="K6685">
        <v>1.1209260000000001</v>
      </c>
      <c r="L6685">
        <v>69.155670000000001</v>
      </c>
      <c r="M6685">
        <v>6.8129710000000001E-3</v>
      </c>
      <c r="N6685">
        <v>-1.4401189999999999E-2</v>
      </c>
      <c r="O6685">
        <v>0.99987309999999996</v>
      </c>
      <c r="P6685">
        <v>4.0540010000000001E-2</v>
      </c>
      <c r="Q6685">
        <v>0.15032039999999999</v>
      </c>
      <c r="R6685">
        <v>0.98780579999999996</v>
      </c>
      <c r="S6685">
        <v>0.3356171</v>
      </c>
      <c r="T6685">
        <v>-1.0863590000000001</v>
      </c>
      <c r="U6685">
        <v>3.1877140000000002</v>
      </c>
      <c r="V6685">
        <v>3.378308E-2</v>
      </c>
      <c r="W6685">
        <v>0.16453909999999999</v>
      </c>
      <c r="X6685">
        <v>0.98579190000000005</v>
      </c>
      <c r="Y6685">
        <v>9.2615810000000007E-2</v>
      </c>
      <c r="Z6685">
        <v>-0.307419</v>
      </c>
      <c r="AA6685">
        <v>0.94705640000000002</v>
      </c>
      <c r="AB6685">
        <v>34</v>
      </c>
      <c r="AC6685">
        <v>8.4900000000004597E-2</v>
      </c>
      <c r="AD6685">
        <v>-0.28197169999999999</v>
      </c>
      <c r="AE6685">
        <v>0.49952000000000402</v>
      </c>
      <c r="AF6685">
        <v>6.2223890813851497E-2</v>
      </c>
      <c r="AG6685">
        <v>-0.28197169999999999</v>
      </c>
      <c r="AH6685">
        <v>0.38183394786177599</v>
      </c>
      <c r="AI6685">
        <v>126.086528953672</v>
      </c>
      <c r="AJ6685">
        <v>80.744403911352705</v>
      </c>
      <c r="AK6685">
        <v>0.47872436320769601</v>
      </c>
      <c r="AL6685">
        <v>80.529539487131203</v>
      </c>
      <c r="AM6685">
        <v>88.037242259942303</v>
      </c>
      <c r="AN6685">
        <v>1.0000000410143499</v>
      </c>
    </row>
    <row r="6686" spans="1:40" x14ac:dyDescent="0.25">
      <c r="A6686" t="str">
        <f>"20190303162433594"</f>
        <v>20190303162433594</v>
      </c>
      <c r="B6686" t="str">
        <f>"1551601473591100"</f>
        <v>1551601473591100</v>
      </c>
      <c r="C6686" t="s">
        <v>40</v>
      </c>
      <c r="D6686">
        <v>5.5321660000000001</v>
      </c>
      <c r="E6686">
        <v>0.53042539999999905</v>
      </c>
      <c r="F6686" t="s">
        <v>42</v>
      </c>
      <c r="G6686">
        <v>-187.38890000000001</v>
      </c>
      <c r="H6686">
        <v>0.84395239999999905</v>
      </c>
      <c r="I6686">
        <v>69.95675</v>
      </c>
      <c r="J6686">
        <v>-187.47149999999999</v>
      </c>
      <c r="K6686">
        <v>1.1209639999999901</v>
      </c>
      <c r="L6686">
        <v>69.49051</v>
      </c>
      <c r="M6686">
        <v>6.6912769999999998E-3</v>
      </c>
      <c r="N6686">
        <v>-1.439755E-2</v>
      </c>
      <c r="O6686">
        <v>0.99987389999999998</v>
      </c>
      <c r="P6686">
        <v>3.9499970000000002E-2</v>
      </c>
      <c r="Q6686">
        <v>0.1539266</v>
      </c>
      <c r="R6686">
        <v>0.98729250000000002</v>
      </c>
      <c r="S6686">
        <v>0.33703610000000001</v>
      </c>
      <c r="T6686">
        <v>-1.1033170000000001</v>
      </c>
      <c r="U6686">
        <v>3.1911010000000002</v>
      </c>
      <c r="V6686">
        <v>3.2859680000000002E-2</v>
      </c>
      <c r="W6686">
        <v>0.16813510000000001</v>
      </c>
      <c r="X6686">
        <v>0.98521610000000004</v>
      </c>
      <c r="Y6686">
        <v>9.2901380000000006E-2</v>
      </c>
      <c r="Z6686">
        <v>-0.31160700000000002</v>
      </c>
      <c r="AA6686">
        <v>0.94565869999999996</v>
      </c>
      <c r="AB6686">
        <v>34</v>
      </c>
      <c r="AC6686">
        <v>8.2599999999985102E-2</v>
      </c>
      <c r="AD6686">
        <v>-0.27701159999999903</v>
      </c>
      <c r="AE6686">
        <v>0.46623999999999899</v>
      </c>
      <c r="AF6686">
        <v>5.9212162814829099E-2</v>
      </c>
      <c r="AG6686">
        <v>-0.27701159999999903</v>
      </c>
      <c r="AH6686">
        <v>0.34775863363757198</v>
      </c>
      <c r="AI6686">
        <v>128.14117648538101</v>
      </c>
      <c r="AJ6686">
        <v>80.337032054030104</v>
      </c>
      <c r="AK6686">
        <v>0.44852823102814898</v>
      </c>
      <c r="AL6686">
        <v>80.320592180216593</v>
      </c>
      <c r="AM6686">
        <v>88.089735512351794</v>
      </c>
      <c r="AN6686">
        <v>0.99999996706046002</v>
      </c>
    </row>
    <row r="6687" spans="1:40" x14ac:dyDescent="0.25">
      <c r="A6687" t="str">
        <f>"20190303162433617"</f>
        <v>20190303162433617</v>
      </c>
      <c r="B6687" t="str">
        <f>"1551601473611596"</f>
        <v>1551601473611596</v>
      </c>
      <c r="C6687" t="s">
        <v>40</v>
      </c>
      <c r="D6687">
        <v>5.5160019999999896</v>
      </c>
      <c r="E6687">
        <v>0.53051110000000001</v>
      </c>
      <c r="F6687" t="s">
        <v>42</v>
      </c>
      <c r="G6687">
        <v>-187.38980000000001</v>
      </c>
      <c r="H6687">
        <v>0.85788009999999904</v>
      </c>
      <c r="I6687">
        <v>70.261560000000003</v>
      </c>
      <c r="J6687">
        <v>-187.46940000000001</v>
      </c>
      <c r="K6687">
        <v>1.1209830000000001</v>
      </c>
      <c r="L6687">
        <v>69.836939999999998</v>
      </c>
      <c r="M6687">
        <v>6.5459339999999998E-3</v>
      </c>
      <c r="N6687">
        <v>-1.439373E-2</v>
      </c>
      <c r="O6687">
        <v>0.99987490000000001</v>
      </c>
      <c r="P6687">
        <v>3.8691789999999997E-2</v>
      </c>
      <c r="Q6687">
        <v>0.15417169999999999</v>
      </c>
      <c r="R6687">
        <v>0.9872862</v>
      </c>
      <c r="S6687">
        <v>0.33862300000000001</v>
      </c>
      <c r="T6687">
        <v>-1.0901609999999999</v>
      </c>
      <c r="U6687">
        <v>3.1950379999999998</v>
      </c>
      <c r="V6687">
        <v>3.2188609999999999E-2</v>
      </c>
      <c r="W6687">
        <v>0.1683771</v>
      </c>
      <c r="X6687">
        <v>0.98519690000000004</v>
      </c>
      <c r="Y6687">
        <v>9.3522960000000002E-2</v>
      </c>
      <c r="Z6687">
        <v>-0.3077492</v>
      </c>
      <c r="AA6687">
        <v>0.94686000000000003</v>
      </c>
      <c r="AB6687">
        <v>34</v>
      </c>
      <c r="AC6687">
        <v>7.9599999999999199E-2</v>
      </c>
      <c r="AD6687">
        <v>-0.26310289999999997</v>
      </c>
      <c r="AE6687">
        <v>0.42462000000000399</v>
      </c>
      <c r="AF6687">
        <v>5.6035287119219797E-2</v>
      </c>
      <c r="AG6687">
        <v>-0.26310289999999997</v>
      </c>
      <c r="AH6687">
        <v>0.310112839083725</v>
      </c>
      <c r="AI6687">
        <v>129.85817076035801</v>
      </c>
      <c r="AJ6687">
        <v>79.757558909135</v>
      </c>
      <c r="AK6687">
        <v>0.41052778511997401</v>
      </c>
      <c r="AL6687">
        <v>80.306525830342096</v>
      </c>
      <c r="AM6687">
        <v>88.128683025210407</v>
      </c>
      <c r="AN6687">
        <v>0.99999994309387397</v>
      </c>
    </row>
    <row r="6688" spans="1:40" x14ac:dyDescent="0.25">
      <c r="A6688" t="str">
        <f>"20190303162433639"</f>
        <v>20190303162433639</v>
      </c>
      <c r="B6688" t="str">
        <f>"1551601473631117"</f>
        <v>1551601473631117</v>
      </c>
      <c r="C6688" t="s">
        <v>40</v>
      </c>
      <c r="D6688">
        <v>5.5069470000000003</v>
      </c>
      <c r="E6688">
        <v>0.53088219999999997</v>
      </c>
      <c r="F6688" t="s">
        <v>42</v>
      </c>
      <c r="G6688">
        <v>-187.39150000000001</v>
      </c>
      <c r="H6688">
        <v>0.87317559999999905</v>
      </c>
      <c r="I6688">
        <v>70.566640000000007</v>
      </c>
      <c r="J6688">
        <v>-187.46729999999999</v>
      </c>
      <c r="K6688">
        <v>1.1209899999999999</v>
      </c>
      <c r="L6688">
        <v>70.170929999999998</v>
      </c>
      <c r="M6688">
        <v>6.3913420000000004E-3</v>
      </c>
      <c r="N6688">
        <v>-1.439003E-2</v>
      </c>
      <c r="O6688">
        <v>0.99987599999999999</v>
      </c>
      <c r="P6688">
        <v>3.8469620000000003E-2</v>
      </c>
      <c r="Q6688">
        <v>0.153593799999999</v>
      </c>
      <c r="R6688">
        <v>0.98738499999999996</v>
      </c>
      <c r="S6688">
        <v>0.34027099999999999</v>
      </c>
      <c r="T6688">
        <v>-1.0849219999999999</v>
      </c>
      <c r="U6688">
        <v>3.1947329999999998</v>
      </c>
      <c r="V6688">
        <v>3.2113349999999999E-2</v>
      </c>
      <c r="W6688">
        <v>0.167798</v>
      </c>
      <c r="X6688">
        <v>0.98529820000000001</v>
      </c>
      <c r="Y6688">
        <v>9.4215800000000002E-2</v>
      </c>
      <c r="Z6688">
        <v>-0.30637029999999998</v>
      </c>
      <c r="AA6688">
        <v>0.94723840000000004</v>
      </c>
      <c r="AB6688">
        <v>33</v>
      </c>
      <c r="AC6688">
        <v>7.5799999999986697E-2</v>
      </c>
      <c r="AD6688">
        <v>-0.24781439999999999</v>
      </c>
      <c r="AE6688">
        <v>0.395710000000008</v>
      </c>
      <c r="AF6688">
        <v>5.3158596618642598E-2</v>
      </c>
      <c r="AG6688">
        <v>-0.24781439999999999</v>
      </c>
      <c r="AH6688">
        <v>0.28744344872917699</v>
      </c>
      <c r="AI6688">
        <v>130.28985815309699</v>
      </c>
      <c r="AJ6688">
        <v>79.522336154949301</v>
      </c>
      <c r="AK6688">
        <v>0.383225194186325</v>
      </c>
      <c r="AL6688">
        <v>80.340185167398701</v>
      </c>
      <c r="AM6688">
        <v>88.133247048116502</v>
      </c>
      <c r="AN6688">
        <v>0.99999998948773094</v>
      </c>
    </row>
    <row r="6689" spans="1:40" x14ac:dyDescent="0.25">
      <c r="A6689" t="str">
        <f>"20190303162433661"</f>
        <v>20190303162433661</v>
      </c>
      <c r="B6689" t="str">
        <f>"1551601473651613"</f>
        <v>1551601473651613</v>
      </c>
      <c r="C6689" t="s">
        <v>40</v>
      </c>
      <c r="D6689">
        <v>5.5378230000000004</v>
      </c>
      <c r="E6689">
        <v>0.53111619999999904</v>
      </c>
      <c r="F6689" t="s">
        <v>42</v>
      </c>
      <c r="G6689">
        <v>-187.39169999999999</v>
      </c>
      <c r="H6689">
        <v>0.88458700000000001</v>
      </c>
      <c r="I6689">
        <v>70.869829999999993</v>
      </c>
      <c r="J6689">
        <v>-187.46539999999999</v>
      </c>
      <c r="K6689">
        <v>1.12101299999999</v>
      </c>
      <c r="L6689">
        <v>70.496430000000004</v>
      </c>
      <c r="M6689">
        <v>6.2314190000000002E-3</v>
      </c>
      <c r="N6689">
        <v>-1.438642E-2</v>
      </c>
      <c r="O6689">
        <v>0.99987709999999996</v>
      </c>
      <c r="P6689">
        <v>3.8315759999999997E-2</v>
      </c>
      <c r="Q6689">
        <v>0.15579319999999999</v>
      </c>
      <c r="R6689">
        <v>0.98704630000000004</v>
      </c>
      <c r="S6689">
        <v>0.34529110000000002</v>
      </c>
      <c r="T6689">
        <v>-1.079969</v>
      </c>
      <c r="U6689">
        <v>3.1928709999999998</v>
      </c>
      <c r="V6689">
        <v>3.2114940000000002E-2</v>
      </c>
      <c r="W6689">
        <v>0.16998959999999999</v>
      </c>
      <c r="X6689">
        <v>0.98492239999999998</v>
      </c>
      <c r="Y6689">
        <v>9.5943349999999997E-2</v>
      </c>
      <c r="Z6689">
        <v>-0.30517240000000001</v>
      </c>
      <c r="AA6689">
        <v>0.94745170000000001</v>
      </c>
      <c r="AB6689">
        <v>33</v>
      </c>
      <c r="AC6689">
        <v>7.3700000000002305E-2</v>
      </c>
      <c r="AD6689">
        <v>-0.236425999999999</v>
      </c>
      <c r="AE6689">
        <v>0.37340000000000301</v>
      </c>
      <c r="AF6689">
        <v>5.1499324392296097E-2</v>
      </c>
      <c r="AG6689">
        <v>-0.236425999999999</v>
      </c>
      <c r="AH6689">
        <v>0.26975927009616701</v>
      </c>
      <c r="AI6689">
        <v>130.724690842803</v>
      </c>
      <c r="AJ6689">
        <v>79.191804435447906</v>
      </c>
      <c r="AK6689">
        <v>0.36238032188803998</v>
      </c>
      <c r="AL6689">
        <v>80.212785459892402</v>
      </c>
      <c r="AM6689">
        <v>88.1324428906874</v>
      </c>
      <c r="AN6689">
        <v>0.99999998375056098</v>
      </c>
    </row>
    <row r="6690" spans="1:40" x14ac:dyDescent="0.25">
      <c r="A6690" t="str">
        <f>"20190303162433684"</f>
        <v>20190303162433684</v>
      </c>
      <c r="B6690" t="str">
        <f>"1551601473681869"</f>
        <v>1551601473681869</v>
      </c>
      <c r="C6690" t="s">
        <v>40</v>
      </c>
      <c r="D6690">
        <v>5.551526</v>
      </c>
      <c r="E6690">
        <v>0.53132840000000003</v>
      </c>
      <c r="F6690" t="s">
        <v>42</v>
      </c>
      <c r="G6690">
        <v>-187.3921</v>
      </c>
      <c r="H6690">
        <v>0.89502309999999996</v>
      </c>
      <c r="I6690">
        <v>71.172330000000002</v>
      </c>
      <c r="J6690">
        <v>-187.46350000000001</v>
      </c>
      <c r="K6690">
        <v>1.1210439999999999</v>
      </c>
      <c r="L6690">
        <v>70.827209999999994</v>
      </c>
      <c r="M6690">
        <v>6.0623600000000001E-3</v>
      </c>
      <c r="N6690">
        <v>-1.4382809999999999E-2</v>
      </c>
      <c r="O6690">
        <v>0.99987820000000005</v>
      </c>
      <c r="P6690">
        <v>3.7557479999999997E-2</v>
      </c>
      <c r="Q6690">
        <v>0.15936069999999999</v>
      </c>
      <c r="R6690">
        <v>0.98650570000000004</v>
      </c>
      <c r="S6690">
        <v>0.34640500000000002</v>
      </c>
      <c r="T6690">
        <v>-1.068084</v>
      </c>
      <c r="U6690">
        <v>3.1944889999999999</v>
      </c>
      <c r="V6690">
        <v>3.1523059999999999E-2</v>
      </c>
      <c r="W6690">
        <v>0.17354559999999999</v>
      </c>
      <c r="X6690">
        <v>0.98432120000000001</v>
      </c>
      <c r="Y6690">
        <v>9.650251E-2</v>
      </c>
      <c r="Z6690">
        <v>-0.30184800000000001</v>
      </c>
      <c r="AA6690">
        <v>0.94845930000000001</v>
      </c>
      <c r="AB6690">
        <v>33</v>
      </c>
      <c r="AC6690">
        <v>7.1400000000011205E-2</v>
      </c>
      <c r="AD6690">
        <v>-0.2260209</v>
      </c>
      <c r="AE6690">
        <v>0.34512000000000798</v>
      </c>
      <c r="AF6690">
        <v>4.9108185992180003E-2</v>
      </c>
      <c r="AG6690">
        <v>-0.2260209</v>
      </c>
      <c r="AH6690">
        <v>0.244843278077787</v>
      </c>
      <c r="AI6690">
        <v>132.148213503059</v>
      </c>
      <c r="AJ6690">
        <v>78.658675290870704</v>
      </c>
      <c r="AK6690">
        <v>0.33681640694617199</v>
      </c>
      <c r="AL6690">
        <v>80.005967895883103</v>
      </c>
      <c r="AM6690">
        <v>88.165719473101703</v>
      </c>
      <c r="AN6690">
        <v>1.0000000016802799</v>
      </c>
    </row>
    <row r="6691" spans="1:40" x14ac:dyDescent="0.25">
      <c r="A6691" t="str">
        <f>"20190303162433708"</f>
        <v>20190303162433708</v>
      </c>
      <c r="B6691" t="str">
        <f>"1551601473701388"</f>
        <v>1551601473701388</v>
      </c>
      <c r="C6691" t="s">
        <v>40</v>
      </c>
      <c r="D6691">
        <v>5.5557249999999998</v>
      </c>
      <c r="E6691">
        <v>0.53144230000000003</v>
      </c>
      <c r="F6691" t="s">
        <v>42</v>
      </c>
      <c r="G6691">
        <v>-187.36510000000001</v>
      </c>
      <c r="H6691">
        <v>0.82065940000000004</v>
      </c>
      <c r="I6691">
        <v>71.738010000000003</v>
      </c>
      <c r="J6691">
        <v>-187.4616</v>
      </c>
      <c r="K6691">
        <v>1.1210610000000001</v>
      </c>
      <c r="L6691">
        <v>71.180689999999998</v>
      </c>
      <c r="M6691">
        <v>5.8783469999999999E-3</v>
      </c>
      <c r="N6691">
        <v>-1.437916E-2</v>
      </c>
      <c r="O6691">
        <v>0.99987939999999997</v>
      </c>
      <c r="P6691">
        <v>3.7781469999999998E-2</v>
      </c>
      <c r="Q6691">
        <v>0.16203670000000001</v>
      </c>
      <c r="R6691">
        <v>0.98606119999999997</v>
      </c>
      <c r="S6691">
        <v>0.3450317</v>
      </c>
      <c r="T6691">
        <v>-1.054805</v>
      </c>
      <c r="U6691">
        <v>3.1983030000000001</v>
      </c>
      <c r="V6691">
        <v>3.1928520000000002E-2</v>
      </c>
      <c r="W6691">
        <v>0.17621139999999999</v>
      </c>
      <c r="X6691">
        <v>0.9838344</v>
      </c>
      <c r="Y6691">
        <v>9.6296400000000004E-2</v>
      </c>
      <c r="Z6691">
        <v>-0.29797240000000003</v>
      </c>
      <c r="AA6691">
        <v>0.94970489999999996</v>
      </c>
      <c r="AB6691">
        <v>33</v>
      </c>
      <c r="AC6691">
        <v>9.6499999999991801E-2</v>
      </c>
      <c r="AD6691">
        <v>-0.30040159999999899</v>
      </c>
      <c r="AE6691">
        <v>0.55732000000000403</v>
      </c>
      <c r="AF6691">
        <v>7.2711663200056606E-2</v>
      </c>
      <c r="AG6691">
        <v>-0.30040159999999899</v>
      </c>
      <c r="AH6691">
        <v>0.43513622966964599</v>
      </c>
      <c r="AI6691">
        <v>124.25177306175399</v>
      </c>
      <c r="AJ6691">
        <v>80.513471212402806</v>
      </c>
      <c r="AK6691">
        <v>0.53373368417122902</v>
      </c>
      <c r="AL6691">
        <v>79.850838268068003</v>
      </c>
      <c r="AM6691">
        <v>88.141224160299799</v>
      </c>
      <c r="AN6691">
        <v>1.00000000725135</v>
      </c>
    </row>
    <row r="6692" spans="1:40" x14ac:dyDescent="0.25">
      <c r="A6692" t="str">
        <f>"20190303162433730"</f>
        <v>20190303162433730</v>
      </c>
      <c r="B6692" t="str">
        <f>"1551601473721885"</f>
        <v>1551601473721885</v>
      </c>
      <c r="C6692" t="s">
        <v>40</v>
      </c>
      <c r="D6692">
        <v>5.5471849999999998</v>
      </c>
      <c r="E6692">
        <v>0.53126450000000003</v>
      </c>
      <c r="F6692" t="s">
        <v>42</v>
      </c>
      <c r="G6692">
        <v>-187.3689</v>
      </c>
      <c r="H6692">
        <v>0.83904210000000001</v>
      </c>
      <c r="I6692">
        <v>72.042659999999998</v>
      </c>
      <c r="J6692">
        <v>-187.4597</v>
      </c>
      <c r="K6692">
        <v>1.1210629999999999</v>
      </c>
      <c r="L6692">
        <v>71.526609999999906</v>
      </c>
      <c r="M6692">
        <v>5.6974419999999996E-3</v>
      </c>
      <c r="N6692">
        <v>-1.4375600000000001E-2</v>
      </c>
      <c r="O6692">
        <v>0.9998804</v>
      </c>
      <c r="P6692">
        <v>3.8379589999999998E-2</v>
      </c>
      <c r="Q6692">
        <v>0.16216829999999999</v>
      </c>
      <c r="R6692">
        <v>0.98601649999999996</v>
      </c>
      <c r="S6692">
        <v>0.34413149999999998</v>
      </c>
      <c r="T6692">
        <v>-1.0474300000000001</v>
      </c>
      <c r="U6692">
        <v>3.201355</v>
      </c>
      <c r="V6692">
        <v>3.2704169999999998E-2</v>
      </c>
      <c r="W6692">
        <v>0.17633950000000001</v>
      </c>
      <c r="X6692">
        <v>0.98378600000000005</v>
      </c>
      <c r="Y6692">
        <v>9.6192319999999998E-2</v>
      </c>
      <c r="Z6692">
        <v>-0.2957378</v>
      </c>
      <c r="AA6692">
        <v>0.95041370000000003</v>
      </c>
      <c r="AB6692">
        <v>33</v>
      </c>
      <c r="AC6692">
        <v>9.0800000000001505E-2</v>
      </c>
      <c r="AD6692">
        <v>-0.28202089999999902</v>
      </c>
      <c r="AE6692">
        <v>0.516050000000007</v>
      </c>
      <c r="AF6692">
        <v>6.8123247636768997E-2</v>
      </c>
      <c r="AG6692">
        <v>-0.28202089999999902</v>
      </c>
      <c r="AH6692">
        <v>0.400528740369125</v>
      </c>
      <c r="AI6692">
        <v>124.766554454104</v>
      </c>
      <c r="AJ6692">
        <v>80.347316382791504</v>
      </c>
      <c r="AK6692">
        <v>0.494570355730172</v>
      </c>
      <c r="AL6692">
        <v>79.843382233431996</v>
      </c>
      <c r="AM6692">
        <v>88.096007550520198</v>
      </c>
      <c r="AN6692">
        <v>1.00000003789581</v>
      </c>
    </row>
    <row r="6693" spans="1:40" x14ac:dyDescent="0.25">
      <c r="A6693" t="str">
        <f>"20190303162433750"</f>
        <v>20190303162433750</v>
      </c>
      <c r="B6693" t="str">
        <f>"1551601473741405"</f>
        <v>1551601473741405</v>
      </c>
      <c r="C6693" t="s">
        <v>40</v>
      </c>
      <c r="D6693">
        <v>5.54854</v>
      </c>
      <c r="E6693">
        <v>0.53113390000000005</v>
      </c>
      <c r="F6693" t="s">
        <v>42</v>
      </c>
      <c r="G6693">
        <v>-187.37209999999999</v>
      </c>
      <c r="H6693">
        <v>0.85236319999999999</v>
      </c>
      <c r="I6693">
        <v>72.344989999999996</v>
      </c>
      <c r="J6693">
        <v>-187.45820000000001</v>
      </c>
      <c r="K6693">
        <v>1.1210580000000001</v>
      </c>
      <c r="L6693">
        <v>71.820340000000002</v>
      </c>
      <c r="M6693">
        <v>5.5442149999999999E-3</v>
      </c>
      <c r="N6693">
        <v>-1.437254E-2</v>
      </c>
      <c r="O6693">
        <v>0.99988129999999997</v>
      </c>
      <c r="P6693">
        <v>4.0057479999999999E-2</v>
      </c>
      <c r="Q6693">
        <v>0.162027</v>
      </c>
      <c r="R6693">
        <v>0.98597290000000004</v>
      </c>
      <c r="S6693">
        <v>0.34245300000000001</v>
      </c>
      <c r="T6693">
        <v>-1.051361</v>
      </c>
      <c r="U6693">
        <v>3.2021480000000002</v>
      </c>
      <c r="V6693">
        <v>3.4532800000000002E-2</v>
      </c>
      <c r="W6693">
        <v>0.1761954</v>
      </c>
      <c r="X6693">
        <v>0.98374930000000005</v>
      </c>
      <c r="Y6693">
        <v>9.5794409999999997E-2</v>
      </c>
      <c r="Z6693">
        <v>-0.29673919999999998</v>
      </c>
      <c r="AA6693">
        <v>0.95014169999999998</v>
      </c>
      <c r="AB6693">
        <v>33</v>
      </c>
      <c r="AC6693">
        <v>8.6100000000015997E-2</v>
      </c>
      <c r="AD6693">
        <v>-0.26869479999999901</v>
      </c>
      <c r="AE6693">
        <v>0.52464999999999395</v>
      </c>
      <c r="AF6693">
        <v>6.62648998518931E-2</v>
      </c>
      <c r="AG6693">
        <v>-0.26869479999999901</v>
      </c>
      <c r="AH6693">
        <v>0.41828520762565102</v>
      </c>
      <c r="AI6693">
        <v>122.393494361279</v>
      </c>
      <c r="AJ6693">
        <v>80.997991437072699</v>
      </c>
      <c r="AK6693">
        <v>0.50154805095609301</v>
      </c>
      <c r="AL6693">
        <v>79.851769592455398</v>
      </c>
      <c r="AM6693">
        <v>87.989557299257697</v>
      </c>
      <c r="AN6693">
        <v>1.00000000925374</v>
      </c>
    </row>
    <row r="6694" spans="1:40" x14ac:dyDescent="0.25">
      <c r="A6694" t="str">
        <f>"20190303162433772"</f>
        <v>20190303162433772</v>
      </c>
      <c r="B6694" t="str">
        <f>"1551601473761901"</f>
        <v>1551601473761901</v>
      </c>
      <c r="C6694" t="s">
        <v>40</v>
      </c>
      <c r="D6694">
        <v>5.5801550000000004</v>
      </c>
      <c r="E6694">
        <v>0.53069980000000005</v>
      </c>
      <c r="F6694" t="s">
        <v>42</v>
      </c>
      <c r="G6694">
        <v>-187.3691</v>
      </c>
      <c r="H6694">
        <v>0.85102029999999995</v>
      </c>
      <c r="I6694">
        <v>72.641109999999998</v>
      </c>
      <c r="J6694">
        <v>-187.45650000000001</v>
      </c>
      <c r="K6694">
        <v>1.1210610000000001</v>
      </c>
      <c r="L6694">
        <v>72.147769999999994</v>
      </c>
      <c r="M6694">
        <v>5.3743369999999999E-3</v>
      </c>
      <c r="N6694">
        <v>-1.4369099999999999E-2</v>
      </c>
      <c r="O6694">
        <v>0.9998823</v>
      </c>
      <c r="P6694">
        <v>4.0454270000000001E-2</v>
      </c>
      <c r="Q6694">
        <v>0.1624051</v>
      </c>
      <c r="R6694">
        <v>0.98589459999999995</v>
      </c>
      <c r="S6694">
        <v>0.34712219999999999</v>
      </c>
      <c r="T6694">
        <v>-1.053374</v>
      </c>
      <c r="U6694">
        <v>3.2016909999999998</v>
      </c>
      <c r="V6694">
        <v>3.509694E-2</v>
      </c>
      <c r="W6694">
        <v>0.176569</v>
      </c>
      <c r="X6694">
        <v>0.98366229999999999</v>
      </c>
      <c r="Y6694">
        <v>9.7325200000000001E-2</v>
      </c>
      <c r="Z6694">
        <v>-0.29727690000000001</v>
      </c>
      <c r="AA6694">
        <v>0.94981800000000005</v>
      </c>
      <c r="AB6694">
        <v>33</v>
      </c>
      <c r="AC6694">
        <v>8.7400000000002295E-2</v>
      </c>
      <c r="AD6694">
        <v>-0.27004069999999902</v>
      </c>
      <c r="AE6694">
        <v>0.493340000000003</v>
      </c>
      <c r="AF6694">
        <v>6.5670011541867496E-2</v>
      </c>
      <c r="AG6694">
        <v>-0.27004069999999902</v>
      </c>
      <c r="AH6694">
        <v>0.38264470996747701</v>
      </c>
      <c r="AI6694">
        <v>124.8206494346</v>
      </c>
      <c r="AJ6694">
        <v>80.261690294970407</v>
      </c>
      <c r="AK6694">
        <v>0.47291807338955999</v>
      </c>
      <c r="AL6694">
        <v>79.830022471761296</v>
      </c>
      <c r="AM6694">
        <v>87.956561050580305</v>
      </c>
      <c r="AN6694">
        <v>0.99999996369982602</v>
      </c>
    </row>
    <row r="6695" spans="1:40" x14ac:dyDescent="0.25">
      <c r="A6695" t="str">
        <f>"20190303162433796"</f>
        <v>20190303162433796</v>
      </c>
      <c r="B6695" t="str">
        <f>"1551601473791180"</f>
        <v>1551601473791180</v>
      </c>
      <c r="C6695" t="s">
        <v>40</v>
      </c>
      <c r="D6695">
        <v>5.7583320000000002</v>
      </c>
      <c r="E6695">
        <v>0.51036419999999905</v>
      </c>
      <c r="F6695" t="s">
        <v>42</v>
      </c>
      <c r="G6695">
        <v>-187.37119999999999</v>
      </c>
      <c r="H6695">
        <v>0.86031199999999997</v>
      </c>
      <c r="I6695">
        <v>72.941199999999995</v>
      </c>
      <c r="J6695">
        <v>-187.45490000000001</v>
      </c>
      <c r="K6695">
        <v>1.121059</v>
      </c>
      <c r="L6695">
        <v>72.493679999999998</v>
      </c>
      <c r="M6695">
        <v>5.1958330000000004E-3</v>
      </c>
      <c r="N6695">
        <v>-1.436554E-2</v>
      </c>
      <c r="O6695">
        <v>0.99988330000000003</v>
      </c>
      <c r="P6695">
        <v>4.0501820000000001E-2</v>
      </c>
      <c r="Q6695">
        <v>0.16212879999999999</v>
      </c>
      <c r="R6695">
        <v>0.98593810000000004</v>
      </c>
      <c r="S6695">
        <v>0.34416200000000002</v>
      </c>
      <c r="T6695">
        <v>-1.0523290000000001</v>
      </c>
      <c r="U6695">
        <v>3.2021480000000002</v>
      </c>
      <c r="V6695">
        <v>3.5320039999999997E-2</v>
      </c>
      <c r="W6695">
        <v>0.17629020000000001</v>
      </c>
      <c r="X6695">
        <v>0.98370429999999998</v>
      </c>
      <c r="Y6695">
        <v>9.6632019999999999E-2</v>
      </c>
      <c r="Z6695">
        <v>-0.2969849</v>
      </c>
      <c r="AA6695">
        <v>0.94998009999999999</v>
      </c>
      <c r="AB6695">
        <v>33</v>
      </c>
      <c r="AC6695">
        <v>8.3700000000021604E-2</v>
      </c>
      <c r="AD6695">
        <v>-0.26074699999999901</v>
      </c>
      <c r="AE6695">
        <v>0.44751999999999698</v>
      </c>
      <c r="AF6695">
        <v>6.1274874228201902E-2</v>
      </c>
      <c r="AG6695">
        <v>-0.26074699999999901</v>
      </c>
      <c r="AH6695">
        <v>0.33730943103168898</v>
      </c>
      <c r="AI6695">
        <v>127.25563025231</v>
      </c>
      <c r="AJ6695">
        <v>79.704051384491606</v>
      </c>
      <c r="AK6695">
        <v>0.43072179011933398</v>
      </c>
      <c r="AL6695">
        <v>79.846250916630098</v>
      </c>
      <c r="AM6695">
        <v>87.943670406128405</v>
      </c>
      <c r="AN6695">
        <v>0.99999994484006405</v>
      </c>
    </row>
    <row r="6696" spans="1:40" x14ac:dyDescent="0.25">
      <c r="A6696" t="str">
        <f>"20190303162433819"</f>
        <v>20190303162433819</v>
      </c>
      <c r="B6696" t="str">
        <f>"1551601473811676"</f>
        <v>1551601473811676</v>
      </c>
      <c r="C6696" t="s">
        <v>40</v>
      </c>
      <c r="D6696">
        <v>5.7582139999999997</v>
      </c>
      <c r="E6696">
        <v>0.48060930000000002</v>
      </c>
      <c r="F6696" t="s">
        <v>42</v>
      </c>
      <c r="G6696">
        <v>-187.40880000000001</v>
      </c>
      <c r="H6696">
        <v>0.94291250000000004</v>
      </c>
      <c r="I6696">
        <v>73.274230000000003</v>
      </c>
      <c r="J6696">
        <v>-187.45320000000001</v>
      </c>
      <c r="K6696">
        <v>1.1210580000000001</v>
      </c>
      <c r="L6696">
        <v>72.844700000000003</v>
      </c>
      <c r="M6696">
        <v>5.0153289999999998E-3</v>
      </c>
      <c r="N6696">
        <v>-1.436199E-2</v>
      </c>
      <c r="O6696">
        <v>0.99988429999999995</v>
      </c>
      <c r="P6696">
        <v>3.9788839999999999E-2</v>
      </c>
      <c r="Q6696">
        <v>0.16232260000000001</v>
      </c>
      <c r="R6696">
        <v>0.98593520000000001</v>
      </c>
      <c r="S6696">
        <v>0.1858978</v>
      </c>
      <c r="T6696">
        <v>-0.71974280000000002</v>
      </c>
      <c r="U6696">
        <v>3.1535030000000002</v>
      </c>
      <c r="V6696">
        <v>3.4784870000000002E-2</v>
      </c>
      <c r="W6696">
        <v>0.17647979999999899</v>
      </c>
      <c r="X6696">
        <v>0.98368940000000005</v>
      </c>
      <c r="Y6696">
        <v>5.2458320000000003E-2</v>
      </c>
      <c r="Z6696">
        <v>-0.20815049999999999</v>
      </c>
      <c r="AA6696">
        <v>0.97668900000000003</v>
      </c>
      <c r="AB6696">
        <v>33</v>
      </c>
      <c r="AC6696">
        <v>4.4399999999995998E-2</v>
      </c>
      <c r="AD6696">
        <v>-0.17814549999999901</v>
      </c>
      <c r="AE6696">
        <v>0.42952999999999902</v>
      </c>
      <c r="AF6696">
        <v>3.6100807473528701E-2</v>
      </c>
      <c r="AG6696">
        <v>-0.17814549999999901</v>
      </c>
      <c r="AH6696">
        <v>0.367244172015943</v>
      </c>
      <c r="AI6696">
        <v>115.769411708661</v>
      </c>
      <c r="AJ6696">
        <v>84.3857524525489</v>
      </c>
      <c r="AK6696">
        <v>0.40976501723569098</v>
      </c>
      <c r="AL6696">
        <v>79.835214872738007</v>
      </c>
      <c r="AM6696">
        <v>87.974771161486501</v>
      </c>
      <c r="AN6696">
        <v>0.99999997133065799</v>
      </c>
    </row>
    <row r="6697" spans="1:40" x14ac:dyDescent="0.25">
      <c r="A6697" t="str">
        <f>"20190303162433840"</f>
        <v>20190303162433840</v>
      </c>
      <c r="B6697" t="str">
        <f>"1551601473831196"</f>
        <v>1551601473831196</v>
      </c>
      <c r="C6697" t="s">
        <v>40</v>
      </c>
      <c r="D6697">
        <v>5.5313509999999999</v>
      </c>
      <c r="E6697">
        <v>0.47895399999999999</v>
      </c>
      <c r="F6697" t="s">
        <v>41</v>
      </c>
      <c r="G6697">
        <v>-187.804</v>
      </c>
      <c r="H6697" s="1">
        <v>-3.5467950000000001E-6</v>
      </c>
      <c r="I6697">
        <v>96.992440000000002</v>
      </c>
      <c r="J6697">
        <v>-187.45179999999999</v>
      </c>
      <c r="K6697">
        <v>1.121065</v>
      </c>
      <c r="L6697">
        <v>73.155699999999996</v>
      </c>
      <c r="M6697">
        <v>4.8555839999999996E-3</v>
      </c>
      <c r="N6697">
        <v>-1.435882E-2</v>
      </c>
      <c r="O6697">
        <v>0.99988509999999997</v>
      </c>
      <c r="P6697">
        <v>3.9722189999999998E-2</v>
      </c>
      <c r="Q6697">
        <v>0.1628568</v>
      </c>
      <c r="R6697">
        <v>0.9858498</v>
      </c>
      <c r="S6697">
        <v>-4.457092E-2</v>
      </c>
      <c r="T6697">
        <v>-0.1424347</v>
      </c>
      <c r="U6697">
        <v>3.0680540000000001</v>
      </c>
      <c r="V6697">
        <v>3.4875980000000001E-2</v>
      </c>
      <c r="W6697">
        <v>0.17701020000000001</v>
      </c>
      <c r="X6697">
        <v>0.98359090000000005</v>
      </c>
      <c r="Y6697">
        <v>-1.936539E-2</v>
      </c>
      <c r="Z6697">
        <v>-3.201888E-2</v>
      </c>
      <c r="AA6697">
        <v>0.99929959999999995</v>
      </c>
      <c r="AB6697">
        <v>33</v>
      </c>
      <c r="AC6697">
        <v>-0.35220000000001001</v>
      </c>
      <c r="AD6697">
        <v>-1.1210685467949999</v>
      </c>
      <c r="AE6697">
        <v>23.836739999999999</v>
      </c>
      <c r="AF6697">
        <v>-0.46691651656217398</v>
      </c>
      <c r="AG6697">
        <v>-1.1210685467949999</v>
      </c>
      <c r="AH6697">
        <v>23.782155741943601</v>
      </c>
      <c r="AI6697">
        <v>92.698352288019905</v>
      </c>
      <c r="AJ6697">
        <v>91.1247470403937</v>
      </c>
      <c r="AK6697">
        <v>23.813142116363199</v>
      </c>
      <c r="AL6697">
        <v>79.804339415934194</v>
      </c>
      <c r="AM6697">
        <v>87.969267857677494</v>
      </c>
      <c r="AN6697">
        <v>1.0000000017238999</v>
      </c>
    </row>
    <row r="6698" spans="1:40" x14ac:dyDescent="0.25">
      <c r="A6698" t="str">
        <f>"20190303162433863"</f>
        <v>20190303162433863</v>
      </c>
      <c r="B6698" t="str">
        <f>"1551601473851692"</f>
        <v>1551601473851692</v>
      </c>
      <c r="C6698" t="s">
        <v>40</v>
      </c>
      <c r="D6698">
        <v>5.8154859999999999</v>
      </c>
      <c r="E6698">
        <v>0.47870449999999998</v>
      </c>
      <c r="F6698" t="s">
        <v>41</v>
      </c>
      <c r="G6698">
        <v>-187.9554</v>
      </c>
      <c r="H6698" s="1">
        <v>-7.0040209999999999E-7</v>
      </c>
      <c r="I6698">
        <v>100.10760000000001</v>
      </c>
      <c r="J6698">
        <v>-187.45050000000001</v>
      </c>
      <c r="K6698">
        <v>1.121062</v>
      </c>
      <c r="L6698">
        <v>73.478849999999994</v>
      </c>
      <c r="M6698">
        <v>4.6895870000000003E-3</v>
      </c>
      <c r="N6698">
        <v>-1.435557E-2</v>
      </c>
      <c r="O6698">
        <v>0.99988600000000005</v>
      </c>
      <c r="P6698">
        <v>3.9975209999999997E-2</v>
      </c>
      <c r="Q6698">
        <v>0.16227910000000001</v>
      </c>
      <c r="R6698">
        <v>0.98593489999999995</v>
      </c>
      <c r="S6698">
        <v>-5.729675E-2</v>
      </c>
      <c r="T6698">
        <v>-0.12754849999999901</v>
      </c>
      <c r="U6698">
        <v>3.0664370000000001</v>
      </c>
      <c r="V6698">
        <v>3.5292549999999999E-2</v>
      </c>
      <c r="W6698">
        <v>0.17643010000000001</v>
      </c>
      <c r="X6698">
        <v>0.9836802</v>
      </c>
      <c r="Y6698">
        <v>-2.335462E-2</v>
      </c>
      <c r="Z6698">
        <v>-2.7201019999999999E-2</v>
      </c>
      <c r="AA6698">
        <v>0.9993571</v>
      </c>
      <c r="AB6698">
        <v>33</v>
      </c>
      <c r="AC6698">
        <v>-0.50489999999999202</v>
      </c>
      <c r="AD6698">
        <v>-1.1210627004021001</v>
      </c>
      <c r="AE6698">
        <v>26.62875</v>
      </c>
      <c r="AF6698">
        <v>-0.62867130318237197</v>
      </c>
      <c r="AG6698">
        <v>-1.1210627004021001</v>
      </c>
      <c r="AH6698">
        <v>26.5789978021464</v>
      </c>
      <c r="AI6698">
        <v>92.414544891724105</v>
      </c>
      <c r="AJ6698">
        <v>91.354960694534</v>
      </c>
      <c r="AK6698">
        <v>26.610056996409899</v>
      </c>
      <c r="AL6698">
        <v>79.8381075468468</v>
      </c>
      <c r="AM6698">
        <v>87.945219201699899</v>
      </c>
      <c r="AN6698">
        <v>0.99999994007177395</v>
      </c>
    </row>
    <row r="6699" spans="1:40" x14ac:dyDescent="0.25">
      <c r="A6699" t="str">
        <f>"20190303162433884"</f>
        <v>20190303162433884</v>
      </c>
      <c r="B6699" t="str">
        <f>"1551601473871212"</f>
        <v>1551601473871212</v>
      </c>
      <c r="C6699" t="s">
        <v>40</v>
      </c>
      <c r="D6699">
        <v>5.7299040000000003</v>
      </c>
      <c r="E6699">
        <v>0.47934979999999999</v>
      </c>
      <c r="F6699" t="s">
        <v>41</v>
      </c>
      <c r="G6699">
        <v>-187.91679999999999</v>
      </c>
      <c r="H6699" s="1">
        <v>-4.0026280000000004E-6</v>
      </c>
      <c r="I6699">
        <v>98.101609999999994</v>
      </c>
      <c r="J6699">
        <v>-187.44909999999999</v>
      </c>
      <c r="K6699">
        <v>1.1210709999999999</v>
      </c>
      <c r="L6699">
        <v>73.801879999999997</v>
      </c>
      <c r="M6699">
        <v>4.5236159999999899E-3</v>
      </c>
      <c r="N6699">
        <v>-1.435224E-2</v>
      </c>
      <c r="O6699">
        <v>0.99988679999999996</v>
      </c>
      <c r="P6699">
        <v>4.0584050000000003E-2</v>
      </c>
      <c r="Q6699">
        <v>0.16251699999999999</v>
      </c>
      <c r="R6699">
        <v>0.98587080000000005</v>
      </c>
      <c r="S6699">
        <v>-5.8105469999999999E-2</v>
      </c>
      <c r="T6699">
        <v>-0.1396917</v>
      </c>
      <c r="U6699">
        <v>3.068146</v>
      </c>
      <c r="V6699">
        <v>3.6065350000000003E-2</v>
      </c>
      <c r="W6699">
        <v>0.17666379999999901</v>
      </c>
      <c r="X6699">
        <v>0.98361030000000005</v>
      </c>
      <c r="Y6699">
        <v>-2.343874E-2</v>
      </c>
      <c r="Z6699">
        <v>-3.1128860000000001E-2</v>
      </c>
      <c r="AA6699">
        <v>0.99924049999999998</v>
      </c>
      <c r="AB6699">
        <v>33</v>
      </c>
      <c r="AC6699">
        <v>-0.467700000000007</v>
      </c>
      <c r="AD6699">
        <v>-1.1210750026280001</v>
      </c>
      <c r="AE6699">
        <v>24.299729999999901</v>
      </c>
      <c r="AF6699">
        <v>-0.57640278210171203</v>
      </c>
      <c r="AG6699">
        <v>-1.1210750026280001</v>
      </c>
      <c r="AH6699">
        <v>24.245778239199598</v>
      </c>
      <c r="AI6699">
        <v>92.646606917354504</v>
      </c>
      <c r="AJ6699">
        <v>91.361854704029099</v>
      </c>
      <c r="AK6699">
        <v>24.278525732695901</v>
      </c>
      <c r="AL6699">
        <v>79.824504608631798</v>
      </c>
      <c r="AM6699">
        <v>87.900116482547503</v>
      </c>
      <c r="AN6699">
        <v>1.0000000149835699</v>
      </c>
    </row>
    <row r="6700" spans="1:40" x14ac:dyDescent="0.25">
      <c r="A6700" t="str">
        <f>"20190303162433909"</f>
        <v>20190303162433909</v>
      </c>
      <c r="B6700" t="str">
        <f>"1551601473901469"</f>
        <v>1551601473901469</v>
      </c>
      <c r="C6700" t="s">
        <v>40</v>
      </c>
      <c r="D6700">
        <v>5.8420489999999896</v>
      </c>
      <c r="E6700">
        <v>0.47987839999999998</v>
      </c>
      <c r="F6700" t="s">
        <v>41</v>
      </c>
      <c r="G6700">
        <v>-187.83539999999999</v>
      </c>
      <c r="H6700" s="1">
        <v>-3.50729E-6</v>
      </c>
      <c r="I6700">
        <v>96.913309999999996</v>
      </c>
      <c r="J6700">
        <v>-187.4477</v>
      </c>
      <c r="K6700">
        <v>1.121081</v>
      </c>
      <c r="L6700">
        <v>74.154079999999993</v>
      </c>
      <c r="M6700">
        <v>4.3426369999999999E-3</v>
      </c>
      <c r="N6700">
        <v>-1.4348710000000001E-2</v>
      </c>
      <c r="O6700">
        <v>0.99988759999999999</v>
      </c>
      <c r="P6700">
        <v>4.0747100000000001E-2</v>
      </c>
      <c r="Q6700">
        <v>0.1637229</v>
      </c>
      <c r="R6700">
        <v>0.98566450000000005</v>
      </c>
      <c r="S6700">
        <v>-5.130005E-2</v>
      </c>
      <c r="T6700">
        <v>-0.14890030000000001</v>
      </c>
      <c r="U6700">
        <v>3.0696409999999998</v>
      </c>
      <c r="V6700">
        <v>3.6407500000000002E-2</v>
      </c>
      <c r="W6700">
        <v>0.177863299999999</v>
      </c>
      <c r="X6700">
        <v>0.98338150000000002</v>
      </c>
      <c r="Y6700">
        <v>-2.1032849999999999E-2</v>
      </c>
      <c r="Z6700">
        <v>-3.4103639999999998E-2</v>
      </c>
      <c r="AA6700">
        <v>0.99919690000000005</v>
      </c>
      <c r="AB6700">
        <v>33</v>
      </c>
      <c r="AC6700">
        <v>-0.38769999999999499</v>
      </c>
      <c r="AD6700">
        <v>-1.12108450729</v>
      </c>
      <c r="AE6700">
        <v>22.759229999999899</v>
      </c>
      <c r="AF6700">
        <v>-0.48536425193421801</v>
      </c>
      <c r="AG6700">
        <v>-1.12108450729</v>
      </c>
      <c r="AH6700">
        <v>22.7022628528212</v>
      </c>
      <c r="AI6700">
        <v>92.826442242017805</v>
      </c>
      <c r="AJ6700">
        <v>91.224771619746804</v>
      </c>
      <c r="AK6700">
        <v>22.735108259432799</v>
      </c>
      <c r="AL6700">
        <v>79.754672435570896</v>
      </c>
      <c r="AM6700">
        <v>87.879720337915003</v>
      </c>
      <c r="AN6700">
        <v>1.0000000170426899</v>
      </c>
    </row>
    <row r="6701" spans="1:40" x14ac:dyDescent="0.25">
      <c r="A6701" t="str">
        <f>"20190303162433933"</f>
        <v>20190303162433933</v>
      </c>
      <c r="B6701" t="str">
        <f>"1551601473921964"</f>
        <v>1551601473921964</v>
      </c>
      <c r="C6701" t="s">
        <v>40</v>
      </c>
      <c r="D6701">
        <v>5.8466399999999998</v>
      </c>
      <c r="E6701">
        <v>0.4802305</v>
      </c>
      <c r="F6701" t="s">
        <v>41</v>
      </c>
      <c r="G6701">
        <v>-187.7938</v>
      </c>
      <c r="H6701" s="1">
        <v>-3.5056579999999999E-6</v>
      </c>
      <c r="I6701">
        <v>96.892319999999998</v>
      </c>
      <c r="J6701">
        <v>-187.44640000000001</v>
      </c>
      <c r="K6701">
        <v>1.1210910000000001</v>
      </c>
      <c r="L6701">
        <v>74.506529999999998</v>
      </c>
      <c r="M6701">
        <v>4.1614989999999999E-3</v>
      </c>
      <c r="N6701">
        <v>-1.434523E-2</v>
      </c>
      <c r="O6701">
        <v>0.99988840000000001</v>
      </c>
      <c r="P6701">
        <v>4.0961490000000003E-2</v>
      </c>
      <c r="Q6701">
        <v>0.165774799999999</v>
      </c>
      <c r="R6701">
        <v>0.98531259999999998</v>
      </c>
      <c r="S6701">
        <v>-4.6737670000000002E-2</v>
      </c>
      <c r="T6701">
        <v>-0.15139810000000001</v>
      </c>
      <c r="U6701">
        <v>3.0707089999999999</v>
      </c>
      <c r="V6701">
        <v>3.680137E-2</v>
      </c>
      <c r="W6701">
        <v>0.1799065</v>
      </c>
      <c r="X6701">
        <v>0.98299510000000001</v>
      </c>
      <c r="Y6701">
        <v>-1.9361920000000001E-2</v>
      </c>
      <c r="Z6701">
        <v>-3.4902679999999998E-2</v>
      </c>
      <c r="AA6701">
        <v>0.99920310000000001</v>
      </c>
      <c r="AB6701">
        <v>33</v>
      </c>
      <c r="AC6701">
        <v>-0.34739999999999299</v>
      </c>
      <c r="AD6701">
        <v>-1.121094505658</v>
      </c>
      <c r="AE6701">
        <v>22.38579</v>
      </c>
      <c r="AF6701">
        <v>-0.43946308597996198</v>
      </c>
      <c r="AG6701">
        <v>-1.121094505658</v>
      </c>
      <c r="AH6701">
        <v>22.328163160800798</v>
      </c>
      <c r="AI6701">
        <v>92.873844989115895</v>
      </c>
      <c r="AJ6701">
        <v>91.127550408474505</v>
      </c>
      <c r="AK6701">
        <v>22.360609357302799</v>
      </c>
      <c r="AL6701">
        <v>79.635686550427096</v>
      </c>
      <c r="AM6701">
        <v>87.855961962036105</v>
      </c>
      <c r="AN6701">
        <v>1.0000000281000601</v>
      </c>
    </row>
    <row r="6702" spans="1:40" x14ac:dyDescent="0.25">
      <c r="A6702" t="str">
        <f>"20190303162433952"</f>
        <v>20190303162433952</v>
      </c>
      <c r="B6702" t="str">
        <f>"1551601473941485"</f>
        <v>1551601473941485</v>
      </c>
      <c r="C6702" t="s">
        <v>40</v>
      </c>
      <c r="D6702">
        <v>5.846902</v>
      </c>
      <c r="E6702">
        <v>0.4804273</v>
      </c>
      <c r="F6702" t="s">
        <v>41</v>
      </c>
      <c r="G6702">
        <v>-187.7791</v>
      </c>
      <c r="H6702" s="1">
        <v>-3.898238E-6</v>
      </c>
      <c r="I6702">
        <v>97.801349999999999</v>
      </c>
      <c r="J6702">
        <v>-187.4453</v>
      </c>
      <c r="K6702">
        <v>1.1210990000000001</v>
      </c>
      <c r="L6702">
        <v>74.800510000000003</v>
      </c>
      <c r="M6702">
        <v>4.0103889999999996E-3</v>
      </c>
      <c r="N6702">
        <v>-1.434231E-2</v>
      </c>
      <c r="O6702">
        <v>0.99988909999999998</v>
      </c>
      <c r="P6702">
        <v>4.1029879999999998E-2</v>
      </c>
      <c r="Q6702">
        <v>0.16738249999999999</v>
      </c>
      <c r="R6702">
        <v>0.98503790000000002</v>
      </c>
      <c r="S6702">
        <v>-4.3869020000000002E-2</v>
      </c>
      <c r="T6702">
        <v>-0.1478158</v>
      </c>
      <c r="U6702">
        <v>3.0714109999999999</v>
      </c>
      <c r="V6702">
        <v>3.7019379999999998E-2</v>
      </c>
      <c r="W6702">
        <v>0.18150759999999999</v>
      </c>
      <c r="X6702">
        <v>0.98269249999999997</v>
      </c>
      <c r="Y6702">
        <v>-1.827552E-2</v>
      </c>
      <c r="Z6702">
        <v>-3.373259E-2</v>
      </c>
      <c r="AA6702">
        <v>0.99926380000000004</v>
      </c>
      <c r="AB6702">
        <v>33</v>
      </c>
      <c r="AC6702">
        <v>-0.33379999999999599</v>
      </c>
      <c r="AD6702">
        <v>-1.121102898238</v>
      </c>
      <c r="AE6702">
        <v>23.00084</v>
      </c>
      <c r="AF6702">
        <v>-0.425039538061456</v>
      </c>
      <c r="AG6702">
        <v>-1.121102898238</v>
      </c>
      <c r="AH6702">
        <v>22.9448161694535</v>
      </c>
      <c r="AI6702">
        <v>92.796815961044999</v>
      </c>
      <c r="AJ6702">
        <v>91.061250020107494</v>
      </c>
      <c r="AK6702">
        <v>22.976120633548401</v>
      </c>
      <c r="AL6702">
        <v>79.542414397518797</v>
      </c>
      <c r="AM6702">
        <v>87.842609223937799</v>
      </c>
      <c r="AN6702">
        <v>0.99999999645479698</v>
      </c>
    </row>
    <row r="6703" spans="1:40" x14ac:dyDescent="0.25">
      <c r="A6703" t="str">
        <f>"20190303162433974"</f>
        <v>20190303162433974</v>
      </c>
      <c r="B6703" t="str">
        <f>"1551601473961005"</f>
        <v>1551601473961005</v>
      </c>
      <c r="C6703" t="s">
        <v>40</v>
      </c>
      <c r="D6703">
        <v>5.8373780000000002</v>
      </c>
      <c r="E6703">
        <v>0.48072670000000001</v>
      </c>
      <c r="F6703" t="s">
        <v>41</v>
      </c>
      <c r="G6703">
        <v>-187.76740000000001</v>
      </c>
      <c r="H6703" s="1">
        <v>-4.0650949999999999E-6</v>
      </c>
      <c r="I6703">
        <v>98.185450000000003</v>
      </c>
      <c r="J6703">
        <v>-187.4442</v>
      </c>
      <c r="K6703">
        <v>1.1211089999999999</v>
      </c>
      <c r="L6703">
        <v>75.119509999999906</v>
      </c>
      <c r="M6703">
        <v>3.8463339999999999E-3</v>
      </c>
      <c r="N6703">
        <v>-1.433911E-2</v>
      </c>
      <c r="O6703">
        <v>0.99988980000000005</v>
      </c>
      <c r="P6703">
        <v>4.1716789999999997E-2</v>
      </c>
      <c r="Q6703">
        <v>0.16881860000000001</v>
      </c>
      <c r="R6703">
        <v>0.98476390000000003</v>
      </c>
      <c r="S6703">
        <v>-4.2312620000000002E-2</v>
      </c>
      <c r="T6703">
        <v>-0.1472926</v>
      </c>
      <c r="U6703">
        <v>3.0723569999999998</v>
      </c>
      <c r="V6703">
        <v>3.786863E-2</v>
      </c>
      <c r="W6703">
        <v>0.18293619999999999</v>
      </c>
      <c r="X6703">
        <v>0.98239520000000002</v>
      </c>
      <c r="Y6703">
        <v>-1.760138E-2</v>
      </c>
      <c r="Z6703">
        <v>-3.3551770000000002E-2</v>
      </c>
      <c r="AA6703">
        <v>0.999282</v>
      </c>
      <c r="AB6703">
        <v>33</v>
      </c>
      <c r="AC6703">
        <v>-0.32320000000001398</v>
      </c>
      <c r="AD6703">
        <v>-1.1211130650950001</v>
      </c>
      <c r="AE6703">
        <v>23.065940000000001</v>
      </c>
      <c r="AF6703">
        <v>-0.41095538217398297</v>
      </c>
      <c r="AG6703">
        <v>-1.1211130650950001</v>
      </c>
      <c r="AH6703">
        <v>23.0101771223055</v>
      </c>
      <c r="AI6703">
        <v>92.788943010934204</v>
      </c>
      <c r="AJ6703">
        <v>91.023177954383698</v>
      </c>
      <c r="AK6703">
        <v>23.041137776393299</v>
      </c>
      <c r="AL6703">
        <v>79.459167998065993</v>
      </c>
      <c r="AM6703">
        <v>87.792498395348105</v>
      </c>
      <c r="AN6703">
        <v>1.00000000769577</v>
      </c>
    </row>
    <row r="6704" spans="1:40" x14ac:dyDescent="0.25">
      <c r="A6704" t="str">
        <f>"20190303162433998"</f>
        <v>20190303162433998</v>
      </c>
      <c r="B6704" t="str">
        <f>"1551601473991260"</f>
        <v>1551601473991260</v>
      </c>
      <c r="C6704" t="s">
        <v>40</v>
      </c>
      <c r="D6704">
        <v>5.8393810000000004</v>
      </c>
      <c r="E6704">
        <v>0.48116880000000001</v>
      </c>
      <c r="F6704" t="s">
        <v>41</v>
      </c>
      <c r="G6704">
        <v>-187.739</v>
      </c>
      <c r="H6704" s="1">
        <v>-4.1967309999999998E-6</v>
      </c>
      <c r="I6704">
        <v>98.480580000000003</v>
      </c>
      <c r="J6704">
        <v>-187.44309999999999</v>
      </c>
      <c r="K6704">
        <v>1.121113</v>
      </c>
      <c r="L6704">
        <v>75.46463</v>
      </c>
      <c r="M6704">
        <v>3.6687989999999999E-3</v>
      </c>
      <c r="N6704">
        <v>-1.433563E-2</v>
      </c>
      <c r="O6704">
        <v>0.99989050000000002</v>
      </c>
      <c r="P6704">
        <v>4.3313539999999998E-2</v>
      </c>
      <c r="Q6704">
        <v>0.1700431</v>
      </c>
      <c r="R6704">
        <v>0.98448429999999998</v>
      </c>
      <c r="S6704">
        <v>-3.8787839999999997E-2</v>
      </c>
      <c r="T6704">
        <v>-0.14749279999999901</v>
      </c>
      <c r="U6704">
        <v>3.0733640000000002</v>
      </c>
      <c r="V6704">
        <v>3.9641000000000003E-2</v>
      </c>
      <c r="W6704">
        <v>0.18415400000000001</v>
      </c>
      <c r="X6704">
        <v>0.98209769999999996</v>
      </c>
      <c r="Y6704">
        <v>-1.627404E-2</v>
      </c>
      <c r="Z6704">
        <v>-3.3605509999999998E-2</v>
      </c>
      <c r="AA6704">
        <v>0.99930269999999999</v>
      </c>
      <c r="AB6704">
        <v>33</v>
      </c>
      <c r="AC6704">
        <v>-0.29590000000001698</v>
      </c>
      <c r="AD6704">
        <v>-1.1211171967309901</v>
      </c>
      <c r="AE6704">
        <v>23.01595</v>
      </c>
      <c r="AF6704">
        <v>-0.37944741235951102</v>
      </c>
      <c r="AG6704">
        <v>-1.1211171967309901</v>
      </c>
      <c r="AH6704">
        <v>22.960240426479999</v>
      </c>
      <c r="AI6704">
        <v>92.795073374264206</v>
      </c>
      <c r="AJ6704">
        <v>90.9468000305651</v>
      </c>
      <c r="AK6704">
        <v>22.990726925204399</v>
      </c>
      <c r="AL6704">
        <v>79.3881872242778</v>
      </c>
      <c r="AM6704">
        <v>87.688590719672703</v>
      </c>
      <c r="AN6704">
        <v>0.99999999847114496</v>
      </c>
    </row>
    <row r="6705" spans="1:40" x14ac:dyDescent="0.25">
      <c r="A6705" t="str">
        <f>"20190303162434020"</f>
        <v>20190303162434020</v>
      </c>
      <c r="B6705" t="str">
        <f>"1551601474011756"</f>
        <v>1551601474011756</v>
      </c>
      <c r="C6705" t="s">
        <v>40</v>
      </c>
      <c r="D6705">
        <v>5.7768129999999998</v>
      </c>
      <c r="E6705">
        <v>0.4812323</v>
      </c>
      <c r="F6705" t="s">
        <v>41</v>
      </c>
      <c r="G6705">
        <v>-187.67699999999999</v>
      </c>
      <c r="H6705" s="1">
        <v>-4.2825199999999998E-6</v>
      </c>
      <c r="I6705">
        <v>98.654889999999995</v>
      </c>
      <c r="J6705">
        <v>-187.44200000000001</v>
      </c>
      <c r="K6705">
        <v>1.1211100000000001</v>
      </c>
      <c r="L6705">
        <v>75.796300000000002</v>
      </c>
      <c r="M6705">
        <v>3.4981560000000001E-3</v>
      </c>
      <c r="N6705">
        <v>-1.4332259999999999E-2</v>
      </c>
      <c r="O6705">
        <v>0.99989119999999998</v>
      </c>
      <c r="P6705">
        <v>4.4207129999999997E-2</v>
      </c>
      <c r="Q6705">
        <v>0.16991979999999901</v>
      </c>
      <c r="R6705">
        <v>0.98446579999999995</v>
      </c>
      <c r="S6705">
        <v>-3.100586E-2</v>
      </c>
      <c r="T6705">
        <v>-0.14862539999999999</v>
      </c>
      <c r="U6705">
        <v>3.0743100000000001</v>
      </c>
      <c r="V6705">
        <v>4.0702799999999997E-2</v>
      </c>
      <c r="W6705">
        <v>0.18402740000000001</v>
      </c>
      <c r="X6705">
        <v>0.98207800000000001</v>
      </c>
      <c r="Y6705">
        <v>-1.357132E-2</v>
      </c>
      <c r="Z6705">
        <v>-3.3963260000000002E-2</v>
      </c>
      <c r="AA6705">
        <v>0.99933090000000002</v>
      </c>
      <c r="AB6705">
        <v>33</v>
      </c>
      <c r="AC6705">
        <v>-0.235000000000013</v>
      </c>
      <c r="AD6705">
        <v>-1.12111428252</v>
      </c>
      <c r="AE6705">
        <v>22.85859</v>
      </c>
      <c r="AF6705">
        <v>-0.31421393313486101</v>
      </c>
      <c r="AG6705">
        <v>-1.12111428252</v>
      </c>
      <c r="AH6705">
        <v>22.8027822265746</v>
      </c>
      <c r="AI6705">
        <v>92.814452659322697</v>
      </c>
      <c r="AJ6705">
        <v>90.7894647554876</v>
      </c>
      <c r="AK6705">
        <v>22.832487926260601</v>
      </c>
      <c r="AL6705">
        <v>79.395567011933196</v>
      </c>
      <c r="AM6705">
        <v>87.626701017246305</v>
      </c>
      <c r="AN6705">
        <v>0.99999999998129996</v>
      </c>
    </row>
    <row r="6706" spans="1:40" x14ac:dyDescent="0.25">
      <c r="A6706" t="str">
        <f>"20190303162434042"</f>
        <v>20190303162434042</v>
      </c>
      <c r="B6706" t="str">
        <f>"1551601474031276"</f>
        <v>1551601474031276</v>
      </c>
      <c r="C6706" t="s">
        <v>40</v>
      </c>
      <c r="D6706">
        <v>5.8237120000000004</v>
      </c>
      <c r="E6706">
        <v>0.48137940000000001</v>
      </c>
      <c r="F6706" t="s">
        <v>41</v>
      </c>
      <c r="G6706">
        <v>-187.64850000000001</v>
      </c>
      <c r="H6706" s="1">
        <v>-4.2128849999999997E-6</v>
      </c>
      <c r="I6706">
        <v>98.480800000000002</v>
      </c>
      <c r="J6706">
        <v>-187.44110000000001</v>
      </c>
      <c r="K6706">
        <v>1.121116</v>
      </c>
      <c r="L6706">
        <v>76.107819999999904</v>
      </c>
      <c r="M6706">
        <v>3.3378520000000001E-3</v>
      </c>
      <c r="N6706">
        <v>-1.4329089999999999E-2</v>
      </c>
      <c r="O6706">
        <v>0.9998918</v>
      </c>
      <c r="P6706">
        <v>4.5075299999999999E-2</v>
      </c>
      <c r="Q6706">
        <v>0.16982120000000001</v>
      </c>
      <c r="R6706">
        <v>0.98444350000000003</v>
      </c>
      <c r="S6706">
        <v>-2.7984620000000002E-2</v>
      </c>
      <c r="T6706">
        <v>-0.15196279999999901</v>
      </c>
      <c r="U6706">
        <v>3.0747990000000001</v>
      </c>
      <c r="V6706">
        <v>4.1729009999999997E-2</v>
      </c>
      <c r="W6706">
        <v>0.1839257</v>
      </c>
      <c r="X6706">
        <v>0.98205399999999998</v>
      </c>
      <c r="Y6706">
        <v>-1.242765E-2</v>
      </c>
      <c r="Z6706">
        <v>-3.5041530000000001E-2</v>
      </c>
      <c r="AA6706">
        <v>0.99930859999999999</v>
      </c>
      <c r="AB6706">
        <v>33</v>
      </c>
      <c r="AC6706">
        <v>-0.207400000000006</v>
      </c>
      <c r="AD6706">
        <v>-1.121120212885</v>
      </c>
      <c r="AE6706">
        <v>22.372979999999998</v>
      </c>
      <c r="AF6706">
        <v>-0.28137771035768999</v>
      </c>
      <c r="AG6706">
        <v>-1.121120212885</v>
      </c>
      <c r="AH6706">
        <v>22.316130723658201</v>
      </c>
      <c r="AI6706">
        <v>92.875785493734895</v>
      </c>
      <c r="AJ6706">
        <v>90.722387818474701</v>
      </c>
      <c r="AK6706">
        <v>22.346046057927801</v>
      </c>
      <c r="AL6706">
        <v>79.401495356248603</v>
      </c>
      <c r="AM6706">
        <v>87.566876398032406</v>
      </c>
      <c r="AN6706">
        <v>1.0000000161560301</v>
      </c>
    </row>
    <row r="6707" spans="1:40" x14ac:dyDescent="0.25">
      <c r="A6707" t="str">
        <f>"20190303162434086"</f>
        <v>20190303162434086</v>
      </c>
      <c r="B6707" t="str">
        <f>"1551601474081053"</f>
        <v>1551601474081053</v>
      </c>
      <c r="C6707" t="s">
        <v>40</v>
      </c>
      <c r="D6707">
        <v>5.7741860000000003</v>
      </c>
      <c r="E6707">
        <v>0.48153770000000001</v>
      </c>
      <c r="F6707" t="s">
        <v>41</v>
      </c>
      <c r="G6707">
        <v>-187.6189</v>
      </c>
      <c r="H6707" s="1">
        <v>-4.1410340000000003E-6</v>
      </c>
      <c r="I6707">
        <v>98.301050000000004</v>
      </c>
      <c r="J6707">
        <v>-187.4393</v>
      </c>
      <c r="K6707">
        <v>1.1211139999999999</v>
      </c>
      <c r="L6707">
        <v>76.764250000000004</v>
      </c>
      <c r="M6707">
        <v>3.0000339999999999E-3</v>
      </c>
      <c r="N6707">
        <v>-1.431643E-2</v>
      </c>
      <c r="O6707">
        <v>0.99989300000000003</v>
      </c>
      <c r="P6707">
        <v>4.8400699999999998E-2</v>
      </c>
      <c r="Q6707">
        <v>0.16990420000000001</v>
      </c>
      <c r="R6707">
        <v>0.98427129999999996</v>
      </c>
      <c r="S6707">
        <v>-2.4627690000000001E-2</v>
      </c>
      <c r="T6707">
        <v>-0.15535370000000001</v>
      </c>
      <c r="U6707">
        <v>3.0753170000000001</v>
      </c>
      <c r="V6707">
        <v>4.5387700000000003E-2</v>
      </c>
      <c r="W6707">
        <v>0.18399509999999999</v>
      </c>
      <c r="X6707">
        <v>0.98187869999999999</v>
      </c>
      <c r="Y6707">
        <v>-1.099779E-2</v>
      </c>
      <c r="Z6707">
        <v>-3.6145759999999999E-2</v>
      </c>
      <c r="AA6707">
        <v>0.99928600000000001</v>
      </c>
      <c r="AB6707">
        <v>33</v>
      </c>
      <c r="AC6707">
        <v>-0.17959999999999299</v>
      </c>
      <c r="AD6707">
        <v>-1.1211181410340001</v>
      </c>
      <c r="AE6707">
        <v>21.536799999999999</v>
      </c>
      <c r="AF6707">
        <v>-0.243556997471231</v>
      </c>
      <c r="AG6707">
        <v>-1.1211181410340001</v>
      </c>
      <c r="AH6707">
        <v>21.477966828421199</v>
      </c>
      <c r="AI6707">
        <v>92.987851442553804</v>
      </c>
      <c r="AJ6707">
        <v>90.649697898515001</v>
      </c>
      <c r="AK6707">
        <v>21.508586308261499</v>
      </c>
      <c r="AL6707">
        <v>79.397449932413195</v>
      </c>
      <c r="AM6707">
        <v>87.353365777006999</v>
      </c>
      <c r="AN6707">
        <v>1.00000001082449</v>
      </c>
    </row>
    <row r="6708" spans="1:40" x14ac:dyDescent="0.25">
      <c r="A6708" t="str">
        <f>"20190303162434110"</f>
        <v>20190303162434110</v>
      </c>
      <c r="B6708" t="str">
        <f>"1551601474101548"</f>
        <v>1551601474101548</v>
      </c>
      <c r="C6708" t="s">
        <v>40</v>
      </c>
      <c r="D6708">
        <v>5.7303129999999998</v>
      </c>
      <c r="E6708">
        <v>0.48140529999999998</v>
      </c>
      <c r="F6708" t="s">
        <v>41</v>
      </c>
      <c r="G6708">
        <v>-187.54239999999999</v>
      </c>
      <c r="H6708" s="1">
        <v>-4.1669849999999999E-6</v>
      </c>
      <c r="I6708">
        <v>98.329939999999993</v>
      </c>
      <c r="J6708">
        <v>-187.4385</v>
      </c>
      <c r="K6708">
        <v>1.1211120000000001</v>
      </c>
      <c r="L6708">
        <v>77.105379999999997</v>
      </c>
      <c r="M6708">
        <v>2.8245480000000001E-3</v>
      </c>
      <c r="N6708">
        <v>-1.430346E-2</v>
      </c>
      <c r="O6708">
        <v>0.9998937</v>
      </c>
      <c r="P6708">
        <v>5.0150050000000002E-2</v>
      </c>
      <c r="Q6708">
        <v>0.17025689999999999</v>
      </c>
      <c r="R6708">
        <v>0.98412279999999996</v>
      </c>
      <c r="S6708">
        <v>-1.4709470000000001E-2</v>
      </c>
      <c r="T6708">
        <v>-0.15992319999999999</v>
      </c>
      <c r="U6708">
        <v>3.076263</v>
      </c>
      <c r="V6708">
        <v>4.7310150000000002E-2</v>
      </c>
      <c r="W6708">
        <v>0.184333</v>
      </c>
      <c r="X6708">
        <v>0.98172459999999995</v>
      </c>
      <c r="Y6708">
        <v>-7.5993450000000004E-3</v>
      </c>
      <c r="Z6708">
        <v>-3.7625140000000001E-2</v>
      </c>
      <c r="AA6708">
        <v>0.99926300000000001</v>
      </c>
      <c r="AB6708">
        <v>33</v>
      </c>
      <c r="AC6708">
        <v>-0.10389999999998099</v>
      </c>
      <c r="AD6708">
        <v>-1.1211161669850001</v>
      </c>
      <c r="AE6708">
        <v>21.22456</v>
      </c>
      <c r="AF6708">
        <v>-0.16339961346659501</v>
      </c>
      <c r="AG6708">
        <v>-1.1211161669850001</v>
      </c>
      <c r="AH6708">
        <v>21.165129849304702</v>
      </c>
      <c r="AI6708">
        <v>93.032031452030694</v>
      </c>
      <c r="AJ6708">
        <v>90.442327653984094</v>
      </c>
      <c r="AK6708">
        <v>21.195431640603299</v>
      </c>
      <c r="AL6708">
        <v>79.377753175453094</v>
      </c>
      <c r="AM6708">
        <v>87.241001745275497</v>
      </c>
      <c r="AN6708">
        <v>1.00000004771359</v>
      </c>
    </row>
    <row r="6709" spans="1:40" x14ac:dyDescent="0.25">
      <c r="A6709" t="str">
        <f>"20190303162434132"</f>
        <v>20190303162434132</v>
      </c>
      <c r="B6709" t="str">
        <f>"1551601474121068"</f>
        <v>1551601474121068</v>
      </c>
      <c r="C6709" t="s">
        <v>40</v>
      </c>
      <c r="D6709">
        <v>5.5517070000000004</v>
      </c>
      <c r="E6709">
        <v>0.46024090000000001</v>
      </c>
      <c r="F6709" t="s">
        <v>41</v>
      </c>
      <c r="G6709">
        <v>-187.5154</v>
      </c>
      <c r="H6709" s="1">
        <v>-4.3144029999999996E-6</v>
      </c>
      <c r="I6709">
        <v>98.662419999999997</v>
      </c>
      <c r="J6709">
        <v>-187.43770000000001</v>
      </c>
      <c r="K6709">
        <v>1.1211089999999999</v>
      </c>
      <c r="L6709">
        <v>77.429959999999994</v>
      </c>
      <c r="M6709">
        <v>2.657441E-3</v>
      </c>
      <c r="N6709">
        <v>-1.4288510000000001E-2</v>
      </c>
      <c r="O6709">
        <v>0.99989439999999996</v>
      </c>
      <c r="P6709">
        <v>5.1279850000000002E-2</v>
      </c>
      <c r="Q6709">
        <v>0.17030729999999999</v>
      </c>
      <c r="R6709">
        <v>0.98405580000000004</v>
      </c>
      <c r="S6709">
        <v>-1.0986330000000001E-2</v>
      </c>
      <c r="T6709">
        <v>-0.16000619999999999</v>
      </c>
      <c r="U6709">
        <v>3.0766300000000002</v>
      </c>
      <c r="V6709">
        <v>4.8604719999999997E-2</v>
      </c>
      <c r="W6709">
        <v>0.18436810000000001</v>
      </c>
      <c r="X6709">
        <v>0.98165469999999999</v>
      </c>
      <c r="Y6709">
        <v>-6.2230760000000001E-3</v>
      </c>
      <c r="Z6709">
        <v>-3.7661239999999999E-2</v>
      </c>
      <c r="AA6709">
        <v>0.99927120000000003</v>
      </c>
      <c r="AB6709">
        <v>33</v>
      </c>
      <c r="AC6709">
        <v>-7.7699999999992997E-2</v>
      </c>
      <c r="AD6709">
        <v>-1.1211133144030001</v>
      </c>
      <c r="AE6709">
        <v>21.23246</v>
      </c>
      <c r="AF6709">
        <v>-0.13375658184595701</v>
      </c>
      <c r="AG6709">
        <v>-1.1211133144030001</v>
      </c>
      <c r="AH6709">
        <v>21.1731477988805</v>
      </c>
      <c r="AI6709">
        <v>93.030907499497502</v>
      </c>
      <c r="AJ6709">
        <v>90.361948338987602</v>
      </c>
      <c r="AK6709">
        <v>21.2032302633386</v>
      </c>
      <c r="AL6709">
        <v>79.375706323622595</v>
      </c>
      <c r="AM6709">
        <v>87.165425948706499</v>
      </c>
      <c r="AN6709">
        <v>0.99999998256798905</v>
      </c>
    </row>
    <row r="6710" spans="1:40" x14ac:dyDescent="0.25">
      <c r="A6710" t="str">
        <f>"20190303162434156"</f>
        <v>20190303162434156</v>
      </c>
      <c r="B6710" t="str">
        <f>"1551601474141565"</f>
        <v>1551601474141565</v>
      </c>
      <c r="C6710" t="s">
        <v>40</v>
      </c>
      <c r="D6710">
        <v>5.552054</v>
      </c>
      <c r="E6710">
        <v>0.4553297</v>
      </c>
      <c r="F6710" t="s">
        <v>41</v>
      </c>
      <c r="G6710">
        <v>-188.74549999999999</v>
      </c>
      <c r="H6710" s="1">
        <v>-5.6012169999999999E-7</v>
      </c>
      <c r="I6710">
        <v>100.31319999999999</v>
      </c>
      <c r="J6710">
        <v>-187.43700000000001</v>
      </c>
      <c r="K6710">
        <v>1.1211009999999999</v>
      </c>
      <c r="L6710">
        <v>77.761899999999997</v>
      </c>
      <c r="M6710">
        <v>2.4863340000000002E-3</v>
      </c>
      <c r="N6710">
        <v>-1.4265760000000001E-2</v>
      </c>
      <c r="O6710">
        <v>0.99989519999999998</v>
      </c>
      <c r="P6710">
        <v>5.187725E-2</v>
      </c>
      <c r="Q6710">
        <v>0.16950680000000001</v>
      </c>
      <c r="R6710">
        <v>0.98416269999999995</v>
      </c>
      <c r="S6710">
        <v>-0.1762543</v>
      </c>
      <c r="T6710">
        <v>-0.15109120000000001</v>
      </c>
      <c r="U6710">
        <v>3.0839539999999999</v>
      </c>
      <c r="V6710">
        <v>4.937064E-2</v>
      </c>
      <c r="W6710">
        <v>0.1835475</v>
      </c>
      <c r="X6710">
        <v>0.98177029999999998</v>
      </c>
      <c r="Y6710">
        <v>-5.948034E-2</v>
      </c>
      <c r="Z6710">
        <v>-3.4596019999999998E-2</v>
      </c>
      <c r="AA6710">
        <v>0.99762980000000001</v>
      </c>
      <c r="AB6710">
        <v>33</v>
      </c>
      <c r="AC6710">
        <v>-1.30849999999998</v>
      </c>
      <c r="AD6710">
        <v>-1.1211015601217</v>
      </c>
      <c r="AE6710">
        <v>22.551300000000001</v>
      </c>
      <c r="AF6710">
        <v>-1.361218865066</v>
      </c>
      <c r="AG6710">
        <v>-1.1211015601217</v>
      </c>
      <c r="AH6710">
        <v>22.492574481469301</v>
      </c>
      <c r="AI6710">
        <v>92.848240279614998</v>
      </c>
      <c r="AJ6710">
        <v>93.463235805942006</v>
      </c>
      <c r="AK6710">
        <v>22.5615977340073</v>
      </c>
      <c r="AL6710">
        <v>79.423540101702898</v>
      </c>
      <c r="AM6710">
        <v>87.121171350195894</v>
      </c>
      <c r="AN6710">
        <v>1.0000000334061701</v>
      </c>
    </row>
    <row r="6711" spans="1:40" x14ac:dyDescent="0.25">
      <c r="A6711" t="str">
        <f>"20190303162434199"</f>
        <v>20190303162434199</v>
      </c>
      <c r="B6711" t="str">
        <f>"1551601474191340"</f>
        <v>1551601474191340</v>
      </c>
      <c r="C6711" t="s">
        <v>40</v>
      </c>
      <c r="D6711">
        <v>5.5368120000000003</v>
      </c>
      <c r="E6711">
        <v>0.4541038</v>
      </c>
      <c r="F6711" t="s">
        <v>41</v>
      </c>
      <c r="G6711">
        <v>-188.8759</v>
      </c>
      <c r="H6711" s="1">
        <v>-4.0004909999999996E-6</v>
      </c>
      <c r="I6711">
        <v>98.493210000000005</v>
      </c>
      <c r="J6711">
        <v>-187.4358</v>
      </c>
      <c r="K6711">
        <v>1.1210830000000001</v>
      </c>
      <c r="L6711">
        <v>78.389099999999999</v>
      </c>
      <c r="M6711">
        <v>2.16285E-3</v>
      </c>
      <c r="N6711">
        <v>-1.4194200000000001E-2</v>
      </c>
      <c r="O6711">
        <v>0.99989689999999998</v>
      </c>
      <c r="P6711">
        <v>5.3087299999999997E-2</v>
      </c>
      <c r="Q6711">
        <v>0.16910810000000001</v>
      </c>
      <c r="R6711">
        <v>0.98416669999999995</v>
      </c>
      <c r="S6711">
        <v>-0.2143555</v>
      </c>
      <c r="T6711">
        <v>-0.167011299999999</v>
      </c>
      <c r="U6711">
        <v>3.0883479999999999</v>
      </c>
      <c r="V6711">
        <v>5.0899340000000001E-2</v>
      </c>
      <c r="W6711">
        <v>0.18307870000000001</v>
      </c>
      <c r="X6711">
        <v>0.98177979999999998</v>
      </c>
      <c r="Y6711">
        <v>-7.1309919999999999E-2</v>
      </c>
      <c r="Z6711">
        <v>-3.9685409999999997E-2</v>
      </c>
      <c r="AA6711">
        <v>0.99666440000000001</v>
      </c>
      <c r="AB6711">
        <v>32</v>
      </c>
      <c r="AC6711">
        <v>-1.4400999999999999</v>
      </c>
      <c r="AD6711">
        <v>-1.1210870004910001</v>
      </c>
      <c r="AE6711">
        <v>20.104109999999899</v>
      </c>
      <c r="AF6711">
        <v>-1.4790074973001399</v>
      </c>
      <c r="AG6711">
        <v>-1.1210870004910001</v>
      </c>
      <c r="AH6711">
        <v>20.038952285552298</v>
      </c>
      <c r="AI6711">
        <v>93.193428672973894</v>
      </c>
      <c r="AJ6711">
        <v>94.221154590041905</v>
      </c>
      <c r="AK6711">
        <v>20.124708890872899</v>
      </c>
      <c r="AL6711">
        <v>79.450863697896395</v>
      </c>
      <c r="AM6711">
        <v>87.032217665675603</v>
      </c>
      <c r="AN6711">
        <v>1.0000000644470799</v>
      </c>
    </row>
    <row r="6712" spans="1:40" x14ac:dyDescent="0.25">
      <c r="A6712" t="str">
        <f>"20190303162434220"</f>
        <v>20190303162434220</v>
      </c>
      <c r="B6712" t="str">
        <f>"1551601474211836"</f>
        <v>1551601474211836</v>
      </c>
      <c r="C6712" t="s">
        <v>40</v>
      </c>
      <c r="D6712">
        <v>5.4939619999999998</v>
      </c>
      <c r="E6712">
        <v>0.45402369999999997</v>
      </c>
      <c r="F6712" t="s">
        <v>41</v>
      </c>
      <c r="G6712">
        <v>-188.8537</v>
      </c>
      <c r="H6712" s="1">
        <v>-3.9290029999999999E-6</v>
      </c>
      <c r="I6712">
        <v>98.317390000000003</v>
      </c>
      <c r="J6712">
        <v>-187.43530000000001</v>
      </c>
      <c r="K6712">
        <v>1.1210690000000001</v>
      </c>
      <c r="L6712">
        <v>78.707340000000002</v>
      </c>
      <c r="M6712">
        <v>1.9991639999999999E-3</v>
      </c>
      <c r="N6712">
        <v>-1.4148519999999999E-2</v>
      </c>
      <c r="O6712">
        <v>0.99989790000000001</v>
      </c>
      <c r="P6712">
        <v>5.3126319999999998E-2</v>
      </c>
      <c r="Q6712">
        <v>0.16883860000000001</v>
      </c>
      <c r="R6712">
        <v>0.9842109</v>
      </c>
      <c r="S6712">
        <v>-0.21984860000000001</v>
      </c>
      <c r="T6712">
        <v>-0.17382919999999999</v>
      </c>
      <c r="U6712">
        <v>3.089966</v>
      </c>
      <c r="V6712">
        <v>5.1099459999999999E-2</v>
      </c>
      <c r="W6712">
        <v>0.18276510000000001</v>
      </c>
      <c r="X6712">
        <v>0.98182780000000003</v>
      </c>
      <c r="Y6712">
        <v>-7.28655E-2</v>
      </c>
      <c r="Z6712">
        <v>-4.1888979999999999E-2</v>
      </c>
      <c r="AA6712">
        <v>0.99646170000000001</v>
      </c>
      <c r="AB6712">
        <v>32</v>
      </c>
      <c r="AC6712">
        <v>-1.4183999999999899</v>
      </c>
      <c r="AD6712">
        <v>-1.1210729290029999</v>
      </c>
      <c r="AE6712">
        <v>19.610050000000001</v>
      </c>
      <c r="AF6712">
        <v>-1.45288118319654</v>
      </c>
      <c r="AG6712">
        <v>-1.1210729290029999</v>
      </c>
      <c r="AH6712">
        <v>19.543634571481501</v>
      </c>
      <c r="AI6712">
        <v>93.274020172902596</v>
      </c>
      <c r="AJ6712">
        <v>94.251569333062704</v>
      </c>
      <c r="AK6712">
        <v>19.6296031673653</v>
      </c>
      <c r="AL6712">
        <v>79.469139683551603</v>
      </c>
      <c r="AM6712">
        <v>87.020715670015804</v>
      </c>
      <c r="AN6712">
        <v>1.0000000327215699</v>
      </c>
    </row>
    <row r="6713" spans="1:40" x14ac:dyDescent="0.25">
      <c r="A6713" t="str">
        <f>"20190303162434242"</f>
        <v>20190303162434242</v>
      </c>
      <c r="B6713" t="str">
        <f>"1551601474231357"</f>
        <v>1551601474231357</v>
      </c>
      <c r="C6713" t="s">
        <v>40</v>
      </c>
      <c r="D6713">
        <v>5.674671</v>
      </c>
      <c r="E6713">
        <v>0.45372200000000001</v>
      </c>
      <c r="F6713" t="s">
        <v>41</v>
      </c>
      <c r="G6713">
        <v>-188.8312</v>
      </c>
      <c r="H6713" s="1">
        <v>-3.9138679999999999E-6</v>
      </c>
      <c r="I6713">
        <v>98.272829999999999</v>
      </c>
      <c r="J6713">
        <v>-187.4349</v>
      </c>
      <c r="K6713">
        <v>1.1210530000000001</v>
      </c>
      <c r="L6713">
        <v>79.022580000000005</v>
      </c>
      <c r="M6713">
        <v>1.837282E-3</v>
      </c>
      <c r="N6713">
        <v>-1.4103579999999999E-2</v>
      </c>
      <c r="O6713">
        <v>0.99989890000000003</v>
      </c>
      <c r="P6713">
        <v>5.2793609999999998E-2</v>
      </c>
      <c r="Q6713">
        <v>0.16818129999999901</v>
      </c>
      <c r="R6713">
        <v>0.98434129999999997</v>
      </c>
      <c r="S6713">
        <v>-0.2204895</v>
      </c>
      <c r="T6713">
        <v>-0.17707479999999901</v>
      </c>
      <c r="U6713">
        <v>3.0903930000000002</v>
      </c>
      <c r="V6713">
        <v>5.092613E-2</v>
      </c>
      <c r="W6713">
        <v>0.18206549999999999</v>
      </c>
      <c r="X6713">
        <v>0.98196669999999997</v>
      </c>
      <c r="Y6713">
        <v>-7.2896199999999994E-2</v>
      </c>
      <c r="Z6713">
        <v>-4.2969E-2</v>
      </c>
      <c r="AA6713">
        <v>0.99641349999999995</v>
      </c>
      <c r="AB6713">
        <v>32</v>
      </c>
      <c r="AC6713">
        <v>-1.3962999999999901</v>
      </c>
      <c r="AD6713">
        <v>-1.121056913868</v>
      </c>
      <c r="AE6713">
        <v>19.250249999999902</v>
      </c>
      <c r="AF6713">
        <v>-1.42685554558982</v>
      </c>
      <c r="AG6713">
        <v>-1.121056913868</v>
      </c>
      <c r="AH6713">
        <v>19.1829348020167</v>
      </c>
      <c r="AI6713">
        <v>93.335386718307802</v>
      </c>
      <c r="AJ6713">
        <v>94.253912728103103</v>
      </c>
      <c r="AK6713">
        <v>19.268566967227599</v>
      </c>
      <c r="AL6713">
        <v>79.509907048158198</v>
      </c>
      <c r="AM6713">
        <v>87.031222569251895</v>
      </c>
      <c r="AN6713">
        <v>0.99999995845795697</v>
      </c>
    </row>
    <row r="6714" spans="1:40" x14ac:dyDescent="0.25">
      <c r="A6714" t="str">
        <f>"20190303162434266"</f>
        <v>20190303162434266</v>
      </c>
      <c r="B6714" t="str">
        <f>"1551601474251854"</f>
        <v>1551601474251854</v>
      </c>
      <c r="C6714" t="s">
        <v>40</v>
      </c>
      <c r="D6714">
        <v>5.5175780000000003</v>
      </c>
      <c r="E6714">
        <v>0.45379950000000002</v>
      </c>
      <c r="F6714" t="s">
        <v>41</v>
      </c>
      <c r="G6714">
        <v>-188.8862</v>
      </c>
      <c r="H6714" s="1">
        <v>-4.2527260000000003E-6</v>
      </c>
      <c r="I6714">
        <v>99.085419999999999</v>
      </c>
      <c r="J6714">
        <v>-187.43440000000001</v>
      </c>
      <c r="K6714">
        <v>1.121046</v>
      </c>
      <c r="L6714">
        <v>79.353089999999995</v>
      </c>
      <c r="M6714">
        <v>1.667006E-3</v>
      </c>
      <c r="N6714">
        <v>-1.4059149999999999E-2</v>
      </c>
      <c r="O6714">
        <v>0.99989980000000001</v>
      </c>
      <c r="P6714">
        <v>5.208426E-2</v>
      </c>
      <c r="Q6714">
        <v>0.1680468</v>
      </c>
      <c r="R6714">
        <v>0.98440209999999995</v>
      </c>
      <c r="S6714">
        <v>-0.223465</v>
      </c>
      <c r="T6714">
        <v>-0.1726162</v>
      </c>
      <c r="U6714">
        <v>3.0892029999999999</v>
      </c>
      <c r="V6714">
        <v>5.0384650000000003E-2</v>
      </c>
      <c r="W6714">
        <v>0.1818874</v>
      </c>
      <c r="X6714">
        <v>0.98202769999999995</v>
      </c>
      <c r="Y6714">
        <v>-7.3713039999999994E-2</v>
      </c>
      <c r="Z6714">
        <v>-4.1598139999999999E-2</v>
      </c>
      <c r="AA6714">
        <v>0.99641159999999995</v>
      </c>
      <c r="AB6714">
        <v>32</v>
      </c>
      <c r="AC6714">
        <v>-1.45179999999999</v>
      </c>
      <c r="AD6714">
        <v>-1.121050252726</v>
      </c>
      <c r="AE6714">
        <v>19.732329999999902</v>
      </c>
      <c r="AF6714">
        <v>-1.4799440460368101</v>
      </c>
      <c r="AG6714">
        <v>-1.121050252726</v>
      </c>
      <c r="AH6714">
        <v>19.666745559631199</v>
      </c>
      <c r="AI6714">
        <v>93.253283871610407</v>
      </c>
      <c r="AJ6714">
        <v>94.303459004225104</v>
      </c>
      <c r="AK6714">
        <v>19.754186112209499</v>
      </c>
      <c r="AL6714">
        <v>79.520285370889994</v>
      </c>
      <c r="AM6714">
        <v>87.062915117253297</v>
      </c>
      <c r="AN6714">
        <v>1.00000002140083</v>
      </c>
    </row>
    <row r="6715" spans="1:40" x14ac:dyDescent="0.25">
      <c r="A6715" t="str">
        <f>"20190303162434288"</f>
        <v>20190303162434288</v>
      </c>
      <c r="B6715" t="str">
        <f>"1551601474281134"</f>
        <v>1551601474281134</v>
      </c>
      <c r="C6715" t="s">
        <v>40</v>
      </c>
      <c r="D6715">
        <v>5.473579</v>
      </c>
      <c r="E6715">
        <v>0.4538179</v>
      </c>
      <c r="F6715" t="s">
        <v>41</v>
      </c>
      <c r="G6715">
        <v>-188.9616</v>
      </c>
      <c r="H6715" s="1">
        <v>-5.0340140000000002E-7</v>
      </c>
      <c r="I6715">
        <v>100.3155</v>
      </c>
      <c r="J6715">
        <v>-187.4341</v>
      </c>
      <c r="K6715">
        <v>1.1210370000000001</v>
      </c>
      <c r="L6715">
        <v>79.684139999999999</v>
      </c>
      <c r="M6715">
        <v>1.49612799999999E-3</v>
      </c>
      <c r="N6715">
        <v>-1.401779E-2</v>
      </c>
      <c r="O6715">
        <v>0.99990060000000003</v>
      </c>
      <c r="P6715">
        <v>5.2003679999999997E-2</v>
      </c>
      <c r="Q6715">
        <v>0.1674137</v>
      </c>
      <c r="R6715">
        <v>0.98451420000000001</v>
      </c>
      <c r="S6715">
        <v>-0.22494510000000001</v>
      </c>
      <c r="T6715">
        <v>-0.16512260000000001</v>
      </c>
      <c r="U6715">
        <v>3.0876160000000001</v>
      </c>
      <c r="V6715">
        <v>5.0472690000000001E-2</v>
      </c>
      <c r="W6715">
        <v>0.1812154</v>
      </c>
      <c r="X6715">
        <v>0.9821474</v>
      </c>
      <c r="Y6715">
        <v>-7.406269E-2</v>
      </c>
      <c r="Z6715">
        <v>-3.9255070000000003E-2</v>
      </c>
      <c r="AA6715">
        <v>0.9964807</v>
      </c>
      <c r="AB6715">
        <v>32</v>
      </c>
      <c r="AC6715">
        <v>-1.5275000000000001</v>
      </c>
      <c r="AD6715">
        <v>-1.1210375034014</v>
      </c>
      <c r="AE6715">
        <v>20.631360000000001</v>
      </c>
      <c r="AF6715">
        <v>-1.5538059337755199</v>
      </c>
      <c r="AG6715">
        <v>-1.1210375034014</v>
      </c>
      <c r="AH6715">
        <v>20.5686542118831</v>
      </c>
      <c r="AI6715">
        <v>93.110815097607301</v>
      </c>
      <c r="AJ6715">
        <v>94.320056665504296</v>
      </c>
      <c r="AK6715">
        <v>20.657700115256901</v>
      </c>
      <c r="AL6715">
        <v>79.5594387347181</v>
      </c>
      <c r="AM6715">
        <v>87.058149943268504</v>
      </c>
      <c r="AN6715">
        <v>1.00000001447987</v>
      </c>
    </row>
    <row r="6716" spans="1:40" x14ac:dyDescent="0.25">
      <c r="A6716" t="str">
        <f>"20190303162434311"</f>
        <v>20190303162434311</v>
      </c>
      <c r="B6716" t="str">
        <f>"1551601474301629"</f>
        <v>1551601474301629</v>
      </c>
      <c r="C6716" t="s">
        <v>40</v>
      </c>
      <c r="D6716">
        <v>5.5094570000000003</v>
      </c>
      <c r="E6716">
        <v>0.45386559999999998</v>
      </c>
      <c r="F6716" t="s">
        <v>41</v>
      </c>
      <c r="G6716">
        <v>-189.04310000000001</v>
      </c>
      <c r="H6716" s="1">
        <v>-1.087118E-6</v>
      </c>
      <c r="I6716">
        <v>101.77119999999999</v>
      </c>
      <c r="J6716">
        <v>-187.43369999999999</v>
      </c>
      <c r="K6716">
        <v>1.1210370000000001</v>
      </c>
      <c r="L6716">
        <v>80.018979999999999</v>
      </c>
      <c r="M6716">
        <v>1.3223060000000001E-3</v>
      </c>
      <c r="N6716">
        <v>-1.3977399999999999E-2</v>
      </c>
      <c r="O6716">
        <v>0.99990140000000005</v>
      </c>
      <c r="P6716">
        <v>5.1641630000000001E-2</v>
      </c>
      <c r="Q6716">
        <v>0.1673113</v>
      </c>
      <c r="R6716">
        <v>0.9845507</v>
      </c>
      <c r="S6716">
        <v>-0.22479250000000001</v>
      </c>
      <c r="T6716">
        <v>-0.1566157</v>
      </c>
      <c r="U6716">
        <v>3.085693</v>
      </c>
      <c r="V6716">
        <v>5.0281979999999997E-2</v>
      </c>
      <c r="W6716">
        <v>0.1810734</v>
      </c>
      <c r="X6716">
        <v>0.98218340000000004</v>
      </c>
      <c r="Y6716">
        <v>-7.3894280000000007E-2</v>
      </c>
      <c r="Z6716">
        <v>-3.6588950000000002E-2</v>
      </c>
      <c r="AA6716">
        <v>0.99659469999999994</v>
      </c>
      <c r="AB6716">
        <v>32</v>
      </c>
      <c r="AC6716">
        <v>-1.6094000000000199</v>
      </c>
      <c r="AD6716">
        <v>-1.1210380871179999</v>
      </c>
      <c r="AE6716">
        <v>21.752219999999902</v>
      </c>
      <c r="AF6716">
        <v>-1.63384856451729</v>
      </c>
      <c r="AG6716">
        <v>-1.1210380871179999</v>
      </c>
      <c r="AH6716">
        <v>21.692769616004998</v>
      </c>
      <c r="AI6716">
        <v>92.949956874818497</v>
      </c>
      <c r="AJ6716">
        <v>94.307251456131198</v>
      </c>
      <c r="AK6716">
        <v>21.783076943756502</v>
      </c>
      <c r="AL6716">
        <v>79.567711892566905</v>
      </c>
      <c r="AM6716">
        <v>87.069353480024304</v>
      </c>
      <c r="AN6716">
        <v>1.0000000424679101</v>
      </c>
    </row>
    <row r="6717" spans="1:40" x14ac:dyDescent="0.25">
      <c r="A6717" t="str">
        <f>"20190303162434357"</f>
        <v>20190303162434357</v>
      </c>
      <c r="B6717" t="str">
        <f>"1551601474351405"</f>
        <v>1551601474351405</v>
      </c>
      <c r="C6717" t="s">
        <v>40</v>
      </c>
      <c r="D6717">
        <v>6.3269789999999997</v>
      </c>
      <c r="E6717">
        <v>0.45401170000000002</v>
      </c>
      <c r="F6717" t="s">
        <v>41</v>
      </c>
      <c r="G6717">
        <v>-189.07239999999999</v>
      </c>
      <c r="H6717" s="1">
        <v>-1.4005899999999999E-6</v>
      </c>
      <c r="I6717">
        <v>102.514</v>
      </c>
      <c r="J6717">
        <v>-187.4333</v>
      </c>
      <c r="K6717">
        <v>1.121043</v>
      </c>
      <c r="L6717">
        <v>80.674930000000003</v>
      </c>
      <c r="M6717">
        <v>9.7074409999999998E-4</v>
      </c>
      <c r="N6717">
        <v>-1.3895950000000001E-2</v>
      </c>
      <c r="O6717">
        <v>0.99990299999999999</v>
      </c>
      <c r="P6717">
        <v>5.18355E-2</v>
      </c>
      <c r="Q6717">
        <v>0.167616299999999</v>
      </c>
      <c r="R6717">
        <v>0.98448860000000005</v>
      </c>
      <c r="S6717">
        <v>-0.2247314</v>
      </c>
      <c r="T6717">
        <v>-0.15374019999999999</v>
      </c>
      <c r="U6717">
        <v>3.084991</v>
      </c>
      <c r="V6717">
        <v>5.0819929999999999E-2</v>
      </c>
      <c r="W6717">
        <v>0.18129790000000001</v>
      </c>
      <c r="X6717">
        <v>0.9821143</v>
      </c>
      <c r="Y6717">
        <v>-7.3543490000000003E-2</v>
      </c>
      <c r="Z6717">
        <v>-3.5756030000000001E-2</v>
      </c>
      <c r="AA6717">
        <v>0.99665079999999995</v>
      </c>
      <c r="AB6717">
        <v>32</v>
      </c>
      <c r="AC6717">
        <v>-1.63909999999998</v>
      </c>
      <c r="AD6717">
        <v>-1.12104440059</v>
      </c>
      <c r="AE6717">
        <v>21.8390699999999</v>
      </c>
      <c r="AF6717">
        <v>-1.65596243606039</v>
      </c>
      <c r="AG6717">
        <v>-1.12104440059</v>
      </c>
      <c r="AH6717">
        <v>21.7803989632956</v>
      </c>
      <c r="AI6717">
        <v>92.9379684455172</v>
      </c>
      <c r="AJ6717">
        <v>94.347829960310904</v>
      </c>
      <c r="AK6717">
        <v>21.872007935671199</v>
      </c>
      <c r="AL6717">
        <v>79.554632550421601</v>
      </c>
      <c r="AM6717">
        <v>87.037846988241199</v>
      </c>
      <c r="AN6717">
        <v>1.00000004604705</v>
      </c>
    </row>
    <row r="6718" spans="1:40" x14ac:dyDescent="0.25">
      <c r="A6718" t="str">
        <f>"20190303162434378"</f>
        <v>20190303162434378</v>
      </c>
      <c r="B6718" t="str">
        <f>"1551601474371901"</f>
        <v>1551601474371901</v>
      </c>
      <c r="C6718" t="s">
        <v>40</v>
      </c>
      <c r="D6718">
        <v>5.4868790000000001</v>
      </c>
      <c r="E6718">
        <v>0.45422570000000001</v>
      </c>
      <c r="F6718" t="s">
        <v>41</v>
      </c>
      <c r="G6718">
        <v>-189.09569999999999</v>
      </c>
      <c r="H6718" s="1">
        <v>-1.862702E-6</v>
      </c>
      <c r="I6718">
        <v>103.6009</v>
      </c>
      <c r="J6718">
        <v>-187.4332</v>
      </c>
      <c r="K6718">
        <v>1.121062</v>
      </c>
      <c r="L6718">
        <v>80.980620000000002</v>
      </c>
      <c r="M6718">
        <v>7.9096449999999997E-4</v>
      </c>
      <c r="N6718">
        <v>-1.3861439999999999E-2</v>
      </c>
      <c r="O6718">
        <v>0.9999036</v>
      </c>
      <c r="P6718">
        <v>5.3096560000000001E-2</v>
      </c>
      <c r="Q6718">
        <v>0.17075070000000001</v>
      </c>
      <c r="R6718">
        <v>0.98388260000000005</v>
      </c>
      <c r="S6718">
        <v>-0.22367860000000001</v>
      </c>
      <c r="T6718">
        <v>-0.15083829999999901</v>
      </c>
      <c r="U6718">
        <v>3.0847169999999999</v>
      </c>
      <c r="V6718">
        <v>5.2253790000000001E-2</v>
      </c>
      <c r="W6718">
        <v>0.1843911</v>
      </c>
      <c r="X6718">
        <v>0.98146290000000003</v>
      </c>
      <c r="Y6718">
        <v>-7.3035310000000006E-2</v>
      </c>
      <c r="Z6718">
        <v>-3.4861179999999999E-2</v>
      </c>
      <c r="AA6718">
        <v>0.99671989999999999</v>
      </c>
      <c r="AB6718">
        <v>32</v>
      </c>
      <c r="AC6718">
        <v>-1.6624999999999901</v>
      </c>
      <c r="AD6718">
        <v>-1.121063862702</v>
      </c>
      <c r="AE6718">
        <v>22.620279999999902</v>
      </c>
      <c r="AF6718">
        <v>-1.6762978261404999</v>
      </c>
      <c r="AG6718">
        <v>-1.121063862702</v>
      </c>
      <c r="AH6718">
        <v>22.563834156742399</v>
      </c>
      <c r="AI6718">
        <v>92.836546368475695</v>
      </c>
      <c r="AJ6718">
        <v>94.248775976583204</v>
      </c>
      <c r="AK6718">
        <v>22.653771660347299</v>
      </c>
      <c r="AL6718">
        <v>79.374365507531607</v>
      </c>
      <c r="AM6718">
        <v>86.952408897932699</v>
      </c>
      <c r="AN6718">
        <v>0.99999998020249103</v>
      </c>
    </row>
    <row r="6719" spans="1:40" x14ac:dyDescent="0.25">
      <c r="A6719" t="str">
        <f>"20190303162434402"</f>
        <v>20190303162434402</v>
      </c>
      <c r="B6719" t="str">
        <f>"1551601474391421"</f>
        <v>1551601474391421</v>
      </c>
      <c r="C6719" t="s">
        <v>40</v>
      </c>
      <c r="D6719">
        <v>5.6132580000000001</v>
      </c>
      <c r="E6719">
        <v>0.45425199999999999</v>
      </c>
      <c r="F6719" t="s">
        <v>41</v>
      </c>
      <c r="G6719">
        <v>-189.08459999999999</v>
      </c>
      <c r="H6719" s="1">
        <v>-2.1597770000000001E-6</v>
      </c>
      <c r="I6719">
        <v>104.28879999999999</v>
      </c>
      <c r="J6719">
        <v>-187.4331</v>
      </c>
      <c r="K6719">
        <v>1.1210739999999999</v>
      </c>
      <c r="L6719">
        <v>81.311890000000005</v>
      </c>
      <c r="M6719">
        <v>5.7180309999999999E-4</v>
      </c>
      <c r="N6719">
        <v>-1.3827570000000001E-2</v>
      </c>
      <c r="O6719">
        <v>0.99990420000000002</v>
      </c>
      <c r="P6719">
        <v>5.43376E-2</v>
      </c>
      <c r="Q6719">
        <v>0.1721656</v>
      </c>
      <c r="R6719">
        <v>0.9835682</v>
      </c>
      <c r="S6719">
        <v>-0.21870419999999999</v>
      </c>
      <c r="T6719">
        <v>-0.1484627</v>
      </c>
      <c r="U6719">
        <v>3.0867</v>
      </c>
      <c r="V6719">
        <v>5.3702670000000001E-2</v>
      </c>
      <c r="W6719">
        <v>0.18577109999999999</v>
      </c>
      <c r="X6719">
        <v>0.98112440000000001</v>
      </c>
      <c r="Y6719">
        <v>-7.1175470000000005E-2</v>
      </c>
      <c r="Z6719">
        <v>-3.4104639999999999E-2</v>
      </c>
      <c r="AA6719">
        <v>0.99688060000000001</v>
      </c>
      <c r="AB6719">
        <v>32</v>
      </c>
      <c r="AC6719">
        <v>-1.65149999999999</v>
      </c>
      <c r="AD6719">
        <v>-1.12107615977699</v>
      </c>
      <c r="AE6719">
        <v>22.976909999999901</v>
      </c>
      <c r="AF6719">
        <v>-1.6607060925649699</v>
      </c>
      <c r="AG6719">
        <v>-1.12107615977699</v>
      </c>
      <c r="AH6719">
        <v>22.921674869459601</v>
      </c>
      <c r="AI6719">
        <v>92.792739364703095</v>
      </c>
      <c r="AJ6719">
        <v>94.143915464095201</v>
      </c>
      <c r="AK6719">
        <v>23.009083756271501</v>
      </c>
      <c r="AL6719">
        <v>79.293907299832497</v>
      </c>
      <c r="AM6719">
        <v>86.866993619664399</v>
      </c>
      <c r="AN6719">
        <v>0.99999998331784901</v>
      </c>
    </row>
    <row r="6720" spans="1:40" x14ac:dyDescent="0.25">
      <c r="A6720" t="str">
        <f>"20190303162434423"</f>
        <v>20190303162434423</v>
      </c>
      <c r="B6720" t="str">
        <f>"1551601474411916"</f>
        <v>1551601474411916</v>
      </c>
      <c r="C6720" t="s">
        <v>40</v>
      </c>
      <c r="D6720">
        <v>5.4435019999999996</v>
      </c>
      <c r="E6720">
        <v>0.45433699999999999</v>
      </c>
      <c r="F6720" t="s">
        <v>41</v>
      </c>
      <c r="G6720">
        <v>-189.12039999999999</v>
      </c>
      <c r="H6720" s="1">
        <v>-2.6059490000000002E-6</v>
      </c>
      <c r="I6720">
        <v>105.3436</v>
      </c>
      <c r="J6720">
        <v>-187.4332</v>
      </c>
      <c r="K6720">
        <v>1.121067</v>
      </c>
      <c r="L6720">
        <v>81.622680000000003</v>
      </c>
      <c r="M6720">
        <v>3.3116559999999898E-4</v>
      </c>
      <c r="N6720">
        <v>-1.3798940000000001E-2</v>
      </c>
      <c r="O6720">
        <v>0.99990480000000004</v>
      </c>
      <c r="P6720">
        <v>5.336084E-2</v>
      </c>
      <c r="Q6720">
        <v>0.16788149999999999</v>
      </c>
      <c r="R6720">
        <v>0.98436190000000001</v>
      </c>
      <c r="S6720">
        <v>-0.2167664</v>
      </c>
      <c r="T6720">
        <v>-0.1440227</v>
      </c>
      <c r="U6720">
        <v>3.0873110000000001</v>
      </c>
      <c r="V6720">
        <v>5.2953359999999998E-2</v>
      </c>
      <c r="W6720">
        <v>0.18147289999999999</v>
      </c>
      <c r="X6720">
        <v>0.98196919999999999</v>
      </c>
      <c r="Y6720">
        <v>-7.0303309999999994E-2</v>
      </c>
      <c r="Z6720">
        <v>-3.26959E-2</v>
      </c>
      <c r="AA6720">
        <v>0.99698969999999998</v>
      </c>
      <c r="AB6720">
        <v>32</v>
      </c>
      <c r="AC6720">
        <v>-1.68719999999998</v>
      </c>
      <c r="AD6720">
        <v>-1.121069605949</v>
      </c>
      <c r="AE6720">
        <v>23.7209199999999</v>
      </c>
      <c r="AF6720">
        <v>-1.6912975693168499</v>
      </c>
      <c r="AG6720">
        <v>-1.121069605949</v>
      </c>
      <c r="AH6720">
        <v>23.667762087437801</v>
      </c>
      <c r="AI6720">
        <v>92.705011606875999</v>
      </c>
      <c r="AJ6720">
        <v>94.087406650998105</v>
      </c>
      <c r="AK6720">
        <v>23.754583699928698</v>
      </c>
      <c r="AL6720">
        <v>79.544436076392898</v>
      </c>
      <c r="AM6720">
        <v>86.913275671584003</v>
      </c>
      <c r="AN6720">
        <v>0.99999999075916901</v>
      </c>
    </row>
    <row r="6721" spans="1:40" x14ac:dyDescent="0.25">
      <c r="A6721" t="str">
        <f>"20190303162434445"</f>
        <v>20190303162434445</v>
      </c>
      <c r="B6721" t="str">
        <f>"1551601474431438"</f>
        <v>1551601474431438</v>
      </c>
      <c r="C6721" t="s">
        <v>40</v>
      </c>
      <c r="D6721">
        <v>5.6590819999999997</v>
      </c>
      <c r="E6721">
        <v>0.45429350000000002</v>
      </c>
      <c r="F6721" t="s">
        <v>41</v>
      </c>
      <c r="G6721">
        <v>-189.02</v>
      </c>
      <c r="H6721" s="1">
        <v>-2.0203969999999999E-6</v>
      </c>
      <c r="I6721">
        <v>103.9371</v>
      </c>
      <c r="J6721">
        <v>-187.4333</v>
      </c>
      <c r="K6721">
        <v>1.1210869999999999</v>
      </c>
      <c r="L6721">
        <v>81.931849999999997</v>
      </c>
      <c r="M6721" s="1">
        <v>4.7323339999999997E-5</v>
      </c>
      <c r="N6721">
        <v>-1.377339E-2</v>
      </c>
      <c r="O6721">
        <v>0.99990520000000005</v>
      </c>
      <c r="P6721">
        <v>5.3414429999999999E-2</v>
      </c>
      <c r="Q6721">
        <v>0.1654233</v>
      </c>
      <c r="R6721">
        <v>0.98477510000000001</v>
      </c>
      <c r="S6721">
        <v>-0.21945190000000001</v>
      </c>
      <c r="T6721">
        <v>-0.15503919999999999</v>
      </c>
      <c r="U6721">
        <v>3.0859990000000002</v>
      </c>
      <c r="V6721">
        <v>5.3273250000000001E-2</v>
      </c>
      <c r="W6721">
        <v>0.17899970000000001</v>
      </c>
      <c r="X6721">
        <v>0.9824058</v>
      </c>
      <c r="Y6721">
        <v>-7.0902320000000005E-2</v>
      </c>
      <c r="Z6721">
        <v>-3.6289250000000002E-2</v>
      </c>
      <c r="AA6721">
        <v>0.99682300000000001</v>
      </c>
      <c r="AB6721">
        <v>32</v>
      </c>
      <c r="AC6721">
        <v>-1.5867</v>
      </c>
      <c r="AD6721">
        <v>-1.1210890203970001</v>
      </c>
      <c r="AE6721">
        <v>22.00525</v>
      </c>
      <c r="AF6721">
        <v>-1.5836522878033901</v>
      </c>
      <c r="AG6721">
        <v>-1.1210890203970001</v>
      </c>
      <c r="AH6721">
        <v>21.948501343080999</v>
      </c>
      <c r="AI6721">
        <v>92.916453112127201</v>
      </c>
      <c r="AJ6721">
        <v>94.126916029421906</v>
      </c>
      <c r="AK6721">
        <v>22.034098719202198</v>
      </c>
      <c r="AL6721">
        <v>79.688499868440203</v>
      </c>
      <c r="AM6721">
        <v>86.896042599332205</v>
      </c>
      <c r="AN6721">
        <v>1.0000000438196399</v>
      </c>
    </row>
    <row r="6722" spans="1:40" x14ac:dyDescent="0.25">
      <c r="A6722" t="str">
        <f>"20190303162434489"</f>
        <v>20190303162434489</v>
      </c>
      <c r="B6722" t="str">
        <f>"1551601474483165"</f>
        <v>1551601474483165</v>
      </c>
      <c r="C6722" t="s">
        <v>40</v>
      </c>
      <c r="D6722">
        <v>5.1949149999999999</v>
      </c>
      <c r="E6722">
        <v>0.454322</v>
      </c>
      <c r="F6722" t="s">
        <v>41</v>
      </c>
      <c r="G6722">
        <v>-188.9436</v>
      </c>
      <c r="H6722" s="1">
        <v>-1.7573619999999999E-6</v>
      </c>
      <c r="I6722">
        <v>103.2924</v>
      </c>
      <c r="J6722">
        <v>-187.4342</v>
      </c>
      <c r="K6722">
        <v>1.121186</v>
      </c>
      <c r="L6722">
        <v>82.582980000000006</v>
      </c>
      <c r="M6722">
        <v>-6.9488429999999901E-4</v>
      </c>
      <c r="N6722">
        <v>-1.372806E-2</v>
      </c>
      <c r="O6722">
        <v>0.9999055</v>
      </c>
      <c r="P6722">
        <v>5.5441160000000003E-2</v>
      </c>
      <c r="Q6722">
        <v>0.1683743</v>
      </c>
      <c r="R6722">
        <v>0.9841628</v>
      </c>
      <c r="S6722">
        <v>-0.21815490000000001</v>
      </c>
      <c r="T6722">
        <v>-0.1619351</v>
      </c>
      <c r="U6722">
        <v>3.0854189999999999</v>
      </c>
      <c r="V6722">
        <v>5.5995139999999999E-2</v>
      </c>
      <c r="W6722">
        <v>0.18190899999999999</v>
      </c>
      <c r="X6722">
        <v>0.98171969999999997</v>
      </c>
      <c r="Y6722">
        <v>-6.9751720000000003E-2</v>
      </c>
      <c r="Z6722">
        <v>-3.8569109999999997E-2</v>
      </c>
      <c r="AA6722">
        <v>0.99681850000000005</v>
      </c>
      <c r="AB6722">
        <v>32</v>
      </c>
      <c r="AC6722">
        <v>-1.5093999999999901</v>
      </c>
      <c r="AD6722">
        <v>-1.1211877573619999</v>
      </c>
      <c r="AE6722">
        <v>20.709419999999898</v>
      </c>
      <c r="AF6722">
        <v>-1.4906615360506601</v>
      </c>
      <c r="AG6722">
        <v>-1.1211877573619999</v>
      </c>
      <c r="AH6722">
        <v>20.6502571844884</v>
      </c>
      <c r="AI6722">
        <v>93.099723384230799</v>
      </c>
      <c r="AJ6722">
        <v>94.128797332738102</v>
      </c>
      <c r="AK6722">
        <v>20.734325539738101</v>
      </c>
      <c r="AL6722">
        <v>79.5190260783192</v>
      </c>
      <c r="AM6722">
        <v>86.735511381667905</v>
      </c>
      <c r="AN6722">
        <v>0.99999995467635305</v>
      </c>
    </row>
    <row r="6723" spans="1:40" x14ac:dyDescent="0.25">
      <c r="A6723" t="str">
        <f>"20190303162434512"</f>
        <v>20190303162434512</v>
      </c>
      <c r="B6723" t="str">
        <f>"1551601474501709"</f>
        <v>1551601474501709</v>
      </c>
      <c r="C6723" t="s">
        <v>40</v>
      </c>
      <c r="D6723">
        <v>5.5693960000000002</v>
      </c>
      <c r="E6723">
        <v>0.45444760000000001</v>
      </c>
      <c r="F6723" t="s">
        <v>41</v>
      </c>
      <c r="G6723">
        <v>-188.9982</v>
      </c>
      <c r="H6723" s="1">
        <v>-2.6264980000000001E-6</v>
      </c>
      <c r="I6723">
        <v>105.34099999999999</v>
      </c>
      <c r="J6723">
        <v>-187.4349</v>
      </c>
      <c r="K6723">
        <v>1.121219</v>
      </c>
      <c r="L6723">
        <v>82.897890000000004</v>
      </c>
      <c r="M6723">
        <v>-1.1119910000000001E-3</v>
      </c>
      <c r="N6723">
        <v>-1.370967E-2</v>
      </c>
      <c r="O6723">
        <v>0.99990540000000006</v>
      </c>
      <c r="P6723">
        <v>5.4975740000000002E-2</v>
      </c>
      <c r="Q6723">
        <v>0.16878089999999901</v>
      </c>
      <c r="R6723">
        <v>0.98411919999999997</v>
      </c>
      <c r="S6723">
        <v>-0.21209720000000001</v>
      </c>
      <c r="T6723">
        <v>-0.15204599999999999</v>
      </c>
      <c r="U6723">
        <v>3.0862430000000001</v>
      </c>
      <c r="V6723">
        <v>5.5926330000000003E-2</v>
      </c>
      <c r="W6723">
        <v>0.1823004</v>
      </c>
      <c r="X6723">
        <v>0.9816511</v>
      </c>
      <c r="Y6723">
        <v>-6.7380229999999999E-2</v>
      </c>
      <c r="Z6723">
        <v>-3.5395139999999999E-2</v>
      </c>
      <c r="AA6723">
        <v>0.99709930000000002</v>
      </c>
      <c r="AB6723">
        <v>32</v>
      </c>
      <c r="AC6723">
        <v>-1.5632999999999899</v>
      </c>
      <c r="AD6723">
        <v>-1.1212216264979999</v>
      </c>
      <c r="AE6723">
        <v>22.443110000000001</v>
      </c>
      <c r="AF6723">
        <v>-1.5345287051829399</v>
      </c>
      <c r="AG6723">
        <v>-1.1212216264979999</v>
      </c>
      <c r="AH6723">
        <v>22.389224542511599</v>
      </c>
      <c r="AI6723">
        <v>92.860200051919193</v>
      </c>
      <c r="AJ6723">
        <v>93.920847372960694</v>
      </c>
      <c r="AK6723">
        <v>22.4697416962848</v>
      </c>
      <c r="AL6723">
        <v>79.496220023617298</v>
      </c>
      <c r="AM6723">
        <v>86.739286951494094</v>
      </c>
      <c r="AN6723">
        <v>1.00000003617931</v>
      </c>
    </row>
    <row r="6724" spans="1:40" x14ac:dyDescent="0.25">
      <c r="A6724" t="str">
        <f>"20190303162434535"</f>
        <v>20190303162434535</v>
      </c>
      <c r="B6724" t="str">
        <f>"1551601474521229"</f>
        <v>1551601474521229</v>
      </c>
      <c r="C6724" t="s">
        <v>40</v>
      </c>
      <c r="D6724">
        <v>5.7248890000000001</v>
      </c>
      <c r="E6724">
        <v>0.45432850000000002</v>
      </c>
      <c r="F6724" t="s">
        <v>41</v>
      </c>
      <c r="G6724">
        <v>-188.98089999999999</v>
      </c>
      <c r="H6724" s="1">
        <v>-2.6767079999999999E-6</v>
      </c>
      <c r="I6724">
        <v>105.4508</v>
      </c>
      <c r="J6724">
        <v>-187.4358</v>
      </c>
      <c r="K6724">
        <v>1.121245</v>
      </c>
      <c r="L6724">
        <v>83.234589999999997</v>
      </c>
      <c r="M6724">
        <v>-1.5907740000000001E-3</v>
      </c>
      <c r="N6724">
        <v>-1.369217E-2</v>
      </c>
      <c r="O6724">
        <v>0.99990500000000004</v>
      </c>
      <c r="P6724">
        <v>5.4272540000000001E-2</v>
      </c>
      <c r="Q6724">
        <v>0.16843610000000001</v>
      </c>
      <c r="R6724">
        <v>0.98421729999999996</v>
      </c>
      <c r="S6724">
        <v>-0.2115784</v>
      </c>
      <c r="T6724">
        <v>-0.153448</v>
      </c>
      <c r="U6724">
        <v>3.0865480000000001</v>
      </c>
      <c r="V6724">
        <v>5.5683450000000002E-2</v>
      </c>
      <c r="W6724">
        <v>0.18194270000000001</v>
      </c>
      <c r="X6724">
        <v>0.98173120000000003</v>
      </c>
      <c r="Y6724">
        <v>-6.6727899999999896E-2</v>
      </c>
      <c r="Z6724">
        <v>-3.5861150000000001E-2</v>
      </c>
      <c r="AA6724">
        <v>0.99712659999999997</v>
      </c>
      <c r="AB6724">
        <v>32</v>
      </c>
      <c r="AC6724">
        <v>-1.5450999999999899</v>
      </c>
      <c r="AD6724">
        <v>-1.121247676708</v>
      </c>
      <c r="AE6724">
        <v>22.21621</v>
      </c>
      <c r="AF6724">
        <v>-1.50593630529927</v>
      </c>
      <c r="AG6724">
        <v>-1.121247676708</v>
      </c>
      <c r="AH6724">
        <v>22.162459530707999</v>
      </c>
      <c r="AI6724">
        <v>92.889598513131006</v>
      </c>
      <c r="AJ6724">
        <v>93.887265534799496</v>
      </c>
      <c r="AK6724">
        <v>22.2418446392922</v>
      </c>
      <c r="AL6724">
        <v>79.5170626134678</v>
      </c>
      <c r="AM6724">
        <v>86.753681725113793</v>
      </c>
      <c r="AN6724">
        <v>0.999999970870315</v>
      </c>
    </row>
    <row r="6725" spans="1:40" x14ac:dyDescent="0.25">
      <c r="A6725" t="str">
        <f>"20190303162434568"</f>
        <v>20190303162434568</v>
      </c>
      <c r="B6725" t="str">
        <f>"1551601474551485"</f>
        <v>1551601474551485</v>
      </c>
      <c r="C6725" t="s">
        <v>40</v>
      </c>
      <c r="D6725">
        <v>5.6906869999999996</v>
      </c>
      <c r="E6725">
        <v>0.45432280000000003</v>
      </c>
      <c r="F6725" t="s">
        <v>41</v>
      </c>
      <c r="G6725">
        <v>-189.01779999999999</v>
      </c>
      <c r="H6725" s="1">
        <v>-2.8908389999999999E-6</v>
      </c>
      <c r="I6725">
        <v>105.9653</v>
      </c>
      <c r="J6725">
        <v>-187.43719999999999</v>
      </c>
      <c r="K6725">
        <v>1.1212549999999999</v>
      </c>
      <c r="L6725">
        <v>83.688319999999905</v>
      </c>
      <c r="M6725">
        <v>-2.2686500000000001E-3</v>
      </c>
      <c r="N6725">
        <v>-1.367173E-2</v>
      </c>
      <c r="O6725">
        <v>0.99990400000000002</v>
      </c>
      <c r="P6725">
        <v>5.2382699999999997E-2</v>
      </c>
      <c r="Q6725">
        <v>0.17099739999999999</v>
      </c>
      <c r="R6725">
        <v>0.98387800000000003</v>
      </c>
      <c r="S6725">
        <v>-0.21478269999999999</v>
      </c>
      <c r="T6725">
        <v>-0.15222620000000001</v>
      </c>
      <c r="U6725">
        <v>3.0860289999999999</v>
      </c>
      <c r="V6725">
        <v>5.4447599999999999E-2</v>
      </c>
      <c r="W6725">
        <v>0.18448059999999999</v>
      </c>
      <c r="X6725">
        <v>0.98132680000000005</v>
      </c>
      <c r="Y6725">
        <v>-6.7094319999999999E-2</v>
      </c>
      <c r="Z6725">
        <v>-3.5493950000000003E-2</v>
      </c>
      <c r="AA6725">
        <v>0.99711510000000003</v>
      </c>
      <c r="AB6725">
        <v>32</v>
      </c>
      <c r="AC6725">
        <v>-1.5806</v>
      </c>
      <c r="AD6725">
        <v>-1.1212578908389901</v>
      </c>
      <c r="AE6725">
        <v>22.276979999999998</v>
      </c>
      <c r="AF6725">
        <v>-1.5262054648515599</v>
      </c>
      <c r="AG6725">
        <v>-1.1212578908389901</v>
      </c>
      <c r="AH6725">
        <v>22.224488024033199</v>
      </c>
      <c r="AI6725">
        <v>92.881432175819896</v>
      </c>
      <c r="AJ6725">
        <v>93.928462117476798</v>
      </c>
      <c r="AK6725">
        <v>22.305030605428598</v>
      </c>
      <c r="AL6725">
        <v>79.3691478167828</v>
      </c>
      <c r="AM6725">
        <v>86.824276680260596</v>
      </c>
      <c r="AN6725">
        <v>0.99999996066017904</v>
      </c>
    </row>
    <row r="6726" spans="1:40" x14ac:dyDescent="0.25">
      <c r="A6726" t="str">
        <f>"20190303162434590"</f>
        <v>20190303162434590</v>
      </c>
      <c r="B6726" t="str">
        <f>"1551601474581742"</f>
        <v>1551601474581742</v>
      </c>
      <c r="C6726" t="s">
        <v>40</v>
      </c>
      <c r="D6726">
        <v>5.7293520000000004</v>
      </c>
      <c r="E6726">
        <v>0.45412720000000001</v>
      </c>
      <c r="F6726" t="s">
        <v>41</v>
      </c>
      <c r="G6726">
        <v>-189.08500000000001</v>
      </c>
      <c r="H6726" s="1">
        <v>-3.2449250000000001E-6</v>
      </c>
      <c r="I6726">
        <v>106.8184</v>
      </c>
      <c r="J6726">
        <v>-187.4385</v>
      </c>
      <c r="K6726">
        <v>1.1212549999999999</v>
      </c>
      <c r="L6726">
        <v>84.023250000000004</v>
      </c>
      <c r="M6726">
        <v>-2.7798850000000002E-3</v>
      </c>
      <c r="N6726">
        <v>-1.365881E-2</v>
      </c>
      <c r="O6726">
        <v>0.99990279999999998</v>
      </c>
      <c r="P6726">
        <v>5.0367879999999997E-2</v>
      </c>
      <c r="Q6726">
        <v>0.1682381</v>
      </c>
      <c r="R6726">
        <v>0.98445870000000002</v>
      </c>
      <c r="S6726">
        <v>-0.21990970000000001</v>
      </c>
      <c r="T6726">
        <v>-0.1496401</v>
      </c>
      <c r="U6726">
        <v>3.086884</v>
      </c>
      <c r="V6726">
        <v>5.2935469999999998E-2</v>
      </c>
      <c r="W6726">
        <v>0.18171670000000001</v>
      </c>
      <c r="X6726">
        <v>0.9819251</v>
      </c>
      <c r="Y6726">
        <v>-6.8214999999999998E-2</v>
      </c>
      <c r="Z6726">
        <v>-3.4655539999999999E-2</v>
      </c>
      <c r="AA6726">
        <v>0.99706859999999997</v>
      </c>
      <c r="AB6726">
        <v>32</v>
      </c>
      <c r="AC6726">
        <v>-1.6465000000000001</v>
      </c>
      <c r="AD6726">
        <v>-1.1212582449249999</v>
      </c>
      <c r="AE6726">
        <v>22.7951499999999</v>
      </c>
      <c r="AF6726">
        <v>-1.5793184908870399</v>
      </c>
      <c r="AG6726">
        <v>-1.1212582449249999</v>
      </c>
      <c r="AH6726">
        <v>22.744893666740101</v>
      </c>
      <c r="AI6726">
        <v>92.815465323414699</v>
      </c>
      <c r="AJ6726">
        <v>93.972024595417494</v>
      </c>
      <c r="AK6726">
        <v>22.8272130331056</v>
      </c>
      <c r="AL6726">
        <v>79.530231417239193</v>
      </c>
      <c r="AM6726">
        <v>86.914178173049393</v>
      </c>
      <c r="AN6726">
        <v>1.0000000125265101</v>
      </c>
    </row>
    <row r="6727" spans="1:40" x14ac:dyDescent="0.25">
      <c r="A6727" t="str">
        <f>"20190303162434611"</f>
        <v>20190303162434611</v>
      </c>
      <c r="B6727" t="str">
        <f>"1551601474601261"</f>
        <v>1551601474601261</v>
      </c>
      <c r="C6727" t="s">
        <v>40</v>
      </c>
      <c r="D6727">
        <v>5.533633</v>
      </c>
      <c r="E6727">
        <v>0.45399220000000001</v>
      </c>
      <c r="F6727" t="s">
        <v>41</v>
      </c>
      <c r="G6727">
        <v>-189.07069999999999</v>
      </c>
      <c r="H6727" s="1">
        <v>-2.9707990000000002E-6</v>
      </c>
      <c r="I6727">
        <v>106.1735</v>
      </c>
      <c r="J6727">
        <v>-187.43989999999999</v>
      </c>
      <c r="K6727">
        <v>1.1212569999999999</v>
      </c>
      <c r="L6727">
        <v>84.324069999999907</v>
      </c>
      <c r="M6727">
        <v>-3.2404930000000001E-3</v>
      </c>
      <c r="N6727">
        <v>-1.364843E-2</v>
      </c>
      <c r="O6727">
        <v>0.99990159999999995</v>
      </c>
      <c r="P6727">
        <v>5.007822E-2</v>
      </c>
      <c r="Q6727">
        <v>0.16818859999999999</v>
      </c>
      <c r="R6727">
        <v>0.98448199999999997</v>
      </c>
      <c r="S6727">
        <v>-0.2273712</v>
      </c>
      <c r="T6727">
        <v>-0.15619949999999999</v>
      </c>
      <c r="U6727">
        <v>3.085693</v>
      </c>
      <c r="V6727">
        <v>5.3096829999999998E-2</v>
      </c>
      <c r="W6727">
        <v>0.18165719999999999</v>
      </c>
      <c r="X6727">
        <v>0.98192740000000001</v>
      </c>
      <c r="Y6727">
        <v>-7.0173559999999996E-2</v>
      </c>
      <c r="Z6727">
        <v>-3.6790839999999998E-2</v>
      </c>
      <c r="AA6727">
        <v>0.99685610000000002</v>
      </c>
      <c r="AB6727">
        <v>32</v>
      </c>
      <c r="AC6727">
        <v>-1.63079999999999</v>
      </c>
      <c r="AD6727">
        <v>-1.1212599707990001</v>
      </c>
      <c r="AE6727">
        <v>21.849430000000002</v>
      </c>
      <c r="AF6727">
        <v>-1.5559071422833799</v>
      </c>
      <c r="AG6727">
        <v>-1.1212599707990001</v>
      </c>
      <c r="AH6727">
        <v>21.797514728891102</v>
      </c>
      <c r="AI6727">
        <v>92.937228350540806</v>
      </c>
      <c r="AJ6727">
        <v>94.082849373811001</v>
      </c>
      <c r="AK6727">
        <v>21.8817211232058</v>
      </c>
      <c r="AL6727">
        <v>79.533698245043993</v>
      </c>
      <c r="AM6727">
        <v>86.904797346576601</v>
      </c>
      <c r="AN6727">
        <v>1.00000001526932</v>
      </c>
    </row>
    <row r="6728" spans="1:40" x14ac:dyDescent="0.25">
      <c r="A6728" t="str">
        <f>"20190303162434632"</f>
        <v>20190303162434632</v>
      </c>
      <c r="B6728" t="str">
        <f>"1551601474621757"</f>
        <v>1551601474621757</v>
      </c>
      <c r="C6728" t="s">
        <v>40</v>
      </c>
      <c r="D6728">
        <v>5.4079879999999996</v>
      </c>
      <c r="E6728">
        <v>0.45408229999999999</v>
      </c>
      <c r="F6728" t="s">
        <v>41</v>
      </c>
      <c r="G6728">
        <v>-189.10560000000001</v>
      </c>
      <c r="H6728" s="1">
        <v>-3.1525380000000001E-6</v>
      </c>
      <c r="I6728">
        <v>106.6116</v>
      </c>
      <c r="J6728">
        <v>-187.44130000000001</v>
      </c>
      <c r="K6728">
        <v>1.121267</v>
      </c>
      <c r="L6728">
        <v>84.624790000000004</v>
      </c>
      <c r="M6728">
        <v>-3.7001870000000002E-3</v>
      </c>
      <c r="N6728">
        <v>-1.363906E-2</v>
      </c>
      <c r="O6728">
        <v>0.99990020000000002</v>
      </c>
      <c r="P6728">
        <v>5.0962529999999999E-2</v>
      </c>
      <c r="Q6728">
        <v>0.16803089999999901</v>
      </c>
      <c r="R6728">
        <v>0.98446350000000005</v>
      </c>
      <c r="S6728">
        <v>-0.23060610000000001</v>
      </c>
      <c r="T6728">
        <v>-0.15523020000000001</v>
      </c>
      <c r="U6728">
        <v>3.0855410000000001</v>
      </c>
      <c r="V6728">
        <v>5.4432179999999997E-2</v>
      </c>
      <c r="W6728">
        <v>0.1814916</v>
      </c>
      <c r="X6728">
        <v>0.98188489999999995</v>
      </c>
      <c r="Y6728">
        <v>-7.0758660000000001E-2</v>
      </c>
      <c r="Z6728">
        <v>-3.6487510000000001E-2</v>
      </c>
      <c r="AA6728">
        <v>0.99682590000000004</v>
      </c>
      <c r="AB6728">
        <v>32</v>
      </c>
      <c r="AC6728">
        <v>-1.6642999999999899</v>
      </c>
      <c r="AD6728">
        <v>-1.121270152538</v>
      </c>
      <c r="AE6728">
        <v>21.986809999999899</v>
      </c>
      <c r="AF6728">
        <v>-1.57884297446317</v>
      </c>
      <c r="AG6728">
        <v>-1.121270152538</v>
      </c>
      <c r="AH6728">
        <v>21.9360933100936</v>
      </c>
      <c r="AI6728">
        <v>92.918607863852202</v>
      </c>
      <c r="AJ6728">
        <v>94.1167456173674</v>
      </c>
      <c r="AK6728">
        <v>22.021402807317202</v>
      </c>
      <c r="AL6728">
        <v>79.543346756050596</v>
      </c>
      <c r="AM6728">
        <v>86.826975102273394</v>
      </c>
      <c r="AN6728">
        <v>1.00000000996906</v>
      </c>
    </row>
    <row r="6729" spans="1:40" x14ac:dyDescent="0.25">
      <c r="A6729" t="str">
        <f>"20190303162434679"</f>
        <v>20190303162434679</v>
      </c>
      <c r="B6729" t="str">
        <f>"1551601474671276"</f>
        <v>1551601474671276</v>
      </c>
      <c r="C6729" t="s">
        <v>40</v>
      </c>
      <c r="D6729">
        <v>5.5552950000000001</v>
      </c>
      <c r="E6729">
        <v>0.50432290000000002</v>
      </c>
      <c r="F6729" t="s">
        <v>41</v>
      </c>
      <c r="G6729">
        <v>-189.10570000000001</v>
      </c>
      <c r="H6729" s="1">
        <v>-3.3615259999999998E-6</v>
      </c>
      <c r="I6729">
        <v>107.0988</v>
      </c>
      <c r="J6729">
        <v>-187.44499999999999</v>
      </c>
      <c r="K6729">
        <v>1.121275</v>
      </c>
      <c r="L6729">
        <v>85.286799999999999</v>
      </c>
      <c r="M6729">
        <v>-4.7055719999999999E-3</v>
      </c>
      <c r="N6729">
        <v>-1.362156E-2</v>
      </c>
      <c r="O6729">
        <v>0.99989620000000001</v>
      </c>
      <c r="P6729">
        <v>5.1682989999999998E-2</v>
      </c>
      <c r="Q6729">
        <v>0.1671057</v>
      </c>
      <c r="R6729">
        <v>0.9845834</v>
      </c>
      <c r="S6729">
        <v>-0.22850039999999999</v>
      </c>
      <c r="T6729">
        <v>-0.15393889999999999</v>
      </c>
      <c r="U6729">
        <v>3.0854490000000001</v>
      </c>
      <c r="V6729">
        <v>5.6142039999999997E-2</v>
      </c>
      <c r="W6729">
        <v>0.18055280000000001</v>
      </c>
      <c r="X6729">
        <v>0.98196170000000005</v>
      </c>
      <c r="Y6729">
        <v>-6.9083270000000002E-2</v>
      </c>
      <c r="Z6729">
        <v>-3.6094759999999997E-2</v>
      </c>
      <c r="AA6729">
        <v>0.99695769999999995</v>
      </c>
      <c r="AB6729">
        <v>32</v>
      </c>
      <c r="AC6729">
        <v>-1.6607000000000101</v>
      </c>
      <c r="AD6729">
        <v>-1.121278361526</v>
      </c>
      <c r="AE6729">
        <v>21.812000000000001</v>
      </c>
      <c r="AF6729">
        <v>-1.5539513093924999</v>
      </c>
      <c r="AG6729">
        <v>-1.121278361526</v>
      </c>
      <c r="AH6729">
        <v>21.762395293020901</v>
      </c>
      <c r="AI6729">
        <v>92.942002919711001</v>
      </c>
      <c r="AJ6729">
        <v>94.084292666214793</v>
      </c>
      <c r="AK6729">
        <v>21.846598790788601</v>
      </c>
      <c r="AL6729">
        <v>79.598039629266694</v>
      </c>
      <c r="AM6729">
        <v>86.727770651824002</v>
      </c>
      <c r="AN6729">
        <v>1.00000001125504</v>
      </c>
    </row>
    <row r="6730" spans="1:40" x14ac:dyDescent="0.25">
      <c r="A6730" t="str">
        <f>"20190303162434724"</f>
        <v>20190303162434724</v>
      </c>
      <c r="B6730" t="str">
        <f>"1551601474711292"</f>
        <v>1551601474711292</v>
      </c>
      <c r="C6730" t="s">
        <v>40</v>
      </c>
      <c r="D6730">
        <v>5.5623469999999999</v>
      </c>
      <c r="E6730">
        <v>0.50878509999999999</v>
      </c>
      <c r="F6730" t="s">
        <v>41</v>
      </c>
      <c r="G6730">
        <v>-186.1617</v>
      </c>
      <c r="H6730" s="1">
        <v>-4.1356879999999997E-6</v>
      </c>
      <c r="I6730">
        <v>107.6861</v>
      </c>
      <c r="J6730">
        <v>-187.44919999999999</v>
      </c>
      <c r="K6730">
        <v>1.121251</v>
      </c>
      <c r="L6730">
        <v>85.923739999999995</v>
      </c>
      <c r="M6730">
        <v>-5.6673640000000003E-3</v>
      </c>
      <c r="N6730">
        <v>-1.360783E-2</v>
      </c>
      <c r="O6730">
        <v>0.99989130000000004</v>
      </c>
      <c r="P6730">
        <v>5.4671190000000001E-2</v>
      </c>
      <c r="Q6730">
        <v>0.1638192</v>
      </c>
      <c r="R6730">
        <v>0.98497429999999997</v>
      </c>
      <c r="S6730">
        <v>0.1755371</v>
      </c>
      <c r="T6730">
        <v>-0.15336910000000001</v>
      </c>
      <c r="U6730">
        <v>3.0637819999999998</v>
      </c>
      <c r="V6730">
        <v>6.0082139999999999E-2</v>
      </c>
      <c r="W6730">
        <v>0.17726129999999901</v>
      </c>
      <c r="X6730">
        <v>0.98232810000000004</v>
      </c>
      <c r="Y6730">
        <v>6.2793280000000007E-2</v>
      </c>
      <c r="Z6730">
        <v>-3.630713E-2</v>
      </c>
      <c r="AA6730">
        <v>0.99736599999999997</v>
      </c>
      <c r="AB6730">
        <v>32</v>
      </c>
      <c r="AC6730">
        <v>1.2874999999999901</v>
      </c>
      <c r="AD6730">
        <v>-1.1212551356880001</v>
      </c>
      <c r="AE6730">
        <v>21.762359999999902</v>
      </c>
      <c r="AF6730">
        <v>1.40710371124863</v>
      </c>
      <c r="AG6730">
        <v>-1.1212551356880001</v>
      </c>
      <c r="AH6730">
        <v>21.697316519650499</v>
      </c>
      <c r="AI6730">
        <v>92.952059943849406</v>
      </c>
      <c r="AJ6730">
        <v>86.289478237697793</v>
      </c>
      <c r="AK6730">
        <v>21.7717867454055</v>
      </c>
      <c r="AL6730">
        <v>79.789720891837604</v>
      </c>
      <c r="AM6730">
        <v>86.499977944295097</v>
      </c>
      <c r="AN6730">
        <v>0.99999996403713898</v>
      </c>
    </row>
    <row r="6731" spans="1:40" x14ac:dyDescent="0.25">
      <c r="A6731" t="str">
        <f>"20190303162434768"</f>
        <v>20190303162434768</v>
      </c>
      <c r="B6731" t="str">
        <f>"1551601474762044"</f>
        <v>1551601474762044</v>
      </c>
      <c r="C6731" t="s">
        <v>40</v>
      </c>
      <c r="D6731">
        <v>5.583005</v>
      </c>
      <c r="E6731">
        <v>0.51033949999999995</v>
      </c>
      <c r="F6731" t="s">
        <v>41</v>
      </c>
      <c r="G6731">
        <v>-185.95679999999999</v>
      </c>
      <c r="H6731" s="1">
        <v>-3.793103E-6</v>
      </c>
      <c r="I6731">
        <v>106.8028</v>
      </c>
      <c r="J6731">
        <v>-187.45400000000001</v>
      </c>
      <c r="K6731">
        <v>1.121243</v>
      </c>
      <c r="L6731">
        <v>86.558499999999995</v>
      </c>
      <c r="M6731">
        <v>-6.6249179999999996E-3</v>
      </c>
      <c r="N6731">
        <v>-1.359664E-2</v>
      </c>
      <c r="O6731">
        <v>0.99988560000000004</v>
      </c>
      <c r="P6731">
        <v>5.5958260000000003E-2</v>
      </c>
      <c r="Q6731">
        <v>0.16198389999999999</v>
      </c>
      <c r="R6731">
        <v>0.98520549999999996</v>
      </c>
      <c r="S6731">
        <v>0.21879580000000001</v>
      </c>
      <c r="T6731">
        <v>-0.1643802</v>
      </c>
      <c r="U6731">
        <v>3.0609440000000001</v>
      </c>
      <c r="V6731">
        <v>6.2315839999999997E-2</v>
      </c>
      <c r="W6731">
        <v>0.17541950000000001</v>
      </c>
      <c r="X6731">
        <v>0.98251960000000005</v>
      </c>
      <c r="Y6731">
        <v>7.7812790000000007E-2</v>
      </c>
      <c r="Z6731">
        <v>-3.9888840000000002E-2</v>
      </c>
      <c r="AA6731">
        <v>0.99616970000000005</v>
      </c>
      <c r="AB6731">
        <v>32</v>
      </c>
      <c r="AC6731">
        <v>1.4972000000000201</v>
      </c>
      <c r="AD6731">
        <v>-1.1212467931029999</v>
      </c>
      <c r="AE6731">
        <v>20.244299999999999</v>
      </c>
      <c r="AF6731">
        <v>1.6263345819105799</v>
      </c>
      <c r="AG6731">
        <v>-1.1212467931029999</v>
      </c>
      <c r="AH6731">
        <v>20.172391962984399</v>
      </c>
      <c r="AI6731">
        <v>93.171142903632401</v>
      </c>
      <c r="AJ6731">
        <v>85.390680449239696</v>
      </c>
      <c r="AK6731">
        <v>20.268881470166001</v>
      </c>
      <c r="AL6731">
        <v>79.896928816935301</v>
      </c>
      <c r="AM6731">
        <v>86.370903348609005</v>
      </c>
      <c r="AN6731">
        <v>1.0000000146396499</v>
      </c>
    </row>
    <row r="6732" spans="1:40" x14ac:dyDescent="0.25">
      <c r="A6732" t="str">
        <f>"20190303162434790"</f>
        <v>20190303162434790</v>
      </c>
      <c r="B6732" t="str">
        <f>"1551601474781095"</f>
        <v>1551601474781095</v>
      </c>
      <c r="C6732" t="s">
        <v>40</v>
      </c>
      <c r="D6732">
        <v>5.6187060000000004</v>
      </c>
      <c r="E6732">
        <v>0.51090369999999996</v>
      </c>
      <c r="F6732" t="s">
        <v>41</v>
      </c>
      <c r="G6732">
        <v>-185.89619999999999</v>
      </c>
      <c r="H6732" s="1">
        <v>-3.7946620000000001E-6</v>
      </c>
      <c r="I6732">
        <v>106.7814</v>
      </c>
      <c r="J6732">
        <v>-187.45650000000001</v>
      </c>
      <c r="K6732">
        <v>1.121229</v>
      </c>
      <c r="L6732">
        <v>86.868259999999907</v>
      </c>
      <c r="M6732">
        <v>-7.0920219999999999E-3</v>
      </c>
      <c r="N6732">
        <v>-1.3591799999999999E-2</v>
      </c>
      <c r="O6732">
        <v>0.99988250000000001</v>
      </c>
      <c r="P6732">
        <v>5.6965979999999999E-2</v>
      </c>
      <c r="Q6732">
        <v>0.16120179999999901</v>
      </c>
      <c r="R6732">
        <v>0.98527600000000004</v>
      </c>
      <c r="S6732">
        <v>0.23567199999999999</v>
      </c>
      <c r="T6732">
        <v>-0.1696346</v>
      </c>
      <c r="U6732">
        <v>3.0595400000000001</v>
      </c>
      <c r="V6732">
        <v>6.3785049999999996E-2</v>
      </c>
      <c r="W6732">
        <v>0.1746345</v>
      </c>
      <c r="X6732">
        <v>0.98256520000000003</v>
      </c>
      <c r="Y6732">
        <v>8.3765210000000007E-2</v>
      </c>
      <c r="Z6732">
        <v>-4.1598799999999998E-2</v>
      </c>
      <c r="AA6732">
        <v>0.99561690000000003</v>
      </c>
      <c r="AB6732">
        <v>32</v>
      </c>
      <c r="AC6732">
        <v>1.56030000000001</v>
      </c>
      <c r="AD6732">
        <v>-1.121232794662</v>
      </c>
      <c r="AE6732">
        <v>19.913139999999999</v>
      </c>
      <c r="AF6732">
        <v>1.6961535761670701</v>
      </c>
      <c r="AG6732">
        <v>-1.121232794662</v>
      </c>
      <c r="AH6732">
        <v>19.839058753211098</v>
      </c>
      <c r="AI6732">
        <v>93.222979063233097</v>
      </c>
      <c r="AJ6732">
        <v>85.113342306751406</v>
      </c>
      <c r="AK6732">
        <v>19.9429775145822</v>
      </c>
      <c r="AL6732">
        <v>79.942611601709103</v>
      </c>
      <c r="AM6732">
        <v>86.285749438584006</v>
      </c>
      <c r="AN6732">
        <v>1.0000000567223899</v>
      </c>
    </row>
    <row r="6733" spans="1:40" x14ac:dyDescent="0.25">
      <c r="A6733" t="str">
        <f>"20190303162434812"</f>
        <v>20190303162434812</v>
      </c>
      <c r="B6733" t="str">
        <f>"1551601474801591"</f>
        <v>1551601474801591</v>
      </c>
      <c r="C6733" t="s">
        <v>40</v>
      </c>
      <c r="D6733">
        <v>5.5545070000000001</v>
      </c>
      <c r="E6733">
        <v>0.51190939999999996</v>
      </c>
      <c r="F6733" t="s">
        <v>41</v>
      </c>
      <c r="G6733">
        <v>-185.8972</v>
      </c>
      <c r="H6733" s="1">
        <v>-3.6843029999999999E-6</v>
      </c>
      <c r="I6733">
        <v>106.5245</v>
      </c>
      <c r="J6733">
        <v>-187.45920000000001</v>
      </c>
      <c r="K6733">
        <v>1.121224</v>
      </c>
      <c r="L6733">
        <v>87.171719999999993</v>
      </c>
      <c r="M6733">
        <v>-7.5495629999999996E-3</v>
      </c>
      <c r="N6733">
        <v>-1.358737E-2</v>
      </c>
      <c r="O6733">
        <v>0.99987919999999997</v>
      </c>
      <c r="P6733">
        <v>5.8520910000000002E-2</v>
      </c>
      <c r="Q6733">
        <v>0.1599585</v>
      </c>
      <c r="R6733">
        <v>0.98538760000000003</v>
      </c>
      <c r="S6733">
        <v>0.24269099999999999</v>
      </c>
      <c r="T6733">
        <v>-0.17451159999999999</v>
      </c>
      <c r="U6733">
        <v>3.0593569999999999</v>
      </c>
      <c r="V6733">
        <v>6.5792809999999993E-2</v>
      </c>
      <c r="W6733">
        <v>0.17338970000000001</v>
      </c>
      <c r="X6733">
        <v>0.9826532</v>
      </c>
      <c r="Y6733">
        <v>8.6488289999999995E-2</v>
      </c>
      <c r="Z6733">
        <v>-4.3176689999999997E-2</v>
      </c>
      <c r="AA6733">
        <v>0.9953168</v>
      </c>
      <c r="AB6733">
        <v>32</v>
      </c>
      <c r="AC6733">
        <v>1.56200000000001</v>
      </c>
      <c r="AD6733">
        <v>-1.121227684303</v>
      </c>
      <c r="AE6733">
        <v>19.352779999999999</v>
      </c>
      <c r="AF6733">
        <v>1.7023966979823</v>
      </c>
      <c r="AG6733">
        <v>-1.121227684303</v>
      </c>
      <c r="AH6733">
        <v>19.276151115985201</v>
      </c>
      <c r="AI6733">
        <v>93.316070114747006</v>
      </c>
      <c r="AJ6733">
        <v>84.952948380901901</v>
      </c>
      <c r="AK6733">
        <v>19.383635053406401</v>
      </c>
      <c r="AL6733">
        <v>80.015037761429895</v>
      </c>
      <c r="AM6733">
        <v>86.169520961308194</v>
      </c>
      <c r="AN6733">
        <v>0.999999996692013</v>
      </c>
    </row>
    <row r="6734" spans="1:40" x14ac:dyDescent="0.25">
      <c r="A6734" t="str">
        <f>"20190303162434857"</f>
        <v>20190303162434857</v>
      </c>
      <c r="B6734" t="str">
        <f>"1551601474841607"</f>
        <v>1551601474841607</v>
      </c>
      <c r="C6734" t="s">
        <v>40</v>
      </c>
      <c r="D6734">
        <v>5.7901610000000003</v>
      </c>
      <c r="E6734">
        <v>0.51240629999999998</v>
      </c>
      <c r="F6734" t="s">
        <v>41</v>
      </c>
      <c r="G6734">
        <v>-185.99860000000001</v>
      </c>
      <c r="H6734" s="1">
        <v>-2.924579E-6</v>
      </c>
      <c r="I6734">
        <v>104.7955</v>
      </c>
      <c r="J6734">
        <v>-187.46510000000001</v>
      </c>
      <c r="K6734">
        <v>1.121245</v>
      </c>
      <c r="L6734">
        <v>87.806089999999998</v>
      </c>
      <c r="M6734">
        <v>-8.5065569999999997E-3</v>
      </c>
      <c r="N6734">
        <v>-1.357907E-2</v>
      </c>
      <c r="O6734">
        <v>0.99987159999999997</v>
      </c>
      <c r="P6734">
        <v>6.2054239999999997E-2</v>
      </c>
      <c r="Q6734">
        <v>0.16143929999999901</v>
      </c>
      <c r="R6734">
        <v>0.98492970000000002</v>
      </c>
      <c r="S6734">
        <v>0.25369259999999999</v>
      </c>
      <c r="T6734">
        <v>-0.19474350000000001</v>
      </c>
      <c r="U6734">
        <v>3.061035</v>
      </c>
      <c r="V6734">
        <v>7.0263820000000005E-2</v>
      </c>
      <c r="W6734">
        <v>0.17485889999999901</v>
      </c>
      <c r="X6734">
        <v>0.98208309999999999</v>
      </c>
      <c r="Y6734">
        <v>9.0920630000000002E-2</v>
      </c>
      <c r="Z6734">
        <v>-4.9686519999999998E-2</v>
      </c>
      <c r="AA6734">
        <v>0.99461790000000005</v>
      </c>
      <c r="AB6734">
        <v>32</v>
      </c>
      <c r="AC6734">
        <v>1.4664999999999899</v>
      </c>
      <c r="AD6734">
        <v>-1.1212479245789999</v>
      </c>
      <c r="AE6734">
        <v>16.989409999999999</v>
      </c>
      <c r="AF6734">
        <v>1.6040467486615899</v>
      </c>
      <c r="AG6734">
        <v>-1.1212479245789999</v>
      </c>
      <c r="AH6734">
        <v>16.903240136644101</v>
      </c>
      <c r="AI6734">
        <v>93.778135342937503</v>
      </c>
      <c r="AJ6734">
        <v>84.579103529429801</v>
      </c>
      <c r="AK6734">
        <v>17.016159672420802</v>
      </c>
      <c r="AL6734">
        <v>79.929552193314393</v>
      </c>
      <c r="AM6734">
        <v>85.907706533971094</v>
      </c>
      <c r="AN6734">
        <v>0.99999992730790299</v>
      </c>
    </row>
    <row r="6735" spans="1:40" x14ac:dyDescent="0.25">
      <c r="A6735" t="str">
        <f>"20190303162434879"</f>
        <v>20190303162434879</v>
      </c>
      <c r="B6735" t="str">
        <f>"1551601474871394"</f>
        <v>1551601474871394</v>
      </c>
      <c r="C6735" t="s">
        <v>40</v>
      </c>
      <c r="D6735">
        <v>5.6292960000000001</v>
      </c>
      <c r="E6735">
        <v>0.51264509999999996</v>
      </c>
      <c r="F6735" t="s">
        <v>41</v>
      </c>
      <c r="G6735">
        <v>-185.90969999999999</v>
      </c>
      <c r="H6735" s="1">
        <v>-3.2531860000000001E-6</v>
      </c>
      <c r="I6735">
        <v>105.5247</v>
      </c>
      <c r="J6735">
        <v>-187.4683</v>
      </c>
      <c r="K6735">
        <v>1.121248</v>
      </c>
      <c r="L6735">
        <v>88.122860000000003</v>
      </c>
      <c r="M6735">
        <v>-8.9847179999999992E-3</v>
      </c>
      <c r="N6735">
        <v>-1.3575240000000001E-2</v>
      </c>
      <c r="O6735">
        <v>0.99986750000000002</v>
      </c>
      <c r="P6735">
        <v>6.3687729999999998E-2</v>
      </c>
      <c r="Q6735">
        <v>0.16386249999999999</v>
      </c>
      <c r="R6735">
        <v>0.9844252</v>
      </c>
      <c r="S6735">
        <v>0.26869199999999999</v>
      </c>
      <c r="T6735">
        <v>-0.1936852</v>
      </c>
      <c r="U6735">
        <v>3.06073</v>
      </c>
      <c r="V6735">
        <v>7.2361389999999998E-2</v>
      </c>
      <c r="W6735">
        <v>0.17727209999999999</v>
      </c>
      <c r="X6735">
        <v>0.98149810000000004</v>
      </c>
      <c r="Y6735">
        <v>9.6241709999999994E-2</v>
      </c>
      <c r="Z6735">
        <v>-4.9324199999999999E-2</v>
      </c>
      <c r="AA6735">
        <v>0.99413510000000005</v>
      </c>
      <c r="AB6735">
        <v>32</v>
      </c>
      <c r="AC6735">
        <v>1.55860000000001</v>
      </c>
      <c r="AD6735">
        <v>-1.1212512531859999</v>
      </c>
      <c r="AE6735">
        <v>17.4018399999999</v>
      </c>
      <c r="AF6735">
        <v>1.7078681494014101</v>
      </c>
      <c r="AG6735">
        <v>-1.1212512531859999</v>
      </c>
      <c r="AH6735">
        <v>17.315816346347798</v>
      </c>
      <c r="AI6735">
        <v>93.687061162685495</v>
      </c>
      <c r="AJ6735">
        <v>84.367105302615798</v>
      </c>
      <c r="AK6735">
        <v>17.435925949858699</v>
      </c>
      <c r="AL6735">
        <v>79.789092967608596</v>
      </c>
      <c r="AM6735">
        <v>85.783471343611595</v>
      </c>
      <c r="AN6735">
        <v>1.00000004425237</v>
      </c>
    </row>
    <row r="6736" spans="1:40" x14ac:dyDescent="0.25">
      <c r="A6736" t="str">
        <f>"20190303162434901"</f>
        <v>20190303162434901</v>
      </c>
      <c r="B6736" t="str">
        <f>"1551601474891888"</f>
        <v>1551601474891888</v>
      </c>
      <c r="C6736" t="s">
        <v>40</v>
      </c>
      <c r="D6736">
        <v>5.798654</v>
      </c>
      <c r="E6736">
        <v>0.51283400000000001</v>
      </c>
      <c r="F6736" t="s">
        <v>41</v>
      </c>
      <c r="G6736">
        <v>-185.75389999999999</v>
      </c>
      <c r="H6736" s="1">
        <v>-3.9928750000000003E-6</v>
      </c>
      <c r="I6736">
        <v>107.1846</v>
      </c>
      <c r="J6736">
        <v>-187.4716</v>
      </c>
      <c r="K6736">
        <v>1.121243</v>
      </c>
      <c r="L6736">
        <v>88.435490000000001</v>
      </c>
      <c r="M6736">
        <v>-9.4568310000000006E-3</v>
      </c>
      <c r="N6736">
        <v>-1.357176E-2</v>
      </c>
      <c r="O6736">
        <v>0.99986319999999995</v>
      </c>
      <c r="P6736">
        <v>6.5460610000000002E-2</v>
      </c>
      <c r="Q6736">
        <v>0.1629787</v>
      </c>
      <c r="R6736">
        <v>0.98445559999999999</v>
      </c>
      <c r="S6736">
        <v>0.2751923</v>
      </c>
      <c r="T6736">
        <v>-0.17997460000000001</v>
      </c>
      <c r="U6736">
        <v>3.059631</v>
      </c>
      <c r="V6736">
        <v>7.4600089999999994E-2</v>
      </c>
      <c r="W6736">
        <v>0.17638690000000001</v>
      </c>
      <c r="X6736">
        <v>0.98148999999999997</v>
      </c>
      <c r="Y6736">
        <v>9.8858310000000005E-2</v>
      </c>
      <c r="Z6736">
        <v>-4.4895919999999999E-2</v>
      </c>
      <c r="AA6736">
        <v>0.99408819999999998</v>
      </c>
      <c r="AB6736">
        <v>32</v>
      </c>
      <c r="AC6736">
        <v>1.7177</v>
      </c>
      <c r="AD6736">
        <v>-1.121246992875</v>
      </c>
      <c r="AE6736">
        <v>18.749110000000002</v>
      </c>
      <c r="AF6736">
        <v>1.8882498152548799</v>
      </c>
      <c r="AG6736">
        <v>-1.121246992875</v>
      </c>
      <c r="AH6736">
        <v>18.6658258691829</v>
      </c>
      <c r="AI6736">
        <v>93.420184682880404</v>
      </c>
      <c r="AJ6736">
        <v>84.223564211751494</v>
      </c>
      <c r="AK6736">
        <v>18.7945667032389</v>
      </c>
      <c r="AL6736">
        <v>79.840623454296505</v>
      </c>
      <c r="AM6736">
        <v>85.653478064209096</v>
      </c>
      <c r="AN6736">
        <v>1.0000000660098001</v>
      </c>
    </row>
    <row r="6737" spans="1:40" x14ac:dyDescent="0.25">
      <c r="A6737" t="str">
        <f>"20190303162434924"</f>
        <v>20190303162434924</v>
      </c>
      <c r="B6737" t="str">
        <f>"1551601474911409"</f>
        <v>1551601474911409</v>
      </c>
      <c r="C6737" t="s">
        <v>40</v>
      </c>
      <c r="D6737">
        <v>5.7403769999999996</v>
      </c>
      <c r="E6737">
        <v>0.51291279999999995</v>
      </c>
      <c r="F6737" t="s">
        <v>41</v>
      </c>
      <c r="G6737">
        <v>-185.74700000000001</v>
      </c>
      <c r="H6737" s="1">
        <v>-3.9895910000000003E-6</v>
      </c>
      <c r="I6737">
        <v>107.17400000000001</v>
      </c>
      <c r="J6737">
        <v>-187.4751</v>
      </c>
      <c r="K6737">
        <v>1.121227</v>
      </c>
      <c r="L6737">
        <v>88.744720000000001</v>
      </c>
      <c r="M6737">
        <v>-9.9237560000000006E-3</v>
      </c>
      <c r="N6737">
        <v>-1.356868E-2</v>
      </c>
      <c r="O6737">
        <v>0.99985869999999999</v>
      </c>
      <c r="P6737">
        <v>6.6816429999999996E-2</v>
      </c>
      <c r="Q6737">
        <v>0.16178809999999999</v>
      </c>
      <c r="R6737">
        <v>0.98456089999999996</v>
      </c>
      <c r="S6737">
        <v>0.28153990000000001</v>
      </c>
      <c r="T6737">
        <v>-0.18303700000000001</v>
      </c>
      <c r="U6737">
        <v>3.0589599999999999</v>
      </c>
      <c r="V6737">
        <v>7.6417639999999995E-2</v>
      </c>
      <c r="W6737">
        <v>0.1751955</v>
      </c>
      <c r="X6737">
        <v>0.98156350000000003</v>
      </c>
      <c r="Y6737">
        <v>0.101382</v>
      </c>
      <c r="Z6737">
        <v>-4.5889880000000001E-2</v>
      </c>
      <c r="AA6737">
        <v>0.99378860000000002</v>
      </c>
      <c r="AB6737">
        <v>32</v>
      </c>
      <c r="AC6737">
        <v>1.72809999999998</v>
      </c>
      <c r="AD6737">
        <v>-1.121230989591</v>
      </c>
      <c r="AE6737">
        <v>18.429279999999899</v>
      </c>
      <c r="AF6737">
        <v>1.90393348974194</v>
      </c>
      <c r="AG6737">
        <v>-1.121230989591</v>
      </c>
      <c r="AH6737">
        <v>18.343914011101202</v>
      </c>
      <c r="AI6737">
        <v>93.479082864874002</v>
      </c>
      <c r="AJ6737">
        <v>84.074429879437503</v>
      </c>
      <c r="AK6737">
        <v>18.476506783265499</v>
      </c>
      <c r="AL6737">
        <v>79.909964922837503</v>
      </c>
      <c r="AM6737">
        <v>85.548332518598102</v>
      </c>
      <c r="AN6737">
        <v>1.00000001172783</v>
      </c>
    </row>
    <row r="6738" spans="1:40" x14ac:dyDescent="0.25">
      <c r="A6738" t="str">
        <f>"20190303162434947"</f>
        <v>20190303162434947</v>
      </c>
      <c r="B6738" t="str">
        <f>"1551601474941664"</f>
        <v>1551601474941664</v>
      </c>
      <c r="C6738" t="s">
        <v>40</v>
      </c>
      <c r="D6738">
        <v>5.5121799999999999</v>
      </c>
      <c r="E6738">
        <v>0.51281639999999995</v>
      </c>
      <c r="F6738" t="s">
        <v>41</v>
      </c>
      <c r="G6738">
        <v>-185.7473</v>
      </c>
      <c r="H6738" s="1">
        <v>-4.0230679999999996E-6</v>
      </c>
      <c r="I6738">
        <v>107.2522</v>
      </c>
      <c r="J6738">
        <v>-187.47909999999999</v>
      </c>
      <c r="K6738">
        <v>1.121237</v>
      </c>
      <c r="L6738">
        <v>89.088350000000005</v>
      </c>
      <c r="M6738">
        <v>-1.044278E-2</v>
      </c>
      <c r="N6738">
        <v>-1.356514E-2</v>
      </c>
      <c r="O6738">
        <v>0.9998534</v>
      </c>
      <c r="P6738">
        <v>6.7783010000000005E-2</v>
      </c>
      <c r="Q6738">
        <v>0.16235620000000001</v>
      </c>
      <c r="R6738">
        <v>0.98440130000000003</v>
      </c>
      <c r="S6738">
        <v>0.28549190000000002</v>
      </c>
      <c r="T6738">
        <v>-0.18526790000000001</v>
      </c>
      <c r="U6738">
        <v>3.0581049999999999</v>
      </c>
      <c r="V6738">
        <v>7.7892900000000001E-2</v>
      </c>
      <c r="W6738">
        <v>0.17575839999999901</v>
      </c>
      <c r="X6738">
        <v>0.98134679999999996</v>
      </c>
      <c r="Y6738">
        <v>0.1031924</v>
      </c>
      <c r="Z6738">
        <v>-4.6622480000000001E-2</v>
      </c>
      <c r="AA6738">
        <v>0.99356820000000001</v>
      </c>
      <c r="AB6738">
        <v>32</v>
      </c>
      <c r="AC6738">
        <v>1.73179999999999</v>
      </c>
      <c r="AD6738">
        <v>-1.1212410230679899</v>
      </c>
      <c r="AE6738">
        <v>18.16385</v>
      </c>
      <c r="AF6738">
        <v>1.91417584405675</v>
      </c>
      <c r="AG6738">
        <v>-1.1212410230679899</v>
      </c>
      <c r="AH6738">
        <v>18.076512846166398</v>
      </c>
      <c r="AI6738">
        <v>93.5296827949917</v>
      </c>
      <c r="AJ6738">
        <v>83.955305606948002</v>
      </c>
      <c r="AK6738">
        <v>18.212126928818599</v>
      </c>
      <c r="AL6738">
        <v>79.877203976059306</v>
      </c>
      <c r="AM6738">
        <v>85.461749799429896</v>
      </c>
      <c r="AN6738">
        <v>0.99999993045560198</v>
      </c>
    </row>
    <row r="6739" spans="1:40" x14ac:dyDescent="0.25">
      <c r="A6739" t="str">
        <f>"20190303162434971"</f>
        <v>20190303162434971</v>
      </c>
      <c r="B6739" t="str">
        <f>"1551601474961186"</f>
        <v>1551601474961186</v>
      </c>
      <c r="C6739" t="s">
        <v>40</v>
      </c>
      <c r="D6739">
        <v>5.7316250000000002</v>
      </c>
      <c r="E6739">
        <v>0.51286279999999995</v>
      </c>
      <c r="F6739" t="s">
        <v>41</v>
      </c>
      <c r="G6739">
        <v>-185.70480000000001</v>
      </c>
      <c r="H6739" s="1">
        <v>-4.3284970000000003E-6</v>
      </c>
      <c r="I6739">
        <v>107.9466</v>
      </c>
      <c r="J6739">
        <v>-187.48310000000001</v>
      </c>
      <c r="K6739">
        <v>1.12124</v>
      </c>
      <c r="L6739">
        <v>89.420929999999998</v>
      </c>
      <c r="M6739">
        <v>-1.0945180000000001E-2</v>
      </c>
      <c r="N6739">
        <v>-1.356169E-2</v>
      </c>
      <c r="O6739">
        <v>0.99984810000000002</v>
      </c>
      <c r="P6739">
        <v>6.8648319999999999E-2</v>
      </c>
      <c r="Q6739">
        <v>0.16436819999999999</v>
      </c>
      <c r="R6739">
        <v>0.98400739999999998</v>
      </c>
      <c r="S6739">
        <v>0.28768919999999998</v>
      </c>
      <c r="T6739">
        <v>-0.18179999999999999</v>
      </c>
      <c r="U6739">
        <v>3.057709</v>
      </c>
      <c r="V6739">
        <v>7.9246430000000007E-2</v>
      </c>
      <c r="W6739">
        <v>0.17776239999999999</v>
      </c>
      <c r="X6739">
        <v>0.98087740000000001</v>
      </c>
      <c r="Y6739">
        <v>0.1044168</v>
      </c>
      <c r="Z6739">
        <v>-4.5503719999999998E-2</v>
      </c>
      <c r="AA6739">
        <v>0.99349209999999999</v>
      </c>
      <c r="AB6739">
        <v>32</v>
      </c>
      <c r="AC6739">
        <v>1.7783</v>
      </c>
      <c r="AD6739">
        <v>-1.121244328497</v>
      </c>
      <c r="AE6739">
        <v>18.525670000000002</v>
      </c>
      <c r="AF6739">
        <v>1.97381457681851</v>
      </c>
      <c r="AG6739">
        <v>-1.121244328497</v>
      </c>
      <c r="AH6739">
        <v>18.438169698300801</v>
      </c>
      <c r="AI6739">
        <v>93.460209024872299</v>
      </c>
      <c r="AJ6739">
        <v>83.889730279133701</v>
      </c>
      <c r="AK6739">
        <v>18.577385032646198</v>
      </c>
      <c r="AL6739">
        <v>79.760546718056702</v>
      </c>
      <c r="AM6739">
        <v>85.381027705748707</v>
      </c>
      <c r="AN6739">
        <v>0.999999970676132</v>
      </c>
    </row>
    <row r="6740" spans="1:40" x14ac:dyDescent="0.25">
      <c r="A6740" t="str">
        <f>"20190303162434991"</f>
        <v>20190303162434991</v>
      </c>
      <c r="B6740" t="str">
        <f>"1551601474981212"</f>
        <v>1551601474981212</v>
      </c>
      <c r="C6740" t="s">
        <v>40</v>
      </c>
      <c r="D6740">
        <v>5.4509359999999996</v>
      </c>
      <c r="E6740">
        <v>0.5127429</v>
      </c>
      <c r="F6740" t="s">
        <v>41</v>
      </c>
      <c r="G6740">
        <v>-185.61170000000001</v>
      </c>
      <c r="H6740" s="1">
        <v>-4.8215579999999998E-6</v>
      </c>
      <c r="I6740">
        <v>109.0575</v>
      </c>
      <c r="J6740">
        <v>-187.48670000000001</v>
      </c>
      <c r="K6740">
        <v>1.121237</v>
      </c>
      <c r="L6740">
        <v>89.706879999999998</v>
      </c>
      <c r="M6740">
        <v>-1.1377129999999999E-2</v>
      </c>
      <c r="N6740">
        <v>-1.3558779999999999E-2</v>
      </c>
      <c r="O6740">
        <v>0.99984340000000005</v>
      </c>
      <c r="P6740">
        <v>6.9730539999999994E-2</v>
      </c>
      <c r="Q6740">
        <v>0.16518150000000001</v>
      </c>
      <c r="R6740">
        <v>0.98379499999999998</v>
      </c>
      <c r="S6740">
        <v>0.29138180000000002</v>
      </c>
      <c r="T6740">
        <v>-0.17458799999999999</v>
      </c>
      <c r="U6740">
        <v>3.0575869999999998</v>
      </c>
      <c r="V6740">
        <v>8.0750340000000004E-2</v>
      </c>
      <c r="W6740">
        <v>0.17857039999999999</v>
      </c>
      <c r="X6740">
        <v>0.98060800000000004</v>
      </c>
      <c r="Y6740">
        <v>0.1060499</v>
      </c>
      <c r="Z6740">
        <v>-4.3163399999999998E-2</v>
      </c>
      <c r="AA6740">
        <v>0.99342350000000001</v>
      </c>
      <c r="AB6740">
        <v>32</v>
      </c>
      <c r="AC6740">
        <v>1.875</v>
      </c>
      <c r="AD6740">
        <v>-1.121241821558</v>
      </c>
      <c r="AE6740">
        <v>19.350619999999999</v>
      </c>
      <c r="AF6740">
        <v>2.0881078764611098</v>
      </c>
      <c r="AG6740">
        <v>-1.121241821558</v>
      </c>
      <c r="AH6740">
        <v>19.263957226240301</v>
      </c>
      <c r="AI6740">
        <v>93.311737584790805</v>
      </c>
      <c r="AJ6740">
        <v>83.813603375507697</v>
      </c>
      <c r="AK6740">
        <v>19.409209817521301</v>
      </c>
      <c r="AL6740">
        <v>79.713499569099795</v>
      </c>
      <c r="AM6740">
        <v>85.292473504146301</v>
      </c>
      <c r="AN6740">
        <v>1.0000000274151299</v>
      </c>
    </row>
    <row r="6741" spans="1:40" x14ac:dyDescent="0.25">
      <c r="A6741" t="str">
        <f>"20190303162435013"</f>
        <v>20190303162435013</v>
      </c>
      <c r="B6741" t="str">
        <f>"1551601475001707"</f>
        <v>1551601475001707</v>
      </c>
      <c r="C6741" t="s">
        <v>40</v>
      </c>
      <c r="D6741">
        <v>5.8141879999999997</v>
      </c>
      <c r="E6741">
        <v>0.51282510000000003</v>
      </c>
      <c r="F6741" t="s">
        <v>41</v>
      </c>
      <c r="G6741">
        <v>-185.55029999999999</v>
      </c>
      <c r="H6741" s="1">
        <v>-1.258687E-6</v>
      </c>
      <c r="I6741">
        <v>109.8677</v>
      </c>
      <c r="J6741">
        <v>-187.4906</v>
      </c>
      <c r="K6741">
        <v>1.1212249999999999</v>
      </c>
      <c r="L6741">
        <v>90.006129999999999</v>
      </c>
      <c r="M6741">
        <v>-1.1829350000000001E-2</v>
      </c>
      <c r="N6741">
        <v>-1.355584E-2</v>
      </c>
      <c r="O6741">
        <v>0.99983809999999995</v>
      </c>
      <c r="P6741">
        <v>7.0892259999999999E-2</v>
      </c>
      <c r="Q6741">
        <v>0.16459779999999999</v>
      </c>
      <c r="R6741">
        <v>0.98380990000000001</v>
      </c>
      <c r="S6741">
        <v>0.29362490000000002</v>
      </c>
      <c r="T6741">
        <v>-0.17002320000000001</v>
      </c>
      <c r="U6741">
        <v>3.057159</v>
      </c>
      <c r="V6741">
        <v>8.23575E-2</v>
      </c>
      <c r="W6741">
        <v>0.1779849</v>
      </c>
      <c r="X6741">
        <v>0.98058069999999997</v>
      </c>
      <c r="Y6741">
        <v>0.1072414</v>
      </c>
      <c r="Z6741">
        <v>-4.168856E-2</v>
      </c>
      <c r="AA6741">
        <v>0.99335859999999998</v>
      </c>
      <c r="AB6741">
        <v>31</v>
      </c>
      <c r="AC6741">
        <v>1.9402999999999999</v>
      </c>
      <c r="AD6741">
        <v>-1.1212262586870001</v>
      </c>
      <c r="AE6741">
        <v>19.86157</v>
      </c>
      <c r="AF6741">
        <v>2.1682906177499901</v>
      </c>
      <c r="AG6741">
        <v>-1.1212262586870001</v>
      </c>
      <c r="AH6741">
        <v>19.774802187157199</v>
      </c>
      <c r="AI6741">
        <v>93.225888321340193</v>
      </c>
      <c r="AJ6741">
        <v>83.742563113005005</v>
      </c>
      <c r="AK6741">
        <v>19.924894832028301</v>
      </c>
      <c r="AL6741">
        <v>79.747591561702706</v>
      </c>
      <c r="AM6741">
        <v>85.199081058702404</v>
      </c>
      <c r="AN6741">
        <v>0.99999994582337304</v>
      </c>
    </row>
    <row r="6742" spans="1:40" x14ac:dyDescent="0.25">
      <c r="A6742" t="str">
        <f>"20190303162435035"</f>
        <v>20190303162435035</v>
      </c>
      <c r="B6742" t="str">
        <f>"1551601475021227"</f>
        <v>1551601475021227</v>
      </c>
      <c r="C6742" t="s">
        <v>40</v>
      </c>
      <c r="D6742">
        <v>5.4731620000000003</v>
      </c>
      <c r="E6742">
        <v>0.51287190000000005</v>
      </c>
      <c r="F6742" t="s">
        <v>41</v>
      </c>
      <c r="G6742">
        <v>-185.5461</v>
      </c>
      <c r="H6742" s="1">
        <v>-1.3185200000000001E-6</v>
      </c>
      <c r="I6742">
        <v>110.0402</v>
      </c>
      <c r="J6742">
        <v>-187.4949</v>
      </c>
      <c r="K6742">
        <v>1.121227</v>
      </c>
      <c r="L6742">
        <v>90.331090000000003</v>
      </c>
      <c r="M6742">
        <v>-1.2320390000000001E-2</v>
      </c>
      <c r="N6742">
        <v>-1.3552689999999999E-2</v>
      </c>
      <c r="O6742">
        <v>0.99983230000000001</v>
      </c>
      <c r="P6742">
        <v>7.1576329999999994E-2</v>
      </c>
      <c r="Q6742">
        <v>0.16353699999999999</v>
      </c>
      <c r="R6742">
        <v>0.98393719999999996</v>
      </c>
      <c r="S6742">
        <v>0.29667660000000001</v>
      </c>
      <c r="T6742">
        <v>-0.1710682</v>
      </c>
      <c r="U6742">
        <v>3.0566409999999999</v>
      </c>
      <c r="V6742">
        <v>8.3527089999999998E-2</v>
      </c>
      <c r="W6742">
        <v>0.17692289999999999</v>
      </c>
      <c r="X6742">
        <v>0.98067400000000005</v>
      </c>
      <c r="Y6742">
        <v>0.1087259</v>
      </c>
      <c r="Z6742">
        <v>-4.2031689999999997E-2</v>
      </c>
      <c r="AA6742">
        <v>0.99318280000000003</v>
      </c>
      <c r="AB6742">
        <v>31</v>
      </c>
      <c r="AC6742">
        <v>1.9488000000000001</v>
      </c>
      <c r="AD6742">
        <v>-1.12122831852</v>
      </c>
      <c r="AE6742">
        <v>19.7091099999999</v>
      </c>
      <c r="AF6742">
        <v>2.1844969518119699</v>
      </c>
      <c r="AG6742">
        <v>-1.12122831852</v>
      </c>
      <c r="AH6742">
        <v>19.620717155857999</v>
      </c>
      <c r="AI6742">
        <v>93.250576230057206</v>
      </c>
      <c r="AJ6742">
        <v>83.6470667142774</v>
      </c>
      <c r="AK6742">
        <v>19.7737634653828</v>
      </c>
      <c r="AL6742">
        <v>79.8094214368802</v>
      </c>
      <c r="AM6742">
        <v>85.131687838923199</v>
      </c>
      <c r="AN6742">
        <v>0.99999999079213897</v>
      </c>
    </row>
    <row r="6743" spans="1:40" x14ac:dyDescent="0.25">
      <c r="A6743" t="str">
        <f>"20190303162435059"</f>
        <v>20190303162435059</v>
      </c>
      <c r="B6743" t="str">
        <f>"1551601475051483"</f>
        <v>1551601475051483</v>
      </c>
      <c r="C6743" t="s">
        <v>40</v>
      </c>
      <c r="D6743">
        <v>5.4599270000000004</v>
      </c>
      <c r="E6743">
        <v>0.51274399999999998</v>
      </c>
      <c r="F6743" t="s">
        <v>41</v>
      </c>
      <c r="G6743">
        <v>-185.56970000000001</v>
      </c>
      <c r="H6743" s="1">
        <v>-1.2935260000000001E-6</v>
      </c>
      <c r="I6743">
        <v>109.98520000000001</v>
      </c>
      <c r="J6743">
        <v>-187.49930000000001</v>
      </c>
      <c r="K6743">
        <v>1.1212279999999999</v>
      </c>
      <c r="L6743">
        <v>90.643860000000004</v>
      </c>
      <c r="M6743">
        <v>-1.2793199999999999E-2</v>
      </c>
      <c r="N6743">
        <v>-1.3549759999999999E-2</v>
      </c>
      <c r="O6743">
        <v>0.9998264</v>
      </c>
      <c r="P6743">
        <v>7.2408790000000001E-2</v>
      </c>
      <c r="Q6743">
        <v>0.1639022</v>
      </c>
      <c r="R6743">
        <v>0.98381560000000001</v>
      </c>
      <c r="S6743">
        <v>0.29937740000000002</v>
      </c>
      <c r="T6743">
        <v>-0.17434929999999901</v>
      </c>
      <c r="U6743">
        <v>3.0561829999999999</v>
      </c>
      <c r="V6743">
        <v>8.4822670000000003E-2</v>
      </c>
      <c r="W6743">
        <v>0.17728429999999901</v>
      </c>
      <c r="X6743">
        <v>0.98049750000000002</v>
      </c>
      <c r="Y6743">
        <v>0.1100738</v>
      </c>
      <c r="Z6743">
        <v>-4.30988E-2</v>
      </c>
      <c r="AA6743">
        <v>0.99298850000000005</v>
      </c>
      <c r="AB6743">
        <v>31</v>
      </c>
      <c r="AC6743">
        <v>1.92959999999999</v>
      </c>
      <c r="AD6743">
        <v>-1.121229293526</v>
      </c>
      <c r="AE6743">
        <v>19.341339999999999</v>
      </c>
      <c r="AF6743">
        <v>2.16968283588308</v>
      </c>
      <c r="AG6743">
        <v>-1.121229293526</v>
      </c>
      <c r="AH6743">
        <v>19.251011643336401</v>
      </c>
      <c r="AI6743">
        <v>93.312366507318501</v>
      </c>
      <c r="AJ6743">
        <v>83.569621842669505</v>
      </c>
      <c r="AK6743">
        <v>19.405311850853199</v>
      </c>
      <c r="AL6743">
        <v>79.788382024765099</v>
      </c>
      <c r="AM6743">
        <v>85.055661847584602</v>
      </c>
      <c r="AN6743">
        <v>0.99999997793933404</v>
      </c>
    </row>
    <row r="6744" spans="1:40" x14ac:dyDescent="0.25">
      <c r="A6744" t="str">
        <f>"20190303162435080"</f>
        <v>20190303162435080</v>
      </c>
      <c r="B6744" t="str">
        <f>"1551601475071510"</f>
        <v>1551601475071510</v>
      </c>
      <c r="C6744" t="s">
        <v>40</v>
      </c>
      <c r="D6744">
        <v>5.647526</v>
      </c>
      <c r="E6744">
        <v>0.51216609999999996</v>
      </c>
      <c r="F6744" t="s">
        <v>41</v>
      </c>
      <c r="G6744">
        <v>-185.53739999999999</v>
      </c>
      <c r="H6744" s="1">
        <v>-1.4984989999999999E-6</v>
      </c>
      <c r="I6744">
        <v>110.56229999999999</v>
      </c>
      <c r="J6744">
        <v>-187.50370000000001</v>
      </c>
      <c r="K6744">
        <v>1.1212329999999999</v>
      </c>
      <c r="L6744">
        <v>90.950410000000005</v>
      </c>
      <c r="M6744">
        <v>-1.325663E-2</v>
      </c>
      <c r="N6744">
        <v>-1.354696E-2</v>
      </c>
      <c r="O6744">
        <v>0.99982040000000005</v>
      </c>
      <c r="P6744">
        <v>7.35045E-2</v>
      </c>
      <c r="Q6744">
        <v>0.164000799999999</v>
      </c>
      <c r="R6744">
        <v>0.98371790000000003</v>
      </c>
      <c r="S6744">
        <v>0.30099490000000001</v>
      </c>
      <c r="T6744">
        <v>-0.17201710000000001</v>
      </c>
      <c r="U6744">
        <v>3.055847</v>
      </c>
      <c r="V6744">
        <v>8.6372690000000002E-2</v>
      </c>
      <c r="W6744">
        <v>0.1773795</v>
      </c>
      <c r="X6744">
        <v>0.98034500000000002</v>
      </c>
      <c r="Y6744">
        <v>0.1110688</v>
      </c>
      <c r="Z6744">
        <v>-4.2346500000000002E-2</v>
      </c>
      <c r="AA6744">
        <v>0.99291010000000002</v>
      </c>
      <c r="AB6744">
        <v>31</v>
      </c>
      <c r="AC6744">
        <v>1.9663000000000099</v>
      </c>
      <c r="AD6744">
        <v>-1.1212344984989999</v>
      </c>
      <c r="AE6744">
        <v>19.611889999999999</v>
      </c>
      <c r="AF6744">
        <v>2.2189580250365299</v>
      </c>
      <c r="AG6744">
        <v>-1.1212344984989999</v>
      </c>
      <c r="AH6744">
        <v>19.520927460537301</v>
      </c>
      <c r="AI6744">
        <v>93.266329612662403</v>
      </c>
      <c r="AJ6744">
        <v>83.514982513555097</v>
      </c>
      <c r="AK6744">
        <v>19.678606415014698</v>
      </c>
      <c r="AL6744">
        <v>79.782840099240303</v>
      </c>
      <c r="AM6744">
        <v>84.964991804072696</v>
      </c>
      <c r="AN6744">
        <v>1.0000000238115401</v>
      </c>
    </row>
    <row r="6745" spans="1:40" x14ac:dyDescent="0.25">
      <c r="A6745" t="str">
        <f>"20190303162435101"</f>
        <v>20190303162435101</v>
      </c>
      <c r="B6745" t="str">
        <f>"1551601475092005"</f>
        <v>1551601475092005</v>
      </c>
      <c r="C6745" t="s">
        <v>40</v>
      </c>
      <c r="D6745">
        <v>5.4101429999999997</v>
      </c>
      <c r="E6745">
        <v>0.49118689999999998</v>
      </c>
      <c r="F6745" t="s">
        <v>41</v>
      </c>
      <c r="G6745">
        <v>-185.553</v>
      </c>
      <c r="H6745" s="1">
        <v>-1.6083820000000001E-6</v>
      </c>
      <c r="I6745">
        <v>110.8974</v>
      </c>
      <c r="J6745">
        <v>-187.50829999999999</v>
      </c>
      <c r="K6745">
        <v>1.121235</v>
      </c>
      <c r="L6745">
        <v>91.254360000000005</v>
      </c>
      <c r="M6745">
        <v>-1.371617E-2</v>
      </c>
      <c r="N6745">
        <v>-1.354434E-2</v>
      </c>
      <c r="O6745">
        <v>0.99981419999999999</v>
      </c>
      <c r="P6745">
        <v>7.3224570000000003E-2</v>
      </c>
      <c r="Q6745">
        <v>0.16423779999999999</v>
      </c>
      <c r="R6745">
        <v>0.9836992</v>
      </c>
      <c r="S6745">
        <v>0.29885859999999997</v>
      </c>
      <c r="T6745">
        <v>-0.1717784</v>
      </c>
      <c r="U6745">
        <v>3.0559690000000002</v>
      </c>
      <c r="V6745">
        <v>8.6544189999999993E-2</v>
      </c>
      <c r="W6745">
        <v>0.17761270000000001</v>
      </c>
      <c r="X6745">
        <v>0.98028760000000004</v>
      </c>
      <c r="Y6745">
        <v>0.11083469999999999</v>
      </c>
      <c r="Z6745">
        <v>-4.227144E-2</v>
      </c>
      <c r="AA6745">
        <v>0.99293949999999997</v>
      </c>
      <c r="AB6745">
        <v>31</v>
      </c>
      <c r="AC6745">
        <v>1.95529999999999</v>
      </c>
      <c r="AD6745">
        <v>-1.121236608382</v>
      </c>
      <c r="AE6745">
        <v>19.643039999999999</v>
      </c>
      <c r="AF6745">
        <v>2.2174141350367398</v>
      </c>
      <c r="AG6745">
        <v>-1.121236608382</v>
      </c>
      <c r="AH6745">
        <v>19.551293196547899</v>
      </c>
      <c r="AI6745">
        <v>93.261366864595502</v>
      </c>
      <c r="AJ6745">
        <v>83.529435925369896</v>
      </c>
      <c r="AK6745">
        <v>19.708555569488599</v>
      </c>
      <c r="AL6745">
        <v>79.7692626204703</v>
      </c>
      <c r="AM6745">
        <v>84.954752049459302</v>
      </c>
      <c r="AN6745">
        <v>0.99999997336890201</v>
      </c>
    </row>
    <row r="6746" spans="1:40" x14ac:dyDescent="0.25">
      <c r="A6746" t="str">
        <f>"20190303162435126"</f>
        <v>20190303162435126</v>
      </c>
      <c r="B6746" t="str">
        <f>"1551601475111525"</f>
        <v>1551601475111525</v>
      </c>
      <c r="C6746" t="s">
        <v>40</v>
      </c>
      <c r="D6746">
        <v>5.5838150000000004</v>
      </c>
      <c r="E6746">
        <v>0.49048599999999998</v>
      </c>
      <c r="F6746" t="s">
        <v>41</v>
      </c>
      <c r="G6746">
        <v>-186.84690000000001</v>
      </c>
      <c r="H6746" s="1">
        <v>-3.7187180000000001E-6</v>
      </c>
      <c r="I6746">
        <v>106.9974</v>
      </c>
      <c r="J6746">
        <v>-187.51320000000001</v>
      </c>
      <c r="K6746">
        <v>1.121237</v>
      </c>
      <c r="L6746">
        <v>91.575869999999995</v>
      </c>
      <c r="M6746">
        <v>-1.42024E-2</v>
      </c>
      <c r="N6746">
        <v>-1.354167E-2</v>
      </c>
      <c r="O6746">
        <v>0.99980740000000001</v>
      </c>
      <c r="P6746">
        <v>7.3286970000000007E-2</v>
      </c>
      <c r="Q6746">
        <v>0.16415070000000001</v>
      </c>
      <c r="R6746">
        <v>0.9837091</v>
      </c>
      <c r="S6746">
        <v>0.12925719999999999</v>
      </c>
      <c r="T6746">
        <v>-0.2191255</v>
      </c>
      <c r="U6746">
        <v>3.0766909999999998</v>
      </c>
      <c r="V6746">
        <v>8.7084930000000005E-2</v>
      </c>
      <c r="W6746">
        <v>0.17752309999999999</v>
      </c>
      <c r="X6746">
        <v>0.98025600000000002</v>
      </c>
      <c r="Y6746">
        <v>5.6060230000000003E-2</v>
      </c>
      <c r="Z6746">
        <v>-5.7425450000000003E-2</v>
      </c>
      <c r="AA6746">
        <v>0.99677459999999996</v>
      </c>
      <c r="AB6746">
        <v>31</v>
      </c>
      <c r="AC6746">
        <v>0.666300000000006</v>
      </c>
      <c r="AD6746">
        <v>-1.121240718718</v>
      </c>
      <c r="AE6746">
        <v>15.421530000000001</v>
      </c>
      <c r="AF6746">
        <v>0.88062911672046196</v>
      </c>
      <c r="AG6746">
        <v>-1.121240718718</v>
      </c>
      <c r="AH6746">
        <v>15.329626053892399</v>
      </c>
      <c r="AI6746">
        <v>94.176422041545806</v>
      </c>
      <c r="AJ6746">
        <v>86.712187365189294</v>
      </c>
      <c r="AK6746">
        <v>15.395782647942999</v>
      </c>
      <c r="AL6746">
        <v>79.774479815402302</v>
      </c>
      <c r="AM6746">
        <v>84.923230068434705</v>
      </c>
      <c r="AN6746">
        <v>1.0000000308013499</v>
      </c>
    </row>
    <row r="6747" spans="1:40" x14ac:dyDescent="0.25">
      <c r="A6747" t="str">
        <f>"20190303162435148"</f>
        <v>20190303162435148</v>
      </c>
      <c r="B6747" t="str">
        <f>"1551601475141782"</f>
        <v>1551601475141782</v>
      </c>
      <c r="C6747" t="s">
        <v>40</v>
      </c>
      <c r="D6747">
        <v>5.643974</v>
      </c>
      <c r="E6747">
        <v>0.49096840000000003</v>
      </c>
      <c r="F6747" t="s">
        <v>42</v>
      </c>
      <c r="G6747">
        <v>-187.47309999999999</v>
      </c>
      <c r="H6747">
        <v>1.0515680000000001</v>
      </c>
      <c r="I6747">
        <v>92.564390000000003</v>
      </c>
      <c r="J6747">
        <v>-187.51859999999999</v>
      </c>
      <c r="K6747">
        <v>1.121229</v>
      </c>
      <c r="L6747">
        <v>91.912319999999994</v>
      </c>
      <c r="M6747">
        <v>-1.471124E-2</v>
      </c>
      <c r="N6747">
        <v>-1.3538909999999999E-2</v>
      </c>
      <c r="O6747">
        <v>0.99980009999999997</v>
      </c>
      <c r="P6747">
        <v>7.2989419999999999E-2</v>
      </c>
      <c r="Q6747">
        <v>0.1636474</v>
      </c>
      <c r="R6747">
        <v>0.98381510000000005</v>
      </c>
      <c r="S6747">
        <v>0.12414550000000001</v>
      </c>
      <c r="T6747">
        <v>-0.2169026</v>
      </c>
      <c r="U6747">
        <v>3.0766300000000002</v>
      </c>
      <c r="V6747">
        <v>8.7289770000000003E-2</v>
      </c>
      <c r="W6747">
        <v>0.1770186</v>
      </c>
      <c r="X6747">
        <v>0.98032900000000001</v>
      </c>
      <c r="Y6747">
        <v>5.4918429999999997E-2</v>
      </c>
      <c r="Z6747">
        <v>-5.6716750000000003E-2</v>
      </c>
      <c r="AA6747">
        <v>0.99687870000000001</v>
      </c>
      <c r="AB6747">
        <v>31</v>
      </c>
      <c r="AC6747">
        <v>4.5500000000004003E-2</v>
      </c>
      <c r="AD6747">
        <v>-6.9660999999999904E-2</v>
      </c>
      <c r="AE6747">
        <v>0.65207000000000903</v>
      </c>
      <c r="AF6747">
        <v>5.4470070892744603E-2</v>
      </c>
      <c r="AG6747">
        <v>-6.9660999999999904E-2</v>
      </c>
      <c r="AH6747">
        <v>0.64401561263305296</v>
      </c>
      <c r="AI6747">
        <v>96.151694740600107</v>
      </c>
      <c r="AJ6747">
        <v>85.165497521284394</v>
      </c>
      <c r="AK6747">
        <v>0.650058268818409</v>
      </c>
      <c r="AL6747">
        <v>79.803850581657798</v>
      </c>
      <c r="AM6747">
        <v>84.911728117940598</v>
      </c>
      <c r="AN6747">
        <v>1.0000000184668001</v>
      </c>
    </row>
    <row r="6748" spans="1:40" x14ac:dyDescent="0.25">
      <c r="A6748" t="str">
        <f>"20190303162435170"</f>
        <v>20190303162435170</v>
      </c>
      <c r="B6748" t="str">
        <f>"1551601475161301"</f>
        <v>1551601475161301</v>
      </c>
      <c r="C6748" t="s">
        <v>40</v>
      </c>
      <c r="D6748">
        <v>5.6477069999999996</v>
      </c>
      <c r="E6748">
        <v>0.49119499999999999</v>
      </c>
      <c r="F6748" t="s">
        <v>41</v>
      </c>
      <c r="G6748">
        <v>-186.874</v>
      </c>
      <c r="H6748" s="1">
        <v>-3.943937E-6</v>
      </c>
      <c r="I6748">
        <v>107.53360000000001</v>
      </c>
      <c r="J6748">
        <v>-187.52350000000001</v>
      </c>
      <c r="K6748">
        <v>1.121224</v>
      </c>
      <c r="L6748">
        <v>92.214420000000004</v>
      </c>
      <c r="M6748">
        <v>-1.5168299999999999E-2</v>
      </c>
      <c r="N6748">
        <v>-1.353642E-2</v>
      </c>
      <c r="O6748">
        <v>0.99979340000000005</v>
      </c>
      <c r="P6748">
        <v>7.2507249999999995E-2</v>
      </c>
      <c r="Q6748">
        <v>0.1625654</v>
      </c>
      <c r="R6748">
        <v>0.98403010000000002</v>
      </c>
      <c r="S6748">
        <v>0.12693789999999999</v>
      </c>
      <c r="T6748">
        <v>-0.22082959999999999</v>
      </c>
      <c r="U6748">
        <v>3.07666</v>
      </c>
      <c r="V6748">
        <v>8.7261430000000001E-2</v>
      </c>
      <c r="W6748">
        <v>0.17593629999999999</v>
      </c>
      <c r="X6748">
        <v>0.98052629999999996</v>
      </c>
      <c r="Y6748">
        <v>5.6273459999999997E-2</v>
      </c>
      <c r="Z6748">
        <v>-5.797977E-2</v>
      </c>
      <c r="AA6748">
        <v>0.99673049999999996</v>
      </c>
      <c r="AB6748">
        <v>31</v>
      </c>
      <c r="AC6748">
        <v>0.64949999999998898</v>
      </c>
      <c r="AD6748">
        <v>-1.1212279439370001</v>
      </c>
      <c r="AE6748">
        <v>15.319179999999999</v>
      </c>
      <c r="AF6748">
        <v>0.87712219615886799</v>
      </c>
      <c r="AG6748">
        <v>-1.1212279439370001</v>
      </c>
      <c r="AH6748">
        <v>15.226145374044901</v>
      </c>
      <c r="AI6748">
        <v>94.204618398533995</v>
      </c>
      <c r="AJ6748">
        <v>86.703044762790597</v>
      </c>
      <c r="AK6748">
        <v>15.292547152152601</v>
      </c>
      <c r="AL6748">
        <v>79.866850237113596</v>
      </c>
      <c r="AM6748">
        <v>84.914389593372604</v>
      </c>
      <c r="AN6748">
        <v>0.99999998190751205</v>
      </c>
    </row>
    <row r="6749" spans="1:40" x14ac:dyDescent="0.25">
      <c r="A6749" t="str">
        <f>"20190303162435192"</f>
        <v>20190303162435192</v>
      </c>
      <c r="B6749" t="str">
        <f>"1551601475181328"</f>
        <v>1551601475181328</v>
      </c>
      <c r="C6749" t="s">
        <v>40</v>
      </c>
      <c r="D6749">
        <v>5.769126</v>
      </c>
      <c r="E6749">
        <v>0.4915099</v>
      </c>
      <c r="F6749" t="s">
        <v>41</v>
      </c>
      <c r="G6749">
        <v>-186.8897</v>
      </c>
      <c r="H6749" s="1">
        <v>-3.9655880000000003E-6</v>
      </c>
      <c r="I6749">
        <v>107.59059999999999</v>
      </c>
      <c r="J6749">
        <v>-187.52850000000001</v>
      </c>
      <c r="K6749">
        <v>1.121219</v>
      </c>
      <c r="L6749">
        <v>92.510249999999999</v>
      </c>
      <c r="M6749">
        <v>-1.561597E-2</v>
      </c>
      <c r="N6749">
        <v>-1.353407E-2</v>
      </c>
      <c r="O6749">
        <v>0.99978639999999996</v>
      </c>
      <c r="P6749">
        <v>7.2203580000000003E-2</v>
      </c>
      <c r="Q6749">
        <v>0.1620297</v>
      </c>
      <c r="R6749">
        <v>0.98414080000000004</v>
      </c>
      <c r="S6749">
        <v>0.12681580000000001</v>
      </c>
      <c r="T6749">
        <v>-0.2243319</v>
      </c>
      <c r="U6749">
        <v>3.076416</v>
      </c>
      <c r="V6749">
        <v>8.7400409999999998E-2</v>
      </c>
      <c r="W6749">
        <v>0.17539929999999901</v>
      </c>
      <c r="X6749">
        <v>0.98061010000000004</v>
      </c>
      <c r="Y6749">
        <v>5.6680870000000001E-2</v>
      </c>
      <c r="Z6749">
        <v>-5.911508E-2</v>
      </c>
      <c r="AA6749">
        <v>0.99664070000000005</v>
      </c>
      <c r="AB6749">
        <v>31</v>
      </c>
      <c r="AC6749">
        <v>0.63880000000000303</v>
      </c>
      <c r="AD6749">
        <v>-1.1212229655879999</v>
      </c>
      <c r="AE6749">
        <v>15.0803499999999</v>
      </c>
      <c r="AF6749">
        <v>0.86944038978459703</v>
      </c>
      <c r="AG6749">
        <v>-1.1212229655879999</v>
      </c>
      <c r="AH6749">
        <v>14.985842378163699</v>
      </c>
      <c r="AI6749">
        <v>94.271673525581804</v>
      </c>
      <c r="AJ6749">
        <v>86.679567081295005</v>
      </c>
      <c r="AK6749">
        <v>15.0528581775395</v>
      </c>
      <c r="AL6749">
        <v>79.898103831998696</v>
      </c>
      <c r="AM6749">
        <v>84.906765392586806</v>
      </c>
      <c r="AN6749">
        <v>0.99999995716533296</v>
      </c>
    </row>
    <row r="6750" spans="1:40" x14ac:dyDescent="0.25">
      <c r="A6750" t="str">
        <f>"20190303162435213"</f>
        <v>20190303162435213</v>
      </c>
      <c r="B6750" t="str">
        <f>"1551601475201824"</f>
        <v>1551601475201824</v>
      </c>
      <c r="C6750" t="s">
        <v>40</v>
      </c>
      <c r="D6750">
        <v>5.6396189999999997</v>
      </c>
      <c r="E6750">
        <v>0.49158560000000001</v>
      </c>
      <c r="F6750" t="s">
        <v>41</v>
      </c>
      <c r="G6750">
        <v>-186.887</v>
      </c>
      <c r="H6750" s="1">
        <v>-4.0869450000000004E-6</v>
      </c>
      <c r="I6750">
        <v>107.8724</v>
      </c>
      <c r="J6750">
        <v>-187.53380000000001</v>
      </c>
      <c r="K6750">
        <v>1.1212299999999999</v>
      </c>
      <c r="L6750">
        <v>92.818569999999994</v>
      </c>
      <c r="M6750">
        <v>-1.608273E-2</v>
      </c>
      <c r="N6750">
        <v>-1.353175E-2</v>
      </c>
      <c r="O6750">
        <v>0.99977910000000003</v>
      </c>
      <c r="P6750">
        <v>7.2016449999999996E-2</v>
      </c>
      <c r="Q6750">
        <v>0.1626425</v>
      </c>
      <c r="R6750">
        <v>0.98405339999999997</v>
      </c>
      <c r="S6750">
        <v>0.1284332</v>
      </c>
      <c r="T6750">
        <v>-0.2244959</v>
      </c>
      <c r="U6750">
        <v>3.0758670000000001</v>
      </c>
      <c r="V6750">
        <v>8.7670479999999995E-2</v>
      </c>
      <c r="W6750">
        <v>0.1760081</v>
      </c>
      <c r="X6750">
        <v>0.98047689999999998</v>
      </c>
      <c r="Y6750">
        <v>5.7676690000000003E-2</v>
      </c>
      <c r="Z6750">
        <v>-5.9179320000000001E-2</v>
      </c>
      <c r="AA6750">
        <v>0.99657980000000002</v>
      </c>
      <c r="AB6750">
        <v>31</v>
      </c>
      <c r="AC6750">
        <v>0.64680000000001303</v>
      </c>
      <c r="AD6750">
        <v>-1.1212340869449999</v>
      </c>
      <c r="AE6750">
        <v>15.05383</v>
      </c>
      <c r="AF6750">
        <v>0.88395048775663798</v>
      </c>
      <c r="AG6750">
        <v>-1.1212340869449999</v>
      </c>
      <c r="AH6750">
        <v>14.958648951448801</v>
      </c>
      <c r="AI6750">
        <v>94.279184924334103</v>
      </c>
      <c r="AJ6750">
        <v>86.618156936488106</v>
      </c>
      <c r="AK6750">
        <v>15.0266334484878</v>
      </c>
      <c r="AL6750">
        <v>79.862670940418198</v>
      </c>
      <c r="AM6750">
        <v>84.8904199187144</v>
      </c>
      <c r="AN6750">
        <v>0.99999995788132401</v>
      </c>
    </row>
    <row r="6751" spans="1:40" x14ac:dyDescent="0.25">
      <c r="A6751" t="str">
        <f>"20190303162435236"</f>
        <v>20190303162435236</v>
      </c>
      <c r="B6751" t="str">
        <f>"1551601475231105"</f>
        <v>1551601475231105</v>
      </c>
      <c r="C6751" t="s">
        <v>40</v>
      </c>
      <c r="D6751">
        <v>5.643205</v>
      </c>
      <c r="E6751">
        <v>0.4917126</v>
      </c>
      <c r="F6751" t="s">
        <v>41</v>
      </c>
      <c r="G6751">
        <v>-186.887</v>
      </c>
      <c r="H6751" s="1">
        <v>-4.2498060000000001E-6</v>
      </c>
      <c r="I6751">
        <v>108.252</v>
      </c>
      <c r="J6751">
        <v>-187.5394</v>
      </c>
      <c r="K6751">
        <v>1.1212279999999999</v>
      </c>
      <c r="L6751">
        <v>93.133390000000006</v>
      </c>
      <c r="M6751">
        <v>-1.6559210000000001E-2</v>
      </c>
      <c r="N6751">
        <v>-1.3529380000000001E-2</v>
      </c>
      <c r="O6751">
        <v>0.99977139999999998</v>
      </c>
      <c r="P6751">
        <v>7.143244E-2</v>
      </c>
      <c r="Q6751">
        <v>0.163242</v>
      </c>
      <c r="R6751">
        <v>0.98399669999999895</v>
      </c>
      <c r="S6751">
        <v>0.12892149999999999</v>
      </c>
      <c r="T6751">
        <v>-0.22348090000000001</v>
      </c>
      <c r="U6751">
        <v>3.0761409999999998</v>
      </c>
      <c r="V6751">
        <v>8.7553699999999998E-2</v>
      </c>
      <c r="W6751">
        <v>0.1766037</v>
      </c>
      <c r="X6751">
        <v>0.98038020000000003</v>
      </c>
      <c r="Y6751">
        <v>5.830726E-2</v>
      </c>
      <c r="Z6751">
        <v>-5.8845519999999998E-2</v>
      </c>
      <c r="AA6751">
        <v>0.99656279999999997</v>
      </c>
      <c r="AB6751">
        <v>31</v>
      </c>
      <c r="AC6751">
        <v>0.65239999999999998</v>
      </c>
      <c r="AD6751">
        <v>-1.1212322498059999</v>
      </c>
      <c r="AE6751">
        <v>15.11861</v>
      </c>
      <c r="AF6751">
        <v>0.89775713113511002</v>
      </c>
      <c r="AG6751">
        <v>-1.1212322498059999</v>
      </c>
      <c r="AH6751">
        <v>15.0232572043763</v>
      </c>
      <c r="AI6751">
        <v>94.260675906455205</v>
      </c>
      <c r="AJ6751">
        <v>86.580195836369995</v>
      </c>
      <c r="AK6751">
        <v>15.091765524727499</v>
      </c>
      <c r="AL6751">
        <v>79.828002187254995</v>
      </c>
      <c r="AM6751">
        <v>84.896689433795999</v>
      </c>
      <c r="AN6751">
        <v>0.99999992689470696</v>
      </c>
    </row>
    <row r="6752" spans="1:40" x14ac:dyDescent="0.25">
      <c r="A6752" t="str">
        <f>"20190303162435260"</f>
        <v>20190303162435260</v>
      </c>
      <c r="B6752" t="str">
        <f>"1551601475251601"</f>
        <v>1551601475251601</v>
      </c>
      <c r="C6752" t="s">
        <v>40</v>
      </c>
      <c r="D6752">
        <v>5.7773120000000002</v>
      </c>
      <c r="E6752">
        <v>0.49178270000000002</v>
      </c>
      <c r="F6752" t="s">
        <v>41</v>
      </c>
      <c r="G6752">
        <v>-186.8931</v>
      </c>
      <c r="H6752" s="1">
        <v>-4.4291249999999997E-6</v>
      </c>
      <c r="I6752">
        <v>108.6725</v>
      </c>
      <c r="J6752">
        <v>-187.5454</v>
      </c>
      <c r="K6752">
        <v>1.121229</v>
      </c>
      <c r="L6752">
        <v>93.463710000000006</v>
      </c>
      <c r="M6752">
        <v>-1.7059230000000002E-2</v>
      </c>
      <c r="N6752">
        <v>-1.352693E-2</v>
      </c>
      <c r="O6752">
        <v>0.99976299999999996</v>
      </c>
      <c r="P6752">
        <v>7.0677470000000006E-2</v>
      </c>
      <c r="Q6752">
        <v>0.16246189999999999</v>
      </c>
      <c r="R6752">
        <v>0.98418030000000001</v>
      </c>
      <c r="S6752">
        <v>0.1279602</v>
      </c>
      <c r="T6752">
        <v>-0.2219738</v>
      </c>
      <c r="U6752">
        <v>3.0763240000000001</v>
      </c>
      <c r="V6752">
        <v>8.7294410000000003E-2</v>
      </c>
      <c r="W6752">
        <v>0.17582320000000001</v>
      </c>
      <c r="X6752">
        <v>0.98054370000000002</v>
      </c>
      <c r="Y6752">
        <v>5.8494480000000001E-2</v>
      </c>
      <c r="Z6752">
        <v>-5.8356949999999998E-2</v>
      </c>
      <c r="AA6752">
        <v>0.99658060000000004</v>
      </c>
      <c r="AB6752">
        <v>31</v>
      </c>
      <c r="AC6752">
        <v>0.65229999999999599</v>
      </c>
      <c r="AD6752">
        <v>-1.1212334291249999</v>
      </c>
      <c r="AE6752">
        <v>15.20879</v>
      </c>
      <c r="AF6752">
        <v>0.90675981360790103</v>
      </c>
      <c r="AG6752">
        <v>-1.1212334291249999</v>
      </c>
      <c r="AH6752">
        <v>15.113456254793601</v>
      </c>
      <c r="AI6752">
        <v>94.235284707613502</v>
      </c>
      <c r="AJ6752">
        <v>86.566549299227702</v>
      </c>
      <c r="AK6752">
        <v>15.1820926662869</v>
      </c>
      <c r="AL6752">
        <v>79.873433492813703</v>
      </c>
      <c r="AM6752">
        <v>84.912567404328897</v>
      </c>
      <c r="AN6752">
        <v>1.0000000296425799</v>
      </c>
    </row>
    <row r="6753" spans="1:40" x14ac:dyDescent="0.25">
      <c r="A6753" t="str">
        <f>"20190303162435281"</f>
        <v>20190303162435281</v>
      </c>
      <c r="B6753" t="str">
        <f>"1551601475271626"</f>
        <v>1551601475271626</v>
      </c>
      <c r="C6753" t="s">
        <v>40</v>
      </c>
      <c r="D6753">
        <v>5.6278410000000001</v>
      </c>
      <c r="E6753">
        <v>0.47015570000000001</v>
      </c>
      <c r="F6753" t="s">
        <v>41</v>
      </c>
      <c r="G6753">
        <v>-186.91409999999999</v>
      </c>
      <c r="H6753" s="1">
        <v>-4.5015110000000001E-6</v>
      </c>
      <c r="I6753">
        <v>108.84990000000001</v>
      </c>
      <c r="J6753">
        <v>-187.55099999999999</v>
      </c>
      <c r="K6753">
        <v>1.121232</v>
      </c>
      <c r="L6753">
        <v>93.762820000000005</v>
      </c>
      <c r="M6753">
        <v>-1.7512010000000001E-2</v>
      </c>
      <c r="N6753">
        <v>-1.3524700000000001E-2</v>
      </c>
      <c r="O6753">
        <v>0.99975519999999996</v>
      </c>
      <c r="P6753">
        <v>7.0068279999999997E-2</v>
      </c>
      <c r="Q6753">
        <v>0.1623455</v>
      </c>
      <c r="R6753">
        <v>0.98424299999999998</v>
      </c>
      <c r="S6753">
        <v>0.12622069999999999</v>
      </c>
      <c r="T6753">
        <v>-0.2241687</v>
      </c>
      <c r="U6753">
        <v>3.0761720000000001</v>
      </c>
      <c r="V6753">
        <v>8.7131899999999998E-2</v>
      </c>
      <c r="W6753">
        <v>0.17570439999999901</v>
      </c>
      <c r="X6753">
        <v>0.98057939999999999</v>
      </c>
      <c r="Y6753">
        <v>5.8384119999999998E-2</v>
      </c>
      <c r="Z6753">
        <v>-5.9070360000000002E-2</v>
      </c>
      <c r="AA6753">
        <v>0.99654500000000001</v>
      </c>
      <c r="AB6753">
        <v>31</v>
      </c>
      <c r="AC6753">
        <v>0.63689999999999702</v>
      </c>
      <c r="AD6753">
        <v>-1.121236501511</v>
      </c>
      <c r="AE6753">
        <v>15.08708</v>
      </c>
      <c r="AF6753">
        <v>0.89609116207213302</v>
      </c>
      <c r="AG6753">
        <v>-1.121236501511</v>
      </c>
      <c r="AH6753">
        <v>14.9909620845962</v>
      </c>
      <c r="AI6753">
        <v>94.269832467736094</v>
      </c>
      <c r="AJ6753">
        <v>86.579190730364701</v>
      </c>
      <c r="AK6753">
        <v>15.059518414772301</v>
      </c>
      <c r="AL6753">
        <v>79.880347383914696</v>
      </c>
      <c r="AM6753">
        <v>84.922172673048607</v>
      </c>
      <c r="AN6753">
        <v>0.99999998194066397</v>
      </c>
    </row>
    <row r="6754" spans="1:40" x14ac:dyDescent="0.25">
      <c r="A6754" t="str">
        <f>"20190303162435326"</f>
        <v>20190303162435326</v>
      </c>
      <c r="B6754" t="str">
        <f>"1551601475321403"</f>
        <v>1551601475321403</v>
      </c>
      <c r="C6754" t="s">
        <v>40</v>
      </c>
      <c r="D6754">
        <v>5.7410300000000003</v>
      </c>
      <c r="E6754">
        <v>0.46304030000000002</v>
      </c>
      <c r="F6754" t="s">
        <v>41</v>
      </c>
      <c r="G6754">
        <v>-187.8527</v>
      </c>
      <c r="H6754" s="1">
        <v>-2.125961E-6</v>
      </c>
      <c r="I6754">
        <v>113.70059999999999</v>
      </c>
      <c r="J6754">
        <v>-187.56299999999999</v>
      </c>
      <c r="K6754">
        <v>1.1212329999999999</v>
      </c>
      <c r="L6754">
        <v>94.377930000000006</v>
      </c>
      <c r="M6754">
        <v>-1.8443250000000001E-2</v>
      </c>
      <c r="N6754">
        <v>-1.3520290000000001E-2</v>
      </c>
      <c r="O6754">
        <v>0.99973849999999997</v>
      </c>
      <c r="P6754">
        <v>6.9557859999999999E-2</v>
      </c>
      <c r="Q6754">
        <v>0.1638472</v>
      </c>
      <c r="R6754">
        <v>0.98403039999999997</v>
      </c>
      <c r="S6754">
        <v>-4.6600339999999997E-2</v>
      </c>
      <c r="T6754">
        <v>-0.173205</v>
      </c>
      <c r="U6754">
        <v>3.0799259999999999</v>
      </c>
      <c r="V6754">
        <v>8.7532180000000001E-2</v>
      </c>
      <c r="W6754">
        <v>0.17719840000000001</v>
      </c>
      <c r="X6754">
        <v>0.98027489999999995</v>
      </c>
      <c r="Y6754">
        <v>3.328976E-3</v>
      </c>
      <c r="Z6754">
        <v>-4.2628149999999997E-2</v>
      </c>
      <c r="AA6754">
        <v>0.99908549999999996</v>
      </c>
      <c r="AB6754">
        <v>31</v>
      </c>
      <c r="AC6754">
        <v>-0.28970000000001001</v>
      </c>
      <c r="AD6754">
        <v>-1.1212351259609901</v>
      </c>
      <c r="AE6754">
        <v>19.322669999999899</v>
      </c>
      <c r="AF6754">
        <v>6.6530724098763205E-2</v>
      </c>
      <c r="AG6754">
        <v>-1.1212351259609901</v>
      </c>
      <c r="AH6754">
        <v>19.2598904147459</v>
      </c>
      <c r="AI6754">
        <v>93.331754747501193</v>
      </c>
      <c r="AJ6754">
        <v>89.802080154419798</v>
      </c>
      <c r="AK6754">
        <v>19.2926144763472</v>
      </c>
      <c r="AL6754">
        <v>79.793383317718096</v>
      </c>
      <c r="AM6754">
        <v>84.897392000909804</v>
      </c>
      <c r="AN6754">
        <v>1.00000001753406</v>
      </c>
    </row>
    <row r="6755" spans="1:40" x14ac:dyDescent="0.25">
      <c r="A6755" t="str">
        <f>"20190303162435350"</f>
        <v>20190303162435350</v>
      </c>
      <c r="B6755" t="str">
        <f>"1551601475341899"</f>
        <v>1551601475341899</v>
      </c>
      <c r="C6755" t="s">
        <v>40</v>
      </c>
      <c r="D6755">
        <v>5.6806400000000004</v>
      </c>
      <c r="E6755">
        <v>0.46281080000000002</v>
      </c>
      <c r="F6755" t="s">
        <v>41</v>
      </c>
      <c r="G6755">
        <v>-188.32550000000001</v>
      </c>
      <c r="H6755" s="1">
        <v>-3.320713E-6</v>
      </c>
      <c r="I6755">
        <v>116.681</v>
      </c>
      <c r="J6755">
        <v>-187.56970000000001</v>
      </c>
      <c r="K6755">
        <v>1.121235</v>
      </c>
      <c r="L6755">
        <v>94.714600000000004</v>
      </c>
      <c r="M6755">
        <v>-1.8952150000000001E-2</v>
      </c>
      <c r="N6755">
        <v>-1.351803E-2</v>
      </c>
      <c r="O6755">
        <v>0.99972899999999998</v>
      </c>
      <c r="P6755">
        <v>6.8967219999999996E-2</v>
      </c>
      <c r="Q6755">
        <v>0.16475479999999901</v>
      </c>
      <c r="R6755">
        <v>0.98392040000000003</v>
      </c>
      <c r="S6755">
        <v>-0.10536189999999999</v>
      </c>
      <c r="T6755">
        <v>-0.15493579999999901</v>
      </c>
      <c r="U6755">
        <v>3.081909</v>
      </c>
      <c r="V6755">
        <v>8.7439249999999996E-2</v>
      </c>
      <c r="W6755">
        <v>0.17810119999999999</v>
      </c>
      <c r="X6755">
        <v>0.98011950000000003</v>
      </c>
      <c r="Y6755">
        <v>-1.5188770000000001E-2</v>
      </c>
      <c r="Z6755">
        <v>-3.6677040000000001E-2</v>
      </c>
      <c r="AA6755">
        <v>0.99921170000000004</v>
      </c>
      <c r="AB6755">
        <v>31</v>
      </c>
      <c r="AC6755">
        <v>-0.75579999999999303</v>
      </c>
      <c r="AD6755">
        <v>-1.1212383207129999</v>
      </c>
      <c r="AE6755">
        <v>21.9664</v>
      </c>
      <c r="AF6755">
        <v>-0.33843495231114801</v>
      </c>
      <c r="AG6755">
        <v>-1.1212383207129999</v>
      </c>
      <c r="AH6755">
        <v>21.919736642868799</v>
      </c>
      <c r="AI6755">
        <v>92.927893071357204</v>
      </c>
      <c r="AJ6755">
        <v>90.884561439202599</v>
      </c>
      <c r="AK6755">
        <v>21.951003805783198</v>
      </c>
      <c r="AL6755">
        <v>79.740819881836202</v>
      </c>
      <c r="AM6755">
        <v>84.901976800505594</v>
      </c>
      <c r="AN6755">
        <v>0.99999994708112405</v>
      </c>
    </row>
    <row r="6756" spans="1:40" x14ac:dyDescent="0.25">
      <c r="A6756" t="str">
        <f>"20190303162435373"</f>
        <v>20190303162435373</v>
      </c>
      <c r="B6756" t="str">
        <f>"1551601475361420"</f>
        <v>1551601475361420</v>
      </c>
      <c r="C6756" t="s">
        <v>40</v>
      </c>
      <c r="D6756">
        <v>6.2447160000000004</v>
      </c>
      <c r="E6756">
        <v>0.46288790000000002</v>
      </c>
      <c r="F6756" t="s">
        <v>41</v>
      </c>
      <c r="G6756">
        <v>-188.41650000000001</v>
      </c>
      <c r="H6756" s="1">
        <v>-4.1570939999999998E-6</v>
      </c>
      <c r="I6756">
        <v>118.6683</v>
      </c>
      <c r="J6756">
        <v>-187.5763</v>
      </c>
      <c r="K6756">
        <v>1.1212359999999999</v>
      </c>
      <c r="L6756">
        <v>95.031130000000005</v>
      </c>
      <c r="M6756">
        <v>-1.9426659999999998E-2</v>
      </c>
      <c r="N6756">
        <v>-1.3515859999999999E-2</v>
      </c>
      <c r="O6756">
        <v>0.99971989999999999</v>
      </c>
      <c r="P6756">
        <v>6.9131520000000002E-2</v>
      </c>
      <c r="Q6756">
        <v>0.16570260000000001</v>
      </c>
      <c r="R6756">
        <v>0.98374969999999995</v>
      </c>
      <c r="S6756">
        <v>-0.108902</v>
      </c>
      <c r="T6756">
        <v>-0.14420839999999999</v>
      </c>
      <c r="U6756">
        <v>3.0808110000000002</v>
      </c>
      <c r="V6756">
        <v>8.8066820000000004E-2</v>
      </c>
      <c r="W6756">
        <v>0.17904419999999999</v>
      </c>
      <c r="X6756">
        <v>0.97989150000000003</v>
      </c>
      <c r="Y6756">
        <v>-1.5877470000000001E-2</v>
      </c>
      <c r="Z6756">
        <v>-3.3225949999999997E-2</v>
      </c>
      <c r="AA6756">
        <v>0.99932180000000004</v>
      </c>
      <c r="AB6756">
        <v>31</v>
      </c>
      <c r="AC6756">
        <v>-0.84020000000000905</v>
      </c>
      <c r="AD6756">
        <v>-1.121240157094</v>
      </c>
      <c r="AE6756">
        <v>23.637170000000001</v>
      </c>
      <c r="AF6756">
        <v>-0.37995432323220801</v>
      </c>
      <c r="AG6756">
        <v>-1.121240157094</v>
      </c>
      <c r="AH6756">
        <v>23.596005335095999</v>
      </c>
      <c r="AI6756">
        <v>92.720194894680105</v>
      </c>
      <c r="AJ6756">
        <v>90.922524704936194</v>
      </c>
      <c r="AK6756">
        <v>23.625685440881899</v>
      </c>
      <c r="AL6756">
        <v>79.685907581729296</v>
      </c>
      <c r="AM6756">
        <v>84.864393807393796</v>
      </c>
      <c r="AN6756">
        <v>0.99999997105539995</v>
      </c>
    </row>
    <row r="6757" spans="1:40" x14ac:dyDescent="0.25">
      <c r="A6757" t="str">
        <f>"20190303162435394"</f>
        <v>20190303162435394</v>
      </c>
      <c r="B6757" t="str">
        <f>"1551601475381446"</f>
        <v>1551601475381446</v>
      </c>
      <c r="C6757" t="s">
        <v>40</v>
      </c>
      <c r="D6757">
        <v>5.6022230000000004</v>
      </c>
      <c r="E6757">
        <v>0.46301520000000002</v>
      </c>
      <c r="F6757" t="s">
        <v>55</v>
      </c>
      <c r="G6757">
        <v>-188.46430000000001</v>
      </c>
      <c r="H6757" s="1">
        <v>-6.3190619999999998E-7</v>
      </c>
      <c r="I6757">
        <v>120.3897</v>
      </c>
      <c r="J6757">
        <v>-187.58250000000001</v>
      </c>
      <c r="K6757">
        <v>1.1212299999999999</v>
      </c>
      <c r="L6757">
        <v>95.325230000000005</v>
      </c>
      <c r="M6757">
        <v>-1.985903E-2</v>
      </c>
      <c r="N6757">
        <v>-1.3513789999999999E-2</v>
      </c>
      <c r="O6757">
        <v>0.99971149999999998</v>
      </c>
      <c r="P6757">
        <v>6.9611880000000001E-2</v>
      </c>
      <c r="Q6757">
        <v>0.16539619999999999</v>
      </c>
      <c r="R6757">
        <v>0.98376739999999996</v>
      </c>
      <c r="S6757">
        <v>-0.1078644</v>
      </c>
      <c r="T6757">
        <v>-0.13618659999999999</v>
      </c>
      <c r="U6757">
        <v>3.0800779999999999</v>
      </c>
      <c r="V6757">
        <v>8.8974979999999995E-2</v>
      </c>
      <c r="W6757">
        <v>0.17873510000000001</v>
      </c>
      <c r="X6757">
        <v>0.97986589999999996</v>
      </c>
      <c r="Y6757">
        <v>-1.5120639999999999E-2</v>
      </c>
      <c r="Z6757">
        <v>-3.0643110000000001E-2</v>
      </c>
      <c r="AA6757">
        <v>0.99941599999999997</v>
      </c>
      <c r="AB6757">
        <v>31</v>
      </c>
      <c r="AC6757">
        <v>-0.88179999999999803</v>
      </c>
      <c r="AD6757">
        <v>-1.1212306319062</v>
      </c>
      <c r="AE6757">
        <v>25.06447</v>
      </c>
      <c r="AF6757">
        <v>-0.38305897259101002</v>
      </c>
      <c r="AG6757">
        <v>-1.1212306319062</v>
      </c>
      <c r="AH6757">
        <v>25.027019298862601</v>
      </c>
      <c r="AI6757">
        <v>92.564881791355603</v>
      </c>
      <c r="AJ6757">
        <v>90.876890233485</v>
      </c>
      <c r="AK6757">
        <v>25.0550511332954</v>
      </c>
      <c r="AL6757">
        <v>79.7039081903105</v>
      </c>
      <c r="AM6757">
        <v>84.811587320505296</v>
      </c>
      <c r="AN6757">
        <v>0.99999998251041</v>
      </c>
    </row>
    <row r="6758" spans="1:40" x14ac:dyDescent="0.25">
      <c r="A6758" t="str">
        <f>"20190303162435416"</f>
        <v>20190303162435416</v>
      </c>
      <c r="B6758" t="str">
        <f>"1551601475411702"</f>
        <v>1551601475411702</v>
      </c>
      <c r="C6758" t="s">
        <v>40</v>
      </c>
      <c r="D6758">
        <v>5.5425000000000004</v>
      </c>
      <c r="E6758">
        <v>0.46317779999999997</v>
      </c>
      <c r="F6758" t="s">
        <v>55</v>
      </c>
      <c r="G6758">
        <v>-188.4538</v>
      </c>
      <c r="H6758" s="1">
        <v>-7.9488830000000002E-7</v>
      </c>
      <c r="I6758">
        <v>120.68429999999999</v>
      </c>
      <c r="J6758">
        <v>-187.589</v>
      </c>
      <c r="K6758">
        <v>1.121224</v>
      </c>
      <c r="L6758">
        <v>95.628389999999996</v>
      </c>
      <c r="M6758">
        <v>-2.0289419999999999E-2</v>
      </c>
      <c r="N6758">
        <v>-1.3511570000000001E-2</v>
      </c>
      <c r="O6758">
        <v>0.99970289999999995</v>
      </c>
      <c r="P6758">
        <v>7.0014030000000005E-2</v>
      </c>
      <c r="Q6758">
        <v>0.16565559999999999</v>
      </c>
      <c r="R6758">
        <v>0.98369519999999999</v>
      </c>
      <c r="S6758">
        <v>-0.1058197</v>
      </c>
      <c r="T6758">
        <v>-0.13617499999999999</v>
      </c>
      <c r="U6758">
        <v>3.079895</v>
      </c>
      <c r="V6758">
        <v>8.9802950000000006E-2</v>
      </c>
      <c r="W6758">
        <v>0.17898839999999999</v>
      </c>
      <c r="X6758">
        <v>0.97974410000000001</v>
      </c>
      <c r="Y6758">
        <v>-1.4029979999999999E-2</v>
      </c>
      <c r="Z6758">
        <v>-3.064451E-2</v>
      </c>
      <c r="AA6758">
        <v>0.99943179999999998</v>
      </c>
      <c r="AB6758">
        <v>31</v>
      </c>
      <c r="AC6758">
        <v>-0.86479999999997403</v>
      </c>
      <c r="AD6758">
        <v>-1.1212247948883001</v>
      </c>
      <c r="AE6758">
        <v>25.055910000000001</v>
      </c>
      <c r="AF6758">
        <v>-0.35549466424534898</v>
      </c>
      <c r="AG6758">
        <v>-1.1212247948883001</v>
      </c>
      <c r="AH6758">
        <v>25.018260561979002</v>
      </c>
      <c r="AI6758">
        <v>92.565806652206206</v>
      </c>
      <c r="AJ6758">
        <v>90.814084303638197</v>
      </c>
      <c r="AK6758">
        <v>25.045895532882302</v>
      </c>
      <c r="AL6758">
        <v>79.689157057697997</v>
      </c>
      <c r="AM6758">
        <v>84.762925583637198</v>
      </c>
      <c r="AN6758">
        <v>0.99999995932403496</v>
      </c>
    </row>
    <row r="6759" spans="1:40" x14ac:dyDescent="0.25">
      <c r="A6759" t="str">
        <f>"20190303162435439"</f>
        <v>20190303162435439</v>
      </c>
      <c r="B6759" t="str">
        <f>"1551601475431223"</f>
        <v>1551601475431223</v>
      </c>
      <c r="C6759" t="s">
        <v>40</v>
      </c>
      <c r="D6759">
        <v>5.4828809999999999</v>
      </c>
      <c r="E6759">
        <v>0.46336490000000002</v>
      </c>
      <c r="F6759" t="s">
        <v>55</v>
      </c>
      <c r="G6759">
        <v>-188.45500000000001</v>
      </c>
      <c r="H6759" s="1">
        <v>-1.2308909999999999E-6</v>
      </c>
      <c r="I6759">
        <v>121.4799</v>
      </c>
      <c r="J6759">
        <v>-187.5958</v>
      </c>
      <c r="K6759">
        <v>1.121208</v>
      </c>
      <c r="L6759">
        <v>95.942899999999995</v>
      </c>
      <c r="M6759">
        <v>-2.0711630000000002E-2</v>
      </c>
      <c r="N6759">
        <v>-1.3509230000000001E-2</v>
      </c>
      <c r="O6759">
        <v>0.99969419999999998</v>
      </c>
      <c r="P6759">
        <v>7.0232669999999997E-2</v>
      </c>
      <c r="Q6759">
        <v>0.16610920000000001</v>
      </c>
      <c r="R6759">
        <v>0.98360309999999995</v>
      </c>
      <c r="S6759">
        <v>-0.1031647</v>
      </c>
      <c r="T6759">
        <v>-0.13356570000000001</v>
      </c>
      <c r="U6759">
        <v>3.0795590000000002</v>
      </c>
      <c r="V6759">
        <v>9.0441820000000006E-2</v>
      </c>
      <c r="W6759">
        <v>0.17943499999999901</v>
      </c>
      <c r="X6759">
        <v>0.97960360000000002</v>
      </c>
      <c r="Y6759">
        <v>-1.275216E-2</v>
      </c>
      <c r="Z6759">
        <v>-2.9807299999999998E-2</v>
      </c>
      <c r="AA6759">
        <v>0.99947430000000004</v>
      </c>
      <c r="AB6759">
        <v>31</v>
      </c>
      <c r="AC6759">
        <v>-0.85920000000001495</v>
      </c>
      <c r="AD6759">
        <v>-1.121209230891</v>
      </c>
      <c r="AE6759">
        <v>25.536999999999999</v>
      </c>
      <c r="AF6759">
        <v>-0.32942018924447602</v>
      </c>
      <c r="AG6759">
        <v>-1.121209230891</v>
      </c>
      <c r="AH6759">
        <v>25.5002176221466</v>
      </c>
      <c r="AI6759">
        <v>92.517384714528404</v>
      </c>
      <c r="AJ6759">
        <v>90.740124534443794</v>
      </c>
      <c r="AK6759">
        <v>25.526980365436</v>
      </c>
      <c r="AL6759">
        <v>79.663147351640603</v>
      </c>
      <c r="AM6759">
        <v>84.725125541721795</v>
      </c>
      <c r="AN6759">
        <v>0.99999992758143297</v>
      </c>
    </row>
    <row r="6760" spans="1:40" x14ac:dyDescent="0.25">
      <c r="A6760" t="str">
        <f>"20190303162435461"</f>
        <v>20190303162435461</v>
      </c>
      <c r="B6760" t="str">
        <f>"1551601475451718"</f>
        <v>1551601475451718</v>
      </c>
      <c r="C6760" t="s">
        <v>40</v>
      </c>
      <c r="D6760">
        <v>5.2642360000000004</v>
      </c>
      <c r="E6760">
        <v>0.4635206</v>
      </c>
      <c r="F6760" t="s">
        <v>55</v>
      </c>
      <c r="G6760">
        <v>-188.4631</v>
      </c>
      <c r="H6760" s="1">
        <v>-1.6643060000000001E-6</v>
      </c>
      <c r="I6760">
        <v>122.2726</v>
      </c>
      <c r="J6760">
        <v>-187.6027</v>
      </c>
      <c r="K6760">
        <v>1.1211880000000001</v>
      </c>
      <c r="L6760">
        <v>96.253879999999995</v>
      </c>
      <c r="M6760">
        <v>-2.1096989999999999E-2</v>
      </c>
      <c r="N6760">
        <v>-1.350692E-2</v>
      </c>
      <c r="O6760">
        <v>0.99968619999999997</v>
      </c>
      <c r="P6760">
        <v>7.0495370000000002E-2</v>
      </c>
      <c r="Q6760">
        <v>0.1660846</v>
      </c>
      <c r="R6760">
        <v>0.98358849999999998</v>
      </c>
      <c r="S6760">
        <v>-0.1014404</v>
      </c>
      <c r="T6760">
        <v>-0.13113159999999999</v>
      </c>
      <c r="U6760">
        <v>3.0794069999999998</v>
      </c>
      <c r="V6760">
        <v>9.1093030000000005E-2</v>
      </c>
      <c r="W6760">
        <v>0.1794026</v>
      </c>
      <c r="X6760">
        <v>0.97954920000000001</v>
      </c>
      <c r="Y6760">
        <v>-1.181053E-2</v>
      </c>
      <c r="Z6760">
        <v>-2.9023779999999999E-2</v>
      </c>
      <c r="AA6760">
        <v>0.99950890000000003</v>
      </c>
      <c r="AB6760">
        <v>31</v>
      </c>
      <c r="AC6760">
        <v>-0.86039999999999806</v>
      </c>
      <c r="AD6760">
        <v>-1.12118966430599</v>
      </c>
      <c r="AE6760">
        <v>26.018719999999899</v>
      </c>
      <c r="AF6760">
        <v>-0.31066547858261301</v>
      </c>
      <c r="AG6760">
        <v>-1.12118966430599</v>
      </c>
      <c r="AH6760">
        <v>25.982886883997601</v>
      </c>
      <c r="AI6760">
        <v>92.470665641622205</v>
      </c>
      <c r="AJ6760">
        <v>90.685026752460601</v>
      </c>
      <c r="AK6760">
        <v>26.008921356518101</v>
      </c>
      <c r="AL6760">
        <v>79.665034424081597</v>
      </c>
      <c r="AM6760">
        <v>84.687067958228496</v>
      </c>
      <c r="AN6760">
        <v>0.99999993411098798</v>
      </c>
    </row>
    <row r="6761" spans="1:40" x14ac:dyDescent="0.25">
      <c r="A6761" t="str">
        <f>"20190303162435482"</f>
        <v>20190303162435482</v>
      </c>
      <c r="B6761" t="str">
        <f>"1551601475471746"</f>
        <v>1551601475471746</v>
      </c>
      <c r="C6761" t="s">
        <v>40</v>
      </c>
      <c r="D6761">
        <v>5.2386330000000001</v>
      </c>
      <c r="E6761">
        <v>0.46377800000000002</v>
      </c>
      <c r="F6761" t="s">
        <v>55</v>
      </c>
      <c r="G6761">
        <v>-188.4528</v>
      </c>
      <c r="H6761" s="1">
        <v>-1.8341670000000001E-6</v>
      </c>
      <c r="I6761">
        <v>122.57980000000001</v>
      </c>
      <c r="J6761">
        <v>-187.60910000000001</v>
      </c>
      <c r="K6761">
        <v>1.1211629999999999</v>
      </c>
      <c r="L6761">
        <v>96.543520000000001</v>
      </c>
      <c r="M6761">
        <v>-2.1419230000000001E-2</v>
      </c>
      <c r="N6761">
        <v>-1.3504800000000001E-2</v>
      </c>
      <c r="O6761">
        <v>0.9996794</v>
      </c>
      <c r="P6761">
        <v>7.0808049999999997E-2</v>
      </c>
      <c r="Q6761">
        <v>0.166522799999999</v>
      </c>
      <c r="R6761">
        <v>0.98349189999999997</v>
      </c>
      <c r="S6761">
        <v>-9.944153E-2</v>
      </c>
      <c r="T6761">
        <v>-0.13114419999999999</v>
      </c>
      <c r="U6761">
        <v>3.0793149999999998</v>
      </c>
      <c r="V6761">
        <v>9.1731950000000007E-2</v>
      </c>
      <c r="W6761">
        <v>0.179831399999999</v>
      </c>
      <c r="X6761">
        <v>0.97941100000000003</v>
      </c>
      <c r="Y6761">
        <v>-1.0841419999999999E-2</v>
      </c>
      <c r="Z6761">
        <v>-2.9031439999999999E-2</v>
      </c>
      <c r="AA6761">
        <v>0.99951970000000001</v>
      </c>
      <c r="AB6761">
        <v>31</v>
      </c>
      <c r="AC6761">
        <v>-0.84369999999998402</v>
      </c>
      <c r="AD6761">
        <v>-1.121164834167</v>
      </c>
      <c r="AE6761">
        <v>26.036280000000001</v>
      </c>
      <c r="AF6761">
        <v>-0.28525010625171199</v>
      </c>
      <c r="AG6761">
        <v>-1.121164834167</v>
      </c>
      <c r="AH6761">
        <v>26.000217022716299</v>
      </c>
      <c r="AI6761">
        <v>92.468994129878993</v>
      </c>
      <c r="AJ6761">
        <v>90.628570580669404</v>
      </c>
      <c r="AK6761">
        <v>26.025942123904699</v>
      </c>
      <c r="AL6761">
        <v>79.640060458176805</v>
      </c>
      <c r="AM6761">
        <v>84.649268382806696</v>
      </c>
      <c r="AN6761">
        <v>0.99999999499888104</v>
      </c>
    </row>
    <row r="6762" spans="1:40" x14ac:dyDescent="0.25">
      <c r="A6762" t="str">
        <f>"20190303162435504"</f>
        <v>20190303162435504</v>
      </c>
      <c r="B6762" t="str">
        <f>"1551601475491264"</f>
        <v>1551601475491264</v>
      </c>
      <c r="C6762" t="s">
        <v>40</v>
      </c>
      <c r="D6762">
        <v>5.2349769999999998</v>
      </c>
      <c r="E6762">
        <v>0.46393279999999998</v>
      </c>
      <c r="F6762" t="s">
        <v>55</v>
      </c>
      <c r="G6762">
        <v>-188.44659999999999</v>
      </c>
      <c r="H6762" s="1">
        <v>-2.2509330000000002E-6</v>
      </c>
      <c r="I6762">
        <v>123.3385</v>
      </c>
      <c r="J6762">
        <v>-187.61609999999999</v>
      </c>
      <c r="K6762">
        <v>1.121129</v>
      </c>
      <c r="L6762">
        <v>96.850890000000007</v>
      </c>
      <c r="M6762">
        <v>-2.1713139999999999E-2</v>
      </c>
      <c r="N6762">
        <v>-1.3502490000000001E-2</v>
      </c>
      <c r="O6762">
        <v>0.99967309999999998</v>
      </c>
      <c r="P6762">
        <v>7.1309529999999996E-2</v>
      </c>
      <c r="Q6762">
        <v>0.16648070000000001</v>
      </c>
      <c r="R6762">
        <v>0.98346279999999997</v>
      </c>
      <c r="S6762">
        <v>-9.6237180000000005E-2</v>
      </c>
      <c r="T6762">
        <v>-0.1288369</v>
      </c>
      <c r="U6762">
        <v>3.0791019999999998</v>
      </c>
      <c r="V6762">
        <v>9.2536889999999997E-2</v>
      </c>
      <c r="W6762">
        <v>0.17977839999999901</v>
      </c>
      <c r="X6762">
        <v>0.97934500000000002</v>
      </c>
      <c r="Y6762">
        <v>-9.5117550000000002E-3</v>
      </c>
      <c r="Z6762">
        <v>-2.8289950000000001E-2</v>
      </c>
      <c r="AA6762">
        <v>0.99955450000000001</v>
      </c>
      <c r="AB6762">
        <v>31</v>
      </c>
      <c r="AC6762">
        <v>-0.83050000000000002</v>
      </c>
      <c r="AD6762">
        <v>-1.121131250933</v>
      </c>
      <c r="AE6762">
        <v>26.487609999999901</v>
      </c>
      <c r="AF6762">
        <v>-0.25466677372470398</v>
      </c>
      <c r="AG6762">
        <v>-1.121131250933</v>
      </c>
      <c r="AH6762">
        <v>26.452055135496899</v>
      </c>
      <c r="AI6762">
        <v>92.426832048768006</v>
      </c>
      <c r="AJ6762">
        <v>90.551597236996798</v>
      </c>
      <c r="AK6762">
        <v>26.477027992938002</v>
      </c>
      <c r="AL6762">
        <v>79.643147383254899</v>
      </c>
      <c r="AM6762">
        <v>84.602230663432394</v>
      </c>
      <c r="AN6762">
        <v>0.99999998907121601</v>
      </c>
    </row>
    <row r="6763" spans="1:40" x14ac:dyDescent="0.25">
      <c r="A6763" t="str">
        <f>"20190303162435527"</f>
        <v>20190303162435527</v>
      </c>
      <c r="B6763" t="str">
        <f>"1551601475521520"</f>
        <v>1551601475521520</v>
      </c>
      <c r="C6763" t="s">
        <v>40</v>
      </c>
      <c r="D6763">
        <v>5.2435229999999997</v>
      </c>
      <c r="E6763">
        <v>0.4640032</v>
      </c>
      <c r="F6763" t="s">
        <v>55</v>
      </c>
      <c r="G6763">
        <v>-188.4436</v>
      </c>
      <c r="H6763" s="1">
        <v>-2.5241629999999999E-6</v>
      </c>
      <c r="I6763">
        <v>123.83620000000001</v>
      </c>
      <c r="J6763">
        <v>-187.62299999999999</v>
      </c>
      <c r="K6763">
        <v>1.121084</v>
      </c>
      <c r="L6763">
        <v>97.159419999999997</v>
      </c>
      <c r="M6763">
        <v>-2.1956779999999999E-2</v>
      </c>
      <c r="N6763">
        <v>-1.350019E-2</v>
      </c>
      <c r="O6763">
        <v>0.9996678</v>
      </c>
      <c r="P6763">
        <v>7.2171020000000002E-2</v>
      </c>
      <c r="Q6763">
        <v>0.16620739999999901</v>
      </c>
      <c r="R6763">
        <v>0.98344620000000005</v>
      </c>
      <c r="S6763">
        <v>-9.4421389999999994E-2</v>
      </c>
      <c r="T6763">
        <v>-0.12791820000000001</v>
      </c>
      <c r="U6763">
        <v>3.0789490000000002</v>
      </c>
      <c r="V6763">
        <v>9.3654109999999999E-2</v>
      </c>
      <c r="W6763">
        <v>0.17949370000000001</v>
      </c>
      <c r="X6763">
        <v>0.97929100000000002</v>
      </c>
      <c r="Y6763">
        <v>-8.6812529999999999E-3</v>
      </c>
      <c r="Z6763">
        <v>-2.799695E-2</v>
      </c>
      <c r="AA6763">
        <v>0.99957030000000002</v>
      </c>
      <c r="AB6763">
        <v>31</v>
      </c>
      <c r="AC6763">
        <v>-0.82060000000001299</v>
      </c>
      <c r="AD6763">
        <v>-1.1210865241629999</v>
      </c>
      <c r="AE6763">
        <v>26.676780000000001</v>
      </c>
      <c r="AF6763">
        <v>-0.23419935523586799</v>
      </c>
      <c r="AG6763">
        <v>-1.1210865241629999</v>
      </c>
      <c r="AH6763">
        <v>26.641360575608299</v>
      </c>
      <c r="AI6763">
        <v>92.409530639155093</v>
      </c>
      <c r="AJ6763">
        <v>90.503663802770205</v>
      </c>
      <c r="AK6763">
        <v>26.665966655124802</v>
      </c>
      <c r="AL6763">
        <v>79.659729044551597</v>
      </c>
      <c r="AM6763">
        <v>84.537154568564205</v>
      </c>
      <c r="AN6763">
        <v>0.99999997167028998</v>
      </c>
    </row>
    <row r="6764" spans="1:40" x14ac:dyDescent="0.25">
      <c r="A6764" t="str">
        <f>"20190303162435551"</f>
        <v>20190303162435551</v>
      </c>
      <c r="B6764" t="str">
        <f>"1551601475542017"</f>
        <v>1551601475542017</v>
      </c>
      <c r="C6764" t="s">
        <v>40</v>
      </c>
      <c r="D6764">
        <v>5.0481889999999998</v>
      </c>
      <c r="E6764">
        <v>0.46421390000000001</v>
      </c>
      <c r="F6764" t="s">
        <v>55</v>
      </c>
      <c r="G6764">
        <v>-188.4374</v>
      </c>
      <c r="H6764" s="1">
        <v>-2.885595E-6</v>
      </c>
      <c r="I6764">
        <v>124.4939</v>
      </c>
      <c r="J6764">
        <v>-187.63059999999999</v>
      </c>
      <c r="K6764">
        <v>1.1210439999999999</v>
      </c>
      <c r="L6764">
        <v>97.491330000000005</v>
      </c>
      <c r="M6764">
        <v>-2.2172460000000001E-2</v>
      </c>
      <c r="N6764">
        <v>-1.34977E-2</v>
      </c>
      <c r="O6764">
        <v>0.99966310000000003</v>
      </c>
      <c r="P6764">
        <v>7.3332969999999997E-2</v>
      </c>
      <c r="Q6764">
        <v>0.16587979999999899</v>
      </c>
      <c r="R6764">
        <v>0.9834155</v>
      </c>
      <c r="S6764">
        <v>-9.1720579999999996E-2</v>
      </c>
      <c r="T6764">
        <v>-0.12626399999999999</v>
      </c>
      <c r="U6764">
        <v>3.0785830000000001</v>
      </c>
      <c r="V6764">
        <v>9.5044020000000007E-2</v>
      </c>
      <c r="W6764">
        <v>0.17915500000000001</v>
      </c>
      <c r="X6764">
        <v>0.97921910000000001</v>
      </c>
      <c r="Y6764">
        <v>-7.5938999999999902E-3</v>
      </c>
      <c r="Z6764">
        <v>-2.7468820000000001E-2</v>
      </c>
      <c r="AA6764">
        <v>0.99959379999999998</v>
      </c>
      <c r="AB6764">
        <v>31</v>
      </c>
      <c r="AC6764">
        <v>-0.80680000000000895</v>
      </c>
      <c r="AD6764">
        <v>-1.121046885595</v>
      </c>
      <c r="AE6764">
        <v>27.002569999999899</v>
      </c>
      <c r="AF6764">
        <v>-0.207476418600718</v>
      </c>
      <c r="AG6764">
        <v>-1.121046885595</v>
      </c>
      <c r="AH6764">
        <v>26.967381257090999</v>
      </c>
      <c r="AI6764">
        <v>92.380371895708095</v>
      </c>
      <c r="AJ6764">
        <v>90.440802482162397</v>
      </c>
      <c r="AK6764">
        <v>26.991469846032398</v>
      </c>
      <c r="AL6764">
        <v>79.679454788709094</v>
      </c>
      <c r="AM6764">
        <v>84.456177941478501</v>
      </c>
      <c r="AN6764">
        <v>0.999999962783784</v>
      </c>
    </row>
    <row r="6765" spans="1:40" x14ac:dyDescent="0.25">
      <c r="A6765" t="str">
        <f>"20190303162435574"</f>
        <v>20190303162435574</v>
      </c>
      <c r="B6765" t="str">
        <f>"1551601475561537"</f>
        <v>1551601475561537</v>
      </c>
      <c r="C6765" t="s">
        <v>40</v>
      </c>
      <c r="D6765">
        <v>5.1093489999999999</v>
      </c>
      <c r="E6765">
        <v>0.46436860000000002</v>
      </c>
      <c r="F6765" t="s">
        <v>55</v>
      </c>
      <c r="G6765">
        <v>-188.39599999999999</v>
      </c>
      <c r="H6765" s="1">
        <v>-2.9930739999999999E-6</v>
      </c>
      <c r="I6765">
        <v>124.7495</v>
      </c>
      <c r="J6765">
        <v>-187.6379</v>
      </c>
      <c r="K6765">
        <v>1.1210119999999999</v>
      </c>
      <c r="L6765">
        <v>97.810699999999997</v>
      </c>
      <c r="M6765">
        <v>-2.2338029999999998E-2</v>
      </c>
      <c r="N6765">
        <v>-1.349529E-2</v>
      </c>
      <c r="O6765">
        <v>0.99965939999999998</v>
      </c>
      <c r="P6765">
        <v>7.4860010000000005E-2</v>
      </c>
      <c r="Q6765">
        <v>0.1653616</v>
      </c>
      <c r="R6765">
        <v>0.98338780000000003</v>
      </c>
      <c r="S6765">
        <v>-8.6441039999999997E-2</v>
      </c>
      <c r="T6765">
        <v>-0.12660399999999999</v>
      </c>
      <c r="U6765">
        <v>3.0783689999999999</v>
      </c>
      <c r="V6765">
        <v>9.6747390000000003E-2</v>
      </c>
      <c r="W6765">
        <v>0.178625799999999</v>
      </c>
      <c r="X6765">
        <v>0.97914900000000005</v>
      </c>
      <c r="Y6765">
        <v>-5.7180190000000004E-3</v>
      </c>
      <c r="Z6765">
        <v>-2.758503E-2</v>
      </c>
      <c r="AA6765">
        <v>0.99960309999999997</v>
      </c>
      <c r="AB6765">
        <v>31</v>
      </c>
      <c r="AC6765">
        <v>-0.75809999999998401</v>
      </c>
      <c r="AD6765">
        <v>-1.1210149930740001</v>
      </c>
      <c r="AE6765">
        <v>26.938800000000001</v>
      </c>
      <c r="AF6765">
        <v>-0.155826653941944</v>
      </c>
      <c r="AG6765">
        <v>-1.1210149930740001</v>
      </c>
      <c r="AH6765">
        <v>26.902463421528701</v>
      </c>
      <c r="AI6765">
        <v>92.386072045907198</v>
      </c>
      <c r="AJ6765">
        <v>90.331869599445696</v>
      </c>
      <c r="AK6765">
        <v>26.926260317902699</v>
      </c>
      <c r="AL6765">
        <v>79.710273219802801</v>
      </c>
      <c r="AM6765">
        <v>84.357056294665398</v>
      </c>
      <c r="AN6765">
        <v>0.99999999904922598</v>
      </c>
    </row>
    <row r="6766" spans="1:40" x14ac:dyDescent="0.25">
      <c r="A6766" t="str">
        <f>"20190303162435594"</f>
        <v>20190303162435594</v>
      </c>
      <c r="B6766" t="str">
        <f>"1551601475581564"</f>
        <v>1551601475581564</v>
      </c>
      <c r="C6766" t="s">
        <v>40</v>
      </c>
      <c r="D6766">
        <v>4.9817080000000002</v>
      </c>
      <c r="E6766">
        <v>0.4877204</v>
      </c>
      <c r="F6766" t="s">
        <v>55</v>
      </c>
      <c r="G6766">
        <v>-188.35380000000001</v>
      </c>
      <c r="H6766" s="1">
        <v>-3.065349E-6</v>
      </c>
      <c r="I6766">
        <v>125.0052</v>
      </c>
      <c r="J6766">
        <v>-187.64420000000001</v>
      </c>
      <c r="K6766">
        <v>1.1209789999999999</v>
      </c>
      <c r="L6766">
        <v>98.086609999999993</v>
      </c>
      <c r="M6766">
        <v>-2.245113E-2</v>
      </c>
      <c r="N6766">
        <v>-1.349322E-2</v>
      </c>
      <c r="O6766">
        <v>0.99965689999999996</v>
      </c>
      <c r="P6766">
        <v>7.6449740000000002E-2</v>
      </c>
      <c r="Q6766">
        <v>0.16476830000000001</v>
      </c>
      <c r="R6766">
        <v>0.98336509999999999</v>
      </c>
      <c r="S6766">
        <v>-8.1039429999999996E-2</v>
      </c>
      <c r="T6766">
        <v>-0.12688949999999999</v>
      </c>
      <c r="U6766">
        <v>3.0781860000000001</v>
      </c>
      <c r="V6766">
        <v>9.8458500000000004E-2</v>
      </c>
      <c r="W6766">
        <v>0.17802419999999999</v>
      </c>
      <c r="X6766">
        <v>0.97908799999999996</v>
      </c>
      <c r="Y6766">
        <v>-3.854349E-3</v>
      </c>
      <c r="Z6766">
        <v>-2.7682809999999999E-2</v>
      </c>
      <c r="AA6766">
        <v>0.99960939999999998</v>
      </c>
      <c r="AB6766">
        <v>31</v>
      </c>
      <c r="AC6766">
        <v>-0.70959999999999401</v>
      </c>
      <c r="AD6766">
        <v>-1.1209820653489999</v>
      </c>
      <c r="AE6766">
        <v>26.918589999999998</v>
      </c>
      <c r="AF6766">
        <v>-0.104831660790715</v>
      </c>
      <c r="AG6766">
        <v>-1.1209820653489999</v>
      </c>
      <c r="AH6766">
        <v>26.881152251733699</v>
      </c>
      <c r="AI6766">
        <v>92.387913329191903</v>
      </c>
      <c r="AJ6766">
        <v>90.223442106089195</v>
      </c>
      <c r="AK6766">
        <v>26.9047196017506</v>
      </c>
      <c r="AL6766">
        <v>79.745303874041994</v>
      </c>
      <c r="AM6766">
        <v>84.257558941878898</v>
      </c>
      <c r="AN6766">
        <v>1.0000000018759401</v>
      </c>
    </row>
    <row r="6767" spans="1:40" x14ac:dyDescent="0.25">
      <c r="A6767" t="str">
        <f>"20190303162435650"</f>
        <v>20190303162435650</v>
      </c>
      <c r="B6767" t="str">
        <f>"1551601475641100"</f>
        <v>1551601475641100</v>
      </c>
      <c r="C6767" t="s">
        <v>40</v>
      </c>
      <c r="D6767">
        <v>4.8429729999999998</v>
      </c>
      <c r="E6767">
        <v>0.51023640000000003</v>
      </c>
      <c r="F6767" t="s">
        <v>55</v>
      </c>
      <c r="G6767">
        <v>-186.77019999999999</v>
      </c>
      <c r="H6767" s="1">
        <v>-2.2219010000000001E-6</v>
      </c>
      <c r="I6767">
        <v>122.85980000000001</v>
      </c>
      <c r="J6767">
        <v>-187.6617</v>
      </c>
      <c r="K6767">
        <v>1.1209119999999999</v>
      </c>
      <c r="L6767">
        <v>98.856840000000005</v>
      </c>
      <c r="M6767">
        <v>-2.2679270000000001E-2</v>
      </c>
      <c r="N6767">
        <v>-1.348763E-2</v>
      </c>
      <c r="O6767">
        <v>0.99965179999999998</v>
      </c>
      <c r="P6767">
        <v>8.5254460000000004E-2</v>
      </c>
      <c r="Q6767">
        <v>0.16205</v>
      </c>
      <c r="R6767">
        <v>0.98309279999999999</v>
      </c>
      <c r="S6767">
        <v>0.10815429999999999</v>
      </c>
      <c r="T6767">
        <v>-0.13871720000000001</v>
      </c>
      <c r="U6767">
        <v>3.065582</v>
      </c>
      <c r="V6767">
        <v>0.10750079999999999</v>
      </c>
      <c r="W6767">
        <v>0.175283299999999</v>
      </c>
      <c r="X6767">
        <v>0.97863140000000004</v>
      </c>
      <c r="Y6767">
        <v>5.7875799999999998E-2</v>
      </c>
      <c r="Z6767">
        <v>-3.1650919999999999E-2</v>
      </c>
      <c r="AA6767">
        <v>0.99782190000000004</v>
      </c>
      <c r="AB6767">
        <v>31</v>
      </c>
      <c r="AC6767">
        <v>0.89150000000000695</v>
      </c>
      <c r="AD6767">
        <v>-1.120914221901</v>
      </c>
      <c r="AE6767">
        <v>24.002960000000002</v>
      </c>
      <c r="AF6767">
        <v>1.4325699535088099</v>
      </c>
      <c r="AG6767">
        <v>-1.120914221901</v>
      </c>
      <c r="AH6767">
        <v>23.9244622099596</v>
      </c>
      <c r="AI6767">
        <v>92.677683856736195</v>
      </c>
      <c r="AJ6767">
        <v>86.573284574305504</v>
      </c>
      <c r="AK6767">
        <v>23.993511568762599</v>
      </c>
      <c r="AL6767">
        <v>79.904855545639506</v>
      </c>
      <c r="AM6767">
        <v>83.731300824806397</v>
      </c>
      <c r="AN6767">
        <v>1.00000003716274</v>
      </c>
    </row>
    <row r="6768" spans="1:40" x14ac:dyDescent="0.25">
      <c r="A6768" t="str">
        <f>"20190303162435672"</f>
        <v>20190303162435672</v>
      </c>
      <c r="B6768" t="str">
        <f>"1551601475661596"</f>
        <v>1551601475661596</v>
      </c>
      <c r="C6768" t="s">
        <v>40</v>
      </c>
      <c r="D6768">
        <v>4.7698559999999999</v>
      </c>
      <c r="E6768">
        <v>0.51084200000000002</v>
      </c>
      <c r="F6768" t="s">
        <v>41</v>
      </c>
      <c r="G6768">
        <v>-185.65649999999999</v>
      </c>
      <c r="H6768" s="1">
        <v>-4.5875179999999998E-6</v>
      </c>
      <c r="I6768">
        <v>118.5304</v>
      </c>
      <c r="J6768">
        <v>-187.6687</v>
      </c>
      <c r="K6768">
        <v>1.120903</v>
      </c>
      <c r="L6768">
        <v>99.158259999999999</v>
      </c>
      <c r="M6768">
        <v>-2.2750980000000001E-2</v>
      </c>
      <c r="N6768">
        <v>-1.348533E-2</v>
      </c>
      <c r="O6768">
        <v>0.99965020000000004</v>
      </c>
      <c r="P6768">
        <v>8.8606389999999993E-2</v>
      </c>
      <c r="Q6768">
        <v>0.1622546</v>
      </c>
      <c r="R6768">
        <v>0.98276260000000004</v>
      </c>
      <c r="S6768">
        <v>0.31120300000000001</v>
      </c>
      <c r="T6768">
        <v>-0.17396310000000001</v>
      </c>
      <c r="U6768">
        <v>3.0532840000000001</v>
      </c>
      <c r="V6768">
        <v>0.11091910000000001</v>
      </c>
      <c r="W6768">
        <v>0.1754782</v>
      </c>
      <c r="X6768">
        <v>0.9782149</v>
      </c>
      <c r="Y6768">
        <v>0.1238558</v>
      </c>
      <c r="Z6768">
        <v>-4.3012210000000002E-2</v>
      </c>
      <c r="AA6768">
        <v>0.99136760000000002</v>
      </c>
      <c r="AB6768">
        <v>31</v>
      </c>
      <c r="AC6768">
        <v>2.0122</v>
      </c>
      <c r="AD6768">
        <v>-1.1209075875179999</v>
      </c>
      <c r="AE6768">
        <v>19.372139999999899</v>
      </c>
      <c r="AF6768">
        <v>2.4443579883208999</v>
      </c>
      <c r="AG6768">
        <v>-1.1209075875179999</v>
      </c>
      <c r="AH6768">
        <v>19.2575552286612</v>
      </c>
      <c r="AI6768">
        <v>93.304750605377706</v>
      </c>
      <c r="AJ6768">
        <v>82.766140267475095</v>
      </c>
      <c r="AK6768">
        <v>19.4444015896546</v>
      </c>
      <c r="AL6768">
        <v>79.893512598008002</v>
      </c>
      <c r="AM6768">
        <v>83.530902092098401</v>
      </c>
      <c r="AN6768">
        <v>1.00000001800102</v>
      </c>
    </row>
    <row r="6769" spans="1:40" x14ac:dyDescent="0.25">
      <c r="A6769" t="str">
        <f>"20190303162435693"</f>
        <v>20190303162435693</v>
      </c>
      <c r="B6769" t="str">
        <f>"1551601475681116"</f>
        <v>1551601475681116</v>
      </c>
      <c r="C6769" t="s">
        <v>40</v>
      </c>
      <c r="D6769">
        <v>4.8196839999999996</v>
      </c>
      <c r="E6769">
        <v>0.51207979999999997</v>
      </c>
      <c r="F6769" t="s">
        <v>41</v>
      </c>
      <c r="G6769">
        <v>-185.60159999999999</v>
      </c>
      <c r="H6769" s="1">
        <v>-4.6056169999999901E-6</v>
      </c>
      <c r="I6769">
        <v>118.54989999999999</v>
      </c>
      <c r="J6769">
        <v>-187.6755</v>
      </c>
      <c r="K6769">
        <v>1.1209</v>
      </c>
      <c r="L6769">
        <v>99.454350000000005</v>
      </c>
      <c r="M6769">
        <v>-2.2817460000000001E-2</v>
      </c>
      <c r="N6769">
        <v>-1.348299E-2</v>
      </c>
      <c r="O6769">
        <v>0.99964869999999995</v>
      </c>
      <c r="P6769">
        <v>9.1339279999999995E-2</v>
      </c>
      <c r="Q6769">
        <v>0.1634409</v>
      </c>
      <c r="R6769">
        <v>0.98231570000000001</v>
      </c>
      <c r="S6769">
        <v>0.32537840000000001</v>
      </c>
      <c r="T6769">
        <v>-0.1764416</v>
      </c>
      <c r="U6769">
        <v>3.0524290000000001</v>
      </c>
      <c r="V6769">
        <v>0.1137089</v>
      </c>
      <c r="W6769">
        <v>0.17665349999999999</v>
      </c>
      <c r="X6769">
        <v>0.97768290000000002</v>
      </c>
      <c r="Y6769">
        <v>0.1284962</v>
      </c>
      <c r="Z6769">
        <v>-4.3801680000000003E-2</v>
      </c>
      <c r="AA6769">
        <v>0.99074220000000002</v>
      </c>
      <c r="AB6769">
        <v>31</v>
      </c>
      <c r="AC6769">
        <v>2.0739000000000001</v>
      </c>
      <c r="AD6769">
        <v>-1.120904605617</v>
      </c>
      <c r="AE6769">
        <v>19.0955499999999</v>
      </c>
      <c r="AF6769">
        <v>2.5005957591664201</v>
      </c>
      <c r="AG6769">
        <v>-1.120904605617</v>
      </c>
      <c r="AH6769">
        <v>18.978620493171999</v>
      </c>
      <c r="AI6769">
        <v>93.351148118818401</v>
      </c>
      <c r="AJ6769">
        <v>82.494026531662001</v>
      </c>
      <c r="AK6769">
        <v>19.175438511530899</v>
      </c>
      <c r="AL6769">
        <v>79.825104164549998</v>
      </c>
      <c r="AM6769">
        <v>83.366048986868407</v>
      </c>
      <c r="AN6769">
        <v>1.00000001297693</v>
      </c>
    </row>
    <row r="6770" spans="1:40" x14ac:dyDescent="0.25">
      <c r="A6770" t="str">
        <f>"20190303162435717"</f>
        <v>20190303162435717</v>
      </c>
      <c r="B6770" t="str">
        <f>"1551601475711372"</f>
        <v>1551601475711372</v>
      </c>
      <c r="C6770" t="s">
        <v>40</v>
      </c>
      <c r="D6770">
        <v>4.8187559999999996</v>
      </c>
      <c r="E6770">
        <v>0.51335029999999904</v>
      </c>
      <c r="F6770" t="s">
        <v>41</v>
      </c>
      <c r="G6770">
        <v>-185.52539999999999</v>
      </c>
      <c r="H6770" s="1">
        <v>-4.6461100000000001E-6</v>
      </c>
      <c r="I6770">
        <v>118.61279999999999</v>
      </c>
      <c r="J6770">
        <v>-187.68279999999999</v>
      </c>
      <c r="K6770">
        <v>1.120906</v>
      </c>
      <c r="L6770">
        <v>99.772739999999999</v>
      </c>
      <c r="M6770">
        <v>-2.2887770000000002E-2</v>
      </c>
      <c r="N6770">
        <v>-1.3480489999999999E-2</v>
      </c>
      <c r="O6770">
        <v>0.99964710000000001</v>
      </c>
      <c r="P6770">
        <v>9.3958680000000003E-2</v>
      </c>
      <c r="Q6770">
        <v>0.16485250000000001</v>
      </c>
      <c r="R6770">
        <v>0.9818327</v>
      </c>
      <c r="S6770">
        <v>0.34249879999999999</v>
      </c>
      <c r="T6770">
        <v>-0.17855670000000001</v>
      </c>
      <c r="U6770">
        <v>3.0518800000000001</v>
      </c>
      <c r="V6770">
        <v>0.116387</v>
      </c>
      <c r="W6770">
        <v>0.1780543</v>
      </c>
      <c r="X6770">
        <v>0.97711349999999997</v>
      </c>
      <c r="Y6770">
        <v>0.1340682</v>
      </c>
      <c r="Z6770">
        <v>-4.4459279999999997E-2</v>
      </c>
      <c r="AA6770">
        <v>0.98997429999999997</v>
      </c>
      <c r="AB6770">
        <v>31</v>
      </c>
      <c r="AC6770">
        <v>2.1573999999999902</v>
      </c>
      <c r="AD6770">
        <v>-1.12091064611</v>
      </c>
      <c r="AE6770">
        <v>18.840059999999902</v>
      </c>
      <c r="AF6770">
        <v>2.5790697125914899</v>
      </c>
      <c r="AG6770">
        <v>-1.12091064611</v>
      </c>
      <c r="AH6770">
        <v>18.720332861687499</v>
      </c>
      <c r="AI6770">
        <v>93.394600206518405</v>
      </c>
      <c r="AJ6770">
        <v>82.155832980519904</v>
      </c>
      <c r="AK6770">
        <v>18.9303698778272</v>
      </c>
      <c r="AL6770">
        <v>79.743551558873804</v>
      </c>
      <c r="AM6770">
        <v>83.207327143118704</v>
      </c>
      <c r="AN6770">
        <v>1.0000000296998599</v>
      </c>
    </row>
    <row r="6771" spans="1:40" x14ac:dyDescent="0.25">
      <c r="A6771" t="str">
        <f>"20190303162435739"</f>
        <v>20190303162435739</v>
      </c>
      <c r="B6771" t="str">
        <f>"1551601475731868"</f>
        <v>1551601475731868</v>
      </c>
      <c r="C6771" t="s">
        <v>40</v>
      </c>
      <c r="D6771">
        <v>4.8020750000000003</v>
      </c>
      <c r="E6771">
        <v>0.51366060000000002</v>
      </c>
      <c r="F6771" t="s">
        <v>41</v>
      </c>
      <c r="G6771">
        <v>-185.46350000000001</v>
      </c>
      <c r="H6771" s="1">
        <v>-4.6640559999999996E-6</v>
      </c>
      <c r="I6771">
        <v>118.629</v>
      </c>
      <c r="J6771">
        <v>-187.68989999999999</v>
      </c>
      <c r="K6771">
        <v>1.120906</v>
      </c>
      <c r="L6771">
        <v>100.0793</v>
      </c>
      <c r="M6771">
        <v>-2.2956230000000001E-2</v>
      </c>
      <c r="N6771">
        <v>-1.347807E-2</v>
      </c>
      <c r="O6771">
        <v>0.99964560000000002</v>
      </c>
      <c r="P6771">
        <v>9.6916530000000001E-2</v>
      </c>
      <c r="Q6771">
        <v>0.16584450000000001</v>
      </c>
      <c r="R6771">
        <v>0.98137799999999997</v>
      </c>
      <c r="S6771">
        <v>0.35916140000000002</v>
      </c>
      <c r="T6771">
        <v>-0.18140239999999999</v>
      </c>
      <c r="U6771">
        <v>3.0516049999999999</v>
      </c>
      <c r="V6771">
        <v>0.11940149999999999</v>
      </c>
      <c r="W6771">
        <v>0.17903669999999999</v>
      </c>
      <c r="X6771">
        <v>0.9765701</v>
      </c>
      <c r="Y6771">
        <v>0.13947079999999901</v>
      </c>
      <c r="Z6771">
        <v>-4.5346490000000003E-2</v>
      </c>
      <c r="AA6771">
        <v>0.98918740000000005</v>
      </c>
      <c r="AB6771">
        <v>31</v>
      </c>
      <c r="AC6771">
        <v>2.22639999999998</v>
      </c>
      <c r="AD6771">
        <v>-1.120910664056</v>
      </c>
      <c r="AE6771">
        <v>18.549699999999898</v>
      </c>
      <c r="AF6771">
        <v>2.6421722271227401</v>
      </c>
      <c r="AG6771">
        <v>-1.120910664056</v>
      </c>
      <c r="AH6771">
        <v>18.427364836971002</v>
      </c>
      <c r="AI6771">
        <v>93.445778598363802</v>
      </c>
      <c r="AJ6771">
        <v>81.840368826817794</v>
      </c>
      <c r="AK6771">
        <v>18.649538590254998</v>
      </c>
      <c r="AL6771">
        <v>79.686344755161898</v>
      </c>
      <c r="AM6771">
        <v>83.029261493657899</v>
      </c>
      <c r="AN6771">
        <v>1.0000000091815699</v>
      </c>
    </row>
    <row r="6772" spans="1:40" x14ac:dyDescent="0.25">
      <c r="A6772" t="str">
        <f>"20190303162435762"</f>
        <v>20190303162435762</v>
      </c>
      <c r="B6772" t="str">
        <f>"1551601475751388"</f>
        <v>1551601475751388</v>
      </c>
      <c r="C6772" t="s">
        <v>40</v>
      </c>
      <c r="D6772">
        <v>4.8272519999999997</v>
      </c>
      <c r="E6772">
        <v>0.51405100000000004</v>
      </c>
      <c r="F6772" t="s">
        <v>41</v>
      </c>
      <c r="G6772">
        <v>-185.41489999999999</v>
      </c>
      <c r="H6772" s="1">
        <v>-4.769982E-6</v>
      </c>
      <c r="I6772">
        <v>118.8558</v>
      </c>
      <c r="J6772">
        <v>-187.697</v>
      </c>
      <c r="K6772">
        <v>1.12090499999999</v>
      </c>
      <c r="L6772">
        <v>100.3892</v>
      </c>
      <c r="M6772">
        <v>-2.302659E-2</v>
      </c>
      <c r="N6772">
        <v>-1.3475640000000001E-2</v>
      </c>
      <c r="O6772">
        <v>0.99964399999999998</v>
      </c>
      <c r="P6772">
        <v>0.1003616</v>
      </c>
      <c r="Q6772">
        <v>0.16599949999999999</v>
      </c>
      <c r="R6772">
        <v>0.98100549999999997</v>
      </c>
      <c r="S6772">
        <v>0.36968990000000002</v>
      </c>
      <c r="T6772">
        <v>-0.18214949999999999</v>
      </c>
      <c r="U6772">
        <v>3.0512079999999999</v>
      </c>
      <c r="V6772">
        <v>0.1229063</v>
      </c>
      <c r="W6772">
        <v>0.17918310000000001</v>
      </c>
      <c r="X6772">
        <v>0.97610830000000004</v>
      </c>
      <c r="Y6772">
        <v>0.14291670000000001</v>
      </c>
      <c r="Z6772">
        <v>-4.5570769999999997E-2</v>
      </c>
      <c r="AA6772">
        <v>0.98868509999999998</v>
      </c>
      <c r="AB6772">
        <v>31</v>
      </c>
      <c r="AC6772">
        <v>2.28210000000001</v>
      </c>
      <c r="AD6772">
        <v>-1.1209097699820001</v>
      </c>
      <c r="AE6772">
        <v>18.4666</v>
      </c>
      <c r="AF6772">
        <v>2.69696899417205</v>
      </c>
      <c r="AG6772">
        <v>-1.1209097699820001</v>
      </c>
      <c r="AH6772">
        <v>18.3425840515647</v>
      </c>
      <c r="AI6772">
        <v>93.459871790028004</v>
      </c>
      <c r="AJ6772">
        <v>81.635550419568503</v>
      </c>
      <c r="AK6772">
        <v>18.573649887856799</v>
      </c>
      <c r="AL6772">
        <v>79.677818450802704</v>
      </c>
      <c r="AM6772">
        <v>82.823392147944702</v>
      </c>
      <c r="AN6772">
        <v>0.99999997761709403</v>
      </c>
    </row>
    <row r="6773" spans="1:40" x14ac:dyDescent="0.25">
      <c r="A6773" t="str">
        <f>"20190303162435785"</f>
        <v>20190303162435785</v>
      </c>
      <c r="B6773" t="str">
        <f>"1551601475771884"</f>
        <v>1551601475771884</v>
      </c>
      <c r="C6773" t="s">
        <v>40</v>
      </c>
      <c r="D6773">
        <v>4.8261370000000001</v>
      </c>
      <c r="E6773">
        <v>0.51411980000000002</v>
      </c>
      <c r="F6773" t="s">
        <v>41</v>
      </c>
      <c r="G6773">
        <v>-185.3398</v>
      </c>
      <c r="H6773" s="1">
        <v>-4.9079159999999996E-6</v>
      </c>
      <c r="I6773">
        <v>119.1463</v>
      </c>
      <c r="J6773">
        <v>-187.70410000000001</v>
      </c>
      <c r="K6773">
        <v>1.120908</v>
      </c>
      <c r="L6773">
        <v>100.6935</v>
      </c>
      <c r="M6773">
        <v>-2.3097220000000002E-2</v>
      </c>
      <c r="N6773">
        <v>-1.3473260000000001E-2</v>
      </c>
      <c r="O6773">
        <v>0.99964240000000004</v>
      </c>
      <c r="P6773">
        <v>0.10451580000000001</v>
      </c>
      <c r="Q6773">
        <v>0.16503090000000001</v>
      </c>
      <c r="R6773">
        <v>0.98073509999999997</v>
      </c>
      <c r="S6773">
        <v>0.38327030000000001</v>
      </c>
      <c r="T6773">
        <v>-0.1822481</v>
      </c>
      <c r="U6773">
        <v>3.0497130000000001</v>
      </c>
      <c r="V6773">
        <v>0.1271225</v>
      </c>
      <c r="W6773">
        <v>0.1782077</v>
      </c>
      <c r="X6773">
        <v>0.97574680000000003</v>
      </c>
      <c r="Y6773">
        <v>0.14737720000000001</v>
      </c>
      <c r="Z6773">
        <v>-4.5597350000000002E-2</v>
      </c>
      <c r="AA6773">
        <v>0.98802880000000004</v>
      </c>
      <c r="AB6773">
        <v>31</v>
      </c>
      <c r="AC6773">
        <v>2.3643000000000098</v>
      </c>
      <c r="AD6773">
        <v>-1.1209129079160001</v>
      </c>
      <c r="AE6773">
        <v>18.4528</v>
      </c>
      <c r="AF6773">
        <v>2.7798245178524001</v>
      </c>
      <c r="AG6773">
        <v>-1.1209129079160001</v>
      </c>
      <c r="AH6773">
        <v>18.326730328396899</v>
      </c>
      <c r="AI6773">
        <v>93.460522084632501</v>
      </c>
      <c r="AJ6773">
        <v>81.375039237643506</v>
      </c>
      <c r="AK6773">
        <v>18.570215793764199</v>
      </c>
      <c r="AL6773">
        <v>79.7346188740446</v>
      </c>
      <c r="AM6773">
        <v>82.577184810171303</v>
      </c>
      <c r="AN6773">
        <v>0.99999996602788899</v>
      </c>
    </row>
    <row r="6774" spans="1:40" x14ac:dyDescent="0.25">
      <c r="A6774" t="str">
        <f>"20190303162435806"</f>
        <v>20190303162435806</v>
      </c>
      <c r="B6774" t="str">
        <f>"1551601475791404"</f>
        <v>1551601475791404</v>
      </c>
      <c r="C6774" t="s">
        <v>40</v>
      </c>
      <c r="D6774">
        <v>4.7798759999999998</v>
      </c>
      <c r="E6774">
        <v>0.51411439999999997</v>
      </c>
      <c r="F6774" t="s">
        <v>41</v>
      </c>
      <c r="G6774">
        <v>-185.3322</v>
      </c>
      <c r="H6774" s="1">
        <v>-4.8306349999999999E-6</v>
      </c>
      <c r="I6774">
        <v>118.96299999999999</v>
      </c>
      <c r="J6774">
        <v>-187.71090000000001</v>
      </c>
      <c r="K6774">
        <v>1.1209</v>
      </c>
      <c r="L6774">
        <v>100.9859</v>
      </c>
      <c r="M6774">
        <v>-2.3165959999999999E-2</v>
      </c>
      <c r="N6774">
        <v>-1.347107E-2</v>
      </c>
      <c r="O6774">
        <v>0.99964090000000005</v>
      </c>
      <c r="P6774">
        <v>0.1079542</v>
      </c>
      <c r="Q6774">
        <v>0.1628925</v>
      </c>
      <c r="R6774">
        <v>0.98072009999999998</v>
      </c>
      <c r="S6774">
        <v>0.39575199999999999</v>
      </c>
      <c r="T6774">
        <v>-0.18702099999999999</v>
      </c>
      <c r="U6774">
        <v>3.0482179999999999</v>
      </c>
      <c r="V6774">
        <v>0.13062699999999999</v>
      </c>
      <c r="W6774">
        <v>0.17606629999999901</v>
      </c>
      <c r="X6774">
        <v>0.97567269999999995</v>
      </c>
      <c r="Y6774">
        <v>0.15147179999999999</v>
      </c>
      <c r="Z6774">
        <v>-4.71361E-2</v>
      </c>
      <c r="AA6774">
        <v>0.98733709999999997</v>
      </c>
      <c r="AB6774">
        <v>31</v>
      </c>
      <c r="AC6774">
        <v>2.3786999999999998</v>
      </c>
      <c r="AD6774">
        <v>-1.120904830635</v>
      </c>
      <c r="AE6774">
        <v>17.977099999999901</v>
      </c>
      <c r="AF6774">
        <v>2.7839191335988902</v>
      </c>
      <c r="AG6774">
        <v>-1.120904830635</v>
      </c>
      <c r="AH6774">
        <v>17.848966522838602</v>
      </c>
      <c r="AI6774">
        <v>93.550606740752301</v>
      </c>
      <c r="AJ6774">
        <v>81.134952407750006</v>
      </c>
      <c r="AK6774">
        <v>18.0995093666975</v>
      </c>
      <c r="AL6774">
        <v>79.859283716307004</v>
      </c>
      <c r="AM6774">
        <v>82.374357011367195</v>
      </c>
      <c r="AN6774">
        <v>0.99999998632498899</v>
      </c>
    </row>
    <row r="6775" spans="1:40" x14ac:dyDescent="0.25">
      <c r="A6775" t="str">
        <f>"20190303162435829"</f>
        <v>20190303162435829</v>
      </c>
      <c r="B6775" t="str">
        <f>"1551601475821661"</f>
        <v>1551601475821661</v>
      </c>
      <c r="C6775" t="s">
        <v>40</v>
      </c>
      <c r="D6775">
        <v>4.8162419999999999</v>
      </c>
      <c r="E6775">
        <v>0.51388829999999996</v>
      </c>
      <c r="F6775" t="s">
        <v>41</v>
      </c>
      <c r="G6775">
        <v>-185.3716</v>
      </c>
      <c r="H6775" s="1">
        <v>-4.646488E-6</v>
      </c>
      <c r="I6775">
        <v>118.5501</v>
      </c>
      <c r="J6775">
        <v>-187.7184</v>
      </c>
      <c r="K6775">
        <v>1.1208899999999999</v>
      </c>
      <c r="L6775">
        <v>101.30459999999999</v>
      </c>
      <c r="M6775">
        <v>-2.324143E-2</v>
      </c>
      <c r="N6775">
        <v>-1.3468839999999999E-2</v>
      </c>
      <c r="O6775">
        <v>0.99963919999999995</v>
      </c>
      <c r="P6775">
        <v>0.1097354</v>
      </c>
      <c r="Q6775">
        <v>0.16086239999999999</v>
      </c>
      <c r="R6775">
        <v>0.98085750000000005</v>
      </c>
      <c r="S6775">
        <v>0.4057617</v>
      </c>
      <c r="T6775">
        <v>-0.19442709999999999</v>
      </c>
      <c r="U6775">
        <v>3.0466000000000002</v>
      </c>
      <c r="V6775">
        <v>0.13248499999999999</v>
      </c>
      <c r="W6775">
        <v>0.17403589999999999</v>
      </c>
      <c r="X6775">
        <v>0.9757865</v>
      </c>
      <c r="Y6775">
        <v>0.15478169999999999</v>
      </c>
      <c r="Z6775">
        <v>-4.9533420000000002E-2</v>
      </c>
      <c r="AA6775">
        <v>0.98670619999999998</v>
      </c>
      <c r="AB6775">
        <v>31</v>
      </c>
      <c r="AC6775">
        <v>2.3468</v>
      </c>
      <c r="AD6775">
        <v>-1.1208946464880001</v>
      </c>
      <c r="AE6775">
        <v>17.2455</v>
      </c>
      <c r="AF6775">
        <v>2.7356656229659202</v>
      </c>
      <c r="AG6775">
        <v>-1.1208946464880001</v>
      </c>
      <c r="AH6775">
        <v>17.115303447408401</v>
      </c>
      <c r="AI6775">
        <v>93.700159868688004</v>
      </c>
      <c r="AJ6775">
        <v>80.918806994912003</v>
      </c>
      <c r="AK6775">
        <v>17.368761709058901</v>
      </c>
      <c r="AL6775">
        <v>79.977441983625397</v>
      </c>
      <c r="AM6775">
        <v>82.268086337374896</v>
      </c>
      <c r="AN6775">
        <v>1.00000003164802</v>
      </c>
    </row>
    <row r="6776" spans="1:40" x14ac:dyDescent="0.25">
      <c r="A6776" t="str">
        <f>"20190303162435849"</f>
        <v>20190303162435849</v>
      </c>
      <c r="B6776" t="str">
        <f>"1551601475841180"</f>
        <v>1551601475841180</v>
      </c>
      <c r="C6776" t="s">
        <v>40</v>
      </c>
      <c r="D6776">
        <v>4.780481</v>
      </c>
      <c r="E6776">
        <v>0.51345839999999998</v>
      </c>
      <c r="F6776" t="s">
        <v>41</v>
      </c>
      <c r="G6776">
        <v>-185.43969999999999</v>
      </c>
      <c r="H6776" s="1">
        <v>-4.5044329999999999E-6</v>
      </c>
      <c r="I6776">
        <v>118.2471</v>
      </c>
      <c r="J6776">
        <v>-187.7251</v>
      </c>
      <c r="K6776">
        <v>1.1208830000000001</v>
      </c>
      <c r="L6776">
        <v>101.5933</v>
      </c>
      <c r="M6776">
        <v>-2.3310170000000002E-2</v>
      </c>
      <c r="N6776">
        <v>-1.346671E-2</v>
      </c>
      <c r="O6776">
        <v>0.99963760000000002</v>
      </c>
      <c r="P6776">
        <v>0.11238139999999899</v>
      </c>
      <c r="Q6776">
        <v>0.15995519999999999</v>
      </c>
      <c r="R6776">
        <v>0.98070630000000003</v>
      </c>
      <c r="S6776">
        <v>0.40963749999999999</v>
      </c>
      <c r="T6776">
        <v>-0.20150419999999999</v>
      </c>
      <c r="U6776">
        <v>3.045776</v>
      </c>
      <c r="V6776">
        <v>0.13519400000000001</v>
      </c>
      <c r="W6776">
        <v>0.1731239</v>
      </c>
      <c r="X6776">
        <v>0.97557709999999997</v>
      </c>
      <c r="Y6776">
        <v>0.1560993</v>
      </c>
      <c r="Z6776">
        <v>-5.1825610000000001E-2</v>
      </c>
      <c r="AA6776">
        <v>0.98638079999999995</v>
      </c>
      <c r="AB6776">
        <v>31</v>
      </c>
      <c r="AC6776">
        <v>2.2854000000000099</v>
      </c>
      <c r="AD6776">
        <v>-1.120887504433</v>
      </c>
      <c r="AE6776">
        <v>16.6538</v>
      </c>
      <c r="AF6776">
        <v>2.6611846897886502</v>
      </c>
      <c r="AG6776">
        <v>-1.120887504433</v>
      </c>
      <c r="AH6776">
        <v>16.522532673287799</v>
      </c>
      <c r="AI6776">
        <v>93.831762481914197</v>
      </c>
      <c r="AJ6776">
        <v>80.850293679158497</v>
      </c>
      <c r="AK6776">
        <v>16.7729657094571</v>
      </c>
      <c r="AL6776">
        <v>80.030500767426403</v>
      </c>
      <c r="AM6776">
        <v>82.110286087722997</v>
      </c>
      <c r="AN6776">
        <v>0.99999999021580999</v>
      </c>
    </row>
    <row r="6777" spans="1:40" x14ac:dyDescent="0.25">
      <c r="A6777" t="str">
        <f>"20190303162435872"</f>
        <v>20190303162435872</v>
      </c>
      <c r="B6777" t="str">
        <f>"1551601475861676"</f>
        <v>1551601475861676</v>
      </c>
      <c r="C6777" t="s">
        <v>40</v>
      </c>
      <c r="D6777">
        <v>4.813644</v>
      </c>
      <c r="E6777">
        <v>0.51319609999999904</v>
      </c>
      <c r="F6777" t="s">
        <v>41</v>
      </c>
      <c r="G6777">
        <v>-185.46199999999999</v>
      </c>
      <c r="H6777" s="1">
        <v>-4.4996390000000001E-6</v>
      </c>
      <c r="I6777">
        <v>118.24509999999999</v>
      </c>
      <c r="J6777">
        <v>-187.7321</v>
      </c>
      <c r="K6777">
        <v>1.1208670000000001</v>
      </c>
      <c r="L6777">
        <v>101.8918</v>
      </c>
      <c r="M6777">
        <v>-2.3381369999999999E-2</v>
      </c>
      <c r="N6777">
        <v>-1.3464479999999999E-2</v>
      </c>
      <c r="O6777">
        <v>0.99963590000000002</v>
      </c>
      <c r="P6777">
        <v>0.1148247</v>
      </c>
      <c r="Q6777">
        <v>0.158893799999999</v>
      </c>
      <c r="R6777">
        <v>0.98059580000000002</v>
      </c>
      <c r="S6777">
        <v>0.41384890000000002</v>
      </c>
      <c r="T6777">
        <v>-0.2049713</v>
      </c>
      <c r="U6777">
        <v>3.0450439999999999</v>
      </c>
      <c r="V6777">
        <v>0.13770370000000001</v>
      </c>
      <c r="W6777">
        <v>0.17205819999999999</v>
      </c>
      <c r="X6777">
        <v>0.97541460000000002</v>
      </c>
      <c r="Y6777">
        <v>0.15753059999999999</v>
      </c>
      <c r="Z6777">
        <v>-5.2948769999999999E-2</v>
      </c>
      <c r="AA6777">
        <v>0.98609360000000001</v>
      </c>
      <c r="AB6777">
        <v>31</v>
      </c>
      <c r="AC6777">
        <v>2.2700999999999798</v>
      </c>
      <c r="AD6777">
        <v>-1.1208714996389999</v>
      </c>
      <c r="AE6777">
        <v>16.353299999999901</v>
      </c>
      <c r="AF6777">
        <v>2.6397099611365298</v>
      </c>
      <c r="AG6777">
        <v>-1.1208714996389999</v>
      </c>
      <c r="AH6777">
        <v>16.220982276922399</v>
      </c>
      <c r="AI6777">
        <v>93.901696692052695</v>
      </c>
      <c r="AJ6777">
        <v>80.757036017400907</v>
      </c>
      <c r="AK6777">
        <v>16.472543447381</v>
      </c>
      <c r="AL6777">
        <v>80.092491110977207</v>
      </c>
      <c r="AM6777">
        <v>81.964398172381095</v>
      </c>
      <c r="AN6777">
        <v>0.999999987537044</v>
      </c>
    </row>
    <row r="6778" spans="1:40" x14ac:dyDescent="0.25">
      <c r="A6778" t="str">
        <f>"20190303162435894"</f>
        <v>20190303162435894</v>
      </c>
      <c r="B6778" t="str">
        <f>"1551601475881197"</f>
        <v>1551601475881197</v>
      </c>
      <c r="C6778" t="s">
        <v>40</v>
      </c>
      <c r="D6778">
        <v>4.7345810000000004</v>
      </c>
      <c r="E6778">
        <v>0.51300249999999903</v>
      </c>
      <c r="F6778" t="s">
        <v>41</v>
      </c>
      <c r="G6778">
        <v>-185.48750000000001</v>
      </c>
      <c r="H6778" s="1">
        <v>-4.4838829999999997E-6</v>
      </c>
      <c r="I6778">
        <v>118.21899999999999</v>
      </c>
      <c r="J6778">
        <v>-187.73939999999999</v>
      </c>
      <c r="K6778">
        <v>1.1208549999999999</v>
      </c>
      <c r="L6778">
        <v>102.2012</v>
      </c>
      <c r="M6778">
        <v>-2.3455239999999999E-2</v>
      </c>
      <c r="N6778">
        <v>-1.346223E-2</v>
      </c>
      <c r="O6778">
        <v>0.99963429999999998</v>
      </c>
      <c r="P6778">
        <v>0.11778959999999999</v>
      </c>
      <c r="Q6778">
        <v>0.1564342</v>
      </c>
      <c r="R6778">
        <v>0.98063959999999994</v>
      </c>
      <c r="S6778">
        <v>0.4185181</v>
      </c>
      <c r="T6778">
        <v>-0.20898820000000001</v>
      </c>
      <c r="U6778">
        <v>3.0442200000000001</v>
      </c>
      <c r="V6778">
        <v>0.14074130000000001</v>
      </c>
      <c r="W6778">
        <v>0.16959679999999999</v>
      </c>
      <c r="X6778">
        <v>0.9754121</v>
      </c>
      <c r="Y6778">
        <v>0.159111999999999</v>
      </c>
      <c r="Z6778">
        <v>-5.4249560000000002E-2</v>
      </c>
      <c r="AA6778">
        <v>0.98576889999999995</v>
      </c>
      <c r="AB6778">
        <v>30</v>
      </c>
      <c r="AC6778">
        <v>2.2518999999999698</v>
      </c>
      <c r="AD6778">
        <v>-1.1208594838829999</v>
      </c>
      <c r="AE6778">
        <v>16.017799999999902</v>
      </c>
      <c r="AF6778">
        <v>2.61446182743556</v>
      </c>
      <c r="AG6778">
        <v>-1.1208594838829999</v>
      </c>
      <c r="AH6778">
        <v>15.884296969963399</v>
      </c>
      <c r="AI6778">
        <v>93.9829142363958</v>
      </c>
      <c r="AJ6778">
        <v>80.653255436375503</v>
      </c>
      <c r="AK6778">
        <v>16.136995595826299</v>
      </c>
      <c r="AL6778">
        <v>80.235622776127897</v>
      </c>
      <c r="AM6778">
        <v>81.789511574221905</v>
      </c>
      <c r="AN6778">
        <v>0.999999976461169</v>
      </c>
    </row>
    <row r="6779" spans="1:40" x14ac:dyDescent="0.25">
      <c r="A6779" t="str">
        <f>"20190303162435917"</f>
        <v>20190303162435917</v>
      </c>
      <c r="B6779" t="str">
        <f>"1551601475911452"</f>
        <v>1551601475911452</v>
      </c>
      <c r="C6779" t="s">
        <v>40</v>
      </c>
      <c r="D6779">
        <v>4.77041</v>
      </c>
      <c r="E6779">
        <v>0.51279909999999995</v>
      </c>
      <c r="F6779" t="s">
        <v>41</v>
      </c>
      <c r="G6779">
        <v>-185.53739999999999</v>
      </c>
      <c r="H6779" s="1">
        <v>-4.3560469999999997E-6</v>
      </c>
      <c r="I6779">
        <v>117.94159999999999</v>
      </c>
      <c r="J6779">
        <v>-187.7466</v>
      </c>
      <c r="K6779">
        <v>1.1208389999999999</v>
      </c>
      <c r="L6779">
        <v>102.5027</v>
      </c>
      <c r="M6779">
        <v>-2.3527220000000001E-2</v>
      </c>
      <c r="N6779">
        <v>-1.3460069999999999E-2</v>
      </c>
      <c r="O6779">
        <v>0.99963259999999998</v>
      </c>
      <c r="P6779">
        <v>0.1207039</v>
      </c>
      <c r="Q6779">
        <v>0.15402060000000001</v>
      </c>
      <c r="R6779">
        <v>0.98066719999999996</v>
      </c>
      <c r="S6779">
        <v>0.42565920000000002</v>
      </c>
      <c r="T6779">
        <v>-0.21666479999999999</v>
      </c>
      <c r="U6779">
        <v>3.0426639999999998</v>
      </c>
      <c r="V6779">
        <v>0.1437261</v>
      </c>
      <c r="W6779">
        <v>0.16718079999999999</v>
      </c>
      <c r="X6779">
        <v>0.97539399999999998</v>
      </c>
      <c r="Y6779">
        <v>0.16149720000000001</v>
      </c>
      <c r="Z6779">
        <v>-5.6738589999999998E-2</v>
      </c>
      <c r="AA6779">
        <v>0.98524080000000003</v>
      </c>
      <c r="AB6779">
        <v>30</v>
      </c>
      <c r="AC6779">
        <v>2.2092000000000098</v>
      </c>
      <c r="AD6779">
        <v>-1.1208433560469999</v>
      </c>
      <c r="AE6779">
        <v>15.438899999999901</v>
      </c>
      <c r="AF6779">
        <v>2.5586407758732799</v>
      </c>
      <c r="AG6779">
        <v>-1.1208433560469999</v>
      </c>
      <c r="AH6779">
        <v>15.303604408320099</v>
      </c>
      <c r="AI6779">
        <v>94.131744268716005</v>
      </c>
      <c r="AJ6779">
        <v>80.508392408581102</v>
      </c>
      <c r="AK6779">
        <v>15.556453334070399</v>
      </c>
      <c r="AL6779">
        <v>80.376055250032806</v>
      </c>
      <c r="AM6779">
        <v>81.617681388005806</v>
      </c>
      <c r="AN6779">
        <v>1.00000003347292</v>
      </c>
    </row>
    <row r="6780" spans="1:40" x14ac:dyDescent="0.25">
      <c r="A6780" t="str">
        <f>"20190303162435940"</f>
        <v>20190303162435940</v>
      </c>
      <c r="B6780" t="str">
        <f>"1551601475931948"</f>
        <v>1551601475931948</v>
      </c>
      <c r="C6780" t="s">
        <v>40</v>
      </c>
      <c r="D6780">
        <v>4.8704409999999996</v>
      </c>
      <c r="E6780">
        <v>0.51268840000000004</v>
      </c>
      <c r="F6780" t="s">
        <v>41</v>
      </c>
      <c r="G6780">
        <v>-185.5839</v>
      </c>
      <c r="H6780" s="1">
        <v>-4.2608750000000001E-6</v>
      </c>
      <c r="I6780">
        <v>117.739</v>
      </c>
      <c r="J6780">
        <v>-187.7542</v>
      </c>
      <c r="K6780">
        <v>1.120833</v>
      </c>
      <c r="L6780">
        <v>102.82559999999999</v>
      </c>
      <c r="M6780">
        <v>-2.360402E-2</v>
      </c>
      <c r="N6780">
        <v>-1.3457780000000001E-2</v>
      </c>
      <c r="O6780">
        <v>0.99963080000000004</v>
      </c>
      <c r="P6780">
        <v>0.1242019</v>
      </c>
      <c r="Q6780">
        <v>0.15246579999999901</v>
      </c>
      <c r="R6780">
        <v>0.98047340000000005</v>
      </c>
      <c r="S6780">
        <v>0.43165589999999998</v>
      </c>
      <c r="T6780">
        <v>-0.223718</v>
      </c>
      <c r="U6780">
        <v>3.0411380000000001</v>
      </c>
      <c r="V6780">
        <v>0.147293799999999</v>
      </c>
      <c r="W6780">
        <v>0.16562070000000001</v>
      </c>
      <c r="X6780">
        <v>0.97512779999999999</v>
      </c>
      <c r="Y6780">
        <v>0.1635231</v>
      </c>
      <c r="Z6780">
        <v>-5.9029169999999999E-2</v>
      </c>
      <c r="AA6780">
        <v>0.98477190000000003</v>
      </c>
      <c r="AB6780">
        <v>30</v>
      </c>
      <c r="AC6780">
        <v>2.1702999999999899</v>
      </c>
      <c r="AD6780">
        <v>-1.1208372608749999</v>
      </c>
      <c r="AE6780">
        <v>14.9133999999999</v>
      </c>
      <c r="AF6780">
        <v>2.5078714008566498</v>
      </c>
      <c r="AG6780">
        <v>-1.1208372608749999</v>
      </c>
      <c r="AH6780">
        <v>14.776279109949</v>
      </c>
      <c r="AI6780">
        <v>94.276866832769699</v>
      </c>
      <c r="AJ6780">
        <v>80.367391910538601</v>
      </c>
      <c r="AK6780">
        <v>15.029441754892799</v>
      </c>
      <c r="AL6780">
        <v>80.466705466145797</v>
      </c>
      <c r="AM6780">
        <v>81.410363886235999</v>
      </c>
      <c r="AN6780">
        <v>0.99999995305988398</v>
      </c>
    </row>
    <row r="6781" spans="1:40" x14ac:dyDescent="0.25">
      <c r="A6781" t="str">
        <f>"20190303162435963"</f>
        <v>20190303162435963</v>
      </c>
      <c r="B6781" t="str">
        <f>"1551601475951468"</f>
        <v>1551601475951468</v>
      </c>
      <c r="C6781" t="s">
        <v>40</v>
      </c>
      <c r="D6781">
        <v>4.8819129999999999</v>
      </c>
      <c r="E6781">
        <v>0.52977529999999995</v>
      </c>
      <c r="F6781" t="s">
        <v>41</v>
      </c>
      <c r="G6781">
        <v>-185.58160000000001</v>
      </c>
      <c r="H6781" s="1">
        <v>-4.2929190000000003E-6</v>
      </c>
      <c r="I6781">
        <v>117.81270000000001</v>
      </c>
      <c r="J6781">
        <v>-187.76130000000001</v>
      </c>
      <c r="K6781">
        <v>1.120822</v>
      </c>
      <c r="L6781">
        <v>103.12269999999999</v>
      </c>
      <c r="M6781">
        <v>-2.367501E-2</v>
      </c>
      <c r="N6781">
        <v>-1.3455750000000001E-2</v>
      </c>
      <c r="O6781">
        <v>0.99962910000000005</v>
      </c>
      <c r="P6781">
        <v>0.1272114</v>
      </c>
      <c r="Q6781">
        <v>0.15160589999999999</v>
      </c>
      <c r="R6781">
        <v>0.98022089999999995</v>
      </c>
      <c r="S6781">
        <v>0.44058229999999998</v>
      </c>
      <c r="T6781">
        <v>-0.2272969</v>
      </c>
      <c r="U6781">
        <v>3.0392760000000001</v>
      </c>
      <c r="V6781">
        <v>0.150366</v>
      </c>
      <c r="W6781">
        <v>0.1647544</v>
      </c>
      <c r="X6781">
        <v>0.9748057</v>
      </c>
      <c r="Y6781">
        <v>0.16649710000000001</v>
      </c>
      <c r="Z6781">
        <v>-6.0195459999999999E-2</v>
      </c>
      <c r="AA6781">
        <v>0.98420280000000004</v>
      </c>
      <c r="AB6781">
        <v>30</v>
      </c>
      <c r="AC6781">
        <v>2.1796999999999902</v>
      </c>
      <c r="AD6781">
        <v>-1.120826292919</v>
      </c>
      <c r="AE6781">
        <v>14.69</v>
      </c>
      <c r="AF6781">
        <v>2.5125944328930001</v>
      </c>
      <c r="AG6781">
        <v>-1.120826292919</v>
      </c>
      <c r="AH6781">
        <v>14.5513869903574</v>
      </c>
      <c r="AI6781">
        <v>94.340552285379701</v>
      </c>
      <c r="AJ6781">
        <v>80.203313153312706</v>
      </c>
      <c r="AK6781">
        <v>14.809194633951099</v>
      </c>
      <c r="AL6781">
        <v>80.517033106933397</v>
      </c>
      <c r="AM6781">
        <v>81.231107932560803</v>
      </c>
      <c r="AN6781">
        <v>1.0000000495139201</v>
      </c>
    </row>
    <row r="6782" spans="1:40" x14ac:dyDescent="0.25">
      <c r="A6782" t="str">
        <f>"20190303162435985"</f>
        <v>20190303162435985</v>
      </c>
      <c r="B6782" t="str">
        <f>"1551601475971964"</f>
        <v>1551601475971964</v>
      </c>
      <c r="C6782" t="s">
        <v>40</v>
      </c>
      <c r="D6782">
        <v>4.8817870000000001</v>
      </c>
      <c r="E6782">
        <v>0.53457699999999997</v>
      </c>
      <c r="F6782" t="s">
        <v>55</v>
      </c>
      <c r="G6782">
        <v>-184.06280000000001</v>
      </c>
      <c r="H6782" s="1">
        <v>-2.2998049999999999E-6</v>
      </c>
      <c r="I6782">
        <v>122.0993</v>
      </c>
      <c r="J6782">
        <v>-187.76840000000001</v>
      </c>
      <c r="K6782">
        <v>1.1208199999999999</v>
      </c>
      <c r="L6782">
        <v>103.4198</v>
      </c>
      <c r="M6782">
        <v>-2.3745800000000001E-2</v>
      </c>
      <c r="N6782">
        <v>-1.345375E-2</v>
      </c>
      <c r="O6782">
        <v>0.9996275</v>
      </c>
      <c r="P6782">
        <v>0.1302363</v>
      </c>
      <c r="Q6782">
        <v>0.1512464</v>
      </c>
      <c r="R6782">
        <v>0.9798791</v>
      </c>
      <c r="S6782">
        <v>0.58700559999999902</v>
      </c>
      <c r="T6782">
        <v>-0.17789199999999999</v>
      </c>
      <c r="U6782">
        <v>3.0118710000000002</v>
      </c>
      <c r="V6782">
        <v>0.15345129999999901</v>
      </c>
      <c r="W6782">
        <v>0.16438759999999999</v>
      </c>
      <c r="X6782">
        <v>0.97438670000000005</v>
      </c>
      <c r="Y6782">
        <v>0.2142635</v>
      </c>
      <c r="Z6782">
        <v>-4.4243440000000002E-2</v>
      </c>
      <c r="AA6782">
        <v>0.97577340000000001</v>
      </c>
      <c r="AB6782">
        <v>30</v>
      </c>
      <c r="AC6782">
        <v>3.7056</v>
      </c>
      <c r="AD6782">
        <v>-1.1208222998049999</v>
      </c>
      <c r="AE6782">
        <v>18.679500000000001</v>
      </c>
      <c r="AF6782">
        <v>4.13383509415294</v>
      </c>
      <c r="AG6782">
        <v>-1.1208222998049999</v>
      </c>
      <c r="AH6782">
        <v>18.522070852312499</v>
      </c>
      <c r="AI6782">
        <v>93.379948340141695</v>
      </c>
      <c r="AJ6782">
        <v>77.418674985878198</v>
      </c>
      <c r="AK6782">
        <v>19.010837537348898</v>
      </c>
      <c r="AL6782">
        <v>80.5383393579596</v>
      </c>
      <c r="AM6782">
        <v>81.050279373670705</v>
      </c>
      <c r="AN6782">
        <v>1.0000000128211699</v>
      </c>
    </row>
    <row r="6783" spans="1:40" x14ac:dyDescent="0.25">
      <c r="A6783" t="str">
        <f>"20190303162436007"</f>
        <v>20190303162436007</v>
      </c>
      <c r="B6783" t="str">
        <f>"1551601476001243"</f>
        <v>1551601476001243</v>
      </c>
      <c r="C6783" t="s">
        <v>40</v>
      </c>
      <c r="D6783">
        <v>4.9167009999999998</v>
      </c>
      <c r="E6783">
        <v>0.53564639999999997</v>
      </c>
      <c r="F6783" t="s">
        <v>55</v>
      </c>
      <c r="G6783">
        <v>-184.2166</v>
      </c>
      <c r="H6783" s="1">
        <v>-1.7294049999999901E-6</v>
      </c>
      <c r="I6783">
        <v>120.30159999999999</v>
      </c>
      <c r="J6783">
        <v>-187.7756</v>
      </c>
      <c r="K6783">
        <v>1.120824</v>
      </c>
      <c r="L6783">
        <v>103.7213</v>
      </c>
      <c r="M6783">
        <v>-2.3817669999999999E-2</v>
      </c>
      <c r="N6783">
        <v>-1.34517E-2</v>
      </c>
      <c r="O6783">
        <v>0.99962580000000001</v>
      </c>
      <c r="P6783">
        <v>0.13261129999999999</v>
      </c>
      <c r="Q6783">
        <v>0.15117990000000001</v>
      </c>
      <c r="R6783">
        <v>0.97957070000000002</v>
      </c>
      <c r="S6783">
        <v>0.63291929999999996</v>
      </c>
      <c r="T6783">
        <v>-0.19972790000000001</v>
      </c>
      <c r="U6783">
        <v>3.0083009999999999</v>
      </c>
      <c r="V6783">
        <v>0.15588850000000001</v>
      </c>
      <c r="W6783">
        <v>0.16431419999999999</v>
      </c>
      <c r="X6783">
        <v>0.97401210000000005</v>
      </c>
      <c r="Y6783">
        <v>0.2287449</v>
      </c>
      <c r="Z6783">
        <v>-5.1173719999999999E-2</v>
      </c>
      <c r="AA6783">
        <v>0.97214040000000002</v>
      </c>
      <c r="AB6783">
        <v>30</v>
      </c>
      <c r="AC6783">
        <v>3.5589999999999899</v>
      </c>
      <c r="AD6783">
        <v>-1.1208257294049999</v>
      </c>
      <c r="AE6783">
        <v>16.580299999999902</v>
      </c>
      <c r="AF6783">
        <v>3.9357369418664598</v>
      </c>
      <c r="AG6783">
        <v>-1.1208257294049999</v>
      </c>
      <c r="AH6783">
        <v>16.419094720668198</v>
      </c>
      <c r="AI6783">
        <v>93.797896662154201</v>
      </c>
      <c r="AJ6783">
        <v>76.520256619121795</v>
      </c>
      <c r="AK6783">
        <v>16.921375447567598</v>
      </c>
      <c r="AL6783">
        <v>80.542602490402402</v>
      </c>
      <c r="AM6783">
        <v>80.907052365630307</v>
      </c>
      <c r="AN6783">
        <v>0.99999997585014899</v>
      </c>
    </row>
    <row r="6784" spans="1:40" x14ac:dyDescent="0.25">
      <c r="A6784" t="str">
        <f>"20190303162436029"</f>
        <v>20190303162436029</v>
      </c>
      <c r="B6784" t="str">
        <f>"1551601476021741"</f>
        <v>1551601476021741</v>
      </c>
      <c r="C6784" t="s">
        <v>40</v>
      </c>
      <c r="D6784">
        <v>4.9191779999999996</v>
      </c>
      <c r="E6784">
        <v>0.53567109999999996</v>
      </c>
      <c r="F6784" t="s">
        <v>55</v>
      </c>
      <c r="G6784">
        <v>-184.3263</v>
      </c>
      <c r="H6784" s="1">
        <v>-1.5334809999999999E-6</v>
      </c>
      <c r="I6784">
        <v>119.7354</v>
      </c>
      <c r="J6784">
        <v>-187.78299999999999</v>
      </c>
      <c r="K6784">
        <v>1.120827</v>
      </c>
      <c r="L6784">
        <v>104.03019999999999</v>
      </c>
      <c r="M6784">
        <v>-2.3891280000000001E-2</v>
      </c>
      <c r="N6784">
        <v>-1.344965E-2</v>
      </c>
      <c r="O6784">
        <v>0.99962410000000002</v>
      </c>
      <c r="P6784">
        <v>0.13565160000000001</v>
      </c>
      <c r="Q6784">
        <v>0.1515579</v>
      </c>
      <c r="R6784">
        <v>0.97909590000000002</v>
      </c>
      <c r="S6784">
        <v>0.64776610000000001</v>
      </c>
      <c r="T6784">
        <v>-0.21048529999999999</v>
      </c>
      <c r="U6784">
        <v>3.0073699999999999</v>
      </c>
      <c r="V6784">
        <v>0.15898860000000001</v>
      </c>
      <c r="W6784">
        <v>0.164683</v>
      </c>
      <c r="X6784">
        <v>0.9734486</v>
      </c>
      <c r="Y6784">
        <v>0.2334195</v>
      </c>
      <c r="Z6784">
        <v>-5.4590470000000002E-2</v>
      </c>
      <c r="AA6784">
        <v>0.97084250000000005</v>
      </c>
      <c r="AB6784">
        <v>30</v>
      </c>
      <c r="AC6784">
        <v>3.4566999999999801</v>
      </c>
      <c r="AD6784">
        <v>-1.120828533481</v>
      </c>
      <c r="AE6784">
        <v>15.7052</v>
      </c>
      <c r="AF6784">
        <v>3.8124440405423998</v>
      </c>
      <c r="AG6784">
        <v>-1.120828533481</v>
      </c>
      <c r="AH6784">
        <v>15.5426197762208</v>
      </c>
      <c r="AI6784">
        <v>94.006285074204698</v>
      </c>
      <c r="AJ6784">
        <v>76.218043432054102</v>
      </c>
      <c r="AK6784">
        <v>16.042568861373201</v>
      </c>
      <c r="AL6784">
        <v>80.521180407264694</v>
      </c>
      <c r="AM6784">
        <v>80.724060690241302</v>
      </c>
      <c r="AN6784">
        <v>1.0000000211304501</v>
      </c>
    </row>
    <row r="6785" spans="1:40" x14ac:dyDescent="0.25">
      <c r="A6785" t="str">
        <f>"20190303162436051"</f>
        <v>20190303162436051</v>
      </c>
      <c r="B6785" t="str">
        <f>"1551601476041260"</f>
        <v>1551601476041260</v>
      </c>
      <c r="C6785" t="s">
        <v>40</v>
      </c>
      <c r="D6785">
        <v>4.9533469999999999</v>
      </c>
      <c r="E6785">
        <v>0.53573979999999999</v>
      </c>
      <c r="F6785" t="s">
        <v>55</v>
      </c>
      <c r="G6785">
        <v>-184.37200000000001</v>
      </c>
      <c r="H6785" s="1">
        <v>-1.5027470000000001E-6</v>
      </c>
      <c r="I6785">
        <v>119.6724</v>
      </c>
      <c r="J6785">
        <v>-187.7901</v>
      </c>
      <c r="K6785">
        <v>1.12083</v>
      </c>
      <c r="L6785">
        <v>104.3228</v>
      </c>
      <c r="M6785">
        <v>-2.3960820000000001E-2</v>
      </c>
      <c r="N6785">
        <v>-1.344775E-2</v>
      </c>
      <c r="O6785">
        <v>0.99962249999999997</v>
      </c>
      <c r="P6785">
        <v>0.1384734</v>
      </c>
      <c r="Q6785">
        <v>0.15192139999999901</v>
      </c>
      <c r="R6785">
        <v>0.97864450000000003</v>
      </c>
      <c r="S6785">
        <v>0.65563959999999999</v>
      </c>
      <c r="T6785">
        <v>-0.2154334</v>
      </c>
      <c r="U6785">
        <v>3.006561</v>
      </c>
      <c r="V6785">
        <v>0.1618666</v>
      </c>
      <c r="W6785">
        <v>0.16503760000000001</v>
      </c>
      <c r="X6785">
        <v>0.9729141</v>
      </c>
      <c r="Y6785">
        <v>0.23594589999999999</v>
      </c>
      <c r="Z6785">
        <v>-5.6162509999999999E-2</v>
      </c>
      <c r="AA6785">
        <v>0.9701419</v>
      </c>
      <c r="AB6785">
        <v>30</v>
      </c>
      <c r="AC6785">
        <v>3.4180999999999799</v>
      </c>
      <c r="AD6785">
        <v>-1.1208315027469999</v>
      </c>
      <c r="AE6785">
        <v>15.349599999999899</v>
      </c>
      <c r="AF6785">
        <v>3.7658102309814998</v>
      </c>
      <c r="AG6785">
        <v>-1.1208315027469999</v>
      </c>
      <c r="AH6785">
        <v>15.186138130741501</v>
      </c>
      <c r="AI6785">
        <v>94.097471050531794</v>
      </c>
      <c r="AJ6785">
        <v>76.072909270413305</v>
      </c>
      <c r="AK6785">
        <v>15.6861844079201</v>
      </c>
      <c r="AL6785">
        <v>80.500581512096304</v>
      </c>
      <c r="AM6785">
        <v>80.554051831103905</v>
      </c>
      <c r="AN6785">
        <v>1.00000002579406</v>
      </c>
    </row>
    <row r="6786" spans="1:40" x14ac:dyDescent="0.25">
      <c r="A6786" t="str">
        <f>"20190303162436072"</f>
        <v>20190303162436072</v>
      </c>
      <c r="B6786" t="str">
        <f>"1551601476061757"</f>
        <v>1551601476061757</v>
      </c>
      <c r="C6786" t="s">
        <v>40</v>
      </c>
      <c r="D6786">
        <v>4.9601280000000001</v>
      </c>
      <c r="E6786">
        <v>0.53572519999999901</v>
      </c>
      <c r="F6786" t="s">
        <v>55</v>
      </c>
      <c r="G6786">
        <v>-184.34190000000001</v>
      </c>
      <c r="H6786" s="1">
        <v>-1.589977E-6</v>
      </c>
      <c r="I6786">
        <v>119.9414</v>
      </c>
      <c r="J6786">
        <v>-187.7971</v>
      </c>
      <c r="K6786">
        <v>1.120827</v>
      </c>
      <c r="L6786">
        <v>104.6147</v>
      </c>
      <c r="M6786">
        <v>-2.4025120000000001E-2</v>
      </c>
      <c r="N6786">
        <v>-1.3445810000000001E-2</v>
      </c>
      <c r="O6786">
        <v>0.99962090000000003</v>
      </c>
      <c r="P6786">
        <v>0.14048569999999999</v>
      </c>
      <c r="Q6786">
        <v>0.1519431</v>
      </c>
      <c r="R6786">
        <v>0.97835430000000001</v>
      </c>
      <c r="S6786">
        <v>0.6634369</v>
      </c>
      <c r="T6786">
        <v>-0.21565019999999999</v>
      </c>
      <c r="U6786">
        <v>3.0050509999999999</v>
      </c>
      <c r="V6786">
        <v>0.163935</v>
      </c>
      <c r="W6786">
        <v>0.16505220000000001</v>
      </c>
      <c r="X6786">
        <v>0.97256520000000002</v>
      </c>
      <c r="Y6786">
        <v>0.23850830000000001</v>
      </c>
      <c r="Z6786">
        <v>-5.6226440000000003E-2</v>
      </c>
      <c r="AA6786">
        <v>0.96951140000000002</v>
      </c>
      <c r="AB6786">
        <v>30</v>
      </c>
      <c r="AC6786">
        <v>3.4551999999999898</v>
      </c>
      <c r="AD6786">
        <v>-1.1208285899770001</v>
      </c>
      <c r="AE6786">
        <v>15.326700000000001</v>
      </c>
      <c r="AF6786">
        <v>3.8031067179056999</v>
      </c>
      <c r="AG6786">
        <v>-1.1208285899770001</v>
      </c>
      <c r="AH6786">
        <v>15.162092750570499</v>
      </c>
      <c r="AI6786">
        <v>94.101197418191802</v>
      </c>
      <c r="AJ6786">
        <v>75.9190107447385</v>
      </c>
      <c r="AK6786">
        <v>15.671915454493501</v>
      </c>
      <c r="AL6786">
        <v>80.4997330248098</v>
      </c>
      <c r="AM6786">
        <v>80.432195994597393</v>
      </c>
      <c r="AN6786">
        <v>0.99999999060043998</v>
      </c>
    </row>
    <row r="6787" spans="1:40" x14ac:dyDescent="0.25">
      <c r="A6787" t="str">
        <f>"20190303162436095"</f>
        <v>20190303162436095</v>
      </c>
      <c r="B6787" t="str">
        <f>"1551601476081276"</f>
        <v>1551601476081276</v>
      </c>
      <c r="C6787" t="s">
        <v>40</v>
      </c>
      <c r="D6787">
        <v>4.9421249999999999</v>
      </c>
      <c r="E6787">
        <v>0.53649569999999902</v>
      </c>
      <c r="F6787" t="s">
        <v>55</v>
      </c>
      <c r="G6787">
        <v>-184.3494</v>
      </c>
      <c r="H6787" s="1">
        <v>-1.6395759999999999E-6</v>
      </c>
      <c r="I6787">
        <v>120.11660000000001</v>
      </c>
      <c r="J6787">
        <v>-187.8048</v>
      </c>
      <c r="K6787">
        <v>1.1208209999999901</v>
      </c>
      <c r="L6787">
        <v>104.9333</v>
      </c>
      <c r="M6787">
        <v>-2.4079199999999999E-2</v>
      </c>
      <c r="N6787">
        <v>-1.3443689999999999E-2</v>
      </c>
      <c r="O6787">
        <v>0.9996197</v>
      </c>
      <c r="P6787">
        <v>0.14270550000000001</v>
      </c>
      <c r="Q6787">
        <v>0.15196309999999999</v>
      </c>
      <c r="R6787">
        <v>0.97802979999999995</v>
      </c>
      <c r="S6787">
        <v>0.66815190000000002</v>
      </c>
      <c r="T6787">
        <v>-0.21721109999999999</v>
      </c>
      <c r="U6787">
        <v>3.004181</v>
      </c>
      <c r="V6787">
        <v>0.16620279999999901</v>
      </c>
      <c r="W6787">
        <v>0.16506109999999999</v>
      </c>
      <c r="X6787">
        <v>0.97217869999999995</v>
      </c>
      <c r="Y6787">
        <v>0.2400621</v>
      </c>
      <c r="Z6787">
        <v>-5.6724730000000001E-2</v>
      </c>
      <c r="AA6787">
        <v>0.96909880000000004</v>
      </c>
      <c r="AB6787">
        <v>30</v>
      </c>
      <c r="AC6787">
        <v>3.4553999999999898</v>
      </c>
      <c r="AD6787">
        <v>-1.1208226395759999</v>
      </c>
      <c r="AE6787">
        <v>15.183299999999999</v>
      </c>
      <c r="AF6787">
        <v>3.8003432007487898</v>
      </c>
      <c r="AG6787">
        <v>-1.1208226395759999</v>
      </c>
      <c r="AH6787">
        <v>15.0178788285808</v>
      </c>
      <c r="AI6787">
        <v>94.138248260308501</v>
      </c>
      <c r="AJ6787">
        <v>75.799155068748405</v>
      </c>
      <c r="AK6787">
        <v>15.531758958430901</v>
      </c>
      <c r="AL6787">
        <v>80.499215909789598</v>
      </c>
      <c r="AM6787">
        <v>80.298554043217294</v>
      </c>
      <c r="AN6787">
        <v>0.99999998109736898</v>
      </c>
    </row>
    <row r="6788" spans="1:40" x14ac:dyDescent="0.25">
      <c r="A6788" t="str">
        <f>"20190303162436119"</f>
        <v>20190303162436119</v>
      </c>
      <c r="B6788" t="str">
        <f>"1551601476111533"</f>
        <v>1551601476111533</v>
      </c>
      <c r="C6788" t="s">
        <v>40</v>
      </c>
      <c r="D6788">
        <v>5.0433459999999997</v>
      </c>
      <c r="E6788">
        <v>0.53638660000000005</v>
      </c>
      <c r="F6788" t="s">
        <v>55</v>
      </c>
      <c r="G6788">
        <v>-184.23099999999999</v>
      </c>
      <c r="H6788" s="1">
        <v>-1.8402120000000001E-6</v>
      </c>
      <c r="I6788">
        <v>120.6908</v>
      </c>
      <c r="J6788">
        <v>-187.81219999999999</v>
      </c>
      <c r="K6788">
        <v>1.1208199999999999</v>
      </c>
      <c r="L6788">
        <v>105.2383</v>
      </c>
      <c r="M6788">
        <v>-2.410961E-2</v>
      </c>
      <c r="N6788">
        <v>-1.34416E-2</v>
      </c>
      <c r="O6788">
        <v>0.99961889999999998</v>
      </c>
      <c r="P6788">
        <v>0.1443815</v>
      </c>
      <c r="Q6788">
        <v>0.15327489999999999</v>
      </c>
      <c r="R6788">
        <v>0.97757910000000003</v>
      </c>
      <c r="S6788">
        <v>0.68067929999999999</v>
      </c>
      <c r="T6788">
        <v>-0.21347640000000001</v>
      </c>
      <c r="U6788">
        <v>3.0012509999999999</v>
      </c>
      <c r="V6788">
        <v>0.16790339999999901</v>
      </c>
      <c r="W6788">
        <v>0.16635800000000001</v>
      </c>
      <c r="X6788">
        <v>0.97166529999999995</v>
      </c>
      <c r="Y6788">
        <v>0.24415519999999999</v>
      </c>
      <c r="Z6788">
        <v>-5.552294E-2</v>
      </c>
      <c r="AA6788">
        <v>0.96814540000000004</v>
      </c>
      <c r="AB6788">
        <v>30</v>
      </c>
      <c r="AC6788">
        <v>3.5811999999999902</v>
      </c>
      <c r="AD6788">
        <v>-1.120821840212</v>
      </c>
      <c r="AE6788">
        <v>15.452500000000001</v>
      </c>
      <c r="AF6788">
        <v>3.9331085768543601</v>
      </c>
      <c r="AG6788">
        <v>-1.120821840212</v>
      </c>
      <c r="AH6788">
        <v>15.2853398999147</v>
      </c>
      <c r="AI6788">
        <v>94.061947973169396</v>
      </c>
      <c r="AJ6788">
        <v>75.5701118315407</v>
      </c>
      <c r="AK6788">
        <v>15.8229959404262</v>
      </c>
      <c r="AL6788">
        <v>80.423867421084907</v>
      </c>
      <c r="AM6788">
        <v>80.196125965676998</v>
      </c>
      <c r="AN6788">
        <v>0.999999995559824</v>
      </c>
    </row>
    <row r="6789" spans="1:40" x14ac:dyDescent="0.25">
      <c r="A6789" t="str">
        <f>"20190303162436140"</f>
        <v>20190303162436140</v>
      </c>
      <c r="B6789" t="str">
        <f>"1551601476131053"</f>
        <v>1551601476131053</v>
      </c>
      <c r="C6789" t="s">
        <v>40</v>
      </c>
      <c r="D6789">
        <v>5.0180579999999999</v>
      </c>
      <c r="E6789">
        <v>0.53641430000000001</v>
      </c>
      <c r="F6789" t="s">
        <v>55</v>
      </c>
      <c r="G6789">
        <v>-184.15649999999999</v>
      </c>
      <c r="H6789" s="1">
        <v>-2.0240550000000001E-6</v>
      </c>
      <c r="I6789">
        <v>121.24769999999999</v>
      </c>
      <c r="J6789">
        <v>-187.8193</v>
      </c>
      <c r="K6789">
        <v>1.120798</v>
      </c>
      <c r="L6789">
        <v>105.5305</v>
      </c>
      <c r="M6789">
        <v>-2.4093E-2</v>
      </c>
      <c r="N6789">
        <v>-1.343957E-2</v>
      </c>
      <c r="O6789">
        <v>0.99961940000000005</v>
      </c>
      <c r="P6789">
        <v>0.1441885</v>
      </c>
      <c r="Q6789">
        <v>0.15476319999999999</v>
      </c>
      <c r="R6789">
        <v>0.97737300000000005</v>
      </c>
      <c r="S6789">
        <v>0.68518069999999998</v>
      </c>
      <c r="T6789">
        <v>-0.21006910000000001</v>
      </c>
      <c r="U6789">
        <v>3.0005489999999999</v>
      </c>
      <c r="V6789">
        <v>0.16770109999999999</v>
      </c>
      <c r="W6789">
        <v>0.16782949999999999</v>
      </c>
      <c r="X6789">
        <v>0.97144719999999996</v>
      </c>
      <c r="Y6789">
        <v>0.2455831</v>
      </c>
      <c r="Z6789">
        <v>-5.4420099999999999E-2</v>
      </c>
      <c r="AA6789">
        <v>0.96784680000000001</v>
      </c>
      <c r="AB6789">
        <v>30</v>
      </c>
      <c r="AC6789">
        <v>3.6627999999999998</v>
      </c>
      <c r="AD6789">
        <v>-1.120800024055</v>
      </c>
      <c r="AE6789">
        <v>15.717199999999901</v>
      </c>
      <c r="AF6789">
        <v>4.0210508272120604</v>
      </c>
      <c r="AG6789">
        <v>-1.120800024055</v>
      </c>
      <c r="AH6789">
        <v>15.549382786928</v>
      </c>
      <c r="AI6789">
        <v>93.991881877898294</v>
      </c>
      <c r="AJ6789">
        <v>75.501011913850903</v>
      </c>
      <c r="AK6789">
        <v>16.099948680146699</v>
      </c>
      <c r="AL6789">
        <v>80.338354794388707</v>
      </c>
      <c r="AM6789">
        <v>80.205553546376194</v>
      </c>
      <c r="AN6789">
        <v>1.00000003119964</v>
      </c>
    </row>
    <row r="6790" spans="1:40" x14ac:dyDescent="0.25">
      <c r="A6790" t="str">
        <f>"20190303162436164"</f>
        <v>20190303162436164</v>
      </c>
      <c r="B6790" t="str">
        <f>"1551601476151549"</f>
        <v>1551601476151549</v>
      </c>
      <c r="C6790" t="s">
        <v>40</v>
      </c>
      <c r="D6790">
        <v>5.2171989999999999</v>
      </c>
      <c r="E6790">
        <v>0.53652909999999998</v>
      </c>
      <c r="F6790" t="s">
        <v>55</v>
      </c>
      <c r="G6790">
        <v>-184.0909</v>
      </c>
      <c r="H6790" s="1">
        <v>-2.2237049999999999E-6</v>
      </c>
      <c r="I6790">
        <v>121.8663</v>
      </c>
      <c r="J6790">
        <v>-187.82669999999999</v>
      </c>
      <c r="K6790">
        <v>1.1207450000000001</v>
      </c>
      <c r="L6790">
        <v>105.84139999999999</v>
      </c>
      <c r="M6790">
        <v>-2.3984350000000002E-2</v>
      </c>
      <c r="N6790">
        <v>-1.343749E-2</v>
      </c>
      <c r="O6790">
        <v>0.99962200000000001</v>
      </c>
      <c r="P6790">
        <v>0.1439657</v>
      </c>
      <c r="Q6790">
        <v>0.1566621</v>
      </c>
      <c r="R6790">
        <v>0.97710330000000001</v>
      </c>
      <c r="S6790">
        <v>0.68493649999999995</v>
      </c>
      <c r="T6790">
        <v>-0.2058991</v>
      </c>
      <c r="U6790">
        <v>3.001007</v>
      </c>
      <c r="V6790">
        <v>0.16738979999999901</v>
      </c>
      <c r="W6790">
        <v>0.16969970000000001</v>
      </c>
      <c r="X6790">
        <v>0.97117589999999998</v>
      </c>
      <c r="Y6790">
        <v>0.24538950000000001</v>
      </c>
      <c r="Z6790">
        <v>-5.3072849999999998E-2</v>
      </c>
      <c r="AA6790">
        <v>0.96797069999999996</v>
      </c>
      <c r="AB6790">
        <v>30</v>
      </c>
      <c r="AC6790">
        <v>3.7357999999999798</v>
      </c>
      <c r="AD6790">
        <v>-1.120747223705</v>
      </c>
      <c r="AE6790">
        <v>16.024899999999999</v>
      </c>
      <c r="AF6790">
        <v>4.1000856381455097</v>
      </c>
      <c r="AG6790">
        <v>-1.120747223705</v>
      </c>
      <c r="AH6790">
        <v>15.857116531085</v>
      </c>
      <c r="AI6790">
        <v>93.914504649305002</v>
      </c>
      <c r="AJ6790">
        <v>75.502856865376899</v>
      </c>
      <c r="AK6790">
        <v>16.416909613565501</v>
      </c>
      <c r="AL6790">
        <v>80.229640367785194</v>
      </c>
      <c r="AM6790">
        <v>80.220705201751997</v>
      </c>
      <c r="AN6790">
        <v>0.99999998103246901</v>
      </c>
    </row>
    <row r="6791" spans="1:40" x14ac:dyDescent="0.25">
      <c r="A6791" t="str">
        <f>"20190303162436187"</f>
        <v>20190303162436187</v>
      </c>
      <c r="B6791" t="str">
        <f>"1551601476161309"</f>
        <v>1551601476161309</v>
      </c>
      <c r="C6791" t="s">
        <v>40</v>
      </c>
      <c r="D6791">
        <v>5.1525509999999999</v>
      </c>
      <c r="E6791">
        <v>0.50776129999999997</v>
      </c>
      <c r="F6791" t="s">
        <v>55</v>
      </c>
      <c r="G6791">
        <v>-183.9675</v>
      </c>
      <c r="H6791" s="1">
        <v>-2.5463090000000001E-6</v>
      </c>
      <c r="I6791">
        <v>122.7397</v>
      </c>
      <c r="J6791">
        <v>-187.834</v>
      </c>
      <c r="K6791">
        <v>1.1206590000000001</v>
      </c>
      <c r="L6791">
        <v>106.15300000000001</v>
      </c>
      <c r="M6791">
        <v>-2.3742429999999998E-2</v>
      </c>
      <c r="N6791">
        <v>-1.343568E-2</v>
      </c>
      <c r="O6791">
        <v>0.99962779999999996</v>
      </c>
      <c r="P6791">
        <v>0.14283309999999999</v>
      </c>
      <c r="Q6791">
        <v>0.15731099999999901</v>
      </c>
      <c r="R6791">
        <v>0.97716530000000001</v>
      </c>
      <c r="S6791">
        <v>0.6854095</v>
      </c>
      <c r="T6791">
        <v>-0.19905039999999999</v>
      </c>
      <c r="U6791">
        <v>3.0012210000000001</v>
      </c>
      <c r="V6791">
        <v>0.16605980000000001</v>
      </c>
      <c r="W6791">
        <v>0.1703134</v>
      </c>
      <c r="X6791">
        <v>0.97129679999999996</v>
      </c>
      <c r="Y6791">
        <v>0.24531430000000001</v>
      </c>
      <c r="Z6791">
        <v>-5.0865769999999998E-2</v>
      </c>
      <c r="AA6791">
        <v>0.96810819999999997</v>
      </c>
      <c r="AB6791">
        <v>30</v>
      </c>
      <c r="AC6791">
        <v>3.8664999999999998</v>
      </c>
      <c r="AD6791">
        <v>-1.1206615463089999</v>
      </c>
      <c r="AE6791">
        <v>16.5867</v>
      </c>
      <c r="AF6791">
        <v>4.2408925943324398</v>
      </c>
      <c r="AG6791">
        <v>-1.1206615463089999</v>
      </c>
      <c r="AH6791">
        <v>16.419126752324399</v>
      </c>
      <c r="AI6791">
        <v>93.780873163151</v>
      </c>
      <c r="AJ6791">
        <v>75.517605908782997</v>
      </c>
      <c r="AK6791">
        <v>16.9949632422943</v>
      </c>
      <c r="AL6791">
        <v>80.193958637560002</v>
      </c>
      <c r="AM6791">
        <v>80.298108782093294</v>
      </c>
      <c r="AN6791">
        <v>0.99999999254291905</v>
      </c>
    </row>
    <row r="6792" spans="1:40" x14ac:dyDescent="0.25">
      <c r="A6792" t="str">
        <f>"20190303162436209"</f>
        <v>20190303162436209</v>
      </c>
      <c r="B6792" t="str">
        <f>"1551601476201325"</f>
        <v>1551601476201325</v>
      </c>
      <c r="C6792" t="s">
        <v>40</v>
      </c>
      <c r="D6792">
        <v>5.2563459999999997</v>
      </c>
      <c r="E6792">
        <v>0.4413668</v>
      </c>
      <c r="F6792" t="s">
        <v>55</v>
      </c>
      <c r="G6792">
        <v>-184.1919</v>
      </c>
      <c r="H6792" s="1">
        <v>-5.3890649999999999E-6</v>
      </c>
      <c r="I6792">
        <v>130.25040000000001</v>
      </c>
      <c r="J6792">
        <v>-187.8408</v>
      </c>
      <c r="K6792">
        <v>1.1205590000000001</v>
      </c>
      <c r="L6792">
        <v>106.45350000000001</v>
      </c>
      <c r="M6792">
        <v>-2.3400250000000001E-2</v>
      </c>
      <c r="N6792">
        <v>-1.343417E-2</v>
      </c>
      <c r="O6792">
        <v>0.99963590000000002</v>
      </c>
      <c r="P6792">
        <v>0.140350799999999</v>
      </c>
      <c r="Q6792">
        <v>0.15663170000000001</v>
      </c>
      <c r="R6792">
        <v>0.977634</v>
      </c>
      <c r="S6792">
        <v>0.45733639999999998</v>
      </c>
      <c r="T6792">
        <v>-0.1407216</v>
      </c>
      <c r="U6792">
        <v>3.025909</v>
      </c>
      <c r="V6792">
        <v>0.1632942</v>
      </c>
      <c r="W6792">
        <v>0.1696047</v>
      </c>
      <c r="X6792">
        <v>0.97188960000000002</v>
      </c>
      <c r="Y6792">
        <v>0.17239460000000001</v>
      </c>
      <c r="Z6792">
        <v>-3.2381239999999999E-2</v>
      </c>
      <c r="AA6792">
        <v>0.98449560000000003</v>
      </c>
      <c r="AB6792">
        <v>30</v>
      </c>
      <c r="AC6792">
        <v>3.64889999999999</v>
      </c>
      <c r="AD6792">
        <v>-1.1205643890649899</v>
      </c>
      <c r="AE6792">
        <v>23.796900000000001</v>
      </c>
      <c r="AF6792">
        <v>4.1957147103270396</v>
      </c>
      <c r="AG6792">
        <v>-1.1205643890649899</v>
      </c>
      <c r="AH6792">
        <v>23.653746154087099</v>
      </c>
      <c r="AI6792">
        <v>92.670655226437702</v>
      </c>
      <c r="AJ6792">
        <v>79.941465234057603</v>
      </c>
      <c r="AK6792">
        <v>24.0491038004015</v>
      </c>
      <c r="AL6792">
        <v>80.235164430687604</v>
      </c>
      <c r="AM6792">
        <v>80.462404047635303</v>
      </c>
      <c r="AN6792">
        <v>1.00000007230194</v>
      </c>
    </row>
    <row r="6793" spans="1:40" x14ac:dyDescent="0.25">
      <c r="A6793" t="str">
        <f>"20190303162436230"</f>
        <v>20190303162436230</v>
      </c>
      <c r="B6793" t="str">
        <f>"1551601476221821"</f>
        <v>1551601476221821</v>
      </c>
      <c r="C6793" t="s">
        <v>40</v>
      </c>
      <c r="D6793">
        <v>5.1548470000000002</v>
      </c>
      <c r="E6793">
        <v>0.44072689999999998</v>
      </c>
      <c r="F6793" t="s">
        <v>55</v>
      </c>
      <c r="G6793">
        <v>-188.45840000000001</v>
      </c>
      <c r="H6793" s="1">
        <v>-5.6641079999999999E-6</v>
      </c>
      <c r="I6793">
        <v>131.8844</v>
      </c>
      <c r="J6793">
        <v>-187.84700000000001</v>
      </c>
      <c r="K6793">
        <v>1.120466</v>
      </c>
      <c r="L6793">
        <v>106.7381</v>
      </c>
      <c r="M6793">
        <v>-2.2960499999999998E-2</v>
      </c>
      <c r="N6793">
        <v>-1.343284E-2</v>
      </c>
      <c r="O6793">
        <v>0.99964609999999998</v>
      </c>
      <c r="P6793">
        <v>0.13853309999999999</v>
      </c>
      <c r="Q6793">
        <v>0.15615799999999999</v>
      </c>
      <c r="R6793">
        <v>0.97796890000000003</v>
      </c>
      <c r="S6793">
        <v>-7.5317380000000003E-2</v>
      </c>
      <c r="T6793">
        <v>-0.13665539999999901</v>
      </c>
      <c r="U6793">
        <v>3.1013489999999999</v>
      </c>
      <c r="V6793">
        <v>0.16109519999999999</v>
      </c>
      <c r="W6793">
        <v>0.16909959999999999</v>
      </c>
      <c r="X6793">
        <v>0.97234449999999994</v>
      </c>
      <c r="Y6793">
        <v>-1.304134E-3</v>
      </c>
      <c r="Z6793">
        <v>-3.0576579999999999E-2</v>
      </c>
      <c r="AA6793">
        <v>0.99953159999999996</v>
      </c>
      <c r="AB6793">
        <v>30</v>
      </c>
      <c r="AC6793">
        <v>-0.61140000000000305</v>
      </c>
      <c r="AD6793">
        <v>-1.1204716641079999</v>
      </c>
      <c r="AE6793">
        <v>25.1463</v>
      </c>
      <c r="AF6793">
        <v>-3.3748091439838403E-2</v>
      </c>
      <c r="AG6793">
        <v>-1.1204716641079999</v>
      </c>
      <c r="AH6793">
        <v>25.103896409163902</v>
      </c>
      <c r="AI6793">
        <v>92.555605660978401</v>
      </c>
      <c r="AJ6793">
        <v>90.077024777738401</v>
      </c>
      <c r="AK6793">
        <v>25.128911846830501</v>
      </c>
      <c r="AL6793">
        <v>80.264528775463901</v>
      </c>
      <c r="AM6793">
        <v>80.592853216854607</v>
      </c>
      <c r="AN6793">
        <v>1.0000000824317199</v>
      </c>
    </row>
    <row r="6794" spans="1:40" x14ac:dyDescent="0.25">
      <c r="A6794" t="str">
        <f>"20190303162436252"</f>
        <v>20190303162436252</v>
      </c>
      <c r="B6794" t="str">
        <f>"1551601476241340"</f>
        <v>1551601476241340</v>
      </c>
      <c r="C6794" t="s">
        <v>40</v>
      </c>
      <c r="D6794">
        <v>5.171176</v>
      </c>
      <c r="E6794">
        <v>0.44269829999999999</v>
      </c>
      <c r="F6794" t="s">
        <v>55</v>
      </c>
      <c r="G6794">
        <v>-188.5438</v>
      </c>
      <c r="H6794" s="1">
        <v>-5.6497380000000001E-6</v>
      </c>
      <c r="I6794">
        <v>131.85489999999999</v>
      </c>
      <c r="J6794">
        <v>-187.85310000000001</v>
      </c>
      <c r="K6794">
        <v>1.1203620000000001</v>
      </c>
      <c r="L6794">
        <v>107.0313</v>
      </c>
      <c r="M6794">
        <v>-2.237227E-2</v>
      </c>
      <c r="N6794">
        <v>-1.343161E-2</v>
      </c>
      <c r="O6794">
        <v>0.99965950000000003</v>
      </c>
      <c r="P6794">
        <v>0.13777890000000001</v>
      </c>
      <c r="Q6794">
        <v>0.155947</v>
      </c>
      <c r="R6794">
        <v>0.97810920000000001</v>
      </c>
      <c r="S6794">
        <v>-8.6059570000000002E-2</v>
      </c>
      <c r="T6794">
        <v>-0.1383762</v>
      </c>
      <c r="U6794">
        <v>3.1018829999999999</v>
      </c>
      <c r="V6794">
        <v>0.1598135</v>
      </c>
      <c r="W6794">
        <v>0.16885139999999901</v>
      </c>
      <c r="X6794">
        <v>0.97259899999999999</v>
      </c>
      <c r="Y6794">
        <v>-5.3454779999999999E-3</v>
      </c>
      <c r="Z6794">
        <v>-3.1122360000000002E-2</v>
      </c>
      <c r="AA6794">
        <v>0.99950130000000004</v>
      </c>
      <c r="AB6794">
        <v>30</v>
      </c>
      <c r="AC6794">
        <v>-0.69069999999999199</v>
      </c>
      <c r="AD6794">
        <v>-1.120367649738</v>
      </c>
      <c r="AE6794">
        <v>24.8235999999999</v>
      </c>
      <c r="AF6794">
        <v>-0.134842259279816</v>
      </c>
      <c r="AG6794">
        <v>-1.120367649738</v>
      </c>
      <c r="AH6794">
        <v>24.782396931555201</v>
      </c>
      <c r="AI6794">
        <v>92.588438543773407</v>
      </c>
      <c r="AJ6794">
        <v>90.311746121155593</v>
      </c>
      <c r="AK6794">
        <v>24.808075374333701</v>
      </c>
      <c r="AL6794">
        <v>80.278956080369795</v>
      </c>
      <c r="AM6794">
        <v>80.668775158039395</v>
      </c>
      <c r="AN6794">
        <v>0.99999998243260402</v>
      </c>
    </row>
    <row r="6795" spans="1:40" x14ac:dyDescent="0.25">
      <c r="A6795" t="str">
        <f>"20190303162436277"</f>
        <v>20190303162436277</v>
      </c>
      <c r="B6795" t="str">
        <f>"1551601476271596"</f>
        <v>1551601476271596</v>
      </c>
      <c r="C6795" t="s">
        <v>40</v>
      </c>
      <c r="D6795">
        <v>5.153448</v>
      </c>
      <c r="E6795">
        <v>0.4450868</v>
      </c>
      <c r="F6795" t="s">
        <v>55</v>
      </c>
      <c r="G6795">
        <v>-188.43299999999999</v>
      </c>
      <c r="H6795" s="1">
        <v>-5.5277130000000002E-6</v>
      </c>
      <c r="I6795">
        <v>131.45339999999999</v>
      </c>
      <c r="J6795">
        <v>-187.85980000000001</v>
      </c>
      <c r="K6795">
        <v>1.1202399999999999</v>
      </c>
      <c r="L6795">
        <v>107.3685</v>
      </c>
      <c r="M6795">
        <v>-2.1524959999999999E-2</v>
      </c>
      <c r="N6795">
        <v>-1.343051E-2</v>
      </c>
      <c r="O6795">
        <v>0.99967810000000001</v>
      </c>
      <c r="P6795">
        <v>0.1382661</v>
      </c>
      <c r="Q6795">
        <v>0.1545839</v>
      </c>
      <c r="R6795">
        <v>0.97825680000000004</v>
      </c>
      <c r="S6795">
        <v>-7.3608399999999893E-2</v>
      </c>
      <c r="T6795">
        <v>-0.14222109999999999</v>
      </c>
      <c r="U6795">
        <v>3.100174</v>
      </c>
      <c r="V6795">
        <v>0.159525799999999</v>
      </c>
      <c r="W6795">
        <v>0.1674436</v>
      </c>
      <c r="X6795">
        <v>0.97288960000000002</v>
      </c>
      <c r="Y6795">
        <v>-2.1969490000000001E-3</v>
      </c>
      <c r="Z6795">
        <v>-3.2387480000000003E-2</v>
      </c>
      <c r="AA6795">
        <v>0.99947299999999994</v>
      </c>
      <c r="AB6795">
        <v>30</v>
      </c>
      <c r="AC6795">
        <v>-0.57319999999998505</v>
      </c>
      <c r="AD6795">
        <v>-1.1202455277129999</v>
      </c>
      <c r="AE6795">
        <v>24.084899999999902</v>
      </c>
      <c r="AF6795">
        <v>-5.4476114766849201E-2</v>
      </c>
      <c r="AG6795">
        <v>-1.1202455277129999</v>
      </c>
      <c r="AH6795">
        <v>24.039680018221201</v>
      </c>
      <c r="AI6795">
        <v>92.668037853564201</v>
      </c>
      <c r="AJ6795">
        <v>90.129837257207299</v>
      </c>
      <c r="AK6795">
        <v>24.065829158121801</v>
      </c>
      <c r="AL6795">
        <v>80.360782377928899</v>
      </c>
      <c r="AM6795">
        <v>80.688012308949396</v>
      </c>
      <c r="AN6795">
        <v>1.00000000691738</v>
      </c>
    </row>
    <row r="6796" spans="1:40" x14ac:dyDescent="0.25">
      <c r="A6796" t="str">
        <f>"20190303162436297"</f>
        <v>20190303162436297</v>
      </c>
      <c r="B6796" t="str">
        <f>"1551601476291117"</f>
        <v>1551601476291117</v>
      </c>
      <c r="C6796" t="s">
        <v>40</v>
      </c>
      <c r="D6796">
        <v>5.1458700000000004</v>
      </c>
      <c r="E6796">
        <v>0.44623170000000001</v>
      </c>
      <c r="F6796" t="s">
        <v>55</v>
      </c>
      <c r="G6796">
        <v>-188.3032</v>
      </c>
      <c r="H6796" s="1">
        <v>-6.0142150000000002E-6</v>
      </c>
      <c r="I6796">
        <v>132.95070000000001</v>
      </c>
      <c r="J6796">
        <v>-187.86490000000001</v>
      </c>
      <c r="K6796">
        <v>1.120133</v>
      </c>
      <c r="L6796">
        <v>107.6464</v>
      </c>
      <c r="M6796">
        <v>-2.0690879999999998E-2</v>
      </c>
      <c r="N6796">
        <v>-1.342983E-2</v>
      </c>
      <c r="O6796">
        <v>0.99969569999999996</v>
      </c>
      <c r="P6796">
        <v>0.14004229999999901</v>
      </c>
      <c r="Q6796">
        <v>0.15293960000000001</v>
      </c>
      <c r="R6796">
        <v>0.97826250000000003</v>
      </c>
      <c r="S6796">
        <v>-5.3665160000000003E-2</v>
      </c>
      <c r="T6796">
        <v>-0.1355604</v>
      </c>
      <c r="U6796">
        <v>3.095688</v>
      </c>
      <c r="V6796">
        <v>0.1605261</v>
      </c>
      <c r="W6796">
        <v>0.16575989999999999</v>
      </c>
      <c r="X6796">
        <v>0.97301340000000003</v>
      </c>
      <c r="Y6796">
        <v>3.3671679999999998E-3</v>
      </c>
      <c r="Z6796">
        <v>-3.0312189999999999E-2</v>
      </c>
      <c r="AA6796">
        <v>0.99953479999999995</v>
      </c>
      <c r="AB6796">
        <v>30</v>
      </c>
      <c r="AC6796">
        <v>-0.43829999999999802</v>
      </c>
      <c r="AD6796">
        <v>-1.1201390142150001</v>
      </c>
      <c r="AE6796">
        <v>25.304300000000001</v>
      </c>
      <c r="AF6796">
        <v>8.5242327465110998E-2</v>
      </c>
      <c r="AG6796">
        <v>-1.1201390142150001</v>
      </c>
      <c r="AH6796">
        <v>25.258471269412201</v>
      </c>
      <c r="AI6796">
        <v>92.539221363059696</v>
      </c>
      <c r="AJ6796">
        <v>89.806638849762393</v>
      </c>
      <c r="AK6796">
        <v>25.2834402036843</v>
      </c>
      <c r="AL6796">
        <v>80.458618800365898</v>
      </c>
      <c r="AM6796">
        <v>80.631825079551703</v>
      </c>
      <c r="AN6796">
        <v>1.0000000249043799</v>
      </c>
    </row>
    <row r="6797" spans="1:40" x14ac:dyDescent="0.25">
      <c r="A6797" t="str">
        <f>"20190303162436320"</f>
        <v>20190303162436320</v>
      </c>
      <c r="B6797" t="str">
        <f>"1551601476311612"</f>
        <v>1551601476311612</v>
      </c>
      <c r="C6797" t="s">
        <v>40</v>
      </c>
      <c r="D6797">
        <v>6.76912</v>
      </c>
      <c r="E6797">
        <v>0.44695600000000002</v>
      </c>
      <c r="F6797" t="s">
        <v>55</v>
      </c>
      <c r="G6797">
        <v>-188.1806</v>
      </c>
      <c r="H6797" s="1">
        <v>-5.7069689999999999E-6</v>
      </c>
      <c r="I6797">
        <v>131.96799999999999</v>
      </c>
      <c r="J6797">
        <v>-187.87010000000001</v>
      </c>
      <c r="K6797">
        <v>1.12002</v>
      </c>
      <c r="L6797">
        <v>107.94710000000001</v>
      </c>
      <c r="M6797">
        <v>-1.9659639999999999E-2</v>
      </c>
      <c r="N6797">
        <v>-1.3429190000000001E-2</v>
      </c>
      <c r="O6797">
        <v>0.99971650000000001</v>
      </c>
      <c r="P6797">
        <v>0.1418025</v>
      </c>
      <c r="Q6797">
        <v>0.1518109</v>
      </c>
      <c r="R6797">
        <v>0.97818479999999997</v>
      </c>
      <c r="S6797">
        <v>-4.0176389999999999E-2</v>
      </c>
      <c r="T6797">
        <v>-0.14252709999999999</v>
      </c>
      <c r="U6797">
        <v>3.0946959999999999</v>
      </c>
      <c r="V6797">
        <v>0.16131879999999901</v>
      </c>
      <c r="W6797">
        <v>0.16458889999999901</v>
      </c>
      <c r="X6797">
        <v>0.97308110000000003</v>
      </c>
      <c r="Y6797">
        <v>6.6852439999999999E-3</v>
      </c>
      <c r="Z6797">
        <v>-3.2573329999999998E-2</v>
      </c>
      <c r="AA6797">
        <v>0.99944699999999997</v>
      </c>
      <c r="AB6797">
        <v>30</v>
      </c>
      <c r="AC6797">
        <v>-0.31049999999999001</v>
      </c>
      <c r="AD6797">
        <v>-1.1200257069690001</v>
      </c>
      <c r="AE6797">
        <v>24.020899999999902</v>
      </c>
      <c r="AF6797">
        <v>0.16149383036765899</v>
      </c>
      <c r="AG6797">
        <v>-1.1200257069690001</v>
      </c>
      <c r="AH6797">
        <v>23.970256747296901</v>
      </c>
      <c r="AI6797">
        <v>92.675175824439506</v>
      </c>
      <c r="AJ6797">
        <v>89.613989328516993</v>
      </c>
      <c r="AK6797">
        <v>23.996952855995101</v>
      </c>
      <c r="AL6797">
        <v>80.526646749127295</v>
      </c>
      <c r="AM6797">
        <v>80.587033010064204</v>
      </c>
      <c r="AN6797">
        <v>1.0000000442069199</v>
      </c>
    </row>
    <row r="6798" spans="1:40" x14ac:dyDescent="0.25">
      <c r="A6798" t="str">
        <f>"20190303162436340"</f>
        <v>20190303162436340</v>
      </c>
      <c r="B6798" t="str">
        <f>"1551601476331133"</f>
        <v>1551601476331133</v>
      </c>
      <c r="C6798" t="s">
        <v>40</v>
      </c>
      <c r="D6798">
        <v>5.191236</v>
      </c>
      <c r="E6798">
        <v>0.44766929999999999</v>
      </c>
      <c r="F6798" t="s">
        <v>55</v>
      </c>
      <c r="G6798">
        <v>-188.10300000000001</v>
      </c>
      <c r="H6798" s="1">
        <v>-5.6548779999999997E-6</v>
      </c>
      <c r="I6798">
        <v>131.791</v>
      </c>
      <c r="J6798">
        <v>-187.87450000000001</v>
      </c>
      <c r="K6798">
        <v>1.1199209999999999</v>
      </c>
      <c r="L6798">
        <v>108.2308</v>
      </c>
      <c r="M6798">
        <v>-1.85606E-2</v>
      </c>
      <c r="N6798">
        <v>-1.342875E-2</v>
      </c>
      <c r="O6798">
        <v>0.9997376</v>
      </c>
      <c r="P6798">
        <v>0.14343929999999999</v>
      </c>
      <c r="Q6798">
        <v>0.1514065</v>
      </c>
      <c r="R6798">
        <v>0.97800880000000001</v>
      </c>
      <c r="S6798">
        <v>-3.022766E-2</v>
      </c>
      <c r="T6798">
        <v>-0.14532709999999999</v>
      </c>
      <c r="U6798">
        <v>3.093826</v>
      </c>
      <c r="V6798">
        <v>0.16191839999999999</v>
      </c>
      <c r="W6798">
        <v>0.16414389999999901</v>
      </c>
      <c r="X6798">
        <v>0.97305660000000005</v>
      </c>
      <c r="Y6798">
        <v>8.7951350000000008E-3</v>
      </c>
      <c r="Z6798">
        <v>-3.3490399999999997E-2</v>
      </c>
      <c r="AA6798">
        <v>0.99940030000000002</v>
      </c>
      <c r="AB6798">
        <v>30</v>
      </c>
      <c r="AC6798">
        <v>-0.22849999999996801</v>
      </c>
      <c r="AD6798">
        <v>-1.119926654878</v>
      </c>
      <c r="AE6798">
        <v>23.560199999999899</v>
      </c>
      <c r="AF6798">
        <v>0.208399386515985</v>
      </c>
      <c r="AG6798">
        <v>-1.119926654878</v>
      </c>
      <c r="AH6798">
        <v>23.5072714332095</v>
      </c>
      <c r="AI6798">
        <v>92.7274996080086</v>
      </c>
      <c r="AJ6798">
        <v>89.492068123043794</v>
      </c>
      <c r="AK6798">
        <v>23.534856622703099</v>
      </c>
      <c r="AL6798">
        <v>80.552494190446097</v>
      </c>
      <c r="AM6798">
        <v>80.552442279155102</v>
      </c>
      <c r="AN6798">
        <v>0.99999996748466402</v>
      </c>
    </row>
    <row r="6799" spans="1:40" x14ac:dyDescent="0.25">
      <c r="A6799" t="str">
        <f>"20190303162436366"</f>
        <v>20190303162436366</v>
      </c>
      <c r="B6799" t="str">
        <f>"1551601476351629"</f>
        <v>1551601476351629</v>
      </c>
      <c r="C6799" t="s">
        <v>40</v>
      </c>
      <c r="D6799">
        <v>5.2365190000000004</v>
      </c>
      <c r="E6799">
        <v>0.44808490000000001</v>
      </c>
      <c r="F6799" t="s">
        <v>55</v>
      </c>
      <c r="G6799">
        <v>-188.02590000000001</v>
      </c>
      <c r="H6799" s="1">
        <v>-5.7980769999999899E-6</v>
      </c>
      <c r="I6799">
        <v>132.22470000000001</v>
      </c>
      <c r="J6799">
        <v>-187.87889999999999</v>
      </c>
      <c r="K6799">
        <v>1.119804</v>
      </c>
      <c r="L6799">
        <v>108.5428</v>
      </c>
      <c r="M6799">
        <v>-1.719615E-2</v>
      </c>
      <c r="N6799">
        <v>-1.3428789999999999E-2</v>
      </c>
      <c r="O6799">
        <v>0.99976189999999998</v>
      </c>
      <c r="P6799">
        <v>0.1454869</v>
      </c>
      <c r="Q6799">
        <v>0.1502925</v>
      </c>
      <c r="R6799">
        <v>0.97787820000000003</v>
      </c>
      <c r="S6799">
        <v>-1.951599E-2</v>
      </c>
      <c r="T6799">
        <v>-0.1443517</v>
      </c>
      <c r="U6799">
        <v>3.0926670000000001</v>
      </c>
      <c r="V6799">
        <v>0.16267529999999999</v>
      </c>
      <c r="W6799">
        <v>0.1629844</v>
      </c>
      <c r="X6799">
        <v>0.97312529999999997</v>
      </c>
      <c r="Y6799">
        <v>1.088709E-2</v>
      </c>
      <c r="Z6799">
        <v>-3.3194880000000003E-2</v>
      </c>
      <c r="AA6799">
        <v>0.99938959999999999</v>
      </c>
      <c r="AB6799">
        <v>30</v>
      </c>
      <c r="AC6799">
        <v>-0.147000000000019</v>
      </c>
      <c r="AD6799">
        <v>-1.1198097980769901</v>
      </c>
      <c r="AE6799">
        <v>23.681899999999999</v>
      </c>
      <c r="AF6799">
        <v>0.25971531060642999</v>
      </c>
      <c r="AG6799">
        <v>-1.1198097980769901</v>
      </c>
      <c r="AH6799">
        <v>23.628097312564499</v>
      </c>
      <c r="AI6799">
        <v>92.713233109928098</v>
      </c>
      <c r="AJ6799">
        <v>89.370241635203897</v>
      </c>
      <c r="AK6799">
        <v>23.656043807840099</v>
      </c>
      <c r="AL6799">
        <v>80.619835949520507</v>
      </c>
      <c r="AM6799">
        <v>80.509738423110804</v>
      </c>
      <c r="AN6799">
        <v>1.00000000868677</v>
      </c>
    </row>
    <row r="6800" spans="1:40" x14ac:dyDescent="0.25">
      <c r="A6800" t="str">
        <f>"20190303162436390"</f>
        <v>20190303162436390</v>
      </c>
      <c r="B6800" t="str">
        <f>"1551601476381885"</f>
        <v>1551601476381885</v>
      </c>
      <c r="C6800" t="s">
        <v>40</v>
      </c>
      <c r="D6800">
        <v>5.3792330000000002</v>
      </c>
      <c r="E6800">
        <v>0.4485132</v>
      </c>
      <c r="F6800" t="s">
        <v>55</v>
      </c>
      <c r="G6800">
        <v>-187.9434</v>
      </c>
      <c r="H6800" s="1">
        <v>-5.6213249999999999E-6</v>
      </c>
      <c r="I6800">
        <v>131.65719999999999</v>
      </c>
      <c r="J6800">
        <v>-187.88290000000001</v>
      </c>
      <c r="K6800">
        <v>1.119659</v>
      </c>
      <c r="L6800">
        <v>108.8836</v>
      </c>
      <c r="M6800">
        <v>-1.550119E-2</v>
      </c>
      <c r="N6800">
        <v>-1.342929E-2</v>
      </c>
      <c r="O6800">
        <v>0.9997897</v>
      </c>
      <c r="P6800">
        <v>0.14719470000000001</v>
      </c>
      <c r="Q6800">
        <v>0.14972179999999999</v>
      </c>
      <c r="R6800">
        <v>0.97771010000000003</v>
      </c>
      <c r="S6800">
        <v>-8.6364749999999994E-3</v>
      </c>
      <c r="T6800">
        <v>-0.14980439999999901</v>
      </c>
      <c r="U6800">
        <v>3.0921630000000002</v>
      </c>
      <c r="V6800">
        <v>0.1627797</v>
      </c>
      <c r="W6800">
        <v>0.16236049999999999</v>
      </c>
      <c r="X6800">
        <v>0.97321210000000002</v>
      </c>
      <c r="Y6800">
        <v>1.270628E-2</v>
      </c>
      <c r="Z6800">
        <v>-3.4961319999999997E-2</v>
      </c>
      <c r="AA6800">
        <v>0.99930790000000003</v>
      </c>
      <c r="AB6800">
        <v>30</v>
      </c>
      <c r="AC6800">
        <v>-6.0499999999990402E-2</v>
      </c>
      <c r="AD6800">
        <v>-1.1196646213250001</v>
      </c>
      <c r="AE6800">
        <v>22.773599999999899</v>
      </c>
      <c r="AF6800">
        <v>0.291851535912243</v>
      </c>
      <c r="AG6800">
        <v>-1.1196646213250001</v>
      </c>
      <c r="AH6800">
        <v>22.716890276763401</v>
      </c>
      <c r="AI6800">
        <v>92.821464709426294</v>
      </c>
      <c r="AJ6800">
        <v>89.263942329434897</v>
      </c>
      <c r="AK6800">
        <v>22.746338826935801</v>
      </c>
      <c r="AL6800">
        <v>80.656065060364298</v>
      </c>
      <c r="AM6800">
        <v>80.504590296336502</v>
      </c>
      <c r="AN6800">
        <v>0.99999997713937405</v>
      </c>
    </row>
    <row r="6801" spans="1:40" x14ac:dyDescent="0.25">
      <c r="A6801" t="str">
        <f>"20190303162436412"</f>
        <v>20190303162436412</v>
      </c>
      <c r="B6801" t="str">
        <f>"1551601476401404"</f>
        <v>1551601476401404</v>
      </c>
      <c r="C6801" t="s">
        <v>40</v>
      </c>
      <c r="D6801">
        <v>5.2501910000000001</v>
      </c>
      <c r="E6801">
        <v>0.448824</v>
      </c>
      <c r="F6801" t="s">
        <v>55</v>
      </c>
      <c r="G6801">
        <v>-187.87520000000001</v>
      </c>
      <c r="H6801" s="1">
        <v>-5.6047370000000003E-6</v>
      </c>
      <c r="I6801">
        <v>131.59289999999999</v>
      </c>
      <c r="J6801">
        <v>-187.88579999999999</v>
      </c>
      <c r="K6801">
        <v>1.1195379999999999</v>
      </c>
      <c r="L6801">
        <v>109.17140000000001</v>
      </c>
      <c r="M6801">
        <v>-1.3931519999999999E-2</v>
      </c>
      <c r="N6801">
        <v>-1.342994E-2</v>
      </c>
      <c r="O6801">
        <v>0.99981279999999995</v>
      </c>
      <c r="P6801">
        <v>0.14817069999999999</v>
      </c>
      <c r="Q6801">
        <v>0.14973229999999901</v>
      </c>
      <c r="R6801">
        <v>0.97756109999999896</v>
      </c>
      <c r="S6801">
        <v>1.052856E-3</v>
      </c>
      <c r="T6801">
        <v>-0.15242790000000001</v>
      </c>
      <c r="U6801">
        <v>3.091583</v>
      </c>
      <c r="V6801">
        <v>0.162268</v>
      </c>
      <c r="W6801">
        <v>0.16232849999999999</v>
      </c>
      <c r="X6801">
        <v>0.97330289999999997</v>
      </c>
      <c r="Y6801">
        <v>1.426707E-2</v>
      </c>
      <c r="Z6801">
        <v>-3.5816540000000001E-2</v>
      </c>
      <c r="AA6801">
        <v>0.99925660000000005</v>
      </c>
      <c r="AB6801">
        <v>30</v>
      </c>
      <c r="AC6801">
        <v>1.05999999999824E-2</v>
      </c>
      <c r="AD6801">
        <v>-1.119543604737</v>
      </c>
      <c r="AE6801">
        <v>22.421499999999899</v>
      </c>
      <c r="AF6801">
        <v>0.32218943252333698</v>
      </c>
      <c r="AG6801">
        <v>-1.119543604737</v>
      </c>
      <c r="AH6801">
        <v>22.3634200518336</v>
      </c>
      <c r="AI6801">
        <v>92.865616210997203</v>
      </c>
      <c r="AJ6801">
        <v>89.174597731302001</v>
      </c>
      <c r="AK6801">
        <v>22.393743329959101</v>
      </c>
      <c r="AL6801">
        <v>80.657923300228404</v>
      </c>
      <c r="AM6801">
        <v>80.534765313868903</v>
      </c>
      <c r="AN6801">
        <v>0.99999999044232901</v>
      </c>
    </row>
    <row r="6802" spans="1:40" x14ac:dyDescent="0.25">
      <c r="A6802" t="str">
        <f>"20190303162436454"</f>
        <v>20190303162436454</v>
      </c>
      <c r="B6802" t="str">
        <f>"1551601476441421"</f>
        <v>1551601476441421</v>
      </c>
      <c r="C6802" t="s">
        <v>40</v>
      </c>
      <c r="D6802">
        <v>5.2150650000000001</v>
      </c>
      <c r="E6802">
        <v>0.44895560000000001</v>
      </c>
      <c r="F6802" t="s">
        <v>55</v>
      </c>
      <c r="G6802">
        <v>-187.8305</v>
      </c>
      <c r="H6802" s="1">
        <v>-5.8103689999999997E-6</v>
      </c>
      <c r="I6802">
        <v>132.2277</v>
      </c>
      <c r="J6802">
        <v>-187.8895</v>
      </c>
      <c r="K6802">
        <v>1.1192869999999999</v>
      </c>
      <c r="L6802">
        <v>109.7349</v>
      </c>
      <c r="M6802">
        <v>-1.035032E-2</v>
      </c>
      <c r="N6802">
        <v>-1.343257E-2</v>
      </c>
      <c r="O6802">
        <v>0.99985619999999997</v>
      </c>
      <c r="P6802">
        <v>0.1514576</v>
      </c>
      <c r="Q6802">
        <v>0.1524462</v>
      </c>
      <c r="R6802">
        <v>0.97663750000000005</v>
      </c>
      <c r="S6802">
        <v>7.4157709999999998E-3</v>
      </c>
      <c r="T6802">
        <v>-0.15007599999999999</v>
      </c>
      <c r="U6802">
        <v>3.0907140000000002</v>
      </c>
      <c r="V6802">
        <v>0.16216620000000001</v>
      </c>
      <c r="W6802">
        <v>0.16493459999999999</v>
      </c>
      <c r="X6802">
        <v>0.97288169999999996</v>
      </c>
      <c r="Y6802">
        <v>1.274368E-2</v>
      </c>
      <c r="Z6802">
        <v>-3.507271E-2</v>
      </c>
      <c r="AA6802">
        <v>0.99930350000000001</v>
      </c>
      <c r="AB6802">
        <v>30</v>
      </c>
      <c r="AC6802">
        <v>5.8999999999997499E-2</v>
      </c>
      <c r="AD6802">
        <v>-1.1192928103690001</v>
      </c>
      <c r="AE6802">
        <v>22.492799999999999</v>
      </c>
      <c r="AF6802">
        <v>0.29110467189961597</v>
      </c>
      <c r="AG6802">
        <v>-1.1192928103690001</v>
      </c>
      <c r="AH6802">
        <v>22.4354281084116</v>
      </c>
      <c r="AI6802">
        <v>92.855851127958502</v>
      </c>
      <c r="AJ6802">
        <v>89.256616227646802</v>
      </c>
      <c r="AK6802">
        <v>22.465217397858599</v>
      </c>
      <c r="AL6802">
        <v>80.506565211466196</v>
      </c>
      <c r="AM6802">
        <v>80.536574748283101</v>
      </c>
      <c r="AN6802">
        <v>1.0000000504472399</v>
      </c>
    </row>
    <row r="6803" spans="1:40" x14ac:dyDescent="0.25">
      <c r="A6803" t="str">
        <f>"20190303162436475"</f>
        <v>20190303162436475</v>
      </c>
      <c r="B6803" t="str">
        <f>"1551601476461917"</f>
        <v>1551601476461917</v>
      </c>
      <c r="C6803" t="s">
        <v>40</v>
      </c>
      <c r="D6803">
        <v>5.1969919999999998</v>
      </c>
      <c r="E6803">
        <v>0.44881330000000003</v>
      </c>
      <c r="F6803" t="s">
        <v>55</v>
      </c>
      <c r="G6803">
        <v>-187.7287</v>
      </c>
      <c r="H6803" s="1">
        <v>-6.493423E-6</v>
      </c>
      <c r="I6803">
        <v>134.34460000000001</v>
      </c>
      <c r="J6803">
        <v>-187.89019999999999</v>
      </c>
      <c r="K6803">
        <v>1.1191260000000001</v>
      </c>
      <c r="L6803">
        <v>110.02719999999999</v>
      </c>
      <c r="M6803">
        <v>-8.1703160000000004E-3</v>
      </c>
      <c r="N6803">
        <v>-1.3435920000000001E-2</v>
      </c>
      <c r="O6803">
        <v>0.9998764</v>
      </c>
      <c r="P6803">
        <v>0.15378349999999999</v>
      </c>
      <c r="Q6803">
        <v>0.1540086</v>
      </c>
      <c r="R6803">
        <v>0.97602869999999997</v>
      </c>
      <c r="S6803">
        <v>2.0187380000000001E-2</v>
      </c>
      <c r="T6803">
        <v>-0.14056489999999999</v>
      </c>
      <c r="U6803">
        <v>3.090576</v>
      </c>
      <c r="V6803">
        <v>0.16243640000000001</v>
      </c>
      <c r="W6803">
        <v>0.16642760000000001</v>
      </c>
      <c r="X6803">
        <v>0.97258230000000001</v>
      </c>
      <c r="Y6803">
        <v>1.469327E-2</v>
      </c>
      <c r="Z6803">
        <v>-3.20031E-2</v>
      </c>
      <c r="AA6803">
        <v>0.99937980000000004</v>
      </c>
      <c r="AB6803">
        <v>30</v>
      </c>
      <c r="AC6803">
        <v>0.16149999999998901</v>
      </c>
      <c r="AD6803">
        <v>-1.119132493423</v>
      </c>
      <c r="AE6803">
        <v>24.317399999999999</v>
      </c>
      <c r="AF6803">
        <v>0.35943212878709901</v>
      </c>
      <c r="AG6803">
        <v>-1.119132493423</v>
      </c>
      <c r="AH6803">
        <v>24.263879613152199</v>
      </c>
      <c r="AI6803">
        <v>92.640514963982199</v>
      </c>
      <c r="AJ6803">
        <v>89.151313056370299</v>
      </c>
      <c r="AK6803">
        <v>24.292334240961299</v>
      </c>
      <c r="AL6803">
        <v>80.419823592142507</v>
      </c>
      <c r="AM6803">
        <v>80.518227760330902</v>
      </c>
      <c r="AN6803">
        <v>1.0000000301800001</v>
      </c>
    </row>
    <row r="6804" spans="1:40" x14ac:dyDescent="0.25">
      <c r="A6804" t="str">
        <f>"20190303162436498"</f>
        <v>20190303162436498</v>
      </c>
      <c r="B6804" t="str">
        <f>"1551601476491196"</f>
        <v>1551601476491196</v>
      </c>
      <c r="C6804" t="s">
        <v>40</v>
      </c>
      <c r="D6804">
        <v>5.1455380000000002</v>
      </c>
      <c r="E6804">
        <v>0.44899480000000003</v>
      </c>
      <c r="F6804" t="s">
        <v>55</v>
      </c>
      <c r="G6804">
        <v>-187.6712</v>
      </c>
      <c r="H6804" s="1">
        <v>-6.8483049999999996E-6</v>
      </c>
      <c r="I6804">
        <v>135.4436</v>
      </c>
      <c r="J6804">
        <v>-187.89009999999999</v>
      </c>
      <c r="K6804">
        <v>1.118933</v>
      </c>
      <c r="L6804">
        <v>110.33110000000001</v>
      </c>
      <c r="M6804">
        <v>-5.657914E-3</v>
      </c>
      <c r="N6804">
        <v>-1.3440860000000001E-2</v>
      </c>
      <c r="O6804">
        <v>0.9998937</v>
      </c>
      <c r="P6804">
        <v>0.15735160000000001</v>
      </c>
      <c r="Q6804">
        <v>0.1550106</v>
      </c>
      <c r="R6804">
        <v>0.97530110000000003</v>
      </c>
      <c r="S6804">
        <v>2.6641850000000002E-2</v>
      </c>
      <c r="T6804">
        <v>-0.1361011</v>
      </c>
      <c r="U6804">
        <v>3.0909580000000001</v>
      </c>
      <c r="V6804">
        <v>0.1636348</v>
      </c>
      <c r="W6804">
        <v>0.16734679999999999</v>
      </c>
      <c r="X6804">
        <v>0.97222359999999997</v>
      </c>
      <c r="Y6804">
        <v>1.4267510000000001E-2</v>
      </c>
      <c r="Z6804">
        <v>-3.0553139999999999E-2</v>
      </c>
      <c r="AA6804">
        <v>0.99943130000000002</v>
      </c>
      <c r="AB6804">
        <v>30</v>
      </c>
      <c r="AC6804">
        <v>0.21889999999998999</v>
      </c>
      <c r="AD6804">
        <v>-1.1189398483049999</v>
      </c>
      <c r="AE6804">
        <v>25.112500000000001</v>
      </c>
      <c r="AF6804">
        <v>0.36027847249394601</v>
      </c>
      <c r="AG6804">
        <v>-1.1189398483049999</v>
      </c>
      <c r="AH6804">
        <v>25.061108453762898</v>
      </c>
      <c r="AI6804">
        <v>92.556206565130594</v>
      </c>
      <c r="AJ6804">
        <v>89.176372661856604</v>
      </c>
      <c r="AK6804">
        <v>25.0886624572362</v>
      </c>
      <c r="AL6804">
        <v>80.366408054519795</v>
      </c>
      <c r="AM6804">
        <v>80.446099803086696</v>
      </c>
      <c r="AN6804">
        <v>1.0000000138191201</v>
      </c>
    </row>
    <row r="6805" spans="1:40" x14ac:dyDescent="0.25">
      <c r="A6805" t="str">
        <f>"20190303162436521"</f>
        <v>20190303162436521</v>
      </c>
      <c r="B6805" t="str">
        <f>"1551601476511693"</f>
        <v>1551601476511693</v>
      </c>
      <c r="C6805" t="s">
        <v>40</v>
      </c>
      <c r="D6805">
        <v>5.162236</v>
      </c>
      <c r="E6805">
        <v>0.44903579999999998</v>
      </c>
      <c r="F6805" t="s">
        <v>55</v>
      </c>
      <c r="G6805">
        <v>-187.54669999999999</v>
      </c>
      <c r="H6805" s="1">
        <v>-7.4655139999999897E-6</v>
      </c>
      <c r="I6805">
        <v>137.3381</v>
      </c>
      <c r="J6805">
        <v>-187.88890000000001</v>
      </c>
      <c r="K6805">
        <v>1.118727</v>
      </c>
      <c r="L6805">
        <v>110.64060000000001</v>
      </c>
      <c r="M6805">
        <v>-2.8345200000000001E-3</v>
      </c>
      <c r="N6805">
        <v>-1.344684E-2</v>
      </c>
      <c r="O6805">
        <v>0.99990559999999995</v>
      </c>
      <c r="P6805">
        <v>0.16307920000000001</v>
      </c>
      <c r="Q6805">
        <v>0.15532839999999901</v>
      </c>
      <c r="R6805">
        <v>0.97430910000000004</v>
      </c>
      <c r="S6805">
        <v>3.9291380000000001E-2</v>
      </c>
      <c r="T6805">
        <v>-0.12802279999999999</v>
      </c>
      <c r="U6805">
        <v>3.0899809999999999</v>
      </c>
      <c r="V6805">
        <v>0.166693799999999</v>
      </c>
      <c r="W6805">
        <v>0.16756489999999999</v>
      </c>
      <c r="X6805">
        <v>0.97166620000000004</v>
      </c>
      <c r="Y6805">
        <v>1.55384999999999E-2</v>
      </c>
      <c r="Z6805">
        <v>-2.7952350000000001E-2</v>
      </c>
      <c r="AA6805">
        <v>0.9994885</v>
      </c>
      <c r="AB6805">
        <v>30</v>
      </c>
      <c r="AC6805">
        <v>0.34220000000001899</v>
      </c>
      <c r="AD6805">
        <v>-1.1187344655139999</v>
      </c>
      <c r="AE6805">
        <v>26.697499999999899</v>
      </c>
      <c r="AF6805">
        <v>0.41714769166707399</v>
      </c>
      <c r="AG6805">
        <v>-1.1187344655139999</v>
      </c>
      <c r="AH6805">
        <v>26.649634854555998</v>
      </c>
      <c r="AI6805">
        <v>92.403534342832401</v>
      </c>
      <c r="AJ6805">
        <v>89.103220342606306</v>
      </c>
      <c r="AK6805">
        <v>26.676368135152</v>
      </c>
      <c r="AL6805">
        <v>80.3537328430169</v>
      </c>
      <c r="AM6805">
        <v>80.265407197993596</v>
      </c>
      <c r="AN6805">
        <v>1.00000001144644</v>
      </c>
    </row>
    <row r="6806" spans="1:40" x14ac:dyDescent="0.25">
      <c r="A6806" t="str">
        <f>"20190303162436541"</f>
        <v>20190303162436541</v>
      </c>
      <c r="B6806" t="str">
        <f>"1551601476531213"</f>
        <v>1551601476531213</v>
      </c>
      <c r="C6806" t="s">
        <v>40</v>
      </c>
      <c r="D6806">
        <v>5.1293879999999996</v>
      </c>
      <c r="E6806">
        <v>0.44912819999999998</v>
      </c>
      <c r="F6806" t="s">
        <v>55</v>
      </c>
      <c r="G6806">
        <v>-187.374</v>
      </c>
      <c r="H6806" s="1">
        <v>-7.9335010000000006E-6</v>
      </c>
      <c r="I6806">
        <v>138.63310000000001</v>
      </c>
      <c r="J6806">
        <v>-187.8869</v>
      </c>
      <c r="K6806">
        <v>1.11854599999999</v>
      </c>
      <c r="L6806">
        <v>110.9104</v>
      </c>
      <c r="M6806">
        <v>-1.398204E-4</v>
      </c>
      <c r="N6806">
        <v>-1.34527E-2</v>
      </c>
      <c r="O6806">
        <v>0.99990950000000001</v>
      </c>
      <c r="P6806">
        <v>0.169985</v>
      </c>
      <c r="Q6806">
        <v>0.15440770000000001</v>
      </c>
      <c r="R6806">
        <v>0.97327450000000004</v>
      </c>
      <c r="S6806">
        <v>5.6823730000000003E-2</v>
      </c>
      <c r="T6806">
        <v>-0.1234637</v>
      </c>
      <c r="U6806">
        <v>3.0892490000000001</v>
      </c>
      <c r="V6806">
        <v>0.17104220000000001</v>
      </c>
      <c r="W6806">
        <v>0.16654559999999999</v>
      </c>
      <c r="X6806">
        <v>0.97108550000000005</v>
      </c>
      <c r="Y6806">
        <v>1.851763E-2</v>
      </c>
      <c r="Z6806">
        <v>-2.6481350000000001E-2</v>
      </c>
      <c r="AA6806">
        <v>0.99947779999999997</v>
      </c>
      <c r="AB6806">
        <v>30</v>
      </c>
      <c r="AC6806">
        <v>0.51289999999997304</v>
      </c>
      <c r="AD6806">
        <v>-1.11855393350099</v>
      </c>
      <c r="AE6806">
        <v>27.7227</v>
      </c>
      <c r="AF6806">
        <v>0.51593690930888703</v>
      </c>
      <c r="AG6806">
        <v>-1.11855393350099</v>
      </c>
      <c r="AH6806">
        <v>27.677585519683799</v>
      </c>
      <c r="AI6806">
        <v>92.313874113560999</v>
      </c>
      <c r="AJ6806">
        <v>88.932075051014706</v>
      </c>
      <c r="AK6806">
        <v>27.7049831979005</v>
      </c>
      <c r="AL6806">
        <v>80.412966315580405</v>
      </c>
      <c r="AM6806">
        <v>80.010665179766804</v>
      </c>
      <c r="AN6806">
        <v>0.99999995968522404</v>
      </c>
    </row>
    <row r="6807" spans="1:40" x14ac:dyDescent="0.25">
      <c r="A6807" t="str">
        <f>"20190303162436567"</f>
        <v>20190303162436567</v>
      </c>
      <c r="B6807" t="str">
        <f>"1551601476551709"</f>
        <v>1551601476551709</v>
      </c>
      <c r="C6807" t="s">
        <v>40</v>
      </c>
      <c r="D6807">
        <v>5.1874479999999998</v>
      </c>
      <c r="E6807">
        <v>0.44903860000000001</v>
      </c>
      <c r="F6807" t="s">
        <v>55</v>
      </c>
      <c r="G6807">
        <v>-187.17570000000001</v>
      </c>
      <c r="H6807" s="1">
        <v>-8.0796559999999995E-6</v>
      </c>
      <c r="I6807">
        <v>139.00120000000001</v>
      </c>
      <c r="J6807">
        <v>-187.88319999999999</v>
      </c>
      <c r="K6807">
        <v>1.1183299999999901</v>
      </c>
      <c r="L6807">
        <v>111.2347</v>
      </c>
      <c r="M6807">
        <v>3.3774310000000002E-3</v>
      </c>
      <c r="N6807">
        <v>-1.346052E-2</v>
      </c>
      <c r="O6807">
        <v>0.99990369999999995</v>
      </c>
      <c r="P6807">
        <v>0.17870839999999999</v>
      </c>
      <c r="Q6807">
        <v>0.153241299999999</v>
      </c>
      <c r="R6807">
        <v>0.97189530000000002</v>
      </c>
      <c r="S6807">
        <v>7.8186039999999998E-2</v>
      </c>
      <c r="T6807">
        <v>-0.12297139999999999</v>
      </c>
      <c r="U6807">
        <v>3.0882420000000002</v>
      </c>
      <c r="V6807">
        <v>0.17642160000000001</v>
      </c>
      <c r="W6807">
        <v>0.16525999999999999</v>
      </c>
      <c r="X6807">
        <v>0.9703425</v>
      </c>
      <c r="Y6807">
        <v>2.1915799999999999E-2</v>
      </c>
      <c r="Z6807">
        <v>-2.6323340000000001E-2</v>
      </c>
      <c r="AA6807">
        <v>0.9994132</v>
      </c>
      <c r="AB6807">
        <v>30</v>
      </c>
      <c r="AC6807">
        <v>0.70749999999998103</v>
      </c>
      <c r="AD6807">
        <v>-1.1183380796560001</v>
      </c>
      <c r="AE6807">
        <v>27.766500000000001</v>
      </c>
      <c r="AF6807">
        <v>0.612714729444225</v>
      </c>
      <c r="AG6807">
        <v>-1.1183380796560001</v>
      </c>
      <c r="AH6807">
        <v>27.7237870523224</v>
      </c>
      <c r="AI6807">
        <v>92.309414417728803</v>
      </c>
      <c r="AJ6807">
        <v>88.733930038953901</v>
      </c>
      <c r="AK6807">
        <v>27.753098348159401</v>
      </c>
      <c r="AL6807">
        <v>80.487661350753598</v>
      </c>
      <c r="AM6807">
        <v>79.695399828126298</v>
      </c>
      <c r="AN6807">
        <v>1.0000000079264</v>
      </c>
    </row>
    <row r="6808" spans="1:40" x14ac:dyDescent="0.25">
      <c r="A6808" t="str">
        <f>"20190303162436588"</f>
        <v>20190303162436588</v>
      </c>
      <c r="B6808" t="str">
        <f>"1551601476581964"</f>
        <v>1551601476581964</v>
      </c>
      <c r="C6808" t="s">
        <v>40</v>
      </c>
      <c r="D6808">
        <v>5.1917249999999999</v>
      </c>
      <c r="E6808">
        <v>0.49024269999999998</v>
      </c>
      <c r="F6808" t="s">
        <v>55</v>
      </c>
      <c r="G6808">
        <v>-186.9546</v>
      </c>
      <c r="H6808" s="1">
        <v>-8.0481509999999996E-6</v>
      </c>
      <c r="I6808">
        <v>138.85560000000001</v>
      </c>
      <c r="J6808">
        <v>-187.8784</v>
      </c>
      <c r="K6808">
        <v>1.1181449999999999</v>
      </c>
      <c r="L6808">
        <v>111.53700000000001</v>
      </c>
      <c r="M6808">
        <v>6.8890499999999999E-3</v>
      </c>
      <c r="N6808">
        <v>-1.3468000000000001E-2</v>
      </c>
      <c r="O6808">
        <v>0.99988560000000004</v>
      </c>
      <c r="P6808">
        <v>0.18806200000000001</v>
      </c>
      <c r="Q6808">
        <v>0.15199370000000001</v>
      </c>
      <c r="R6808">
        <v>0.97032499999999999</v>
      </c>
      <c r="S6808">
        <v>0.1037903</v>
      </c>
      <c r="T6808">
        <v>-0.1250037</v>
      </c>
      <c r="U6808">
        <v>3.0873569999999999</v>
      </c>
      <c r="V6808">
        <v>0.18243110000000001</v>
      </c>
      <c r="W6808">
        <v>0.1638946</v>
      </c>
      <c r="X6808">
        <v>0.9694625</v>
      </c>
      <c r="Y6808">
        <v>2.669036E-2</v>
      </c>
      <c r="Z6808">
        <v>-2.6976630000000001E-2</v>
      </c>
      <c r="AA6808">
        <v>0.99927969999999999</v>
      </c>
      <c r="AB6808">
        <v>30</v>
      </c>
      <c r="AC6808">
        <v>0.92379999999999995</v>
      </c>
      <c r="AD6808">
        <v>-1.118153048151</v>
      </c>
      <c r="AE6808">
        <v>27.3186</v>
      </c>
      <c r="AF6808">
        <v>0.73433300469996099</v>
      </c>
      <c r="AG6808">
        <v>-1.118153048151</v>
      </c>
      <c r="AH6808">
        <v>27.278669275109699</v>
      </c>
      <c r="AI6808">
        <v>92.3463917485237</v>
      </c>
      <c r="AJ6808">
        <v>88.457988451245697</v>
      </c>
      <c r="AK6808">
        <v>27.311450137656401</v>
      </c>
      <c r="AL6808">
        <v>80.566974842980699</v>
      </c>
      <c r="AM6808">
        <v>79.3428457645565</v>
      </c>
      <c r="AN6808">
        <v>1.0000000425313</v>
      </c>
    </row>
    <row r="6809" spans="1:40" x14ac:dyDescent="0.25">
      <c r="A6809" t="str">
        <f>"20190303162436610"</f>
        <v>20190303162436610</v>
      </c>
      <c r="B6809" t="str">
        <f>"1551601476601485"</f>
        <v>1551601476601485</v>
      </c>
      <c r="C6809" t="s">
        <v>40</v>
      </c>
      <c r="D6809">
        <v>5.1713279999999999</v>
      </c>
      <c r="E6809">
        <v>0.51213439999999999</v>
      </c>
      <c r="F6809" t="s">
        <v>41</v>
      </c>
      <c r="G6809">
        <v>-178.19820000000001</v>
      </c>
      <c r="H6809">
        <v>7.9985520000000004E-2</v>
      </c>
      <c r="I6809">
        <v>174.91099999999901</v>
      </c>
      <c r="J6809">
        <v>-187.87280000000001</v>
      </c>
      <c r="K6809">
        <v>1.117999</v>
      </c>
      <c r="L6809">
        <v>111.8205</v>
      </c>
      <c r="M6809">
        <v>1.0339040000000001E-2</v>
      </c>
      <c r="N6809">
        <v>-1.347435E-2</v>
      </c>
      <c r="O6809">
        <v>0.99985579999999996</v>
      </c>
      <c r="P6809">
        <v>0.198047</v>
      </c>
      <c r="Q6809">
        <v>0.1497995</v>
      </c>
      <c r="R6809">
        <v>0.96867820000000004</v>
      </c>
      <c r="S6809">
        <v>0.4598236</v>
      </c>
      <c r="T6809">
        <v>-4.9314139999999999E-2</v>
      </c>
      <c r="U6809">
        <v>3.0103610000000001</v>
      </c>
      <c r="V6809">
        <v>0.18911910000000001</v>
      </c>
      <c r="W6809">
        <v>0.16158789999999901</v>
      </c>
      <c r="X6809">
        <v>0.96856770000000003</v>
      </c>
      <c r="Y6809">
        <v>0.14073769999999999</v>
      </c>
      <c r="Z6809">
        <v>-2.739057E-3</v>
      </c>
      <c r="AA6809">
        <v>0.99004320000000001</v>
      </c>
      <c r="AB6809">
        <v>30</v>
      </c>
      <c r="AC6809">
        <v>9.6745999999999892</v>
      </c>
      <c r="AD6809">
        <v>-1.03801348</v>
      </c>
      <c r="AE6809">
        <v>63.090499999999899</v>
      </c>
      <c r="AF6809">
        <v>9.0193430166627309</v>
      </c>
      <c r="AG6809">
        <v>-1.03801348</v>
      </c>
      <c r="AH6809">
        <v>63.170455416903899</v>
      </c>
      <c r="AI6809">
        <v>90.931946908468504</v>
      </c>
      <c r="AJ6809">
        <v>81.8743489039922</v>
      </c>
      <c r="AK6809">
        <v>63.819530380722199</v>
      </c>
      <c r="AL6809">
        <v>80.700924702817801</v>
      </c>
      <c r="AM6809">
        <v>78.951635898945796</v>
      </c>
      <c r="AN6809">
        <v>1.0000000364472501</v>
      </c>
    </row>
    <row r="6810" spans="1:40" x14ac:dyDescent="0.25">
      <c r="A6810" t="str">
        <f>"20190303162436630"</f>
        <v>20190303162436630</v>
      </c>
      <c r="B6810" t="str">
        <f>"1551601476621980"</f>
        <v>1551601476621980</v>
      </c>
      <c r="C6810" t="s">
        <v>40</v>
      </c>
      <c r="D6810">
        <v>5.1876559999999996</v>
      </c>
      <c r="E6810">
        <v>0.52411770000000002</v>
      </c>
      <c r="F6810" t="s">
        <v>55</v>
      </c>
      <c r="G6810">
        <v>-181.1157</v>
      </c>
      <c r="H6810" s="1">
        <v>-9.5755169999999999E-6</v>
      </c>
      <c r="I6810">
        <v>142.39250000000001</v>
      </c>
      <c r="J6810">
        <v>-187.86619999999999</v>
      </c>
      <c r="K6810">
        <v>1.117869</v>
      </c>
      <c r="L6810">
        <v>112.1003</v>
      </c>
      <c r="M6810">
        <v>1.3882820000000001E-2</v>
      </c>
      <c r="N6810">
        <v>-1.3477690000000001E-2</v>
      </c>
      <c r="O6810">
        <v>0.99981279999999995</v>
      </c>
      <c r="P6810">
        <v>0.20893970000000001</v>
      </c>
      <c r="Q6810">
        <v>0.1478971</v>
      </c>
      <c r="R6810">
        <v>0.96668019999999999</v>
      </c>
      <c r="S6810">
        <v>0.6584778</v>
      </c>
      <c r="T6810">
        <v>-0.1089488</v>
      </c>
      <c r="U6810">
        <v>2.9792179999999999</v>
      </c>
      <c r="V6810">
        <v>0.19662959999999999</v>
      </c>
      <c r="W6810">
        <v>0.15956600000000001</v>
      </c>
      <c r="X6810">
        <v>0.96740660000000001</v>
      </c>
      <c r="Y6810">
        <v>0.20211770000000001</v>
      </c>
      <c r="Z6810">
        <v>-2.228047E-2</v>
      </c>
      <c r="AA6810">
        <v>0.97910770000000003</v>
      </c>
      <c r="AB6810">
        <v>30</v>
      </c>
      <c r="AC6810">
        <v>6.7504999999999802</v>
      </c>
      <c r="AD6810">
        <v>-1.117878575517</v>
      </c>
      <c r="AE6810">
        <v>30.292200000000001</v>
      </c>
      <c r="AF6810">
        <v>6.3210689244747797</v>
      </c>
      <c r="AG6810">
        <v>-1.117878575517</v>
      </c>
      <c r="AH6810">
        <v>30.343636388459501</v>
      </c>
      <c r="AI6810">
        <v>92.065555817779895</v>
      </c>
      <c r="AJ6810">
        <v>78.2326557083815</v>
      </c>
      <c r="AK6810">
        <v>31.015187152951398</v>
      </c>
      <c r="AL6810">
        <v>80.818293958724595</v>
      </c>
      <c r="AM6810">
        <v>78.510891265032797</v>
      </c>
      <c r="AN6810">
        <v>1.0000000188378599</v>
      </c>
    </row>
    <row r="6811" spans="1:40" x14ac:dyDescent="0.25">
      <c r="A6811" t="str">
        <f>"20190303162436653"</f>
        <v>20190303162436653</v>
      </c>
      <c r="B6811" t="str">
        <f>"1551601476641501"</f>
        <v>1551601476641501</v>
      </c>
      <c r="C6811" t="s">
        <v>40</v>
      </c>
      <c r="D6811">
        <v>5.0911549999999997</v>
      </c>
      <c r="E6811">
        <v>0.52827049999999998</v>
      </c>
      <c r="F6811" t="s">
        <v>55</v>
      </c>
      <c r="G6811">
        <v>-182.03809999999999</v>
      </c>
      <c r="H6811" s="1">
        <v>-6.8313500000000002E-6</v>
      </c>
      <c r="I6811">
        <v>134.14070000000001</v>
      </c>
      <c r="J6811">
        <v>-187.8579</v>
      </c>
      <c r="K6811">
        <v>1.1177379999999999</v>
      </c>
      <c r="L6811">
        <v>112.3969</v>
      </c>
      <c r="M6811">
        <v>1.7781870000000002E-2</v>
      </c>
      <c r="N6811">
        <v>-1.3475900000000001E-2</v>
      </c>
      <c r="O6811">
        <v>0.9997511</v>
      </c>
      <c r="P6811">
        <v>0.2237584</v>
      </c>
      <c r="Q6811">
        <v>0.1451411</v>
      </c>
      <c r="R6811">
        <v>0.96377710000000005</v>
      </c>
      <c r="S6811">
        <v>0.78201290000000001</v>
      </c>
      <c r="T6811">
        <v>-0.14999470000000001</v>
      </c>
      <c r="U6811">
        <v>2.9573520000000002</v>
      </c>
      <c r="V6811">
        <v>0.2077386</v>
      </c>
      <c r="W6811">
        <v>0.15664719999999999</v>
      </c>
      <c r="X6811">
        <v>0.96556010000000003</v>
      </c>
      <c r="Y6811">
        <v>0.23814959999999999</v>
      </c>
      <c r="Z6811">
        <v>-3.563989E-2</v>
      </c>
      <c r="AA6811">
        <v>0.97057439999999995</v>
      </c>
      <c r="AB6811">
        <v>30</v>
      </c>
      <c r="AC6811">
        <v>5.8198000000000096</v>
      </c>
      <c r="AD6811">
        <v>-1.11774483134999</v>
      </c>
      <c r="AE6811">
        <v>21.7438</v>
      </c>
      <c r="AF6811">
        <v>5.4188371121814196</v>
      </c>
      <c r="AG6811">
        <v>-1.11774483134999</v>
      </c>
      <c r="AH6811">
        <v>21.790126655635898</v>
      </c>
      <c r="AI6811">
        <v>92.849817084647697</v>
      </c>
      <c r="AJ6811">
        <v>76.034790773637098</v>
      </c>
      <c r="AK6811">
        <v>22.4816095692684</v>
      </c>
      <c r="AL6811">
        <v>80.987658938564195</v>
      </c>
      <c r="AM6811">
        <v>77.857999328831795</v>
      </c>
      <c r="AN6811">
        <v>0.99999998895490405</v>
      </c>
    </row>
    <row r="6812" spans="1:40" x14ac:dyDescent="0.25">
      <c r="A6812" t="str">
        <f>"20190303162436688"</f>
        <v>20190303162436688</v>
      </c>
      <c r="B6812" t="str">
        <f>"1551601476681517"</f>
        <v>1551601476681517</v>
      </c>
      <c r="C6812" t="s">
        <v>40</v>
      </c>
      <c r="D6812">
        <v>5.1295630000000001</v>
      </c>
      <c r="E6812">
        <v>0.53076190000000001</v>
      </c>
      <c r="F6812" t="s">
        <v>55</v>
      </c>
      <c r="G6812">
        <v>-182.40979999999999</v>
      </c>
      <c r="H6812" s="1">
        <v>-5.7643019999999997E-6</v>
      </c>
      <c r="I6812">
        <v>131.1001</v>
      </c>
      <c r="J6812">
        <v>-187.8424</v>
      </c>
      <c r="K6812">
        <v>1.117569</v>
      </c>
      <c r="L6812">
        <v>112.8608</v>
      </c>
      <c r="M6812">
        <v>2.4137059999999998E-2</v>
      </c>
      <c r="N6812">
        <v>-1.347015E-2</v>
      </c>
      <c r="O6812">
        <v>0.99961789999999995</v>
      </c>
      <c r="P6812">
        <v>0.2406045</v>
      </c>
      <c r="Q6812">
        <v>0.14511550000000001</v>
      </c>
      <c r="R6812">
        <v>0.95971399999999996</v>
      </c>
      <c r="S6812">
        <v>0.85650630000000005</v>
      </c>
      <c r="T6812">
        <v>-0.17572209999999999</v>
      </c>
      <c r="U6812">
        <v>2.940353</v>
      </c>
      <c r="V6812">
        <v>0.2185868</v>
      </c>
      <c r="W6812">
        <v>0.15641459999999999</v>
      </c>
      <c r="X6812">
        <v>0.96319999999999995</v>
      </c>
      <c r="Y6812">
        <v>0.25602190000000002</v>
      </c>
      <c r="Z6812">
        <v>-4.4040290000000003E-2</v>
      </c>
      <c r="AA6812">
        <v>0.96566719999999895</v>
      </c>
      <c r="AB6812">
        <v>30</v>
      </c>
      <c r="AC6812">
        <v>5.4325999999999999</v>
      </c>
      <c r="AD6812">
        <v>-1.117574764302</v>
      </c>
      <c r="AE6812">
        <v>18.2393</v>
      </c>
      <c r="AF6812">
        <v>4.9735828519885299</v>
      </c>
      <c r="AG6812">
        <v>-1.117574764302</v>
      </c>
      <c r="AH6812">
        <v>18.3020107098869</v>
      </c>
      <c r="AI6812">
        <v>93.372306342311106</v>
      </c>
      <c r="AJ6812">
        <v>74.796977981890194</v>
      </c>
      <c r="AK6812">
        <v>18.998660367621</v>
      </c>
      <c r="AL6812">
        <v>81.001152170136393</v>
      </c>
      <c r="AM6812">
        <v>77.213965047766095</v>
      </c>
      <c r="AN6812">
        <v>0.99999997811369901</v>
      </c>
    </row>
    <row r="6813" spans="1:40" x14ac:dyDescent="0.25">
      <c r="A6813" t="str">
        <f>"20190303162436709"</f>
        <v>20190303162436709</v>
      </c>
      <c r="B6813" t="str">
        <f>"1551601476701037"</f>
        <v>1551601476701037</v>
      </c>
      <c r="C6813" t="s">
        <v>40</v>
      </c>
      <c r="D6813">
        <v>5.1871510000000001</v>
      </c>
      <c r="E6813">
        <v>0.53092309999999998</v>
      </c>
      <c r="F6813" t="s">
        <v>55</v>
      </c>
      <c r="G6813">
        <v>-182.33170000000001</v>
      </c>
      <c r="H6813" s="1">
        <v>-5.4957370000000001E-6</v>
      </c>
      <c r="I6813">
        <v>130.24629999999999</v>
      </c>
      <c r="J6813">
        <v>-187.8313</v>
      </c>
      <c r="K6813">
        <v>1.1174660000000001</v>
      </c>
      <c r="L6813">
        <v>113.14530000000001</v>
      </c>
      <c r="M6813">
        <v>2.8184549999999999E-2</v>
      </c>
      <c r="N6813">
        <v>-1.3467410000000001E-2</v>
      </c>
      <c r="O6813">
        <v>0.99951199999999996</v>
      </c>
      <c r="P6813">
        <v>0.25203560000000003</v>
      </c>
      <c r="Q6813">
        <v>0.1461769</v>
      </c>
      <c r="R6813">
        <v>0.95661399999999996</v>
      </c>
      <c r="S6813">
        <v>0.92623900000000003</v>
      </c>
      <c r="T6813">
        <v>-0.1878397</v>
      </c>
      <c r="U6813">
        <v>2.9221339999999998</v>
      </c>
      <c r="V6813">
        <v>0.22623689999999999</v>
      </c>
      <c r="W6813">
        <v>0.1573329</v>
      </c>
      <c r="X6813">
        <v>0.96128210000000003</v>
      </c>
      <c r="Y6813">
        <v>0.27468550000000003</v>
      </c>
      <c r="Z6813">
        <v>-4.7991079999999998E-2</v>
      </c>
      <c r="AA6813">
        <v>0.96033570000000001</v>
      </c>
      <c r="AB6813">
        <v>30</v>
      </c>
      <c r="AC6813">
        <v>5.4995999999999796</v>
      </c>
      <c r="AD6813">
        <v>-1.117471495737</v>
      </c>
      <c r="AE6813">
        <v>17.1009999999999</v>
      </c>
      <c r="AF6813">
        <v>4.9960534147378999</v>
      </c>
      <c r="AG6813">
        <v>-1.117471495737</v>
      </c>
      <c r="AH6813">
        <v>17.182729382487199</v>
      </c>
      <c r="AI6813">
        <v>93.573388624188198</v>
      </c>
      <c r="AJ6813">
        <v>73.787673104209205</v>
      </c>
      <c r="AK6813">
        <v>17.929179604725</v>
      </c>
      <c r="AL6813">
        <v>80.947878282986906</v>
      </c>
      <c r="AM6813">
        <v>76.756493829653607</v>
      </c>
      <c r="AN6813">
        <v>1.0000000260622099</v>
      </c>
    </row>
    <row r="6814" spans="1:40" x14ac:dyDescent="0.25">
      <c r="A6814" t="str">
        <f>"20190303162436731"</f>
        <v>20190303162436731</v>
      </c>
      <c r="B6814" t="str">
        <f>"1551601476721533"</f>
        <v>1551601476721533</v>
      </c>
      <c r="C6814" t="s">
        <v>40</v>
      </c>
      <c r="D6814">
        <v>5.4775939999999999</v>
      </c>
      <c r="E6814">
        <v>0.53099449999999904</v>
      </c>
      <c r="F6814" t="s">
        <v>55</v>
      </c>
      <c r="G6814">
        <v>-182.11619999999999</v>
      </c>
      <c r="H6814" s="1">
        <v>-5.583645E-6</v>
      </c>
      <c r="I6814">
        <v>130.4821</v>
      </c>
      <c r="J6814">
        <v>-187.81870000000001</v>
      </c>
      <c r="K6814">
        <v>1.117381</v>
      </c>
      <c r="L6814">
        <v>113.4323</v>
      </c>
      <c r="M6814">
        <v>3.2364730000000001E-2</v>
      </c>
      <c r="N6814">
        <v>-1.346487E-2</v>
      </c>
      <c r="O6814">
        <v>0.99938539999999998</v>
      </c>
      <c r="P6814">
        <v>0.26345629999999998</v>
      </c>
      <c r="Q6814">
        <v>0.14800070000000001</v>
      </c>
      <c r="R6814">
        <v>0.9532505</v>
      </c>
      <c r="S6814">
        <v>0.95989990000000003</v>
      </c>
      <c r="T6814">
        <v>-0.18768860000000001</v>
      </c>
      <c r="U6814">
        <v>2.9118499999999998</v>
      </c>
      <c r="V6814">
        <v>0.2337796</v>
      </c>
      <c r="W6814">
        <v>0.159013299999999</v>
      </c>
      <c r="X6814">
        <v>0.95919849999999995</v>
      </c>
      <c r="Y6814">
        <v>0.28167799999999998</v>
      </c>
      <c r="Z6814">
        <v>-4.7979670000000002E-2</v>
      </c>
      <c r="AA6814">
        <v>0.95830859999999995</v>
      </c>
      <c r="AB6814">
        <v>30</v>
      </c>
      <c r="AC6814">
        <v>5.7025000000000103</v>
      </c>
      <c r="AD6814">
        <v>-1.1173865836450001</v>
      </c>
      <c r="AE6814">
        <v>17.049800000000001</v>
      </c>
      <c r="AF6814">
        <v>5.1278413688943498</v>
      </c>
      <c r="AG6814">
        <v>-1.1173865836450001</v>
      </c>
      <c r="AH6814">
        <v>17.159158448733699</v>
      </c>
      <c r="AI6814">
        <v>93.570201246700705</v>
      </c>
      <c r="AJ6814">
        <v>73.361755268027295</v>
      </c>
      <c r="AK6814">
        <v>17.943801953616301</v>
      </c>
      <c r="AL6814">
        <v>80.850370231826602</v>
      </c>
      <c r="AM6814">
        <v>76.302694515298597</v>
      </c>
      <c r="AN6814">
        <v>0.99999994667764802</v>
      </c>
    </row>
    <row r="6815" spans="1:40" x14ac:dyDescent="0.25">
      <c r="A6815" t="str">
        <f>"20190303162436754"</f>
        <v>20190303162436754</v>
      </c>
      <c r="B6815" t="str">
        <f>"1551601476741053"</f>
        <v>1551601476741053</v>
      </c>
      <c r="C6815" t="s">
        <v>40</v>
      </c>
      <c r="D6815">
        <v>5.1437730000000004</v>
      </c>
      <c r="E6815">
        <v>0.53202360000000004</v>
      </c>
      <c r="F6815" t="s">
        <v>55</v>
      </c>
      <c r="G6815">
        <v>-181.5333</v>
      </c>
      <c r="H6815" s="1">
        <v>-6.046728E-6</v>
      </c>
      <c r="I6815">
        <v>131.77010000000001</v>
      </c>
      <c r="J6815">
        <v>-187.80420000000001</v>
      </c>
      <c r="K6815">
        <v>1.117299</v>
      </c>
      <c r="L6815">
        <v>113.73269999999999</v>
      </c>
      <c r="M6815">
        <v>3.6851790000000002E-2</v>
      </c>
      <c r="N6815">
        <v>-1.346234E-2</v>
      </c>
      <c r="O6815">
        <v>0.99923010000000001</v>
      </c>
      <c r="P6815">
        <v>0.2745532</v>
      </c>
      <c r="Q6815">
        <v>0.14951970000000001</v>
      </c>
      <c r="R6815">
        <v>0.94987600000000005</v>
      </c>
      <c r="S6815">
        <v>0.99395750000000005</v>
      </c>
      <c r="T6815">
        <v>-0.17669989999999999</v>
      </c>
      <c r="U6815">
        <v>2.8998719999999998</v>
      </c>
      <c r="V6815">
        <v>0.24072260000000001</v>
      </c>
      <c r="W6815">
        <v>0.16039339999999999</v>
      </c>
      <c r="X6815">
        <v>0.95724949999999998</v>
      </c>
      <c r="Y6815">
        <v>0.28870289999999998</v>
      </c>
      <c r="Z6815">
        <v>-4.4457879999999998E-2</v>
      </c>
      <c r="AA6815">
        <v>0.95638599999999996</v>
      </c>
      <c r="AB6815">
        <v>30</v>
      </c>
      <c r="AC6815">
        <v>6.2709000000000099</v>
      </c>
      <c r="AD6815">
        <v>-1.1173050467279999</v>
      </c>
      <c r="AE6815">
        <v>18.037400000000002</v>
      </c>
      <c r="AF6815">
        <v>5.5827576919442201</v>
      </c>
      <c r="AG6815">
        <v>-1.1173050467279999</v>
      </c>
      <c r="AH6815">
        <v>18.193977664258298</v>
      </c>
      <c r="AI6815">
        <v>93.359921541086194</v>
      </c>
      <c r="AJ6815">
        <v>72.941553464524205</v>
      </c>
      <c r="AK6815">
        <v>19.064007376780399</v>
      </c>
      <c r="AL6815">
        <v>80.770268790980197</v>
      </c>
      <c r="AM6815">
        <v>75.884340870054601</v>
      </c>
      <c r="AN6815">
        <v>1.00000000908228</v>
      </c>
    </row>
    <row r="6816" spans="1:40" x14ac:dyDescent="0.25">
      <c r="A6816" t="str">
        <f>"20190303162436779"</f>
        <v>20190303162436779</v>
      </c>
      <c r="B6816" t="str">
        <f>"1551601476772285"</f>
        <v>1551601476772285</v>
      </c>
      <c r="C6816" t="s">
        <v>40</v>
      </c>
      <c r="D6816">
        <v>5.1117530000000002</v>
      </c>
      <c r="E6816">
        <v>0.56194119999999903</v>
      </c>
      <c r="F6816" t="s">
        <v>55</v>
      </c>
      <c r="G6816">
        <v>-181.11859999999999</v>
      </c>
      <c r="H6816" s="1">
        <v>-6.2954209999999998E-6</v>
      </c>
      <c r="I6816">
        <v>132.37710000000001</v>
      </c>
      <c r="J6816">
        <v>-187.7867</v>
      </c>
      <c r="K6816">
        <v>1.117202</v>
      </c>
      <c r="L6816">
        <v>114.0608</v>
      </c>
      <c r="M6816">
        <v>4.187515E-2</v>
      </c>
      <c r="N6816">
        <v>-1.346047E-2</v>
      </c>
      <c r="O6816">
        <v>0.99903220000000004</v>
      </c>
      <c r="P6816">
        <v>0.2854025</v>
      </c>
      <c r="Q6816">
        <v>0.1502454</v>
      </c>
      <c r="R6816">
        <v>0.9465578</v>
      </c>
      <c r="S6816">
        <v>1.035004</v>
      </c>
      <c r="T6816">
        <v>-0.1729724</v>
      </c>
      <c r="U6816">
        <v>2.8863829999999999</v>
      </c>
      <c r="V6816">
        <v>0.2469171</v>
      </c>
      <c r="W6816">
        <v>0.1609865</v>
      </c>
      <c r="X6816">
        <v>0.9555707</v>
      </c>
      <c r="Y6816">
        <v>0.29736889999999999</v>
      </c>
      <c r="Z6816">
        <v>-4.3284240000000002E-2</v>
      </c>
      <c r="AA6816">
        <v>0.95378099999999999</v>
      </c>
      <c r="AB6816">
        <v>30</v>
      </c>
      <c r="AC6816">
        <v>6.6681000000000097</v>
      </c>
      <c r="AD6816">
        <v>-1.1172082954209901</v>
      </c>
      <c r="AE6816">
        <v>18.316299999999998</v>
      </c>
      <c r="AF6816">
        <v>5.8758802055100601</v>
      </c>
      <c r="AG6816">
        <v>-1.1172082954209901</v>
      </c>
      <c r="AH6816">
        <v>18.518649341516898</v>
      </c>
      <c r="AI6816">
        <v>93.291089280859396</v>
      </c>
      <c r="AJ6816">
        <v>72.396012285682104</v>
      </c>
      <c r="AK6816">
        <v>19.4605882747395</v>
      </c>
      <c r="AL6816">
        <v>80.735839492695405</v>
      </c>
      <c r="AM6816">
        <v>75.511818891614993</v>
      </c>
      <c r="AN6816">
        <v>1.0000000350765701</v>
      </c>
    </row>
    <row r="6817" spans="1:40" x14ac:dyDescent="0.25">
      <c r="A6817" t="str">
        <f>"20190303162436800"</f>
        <v>20190303162436800</v>
      </c>
      <c r="B6817" t="str">
        <f>"1551601476791806"</f>
        <v>1551601476791806</v>
      </c>
      <c r="C6817" t="s">
        <v>40</v>
      </c>
      <c r="D6817">
        <v>5.1568310000000004</v>
      </c>
      <c r="E6817">
        <v>0.55927799999999905</v>
      </c>
      <c r="F6817" t="s">
        <v>55</v>
      </c>
      <c r="G6817">
        <v>-182.02260000000001</v>
      </c>
      <c r="H6817" s="1">
        <v>-4.372015E-6</v>
      </c>
      <c r="I6817">
        <v>126.642</v>
      </c>
      <c r="J6817">
        <v>-187.77019999999999</v>
      </c>
      <c r="K6817">
        <v>1.1171279999999999</v>
      </c>
      <c r="L6817">
        <v>114.34180000000001</v>
      </c>
      <c r="M6817">
        <v>4.6262060000000001E-2</v>
      </c>
      <c r="N6817">
        <v>-1.345944E-2</v>
      </c>
      <c r="O6817">
        <v>0.99883869999999997</v>
      </c>
      <c r="P6817">
        <v>0.29487400000000002</v>
      </c>
      <c r="Q6817">
        <v>0.15034220000000001</v>
      </c>
      <c r="R6817">
        <v>0.94363470000000005</v>
      </c>
      <c r="S6817">
        <v>1.291809</v>
      </c>
      <c r="T6817">
        <v>-0.25037989999999999</v>
      </c>
      <c r="U6817">
        <v>2.8196110000000001</v>
      </c>
      <c r="V6817">
        <v>0.25233299999999997</v>
      </c>
      <c r="W6817">
        <v>0.16097420000000001</v>
      </c>
      <c r="X6817">
        <v>0.95415689999999997</v>
      </c>
      <c r="Y6817">
        <v>0.37282959999999998</v>
      </c>
      <c r="Z6817">
        <v>-6.7817000000000002E-2</v>
      </c>
      <c r="AA6817">
        <v>0.92541830000000003</v>
      </c>
      <c r="AB6817">
        <v>30</v>
      </c>
      <c r="AC6817">
        <v>5.7475999999999701</v>
      </c>
      <c r="AD6817">
        <v>-1.1171323720149999</v>
      </c>
      <c r="AE6817">
        <v>12.3002</v>
      </c>
      <c r="AF6817">
        <v>5.1375776286808899</v>
      </c>
      <c r="AG6817">
        <v>-1.1171323720149999</v>
      </c>
      <c r="AH6817">
        <v>12.4685313314866</v>
      </c>
      <c r="AI6817">
        <v>94.735538894381904</v>
      </c>
      <c r="AJ6817">
        <v>67.606206948525298</v>
      </c>
      <c r="AK6817">
        <v>13.5317021173092</v>
      </c>
      <c r="AL6817">
        <v>80.736553336318394</v>
      </c>
      <c r="AM6817">
        <v>75.186873456397294</v>
      </c>
      <c r="AN6817">
        <v>1.0000000128861199</v>
      </c>
    </row>
    <row r="6818" spans="1:40" x14ac:dyDescent="0.25">
      <c r="A6818" t="str">
        <f>"20190303162436822"</f>
        <v>20190303162436822</v>
      </c>
      <c r="B6818" t="str">
        <f>"1551601476811325"</f>
        <v>1551601476811325</v>
      </c>
      <c r="C6818" t="s">
        <v>40</v>
      </c>
      <c r="D6818">
        <v>5.1990889999999998</v>
      </c>
      <c r="E6818">
        <v>0.55779449999999997</v>
      </c>
      <c r="F6818" t="s">
        <v>55</v>
      </c>
      <c r="G6818">
        <v>-182.16390000000001</v>
      </c>
      <c r="H6818" s="1">
        <v>-4.318078E-6</v>
      </c>
      <c r="I6818">
        <v>126.5102</v>
      </c>
      <c r="J6818">
        <v>-187.75149999999999</v>
      </c>
      <c r="K6818">
        <v>1.1170639999999901</v>
      </c>
      <c r="L6818">
        <v>114.6391</v>
      </c>
      <c r="M6818">
        <v>5.0965629999999998E-2</v>
      </c>
      <c r="N6818">
        <v>-1.345819E-2</v>
      </c>
      <c r="O6818">
        <v>0.99860970000000004</v>
      </c>
      <c r="P6818">
        <v>0.30409269999999999</v>
      </c>
      <c r="Q6818">
        <v>0.14922579999999999</v>
      </c>
      <c r="R6818">
        <v>0.9408822</v>
      </c>
      <c r="S6818">
        <v>1.2969820000000001</v>
      </c>
      <c r="T6818">
        <v>-0.25844119999999998</v>
      </c>
      <c r="U6818">
        <v>2.8150789999999999</v>
      </c>
      <c r="V6818">
        <v>0.25718560000000001</v>
      </c>
      <c r="W6818">
        <v>0.15976370000000001</v>
      </c>
      <c r="X6818">
        <v>0.95306409999999997</v>
      </c>
      <c r="Y6818">
        <v>0.37034509999999998</v>
      </c>
      <c r="Z6818">
        <v>-7.0532280000000003E-2</v>
      </c>
      <c r="AA6818">
        <v>0.92621249999999999</v>
      </c>
      <c r="AB6818">
        <v>29</v>
      </c>
      <c r="AC6818">
        <v>5.5875999999999797</v>
      </c>
      <c r="AD6818">
        <v>-1.1170683180780001</v>
      </c>
      <c r="AE6818">
        <v>11.871099999999901</v>
      </c>
      <c r="AF6818">
        <v>4.9394589676135698</v>
      </c>
      <c r="AG6818">
        <v>-1.1170683180780001</v>
      </c>
      <c r="AH6818">
        <v>12.0531003071788</v>
      </c>
      <c r="AI6818">
        <v>94.901528785060705</v>
      </c>
      <c r="AJ6818">
        <v>67.715780862477402</v>
      </c>
      <c r="AK6818">
        <v>13.073764703975099</v>
      </c>
      <c r="AL6818">
        <v>80.806819442746004</v>
      </c>
      <c r="AM6818">
        <v>74.898365395537297</v>
      </c>
      <c r="AN6818">
        <v>1.0000000256969199</v>
      </c>
    </row>
    <row r="6819" spans="1:40" x14ac:dyDescent="0.25">
      <c r="A6819" t="str">
        <f>"20190303162436842"</f>
        <v>20190303162436842</v>
      </c>
      <c r="B6819" t="str">
        <f>"1551601476831821"</f>
        <v>1551601476831821</v>
      </c>
      <c r="C6819" t="s">
        <v>40</v>
      </c>
      <c r="D6819">
        <v>5.2118060000000002</v>
      </c>
      <c r="E6819">
        <v>0.55662419999999901</v>
      </c>
      <c r="F6819" t="s">
        <v>55</v>
      </c>
      <c r="G6819">
        <v>-182.29920000000001</v>
      </c>
      <c r="H6819" s="1">
        <v>-4.2521000000000003E-6</v>
      </c>
      <c r="I6819">
        <v>126.3287</v>
      </c>
      <c r="J6819">
        <v>-187.73330000000001</v>
      </c>
      <c r="K6819">
        <v>1.117014</v>
      </c>
      <c r="L6819">
        <v>114.90649999999999</v>
      </c>
      <c r="M6819">
        <v>5.523264E-2</v>
      </c>
      <c r="N6819">
        <v>-1.3456539999999999E-2</v>
      </c>
      <c r="O6819">
        <v>0.99838280000000001</v>
      </c>
      <c r="P6819">
        <v>0.3124749</v>
      </c>
      <c r="Q6819">
        <v>0.14740300000000001</v>
      </c>
      <c r="R6819">
        <v>0.93841980000000003</v>
      </c>
      <c r="S6819">
        <v>1.309601</v>
      </c>
      <c r="T6819">
        <v>-0.26831480000000002</v>
      </c>
      <c r="U6819">
        <v>2.807785</v>
      </c>
      <c r="V6819">
        <v>0.26160299999999997</v>
      </c>
      <c r="W6819">
        <v>0.15786639999999999</v>
      </c>
      <c r="X6819">
        <v>0.95217750000000001</v>
      </c>
      <c r="Y6819">
        <v>0.37060850000000001</v>
      </c>
      <c r="Z6819">
        <v>-7.381836E-2</v>
      </c>
      <c r="AA6819">
        <v>0.92585099999999998</v>
      </c>
      <c r="AB6819">
        <v>29</v>
      </c>
      <c r="AC6819">
        <v>5.4340999999999999</v>
      </c>
      <c r="AD6819">
        <v>-1.1170182520999901</v>
      </c>
      <c r="AE6819">
        <v>11.4222</v>
      </c>
      <c r="AF6819">
        <v>4.7577645704257003</v>
      </c>
      <c r="AG6819">
        <v>-1.1170182520999901</v>
      </c>
      <c r="AH6819">
        <v>11.614353320745501</v>
      </c>
      <c r="AI6819">
        <v>95.085799195029793</v>
      </c>
      <c r="AJ6819">
        <v>67.723774057529894</v>
      </c>
      <c r="AK6819">
        <v>12.600684764814799</v>
      </c>
      <c r="AL6819">
        <v>80.916923555153602</v>
      </c>
      <c r="AM6819">
        <v>74.637501086414005</v>
      </c>
      <c r="AN6819">
        <v>0.99999996068210395</v>
      </c>
    </row>
    <row r="6820" spans="1:40" x14ac:dyDescent="0.25">
      <c r="A6820" t="str">
        <f>"20190303162436867"</f>
        <v>20190303162436867</v>
      </c>
      <c r="B6820" t="str">
        <f>"1551601476862078"</f>
        <v>1551601476862078</v>
      </c>
      <c r="C6820" t="s">
        <v>40</v>
      </c>
      <c r="D6820">
        <v>5.2355720000000003</v>
      </c>
      <c r="E6820">
        <v>0.55465439999999999</v>
      </c>
      <c r="F6820" t="s">
        <v>55</v>
      </c>
      <c r="G6820">
        <v>-182.43090000000001</v>
      </c>
      <c r="H6820" s="1">
        <v>-4.1824309999999998E-6</v>
      </c>
      <c r="I6820">
        <v>126.131</v>
      </c>
      <c r="J6820">
        <v>-187.7098</v>
      </c>
      <c r="K6820">
        <v>1.1169819999999999</v>
      </c>
      <c r="L6820">
        <v>115.2287</v>
      </c>
      <c r="M6820">
        <v>6.03951E-2</v>
      </c>
      <c r="N6820">
        <v>-1.345382E-2</v>
      </c>
      <c r="O6820">
        <v>0.99808390000000002</v>
      </c>
      <c r="P6820">
        <v>0.32147290000000001</v>
      </c>
      <c r="Q6820">
        <v>0.14530479999999901</v>
      </c>
      <c r="R6820">
        <v>0.93570379999999997</v>
      </c>
      <c r="S6820">
        <v>1.322784</v>
      </c>
      <c r="T6820">
        <v>-0.27866279999999999</v>
      </c>
      <c r="U6820">
        <v>2.8001860000000001</v>
      </c>
      <c r="V6820">
        <v>0.26579789999999998</v>
      </c>
      <c r="W6820">
        <v>0.15570479999999901</v>
      </c>
      <c r="X6820">
        <v>0.95137139999999998</v>
      </c>
      <c r="Y6820">
        <v>0.37022129999999998</v>
      </c>
      <c r="Z6820">
        <v>-7.7271740000000005E-2</v>
      </c>
      <c r="AA6820">
        <v>0.9257242</v>
      </c>
      <c r="AB6820">
        <v>29</v>
      </c>
      <c r="AC6820">
        <v>5.2788999999999904</v>
      </c>
      <c r="AD6820">
        <v>-1.1169861824309999</v>
      </c>
      <c r="AE6820">
        <v>10.902299999999901</v>
      </c>
      <c r="AF6820">
        <v>4.5718808825346704</v>
      </c>
      <c r="AG6820">
        <v>-1.1169861824309999</v>
      </c>
      <c r="AH6820">
        <v>11.106799263787099</v>
      </c>
      <c r="AI6820">
        <v>95.313069488248004</v>
      </c>
      <c r="AJ6820">
        <v>67.626512521531595</v>
      </c>
      <c r="AK6820">
        <v>12.0627833778896</v>
      </c>
      <c r="AL6820">
        <v>81.042325602999497</v>
      </c>
      <c r="AM6820">
        <v>74.390489713767593</v>
      </c>
      <c r="AN6820">
        <v>1.0000000245627001</v>
      </c>
    </row>
    <row r="6821" spans="1:40" x14ac:dyDescent="0.25">
      <c r="A6821" t="str">
        <f>"20190303162436889"</f>
        <v>20190303162436889</v>
      </c>
      <c r="B6821" t="str">
        <f>"1551601476881597"</f>
        <v>1551601476881597</v>
      </c>
      <c r="C6821" t="s">
        <v>40</v>
      </c>
      <c r="D6821">
        <v>5.2601269999999998</v>
      </c>
      <c r="E6821">
        <v>0.55392459999999999</v>
      </c>
      <c r="F6821" t="s">
        <v>55</v>
      </c>
      <c r="G6821">
        <v>-182.5575</v>
      </c>
      <c r="H6821" s="1">
        <v>-4.1370429999999997E-6</v>
      </c>
      <c r="I6821">
        <v>126.0241</v>
      </c>
      <c r="J6821">
        <v>-187.68719999999999</v>
      </c>
      <c r="K6821">
        <v>1.116968</v>
      </c>
      <c r="L6821">
        <v>115.5189</v>
      </c>
      <c r="M6821">
        <v>6.5047229999999998E-2</v>
      </c>
      <c r="N6821">
        <v>-1.345097E-2</v>
      </c>
      <c r="O6821">
        <v>0.99779150000000005</v>
      </c>
      <c r="P6821">
        <v>0.3291808</v>
      </c>
      <c r="Q6821">
        <v>0.1426096</v>
      </c>
      <c r="R6821">
        <v>0.93343589999999999</v>
      </c>
      <c r="S6821">
        <v>1.333008</v>
      </c>
      <c r="T6821">
        <v>-0.288991099999999</v>
      </c>
      <c r="U6821">
        <v>2.7930450000000002</v>
      </c>
      <c r="V6821">
        <v>0.26916570000000001</v>
      </c>
      <c r="W6821">
        <v>0.15296760000000001</v>
      </c>
      <c r="X6821">
        <v>0.95086839999999995</v>
      </c>
      <c r="Y6821">
        <v>0.36944569999999999</v>
      </c>
      <c r="Z6821">
        <v>-8.073553E-2</v>
      </c>
      <c r="AA6821">
        <v>0.92573850000000002</v>
      </c>
      <c r="AB6821">
        <v>29</v>
      </c>
      <c r="AC6821">
        <v>5.1296999999999802</v>
      </c>
      <c r="AD6821">
        <v>-1.1169721370429999</v>
      </c>
      <c r="AE6821">
        <v>10.5052</v>
      </c>
      <c r="AF6821">
        <v>4.3953154224539697</v>
      </c>
      <c r="AG6821">
        <v>-1.1169721370429999</v>
      </c>
      <c r="AH6821">
        <v>10.7188037513273</v>
      </c>
      <c r="AI6821">
        <v>95.507185234184803</v>
      </c>
      <c r="AJ6821">
        <v>67.703598302672603</v>
      </c>
      <c r="AK6821">
        <v>11.6386931516068</v>
      </c>
      <c r="AL6821">
        <v>81.201057195193101</v>
      </c>
      <c r="AM6821">
        <v>74.194585022490003</v>
      </c>
      <c r="AN6821">
        <v>0.99999998741240403</v>
      </c>
    </row>
    <row r="6822" spans="1:40" x14ac:dyDescent="0.25">
      <c r="A6822" t="str">
        <f>"20190303162436909"</f>
        <v>20190303162436909</v>
      </c>
      <c r="B6822" t="str">
        <f>"1551601476902092"</f>
        <v>1551601476902092</v>
      </c>
      <c r="C6822" t="s">
        <v>40</v>
      </c>
      <c r="D6822">
        <v>5.2716050000000001</v>
      </c>
      <c r="E6822">
        <v>0.55323299999999997</v>
      </c>
      <c r="F6822" t="s">
        <v>55</v>
      </c>
      <c r="G6822">
        <v>-182.60230000000001</v>
      </c>
      <c r="H6822" s="1">
        <v>-4.1252580000000002E-6</v>
      </c>
      <c r="I6822">
        <v>126.0027</v>
      </c>
      <c r="J6822">
        <v>-187.6644</v>
      </c>
      <c r="K6822">
        <v>1.1169560000000001</v>
      </c>
      <c r="L6822">
        <v>115.795</v>
      </c>
      <c r="M6822">
        <v>6.9465650000000004E-2</v>
      </c>
      <c r="N6822">
        <v>-1.3448150000000001E-2</v>
      </c>
      <c r="O6822">
        <v>0.99749370000000004</v>
      </c>
      <c r="P6822">
        <v>0.33668169999999997</v>
      </c>
      <c r="Q6822">
        <v>0.14045239999999901</v>
      </c>
      <c r="R6822">
        <v>0.93108460000000004</v>
      </c>
      <c r="S6822">
        <v>1.349899</v>
      </c>
      <c r="T6822">
        <v>-0.29652640000000002</v>
      </c>
      <c r="U6822">
        <v>2.783188</v>
      </c>
      <c r="V6822">
        <v>0.27256750000000002</v>
      </c>
      <c r="W6822">
        <v>0.1507713</v>
      </c>
      <c r="X6822">
        <v>0.95025000000000004</v>
      </c>
      <c r="Y6822">
        <v>0.37106689999999998</v>
      </c>
      <c r="Z6822">
        <v>-8.3291840000000006E-2</v>
      </c>
      <c r="AA6822">
        <v>0.9248632</v>
      </c>
      <c r="AB6822">
        <v>29</v>
      </c>
      <c r="AC6822">
        <v>5.0620999999999796</v>
      </c>
      <c r="AD6822">
        <v>-1.1169601252579999</v>
      </c>
      <c r="AE6822">
        <v>10.207700000000001</v>
      </c>
      <c r="AF6822">
        <v>4.2994032389035999</v>
      </c>
      <c r="AG6822">
        <v>-1.1169601252579999</v>
      </c>
      <c r="AH6822">
        <v>10.434435339189401</v>
      </c>
      <c r="AI6822">
        <v>95.652333182536495</v>
      </c>
      <c r="AJ6822">
        <v>67.606386743232406</v>
      </c>
      <c r="AK6822">
        <v>11.340630889850701</v>
      </c>
      <c r="AL6822">
        <v>81.328373234697494</v>
      </c>
      <c r="AM6822">
        <v>73.995114117153406</v>
      </c>
      <c r="AN6822">
        <v>1.00000004472996</v>
      </c>
    </row>
    <row r="6823" spans="1:40" x14ac:dyDescent="0.25">
      <c r="A6823" t="str">
        <f>"20190303162436932"</f>
        <v>20190303162436932</v>
      </c>
      <c r="B6823" t="str">
        <f>"1551601476921613"</f>
        <v>1551601476921613</v>
      </c>
      <c r="C6823" t="s">
        <v>40</v>
      </c>
      <c r="D6823">
        <v>5.2921779999999998</v>
      </c>
      <c r="E6823">
        <v>0.55259789999999998</v>
      </c>
      <c r="F6823" t="s">
        <v>55</v>
      </c>
      <c r="G6823">
        <v>-182.6388</v>
      </c>
      <c r="H6823" s="1">
        <v>-4.1209910000000004E-6</v>
      </c>
      <c r="I6823">
        <v>126.0059</v>
      </c>
      <c r="J6823">
        <v>-187.63939999999999</v>
      </c>
      <c r="K6823">
        <v>1.116951</v>
      </c>
      <c r="L6823">
        <v>116.0836</v>
      </c>
      <c r="M6823">
        <v>7.4068350000000005E-2</v>
      </c>
      <c r="N6823">
        <v>-1.3445210000000001E-2</v>
      </c>
      <c r="O6823">
        <v>0.99716249999999995</v>
      </c>
      <c r="P6823">
        <v>0.34462540000000003</v>
      </c>
      <c r="Q6823">
        <v>0.1380314</v>
      </c>
      <c r="R6823">
        <v>0.92853680000000005</v>
      </c>
      <c r="S6823">
        <v>1.365356</v>
      </c>
      <c r="T6823">
        <v>-0.30345549999999999</v>
      </c>
      <c r="U6823">
        <v>2.7741090000000002</v>
      </c>
      <c r="V6823">
        <v>0.27625490000000003</v>
      </c>
      <c r="W6823">
        <v>0.1483111</v>
      </c>
      <c r="X6823">
        <v>0.94957199999999997</v>
      </c>
      <c r="Y6823">
        <v>0.37203570000000002</v>
      </c>
      <c r="Z6823">
        <v>-8.5649459999999997E-2</v>
      </c>
      <c r="AA6823">
        <v>0.92425840000000004</v>
      </c>
      <c r="AB6823">
        <v>29</v>
      </c>
      <c r="AC6823">
        <v>5.0005999999999897</v>
      </c>
      <c r="AD6823">
        <v>-1.116955120991</v>
      </c>
      <c r="AE6823">
        <v>9.9222999999999892</v>
      </c>
      <c r="AF6823">
        <v>4.2093300307100501</v>
      </c>
      <c r="AG6823">
        <v>-1.116955120991</v>
      </c>
      <c r="AH6823">
        <v>10.162761417840599</v>
      </c>
      <c r="AI6823">
        <v>95.798015331959206</v>
      </c>
      <c r="AJ6823">
        <v>67.501075913564804</v>
      </c>
      <c r="AK6823">
        <v>11.0565712445448</v>
      </c>
      <c r="AL6823">
        <v>81.4709347224846</v>
      </c>
      <c r="AM6823">
        <v>73.7789288617479</v>
      </c>
      <c r="AN6823">
        <v>0.99999996767060895</v>
      </c>
    </row>
    <row r="6824" spans="1:40" x14ac:dyDescent="0.25">
      <c r="A6824" t="str">
        <f>"20190303162436954"</f>
        <v>20190303162436954</v>
      </c>
      <c r="B6824" t="str">
        <f>"1551601476942109"</f>
        <v>1551601476942109</v>
      </c>
      <c r="C6824" t="s">
        <v>40</v>
      </c>
      <c r="D6824">
        <v>5.2778749999999999</v>
      </c>
      <c r="E6824">
        <v>0.55181859999999905</v>
      </c>
      <c r="F6824" t="s">
        <v>55</v>
      </c>
      <c r="G6824">
        <v>-182.66849999999999</v>
      </c>
      <c r="H6824" s="1">
        <v>-4.1197910000000003E-6</v>
      </c>
      <c r="I6824">
        <v>126.0172</v>
      </c>
      <c r="J6824">
        <v>-187.61250000000001</v>
      </c>
      <c r="K6824">
        <v>1.116954</v>
      </c>
      <c r="L6824">
        <v>116.378</v>
      </c>
      <c r="M6824">
        <v>7.8743259999999995E-2</v>
      </c>
      <c r="N6824">
        <v>-1.34422E-2</v>
      </c>
      <c r="O6824">
        <v>0.99680429999999998</v>
      </c>
      <c r="P6824">
        <v>0.35211140000000002</v>
      </c>
      <c r="Q6824">
        <v>0.1360141</v>
      </c>
      <c r="R6824">
        <v>0.92602249999999997</v>
      </c>
      <c r="S6824">
        <v>1.383011</v>
      </c>
      <c r="T6824">
        <v>-0.310764599999999</v>
      </c>
      <c r="U6824">
        <v>2.763779</v>
      </c>
      <c r="V6824">
        <v>0.27942840000000002</v>
      </c>
      <c r="W6824">
        <v>0.1462609</v>
      </c>
      <c r="X6824">
        <v>0.94896130000000001</v>
      </c>
      <c r="Y6824">
        <v>0.37368390000000001</v>
      </c>
      <c r="Z6824">
        <v>-8.8137590000000002E-2</v>
      </c>
      <c r="AA6824">
        <v>0.92335919999999905</v>
      </c>
      <c r="AB6824">
        <v>29</v>
      </c>
      <c r="AC6824">
        <v>4.9440000000000097</v>
      </c>
      <c r="AD6824">
        <v>-1.1169581197909999</v>
      </c>
      <c r="AE6824">
        <v>9.6392000000000095</v>
      </c>
      <c r="AF6824">
        <v>4.1256959221504497</v>
      </c>
      <c r="AG6824">
        <v>-1.1169581197909999</v>
      </c>
      <c r="AH6824">
        <v>9.89343150471651</v>
      </c>
      <c r="AI6824">
        <v>95.948842132329105</v>
      </c>
      <c r="AJ6824">
        <v>67.363197686749402</v>
      </c>
      <c r="AK6824">
        <v>10.777242190000701</v>
      </c>
      <c r="AL6824">
        <v>81.589698195421306</v>
      </c>
      <c r="AM6824">
        <v>73.592560173581404</v>
      </c>
      <c r="AN6824">
        <v>1.00000001524652</v>
      </c>
    </row>
    <row r="6825" spans="1:40" x14ac:dyDescent="0.25">
      <c r="A6825" t="str">
        <f>"20190303162436978"</f>
        <v>20190303162436978</v>
      </c>
      <c r="B6825" t="str">
        <f>"1551601476971389"</f>
        <v>1551601476971389</v>
      </c>
      <c r="C6825" t="s">
        <v>40</v>
      </c>
      <c r="D6825">
        <v>5.4026189999999996</v>
      </c>
      <c r="E6825">
        <v>0.55117079999999996</v>
      </c>
      <c r="F6825" t="s">
        <v>55</v>
      </c>
      <c r="G6825">
        <v>-182.65649999999999</v>
      </c>
      <c r="H6825" s="1">
        <v>-4.1516509999999997E-6</v>
      </c>
      <c r="I6825">
        <v>126.13339999999999</v>
      </c>
      <c r="J6825">
        <v>-187.5822</v>
      </c>
      <c r="K6825">
        <v>1.1169530000000001</v>
      </c>
      <c r="L6825">
        <v>116.693</v>
      </c>
      <c r="M6825">
        <v>8.372918E-2</v>
      </c>
      <c r="N6825">
        <v>-1.3439019999999999E-2</v>
      </c>
      <c r="O6825">
        <v>0.99639789999999995</v>
      </c>
      <c r="P6825">
        <v>0.35945009999999999</v>
      </c>
      <c r="Q6825">
        <v>0.13416220000000001</v>
      </c>
      <c r="R6825">
        <v>0.9234696</v>
      </c>
      <c r="S6825">
        <v>1.3990940000000001</v>
      </c>
      <c r="T6825">
        <v>-0.31532110000000002</v>
      </c>
      <c r="U6825">
        <v>2.7539980000000002</v>
      </c>
      <c r="V6825">
        <v>0.28217350000000002</v>
      </c>
      <c r="W6825">
        <v>0.1443818</v>
      </c>
      <c r="X6825">
        <v>0.94843659999999996</v>
      </c>
      <c r="Y6825">
        <v>0.37458580000000002</v>
      </c>
      <c r="Z6825">
        <v>-8.9742260000000004E-2</v>
      </c>
      <c r="AA6825">
        <v>0.92283899999999996</v>
      </c>
      <c r="AB6825">
        <v>29</v>
      </c>
      <c r="AC6825">
        <v>4.9257</v>
      </c>
      <c r="AD6825">
        <v>-1.116957151651</v>
      </c>
      <c r="AE6825">
        <v>9.4403999999999897</v>
      </c>
      <c r="AF6825">
        <v>4.0730749299517397</v>
      </c>
      <c r="AG6825">
        <v>-1.116957151651</v>
      </c>
      <c r="AH6825">
        <v>9.7128334485996408</v>
      </c>
      <c r="AI6825">
        <v>96.053634531246601</v>
      </c>
      <c r="AJ6825">
        <v>67.249268345654102</v>
      </c>
      <c r="AK6825">
        <v>10.5913486517941</v>
      </c>
      <c r="AL6825">
        <v>81.698517642325498</v>
      </c>
      <c r="AM6825">
        <v>73.431502938406695</v>
      </c>
      <c r="AN6825">
        <v>0.99999998624652497</v>
      </c>
    </row>
    <row r="6826" spans="1:40" x14ac:dyDescent="0.25">
      <c r="A6826" t="str">
        <f>"20190303162437001"</f>
        <v>20190303162437001</v>
      </c>
      <c r="B6826" t="str">
        <f>"1551601476991885"</f>
        <v>1551601476991885</v>
      </c>
      <c r="C6826" t="s">
        <v>40</v>
      </c>
      <c r="D6826">
        <v>5.3350229999999996</v>
      </c>
      <c r="E6826">
        <v>0.55075249999999998</v>
      </c>
      <c r="F6826" t="s">
        <v>55</v>
      </c>
      <c r="G6826">
        <v>-182.619</v>
      </c>
      <c r="H6826" s="1">
        <v>-4.2000630000000003E-6</v>
      </c>
      <c r="I6826">
        <v>126.2997</v>
      </c>
      <c r="J6826">
        <v>-187.55279999999999</v>
      </c>
      <c r="K6826">
        <v>1.1169579999999999</v>
      </c>
      <c r="L6826">
        <v>116.9832</v>
      </c>
      <c r="M6826">
        <v>8.8311459999999994E-2</v>
      </c>
      <c r="N6826">
        <v>-1.343624E-2</v>
      </c>
      <c r="O6826">
        <v>0.99600230000000001</v>
      </c>
      <c r="P6826">
        <v>0.36613869999999998</v>
      </c>
      <c r="Q6826">
        <v>0.1329466</v>
      </c>
      <c r="R6826">
        <v>0.92101449999999996</v>
      </c>
      <c r="S6826">
        <v>1.4172819999999999</v>
      </c>
      <c r="T6826">
        <v>-0.31895970000000001</v>
      </c>
      <c r="U6826">
        <v>2.7433010000000002</v>
      </c>
      <c r="V6826">
        <v>0.28466449999999999</v>
      </c>
      <c r="W6826">
        <v>0.14313890000000001</v>
      </c>
      <c r="X6826">
        <v>0.94788039999999996</v>
      </c>
      <c r="Y6826">
        <v>0.37656000000000001</v>
      </c>
      <c r="Z6826">
        <v>-9.104197E-2</v>
      </c>
      <c r="AA6826">
        <v>0.92190780000000006</v>
      </c>
      <c r="AB6826">
        <v>29</v>
      </c>
      <c r="AC6826">
        <v>4.9337999999999598</v>
      </c>
      <c r="AD6826">
        <v>-1.116962200063</v>
      </c>
      <c r="AE6826">
        <v>9.3164999999999996</v>
      </c>
      <c r="AF6826">
        <v>4.04627005454069</v>
      </c>
      <c r="AG6826">
        <v>-1.116962200063</v>
      </c>
      <c r="AH6826">
        <v>9.6079883054324196</v>
      </c>
      <c r="AI6826">
        <v>96.115349400215194</v>
      </c>
      <c r="AJ6826">
        <v>67.162287116309002</v>
      </c>
      <c r="AK6826">
        <v>10.484910356696799</v>
      </c>
      <c r="AL6826">
        <v>81.770477655132098</v>
      </c>
      <c r="AM6826">
        <v>73.284099574142203</v>
      </c>
      <c r="AN6826">
        <v>0.999999937478808</v>
      </c>
    </row>
    <row r="6827" spans="1:40" x14ac:dyDescent="0.25">
      <c r="A6827" t="str">
        <f>"20190303162437020"</f>
        <v>20190303162437020</v>
      </c>
      <c r="B6827" t="str">
        <f>"1551601477011405"</f>
        <v>1551601477011405</v>
      </c>
      <c r="C6827" t="s">
        <v>40</v>
      </c>
      <c r="D6827">
        <v>5.4226369999999999</v>
      </c>
      <c r="E6827">
        <v>0.5736675</v>
      </c>
      <c r="F6827" t="s">
        <v>55</v>
      </c>
      <c r="G6827">
        <v>-182.51320000000001</v>
      </c>
      <c r="H6827" s="1">
        <v>-4.287868E-6</v>
      </c>
      <c r="I6827">
        <v>126.58110000000001</v>
      </c>
      <c r="J6827">
        <v>-187.5258</v>
      </c>
      <c r="K6827">
        <v>1.1169519999999999</v>
      </c>
      <c r="L6827">
        <v>117.2396</v>
      </c>
      <c r="M6827">
        <v>9.2362239999999998E-2</v>
      </c>
      <c r="N6827">
        <v>-1.3434110000000001E-2</v>
      </c>
      <c r="O6827">
        <v>0.99563489999999999</v>
      </c>
      <c r="P6827">
        <v>0.37271759999999998</v>
      </c>
      <c r="Q6827">
        <v>0.132248799999999</v>
      </c>
      <c r="R6827">
        <v>0.91847259999999997</v>
      </c>
      <c r="S6827">
        <v>1.4349209999999999</v>
      </c>
      <c r="T6827">
        <v>-0.3180287</v>
      </c>
      <c r="U6827">
        <v>2.732758</v>
      </c>
      <c r="V6827">
        <v>0.28757690000000002</v>
      </c>
      <c r="W6827">
        <v>0.14240410000000001</v>
      </c>
      <c r="X6827">
        <v>0.9471117</v>
      </c>
      <c r="Y6827">
        <v>0.37892710000000002</v>
      </c>
      <c r="Z6827">
        <v>-9.085667E-2</v>
      </c>
      <c r="AA6827">
        <v>0.92095570000000004</v>
      </c>
      <c r="AB6827">
        <v>29</v>
      </c>
      <c r="AC6827">
        <v>5.0125999999999902</v>
      </c>
      <c r="AD6827">
        <v>-1.1169562878679999</v>
      </c>
      <c r="AE6827">
        <v>9.3414999999999999</v>
      </c>
      <c r="AF6827">
        <v>4.0829666626494596</v>
      </c>
      <c r="AG6827">
        <v>-1.1169562878679999</v>
      </c>
      <c r="AH6827">
        <v>9.6573765581780595</v>
      </c>
      <c r="AI6827">
        <v>96.080718947564094</v>
      </c>
      <c r="AJ6827">
        <v>67.082225017780104</v>
      </c>
      <c r="AK6827">
        <v>10.5443411412834</v>
      </c>
      <c r="AL6827">
        <v>81.813014763065098</v>
      </c>
      <c r="AM6827">
        <v>73.109838510633594</v>
      </c>
      <c r="AN6827">
        <v>0.99999998669365397</v>
      </c>
    </row>
    <row r="6828" spans="1:40" x14ac:dyDescent="0.25">
      <c r="A6828" t="str">
        <f>"20190303162437044"</f>
        <v>20190303162437044</v>
      </c>
      <c r="B6828" t="str">
        <f>"1551601477031900"</f>
        <v>1551601477031900</v>
      </c>
      <c r="C6828" t="s">
        <v>40</v>
      </c>
      <c r="D6828">
        <v>5.3726269999999996</v>
      </c>
      <c r="E6828">
        <v>0.57427050000000002</v>
      </c>
      <c r="F6828" t="s">
        <v>55</v>
      </c>
      <c r="G6828">
        <v>-178.70429999999999</v>
      </c>
      <c r="H6828" s="1">
        <v>-5.2835710000000004E-6</v>
      </c>
      <c r="I6828">
        <v>131.47829999999999</v>
      </c>
      <c r="J6828">
        <v>-187.49160000000001</v>
      </c>
      <c r="K6828">
        <v>1.1169439999999999</v>
      </c>
      <c r="L6828">
        <v>117.5504</v>
      </c>
      <c r="M6828">
        <v>9.7295099999999995E-2</v>
      </c>
      <c r="N6828">
        <v>-1.3431999999999999E-2</v>
      </c>
      <c r="O6828">
        <v>0.99516490000000002</v>
      </c>
      <c r="P6828">
        <v>0.38008150000000002</v>
      </c>
      <c r="Q6828">
        <v>0.13205259999999999</v>
      </c>
      <c r="R6828">
        <v>0.91547809999999996</v>
      </c>
      <c r="S6828">
        <v>1.631775</v>
      </c>
      <c r="T6828">
        <v>-0.20661260000000001</v>
      </c>
      <c r="U6828">
        <v>2.6338499999999998</v>
      </c>
      <c r="V6828">
        <v>0.29049160000000002</v>
      </c>
      <c r="W6828">
        <v>0.14216329999999999</v>
      </c>
      <c r="X6828">
        <v>0.94625800000000004</v>
      </c>
      <c r="Y6828">
        <v>0.44044100000000003</v>
      </c>
      <c r="Z6828">
        <v>-5.4686190000000003E-2</v>
      </c>
      <c r="AA6828">
        <v>0.89611450000000004</v>
      </c>
      <c r="AB6828">
        <v>29</v>
      </c>
      <c r="AC6828">
        <v>8.7873000000000108</v>
      </c>
      <c r="AD6828">
        <v>-1.116949283571</v>
      </c>
      <c r="AE6828">
        <v>13.9278999999999</v>
      </c>
      <c r="AF6828">
        <v>7.3565219260892603</v>
      </c>
      <c r="AG6828">
        <v>-1.116949283571</v>
      </c>
      <c r="AH6828">
        <v>14.6494568352991</v>
      </c>
      <c r="AI6828">
        <v>93.897905599155493</v>
      </c>
      <c r="AJ6828">
        <v>63.3355566322359</v>
      </c>
      <c r="AK6828">
        <v>16.430842221882401</v>
      </c>
      <c r="AL6828">
        <v>81.826953410990498</v>
      </c>
      <c r="AM6828">
        <v>72.934045333811397</v>
      </c>
      <c r="AN6828">
        <v>0.99999998805072499</v>
      </c>
    </row>
    <row r="6829" spans="1:40" x14ac:dyDescent="0.25">
      <c r="A6829" t="str">
        <f>"20190303162437067"</f>
        <v>20190303162437067</v>
      </c>
      <c r="B6829" t="str">
        <f>"1551601477062157"</f>
        <v>1551601477062157</v>
      </c>
      <c r="C6829" t="s">
        <v>40</v>
      </c>
      <c r="D6829">
        <v>5.3755240000000004</v>
      </c>
      <c r="E6829">
        <v>0.57300960000000001</v>
      </c>
      <c r="F6829" t="s">
        <v>55</v>
      </c>
      <c r="G6829">
        <v>-178.7884</v>
      </c>
      <c r="H6829" s="1">
        <v>-5.2750170000000002E-6</v>
      </c>
      <c r="I6829">
        <v>131.30459999999999</v>
      </c>
      <c r="J6829">
        <v>-187.4571</v>
      </c>
      <c r="K6829">
        <v>1.1169279999999999</v>
      </c>
      <c r="L6829">
        <v>117.8489</v>
      </c>
      <c r="M6829">
        <v>0.10208440000000001</v>
      </c>
      <c r="N6829">
        <v>-1.342522E-2</v>
      </c>
      <c r="O6829">
        <v>0.99468509999999999</v>
      </c>
      <c r="P6829">
        <v>0.38667649999999998</v>
      </c>
      <c r="Q6829">
        <v>0.13257840000000001</v>
      </c>
      <c r="R6829">
        <v>0.91263590000000006</v>
      </c>
      <c r="S6829">
        <v>1.657532</v>
      </c>
      <c r="T6829">
        <v>-0.2127252</v>
      </c>
      <c r="U6829">
        <v>2.6195219999999999</v>
      </c>
      <c r="V6829">
        <v>0.2927881</v>
      </c>
      <c r="W6829">
        <v>0.14263390000000001</v>
      </c>
      <c r="X6829">
        <v>0.94547910000000002</v>
      </c>
      <c r="Y6829">
        <v>0.4445596</v>
      </c>
      <c r="Z6829">
        <v>-5.6739890000000001E-2</v>
      </c>
      <c r="AA6829">
        <v>0.89395049999999898</v>
      </c>
      <c r="AB6829">
        <v>29</v>
      </c>
      <c r="AC6829">
        <v>8.6686999999999994</v>
      </c>
      <c r="AD6829">
        <v>-1.116933275017</v>
      </c>
      <c r="AE6829">
        <v>13.455699999999901</v>
      </c>
      <c r="AF6829">
        <v>7.2145332164095102</v>
      </c>
      <c r="AG6829">
        <v>-1.116933275017</v>
      </c>
      <c r="AH6829">
        <v>14.2012590749459</v>
      </c>
      <c r="AI6829">
        <v>94.011046872067993</v>
      </c>
      <c r="AJ6829">
        <v>63.068488892504902</v>
      </c>
      <c r="AK6829">
        <v>15.9678673837569</v>
      </c>
      <c r="AL6829">
        <v>81.799712634635497</v>
      </c>
      <c r="AM6829">
        <v>72.793727549020105</v>
      </c>
      <c r="AN6829">
        <v>1.0000000147338099</v>
      </c>
    </row>
    <row r="6830" spans="1:40" x14ac:dyDescent="0.25">
      <c r="A6830" t="str">
        <f>"20190303162437088"</f>
        <v>20190303162437088</v>
      </c>
      <c r="B6830" t="str">
        <f>"1551601477081804"</f>
        <v>1551601477081804</v>
      </c>
      <c r="C6830" t="s">
        <v>40</v>
      </c>
      <c r="D6830">
        <v>5.378641</v>
      </c>
      <c r="E6830">
        <v>0.57248129999999997</v>
      </c>
      <c r="F6830" t="s">
        <v>55</v>
      </c>
      <c r="G6830">
        <v>-178.80529999999999</v>
      </c>
      <c r="H6830" s="1">
        <v>-5.3204559999999998E-6</v>
      </c>
      <c r="I6830">
        <v>131.39410000000001</v>
      </c>
      <c r="J6830">
        <v>-187.4229</v>
      </c>
      <c r="K6830">
        <v>1.1169100000000001</v>
      </c>
      <c r="L6830">
        <v>118.1335</v>
      </c>
      <c r="M6830">
        <v>0.1066984</v>
      </c>
      <c r="N6830">
        <v>-1.341619E-2</v>
      </c>
      <c r="O6830">
        <v>0.99420090000000005</v>
      </c>
      <c r="P6830">
        <v>0.39222950000000001</v>
      </c>
      <c r="Q6830">
        <v>0.1346532</v>
      </c>
      <c r="R6830">
        <v>0.9099585</v>
      </c>
      <c r="S6830">
        <v>1.6681820000000001</v>
      </c>
      <c r="T6830">
        <v>-0.2153574</v>
      </c>
      <c r="U6830">
        <v>2.6116790000000001</v>
      </c>
      <c r="V6830">
        <v>0.2942264</v>
      </c>
      <c r="W6830">
        <v>0.14465449999999999</v>
      </c>
      <c r="X6830">
        <v>0.94472529999999999</v>
      </c>
      <c r="Y6830">
        <v>0.44418059999999998</v>
      </c>
      <c r="Z6830">
        <v>-5.7689480000000001E-2</v>
      </c>
      <c r="AA6830">
        <v>0.89407800000000004</v>
      </c>
      <c r="AB6830">
        <v>29</v>
      </c>
      <c r="AC6830">
        <v>8.6176000000000101</v>
      </c>
      <c r="AD6830">
        <v>-1.1169153204560001</v>
      </c>
      <c r="AE6830">
        <v>13.2606</v>
      </c>
      <c r="AF6830">
        <v>7.1178816900766</v>
      </c>
      <c r="AG6830">
        <v>-1.1169153204560001</v>
      </c>
      <c r="AH6830">
        <v>14.0344521246256</v>
      </c>
      <c r="AI6830">
        <v>94.059882583346706</v>
      </c>
      <c r="AJ6830">
        <v>63.107150782925999</v>
      </c>
      <c r="AK6830">
        <v>15.7758545259965</v>
      </c>
      <c r="AL6830">
        <v>81.6827273972374</v>
      </c>
      <c r="AM6830">
        <v>72.701258516259998</v>
      </c>
      <c r="AN6830">
        <v>0.99999999564364905</v>
      </c>
    </row>
    <row r="6831" spans="1:40" x14ac:dyDescent="0.25">
      <c r="A6831" t="str">
        <f>"20190303162437110"</f>
        <v>20190303162437110</v>
      </c>
      <c r="B6831" t="str">
        <f>"1551601477101323"</f>
        <v>1551601477101323</v>
      </c>
      <c r="C6831" t="s">
        <v>40</v>
      </c>
      <c r="D6831">
        <v>5.342136</v>
      </c>
      <c r="E6831">
        <v>0.57183890000000004</v>
      </c>
      <c r="F6831" t="s">
        <v>55</v>
      </c>
      <c r="G6831">
        <v>-178.52189999999999</v>
      </c>
      <c r="H6831" s="1">
        <v>-5.3261219999999999E-6</v>
      </c>
      <c r="I6831">
        <v>131.91829999999999</v>
      </c>
      <c r="J6831">
        <v>-187.38720000000001</v>
      </c>
      <c r="K6831">
        <v>1.116879</v>
      </c>
      <c r="L6831">
        <v>118.4186</v>
      </c>
      <c r="M6831">
        <v>0.1113891</v>
      </c>
      <c r="N6831">
        <v>-1.3407560000000001E-2</v>
      </c>
      <c r="O6831">
        <v>0.99368639999999997</v>
      </c>
      <c r="P6831">
        <v>0.39767550000000002</v>
      </c>
      <c r="Q6831">
        <v>0.13803499999999999</v>
      </c>
      <c r="R6831">
        <v>0.90708350000000004</v>
      </c>
      <c r="S6831">
        <v>1.68107599999999</v>
      </c>
      <c r="T6831">
        <v>-0.21094570000000001</v>
      </c>
      <c r="U6831">
        <v>2.6034549999999999</v>
      </c>
      <c r="V6831">
        <v>0.29553489999999999</v>
      </c>
      <c r="W6831">
        <v>0.14797199999999999</v>
      </c>
      <c r="X6831">
        <v>0.94380260000000005</v>
      </c>
      <c r="Y6831">
        <v>0.44441340000000001</v>
      </c>
      <c r="Z6831">
        <v>-5.6317239999999998E-2</v>
      </c>
      <c r="AA6831">
        <v>0.89404980000000001</v>
      </c>
      <c r="AB6831">
        <v>29</v>
      </c>
      <c r="AC6831">
        <v>8.8653000000000102</v>
      </c>
      <c r="AD6831">
        <v>-1.1168843261220001</v>
      </c>
      <c r="AE6831">
        <v>13.499699999999899</v>
      </c>
      <c r="AF6831">
        <v>7.2714900112793002</v>
      </c>
      <c r="AG6831">
        <v>-1.1168843261220001</v>
      </c>
      <c r="AH6831">
        <v>14.3347061306165</v>
      </c>
      <c r="AI6831">
        <v>93.974861988816201</v>
      </c>
      <c r="AJ6831">
        <v>63.102929294658203</v>
      </c>
      <c r="AK6831">
        <v>16.112287157110998</v>
      </c>
      <c r="AL6831">
        <v>81.490580500140695</v>
      </c>
      <c r="AM6831">
        <v>72.612986218628805</v>
      </c>
      <c r="AN6831">
        <v>0.99999996883438402</v>
      </c>
    </row>
    <row r="6832" spans="1:40" x14ac:dyDescent="0.25">
      <c r="A6832" t="str">
        <f>"20190303162437132"</f>
        <v>20190303162437132</v>
      </c>
      <c r="B6832" t="str">
        <f>"1551601477121820"</f>
        <v>1551601477121820</v>
      </c>
      <c r="C6832" t="s">
        <v>40</v>
      </c>
      <c r="D6832">
        <v>5.3307570000000002</v>
      </c>
      <c r="E6832">
        <v>0.57219319999999996</v>
      </c>
      <c r="F6832" t="s">
        <v>55</v>
      </c>
      <c r="G6832">
        <v>-178.04429999999999</v>
      </c>
      <c r="H6832" s="1">
        <v>-5.3149949999999996E-6</v>
      </c>
      <c r="I6832">
        <v>132.74770000000001</v>
      </c>
      <c r="J6832">
        <v>-187.34979999999999</v>
      </c>
      <c r="K6832">
        <v>1.116835</v>
      </c>
      <c r="L6832">
        <v>118.7056</v>
      </c>
      <c r="M6832">
        <v>0.1162112</v>
      </c>
      <c r="N6832">
        <v>-1.3400769999999999E-2</v>
      </c>
      <c r="O6832">
        <v>0.99313410000000002</v>
      </c>
      <c r="P6832">
        <v>0.40314159999999999</v>
      </c>
      <c r="Q6832">
        <v>0.14241280000000001</v>
      </c>
      <c r="R6832">
        <v>0.90398860000000003</v>
      </c>
      <c r="S6832">
        <v>1.6926730000000001</v>
      </c>
      <c r="T6832">
        <v>-0.202347</v>
      </c>
      <c r="U6832">
        <v>2.5960079999999999</v>
      </c>
      <c r="V6832">
        <v>0.2967921</v>
      </c>
      <c r="W6832">
        <v>0.15227479999999999</v>
      </c>
      <c r="X6832">
        <v>0.94272310000000004</v>
      </c>
      <c r="Y6832">
        <v>0.44413320000000001</v>
      </c>
      <c r="Z6832">
        <v>-5.3567480000000001E-2</v>
      </c>
      <c r="AA6832">
        <v>0.89435799999999999</v>
      </c>
      <c r="AB6832">
        <v>29</v>
      </c>
      <c r="AC6832">
        <v>9.3054999999999897</v>
      </c>
      <c r="AD6832">
        <v>-1.1168403149949999</v>
      </c>
      <c r="AE6832">
        <v>14.0421</v>
      </c>
      <c r="AF6832">
        <v>7.5771380498667202</v>
      </c>
      <c r="AG6832">
        <v>-1.1168403149949999</v>
      </c>
      <c r="AH6832">
        <v>14.962672530124401</v>
      </c>
      <c r="AI6832">
        <v>93.809713620421803</v>
      </c>
      <c r="AJ6832">
        <v>63.142222063257002</v>
      </c>
      <c r="AK6832">
        <v>16.808983388643</v>
      </c>
      <c r="AL6832">
        <v>81.241222405024601</v>
      </c>
      <c r="AM6832">
        <v>72.524733503455394</v>
      </c>
      <c r="AN6832">
        <v>1.0000000043055299</v>
      </c>
    </row>
    <row r="6833" spans="1:40" x14ac:dyDescent="0.25">
      <c r="A6833" t="str">
        <f>"20190303162437155"</f>
        <v>20190303162437155</v>
      </c>
      <c r="B6833" t="str">
        <f>"1551601477152076"</f>
        <v>1551601477152076</v>
      </c>
      <c r="C6833" t="s">
        <v>40</v>
      </c>
      <c r="D6833">
        <v>5.1766579999999998</v>
      </c>
      <c r="E6833">
        <v>0.57254329999999998</v>
      </c>
      <c r="F6833" t="s">
        <v>55</v>
      </c>
      <c r="G6833">
        <v>-176.83690000000001</v>
      </c>
      <c r="H6833" s="1">
        <v>-5.1834259999999997E-6</v>
      </c>
      <c r="I6833">
        <v>134.5712</v>
      </c>
      <c r="J6833">
        <v>-187.309</v>
      </c>
      <c r="K6833">
        <v>1.1167830000000001</v>
      </c>
      <c r="L6833">
        <v>119.00620000000001</v>
      </c>
      <c r="M6833">
        <v>0.1213904</v>
      </c>
      <c r="N6833">
        <v>-1.3395829999999999E-2</v>
      </c>
      <c r="O6833">
        <v>0.99251440000000002</v>
      </c>
      <c r="P6833">
        <v>0.41017360000000003</v>
      </c>
      <c r="Q6833">
        <v>0.14863979999999999</v>
      </c>
      <c r="R6833">
        <v>0.89981319999999998</v>
      </c>
      <c r="S6833">
        <v>1.71206699999999</v>
      </c>
      <c r="T6833">
        <v>-0.1818814</v>
      </c>
      <c r="U6833">
        <v>2.583771</v>
      </c>
      <c r="V6833">
        <v>0.2994367</v>
      </c>
      <c r="W6833">
        <v>0.15838859999999999</v>
      </c>
      <c r="X6833">
        <v>0.94087759999999998</v>
      </c>
      <c r="Y6833">
        <v>0.44627749999999999</v>
      </c>
      <c r="Z6833">
        <v>-4.6928589999999999E-2</v>
      </c>
      <c r="AA6833">
        <v>0.89366329999999905</v>
      </c>
      <c r="AB6833">
        <v>29</v>
      </c>
      <c r="AC6833">
        <v>10.472099999999999</v>
      </c>
      <c r="AD6833">
        <v>-1.1167881834260001</v>
      </c>
      <c r="AE6833">
        <v>15.5649999999999</v>
      </c>
      <c r="AF6833">
        <v>8.4749975273704994</v>
      </c>
      <c r="AG6833">
        <v>-1.1167881834260001</v>
      </c>
      <c r="AH6833">
        <v>16.6621513087767</v>
      </c>
      <c r="AI6833">
        <v>93.418875303649997</v>
      </c>
      <c r="AJ6833">
        <v>63.040397453459001</v>
      </c>
      <c r="AK6833">
        <v>18.7269881500509</v>
      </c>
      <c r="AL6833">
        <v>80.886622575021306</v>
      </c>
      <c r="AM6833">
        <v>72.346195537022197</v>
      </c>
      <c r="AN6833">
        <v>0.99999997204930402</v>
      </c>
    </row>
    <row r="6834" spans="1:40" x14ac:dyDescent="0.25">
      <c r="A6834" t="str">
        <f>"20190303162437178"</f>
        <v>20190303162437178</v>
      </c>
      <c r="B6834" t="str">
        <f>"1551601477171595"</f>
        <v>1551601477171595</v>
      </c>
      <c r="C6834" t="s">
        <v>40</v>
      </c>
      <c r="D6834">
        <v>5.1039279999999998</v>
      </c>
      <c r="E6834">
        <v>0.57285920000000001</v>
      </c>
      <c r="F6834" t="s">
        <v>55</v>
      </c>
      <c r="G6834">
        <v>-174.71789999999999</v>
      </c>
      <c r="H6834" s="1">
        <v>-4.9526499999999999E-6</v>
      </c>
      <c r="I6834">
        <v>137.62129999999999</v>
      </c>
      <c r="J6834">
        <v>-187.2672</v>
      </c>
      <c r="K6834">
        <v>1.1167039999999999</v>
      </c>
      <c r="L6834">
        <v>119.3019</v>
      </c>
      <c r="M6834">
        <v>0.12663260000000001</v>
      </c>
      <c r="N6834">
        <v>-1.339309E-2</v>
      </c>
      <c r="O6834">
        <v>0.9918593</v>
      </c>
      <c r="P6834">
        <v>0.41829260000000001</v>
      </c>
      <c r="Q6834">
        <v>0.15303800000000001</v>
      </c>
      <c r="R6834">
        <v>0.89532719999999899</v>
      </c>
      <c r="S6834">
        <v>1.7368159999999999</v>
      </c>
      <c r="T6834">
        <v>-0.15404949999999901</v>
      </c>
      <c r="U6834">
        <v>2.5677639999999999</v>
      </c>
      <c r="V6834">
        <v>0.30315330000000001</v>
      </c>
      <c r="W6834">
        <v>0.16265079999999901</v>
      </c>
      <c r="X6834">
        <v>0.93895830000000002</v>
      </c>
      <c r="Y6834">
        <v>0.4502813</v>
      </c>
      <c r="Z6834">
        <v>-3.7860449999999997E-2</v>
      </c>
      <c r="AA6834">
        <v>0.89208369999999904</v>
      </c>
      <c r="AB6834">
        <v>29</v>
      </c>
      <c r="AC6834">
        <v>12.549300000000001</v>
      </c>
      <c r="AD6834">
        <v>-1.11670895265</v>
      </c>
      <c r="AE6834">
        <v>18.319399999999899</v>
      </c>
      <c r="AF6834">
        <v>10.102664592854699</v>
      </c>
      <c r="AG6834">
        <v>-1.11670895265</v>
      </c>
      <c r="AH6834">
        <v>19.711338536025501</v>
      </c>
      <c r="AI6834">
        <v>92.886230300073095</v>
      </c>
      <c r="AJ6834">
        <v>62.863470872387602</v>
      </c>
      <c r="AK6834">
        <v>22.177640488619499</v>
      </c>
      <c r="AL6834">
        <v>80.639207745787104</v>
      </c>
      <c r="AM6834">
        <v>72.106739699567996</v>
      </c>
      <c r="AN6834">
        <v>0.99999994759020805</v>
      </c>
    </row>
    <row r="6835" spans="1:40" x14ac:dyDescent="0.25">
      <c r="A6835" t="str">
        <f>"20190303162437201"</f>
        <v>20190303162437201</v>
      </c>
      <c r="B6835" t="str">
        <f>"1551601477191622"</f>
        <v>1551601477191622</v>
      </c>
      <c r="C6835" t="s">
        <v>40</v>
      </c>
      <c r="D6835">
        <v>5.278759</v>
      </c>
      <c r="E6835">
        <v>0.57324249999999999</v>
      </c>
      <c r="F6835" t="s">
        <v>55</v>
      </c>
      <c r="G6835">
        <v>-172.69059999999999</v>
      </c>
      <c r="H6835" s="1">
        <v>-5.0580950000000004E-6</v>
      </c>
      <c r="I6835">
        <v>140.38079999999999</v>
      </c>
      <c r="J6835">
        <v>-187.22399999999999</v>
      </c>
      <c r="K6835">
        <v>1.116603</v>
      </c>
      <c r="L6835">
        <v>119.59520000000001</v>
      </c>
      <c r="M6835">
        <v>0.13198480000000001</v>
      </c>
      <c r="N6835">
        <v>-1.339227E-2</v>
      </c>
      <c r="O6835">
        <v>0.99116130000000002</v>
      </c>
      <c r="P6835">
        <v>0.42885849999999998</v>
      </c>
      <c r="Q6835">
        <v>0.15582170000000001</v>
      </c>
      <c r="R6835">
        <v>0.88983140000000005</v>
      </c>
      <c r="S6835">
        <v>1.763382</v>
      </c>
      <c r="T6835">
        <v>-0.13509199999999999</v>
      </c>
      <c r="U6835">
        <v>2.5499879999999999</v>
      </c>
      <c r="V6835">
        <v>0.30933890000000003</v>
      </c>
      <c r="W6835">
        <v>0.16525770000000001</v>
      </c>
      <c r="X6835">
        <v>0.93648240000000005</v>
      </c>
      <c r="Y6835">
        <v>0.45479150000000002</v>
      </c>
      <c r="Z6835">
        <v>-3.1694380000000001E-2</v>
      </c>
      <c r="AA6835">
        <v>0.89003379999999999</v>
      </c>
      <c r="AB6835">
        <v>29</v>
      </c>
      <c r="AC6835">
        <v>14.5334</v>
      </c>
      <c r="AD6835">
        <v>-1.116608058095</v>
      </c>
      <c r="AE6835">
        <v>20.785599999999899</v>
      </c>
      <c r="AF6835">
        <v>11.6400443655003</v>
      </c>
      <c r="AG6835">
        <v>-1.116608058095</v>
      </c>
      <c r="AH6835">
        <v>22.478519841677102</v>
      </c>
      <c r="AI6835">
        <v>92.5257440540517</v>
      </c>
      <c r="AJ6835">
        <v>62.623538751191703</v>
      </c>
      <c r="AK6835">
        <v>25.338139250128201</v>
      </c>
      <c r="AL6835">
        <v>80.487794642409398</v>
      </c>
      <c r="AM6835">
        <v>71.720575690072096</v>
      </c>
      <c r="AN6835">
        <v>0.99999997398612905</v>
      </c>
    </row>
    <row r="6836" spans="1:40" x14ac:dyDescent="0.25">
      <c r="A6836" t="str">
        <f>"20190303162437222"</f>
        <v>20190303162437222</v>
      </c>
      <c r="B6836" t="str">
        <f>"1551601477212118"</f>
        <v>1551601477212118</v>
      </c>
      <c r="C6836" t="s">
        <v>40</v>
      </c>
      <c r="D6836">
        <v>5.1366209999999999</v>
      </c>
      <c r="E6836">
        <v>0.61155280000000001</v>
      </c>
      <c r="F6836" t="s">
        <v>55</v>
      </c>
      <c r="G6836">
        <v>-171.40969999999999</v>
      </c>
      <c r="H6836" s="1">
        <v>-4.9604209999999999E-6</v>
      </c>
      <c r="I6836">
        <v>141.83430000000001</v>
      </c>
      <c r="J6836">
        <v>-187.18199999999999</v>
      </c>
      <c r="K6836">
        <v>1.116492</v>
      </c>
      <c r="L6836">
        <v>119.869</v>
      </c>
      <c r="M6836">
        <v>0.13712479999999999</v>
      </c>
      <c r="N6836">
        <v>-1.3392950000000001E-2</v>
      </c>
      <c r="O6836">
        <v>0.99046330000000005</v>
      </c>
      <c r="P6836">
        <v>0.43907210000000002</v>
      </c>
      <c r="Q6836">
        <v>0.15566379999999999</v>
      </c>
      <c r="R6836">
        <v>0.88486409999999904</v>
      </c>
      <c r="S6836">
        <v>1.797272</v>
      </c>
      <c r="T6836">
        <v>-0.12690109999999999</v>
      </c>
      <c r="U6836">
        <v>2.5274510000000001</v>
      </c>
      <c r="V6836">
        <v>0.31530340000000001</v>
      </c>
      <c r="W6836">
        <v>0.1649341</v>
      </c>
      <c r="X6836">
        <v>0.9345483</v>
      </c>
      <c r="Y6836">
        <v>0.46188750000000001</v>
      </c>
      <c r="Z6836">
        <v>-2.9062649999999999E-2</v>
      </c>
      <c r="AA6836">
        <v>0.88646229999999904</v>
      </c>
      <c r="AB6836">
        <v>29</v>
      </c>
      <c r="AC6836">
        <v>15.7723</v>
      </c>
      <c r="AD6836">
        <v>-1.116496960421</v>
      </c>
      <c r="AE6836">
        <v>21.965299999999999</v>
      </c>
      <c r="AF6836">
        <v>12.5895653999409</v>
      </c>
      <c r="AG6836">
        <v>-1.116496960421</v>
      </c>
      <c r="AH6836">
        <v>23.880031913773699</v>
      </c>
      <c r="AI6836">
        <v>92.368331721671098</v>
      </c>
      <c r="AJ6836">
        <v>62.201778202920302</v>
      </c>
      <c r="AK6836">
        <v>27.018505632711602</v>
      </c>
      <c r="AL6836">
        <v>80.506593852497602</v>
      </c>
      <c r="AM6836">
        <v>71.356331450099901</v>
      </c>
      <c r="AN6836">
        <v>1.00000000821363</v>
      </c>
    </row>
    <row r="6837" spans="1:40" x14ac:dyDescent="0.25">
      <c r="A6837" t="str">
        <f>"20190303162437237"</f>
        <v>20190303162437237</v>
      </c>
      <c r="B6837" t="str">
        <f>"1551601477221879"</f>
        <v>1551601477221879</v>
      </c>
      <c r="C6837" t="s">
        <v>40</v>
      </c>
      <c r="D6837">
        <v>5.4139309999999998</v>
      </c>
      <c r="E6837">
        <v>0.61201660000000002</v>
      </c>
      <c r="F6837" t="s">
        <v>55</v>
      </c>
      <c r="G6837">
        <v>-178.28489999999999</v>
      </c>
      <c r="H6837" s="1">
        <v>-4.446933E-6</v>
      </c>
      <c r="I6837">
        <v>130.02760000000001</v>
      </c>
      <c r="J6837">
        <v>-187.15209999999999</v>
      </c>
      <c r="K6837">
        <v>1.1164149999999999</v>
      </c>
      <c r="L6837">
        <v>120.05710000000001</v>
      </c>
      <c r="M6837">
        <v>0.14074589999999901</v>
      </c>
      <c r="N6837">
        <v>-1.339415E-2</v>
      </c>
      <c r="O6837">
        <v>0.98995509999999998</v>
      </c>
      <c r="P6837">
        <v>0.44496029999999998</v>
      </c>
      <c r="Q6837">
        <v>0.1547337</v>
      </c>
      <c r="R6837">
        <v>0.88208149999999996</v>
      </c>
      <c r="S6837">
        <v>2.0980989999999999</v>
      </c>
      <c r="T6837">
        <v>-0.26328829999999998</v>
      </c>
      <c r="U6837">
        <v>2.3955839999999999</v>
      </c>
      <c r="V6837">
        <v>0.31811489999999998</v>
      </c>
      <c r="W6837">
        <v>0.16391249999999999</v>
      </c>
      <c r="X6837">
        <v>0.93377489999999996</v>
      </c>
      <c r="Y6837">
        <v>0.54438929999999996</v>
      </c>
      <c r="Z6837">
        <v>-7.2359480000000004E-2</v>
      </c>
      <c r="AA6837">
        <v>0.8357059</v>
      </c>
      <c r="AB6837">
        <v>29</v>
      </c>
      <c r="AC6837">
        <v>8.8671999999999898</v>
      </c>
      <c r="AD6837">
        <v>-1.116419446933</v>
      </c>
      <c r="AE6837">
        <v>9.9704999999999995</v>
      </c>
      <c r="AF6837">
        <v>7.3242101755079503</v>
      </c>
      <c r="AG6837">
        <v>-1.116419446933</v>
      </c>
      <c r="AH6837">
        <v>11.042065082624999</v>
      </c>
      <c r="AI6837">
        <v>94.816136304202004</v>
      </c>
      <c r="AJ6837">
        <v>56.4436530081786</v>
      </c>
      <c r="AK6837">
        <v>13.2972797355485</v>
      </c>
      <c r="AL6837">
        <v>80.565934598727395</v>
      </c>
      <c r="AM6837">
        <v>71.187244328730799</v>
      </c>
      <c r="AN6837">
        <v>0.99999998056413397</v>
      </c>
    </row>
    <row r="6838" spans="1:40" x14ac:dyDescent="0.25">
      <c r="A6838" t="str">
        <f>"20190303162437249"</f>
        <v>20190303162437249</v>
      </c>
      <c r="B6838" t="str">
        <f>"1551601477241398"</f>
        <v>1551601477241398</v>
      </c>
      <c r="C6838" t="s">
        <v>40</v>
      </c>
      <c r="D6838">
        <v>5.3488530000000001</v>
      </c>
      <c r="E6838">
        <v>0.6121624</v>
      </c>
      <c r="F6838" t="s">
        <v>55</v>
      </c>
      <c r="G6838">
        <v>-179.4101</v>
      </c>
      <c r="H6838" s="1">
        <v>-4.8602359999999998E-6</v>
      </c>
      <c r="I6838">
        <v>128.7903</v>
      </c>
      <c r="J6838">
        <v>-187.12620000000001</v>
      </c>
      <c r="K6838">
        <v>1.1163449999999999</v>
      </c>
      <c r="L6838">
        <v>120.21729999999999</v>
      </c>
      <c r="M6838">
        <v>0.14386760000000001</v>
      </c>
      <c r="N6838">
        <v>-1.3395249999999999E-2</v>
      </c>
      <c r="O6838">
        <v>0.98950629999999995</v>
      </c>
      <c r="P6838">
        <v>0.45027489999999998</v>
      </c>
      <c r="Q6838">
        <v>0.15401409999999999</v>
      </c>
      <c r="R6838">
        <v>0.87950680000000003</v>
      </c>
      <c r="S6838">
        <v>2.1161650000000001</v>
      </c>
      <c r="T6838">
        <v>-0.30515799999999998</v>
      </c>
      <c r="U6838">
        <v>2.3871000000000002</v>
      </c>
      <c r="V6838">
        <v>0.32080589999999998</v>
      </c>
      <c r="W6838">
        <v>0.16311039999999999</v>
      </c>
      <c r="X6838">
        <v>0.9329944</v>
      </c>
      <c r="Y6838">
        <v>0.54603139999999994</v>
      </c>
      <c r="Z6838">
        <v>-8.5693720000000001E-2</v>
      </c>
      <c r="AA6838">
        <v>0.83337039999999996</v>
      </c>
      <c r="AB6838">
        <v>29</v>
      </c>
      <c r="AC6838">
        <v>7.7161000000000097</v>
      </c>
      <c r="AD6838">
        <v>-1.116349860236</v>
      </c>
      <c r="AE6838">
        <v>8.5730000000000004</v>
      </c>
      <c r="AF6838">
        <v>6.3429080175844597</v>
      </c>
      <c r="AG6838">
        <v>-1.116349860236</v>
      </c>
      <c r="AH6838">
        <v>9.5049546589914904</v>
      </c>
      <c r="AI6838">
        <v>95.579743462963506</v>
      </c>
      <c r="AJ6838">
        <v>56.283767740337403</v>
      </c>
      <c r="AK6838">
        <v>11.4814146427811</v>
      </c>
      <c r="AL6838">
        <v>80.6125185803851</v>
      </c>
      <c r="AM6838">
        <v>71.024700251208998</v>
      </c>
      <c r="AN6838">
        <v>0.99999998924716405</v>
      </c>
    </row>
    <row r="6839" spans="1:40" x14ac:dyDescent="0.25">
      <c r="A6839" t="str">
        <f>"20190303162437260"</f>
        <v>20190303162437260</v>
      </c>
      <c r="B6839" t="str">
        <f>"1551601477252135"</f>
        <v>1551601477252135</v>
      </c>
      <c r="C6839" t="s">
        <v>40</v>
      </c>
      <c r="D6839">
        <v>5.344608</v>
      </c>
      <c r="E6839">
        <v>0.61130180000000001</v>
      </c>
      <c r="F6839" t="s">
        <v>55</v>
      </c>
      <c r="G6839">
        <v>-180.11580000000001</v>
      </c>
      <c r="H6839" s="1">
        <v>-5.0022990000000001E-6</v>
      </c>
      <c r="I6839">
        <v>128.04660000000001</v>
      </c>
      <c r="J6839">
        <v>-187.1001</v>
      </c>
      <c r="K6839">
        <v>1.1162879999999999</v>
      </c>
      <c r="L6839">
        <v>120.37520000000001</v>
      </c>
      <c r="M6839">
        <v>0.14697869999999999</v>
      </c>
      <c r="N6839">
        <v>-1.3396399999999999E-2</v>
      </c>
      <c r="O6839">
        <v>0.98904899999999996</v>
      </c>
      <c r="P6839">
        <v>0.45572659999999998</v>
      </c>
      <c r="Q6839">
        <v>0.15352650000000001</v>
      </c>
      <c r="R6839">
        <v>0.87677989999999995</v>
      </c>
      <c r="S6839">
        <v>2.1306919999999998</v>
      </c>
      <c r="T6839">
        <v>-0.33929710000000002</v>
      </c>
      <c r="U6839">
        <v>2.3796080000000002</v>
      </c>
      <c r="V6839">
        <v>0.32367289999999999</v>
      </c>
      <c r="W6839">
        <v>0.16253879999999901</v>
      </c>
      <c r="X6839">
        <v>0.93210349999999997</v>
      </c>
      <c r="Y6839">
        <v>0.54684250000000001</v>
      </c>
      <c r="Z6839">
        <v>-9.6533549999999996E-2</v>
      </c>
      <c r="AA6839">
        <v>0.83165169999999999</v>
      </c>
      <c r="AB6839">
        <v>29</v>
      </c>
      <c r="AC6839">
        <v>6.9842999999999904</v>
      </c>
      <c r="AD6839">
        <v>-1.1162930022990001</v>
      </c>
      <c r="AE6839">
        <v>7.6714000000000002</v>
      </c>
      <c r="AF6839">
        <v>5.7146389255637198</v>
      </c>
      <c r="AG6839">
        <v>-1.1162930022990001</v>
      </c>
      <c r="AH6839">
        <v>8.5161099506679001</v>
      </c>
      <c r="AI6839">
        <v>96.211913401389793</v>
      </c>
      <c r="AJ6839">
        <v>56.136861784064102</v>
      </c>
      <c r="AK6839">
        <v>10.316362576432301</v>
      </c>
      <c r="AL6839">
        <v>80.645711641183695</v>
      </c>
      <c r="AM6839">
        <v>70.850444457075398</v>
      </c>
      <c r="AN6839">
        <v>0.999999971206049</v>
      </c>
    </row>
    <row r="6840" spans="1:40" x14ac:dyDescent="0.25">
      <c r="A6840" t="str">
        <f>"20190303162437274"</f>
        <v>20190303162437274</v>
      </c>
      <c r="B6840" t="str">
        <f>"1551601477261895"</f>
        <v>1551601477261895</v>
      </c>
      <c r="C6840" t="s">
        <v>40</v>
      </c>
      <c r="D6840">
        <v>5.3369720000000003</v>
      </c>
      <c r="E6840">
        <v>0.61046840000000002</v>
      </c>
      <c r="F6840" t="s">
        <v>55</v>
      </c>
      <c r="G6840">
        <v>-180.2715</v>
      </c>
      <c r="H6840" s="1">
        <v>-4.9538940000000004E-6</v>
      </c>
      <c r="I6840">
        <v>127.94370000000001</v>
      </c>
      <c r="J6840">
        <v>-187.0727</v>
      </c>
      <c r="K6840">
        <v>1.116236</v>
      </c>
      <c r="L6840">
        <v>120.53700000000001</v>
      </c>
      <c r="M6840">
        <v>0.15022240000000001</v>
      </c>
      <c r="N6840">
        <v>-1.339799E-2</v>
      </c>
      <c r="O6840">
        <v>0.98856149999999998</v>
      </c>
      <c r="P6840">
        <v>0.46145130000000001</v>
      </c>
      <c r="Q6840">
        <v>0.15323059999999999</v>
      </c>
      <c r="R6840">
        <v>0.87383250000000001</v>
      </c>
      <c r="S6840">
        <v>2.1391749999999998</v>
      </c>
      <c r="T6840">
        <v>-0.34969749999999999</v>
      </c>
      <c r="U6840">
        <v>2.3709560000000001</v>
      </c>
      <c r="V6840">
        <v>0.3267254</v>
      </c>
      <c r="W6840">
        <v>0.16215769999999999</v>
      </c>
      <c r="X6840">
        <v>0.93110440000000005</v>
      </c>
      <c r="Y6840">
        <v>0.54701699999999998</v>
      </c>
      <c r="Z6840">
        <v>-9.9945069999999997E-2</v>
      </c>
      <c r="AA6840">
        <v>0.83113379999999903</v>
      </c>
      <c r="AB6840">
        <v>29</v>
      </c>
      <c r="AC6840">
        <v>6.8011999999999899</v>
      </c>
      <c r="AD6840">
        <v>-1.1162409538939999</v>
      </c>
      <c r="AE6840">
        <v>7.4066999999999998</v>
      </c>
      <c r="AF6840">
        <v>5.5429526384289796</v>
      </c>
      <c r="AG6840">
        <v>-1.1162409538939999</v>
      </c>
      <c r="AH6840">
        <v>8.2428472352298492</v>
      </c>
      <c r="AI6840">
        <v>96.411687883174196</v>
      </c>
      <c r="AJ6840">
        <v>56.080901505493799</v>
      </c>
      <c r="AK6840">
        <v>9.9957415113814001</v>
      </c>
      <c r="AL6840">
        <v>80.667840957313103</v>
      </c>
      <c r="AM6840">
        <v>70.663980519374206</v>
      </c>
      <c r="AN6840">
        <v>1.0000000051869</v>
      </c>
    </row>
    <row r="6841" spans="1:40" x14ac:dyDescent="0.25">
      <c r="A6841" t="str">
        <f>"20190303162437290"</f>
        <v>20190303162437290</v>
      </c>
      <c r="B6841" t="str">
        <f>"1551601477281414"</f>
        <v>1551601477281414</v>
      </c>
      <c r="C6841" t="s">
        <v>40</v>
      </c>
      <c r="D6841">
        <v>5.3200510000000003</v>
      </c>
      <c r="E6841">
        <v>0.60876919999999901</v>
      </c>
      <c r="F6841" t="s">
        <v>55</v>
      </c>
      <c r="G6841">
        <v>-180.3681</v>
      </c>
      <c r="H6841" s="1">
        <v>-4.9301630000000003E-6</v>
      </c>
      <c r="I6841">
        <v>127.9041</v>
      </c>
      <c r="J6841">
        <v>-187.0369</v>
      </c>
      <c r="K6841">
        <v>1.1161810000000001</v>
      </c>
      <c r="L6841">
        <v>120.7435</v>
      </c>
      <c r="M6841">
        <v>0.15440709999999999</v>
      </c>
      <c r="N6841">
        <v>-1.340007E-2</v>
      </c>
      <c r="O6841">
        <v>0.98791640000000003</v>
      </c>
      <c r="P6841">
        <v>0.47082429999999997</v>
      </c>
      <c r="Q6841">
        <v>0.15321389999999999</v>
      </c>
      <c r="R6841">
        <v>0.86882099999999995</v>
      </c>
      <c r="S6841">
        <v>2.1487880000000001</v>
      </c>
      <c r="T6841">
        <v>-0.35775299999999999</v>
      </c>
      <c r="U6841">
        <v>2.361145</v>
      </c>
      <c r="V6841">
        <v>0.3328294</v>
      </c>
      <c r="W6841">
        <v>0.1619968</v>
      </c>
      <c r="X6841">
        <v>0.92896809999999996</v>
      </c>
      <c r="Y6841">
        <v>0.54686009999999996</v>
      </c>
      <c r="Z6841">
        <v>-0.1026285</v>
      </c>
      <c r="AA6841">
        <v>0.83091000000000004</v>
      </c>
      <c r="AB6841">
        <v>29</v>
      </c>
      <c r="AC6841">
        <v>6.6688000000000001</v>
      </c>
      <c r="AD6841">
        <v>-1.1161859301629999</v>
      </c>
      <c r="AE6841">
        <v>7.1605999999999996</v>
      </c>
      <c r="AF6841">
        <v>5.4126321702769298</v>
      </c>
      <c r="AG6841">
        <v>-1.1161859301629999</v>
      </c>
      <c r="AH6841">
        <v>8.0004100315595004</v>
      </c>
      <c r="AI6841">
        <v>96.5915733214499</v>
      </c>
      <c r="AJ6841">
        <v>55.919905562559599</v>
      </c>
      <c r="AK6841">
        <v>9.7236319713617601</v>
      </c>
      <c r="AL6841">
        <v>80.677183811060303</v>
      </c>
      <c r="AM6841">
        <v>70.288484143227606</v>
      </c>
      <c r="AN6841">
        <v>1.0000000517661001</v>
      </c>
    </row>
    <row r="6842" spans="1:40" x14ac:dyDescent="0.25">
      <c r="A6842" t="str">
        <f>"20190303162437310"</f>
        <v>20190303162437310</v>
      </c>
      <c r="B6842" t="str">
        <f>"1551601477301911"</f>
        <v>1551601477301911</v>
      </c>
      <c r="C6842" t="s">
        <v>40</v>
      </c>
      <c r="D6842">
        <v>5.3372989999999998</v>
      </c>
      <c r="E6842">
        <v>0.60728870000000001</v>
      </c>
      <c r="F6842" t="s">
        <v>55</v>
      </c>
      <c r="G6842">
        <v>-180.50720000000001</v>
      </c>
      <c r="H6842" s="1">
        <v>-4.8931120000000001E-6</v>
      </c>
      <c r="I6842">
        <v>127.8361</v>
      </c>
      <c r="J6842">
        <v>-186.9897</v>
      </c>
      <c r="K6842">
        <v>1.1161019999999999</v>
      </c>
      <c r="L6842">
        <v>121.008</v>
      </c>
      <c r="M6842">
        <v>0.15986310000000001</v>
      </c>
      <c r="N6842">
        <v>-1.340335E-2</v>
      </c>
      <c r="O6842">
        <v>0.98704820000000004</v>
      </c>
      <c r="P6842">
        <v>0.4811666</v>
      </c>
      <c r="Q6842">
        <v>0.153671</v>
      </c>
      <c r="R6842">
        <v>0.86305509999999996</v>
      </c>
      <c r="S6842">
        <v>2.160828</v>
      </c>
      <c r="T6842">
        <v>-0.36937389999999998</v>
      </c>
      <c r="U6842">
        <v>2.3471069999999998</v>
      </c>
      <c r="V6842">
        <v>0.3388467</v>
      </c>
      <c r="W6842">
        <v>0.16229460000000001</v>
      </c>
      <c r="X6842">
        <v>0.92673799999999995</v>
      </c>
      <c r="Y6842">
        <v>0.54673930000000004</v>
      </c>
      <c r="Z6842">
        <v>-0.1065275</v>
      </c>
      <c r="AA6842">
        <v>0.83049869999999903</v>
      </c>
      <c r="AB6842">
        <v>29</v>
      </c>
      <c r="AC6842">
        <v>6.4824999999999804</v>
      </c>
      <c r="AD6842">
        <v>-1.116106893112</v>
      </c>
      <c r="AE6842">
        <v>6.8281000000000001</v>
      </c>
      <c r="AF6842">
        <v>5.2339059902316798</v>
      </c>
      <c r="AG6842">
        <v>-1.116106893112</v>
      </c>
      <c r="AH6842">
        <v>7.6689075597793597</v>
      </c>
      <c r="AI6842">
        <v>96.854582215224099</v>
      </c>
      <c r="AJ6842">
        <v>55.687092561762498</v>
      </c>
      <c r="AK6842">
        <v>9.3515565373832903</v>
      </c>
      <c r="AL6842">
        <v>80.659891555302295</v>
      </c>
      <c r="AM6842">
        <v>69.915881505273305</v>
      </c>
      <c r="AN6842">
        <v>0.99999997196702395</v>
      </c>
    </row>
    <row r="6843" spans="1:40" x14ac:dyDescent="0.25">
      <c r="A6843" t="str">
        <f>"20190303162437324"</f>
        <v>20190303162437324</v>
      </c>
      <c r="B6843" t="str">
        <f>"1551601477311671"</f>
        <v>1551601477311671</v>
      </c>
      <c r="C6843" t="s">
        <v>40</v>
      </c>
      <c r="D6843">
        <v>5.3505379999999896</v>
      </c>
      <c r="E6843">
        <v>0.60670970000000002</v>
      </c>
      <c r="F6843" t="s">
        <v>55</v>
      </c>
      <c r="G6843">
        <v>-180.48769999999999</v>
      </c>
      <c r="H6843" s="1">
        <v>-4.9272900000000004E-6</v>
      </c>
      <c r="I6843">
        <v>127.9572</v>
      </c>
      <c r="J6843">
        <v>-186.958</v>
      </c>
      <c r="K6843">
        <v>1.11605</v>
      </c>
      <c r="L6843">
        <v>121.1814</v>
      </c>
      <c r="M6843">
        <v>0.16348550000000001</v>
      </c>
      <c r="N6843">
        <v>-1.340586E-2</v>
      </c>
      <c r="O6843">
        <v>0.98645470000000002</v>
      </c>
      <c r="P6843">
        <v>0.4871704</v>
      </c>
      <c r="Q6843">
        <v>0.153867</v>
      </c>
      <c r="R6843">
        <v>0.859645199999999</v>
      </c>
      <c r="S6843">
        <v>2.1783450000000002</v>
      </c>
      <c r="T6843">
        <v>-0.3739249</v>
      </c>
      <c r="U6843">
        <v>2.3281559999999999</v>
      </c>
      <c r="V6843">
        <v>0.34193750000000001</v>
      </c>
      <c r="W6843">
        <v>0.16239999999999999</v>
      </c>
      <c r="X6843">
        <v>0.92558359999999995</v>
      </c>
      <c r="Y6843">
        <v>0.55024209999999996</v>
      </c>
      <c r="Z6843">
        <v>-0.1081775</v>
      </c>
      <c r="AA6843">
        <v>0.82796809999999998</v>
      </c>
      <c r="AB6843">
        <v>29</v>
      </c>
      <c r="AC6843">
        <v>6.4702999999999999</v>
      </c>
      <c r="AD6843">
        <v>-1.11605492729</v>
      </c>
      <c r="AE6843">
        <v>6.7758000000000003</v>
      </c>
      <c r="AF6843">
        <v>5.2015742555704101</v>
      </c>
      <c r="AG6843">
        <v>-1.11605492729</v>
      </c>
      <c r="AH6843">
        <v>7.6341833702129103</v>
      </c>
      <c r="AI6843">
        <v>96.888734491582198</v>
      </c>
      <c r="AJ6843">
        <v>55.731319012193801</v>
      </c>
      <c r="AK6843">
        <v>9.3049830234652493</v>
      </c>
      <c r="AL6843">
        <v>80.653771720558197</v>
      </c>
      <c r="AM6843">
        <v>69.724303884511798</v>
      </c>
      <c r="AN6843">
        <v>1.0000000072476001</v>
      </c>
    </row>
    <row r="6844" spans="1:40" x14ac:dyDescent="0.25">
      <c r="A6844" t="str">
        <f>"20190303162437338"</f>
        <v>20190303162437338</v>
      </c>
      <c r="B6844" t="str">
        <f>"1551601477331191"</f>
        <v>1551601477331191</v>
      </c>
      <c r="C6844" t="s">
        <v>40</v>
      </c>
      <c r="D6844">
        <v>5.327769</v>
      </c>
      <c r="E6844">
        <v>0.60559280000000004</v>
      </c>
      <c r="F6844" t="s">
        <v>55</v>
      </c>
      <c r="G6844">
        <v>-180.4068</v>
      </c>
      <c r="H6844" s="1">
        <v>-4.976466E-6</v>
      </c>
      <c r="I6844">
        <v>128.10310000000001</v>
      </c>
      <c r="J6844">
        <v>-186.92359999999999</v>
      </c>
      <c r="K6844">
        <v>1.1159939999999999</v>
      </c>
      <c r="L6844">
        <v>121.3644</v>
      </c>
      <c r="M6844">
        <v>0.16736789999999999</v>
      </c>
      <c r="N6844">
        <v>-1.340915E-2</v>
      </c>
      <c r="O6844">
        <v>0.98580330000000005</v>
      </c>
      <c r="P6844">
        <v>0.49311539999999998</v>
      </c>
      <c r="Q6844">
        <v>0.154082</v>
      </c>
      <c r="R6844">
        <v>0.85621019999999903</v>
      </c>
      <c r="S6844">
        <v>2.1910400000000001</v>
      </c>
      <c r="T6844">
        <v>-0.3732607</v>
      </c>
      <c r="U6844">
        <v>2.3149410000000001</v>
      </c>
      <c r="V6844">
        <v>0.34474250000000001</v>
      </c>
      <c r="W6844">
        <v>0.1625257</v>
      </c>
      <c r="X6844">
        <v>0.92452040000000002</v>
      </c>
      <c r="Y6844">
        <v>0.55172270000000001</v>
      </c>
      <c r="Z6844">
        <v>-0.1081033</v>
      </c>
      <c r="AA6844">
        <v>0.82699199999999995</v>
      </c>
      <c r="AB6844">
        <v>29</v>
      </c>
      <c r="AC6844">
        <v>6.5167999999999804</v>
      </c>
      <c r="AD6844">
        <v>-1.1159989764659899</v>
      </c>
      <c r="AE6844">
        <v>6.7386999999999997</v>
      </c>
      <c r="AF6844">
        <v>5.2228961772459597</v>
      </c>
      <c r="AG6844">
        <v>-1.1159989764659899</v>
      </c>
      <c r="AH6844">
        <v>7.6263476222549</v>
      </c>
      <c r="AI6844">
        <v>96.884291307989699</v>
      </c>
      <c r="AJ6844">
        <v>55.594747489279797</v>
      </c>
      <c r="AK6844">
        <v>9.3104928037798604</v>
      </c>
      <c r="AL6844">
        <v>80.646472434775504</v>
      </c>
      <c r="AM6844">
        <v>69.550121604521095</v>
      </c>
      <c r="AN6844">
        <v>0.99999998224144904</v>
      </c>
    </row>
    <row r="6845" spans="1:40" x14ac:dyDescent="0.25">
      <c r="A6845" t="str">
        <f>"20190303162437350"</f>
        <v>20190303162437350</v>
      </c>
      <c r="B6845" t="str">
        <f>"1551601477341926"</f>
        <v>1551601477341926</v>
      </c>
      <c r="C6845" t="s">
        <v>40</v>
      </c>
      <c r="D6845">
        <v>5.3235130000000002</v>
      </c>
      <c r="E6845">
        <v>0.60488450000000005</v>
      </c>
      <c r="F6845" t="s">
        <v>55</v>
      </c>
      <c r="G6845">
        <v>-180.34829999999999</v>
      </c>
      <c r="H6845" s="1">
        <v>-5.022041E-6</v>
      </c>
      <c r="I6845">
        <v>128.2473</v>
      </c>
      <c r="J6845">
        <v>-186.89349999999999</v>
      </c>
      <c r="K6845">
        <v>1.115945</v>
      </c>
      <c r="L6845">
        <v>121.5211</v>
      </c>
      <c r="M6845">
        <v>0.1707322</v>
      </c>
      <c r="N6845">
        <v>-1.341229E-2</v>
      </c>
      <c r="O6845">
        <v>0.98522619999999905</v>
      </c>
      <c r="P6845">
        <v>0.49835279999999998</v>
      </c>
      <c r="Q6845">
        <v>0.15413540000000001</v>
      </c>
      <c r="R6845">
        <v>0.8531628</v>
      </c>
      <c r="S6845">
        <v>2.2006679999999998</v>
      </c>
      <c r="T6845">
        <v>-0.37351109999999998</v>
      </c>
      <c r="U6845">
        <v>2.303604</v>
      </c>
      <c r="V6845">
        <v>0.34727789999999997</v>
      </c>
      <c r="W6845">
        <v>0.1624979</v>
      </c>
      <c r="X6845">
        <v>0.92357590000000001</v>
      </c>
      <c r="Y6845">
        <v>0.5527048</v>
      </c>
      <c r="Z6845">
        <v>-0.1083267</v>
      </c>
      <c r="AA6845">
        <v>0.82630669999999995</v>
      </c>
      <c r="AB6845">
        <v>29</v>
      </c>
      <c r="AC6845">
        <v>6.5451999999999897</v>
      </c>
      <c r="AD6845">
        <v>-1.1159500220409999</v>
      </c>
      <c r="AE6845">
        <v>6.7261999999999897</v>
      </c>
      <c r="AF6845">
        <v>5.22670222793412</v>
      </c>
      <c r="AG6845">
        <v>-1.1159500220409999</v>
      </c>
      <c r="AH6845">
        <v>7.6370248178376396</v>
      </c>
      <c r="AI6845">
        <v>96.875917250694101</v>
      </c>
      <c r="AJ6845">
        <v>55.612657788619799</v>
      </c>
      <c r="AK6845">
        <v>9.3213683920040893</v>
      </c>
      <c r="AL6845">
        <v>80.648086650298893</v>
      </c>
      <c r="AM6845">
        <v>69.393013150284403</v>
      </c>
      <c r="AN6845">
        <v>0.99999997519681405</v>
      </c>
    </row>
    <row r="6846" spans="1:40" x14ac:dyDescent="0.25">
      <c r="A6846" t="str">
        <f>"20190303162437364"</f>
        <v>20190303162437364</v>
      </c>
      <c r="B6846" t="str">
        <f>"1551601477351687"</f>
        <v>1551601477351687</v>
      </c>
      <c r="C6846" t="s">
        <v>40</v>
      </c>
      <c r="D6846">
        <v>5.3498460000000003</v>
      </c>
      <c r="E6846">
        <v>0.60428890000000002</v>
      </c>
      <c r="F6846" t="s">
        <v>55</v>
      </c>
      <c r="G6846">
        <v>-180.29429999999999</v>
      </c>
      <c r="H6846" s="1">
        <v>-5.0597409999999997E-6</v>
      </c>
      <c r="I6846">
        <v>128.36349999999999</v>
      </c>
      <c r="J6846">
        <v>-186.8612</v>
      </c>
      <c r="K6846">
        <v>1.1158950000000001</v>
      </c>
      <c r="L6846">
        <v>121.6874</v>
      </c>
      <c r="M6846">
        <v>0.17433119999999999</v>
      </c>
      <c r="N6846">
        <v>-1.3415730000000001E-2</v>
      </c>
      <c r="O6846">
        <v>0.98459569999999996</v>
      </c>
      <c r="P6846">
        <v>0.50384149999999905</v>
      </c>
      <c r="Q6846">
        <v>0.1545552</v>
      </c>
      <c r="R6846">
        <v>0.84985669999999902</v>
      </c>
      <c r="S6846">
        <v>2.2109380000000001</v>
      </c>
      <c r="T6846">
        <v>-0.37387759999999998</v>
      </c>
      <c r="U6846">
        <v>2.2924039999999999</v>
      </c>
      <c r="V6846">
        <v>0.3499005</v>
      </c>
      <c r="W6846">
        <v>0.16283010000000001</v>
      </c>
      <c r="X6846">
        <v>0.92252699999999999</v>
      </c>
      <c r="Y6846">
        <v>0.55358350000000001</v>
      </c>
      <c r="Z6846">
        <v>-0.10856730000000001</v>
      </c>
      <c r="AA6846">
        <v>0.8256867</v>
      </c>
      <c r="AB6846">
        <v>29</v>
      </c>
      <c r="AC6846">
        <v>6.5669000000000004</v>
      </c>
      <c r="AD6846">
        <v>-1.115900059741</v>
      </c>
      <c r="AE6846">
        <v>6.6760999999999902</v>
      </c>
      <c r="AF6846">
        <v>5.2281283466486599</v>
      </c>
      <c r="AG6846">
        <v>-1.115900059741</v>
      </c>
      <c r="AH6846">
        <v>7.6106999573452798</v>
      </c>
      <c r="AI6846">
        <v>96.891029542095296</v>
      </c>
      <c r="AJ6846">
        <v>55.513095798656899</v>
      </c>
      <c r="AK6846">
        <v>9.3006081947954709</v>
      </c>
      <c r="AL6846">
        <v>80.628796622319996</v>
      </c>
      <c r="AM6846">
        <v>69.229023147136502</v>
      </c>
      <c r="AN6846">
        <v>1.00000003354762</v>
      </c>
    </row>
    <row r="6847" spans="1:40" x14ac:dyDescent="0.25">
      <c r="A6847" t="str">
        <f>"20190303162437379"</f>
        <v>20190303162437379</v>
      </c>
      <c r="B6847" t="str">
        <f>"1551601477371207"</f>
        <v>1551601477371207</v>
      </c>
      <c r="C6847" t="s">
        <v>40</v>
      </c>
      <c r="D6847">
        <v>5.361529</v>
      </c>
      <c r="E6847">
        <v>0.60307149999999998</v>
      </c>
      <c r="F6847" t="s">
        <v>55</v>
      </c>
      <c r="G6847">
        <v>-180.19569999999999</v>
      </c>
      <c r="H6847" s="1">
        <v>-5.1145930000000001E-6</v>
      </c>
      <c r="I6847">
        <v>128.52180000000001</v>
      </c>
      <c r="J6847">
        <v>-186.82050000000001</v>
      </c>
      <c r="K6847">
        <v>1.1158250000000001</v>
      </c>
      <c r="L6847">
        <v>121.89019999999999</v>
      </c>
      <c r="M6847">
        <v>0.17882190000000001</v>
      </c>
      <c r="N6847">
        <v>-1.342137E-2</v>
      </c>
      <c r="O6847">
        <v>0.98378989999999999</v>
      </c>
      <c r="P6847">
        <v>0.51182519999999998</v>
      </c>
      <c r="Q6847">
        <v>0.15659489999999901</v>
      </c>
      <c r="R6847">
        <v>0.84469699999999903</v>
      </c>
      <c r="S6847">
        <v>2.2232820000000002</v>
      </c>
      <c r="T6847">
        <v>-0.3722086</v>
      </c>
      <c r="U6847">
        <v>2.279617</v>
      </c>
      <c r="V6847">
        <v>0.35451110000000002</v>
      </c>
      <c r="W6847">
        <v>0.16472339999999999</v>
      </c>
      <c r="X6847">
        <v>0.92042820000000003</v>
      </c>
      <c r="Y6847">
        <v>0.55443330000000002</v>
      </c>
      <c r="Z6847">
        <v>-0.1081572</v>
      </c>
      <c r="AA6847">
        <v>0.82517009999999902</v>
      </c>
      <c r="AB6847">
        <v>29</v>
      </c>
      <c r="AC6847">
        <v>6.62480000000002</v>
      </c>
      <c r="AD6847">
        <v>-1.1158301145929901</v>
      </c>
      <c r="AE6847">
        <v>6.6316000000000104</v>
      </c>
      <c r="AF6847">
        <v>5.2575164849764002</v>
      </c>
      <c r="AG6847">
        <v>-1.1158301145929901</v>
      </c>
      <c r="AH6847">
        <v>7.6017370744237702</v>
      </c>
      <c r="AI6847">
        <v>96.883735890279993</v>
      </c>
      <c r="AJ6847">
        <v>55.331474952104202</v>
      </c>
      <c r="AK6847">
        <v>9.30983152280964</v>
      </c>
      <c r="AL6847">
        <v>80.518833357412902</v>
      </c>
      <c r="AM6847">
        <v>68.935366518367402</v>
      </c>
      <c r="AN6847">
        <v>0.99999999494300496</v>
      </c>
    </row>
    <row r="6848" spans="1:40" x14ac:dyDescent="0.25">
      <c r="A6848" t="str">
        <f>"20190303162437395"</f>
        <v>20190303162437395</v>
      </c>
      <c r="B6848" t="str">
        <f>"1551601477391703"</f>
        <v>1551601477391703</v>
      </c>
      <c r="C6848" t="s">
        <v>40</v>
      </c>
      <c r="D6848">
        <v>5.8666099999999997</v>
      </c>
      <c r="E6848">
        <v>0.60218629999999995</v>
      </c>
      <c r="F6848" t="s">
        <v>55</v>
      </c>
      <c r="G6848">
        <v>-179.98089999999999</v>
      </c>
      <c r="H6848" s="1">
        <v>-5.2165760000000003E-6</v>
      </c>
      <c r="I6848">
        <v>128.79929999999999</v>
      </c>
      <c r="J6848">
        <v>-186.77869999999999</v>
      </c>
      <c r="K6848">
        <v>1.1157410000000001</v>
      </c>
      <c r="L6848">
        <v>122.0933</v>
      </c>
      <c r="M6848">
        <v>0.1834045</v>
      </c>
      <c r="N6848">
        <v>-1.342862E-2</v>
      </c>
      <c r="O6848">
        <v>0.98294579999999998</v>
      </c>
      <c r="P6848">
        <v>0.51764690000000002</v>
      </c>
      <c r="Q6848">
        <v>0.15793509999999999</v>
      </c>
      <c r="R6848">
        <v>0.84089130000000001</v>
      </c>
      <c r="S6848">
        <v>2.239563</v>
      </c>
      <c r="T6848">
        <v>-0.36536659999999999</v>
      </c>
      <c r="U6848">
        <v>2.2622990000000001</v>
      </c>
      <c r="V6848">
        <v>0.35668080000000002</v>
      </c>
      <c r="W6848">
        <v>0.16595270000000001</v>
      </c>
      <c r="X6848">
        <v>0.91936850000000003</v>
      </c>
      <c r="Y6848">
        <v>0.55688000000000004</v>
      </c>
      <c r="Z6848">
        <v>-0.10612439999999999</v>
      </c>
      <c r="AA6848">
        <v>0.823785399999999</v>
      </c>
      <c r="AB6848">
        <v>29</v>
      </c>
      <c r="AC6848">
        <v>6.7977999999999899</v>
      </c>
      <c r="AD6848">
        <v>-1.1157462165759999</v>
      </c>
      <c r="AE6848">
        <v>6.70599999999998</v>
      </c>
      <c r="AF6848">
        <v>5.3790103177479702</v>
      </c>
      <c r="AG6848">
        <v>-1.1157462165759999</v>
      </c>
      <c r="AH6848">
        <v>7.7335028601301099</v>
      </c>
      <c r="AI6848">
        <v>96.754726434841899</v>
      </c>
      <c r="AJ6848">
        <v>55.179593841218598</v>
      </c>
      <c r="AK6848">
        <v>9.4860797016409002</v>
      </c>
      <c r="AL6848">
        <v>80.4474164539361</v>
      </c>
      <c r="AM6848">
        <v>68.795598193794604</v>
      </c>
      <c r="AN6848">
        <v>0.99999996525908896</v>
      </c>
    </row>
    <row r="6849" spans="1:40" x14ac:dyDescent="0.25">
      <c r="A6849" t="str">
        <f>"20190303162437413"</f>
        <v>20190303162437413</v>
      </c>
      <c r="B6849" t="str">
        <f>"1551601477401463"</f>
        <v>1551601477401463</v>
      </c>
      <c r="C6849" t="s">
        <v>40</v>
      </c>
      <c r="D6849">
        <v>5.3498739999999998</v>
      </c>
      <c r="E6849">
        <v>0.60178330000000002</v>
      </c>
      <c r="F6849" t="s">
        <v>55</v>
      </c>
      <c r="G6849">
        <v>-179.7766</v>
      </c>
      <c r="H6849" s="1">
        <v>-5.1775860000000002E-6</v>
      </c>
      <c r="I6849">
        <v>129.09190000000001</v>
      </c>
      <c r="J6849">
        <v>-186.73169999999999</v>
      </c>
      <c r="K6849">
        <v>1.1156429999999999</v>
      </c>
      <c r="L6849">
        <v>122.3164</v>
      </c>
      <c r="M6849">
        <v>0.1885481</v>
      </c>
      <c r="N6849">
        <v>-1.3438220000000001E-2</v>
      </c>
      <c r="O6849">
        <v>0.98197199999999996</v>
      </c>
      <c r="P6849">
        <v>0.52655609999999997</v>
      </c>
      <c r="Q6849">
        <v>0.16015160000000001</v>
      </c>
      <c r="R6849">
        <v>0.83491919999999897</v>
      </c>
      <c r="S6849">
        <v>2.2506560000000002</v>
      </c>
      <c r="T6849">
        <v>-0.35862620000000001</v>
      </c>
      <c r="U6849">
        <v>2.2494960000000002</v>
      </c>
      <c r="V6849">
        <v>0.36179850000000002</v>
      </c>
      <c r="W6849">
        <v>0.167987</v>
      </c>
      <c r="X6849">
        <v>0.91699629999999999</v>
      </c>
      <c r="Y6849">
        <v>0.55707459999999998</v>
      </c>
      <c r="Z6849">
        <v>-0.104102399999999</v>
      </c>
      <c r="AA6849">
        <v>0.82391179999999997</v>
      </c>
      <c r="AB6849">
        <v>29</v>
      </c>
      <c r="AC6849">
        <v>6.9550999999999803</v>
      </c>
      <c r="AD6849">
        <v>-1.1156481775860001</v>
      </c>
      <c r="AE6849">
        <v>6.7755000000000001</v>
      </c>
      <c r="AF6849">
        <v>5.48035700204007</v>
      </c>
      <c r="AG6849">
        <v>-1.1156481775860001</v>
      </c>
      <c r="AH6849">
        <v>7.8616539941343904</v>
      </c>
      <c r="AI6849">
        <v>96.640237890399703</v>
      </c>
      <c r="AJ6849">
        <v>55.119656868945803</v>
      </c>
      <c r="AK6849">
        <v>9.6480354087995508</v>
      </c>
      <c r="AL6849">
        <v>80.329200446140007</v>
      </c>
      <c r="AM6849">
        <v>68.468415972229195</v>
      </c>
      <c r="AN6849">
        <v>1.0000000004924701</v>
      </c>
    </row>
    <row r="6850" spans="1:40" x14ac:dyDescent="0.25">
      <c r="A6850" t="str">
        <f>"20190303162437429"</f>
        <v>20190303162437429</v>
      </c>
      <c r="B6850" t="str">
        <f>"1551601477421959"</f>
        <v>1551601477421959</v>
      </c>
      <c r="C6850" t="s">
        <v>40</v>
      </c>
      <c r="D6850">
        <v>5.3452989999999998</v>
      </c>
      <c r="E6850">
        <v>0.60103509999999905</v>
      </c>
      <c r="F6850" t="s">
        <v>55</v>
      </c>
      <c r="G6850">
        <v>-179.44890000000001</v>
      </c>
      <c r="H6850" s="1">
        <v>-5.0443140000000001E-6</v>
      </c>
      <c r="I6850">
        <v>129.43979999999999</v>
      </c>
      <c r="J6850">
        <v>-186.68620000000001</v>
      </c>
      <c r="K6850">
        <v>1.1155280000000001</v>
      </c>
      <c r="L6850">
        <v>122.5262</v>
      </c>
      <c r="M6850">
        <v>0.1935038</v>
      </c>
      <c r="N6850">
        <v>-1.344889E-2</v>
      </c>
      <c r="O6850">
        <v>0.98100730000000003</v>
      </c>
      <c r="P6850">
        <v>0.53303809999999996</v>
      </c>
      <c r="Q6850">
        <v>0.16116520000000001</v>
      </c>
      <c r="R6850">
        <v>0.8305998</v>
      </c>
      <c r="S6850">
        <v>2.2749790000000001</v>
      </c>
      <c r="T6850">
        <v>-0.34850569999999997</v>
      </c>
      <c r="U6850">
        <v>2.2252200000000002</v>
      </c>
      <c r="V6850">
        <v>0.36440830000000002</v>
      </c>
      <c r="W6850">
        <v>0.16885939999999999</v>
      </c>
      <c r="X6850">
        <v>0.91580189999999995</v>
      </c>
      <c r="Y6850">
        <v>0.56201769999999995</v>
      </c>
      <c r="Z6850">
        <v>-0.1010026</v>
      </c>
      <c r="AA6850">
        <v>0.82093519999999898</v>
      </c>
      <c r="AB6850">
        <v>29</v>
      </c>
      <c r="AC6850">
        <v>7.2373000000000003</v>
      </c>
      <c r="AD6850">
        <v>-1.1155330443139999</v>
      </c>
      <c r="AE6850">
        <v>6.9135999999999802</v>
      </c>
      <c r="AF6850">
        <v>5.69185217491989</v>
      </c>
      <c r="AG6850">
        <v>-1.1155330443139999</v>
      </c>
      <c r="AH6850">
        <v>8.0830678552766599</v>
      </c>
      <c r="AI6850">
        <v>96.437999220990903</v>
      </c>
      <c r="AJ6850">
        <v>54.847950600736098</v>
      </c>
      <c r="AK6850">
        <v>9.9487477155219697</v>
      </c>
      <c r="AL6850">
        <v>80.278491337122304</v>
      </c>
      <c r="AM6850">
        <v>68.301811461243204</v>
      </c>
      <c r="AN6850">
        <v>1.0000000130604201</v>
      </c>
    </row>
    <row r="6851" spans="1:40" x14ac:dyDescent="0.25">
      <c r="A6851" t="str">
        <f>"20190303162437447"</f>
        <v>20190303162437447</v>
      </c>
      <c r="B6851" t="str">
        <f>"1551601477441478"</f>
        <v>1551601477441478</v>
      </c>
      <c r="C6851" t="s">
        <v>40</v>
      </c>
      <c r="D6851">
        <v>5.3710360000000001</v>
      </c>
      <c r="E6851">
        <v>0.60023519999999997</v>
      </c>
      <c r="F6851" t="s">
        <v>55</v>
      </c>
      <c r="G6851">
        <v>-179.24270000000001</v>
      </c>
      <c r="H6851" s="1">
        <v>-4.9812599999999998E-6</v>
      </c>
      <c r="I6851">
        <v>129.714</v>
      </c>
      <c r="J6851">
        <v>-186.63749999999999</v>
      </c>
      <c r="K6851">
        <v>1.1154029999999999</v>
      </c>
      <c r="L6851">
        <v>122.74469999999999</v>
      </c>
      <c r="M6851">
        <v>0.1987942</v>
      </c>
      <c r="N6851">
        <v>-1.3461610000000001E-2</v>
      </c>
      <c r="O6851">
        <v>0.97994879999999995</v>
      </c>
      <c r="P6851">
        <v>0.54227269999999905</v>
      </c>
      <c r="Q6851">
        <v>0.16201279999999901</v>
      </c>
      <c r="R6851">
        <v>0.82443440000000001</v>
      </c>
      <c r="S6851">
        <v>2.2884220000000002</v>
      </c>
      <c r="T6851">
        <v>-0.34295710000000001</v>
      </c>
      <c r="U6851">
        <v>2.2098080000000002</v>
      </c>
      <c r="V6851">
        <v>0.36978949999999999</v>
      </c>
      <c r="W6851">
        <v>0.16950229999999999</v>
      </c>
      <c r="X6851">
        <v>0.91352330000000004</v>
      </c>
      <c r="Y6851">
        <v>0.56295980000000001</v>
      </c>
      <c r="Z6851">
        <v>-9.9355529999999997E-2</v>
      </c>
      <c r="AA6851">
        <v>0.82049050000000001</v>
      </c>
      <c r="AB6851">
        <v>29</v>
      </c>
      <c r="AC6851">
        <v>7.3947999999999698</v>
      </c>
      <c r="AD6851">
        <v>-1.11540798126</v>
      </c>
      <c r="AE6851">
        <v>6.9692999999999996</v>
      </c>
      <c r="AF6851">
        <v>5.7918131399126702</v>
      </c>
      <c r="AG6851">
        <v>-1.11540798126</v>
      </c>
      <c r="AH6851">
        <v>8.2015304068794599</v>
      </c>
      <c r="AI6851">
        <v>96.339091624620707</v>
      </c>
      <c r="AJ6851">
        <v>54.7707633305602</v>
      </c>
      <c r="AK6851">
        <v>10.1021945847074</v>
      </c>
      <c r="AL6851">
        <v>80.241117612581803</v>
      </c>
      <c r="AM6851">
        <v>67.962152640819298</v>
      </c>
      <c r="AN6851">
        <v>1.00000006182921</v>
      </c>
    </row>
    <row r="6852" spans="1:40" x14ac:dyDescent="0.25">
      <c r="A6852" t="str">
        <f>"20190303162437467"</f>
        <v>20190303162437467</v>
      </c>
      <c r="B6852" t="str">
        <f>"1551601477461974"</f>
        <v>1551601477461974</v>
      </c>
      <c r="C6852" t="s">
        <v>40</v>
      </c>
      <c r="D6852">
        <v>5.4544930000000003</v>
      </c>
      <c r="E6852">
        <v>0.59983609999999998</v>
      </c>
      <c r="F6852" t="s">
        <v>55</v>
      </c>
      <c r="G6852">
        <v>-179.0275</v>
      </c>
      <c r="H6852" s="1">
        <v>-4.9245629999999999E-6</v>
      </c>
      <c r="I6852">
        <v>129.95140000000001</v>
      </c>
      <c r="J6852">
        <v>-186.5753</v>
      </c>
      <c r="K6852">
        <v>1.1152359999999999</v>
      </c>
      <c r="L6852">
        <v>123.015</v>
      </c>
      <c r="M6852">
        <v>0.20554020000000001</v>
      </c>
      <c r="N6852">
        <v>-1.347945E-2</v>
      </c>
      <c r="O6852">
        <v>0.97855590000000003</v>
      </c>
      <c r="P6852">
        <v>0.55189999999999995</v>
      </c>
      <c r="Q6852">
        <v>0.16263459999999999</v>
      </c>
      <c r="R6852">
        <v>0.8178976</v>
      </c>
      <c r="S6852">
        <v>2.3089900000000001</v>
      </c>
      <c r="T6852">
        <v>-0.33842870000000003</v>
      </c>
      <c r="U6852">
        <v>2.1866150000000002</v>
      </c>
      <c r="V6852">
        <v>0.37431389999999998</v>
      </c>
      <c r="W6852">
        <v>0.16990450000000001</v>
      </c>
      <c r="X6852">
        <v>0.91160390000000002</v>
      </c>
      <c r="Y6852">
        <v>0.56536609999999998</v>
      </c>
      <c r="Z6852">
        <v>-9.8079E-2</v>
      </c>
      <c r="AA6852">
        <v>0.81898819999999894</v>
      </c>
      <c r="AB6852">
        <v>29</v>
      </c>
      <c r="AC6852">
        <v>7.5477999999999899</v>
      </c>
      <c r="AD6852">
        <v>-1.1152409245629999</v>
      </c>
      <c r="AE6852">
        <v>6.9363999999999999</v>
      </c>
      <c r="AF6852">
        <v>5.8910498635924498</v>
      </c>
      <c r="AG6852">
        <v>-1.1152409245629999</v>
      </c>
      <c r="AH6852">
        <v>8.2422335208160096</v>
      </c>
      <c r="AI6852">
        <v>96.281889310383207</v>
      </c>
      <c r="AJ6852">
        <v>54.445109691509799</v>
      </c>
      <c r="AK6852">
        <v>10.192283562912399</v>
      </c>
      <c r="AL6852">
        <v>80.217733987024602</v>
      </c>
      <c r="AM6852">
        <v>67.676444526766005</v>
      </c>
      <c r="AN6852">
        <v>1.00000005267433</v>
      </c>
    </row>
    <row r="6853" spans="1:40" x14ac:dyDescent="0.25">
      <c r="A6853" t="str">
        <f>"20190303162437483"</f>
        <v>20190303162437483</v>
      </c>
      <c r="B6853" t="str">
        <f>"1551601477471736"</f>
        <v>1551601477471736</v>
      </c>
      <c r="C6853" t="s">
        <v>40</v>
      </c>
      <c r="D6853">
        <v>5.3606949999999998</v>
      </c>
      <c r="E6853">
        <v>0.59999429999999998</v>
      </c>
      <c r="F6853" t="s">
        <v>55</v>
      </c>
      <c r="G6853">
        <v>-178.77930000000001</v>
      </c>
      <c r="H6853" s="1">
        <v>-4.8596979999999998E-6</v>
      </c>
      <c r="I6853">
        <v>130.22649999999999</v>
      </c>
      <c r="J6853">
        <v>-186.52889999999999</v>
      </c>
      <c r="K6853">
        <v>1.115116</v>
      </c>
      <c r="L6853">
        <v>123.2111</v>
      </c>
      <c r="M6853">
        <v>0.2105513</v>
      </c>
      <c r="N6853">
        <v>-1.3492830000000001E-2</v>
      </c>
      <c r="O6853">
        <v>0.97748970000000002</v>
      </c>
      <c r="P6853">
        <v>0.55750730000000004</v>
      </c>
      <c r="Q6853">
        <v>0.16202239999999901</v>
      </c>
      <c r="R6853">
        <v>0.81420789999999998</v>
      </c>
      <c r="S6853">
        <v>2.3342290000000001</v>
      </c>
      <c r="T6853">
        <v>-0.33392070000000001</v>
      </c>
      <c r="U6853">
        <v>2.1592410000000002</v>
      </c>
      <c r="V6853">
        <v>0.3759267</v>
      </c>
      <c r="W6853">
        <v>0.16916529999999999</v>
      </c>
      <c r="X6853">
        <v>0.91107749999999998</v>
      </c>
      <c r="Y6853">
        <v>0.57082250000000001</v>
      </c>
      <c r="Z6853">
        <v>-9.6797939999999999E-2</v>
      </c>
      <c r="AA6853">
        <v>0.81534770000000001</v>
      </c>
      <c r="AB6853">
        <v>29</v>
      </c>
      <c r="AC6853">
        <v>7.7495999999999796</v>
      </c>
      <c r="AD6853">
        <v>-1.115120859698</v>
      </c>
      <c r="AE6853">
        <v>7.0153999999999801</v>
      </c>
      <c r="AF6853">
        <v>6.0299876747159704</v>
      </c>
      <c r="AG6853">
        <v>-1.115120859698</v>
      </c>
      <c r="AH6853">
        <v>8.3944156406765806</v>
      </c>
      <c r="AI6853">
        <v>96.157826736241006</v>
      </c>
      <c r="AJ6853">
        <v>54.309057006775902</v>
      </c>
      <c r="AK6853">
        <v>10.3956942931867</v>
      </c>
      <c r="AL6853">
        <v>80.2607085762682</v>
      </c>
      <c r="AM6853">
        <v>67.578089810151795</v>
      </c>
      <c r="AN6853">
        <v>0.999999996751614</v>
      </c>
    </row>
    <row r="6854" spans="1:40" x14ac:dyDescent="0.25">
      <c r="A6854" t="str">
        <f>"20190303162437496"</f>
        <v>20190303162437496</v>
      </c>
      <c r="B6854" t="str">
        <f>"1551601477491254"</f>
        <v>1551601477491254</v>
      </c>
      <c r="C6854" t="s">
        <v>40</v>
      </c>
      <c r="D6854">
        <v>5.3669560000000001</v>
      </c>
      <c r="E6854">
        <v>0.61174869999999903</v>
      </c>
      <c r="F6854" t="s">
        <v>55</v>
      </c>
      <c r="G6854">
        <v>-178.7593</v>
      </c>
      <c r="H6854" s="1">
        <v>-4.8697339999999998E-6</v>
      </c>
      <c r="I6854">
        <v>130.28899999999999</v>
      </c>
      <c r="J6854">
        <v>-186.48920000000001</v>
      </c>
      <c r="K6854">
        <v>1.115016</v>
      </c>
      <c r="L6854">
        <v>123.374</v>
      </c>
      <c r="M6854">
        <v>0.21483099999999999</v>
      </c>
      <c r="N6854">
        <v>-1.350472E-2</v>
      </c>
      <c r="O6854">
        <v>0.97655789999999998</v>
      </c>
      <c r="P6854">
        <v>0.56223129999999999</v>
      </c>
      <c r="Q6854">
        <v>0.1609399</v>
      </c>
      <c r="R6854">
        <v>0.81116849999999996</v>
      </c>
      <c r="S6854">
        <v>2.3511510000000002</v>
      </c>
      <c r="T6854">
        <v>-0.33744370000000001</v>
      </c>
      <c r="U6854">
        <v>2.1418149999999998</v>
      </c>
      <c r="V6854">
        <v>0.37721450000000001</v>
      </c>
      <c r="W6854">
        <v>0.167981399999999</v>
      </c>
      <c r="X6854">
        <v>0.91076420000000002</v>
      </c>
      <c r="Y6854">
        <v>0.57336469999999995</v>
      </c>
      <c r="Z6854">
        <v>-9.8022540000000005E-2</v>
      </c>
      <c r="AA6854">
        <v>0.81341529999999995</v>
      </c>
      <c r="AB6854">
        <v>29</v>
      </c>
      <c r="AC6854">
        <v>7.7299000000000104</v>
      </c>
      <c r="AD6854">
        <v>-1.1150208697340001</v>
      </c>
      <c r="AE6854">
        <v>6.9149999999999903</v>
      </c>
      <c r="AF6854">
        <v>5.9944082742145399</v>
      </c>
      <c r="AG6854">
        <v>-1.1150208697340001</v>
      </c>
      <c r="AH6854">
        <v>8.3181463974714998</v>
      </c>
      <c r="AI6854">
        <v>96.206550656105307</v>
      </c>
      <c r="AJ6854">
        <v>54.221882821986704</v>
      </c>
      <c r="AK6854">
        <v>10.313474758183199</v>
      </c>
      <c r="AL6854">
        <v>80.329525716678802</v>
      </c>
      <c r="AM6854">
        <v>67.501953714642795</v>
      </c>
      <c r="AN6854">
        <v>0.999999978878924</v>
      </c>
    </row>
    <row r="6855" spans="1:40" x14ac:dyDescent="0.25">
      <c r="A6855" t="str">
        <f>"20190303162437511"</f>
        <v>20190303162437511</v>
      </c>
      <c r="B6855" t="str">
        <f>"1551601477501991"</f>
        <v>1551601477501991</v>
      </c>
      <c r="C6855" t="s">
        <v>40</v>
      </c>
      <c r="D6855">
        <v>5.360951</v>
      </c>
      <c r="E6855">
        <v>0.61543149999999902</v>
      </c>
      <c r="F6855" t="s">
        <v>55</v>
      </c>
      <c r="G6855">
        <v>-180.25190000000001</v>
      </c>
      <c r="H6855" s="1">
        <v>-5.1560609999999996E-6</v>
      </c>
      <c r="I6855">
        <v>128.7116</v>
      </c>
      <c r="J6855">
        <v>-186.4409</v>
      </c>
      <c r="K6855">
        <v>1.114889</v>
      </c>
      <c r="L6855">
        <v>123.5685</v>
      </c>
      <c r="M6855">
        <v>0.22002959999999999</v>
      </c>
      <c r="N6855">
        <v>-1.3517100000000001E-2</v>
      </c>
      <c r="O6855">
        <v>0.97539960000000003</v>
      </c>
      <c r="P6855">
        <v>0.56933319999999998</v>
      </c>
      <c r="Q6855">
        <v>0.15884899999999999</v>
      </c>
      <c r="R6855">
        <v>0.80661439999999995</v>
      </c>
      <c r="S6855">
        <v>2.4437869999999999</v>
      </c>
      <c r="T6855">
        <v>-0.43686180000000002</v>
      </c>
      <c r="U6855">
        <v>2.0912480000000002</v>
      </c>
      <c r="V6855">
        <v>0.38029410000000002</v>
      </c>
      <c r="W6855">
        <v>0.165737299999999</v>
      </c>
      <c r="X6855">
        <v>0.90989430000000004</v>
      </c>
      <c r="Y6855">
        <v>0.59126619999999996</v>
      </c>
      <c r="Z6855">
        <v>-0.12898029999999999</v>
      </c>
      <c r="AA6855">
        <v>0.79609569999999996</v>
      </c>
      <c r="AB6855">
        <v>29</v>
      </c>
      <c r="AC6855">
        <v>6.1889999999999903</v>
      </c>
      <c r="AD6855">
        <v>-1.114894156061</v>
      </c>
      <c r="AE6855">
        <v>5.1430999999999996</v>
      </c>
      <c r="AF6855">
        <v>4.81317197763516</v>
      </c>
      <c r="AG6855">
        <v>-1.114894156061</v>
      </c>
      <c r="AH6855">
        <v>6.2587846624420402</v>
      </c>
      <c r="AI6855">
        <v>98.037379378363795</v>
      </c>
      <c r="AJ6855">
        <v>52.438757510251598</v>
      </c>
      <c r="AK6855">
        <v>7.9738321349480996</v>
      </c>
      <c r="AL6855">
        <v>80.459932051434293</v>
      </c>
      <c r="AM6855">
        <v>67.317308697853505</v>
      </c>
      <c r="AN6855">
        <v>1.0000000461392899</v>
      </c>
    </row>
    <row r="6856" spans="1:40" x14ac:dyDescent="0.25">
      <c r="A6856" t="str">
        <f>"20190303162437525"</f>
        <v>20190303162437525</v>
      </c>
      <c r="B6856" t="str">
        <f>"1551601477521511"</f>
        <v>1551601477521511</v>
      </c>
      <c r="C6856" t="s">
        <v>40</v>
      </c>
      <c r="D6856">
        <v>5.1674040000000003</v>
      </c>
      <c r="E6856">
        <v>0.62041539999999995</v>
      </c>
      <c r="F6856" t="s">
        <v>55</v>
      </c>
      <c r="G6856">
        <v>-179.64859999999999</v>
      </c>
      <c r="H6856" s="1">
        <v>-5.1113679999999998E-6</v>
      </c>
      <c r="I6856">
        <v>129.1583</v>
      </c>
      <c r="J6856">
        <v>-186.3964</v>
      </c>
      <c r="K6856">
        <v>1.1147720000000001</v>
      </c>
      <c r="L6856">
        <v>123.744</v>
      </c>
      <c r="M6856">
        <v>0.22480749999999999</v>
      </c>
      <c r="N6856">
        <v>-1.352679E-2</v>
      </c>
      <c r="O6856">
        <v>0.97430930000000004</v>
      </c>
      <c r="P6856">
        <v>0.57486499999999996</v>
      </c>
      <c r="Q6856">
        <v>0.15766620000000001</v>
      </c>
      <c r="R6856">
        <v>0.80291449999999998</v>
      </c>
      <c r="S6856">
        <v>2.4853360000000002</v>
      </c>
      <c r="T6856">
        <v>-0.40794459999999999</v>
      </c>
      <c r="U6856">
        <v>2.0453489999999999</v>
      </c>
      <c r="V6856">
        <v>0.3820672</v>
      </c>
      <c r="W6856">
        <v>0.16443089999999999</v>
      </c>
      <c r="X6856">
        <v>0.90938839999999999</v>
      </c>
      <c r="Y6856">
        <v>0.60347499999999998</v>
      </c>
      <c r="Z6856">
        <v>-0.1200307</v>
      </c>
      <c r="AA6856">
        <v>0.788296</v>
      </c>
      <c r="AB6856">
        <v>29</v>
      </c>
      <c r="AC6856">
        <v>6.7478000000000096</v>
      </c>
      <c r="AD6856">
        <v>-1.1147771113679901</v>
      </c>
      <c r="AE6856">
        <v>5.4142999999999901</v>
      </c>
      <c r="AF6856">
        <v>5.2702546803307699</v>
      </c>
      <c r="AG6856">
        <v>-1.1147771113679901</v>
      </c>
      <c r="AH6856">
        <v>6.68183861430912</v>
      </c>
      <c r="AI6856">
        <v>97.462905888797707</v>
      </c>
      <c r="AJ6856">
        <v>51.735630016319398</v>
      </c>
      <c r="AK6856">
        <v>8.5828479930178698</v>
      </c>
      <c r="AL6856">
        <v>80.535824715341505</v>
      </c>
      <c r="AM6856">
        <v>67.210949639046902</v>
      </c>
      <c r="AN6856">
        <v>1.0000000641225999</v>
      </c>
    </row>
    <row r="6857" spans="1:40" x14ac:dyDescent="0.25">
      <c r="A6857" t="str">
        <f>"20190303162437538"</f>
        <v>20190303162437538</v>
      </c>
      <c r="B6857" t="str">
        <f>"1551601477532246"</f>
        <v>1551601477532246</v>
      </c>
      <c r="C6857" t="s">
        <v>40</v>
      </c>
      <c r="D6857">
        <v>5.4539920000000004</v>
      </c>
      <c r="E6857">
        <v>0.62002699999999999</v>
      </c>
      <c r="F6857" t="s">
        <v>55</v>
      </c>
      <c r="G6857">
        <v>-178.93270000000001</v>
      </c>
      <c r="H6857" s="1">
        <v>-4.7420590000000002E-6</v>
      </c>
      <c r="I6857">
        <v>129.64089999999999</v>
      </c>
      <c r="J6857">
        <v>-186.35319999999999</v>
      </c>
      <c r="K6857">
        <v>1.1146579999999999</v>
      </c>
      <c r="L6857">
        <v>123.9102</v>
      </c>
      <c r="M6857">
        <v>0.22944819999999999</v>
      </c>
      <c r="N6857">
        <v>-1.353528E-2</v>
      </c>
      <c r="O6857">
        <v>0.9732267</v>
      </c>
      <c r="P6857">
        <v>0.58035409999999998</v>
      </c>
      <c r="Q6857">
        <v>0.15679879999999999</v>
      </c>
      <c r="R6857">
        <v>0.79912659999999902</v>
      </c>
      <c r="S6857">
        <v>2.5301969999999998</v>
      </c>
      <c r="T6857">
        <v>-0.37790669999999998</v>
      </c>
      <c r="U6857">
        <v>1.999039</v>
      </c>
      <c r="V6857">
        <v>0.38396029999999998</v>
      </c>
      <c r="W6857">
        <v>0.1634351</v>
      </c>
      <c r="X6857">
        <v>0.90877030000000003</v>
      </c>
      <c r="Y6857">
        <v>0.61622710000000003</v>
      </c>
      <c r="Z6857">
        <v>-0.110552</v>
      </c>
      <c r="AA6857">
        <v>0.77977069999999904</v>
      </c>
      <c r="AB6857">
        <v>29</v>
      </c>
      <c r="AC6857">
        <v>7.4204999999999703</v>
      </c>
      <c r="AD6857">
        <v>-1.1146627420589901</v>
      </c>
      <c r="AE6857">
        <v>5.7306999999999801</v>
      </c>
      <c r="AF6857">
        <v>5.8251371100489999</v>
      </c>
      <c r="AG6857">
        <v>-1.1146627420589901</v>
      </c>
      <c r="AH6857">
        <v>7.17908651608876</v>
      </c>
      <c r="AI6857">
        <v>96.874865051733707</v>
      </c>
      <c r="AJ6857">
        <v>50.943998445092397</v>
      </c>
      <c r="AK6857">
        <v>9.3120340734391593</v>
      </c>
      <c r="AL6857">
        <v>80.593661709850593</v>
      </c>
      <c r="AM6857">
        <v>67.095682825735594</v>
      </c>
      <c r="AN6857">
        <v>1.00000000102509</v>
      </c>
    </row>
    <row r="6858" spans="1:40" x14ac:dyDescent="0.25">
      <c r="A6858" t="str">
        <f>"20190303162437549"</f>
        <v>20190303162437549</v>
      </c>
      <c r="B6858" t="str">
        <f>"1551601477542007"</f>
        <v>1551601477542007</v>
      </c>
      <c r="C6858" t="s">
        <v>40</v>
      </c>
      <c r="D6858">
        <v>5.3701489999999996</v>
      </c>
      <c r="E6858">
        <v>0.61780970000000002</v>
      </c>
      <c r="F6858" t="s">
        <v>55</v>
      </c>
      <c r="G6858">
        <v>-178.79990000000001</v>
      </c>
      <c r="H6858" s="1">
        <v>-4.7141329999999997E-6</v>
      </c>
      <c r="I6858">
        <v>129.80600000000001</v>
      </c>
      <c r="J6858">
        <v>-186.316</v>
      </c>
      <c r="K6858">
        <v>1.1145620000000001</v>
      </c>
      <c r="L6858">
        <v>124.0502</v>
      </c>
      <c r="M6858">
        <v>0.23342979999999999</v>
      </c>
      <c r="N6858">
        <v>-1.354315E-2</v>
      </c>
      <c r="O6858">
        <v>0.97227940000000002</v>
      </c>
      <c r="P6858">
        <v>0.58518859999999995</v>
      </c>
      <c r="Q6858">
        <v>0.15612200000000001</v>
      </c>
      <c r="R6858">
        <v>0.79572619999999905</v>
      </c>
      <c r="S6858">
        <v>2.5402529999999999</v>
      </c>
      <c r="T6858">
        <v>-0.37487219999999999</v>
      </c>
      <c r="U6858">
        <v>1.9828190000000001</v>
      </c>
      <c r="V6858">
        <v>0.38574969999999997</v>
      </c>
      <c r="W6858">
        <v>0.1626437</v>
      </c>
      <c r="X6858">
        <v>0.90815420000000002</v>
      </c>
      <c r="Y6858">
        <v>0.61767609999999995</v>
      </c>
      <c r="Z6858">
        <v>-0.1097636</v>
      </c>
      <c r="AA6858">
        <v>0.77873490000000001</v>
      </c>
      <c r="AB6858">
        <v>29</v>
      </c>
      <c r="AC6858">
        <v>7.5160999999999598</v>
      </c>
      <c r="AD6858">
        <v>-1.114566714133</v>
      </c>
      <c r="AE6858">
        <v>5.7557999999999998</v>
      </c>
      <c r="AF6858">
        <v>5.88317251442745</v>
      </c>
      <c r="AG6858">
        <v>-1.114566714133</v>
      </c>
      <c r="AH6858">
        <v>7.2508948019699497</v>
      </c>
      <c r="AI6858">
        <v>96.806946541544093</v>
      </c>
      <c r="AJ6858">
        <v>50.945094860440598</v>
      </c>
      <c r="AK6858">
        <v>9.4036935947532196</v>
      </c>
      <c r="AL6858">
        <v>80.639619846875604</v>
      </c>
      <c r="AM6858">
        <v>66.986042791883406</v>
      </c>
      <c r="AN6858">
        <v>0.99999992758870704</v>
      </c>
    </row>
    <row r="6859" spans="1:40" x14ac:dyDescent="0.25">
      <c r="A6859" t="str">
        <f>"20190303162437561"</f>
        <v>20190303162437561</v>
      </c>
      <c r="B6859" t="str">
        <f>"1551601477551767"</f>
        <v>1551601477551767</v>
      </c>
      <c r="C6859" t="s">
        <v>40</v>
      </c>
      <c r="D6859">
        <v>5.3976759999999997</v>
      </c>
      <c r="E6859">
        <v>0.61604930000000002</v>
      </c>
      <c r="F6859" t="s">
        <v>55</v>
      </c>
      <c r="G6859">
        <v>-179.08080000000001</v>
      </c>
      <c r="H6859" s="1">
        <v>-4.8643570000000003E-6</v>
      </c>
      <c r="I6859">
        <v>129.697</v>
      </c>
      <c r="J6859">
        <v>-186.27350000000001</v>
      </c>
      <c r="K6859">
        <v>1.1144499999999999</v>
      </c>
      <c r="L6859">
        <v>124.2084</v>
      </c>
      <c r="M6859">
        <v>0.23797309999999999</v>
      </c>
      <c r="N6859">
        <v>-1.355198E-2</v>
      </c>
      <c r="O6859">
        <v>0.97117719999999996</v>
      </c>
      <c r="P6859">
        <v>0.59046779999999999</v>
      </c>
      <c r="Q6859">
        <v>0.15517779999999901</v>
      </c>
      <c r="R6859">
        <v>0.79200230000000005</v>
      </c>
      <c r="S6859">
        <v>2.5377040000000002</v>
      </c>
      <c r="T6859">
        <v>-0.39092710000000003</v>
      </c>
      <c r="U6859">
        <v>1.9805600000000001</v>
      </c>
      <c r="V6859">
        <v>0.3875304</v>
      </c>
      <c r="W6859">
        <v>0.16157379999999999</v>
      </c>
      <c r="X6859">
        <v>0.90758689999999997</v>
      </c>
      <c r="Y6859">
        <v>0.61357249999999997</v>
      </c>
      <c r="Z6859">
        <v>-0.1150436</v>
      </c>
      <c r="AA6859">
        <v>0.78121300000000005</v>
      </c>
      <c r="AB6859">
        <v>29</v>
      </c>
      <c r="AC6859">
        <v>7.1927000000000003</v>
      </c>
      <c r="AD6859">
        <v>-1.114454864357</v>
      </c>
      <c r="AE6859">
        <v>5.4885999999999999</v>
      </c>
      <c r="AF6859">
        <v>5.5948807466482604</v>
      </c>
      <c r="AG6859">
        <v>-1.114454864357</v>
      </c>
      <c r="AH6859">
        <v>6.9374609141269499</v>
      </c>
      <c r="AI6859">
        <v>97.127571046120707</v>
      </c>
      <c r="AJ6859">
        <v>51.114731898471</v>
      </c>
      <c r="AK6859">
        <v>8.9818185323988597</v>
      </c>
      <c r="AL6859">
        <v>80.701742448343495</v>
      </c>
      <c r="AM6859">
        <v>66.878009398306006</v>
      </c>
      <c r="AN6859">
        <v>0.99999994241110302</v>
      </c>
    </row>
    <row r="6860" spans="1:40" x14ac:dyDescent="0.25">
      <c r="A6860" t="str">
        <f>"20190303162437580"</f>
        <v>20190303162437580</v>
      </c>
      <c r="B6860" t="str">
        <f>"1551601477571286"</f>
        <v>1551601477571286</v>
      </c>
      <c r="C6860" t="s">
        <v>40</v>
      </c>
      <c r="D6860">
        <v>5.4171709999999997</v>
      </c>
      <c r="E6860">
        <v>0.61664280000000005</v>
      </c>
      <c r="F6860" t="s">
        <v>55</v>
      </c>
      <c r="G6860">
        <v>-179.24359999999999</v>
      </c>
      <c r="H6860" s="1">
        <v>-4.966437E-6</v>
      </c>
      <c r="I6860">
        <v>129.67330000000001</v>
      </c>
      <c r="J6860">
        <v>-186.21369999999999</v>
      </c>
      <c r="K6860">
        <v>1.1142920000000001</v>
      </c>
      <c r="L6860">
        <v>124.4239</v>
      </c>
      <c r="M6860">
        <v>0.24433940000000001</v>
      </c>
      <c r="N6860">
        <v>-1.35665E-2</v>
      </c>
      <c r="O6860">
        <v>0.96959479999999998</v>
      </c>
      <c r="P6860">
        <v>0.59746369999999904</v>
      </c>
      <c r="Q6860">
        <v>0.15287510000000001</v>
      </c>
      <c r="R6860">
        <v>0.78718889999999997</v>
      </c>
      <c r="S6860">
        <v>2.5390320000000002</v>
      </c>
      <c r="T6860">
        <v>-0.40251429999999999</v>
      </c>
      <c r="U6860">
        <v>1.9737849999999999</v>
      </c>
      <c r="V6860">
        <v>0.38953569999999998</v>
      </c>
      <c r="W6860">
        <v>0.15910650000000001</v>
      </c>
      <c r="X6860">
        <v>0.90716430000000003</v>
      </c>
      <c r="Y6860">
        <v>0.60953349999999995</v>
      </c>
      <c r="Z6860">
        <v>-0.11890589999999999</v>
      </c>
      <c r="AA6860">
        <v>0.78379219999999905</v>
      </c>
      <c r="AB6860">
        <v>29</v>
      </c>
      <c r="AC6860">
        <v>6.9701000000000004</v>
      </c>
      <c r="AD6860">
        <v>-1.1142969664369999</v>
      </c>
      <c r="AE6860">
        <v>5.2493999999999996</v>
      </c>
      <c r="AF6860">
        <v>5.3881720996797702</v>
      </c>
      <c r="AG6860">
        <v>-1.1142969664369999</v>
      </c>
      <c r="AH6860">
        <v>6.6844769663255796</v>
      </c>
      <c r="AI6860">
        <v>97.394791177327406</v>
      </c>
      <c r="AJ6860">
        <v>51.128672673575601</v>
      </c>
      <c r="AK6860">
        <v>8.6577299922390392</v>
      </c>
      <c r="AL6860">
        <v>80.844961929945001</v>
      </c>
      <c r="AM6860">
        <v>66.761349160448702</v>
      </c>
      <c r="AN6860">
        <v>1.00000000355561</v>
      </c>
    </row>
    <row r="6861" spans="1:40" x14ac:dyDescent="0.25">
      <c r="A6861" t="str">
        <f>"20190303162437594"</f>
        <v>20190303162437594</v>
      </c>
      <c r="B6861" t="str">
        <f>"1551601477582023"</f>
        <v>1551601477582023</v>
      </c>
      <c r="C6861" t="s">
        <v>40</v>
      </c>
      <c r="D6861">
        <v>5.4592640000000001</v>
      </c>
      <c r="E6861">
        <v>0.61634560000000005</v>
      </c>
      <c r="F6861" t="s">
        <v>55</v>
      </c>
      <c r="G6861">
        <v>-179.19630000000001</v>
      </c>
      <c r="H6861" s="1">
        <v>-4.9691770000000002E-6</v>
      </c>
      <c r="I6861">
        <v>129.7655</v>
      </c>
      <c r="J6861">
        <v>-186.1626</v>
      </c>
      <c r="K6861">
        <v>1.114158</v>
      </c>
      <c r="L6861">
        <v>124.6033</v>
      </c>
      <c r="M6861">
        <v>0.2497615</v>
      </c>
      <c r="N6861">
        <v>-1.3579580000000001E-2</v>
      </c>
      <c r="O6861">
        <v>0.96821210000000002</v>
      </c>
      <c r="P6861">
        <v>0.60219279999999997</v>
      </c>
      <c r="Q6861">
        <v>0.1517945</v>
      </c>
      <c r="R6861">
        <v>0.78378719999999902</v>
      </c>
      <c r="S6861">
        <v>2.558853</v>
      </c>
      <c r="T6861">
        <v>-0.40632390000000002</v>
      </c>
      <c r="U6861">
        <v>1.947784</v>
      </c>
      <c r="V6861">
        <v>0.38990190000000002</v>
      </c>
      <c r="W6861">
        <v>0.157913</v>
      </c>
      <c r="X6861">
        <v>0.90721549999999995</v>
      </c>
      <c r="Y6861">
        <v>0.61294099999999996</v>
      </c>
      <c r="Z6861">
        <v>-0.1203116</v>
      </c>
      <c r="AA6861">
        <v>0.78091509999999997</v>
      </c>
      <c r="AB6861">
        <v>29</v>
      </c>
      <c r="AC6861">
        <v>6.9662999999999897</v>
      </c>
      <c r="AD6861">
        <v>-1.1141629691769901</v>
      </c>
      <c r="AE6861">
        <v>5.1621999999999897</v>
      </c>
      <c r="AF6861">
        <v>5.3674119886207103</v>
      </c>
      <c r="AG6861">
        <v>-1.1141629691769901</v>
      </c>
      <c r="AH6861">
        <v>6.6291765412059798</v>
      </c>
      <c r="AI6861">
        <v>97.441966740371498</v>
      </c>
      <c r="AJ6861">
        <v>51.0041205089247</v>
      </c>
      <c r="AK6861">
        <v>8.6021190524167004</v>
      </c>
      <c r="AL6861">
        <v>80.914219881768304</v>
      </c>
      <c r="AM6861">
        <v>66.742996904143396</v>
      </c>
      <c r="AN6861">
        <v>0.99999998531642997</v>
      </c>
    </row>
    <row r="6862" spans="1:40" x14ac:dyDescent="0.25">
      <c r="A6862" t="str">
        <f>"20190303162437609"</f>
        <v>20190303162437609</v>
      </c>
      <c r="B6862" t="str">
        <f>"1551601477601544"</f>
        <v>1551601477601544</v>
      </c>
      <c r="C6862" t="s">
        <v>40</v>
      </c>
      <c r="D6862">
        <v>5.4018509999999997</v>
      </c>
      <c r="E6862">
        <v>0.61523169999999905</v>
      </c>
      <c r="F6862" t="s">
        <v>55</v>
      </c>
      <c r="G6862">
        <v>-179.08070000000001</v>
      </c>
      <c r="H6862" s="1">
        <v>-4.9533989999999996E-6</v>
      </c>
      <c r="I6862">
        <v>129.93170000000001</v>
      </c>
      <c r="J6862">
        <v>-186.11170000000001</v>
      </c>
      <c r="K6862">
        <v>1.114031</v>
      </c>
      <c r="L6862">
        <v>124.77849999999999</v>
      </c>
      <c r="M6862">
        <v>0.25514500000000001</v>
      </c>
      <c r="N6862">
        <v>-1.3592699999999999E-2</v>
      </c>
      <c r="O6862">
        <v>0.96680719999999998</v>
      </c>
      <c r="P6862">
        <v>0.60666889999999996</v>
      </c>
      <c r="Q6862">
        <v>0.15123829999999999</v>
      </c>
      <c r="R6862">
        <v>0.78043569999999995</v>
      </c>
      <c r="S6862">
        <v>2.5684200000000001</v>
      </c>
      <c r="T6862">
        <v>-0.40407799999999999</v>
      </c>
      <c r="U6862">
        <v>1.9324950000000001</v>
      </c>
      <c r="V6862">
        <v>0.39005770000000001</v>
      </c>
      <c r="W6862">
        <v>0.15725</v>
      </c>
      <c r="X6862">
        <v>0.90726370000000001</v>
      </c>
      <c r="Y6862">
        <v>0.6129869</v>
      </c>
      <c r="Z6862">
        <v>-0.1197458</v>
      </c>
      <c r="AA6862">
        <v>0.78096599999999905</v>
      </c>
      <c r="AB6862">
        <v>29</v>
      </c>
      <c r="AC6862">
        <v>7.0309999999999997</v>
      </c>
      <c r="AD6862">
        <v>-1.1140359533990001</v>
      </c>
      <c r="AE6862">
        <v>5.1532000000000098</v>
      </c>
      <c r="AF6862">
        <v>5.3952006307837799</v>
      </c>
      <c r="AG6862">
        <v>-1.1140359533990001</v>
      </c>
      <c r="AH6862">
        <v>6.6678031860739004</v>
      </c>
      <c r="AI6862">
        <v>97.400371114763999</v>
      </c>
      <c r="AJ6862">
        <v>51.022218647741603</v>
      </c>
      <c r="AK6862">
        <v>8.64921182999311</v>
      </c>
      <c r="AL6862">
        <v>80.952687703972401</v>
      </c>
      <c r="AM6862">
        <v>66.735796452522806</v>
      </c>
      <c r="AN6862">
        <v>0.99999999658348904</v>
      </c>
    </row>
    <row r="6863" spans="1:40" x14ac:dyDescent="0.25">
      <c r="A6863" t="str">
        <f>"20190303162437625"</f>
        <v>20190303162437625</v>
      </c>
      <c r="B6863" t="str">
        <f>"1551601477611302"</f>
        <v>1551601477611302</v>
      </c>
      <c r="C6863" t="s">
        <v>40</v>
      </c>
      <c r="D6863">
        <v>5.407508</v>
      </c>
      <c r="E6863">
        <v>0.61432929999999997</v>
      </c>
      <c r="F6863" t="s">
        <v>55</v>
      </c>
      <c r="G6863">
        <v>-179.00389999999999</v>
      </c>
      <c r="H6863" s="1">
        <v>-4.961759E-6</v>
      </c>
      <c r="I6863">
        <v>130.09180000000001</v>
      </c>
      <c r="J6863">
        <v>-186.0496</v>
      </c>
      <c r="K6863">
        <v>1.113885</v>
      </c>
      <c r="L6863">
        <v>124.9873</v>
      </c>
      <c r="M6863">
        <v>0.26168239999999998</v>
      </c>
      <c r="N6863">
        <v>-1.3609080000000001E-2</v>
      </c>
      <c r="O6863">
        <v>0.96505810000000003</v>
      </c>
      <c r="P6863">
        <v>0.61289890000000002</v>
      </c>
      <c r="Q6863">
        <v>0.15053449999999999</v>
      </c>
      <c r="R6863">
        <v>0.77568959999999998</v>
      </c>
      <c r="S6863">
        <v>2.5721280000000002</v>
      </c>
      <c r="T6863">
        <v>-0.40313890000000002</v>
      </c>
      <c r="U6863">
        <v>1.9227289999999999</v>
      </c>
      <c r="V6863">
        <v>0.39119310000000002</v>
      </c>
      <c r="W6863">
        <v>0.15640000000000001</v>
      </c>
      <c r="X6863">
        <v>0.90692169999999905</v>
      </c>
      <c r="Y6863">
        <v>0.61011759999999904</v>
      </c>
      <c r="Z6863">
        <v>-0.11959069999999999</v>
      </c>
      <c r="AA6863">
        <v>0.78323339999999997</v>
      </c>
      <c r="AB6863">
        <v>29</v>
      </c>
      <c r="AC6863">
        <v>7.0457000000000098</v>
      </c>
      <c r="AD6863">
        <v>-1.1138899617589999</v>
      </c>
      <c r="AE6863">
        <v>5.1044999999999998</v>
      </c>
      <c r="AF6863">
        <v>5.3761385778177297</v>
      </c>
      <c r="AG6863">
        <v>-1.1138899617589999</v>
      </c>
      <c r="AH6863">
        <v>6.6613170863608602</v>
      </c>
      <c r="AI6863">
        <v>97.4139657169993</v>
      </c>
      <c r="AJ6863">
        <v>51.094096702852497</v>
      </c>
      <c r="AK6863">
        <v>8.6323092032115394</v>
      </c>
      <c r="AL6863">
        <v>81.001999181066296</v>
      </c>
      <c r="AM6863">
        <v>66.667451504367705</v>
      </c>
      <c r="AN6863">
        <v>0.99999998570924897</v>
      </c>
    </row>
    <row r="6864" spans="1:40" x14ac:dyDescent="0.25">
      <c r="A6864" t="str">
        <f>"20190303162437647"</f>
        <v>20190303162437647</v>
      </c>
      <c r="B6864" t="str">
        <f>"1551601477641559"</f>
        <v>1551601477641559</v>
      </c>
      <c r="C6864" t="s">
        <v>40</v>
      </c>
      <c r="D6864">
        <v>5.4602370000000002</v>
      </c>
      <c r="E6864">
        <v>0.61401059999999996</v>
      </c>
      <c r="F6864" t="s">
        <v>55</v>
      </c>
      <c r="G6864">
        <v>-179.0095</v>
      </c>
      <c r="H6864" s="1">
        <v>-5.002171E-6</v>
      </c>
      <c r="I6864">
        <v>130.1883</v>
      </c>
      <c r="J6864">
        <v>-185.9667</v>
      </c>
      <c r="K6864">
        <v>1.1136980000000001</v>
      </c>
      <c r="L6864">
        <v>125.25700000000001</v>
      </c>
      <c r="M6864">
        <v>0.270343</v>
      </c>
      <c r="N6864">
        <v>-1.363118E-2</v>
      </c>
      <c r="O6864">
        <v>0.96266759999999996</v>
      </c>
      <c r="P6864">
        <v>0.62091929999999995</v>
      </c>
      <c r="Q6864">
        <v>0.1495244</v>
      </c>
      <c r="R6864">
        <v>0.76948139999999998</v>
      </c>
      <c r="S6864">
        <v>2.581467</v>
      </c>
      <c r="T6864">
        <v>-0.40843839999999998</v>
      </c>
      <c r="U6864">
        <v>1.9070739999999999</v>
      </c>
      <c r="V6864">
        <v>0.39245999999999998</v>
      </c>
      <c r="W6864">
        <v>0.1552154</v>
      </c>
      <c r="X6864">
        <v>0.90657779999999999</v>
      </c>
      <c r="Y6864">
        <v>0.60726800000000003</v>
      </c>
      <c r="Z6864">
        <v>-0.1214238</v>
      </c>
      <c r="AA6864">
        <v>0.78516359999999996</v>
      </c>
      <c r="AB6864">
        <v>29</v>
      </c>
      <c r="AC6864">
        <v>6.9572000000000003</v>
      </c>
      <c r="AD6864">
        <v>-1.1137030021709999</v>
      </c>
      <c r="AE6864">
        <v>4.9312999999999896</v>
      </c>
      <c r="AF6864">
        <v>5.2748577449610696</v>
      </c>
      <c r="AG6864">
        <v>-1.1137030021709999</v>
      </c>
      <c r="AH6864">
        <v>6.5174850691263</v>
      </c>
      <c r="AI6864">
        <v>97.566137493602497</v>
      </c>
      <c r="AJ6864">
        <v>51.015387948756</v>
      </c>
      <c r="AK6864">
        <v>8.4582545618410396</v>
      </c>
      <c r="AL6864">
        <v>81.070710951466097</v>
      </c>
      <c r="AM6864">
        <v>66.592082052379595</v>
      </c>
      <c r="AN6864">
        <v>0.99999998972499904</v>
      </c>
    </row>
    <row r="6865" spans="1:40" x14ac:dyDescent="0.25">
      <c r="A6865" t="str">
        <f>"20190303162437659"</f>
        <v>20190303162437659</v>
      </c>
      <c r="B6865" t="str">
        <f>"1551601477651318"</f>
        <v>1551601477651318</v>
      </c>
      <c r="C6865" t="s">
        <v>40</v>
      </c>
      <c r="D6865">
        <v>5.4873089999999998</v>
      </c>
      <c r="E6865">
        <v>0.61395</v>
      </c>
      <c r="F6865" t="s">
        <v>55</v>
      </c>
      <c r="G6865">
        <v>-178.70740000000001</v>
      </c>
      <c r="H6865" s="1">
        <v>-4.9176839999999999E-6</v>
      </c>
      <c r="I6865">
        <v>130.5086</v>
      </c>
      <c r="J6865">
        <v>-185.91909999999999</v>
      </c>
      <c r="K6865">
        <v>1.1135999999999999</v>
      </c>
      <c r="L6865">
        <v>125.40779999999999</v>
      </c>
      <c r="M6865">
        <v>0.2752714</v>
      </c>
      <c r="N6865">
        <v>-1.364336E-2</v>
      </c>
      <c r="O6865">
        <v>0.9612697</v>
      </c>
      <c r="P6865">
        <v>0.62539889999999998</v>
      </c>
      <c r="Q6865">
        <v>0.14843599999999901</v>
      </c>
      <c r="R6865">
        <v>0.76605679999999998</v>
      </c>
      <c r="S6865">
        <v>2.5981900000000002</v>
      </c>
      <c r="T6865">
        <v>-0.39861020000000003</v>
      </c>
      <c r="U6865">
        <v>1.8796079999999999</v>
      </c>
      <c r="V6865">
        <v>0.39306459999999999</v>
      </c>
      <c r="W6865">
        <v>0.1540395</v>
      </c>
      <c r="X6865">
        <v>0.9065164</v>
      </c>
      <c r="Y6865">
        <v>0.61134619999999995</v>
      </c>
      <c r="Z6865">
        <v>-0.1185428</v>
      </c>
      <c r="AA6865">
        <v>0.78243430000000003</v>
      </c>
      <c r="AB6865">
        <v>29</v>
      </c>
      <c r="AC6865">
        <v>7.2116999999999702</v>
      </c>
      <c r="AD6865">
        <v>-1.1136049176839999</v>
      </c>
      <c r="AE6865">
        <v>5.1007999999999996</v>
      </c>
      <c r="AF6865">
        <v>5.4423021074928704</v>
      </c>
      <c r="AG6865">
        <v>-1.1136049176839999</v>
      </c>
      <c r="AH6865">
        <v>6.7812826292513604</v>
      </c>
      <c r="AI6865">
        <v>97.298309592091698</v>
      </c>
      <c r="AJ6865">
        <v>51.251298142294203</v>
      </c>
      <c r="AK6865">
        <v>8.7661030247024598</v>
      </c>
      <c r="AL6865">
        <v>81.138905029341799</v>
      </c>
      <c r="AM6865">
        <v>66.558493500205401</v>
      </c>
      <c r="AN6865">
        <v>0.99999996540118397</v>
      </c>
    </row>
    <row r="6866" spans="1:40" x14ac:dyDescent="0.25">
      <c r="A6866" t="str">
        <f>"20190303162437671"</f>
        <v>20190303162437671</v>
      </c>
      <c r="B6866" t="str">
        <f>"1551601477662054"</f>
        <v>1551601477662054</v>
      </c>
      <c r="C6866" t="s">
        <v>40</v>
      </c>
      <c r="D6866">
        <v>5.4992070000000002</v>
      </c>
      <c r="E6866">
        <v>0.61389090000000002</v>
      </c>
      <c r="F6866" t="s">
        <v>55</v>
      </c>
      <c r="G6866">
        <v>-178.62889999999999</v>
      </c>
      <c r="H6866" s="1">
        <v>-4.9055169999999997E-6</v>
      </c>
      <c r="I6866">
        <v>130.61760000000001</v>
      </c>
      <c r="J6866">
        <v>-185.86789999999999</v>
      </c>
      <c r="K6866">
        <v>1.113502</v>
      </c>
      <c r="L6866">
        <v>125.56659999999999</v>
      </c>
      <c r="M6866">
        <v>0.28053519999999998</v>
      </c>
      <c r="N6866">
        <v>-1.365602E-2</v>
      </c>
      <c r="O6866">
        <v>0.95974660000000001</v>
      </c>
      <c r="P6866">
        <v>0.62988789999999995</v>
      </c>
      <c r="Q6866">
        <v>0.14753720000000001</v>
      </c>
      <c r="R6866">
        <v>0.76254449999999996</v>
      </c>
      <c r="S6866">
        <v>2.6083219999999998</v>
      </c>
      <c r="T6866">
        <v>-0.39843109999999998</v>
      </c>
      <c r="U6866">
        <v>1.863998</v>
      </c>
      <c r="V6866">
        <v>0.39339170000000001</v>
      </c>
      <c r="W6866">
        <v>0.1530599</v>
      </c>
      <c r="X6866">
        <v>0.90654049999999997</v>
      </c>
      <c r="Y6866">
        <v>0.61156069999999996</v>
      </c>
      <c r="Z6866">
        <v>-0.1185972</v>
      </c>
      <c r="AA6866">
        <v>0.78225840000000002</v>
      </c>
      <c r="AB6866">
        <v>29</v>
      </c>
      <c r="AC6866">
        <v>7.2389999999999999</v>
      </c>
      <c r="AD6866">
        <v>-1.1135069055169999</v>
      </c>
      <c r="AE6866">
        <v>5.0510000000000099</v>
      </c>
      <c r="AF6866">
        <v>5.4444980229351598</v>
      </c>
      <c r="AG6866">
        <v>-1.1135069055169999</v>
      </c>
      <c r="AH6866">
        <v>6.7713609602570601</v>
      </c>
      <c r="AI6866">
        <v>97.3029581705308</v>
      </c>
      <c r="AJ6866">
        <v>51.199054227047696</v>
      </c>
      <c r="AK6866">
        <v>8.7597822806547203</v>
      </c>
      <c r="AL6866">
        <v>81.195706069239506</v>
      </c>
      <c r="AM6866">
        <v>66.541649683638795</v>
      </c>
      <c r="AN6866">
        <v>1.0000000203785699</v>
      </c>
    </row>
    <row r="6867" spans="1:40" x14ac:dyDescent="0.25">
      <c r="A6867" t="str">
        <f>"20190303162437684"</f>
        <v>20190303162437684</v>
      </c>
      <c r="B6867" t="str">
        <f>"1551601477671816"</f>
        <v>1551601477671816</v>
      </c>
      <c r="C6867" t="s">
        <v>40</v>
      </c>
      <c r="D6867">
        <v>5.5176530000000001</v>
      </c>
      <c r="E6867">
        <v>0.61376309999999901</v>
      </c>
      <c r="F6867" t="s">
        <v>55</v>
      </c>
      <c r="G6867">
        <v>-178.52330000000001</v>
      </c>
      <c r="H6867" s="1">
        <v>-4.8837630000000002E-6</v>
      </c>
      <c r="I6867">
        <v>130.7501</v>
      </c>
      <c r="J6867">
        <v>-185.81880000000001</v>
      </c>
      <c r="K6867">
        <v>1.113413</v>
      </c>
      <c r="L6867">
        <v>125.717</v>
      </c>
      <c r="M6867">
        <v>0.28556029999999999</v>
      </c>
      <c r="N6867">
        <v>-1.366756E-2</v>
      </c>
      <c r="O6867">
        <v>0.95826330000000004</v>
      </c>
      <c r="P6867">
        <v>0.63434179999999996</v>
      </c>
      <c r="Q6867">
        <v>0.146255</v>
      </c>
      <c r="R6867">
        <v>0.75909150000000003</v>
      </c>
      <c r="S6867">
        <v>2.618484</v>
      </c>
      <c r="T6867">
        <v>-0.39698620000000001</v>
      </c>
      <c r="U6867">
        <v>1.8480380000000001</v>
      </c>
      <c r="V6867">
        <v>0.39388849999999997</v>
      </c>
      <c r="W6867">
        <v>0.15170029999999901</v>
      </c>
      <c r="X6867">
        <v>0.90655330000000001</v>
      </c>
      <c r="Y6867">
        <v>0.61208169999999995</v>
      </c>
      <c r="Z6867">
        <v>-0.11824809999999999</v>
      </c>
      <c r="AA6867">
        <v>0.78190369999999998</v>
      </c>
      <c r="AB6867">
        <v>29</v>
      </c>
      <c r="AC6867">
        <v>7.2954999999999997</v>
      </c>
      <c r="AD6867">
        <v>-1.113417883763</v>
      </c>
      <c r="AE6867">
        <v>5.0330999999999904</v>
      </c>
      <c r="AF6867">
        <v>5.4679847418555099</v>
      </c>
      <c r="AG6867">
        <v>-1.113417883763</v>
      </c>
      <c r="AH6867">
        <v>6.7996794070424604</v>
      </c>
      <c r="AI6867">
        <v>97.271924198114405</v>
      </c>
      <c r="AJ6867">
        <v>51.195383322667901</v>
      </c>
      <c r="AK6867">
        <v>8.7962603735681597</v>
      </c>
      <c r="AL6867">
        <v>81.274525772938802</v>
      </c>
      <c r="AM6867">
        <v>66.515527365279695</v>
      </c>
      <c r="AN6867">
        <v>1.0000000085966101</v>
      </c>
    </row>
    <row r="6868" spans="1:40" x14ac:dyDescent="0.25">
      <c r="A6868" t="str">
        <f>"20190303162437697"</f>
        <v>20190303162437697</v>
      </c>
      <c r="B6868" t="str">
        <f>"1551601477691335"</f>
        <v>1551601477691335</v>
      </c>
      <c r="C6868" t="s">
        <v>40</v>
      </c>
      <c r="D6868">
        <v>5.5081540000000002</v>
      </c>
      <c r="E6868">
        <v>0.61356650000000001</v>
      </c>
      <c r="F6868" t="s">
        <v>55</v>
      </c>
      <c r="G6868">
        <v>-178.47309999999999</v>
      </c>
      <c r="H6868" s="1">
        <v>-4.8840350000000001E-6</v>
      </c>
      <c r="I6868">
        <v>130.84119999999999</v>
      </c>
      <c r="J6868">
        <v>-185.76499999999999</v>
      </c>
      <c r="K6868">
        <v>1.1133150000000001</v>
      </c>
      <c r="L6868">
        <v>125.87730000000001</v>
      </c>
      <c r="M6868">
        <v>0.29101759999999999</v>
      </c>
      <c r="N6868">
        <v>-1.368057E-2</v>
      </c>
      <c r="O6868">
        <v>0.95661989999999997</v>
      </c>
      <c r="P6868">
        <v>0.63934799999999903</v>
      </c>
      <c r="Q6868">
        <v>0.1450149</v>
      </c>
      <c r="R6868">
        <v>0.75511909999999904</v>
      </c>
      <c r="S6868">
        <v>2.6276700000000002</v>
      </c>
      <c r="T6868">
        <v>-0.3982849</v>
      </c>
      <c r="U6868">
        <v>1.8329930000000001</v>
      </c>
      <c r="V6868">
        <v>0.39465879999999998</v>
      </c>
      <c r="W6868">
        <v>0.15037249999999999</v>
      </c>
      <c r="X6868">
        <v>0.90643949999999995</v>
      </c>
      <c r="Y6868">
        <v>0.61183430000000005</v>
      </c>
      <c r="Z6868">
        <v>-0.1187733</v>
      </c>
      <c r="AA6868">
        <v>0.78201759999999998</v>
      </c>
      <c r="AB6868">
        <v>29</v>
      </c>
      <c r="AC6868">
        <v>7.2918999999999903</v>
      </c>
      <c r="AD6868">
        <v>-1.113319884035</v>
      </c>
      <c r="AE6868">
        <v>4.9638999999999802</v>
      </c>
      <c r="AF6868">
        <v>5.4447811811740996</v>
      </c>
      <c r="AG6868">
        <v>-1.113319884035</v>
      </c>
      <c r="AH6868">
        <v>6.7635421643936597</v>
      </c>
      <c r="AI6868">
        <v>97.306664818481906</v>
      </c>
      <c r="AJ6868">
        <v>51.165268161818098</v>
      </c>
      <c r="AK6868">
        <v>8.7538920420911293</v>
      </c>
      <c r="AL6868">
        <v>81.351486017575894</v>
      </c>
      <c r="AM6868">
        <v>66.471954426479499</v>
      </c>
      <c r="AN6868">
        <v>1.0000000121669601</v>
      </c>
    </row>
    <row r="6869" spans="1:40" x14ac:dyDescent="0.25">
      <c r="A6869" t="str">
        <f>"20190303162437708"</f>
        <v>20190303162437708</v>
      </c>
      <c r="B6869" t="str">
        <f>"1551601477702070"</f>
        <v>1551601477702070</v>
      </c>
      <c r="C6869" t="s">
        <v>40</v>
      </c>
      <c r="D6869">
        <v>5.537712</v>
      </c>
      <c r="E6869">
        <v>0.61349849999999995</v>
      </c>
      <c r="F6869" t="s">
        <v>55</v>
      </c>
      <c r="G6869">
        <v>-178.34870000000001</v>
      </c>
      <c r="H6869" s="1">
        <v>-4.8527290000000003E-6</v>
      </c>
      <c r="I6869">
        <v>130.98230000000001</v>
      </c>
      <c r="J6869">
        <v>-185.71530000000001</v>
      </c>
      <c r="K6869">
        <v>1.1132280000000001</v>
      </c>
      <c r="L6869">
        <v>126.0228</v>
      </c>
      <c r="M6869">
        <v>0.2960237</v>
      </c>
      <c r="N6869">
        <v>-1.369283E-2</v>
      </c>
      <c r="O6869">
        <v>0.9550824</v>
      </c>
      <c r="P6869">
        <v>0.64412049999999998</v>
      </c>
      <c r="Q6869">
        <v>0.143929</v>
      </c>
      <c r="R6869">
        <v>0.75126110000000001</v>
      </c>
      <c r="S6869">
        <v>2.6376650000000001</v>
      </c>
      <c r="T6869">
        <v>-0.39595930000000001</v>
      </c>
      <c r="U6869">
        <v>1.8156429999999999</v>
      </c>
      <c r="V6869">
        <v>0.3956054</v>
      </c>
      <c r="W6869">
        <v>0.1492009</v>
      </c>
      <c r="X6869">
        <v>0.90622040000000004</v>
      </c>
      <c r="Y6869">
        <v>0.61264469999999904</v>
      </c>
      <c r="Z6869">
        <v>-0.1181687</v>
      </c>
      <c r="AA6869">
        <v>0.78147469999999997</v>
      </c>
      <c r="AB6869">
        <v>29</v>
      </c>
      <c r="AC6869">
        <v>7.3666</v>
      </c>
      <c r="AD6869">
        <v>-1.1132328527290001</v>
      </c>
      <c r="AE6869">
        <v>4.9595000000000002</v>
      </c>
      <c r="AF6869">
        <v>5.4819573405727704</v>
      </c>
      <c r="AG6869">
        <v>-1.1132328527290001</v>
      </c>
      <c r="AH6869">
        <v>6.81103721990283</v>
      </c>
      <c r="AI6869">
        <v>97.256242186485196</v>
      </c>
      <c r="AJ6869">
        <v>51.170670321793402</v>
      </c>
      <c r="AK6869">
        <v>8.8137036300953806</v>
      </c>
      <c r="AL6869">
        <v>81.419379408059001</v>
      </c>
      <c r="AM6869">
        <v>66.416596205848705</v>
      </c>
      <c r="AN6869">
        <v>0.999999977223064</v>
      </c>
    </row>
    <row r="6870" spans="1:40" x14ac:dyDescent="0.25">
      <c r="A6870" t="str">
        <f>"20190303162437725"</f>
        <v>20190303162437725</v>
      </c>
      <c r="B6870" t="str">
        <f>"1551601477711831"</f>
        <v>1551601477711831</v>
      </c>
      <c r="C6870" t="s">
        <v>40</v>
      </c>
      <c r="D6870">
        <v>5.5078170000000002</v>
      </c>
      <c r="E6870">
        <v>0.61306359999999904</v>
      </c>
      <c r="F6870" t="s">
        <v>55</v>
      </c>
      <c r="G6870">
        <v>-178.27170000000001</v>
      </c>
      <c r="H6870" s="1">
        <v>-4.836616E-6</v>
      </c>
      <c r="I6870">
        <v>131.07820000000001</v>
      </c>
      <c r="J6870">
        <v>-185.6498</v>
      </c>
      <c r="K6870">
        <v>1.1131070000000001</v>
      </c>
      <c r="L6870">
        <v>126.2115</v>
      </c>
      <c r="M6870">
        <v>0.30258439999999998</v>
      </c>
      <c r="N6870">
        <v>-1.370937E-2</v>
      </c>
      <c r="O6870">
        <v>0.95302399999999998</v>
      </c>
      <c r="P6870">
        <v>0.65117849999999999</v>
      </c>
      <c r="Q6870">
        <v>0.14146159999999999</v>
      </c>
      <c r="R6870">
        <v>0.74562399999999995</v>
      </c>
      <c r="S6870">
        <v>2.6482540000000001</v>
      </c>
      <c r="T6870">
        <v>-0.39606049999999998</v>
      </c>
      <c r="U6870">
        <v>1.7985690000000001</v>
      </c>
      <c r="V6870">
        <v>0.39777499999999999</v>
      </c>
      <c r="W6870">
        <v>0.14660239999999999</v>
      </c>
      <c r="X6870">
        <v>0.90569469999999996</v>
      </c>
      <c r="Y6870">
        <v>0.61212129999999998</v>
      </c>
      <c r="Z6870">
        <v>-0.1182933</v>
      </c>
      <c r="AA6870">
        <v>0.7818659</v>
      </c>
      <c r="AB6870">
        <v>29</v>
      </c>
      <c r="AC6870">
        <v>7.3780999999999803</v>
      </c>
      <c r="AD6870">
        <v>-1.113111836616</v>
      </c>
      <c r="AE6870">
        <v>4.8666999999999998</v>
      </c>
      <c r="AF6870">
        <v>5.4726439948305901</v>
      </c>
      <c r="AG6870">
        <v>-1.113111836616</v>
      </c>
      <c r="AH6870">
        <v>6.7639478954848897</v>
      </c>
      <c r="AI6870">
        <v>97.290517568920393</v>
      </c>
      <c r="AJ6870">
        <v>51.024017435328098</v>
      </c>
      <c r="AK6870">
        <v>8.7715358625388102</v>
      </c>
      <c r="AL6870">
        <v>81.569918788932895</v>
      </c>
      <c r="AM6870">
        <v>66.289242971802693</v>
      </c>
      <c r="AN6870">
        <v>1.0000000519594201</v>
      </c>
    </row>
    <row r="6871" spans="1:40" x14ac:dyDescent="0.25">
      <c r="A6871" t="str">
        <f>"20190303162437738"</f>
        <v>20190303162437738</v>
      </c>
      <c r="B6871" t="str">
        <f>"1551601477731351"</f>
        <v>1551601477731351</v>
      </c>
      <c r="C6871" t="s">
        <v>40</v>
      </c>
      <c r="D6871">
        <v>5.5245660000000001</v>
      </c>
      <c r="E6871">
        <v>0.61217980000000005</v>
      </c>
      <c r="F6871" t="s">
        <v>55</v>
      </c>
      <c r="G6871">
        <v>-178.34979999999999</v>
      </c>
      <c r="H6871" s="1">
        <v>-4.8922420000000002E-6</v>
      </c>
      <c r="I6871">
        <v>131.08439999999999</v>
      </c>
      <c r="J6871">
        <v>-185.58930000000001</v>
      </c>
      <c r="K6871">
        <v>1.1130059999999999</v>
      </c>
      <c r="L6871">
        <v>126.3809</v>
      </c>
      <c r="M6871">
        <v>0.30857889999999999</v>
      </c>
      <c r="N6871">
        <v>-1.37257E-2</v>
      </c>
      <c r="O6871">
        <v>0.95109969999999999</v>
      </c>
      <c r="P6871">
        <v>0.65682200000000002</v>
      </c>
      <c r="Q6871">
        <v>0.1407862</v>
      </c>
      <c r="R6871">
        <v>0.74078630000000001</v>
      </c>
      <c r="S6871">
        <v>2.661133</v>
      </c>
      <c r="T6871">
        <v>-0.40577269999999999</v>
      </c>
      <c r="U6871">
        <v>1.77636699999999</v>
      </c>
      <c r="V6871">
        <v>0.3989337</v>
      </c>
      <c r="W6871">
        <v>0.14582410000000001</v>
      </c>
      <c r="X6871">
        <v>0.90531059999999997</v>
      </c>
      <c r="Y6871">
        <v>0.61307319999999998</v>
      </c>
      <c r="Z6871">
        <v>-0.12159880000000001</v>
      </c>
      <c r="AA6871">
        <v>0.78061199999999997</v>
      </c>
      <c r="AB6871">
        <v>29</v>
      </c>
      <c r="AC6871">
        <v>7.23950000000002</v>
      </c>
      <c r="AD6871">
        <v>-1.1130108922419999</v>
      </c>
      <c r="AE6871">
        <v>4.7034999999999902</v>
      </c>
      <c r="AF6871">
        <v>5.3457475196842204</v>
      </c>
      <c r="AG6871">
        <v>-1.1130108922419999</v>
      </c>
      <c r="AH6871">
        <v>6.5984162669795996</v>
      </c>
      <c r="AI6871">
        <v>97.466850771810499</v>
      </c>
      <c r="AJ6871">
        <v>50.987125564508297</v>
      </c>
      <c r="AK6871">
        <v>8.5647479252340109</v>
      </c>
      <c r="AL6871">
        <v>81.614996301516996</v>
      </c>
      <c r="AM6871">
        <v>66.218856424620299</v>
      </c>
      <c r="AN6871">
        <v>1.00000002380442</v>
      </c>
    </row>
    <row r="6872" spans="1:40" x14ac:dyDescent="0.25">
      <c r="A6872" t="str">
        <f>"20190303162437750"</f>
        <v>20190303162437750</v>
      </c>
      <c r="B6872" t="str">
        <f>"1551601477742088"</f>
        <v>1551601477742088</v>
      </c>
      <c r="C6872" t="s">
        <v>40</v>
      </c>
      <c r="D6872">
        <v>5.5263450000000001</v>
      </c>
      <c r="E6872">
        <v>0.61174059999999997</v>
      </c>
      <c r="F6872" t="s">
        <v>55</v>
      </c>
      <c r="G6872">
        <v>-178.36070000000001</v>
      </c>
      <c r="H6872" s="1">
        <v>-4.9251700000000003E-6</v>
      </c>
      <c r="I6872">
        <v>131.1516</v>
      </c>
      <c r="J6872">
        <v>-185.53450000000001</v>
      </c>
      <c r="K6872">
        <v>1.1129169999999999</v>
      </c>
      <c r="L6872">
        <v>126.53149999999999</v>
      </c>
      <c r="M6872">
        <v>0.31396499999999999</v>
      </c>
      <c r="N6872">
        <v>-1.3740530000000001E-2</v>
      </c>
      <c r="O6872">
        <v>0.94933509999999999</v>
      </c>
      <c r="P6872">
        <v>0.66158300000000003</v>
      </c>
      <c r="Q6872">
        <v>0.1404041</v>
      </c>
      <c r="R6872">
        <v>0.73661030000000005</v>
      </c>
      <c r="S6872">
        <v>2.6689449999999999</v>
      </c>
      <c r="T6872">
        <v>-0.41094459999999999</v>
      </c>
      <c r="U6872">
        <v>1.761414</v>
      </c>
      <c r="V6872">
        <v>0.3996381</v>
      </c>
      <c r="W6872">
        <v>0.14535890000000001</v>
      </c>
      <c r="X6872">
        <v>0.90507470000000001</v>
      </c>
      <c r="Y6872">
        <v>0.61251940000000005</v>
      </c>
      <c r="Z6872">
        <v>-0.1233805</v>
      </c>
      <c r="AA6872">
        <v>0.78076709999999905</v>
      </c>
      <c r="AB6872">
        <v>29</v>
      </c>
      <c r="AC6872">
        <v>7.1738</v>
      </c>
      <c r="AD6872">
        <v>-1.11292192517</v>
      </c>
      <c r="AE6872">
        <v>4.6200999999999999</v>
      </c>
      <c r="AF6872">
        <v>5.2706345185484302</v>
      </c>
      <c r="AG6872">
        <v>-1.11292192517</v>
      </c>
      <c r="AH6872">
        <v>6.5279215277990703</v>
      </c>
      <c r="AI6872">
        <v>97.556027824481703</v>
      </c>
      <c r="AJ6872">
        <v>51.0826431534501</v>
      </c>
      <c r="AK6872">
        <v>8.4635656146060008</v>
      </c>
      <c r="AL6872">
        <v>81.641937300408799</v>
      </c>
      <c r="AM6872">
        <v>66.176018814917697</v>
      </c>
      <c r="AN6872">
        <v>1.0000000166804499</v>
      </c>
    </row>
    <row r="6873" spans="1:40" x14ac:dyDescent="0.25">
      <c r="A6873" t="str">
        <f>"20190303162437763"</f>
        <v>20190303162437763</v>
      </c>
      <c r="B6873" t="str">
        <f>"1551601477751846"</f>
        <v>1551601477751846</v>
      </c>
      <c r="C6873" t="s">
        <v>40</v>
      </c>
      <c r="D6873">
        <v>5.3692840000000004</v>
      </c>
      <c r="E6873">
        <v>0.61150099999999996</v>
      </c>
      <c r="F6873" t="s">
        <v>55</v>
      </c>
      <c r="G6873">
        <v>-178.32689999999999</v>
      </c>
      <c r="H6873" s="1">
        <v>-4.9336749999999998E-6</v>
      </c>
      <c r="I6873">
        <v>131.2347</v>
      </c>
      <c r="J6873">
        <v>-185.47720000000001</v>
      </c>
      <c r="K6873">
        <v>1.112825</v>
      </c>
      <c r="L6873">
        <v>126.6871</v>
      </c>
      <c r="M6873">
        <v>0.31956709999999999</v>
      </c>
      <c r="N6873">
        <v>-1.3755689999999999E-2</v>
      </c>
      <c r="O6873">
        <v>0.94746379999999997</v>
      </c>
      <c r="P6873">
        <v>0.66673470000000001</v>
      </c>
      <c r="Q6873">
        <v>0.13945650000000001</v>
      </c>
      <c r="R6873">
        <v>0.73213169999999905</v>
      </c>
      <c r="S6873">
        <v>2.6772309999999999</v>
      </c>
      <c r="T6873">
        <v>-0.41338829999999999</v>
      </c>
      <c r="U6873">
        <v>1.7469790000000001</v>
      </c>
      <c r="V6873">
        <v>0.40059820000000002</v>
      </c>
      <c r="W6873">
        <v>0.14432010000000001</v>
      </c>
      <c r="X6873">
        <v>0.90481639999999997</v>
      </c>
      <c r="Y6873">
        <v>0.61183599999999905</v>
      </c>
      <c r="Z6873">
        <v>-0.1242404</v>
      </c>
      <c r="AA6873">
        <v>0.78116649999999999</v>
      </c>
      <c r="AB6873">
        <v>29</v>
      </c>
      <c r="AC6873">
        <v>7.1503000000000103</v>
      </c>
      <c r="AD6873">
        <v>-1.112829933675</v>
      </c>
      <c r="AE6873">
        <v>4.5476000000000001</v>
      </c>
      <c r="AF6873">
        <v>5.2316653497622898</v>
      </c>
      <c r="AG6873">
        <v>-1.112829933675</v>
      </c>
      <c r="AH6873">
        <v>6.4825135712512703</v>
      </c>
      <c r="AI6873">
        <v>97.6090237854214</v>
      </c>
      <c r="AJ6873">
        <v>51.0949881857943</v>
      </c>
      <c r="AK6873">
        <v>8.4042664757040697</v>
      </c>
      <c r="AL6873">
        <v>81.702090018205197</v>
      </c>
      <c r="AM6873">
        <v>66.119122886757197</v>
      </c>
      <c r="AN6873">
        <v>0.99999996340810404</v>
      </c>
    </row>
    <row r="6874" spans="1:40" x14ac:dyDescent="0.25">
      <c r="A6874" t="str">
        <f>"20190303162437779"</f>
        <v>20190303162437779</v>
      </c>
      <c r="B6874" t="str">
        <f>"1551601477771367"</f>
        <v>1551601477771367</v>
      </c>
      <c r="C6874" t="s">
        <v>40</v>
      </c>
      <c r="D6874">
        <v>5.564991</v>
      </c>
      <c r="E6874">
        <v>0.6110778</v>
      </c>
      <c r="F6874" t="s">
        <v>55</v>
      </c>
      <c r="G6874">
        <v>-178.29429999999999</v>
      </c>
      <c r="H6874" s="1">
        <v>-4.939557E-6</v>
      </c>
      <c r="I6874">
        <v>131.30889999999999</v>
      </c>
      <c r="J6874">
        <v>-185.4023</v>
      </c>
      <c r="K6874">
        <v>1.1126959999999999</v>
      </c>
      <c r="L6874">
        <v>126.88460000000001</v>
      </c>
      <c r="M6874">
        <v>0.32680890000000001</v>
      </c>
      <c r="N6874">
        <v>-1.3775910000000001E-2</v>
      </c>
      <c r="O6874">
        <v>0.94499</v>
      </c>
      <c r="P6874">
        <v>0.67426229999999998</v>
      </c>
      <c r="Q6874">
        <v>0.1374329</v>
      </c>
      <c r="R6874">
        <v>0.72559119999999899</v>
      </c>
      <c r="S6874">
        <v>2.6876530000000001</v>
      </c>
      <c r="T6874">
        <v>-0.41639009999999999</v>
      </c>
      <c r="U6874">
        <v>1.729355</v>
      </c>
      <c r="V6874">
        <v>0.40289819999999998</v>
      </c>
      <c r="W6874">
        <v>0.14215249999999999</v>
      </c>
      <c r="X6874">
        <v>0.90413809999999994</v>
      </c>
      <c r="Y6874">
        <v>0.61069739999999995</v>
      </c>
      <c r="Z6874">
        <v>-0.1252664</v>
      </c>
      <c r="AA6874">
        <v>0.78189330000000001</v>
      </c>
      <c r="AB6874">
        <v>29</v>
      </c>
      <c r="AC6874">
        <v>7.1079999999999997</v>
      </c>
      <c r="AD6874">
        <v>-1.112700939557</v>
      </c>
      <c r="AE6874">
        <v>4.4242999999999801</v>
      </c>
      <c r="AF6874">
        <v>5.18009558703951</v>
      </c>
      <c r="AG6874">
        <v>-1.112700939557</v>
      </c>
      <c r="AH6874">
        <v>6.3916030582859298</v>
      </c>
      <c r="AI6874">
        <v>97.702371540931694</v>
      </c>
      <c r="AJ6874">
        <v>50.976849292718597</v>
      </c>
      <c r="AK6874">
        <v>8.3020529585426797</v>
      </c>
      <c r="AL6874">
        <v>81.827578639085999</v>
      </c>
      <c r="AM6874">
        <v>65.9814931751215</v>
      </c>
      <c r="AN6874">
        <v>0.99999999834554898</v>
      </c>
    </row>
    <row r="6875" spans="1:40" x14ac:dyDescent="0.25">
      <c r="A6875" t="str">
        <f>"20190303162437791"</f>
        <v>20190303162437791</v>
      </c>
      <c r="B6875" t="str">
        <f>"1551601477782102"</f>
        <v>1551601477782102</v>
      </c>
      <c r="C6875" t="s">
        <v>40</v>
      </c>
      <c r="D6875">
        <v>5.58955</v>
      </c>
      <c r="E6875">
        <v>0.61116800000000004</v>
      </c>
      <c r="F6875" t="s">
        <v>55</v>
      </c>
      <c r="G6875">
        <v>-178.30250000000001</v>
      </c>
      <c r="H6875" s="1">
        <v>-4.9658120000000003E-6</v>
      </c>
      <c r="I6875">
        <v>131.36330000000001</v>
      </c>
      <c r="J6875">
        <v>-185.34719999999999</v>
      </c>
      <c r="K6875">
        <v>1.112608</v>
      </c>
      <c r="L6875">
        <v>127.0269</v>
      </c>
      <c r="M6875">
        <v>0.33209809999999901</v>
      </c>
      <c r="N6875">
        <v>-1.379118E-2</v>
      </c>
      <c r="O6875">
        <v>0.94314399999999998</v>
      </c>
      <c r="P6875">
        <v>0.67941809999999903</v>
      </c>
      <c r="Q6875">
        <v>0.1362244</v>
      </c>
      <c r="R6875">
        <v>0.7209951</v>
      </c>
      <c r="S6875">
        <v>2.7016450000000001</v>
      </c>
      <c r="T6875">
        <v>-0.42340729999999999</v>
      </c>
      <c r="U6875">
        <v>1.7042539999999999</v>
      </c>
      <c r="V6875">
        <v>0.4042094</v>
      </c>
      <c r="W6875">
        <v>0.14084820000000001</v>
      </c>
      <c r="X6875">
        <v>0.90375689999999997</v>
      </c>
      <c r="Y6875">
        <v>0.61302159999999895</v>
      </c>
      <c r="Z6875">
        <v>-0.1277276</v>
      </c>
      <c r="AA6875">
        <v>0.77967319999999996</v>
      </c>
      <c r="AB6875">
        <v>29</v>
      </c>
      <c r="AC6875">
        <v>7.0446999999999704</v>
      </c>
      <c r="AD6875">
        <v>-1.1126129658120001</v>
      </c>
      <c r="AE6875">
        <v>4.33640000000001</v>
      </c>
      <c r="AF6875">
        <v>5.1120762335787502</v>
      </c>
      <c r="AG6875">
        <v>-1.1126129658120001</v>
      </c>
      <c r="AH6875">
        <v>6.3157437837779504</v>
      </c>
      <c r="AI6875">
        <v>97.797045528593699</v>
      </c>
      <c r="AJ6875">
        <v>51.012671091921597</v>
      </c>
      <c r="AK6875">
        <v>8.2012103114079196</v>
      </c>
      <c r="AL6875">
        <v>81.903069067454396</v>
      </c>
      <c r="AM6875">
        <v>65.903201284651402</v>
      </c>
      <c r="AN6875">
        <v>0.99999999439460496</v>
      </c>
    </row>
    <row r="6876" spans="1:40" x14ac:dyDescent="0.25">
      <c r="A6876" t="str">
        <f>"20190303162437806"</f>
        <v>20190303162437806</v>
      </c>
      <c r="B6876" t="str">
        <f>"1551601477801623"</f>
        <v>1551601477801623</v>
      </c>
      <c r="C6876" t="s">
        <v>40</v>
      </c>
      <c r="D6876">
        <v>5.6161219999999998</v>
      </c>
      <c r="E6876">
        <v>0.61103490000000005</v>
      </c>
      <c r="F6876" t="s">
        <v>55</v>
      </c>
      <c r="G6876">
        <v>-178.2218</v>
      </c>
      <c r="H6876" s="1">
        <v>-4.9430129999999997E-6</v>
      </c>
      <c r="I6876">
        <v>131.44829999999999</v>
      </c>
      <c r="J6876">
        <v>-185.27930000000001</v>
      </c>
      <c r="K6876">
        <v>1.1125020000000001</v>
      </c>
      <c r="L6876">
        <v>127.1994</v>
      </c>
      <c r="M6876">
        <v>0.3385667</v>
      </c>
      <c r="N6876">
        <v>-1.380983E-2</v>
      </c>
      <c r="O6876">
        <v>0.94084109999999999</v>
      </c>
      <c r="P6876">
        <v>0.68539519999999998</v>
      </c>
      <c r="Q6876">
        <v>0.1350208</v>
      </c>
      <c r="R6876">
        <v>0.7155437</v>
      </c>
      <c r="S6876">
        <v>2.7136230000000001</v>
      </c>
      <c r="T6876">
        <v>-0.42372539999999997</v>
      </c>
      <c r="U6876">
        <v>1.6838379999999999</v>
      </c>
      <c r="V6876">
        <v>0.4054604</v>
      </c>
      <c r="W6876">
        <v>0.139534299999999</v>
      </c>
      <c r="X6876">
        <v>0.90340030000000004</v>
      </c>
      <c r="Y6876">
        <v>0.61337949999999997</v>
      </c>
      <c r="Z6876">
        <v>-0.12791240000000001</v>
      </c>
      <c r="AA6876">
        <v>0.77936130000000003</v>
      </c>
      <c r="AB6876">
        <v>28</v>
      </c>
      <c r="AC6876">
        <v>7.0575000000000001</v>
      </c>
      <c r="AD6876">
        <v>-1.1125069430129999</v>
      </c>
      <c r="AE6876">
        <v>4.2488999999999901</v>
      </c>
      <c r="AF6876">
        <v>5.1087709658885796</v>
      </c>
      <c r="AG6876">
        <v>-1.1125069430129999</v>
      </c>
      <c r="AH6876">
        <v>6.2731716077163897</v>
      </c>
      <c r="AI6876">
        <v>97.829750079567901</v>
      </c>
      <c r="AJ6876">
        <v>50.841177818295698</v>
      </c>
      <c r="AK6876">
        <v>8.1663880938893207</v>
      </c>
      <c r="AL6876">
        <v>81.979101137626003</v>
      </c>
      <c r="AM6876">
        <v>65.828699733075098</v>
      </c>
      <c r="AN6876">
        <v>1.0000000294423601</v>
      </c>
    </row>
    <row r="6877" spans="1:40" x14ac:dyDescent="0.25">
      <c r="A6877" t="str">
        <f>"20190303162437826"</f>
        <v>20190303162437826</v>
      </c>
      <c r="B6877" t="str">
        <f>"1551601477812359"</f>
        <v>1551601477812359</v>
      </c>
      <c r="C6877" t="s">
        <v>40</v>
      </c>
      <c r="D6877">
        <v>5.6141509999999997</v>
      </c>
      <c r="E6877">
        <v>0.61094380000000004</v>
      </c>
      <c r="F6877" t="s">
        <v>55</v>
      </c>
      <c r="G6877">
        <v>-178.08539999999999</v>
      </c>
      <c r="H6877" s="1">
        <v>-4.9006250000000002E-6</v>
      </c>
      <c r="I6877">
        <v>131.58179999999999</v>
      </c>
      <c r="J6877">
        <v>-185.1806</v>
      </c>
      <c r="K6877">
        <v>1.112347</v>
      </c>
      <c r="L6877">
        <v>127.44370000000001</v>
      </c>
      <c r="M6877">
        <v>0.34789490000000001</v>
      </c>
      <c r="N6877">
        <v>-1.3838319999999999E-2</v>
      </c>
      <c r="O6877">
        <v>0.93743140000000003</v>
      </c>
      <c r="P6877">
        <v>0.69458619999999904</v>
      </c>
      <c r="Q6877">
        <v>0.13353760000000001</v>
      </c>
      <c r="R6877">
        <v>0.70690719999999996</v>
      </c>
      <c r="S6877">
        <v>2.7262569999999999</v>
      </c>
      <c r="T6877">
        <v>-0.4216008</v>
      </c>
      <c r="U6877">
        <v>1.6607670000000001</v>
      </c>
      <c r="V6877">
        <v>0.40808919999999999</v>
      </c>
      <c r="W6877">
        <v>0.13786689999999999</v>
      </c>
      <c r="X6877">
        <v>0.9024721</v>
      </c>
      <c r="Y6877">
        <v>0.6120601</v>
      </c>
      <c r="Z6877">
        <v>-0.12727930000000001</v>
      </c>
      <c r="AA6877">
        <v>0.78050140000000001</v>
      </c>
      <c r="AB6877">
        <v>28</v>
      </c>
      <c r="AC6877">
        <v>7.0952000000000002</v>
      </c>
      <c r="AD6877">
        <v>-1.112351900625</v>
      </c>
      <c r="AE6877">
        <v>4.1380999999999801</v>
      </c>
      <c r="AF6877">
        <v>5.1182690457300097</v>
      </c>
      <c r="AG6877">
        <v>-1.112351900625</v>
      </c>
      <c r="AH6877">
        <v>6.2338474257500902</v>
      </c>
      <c r="AI6877">
        <v>97.852088681536898</v>
      </c>
      <c r="AJ6877">
        <v>50.6124655900596</v>
      </c>
      <c r="AK6877">
        <v>8.1421654676647996</v>
      </c>
      <c r="AL6877">
        <v>82.075568188561903</v>
      </c>
      <c r="AM6877">
        <v>65.667974857730499</v>
      </c>
      <c r="AN6877">
        <v>0.99999998427532899</v>
      </c>
    </row>
    <row r="6878" spans="1:40" x14ac:dyDescent="0.25">
      <c r="A6878" t="str">
        <f>"20190303162437848"</f>
        <v>20190303162437848</v>
      </c>
      <c r="B6878" t="str">
        <f>"1551601477841639"</f>
        <v>1551601477841639</v>
      </c>
      <c r="C6878" t="s">
        <v>40</v>
      </c>
      <c r="D6878">
        <v>5.5392609999999998</v>
      </c>
      <c r="E6878">
        <v>0.61042589999999997</v>
      </c>
      <c r="F6878" t="s">
        <v>55</v>
      </c>
      <c r="G6878">
        <v>-177.97</v>
      </c>
      <c r="H6878" s="1">
        <v>-4.8711379999999996E-6</v>
      </c>
      <c r="I6878">
        <v>131.7115</v>
      </c>
      <c r="J6878">
        <v>-185.07230000000001</v>
      </c>
      <c r="K6878">
        <v>1.1121970000000001</v>
      </c>
      <c r="L6878">
        <v>127.7029</v>
      </c>
      <c r="M6878">
        <v>0.35799890000000001</v>
      </c>
      <c r="N6878">
        <v>-1.3871E-2</v>
      </c>
      <c r="O6878">
        <v>0.93361899999999998</v>
      </c>
      <c r="P6878">
        <v>0.70417879999999999</v>
      </c>
      <c r="Q6878">
        <v>0.133487299999999</v>
      </c>
      <c r="R6878">
        <v>0.69736180000000003</v>
      </c>
      <c r="S6878">
        <v>2.7462620000000002</v>
      </c>
      <c r="T6878">
        <v>-0.42365730000000001</v>
      </c>
      <c r="U6878">
        <v>1.6254729999999999</v>
      </c>
      <c r="V6878">
        <v>0.41072360000000002</v>
      </c>
      <c r="W6878">
        <v>0.1376213</v>
      </c>
      <c r="X6878">
        <v>0.90131380000000005</v>
      </c>
      <c r="Y6878">
        <v>0.61338619999999899</v>
      </c>
      <c r="Z6878">
        <v>-0.12807389999999999</v>
      </c>
      <c r="AA6878">
        <v>0.77932959999999996</v>
      </c>
      <c r="AB6878">
        <v>28</v>
      </c>
      <c r="AC6878">
        <v>7.1023000000000103</v>
      </c>
      <c r="AD6878">
        <v>-1.112201871138</v>
      </c>
      <c r="AE6878">
        <v>4.0086000000000004</v>
      </c>
      <c r="AF6878">
        <v>5.1013910643505396</v>
      </c>
      <c r="AG6878">
        <v>-1.112201871138</v>
      </c>
      <c r="AH6878">
        <v>6.1709567598782602</v>
      </c>
      <c r="AI6878">
        <v>97.908430345031505</v>
      </c>
      <c r="AJ6878">
        <v>50.4202267947284</v>
      </c>
      <c r="AK6878">
        <v>8.0834331274456392</v>
      </c>
      <c r="AL6878">
        <v>82.089775837547293</v>
      </c>
      <c r="AM6878">
        <v>65.501514027839804</v>
      </c>
      <c r="AN6878">
        <v>1.00000003194054</v>
      </c>
    </row>
    <row r="6879" spans="1:40" x14ac:dyDescent="0.25">
      <c r="A6879" t="str">
        <f>"20190303162437861"</f>
        <v>20190303162437861</v>
      </c>
      <c r="B6879" t="str">
        <f>"1551601477851399"</f>
        <v>1551601477851399</v>
      </c>
      <c r="C6879" t="s">
        <v>40</v>
      </c>
      <c r="D6879">
        <v>5.6442550000000002</v>
      </c>
      <c r="E6879">
        <v>0.61048340000000001</v>
      </c>
      <c r="F6879" t="s">
        <v>55</v>
      </c>
      <c r="G6879">
        <v>-177.773</v>
      </c>
      <c r="H6879" s="1">
        <v>-4.8088719999999999E-6</v>
      </c>
      <c r="I6879">
        <v>131.9015</v>
      </c>
      <c r="J6879">
        <v>-185.00470000000001</v>
      </c>
      <c r="K6879">
        <v>1.1121019999999999</v>
      </c>
      <c r="L6879">
        <v>127.86109999999999</v>
      </c>
      <c r="M6879">
        <v>0.36424269999999997</v>
      </c>
      <c r="N6879">
        <v>-1.389136E-2</v>
      </c>
      <c r="O6879">
        <v>0.93120040000000004</v>
      </c>
      <c r="P6879">
        <v>0.7098875</v>
      </c>
      <c r="Q6879">
        <v>0.13376749999999901</v>
      </c>
      <c r="R6879">
        <v>0.69149539999999998</v>
      </c>
      <c r="S6879">
        <v>2.7650450000000002</v>
      </c>
      <c r="T6879">
        <v>-0.42131659999999999</v>
      </c>
      <c r="U6879">
        <v>1.5904689999999999</v>
      </c>
      <c r="V6879">
        <v>0.41215689999999999</v>
      </c>
      <c r="W6879">
        <v>0.13778660000000001</v>
      </c>
      <c r="X6879">
        <v>0.90063389999999999</v>
      </c>
      <c r="Y6879">
        <v>0.61787440000000005</v>
      </c>
      <c r="Z6879">
        <v>-0.1275609</v>
      </c>
      <c r="AA6879">
        <v>0.77586049999999995</v>
      </c>
      <c r="AB6879">
        <v>28</v>
      </c>
      <c r="AC6879">
        <v>7.2317000000000098</v>
      </c>
      <c r="AD6879">
        <v>-1.1121068088720001</v>
      </c>
      <c r="AE6879">
        <v>4.0404</v>
      </c>
      <c r="AF6879">
        <v>5.1698082460825798</v>
      </c>
      <c r="AG6879">
        <v>-1.1121068088720001</v>
      </c>
      <c r="AH6879">
        <v>6.2838791147987401</v>
      </c>
      <c r="AI6879">
        <v>97.782366628978295</v>
      </c>
      <c r="AJ6879">
        <v>50.5555376523427</v>
      </c>
      <c r="AK6879">
        <v>8.2128457665419905</v>
      </c>
      <c r="AL6879">
        <v>82.080213015576504</v>
      </c>
      <c r="AM6879">
        <v>65.409756412562501</v>
      </c>
      <c r="AN6879">
        <v>0.999999939593188</v>
      </c>
    </row>
    <row r="6880" spans="1:40" x14ac:dyDescent="0.25">
      <c r="A6880" t="str">
        <f>"20190303162437874"</f>
        <v>20190303162437874</v>
      </c>
      <c r="B6880" t="str">
        <f>"1551601477862134"</f>
        <v>1551601477862134</v>
      </c>
      <c r="C6880" t="s">
        <v>40</v>
      </c>
      <c r="D6880">
        <v>5.4096489999999999</v>
      </c>
      <c r="E6880">
        <v>0.61048340000000001</v>
      </c>
      <c r="F6880" t="s">
        <v>55</v>
      </c>
      <c r="G6880">
        <v>-177.64959999999999</v>
      </c>
      <c r="H6880" s="1">
        <v>-4.7656130000000003E-6</v>
      </c>
      <c r="I6880">
        <v>132.0094</v>
      </c>
      <c r="J6880">
        <v>-184.9435</v>
      </c>
      <c r="K6880">
        <v>1.11202</v>
      </c>
      <c r="L6880">
        <v>128.00069999999999</v>
      </c>
      <c r="M6880">
        <v>0.36984980000000001</v>
      </c>
      <c r="N6880">
        <v>-1.391002E-2</v>
      </c>
      <c r="O6880">
        <v>0.92898740000000002</v>
      </c>
      <c r="P6880">
        <v>0.71522799999999997</v>
      </c>
      <c r="Q6880">
        <v>0.13441059999999999</v>
      </c>
      <c r="R6880">
        <v>0.68584460000000003</v>
      </c>
      <c r="S6880">
        <v>2.7786409999999999</v>
      </c>
      <c r="T6880">
        <v>-0.42013499999999998</v>
      </c>
      <c r="U6880">
        <v>1.5671539999999999</v>
      </c>
      <c r="V6880">
        <v>0.41380129999999998</v>
      </c>
      <c r="W6880">
        <v>0.138317</v>
      </c>
      <c r="X6880">
        <v>0.89979830000000005</v>
      </c>
      <c r="Y6880">
        <v>0.61975909999999901</v>
      </c>
      <c r="Z6880">
        <v>-0.12724949999999999</v>
      </c>
      <c r="AA6880">
        <v>0.77440699999999996</v>
      </c>
      <c r="AB6880">
        <v>28</v>
      </c>
      <c r="AC6880">
        <v>7.2938999999999998</v>
      </c>
      <c r="AD6880">
        <v>-1.112024765613</v>
      </c>
      <c r="AE6880">
        <v>4.0087000000000002</v>
      </c>
      <c r="AF6880">
        <v>5.2009900756641603</v>
      </c>
      <c r="AG6880">
        <v>-1.112024765613</v>
      </c>
      <c r="AH6880">
        <v>6.3096625324751603</v>
      </c>
      <c r="AI6880">
        <v>97.744453665501297</v>
      </c>
      <c r="AJ6880">
        <v>50.501591388300497</v>
      </c>
      <c r="AK6880">
        <v>8.2521959574536599</v>
      </c>
      <c r="AL6880">
        <v>82.049530377543803</v>
      </c>
      <c r="AM6880">
        <v>65.303136594797706</v>
      </c>
      <c r="AN6880">
        <v>1.00000004452678</v>
      </c>
    </row>
    <row r="6881" spans="1:40" x14ac:dyDescent="0.25">
      <c r="A6881" t="str">
        <f>"20190303162437888"</f>
        <v>20190303162437888</v>
      </c>
      <c r="B6881" t="str">
        <f>"1551601477881655"</f>
        <v>1551601477881655</v>
      </c>
      <c r="C6881" t="s">
        <v>40</v>
      </c>
      <c r="D6881">
        <v>5.8135379999999897</v>
      </c>
      <c r="E6881">
        <v>0.61043480000000006</v>
      </c>
      <c r="F6881" t="s">
        <v>55</v>
      </c>
      <c r="G6881">
        <v>-177.51320000000001</v>
      </c>
      <c r="H6881" s="1">
        <v>-4.7122469999999998E-6</v>
      </c>
      <c r="I6881">
        <v>132.1139</v>
      </c>
      <c r="J6881">
        <v>-184.86580000000001</v>
      </c>
      <c r="K6881">
        <v>1.111915</v>
      </c>
      <c r="L6881">
        <v>128.1755</v>
      </c>
      <c r="M6881">
        <v>0.37693450000000001</v>
      </c>
      <c r="N6881">
        <v>-1.393338E-2</v>
      </c>
      <c r="O6881">
        <v>0.92613509999999999</v>
      </c>
      <c r="P6881">
        <v>0.72154399999999996</v>
      </c>
      <c r="Q6881">
        <v>0.13485620000000001</v>
      </c>
      <c r="R6881">
        <v>0.67910839999999995</v>
      </c>
      <c r="S6881">
        <v>2.7913060000000001</v>
      </c>
      <c r="T6881">
        <v>-0.41774679999999997</v>
      </c>
      <c r="U6881">
        <v>1.5451969999999999</v>
      </c>
      <c r="V6881">
        <v>0.4153367</v>
      </c>
      <c r="W6881">
        <v>0.1386329</v>
      </c>
      <c r="X6881">
        <v>0.89904189999999995</v>
      </c>
      <c r="Y6881">
        <v>0.62004009999999998</v>
      </c>
      <c r="Z6881">
        <v>-0.12647920000000001</v>
      </c>
      <c r="AA6881">
        <v>0.77430829999999995</v>
      </c>
      <c r="AB6881">
        <v>28</v>
      </c>
      <c r="AC6881">
        <v>7.35259999999999</v>
      </c>
      <c r="AD6881">
        <v>-1.1119197122469999</v>
      </c>
      <c r="AE6881">
        <v>3.9384000000000001</v>
      </c>
      <c r="AF6881">
        <v>5.2325116786336503</v>
      </c>
      <c r="AG6881">
        <v>-1.1119197122469999</v>
      </c>
      <c r="AH6881">
        <v>6.3074716635422403</v>
      </c>
      <c r="AI6881">
        <v>97.726555728030306</v>
      </c>
      <c r="AJ6881">
        <v>50.321797056051203</v>
      </c>
      <c r="AK6881">
        <v>8.2704136958140992</v>
      </c>
      <c r="AL6881">
        <v>82.031254187200602</v>
      </c>
      <c r="AM6881">
        <v>65.204147867285101</v>
      </c>
      <c r="AN6881">
        <v>0.99999999664245498</v>
      </c>
    </row>
    <row r="6882" spans="1:40" x14ac:dyDescent="0.25">
      <c r="A6882" t="str">
        <f>"20190303162437903"</f>
        <v>20190303162437903</v>
      </c>
      <c r="B6882" t="str">
        <f>"1551601477891415"</f>
        <v>1551601477891415</v>
      </c>
      <c r="C6882" t="s">
        <v>40</v>
      </c>
      <c r="D6882">
        <v>5.3631949999999904</v>
      </c>
      <c r="E6882">
        <v>0.61166409999999904</v>
      </c>
      <c r="F6882" t="s">
        <v>55</v>
      </c>
      <c r="G6882">
        <v>-177.45949999999999</v>
      </c>
      <c r="H6882" s="1">
        <v>-4.7033200000000001E-6</v>
      </c>
      <c r="I6882">
        <v>132.18700000000001</v>
      </c>
      <c r="J6882">
        <v>-184.78720000000001</v>
      </c>
      <c r="K6882">
        <v>1.111804</v>
      </c>
      <c r="L6882">
        <v>128.3492</v>
      </c>
      <c r="M6882">
        <v>0.38406499999999999</v>
      </c>
      <c r="N6882">
        <v>-1.395706E-2</v>
      </c>
      <c r="O6882">
        <v>0.92320049999999998</v>
      </c>
      <c r="P6882">
        <v>0.72826930000000001</v>
      </c>
      <c r="Q6882">
        <v>0.1357006</v>
      </c>
      <c r="R6882">
        <v>0.67172100000000001</v>
      </c>
      <c r="S6882">
        <v>2.8060459999999998</v>
      </c>
      <c r="T6882">
        <v>-0.42127179999999997</v>
      </c>
      <c r="U6882">
        <v>1.5198210000000001</v>
      </c>
      <c r="V6882">
        <v>0.41747919999999999</v>
      </c>
      <c r="W6882">
        <v>0.13932420000000001</v>
      </c>
      <c r="X6882">
        <v>0.89794209999999997</v>
      </c>
      <c r="Y6882">
        <v>0.62100059999999901</v>
      </c>
      <c r="Z6882">
        <v>-0.127634199999999</v>
      </c>
      <c r="AA6882">
        <v>0.77334829999999999</v>
      </c>
      <c r="AB6882">
        <v>28</v>
      </c>
      <c r="AC6882">
        <v>7.3277000000000196</v>
      </c>
      <c r="AD6882">
        <v>-1.1118087033199999</v>
      </c>
      <c r="AE6882">
        <v>3.8378000000000099</v>
      </c>
      <c r="AF6882">
        <v>5.1975897935452799</v>
      </c>
      <c r="AG6882">
        <v>-1.1118087033199999</v>
      </c>
      <c r="AH6882">
        <v>6.2451689253660101</v>
      </c>
      <c r="AI6882">
        <v>97.791762370014396</v>
      </c>
      <c r="AJ6882">
        <v>50.230820231889297</v>
      </c>
      <c r="AK6882">
        <v>8.2008044215858202</v>
      </c>
      <c r="AL6882">
        <v>81.991258012690693</v>
      </c>
      <c r="AM6882">
        <v>65.064923644456798</v>
      </c>
      <c r="AN6882">
        <v>1.00000006504534</v>
      </c>
    </row>
    <row r="6883" spans="1:40" x14ac:dyDescent="0.25">
      <c r="A6883" t="str">
        <f>"20190303162437914"</f>
        <v>20190303162437914</v>
      </c>
      <c r="B6883" t="str">
        <f>"1551601477911911"</f>
        <v>1551601477911911</v>
      </c>
      <c r="C6883" t="s">
        <v>40</v>
      </c>
      <c r="D6883">
        <v>5.3994669999999996</v>
      </c>
      <c r="E6883">
        <v>0.61364010000000002</v>
      </c>
      <c r="F6883" t="s">
        <v>55</v>
      </c>
      <c r="G6883">
        <v>-177.20939999999999</v>
      </c>
      <c r="H6883" s="1">
        <v>-4.5846930000000004E-6</v>
      </c>
      <c r="I6883">
        <v>132.32399999999899</v>
      </c>
      <c r="J6883">
        <v>-184.71789999999999</v>
      </c>
      <c r="K6883">
        <v>1.1117090000000001</v>
      </c>
      <c r="L6883">
        <v>128.49760000000001</v>
      </c>
      <c r="M6883">
        <v>0.39028960000000001</v>
      </c>
      <c r="N6883">
        <v>-1.398049E-2</v>
      </c>
      <c r="O6883">
        <v>0.92058600000000002</v>
      </c>
      <c r="P6883">
        <v>0.73371330000000001</v>
      </c>
      <c r="Q6883">
        <v>0.13580599999999901</v>
      </c>
      <c r="R6883">
        <v>0.66574889999999998</v>
      </c>
      <c r="S6883">
        <v>2.8283230000000001</v>
      </c>
      <c r="T6883">
        <v>-0.41496919999999998</v>
      </c>
      <c r="U6883">
        <v>1.483536</v>
      </c>
      <c r="V6883">
        <v>0.4187728</v>
      </c>
      <c r="W6883">
        <v>0.139313299999999</v>
      </c>
      <c r="X6883">
        <v>0.8973411</v>
      </c>
      <c r="Y6883">
        <v>0.62625589999999998</v>
      </c>
      <c r="Z6883">
        <v>-0.12568589999999999</v>
      </c>
      <c r="AA6883">
        <v>0.76941969999999904</v>
      </c>
      <c r="AB6883">
        <v>28</v>
      </c>
      <c r="AC6883">
        <v>7.50849999999999</v>
      </c>
      <c r="AD6883">
        <v>-1.111713584693</v>
      </c>
      <c r="AE6883">
        <v>3.8263999999999698</v>
      </c>
      <c r="AF6883">
        <v>5.3266484338250102</v>
      </c>
      <c r="AG6883">
        <v>-1.111713584693</v>
      </c>
      <c r="AH6883">
        <v>6.3432617688292599</v>
      </c>
      <c r="AI6883">
        <v>97.644230360177502</v>
      </c>
      <c r="AJ6883">
        <v>49.978699521503501</v>
      </c>
      <c r="AK6883">
        <v>8.3573955572207002</v>
      </c>
      <c r="AL6883">
        <v>81.991887773306203</v>
      </c>
      <c r="AM6883">
        <v>64.982392401220594</v>
      </c>
      <c r="AN6883">
        <v>0.99999995166296796</v>
      </c>
    </row>
    <row r="6884" spans="1:40" x14ac:dyDescent="0.25">
      <c r="A6884" t="str">
        <f>"20190303162437926"</f>
        <v>20190303162437926</v>
      </c>
      <c r="B6884" t="str">
        <f>"1551601477921671"</f>
        <v>1551601477921671</v>
      </c>
      <c r="C6884" t="s">
        <v>40</v>
      </c>
      <c r="D6884">
        <v>5.4328000000000003</v>
      </c>
      <c r="E6884">
        <v>0.61447169999999995</v>
      </c>
      <c r="F6884" t="s">
        <v>55</v>
      </c>
      <c r="G6884">
        <v>-176.9744</v>
      </c>
      <c r="H6884" s="1">
        <v>-4.4646009999999998E-6</v>
      </c>
      <c r="I6884">
        <v>132.4298</v>
      </c>
      <c r="J6884">
        <v>-184.65880000000001</v>
      </c>
      <c r="K6884">
        <v>1.1116269999999999</v>
      </c>
      <c r="L6884">
        <v>128.62299999999999</v>
      </c>
      <c r="M6884">
        <v>0.39557310000000001</v>
      </c>
      <c r="N6884">
        <v>-1.40001E-2</v>
      </c>
      <c r="O6884">
        <v>0.91832780000000003</v>
      </c>
      <c r="P6884">
        <v>0.73822339999999997</v>
      </c>
      <c r="Q6884">
        <v>0.1359493</v>
      </c>
      <c r="R6884">
        <v>0.66071480000000005</v>
      </c>
      <c r="S6884">
        <v>2.8509519999999999</v>
      </c>
      <c r="T6884">
        <v>-0.40930569999999999</v>
      </c>
      <c r="U6884">
        <v>1.4477230000000001</v>
      </c>
      <c r="V6884">
        <v>0.41976370000000002</v>
      </c>
      <c r="W6884">
        <v>0.1393606</v>
      </c>
      <c r="X6884">
        <v>0.89687070000000002</v>
      </c>
      <c r="Y6884">
        <v>0.63215730000000003</v>
      </c>
      <c r="Z6884">
        <v>-0.1239282</v>
      </c>
      <c r="AA6884">
        <v>0.76486529999999997</v>
      </c>
      <c r="AB6884">
        <v>28</v>
      </c>
      <c r="AC6884">
        <v>7.6844000000000099</v>
      </c>
      <c r="AD6884">
        <v>-1.1116314646009999</v>
      </c>
      <c r="AE6884">
        <v>3.8068</v>
      </c>
      <c r="AF6884">
        <v>5.4597343427585603</v>
      </c>
      <c r="AG6884">
        <v>-1.1116314646009999</v>
      </c>
      <c r="AH6884">
        <v>6.4282584270340104</v>
      </c>
      <c r="AI6884">
        <v>97.508569241487706</v>
      </c>
      <c r="AJ6884">
        <v>49.6576451982178</v>
      </c>
      <c r="AK6884">
        <v>8.5068754552609995</v>
      </c>
      <c r="AL6884">
        <v>81.989151347813305</v>
      </c>
      <c r="AM6884">
        <v>64.918927498838698</v>
      </c>
      <c r="AN6884">
        <v>0.99999999659426997</v>
      </c>
    </row>
    <row r="6885" spans="1:40" x14ac:dyDescent="0.25">
      <c r="A6885" t="str">
        <f>"20190303162437938"</f>
        <v>20190303162437938</v>
      </c>
      <c r="B6885" t="str">
        <f>"1551601477931431"</f>
        <v>1551601477931431</v>
      </c>
      <c r="C6885" t="s">
        <v>40</v>
      </c>
      <c r="D6885">
        <v>5.3979900000000001</v>
      </c>
      <c r="E6885">
        <v>0.61533509999999902</v>
      </c>
      <c r="F6885" t="s">
        <v>55</v>
      </c>
      <c r="G6885">
        <v>-176.81950000000001</v>
      </c>
      <c r="H6885" s="1">
        <v>-4.3915030000000001E-6</v>
      </c>
      <c r="I6885">
        <v>132.51570000000001</v>
      </c>
      <c r="J6885">
        <v>-184.5916</v>
      </c>
      <c r="K6885">
        <v>1.111534</v>
      </c>
      <c r="L6885">
        <v>128.76310000000001</v>
      </c>
      <c r="M6885">
        <v>0.40155229999999997</v>
      </c>
      <c r="N6885">
        <v>-1.4023209999999999E-2</v>
      </c>
      <c r="O6885">
        <v>0.91572869999999995</v>
      </c>
      <c r="P6885">
        <v>0.74338019999999905</v>
      </c>
      <c r="Q6885">
        <v>0.13614490000000001</v>
      </c>
      <c r="R6885">
        <v>0.65486679999999997</v>
      </c>
      <c r="S6885">
        <v>2.8652500000000001</v>
      </c>
      <c r="T6885">
        <v>-0.4062964</v>
      </c>
      <c r="U6885">
        <v>1.42276</v>
      </c>
      <c r="V6885">
        <v>0.42100140000000003</v>
      </c>
      <c r="W6885">
        <v>0.1394456</v>
      </c>
      <c r="X6885">
        <v>0.896277199999999</v>
      </c>
      <c r="Y6885">
        <v>0.6341156</v>
      </c>
      <c r="Z6885">
        <v>-0.12295879999999999</v>
      </c>
      <c r="AA6885">
        <v>0.76339939999999995</v>
      </c>
      <c r="AB6885">
        <v>28</v>
      </c>
      <c r="AC6885">
        <v>7.7720999999999902</v>
      </c>
      <c r="AD6885">
        <v>-1.1115383915029999</v>
      </c>
      <c r="AE6885">
        <v>3.7526000000000002</v>
      </c>
      <c r="AF6885">
        <v>5.5192740584257498</v>
      </c>
      <c r="AG6885">
        <v>-1.1115383915029999</v>
      </c>
      <c r="AH6885">
        <v>6.4509124955786099</v>
      </c>
      <c r="AI6885">
        <v>97.459101256240402</v>
      </c>
      <c r="AJ6885">
        <v>49.450353334144097</v>
      </c>
      <c r="AK6885">
        <v>8.5622529601389896</v>
      </c>
      <c r="AL6885">
        <v>81.984233507792794</v>
      </c>
      <c r="AM6885">
        <v>64.839508451258297</v>
      </c>
      <c r="AN6885">
        <v>1.0000000367005699</v>
      </c>
    </row>
    <row r="6886" spans="1:40" x14ac:dyDescent="0.25">
      <c r="A6886" t="str">
        <f>"20190303162437958"</f>
        <v>20190303162437958</v>
      </c>
      <c r="B6886" t="str">
        <f>"1551601477951927"</f>
        <v>1551601477951927</v>
      </c>
      <c r="C6886" t="s">
        <v>40</v>
      </c>
      <c r="D6886">
        <v>5.3772159999999998</v>
      </c>
      <c r="E6886">
        <v>0.61592369999999996</v>
      </c>
      <c r="F6886" t="s">
        <v>55</v>
      </c>
      <c r="G6886">
        <v>-176.64179999999999</v>
      </c>
      <c r="H6886" s="1">
        <v>-4.306676E-6</v>
      </c>
      <c r="I6886">
        <v>132.61150000000001</v>
      </c>
      <c r="J6886">
        <v>-184.47389999999999</v>
      </c>
      <c r="K6886">
        <v>1.111375</v>
      </c>
      <c r="L6886">
        <v>129.00229999999999</v>
      </c>
      <c r="M6886">
        <v>0.41191860000000002</v>
      </c>
      <c r="N6886">
        <v>-1.406283E-2</v>
      </c>
      <c r="O6886">
        <v>0.91111209999999998</v>
      </c>
      <c r="P6886">
        <v>0.75163789999999997</v>
      </c>
      <c r="Q6886">
        <v>0.13717070000000001</v>
      </c>
      <c r="R6886">
        <v>0.64515500000000003</v>
      </c>
      <c r="S6886">
        <v>2.8808289999999999</v>
      </c>
      <c r="T6886">
        <v>-0.40280179999999999</v>
      </c>
      <c r="U6886">
        <v>1.3945920000000001</v>
      </c>
      <c r="V6886">
        <v>0.42238379999999998</v>
      </c>
      <c r="W6886">
        <v>0.14030010000000001</v>
      </c>
      <c r="X6886">
        <v>0.89549299999999998</v>
      </c>
      <c r="Y6886">
        <v>0.63320410000000005</v>
      </c>
      <c r="Z6886">
        <v>-0.12169820000000001</v>
      </c>
      <c r="AA6886">
        <v>0.76435730000000002</v>
      </c>
      <c r="AB6886">
        <v>28</v>
      </c>
      <c r="AC6886">
        <v>7.8320999999999898</v>
      </c>
      <c r="AD6886">
        <v>-1.111379306676</v>
      </c>
      <c r="AE6886">
        <v>3.6092000000000102</v>
      </c>
      <c r="AF6886">
        <v>5.5574802916345298</v>
      </c>
      <c r="AG6886">
        <v>-1.111379306676</v>
      </c>
      <c r="AH6886">
        <v>6.4087758971135598</v>
      </c>
      <c r="AI6886">
        <v>97.464123255582606</v>
      </c>
      <c r="AJ6886">
        <v>49.069243338674198</v>
      </c>
      <c r="AK6886">
        <v>8.5553000914425894</v>
      </c>
      <c r="AL6886">
        <v>81.934787509778403</v>
      </c>
      <c r="AM6886">
        <v>64.7478079157586</v>
      </c>
      <c r="AN6886">
        <v>0.99999995280572296</v>
      </c>
    </row>
    <row r="6887" spans="1:40" x14ac:dyDescent="0.25">
      <c r="A6887" t="str">
        <f>"20190303162437971"</f>
        <v>20190303162437971</v>
      </c>
      <c r="B6887" t="str">
        <f>"1551601477961687"</f>
        <v>1551601477961687</v>
      </c>
      <c r="C6887" t="s">
        <v>40</v>
      </c>
      <c r="D6887">
        <v>5.3918290000000004</v>
      </c>
      <c r="E6887">
        <v>0.61659410000000003</v>
      </c>
      <c r="F6887" t="s">
        <v>55</v>
      </c>
      <c r="G6887">
        <v>-176.3622</v>
      </c>
      <c r="H6887" s="1">
        <v>-4.1811300000000001E-6</v>
      </c>
      <c r="I6887">
        <v>132.7834</v>
      </c>
      <c r="J6887">
        <v>-184.40549999999999</v>
      </c>
      <c r="K6887">
        <v>1.1112820000000001</v>
      </c>
      <c r="L6887">
        <v>129.1379</v>
      </c>
      <c r="M6887">
        <v>0.41789739999999997</v>
      </c>
      <c r="N6887">
        <v>-1.4085810000000001E-2</v>
      </c>
      <c r="O6887">
        <v>0.908385</v>
      </c>
      <c r="P6887">
        <v>0.75553789999999998</v>
      </c>
      <c r="Q6887">
        <v>0.13781350000000001</v>
      </c>
      <c r="R6887">
        <v>0.64044519999999905</v>
      </c>
      <c r="S6887">
        <v>2.9025880000000002</v>
      </c>
      <c r="T6887">
        <v>-0.39767920000000001</v>
      </c>
      <c r="U6887">
        <v>1.3529659999999999</v>
      </c>
      <c r="V6887">
        <v>0.42203439999999998</v>
      </c>
      <c r="W6887">
        <v>0.1408789</v>
      </c>
      <c r="X6887">
        <v>0.89556689999999906</v>
      </c>
      <c r="Y6887">
        <v>0.63950890000000005</v>
      </c>
      <c r="Z6887">
        <v>-0.12021129999999999</v>
      </c>
      <c r="AA6887">
        <v>0.75932709999999903</v>
      </c>
      <c r="AB6887">
        <v>28</v>
      </c>
      <c r="AC6887">
        <v>8.0432999999999808</v>
      </c>
      <c r="AD6887">
        <v>-1.1112861811300001</v>
      </c>
      <c r="AE6887">
        <v>3.64549999999999</v>
      </c>
      <c r="AF6887">
        <v>5.69338184563364</v>
      </c>
      <c r="AG6887">
        <v>-1.1112861811300001</v>
      </c>
      <c r="AH6887">
        <v>6.5694208117053501</v>
      </c>
      <c r="AI6887">
        <v>97.284828428885504</v>
      </c>
      <c r="AJ6887">
        <v>49.0861954870632</v>
      </c>
      <c r="AK6887">
        <v>8.7639513701200205</v>
      </c>
      <c r="AL6887">
        <v>81.901292301640396</v>
      </c>
      <c r="AM6887">
        <v>64.767920904905395</v>
      </c>
      <c r="AN6887">
        <v>0.99999998581208904</v>
      </c>
    </row>
    <row r="6888" spans="1:40" x14ac:dyDescent="0.25">
      <c r="A6888" t="str">
        <f>"20190303162437983"</f>
        <v>20190303162437983</v>
      </c>
      <c r="B6888" t="str">
        <f>"1551601477971448"</f>
        <v>1551601477971448</v>
      </c>
      <c r="C6888" t="s">
        <v>40</v>
      </c>
      <c r="D6888">
        <v>5.4441100000000002</v>
      </c>
      <c r="E6888">
        <v>0.61717889999999997</v>
      </c>
      <c r="F6888" t="s">
        <v>55</v>
      </c>
      <c r="G6888">
        <v>-176.13339999999999</v>
      </c>
      <c r="H6888" s="1">
        <v>-4.0730389999999998E-6</v>
      </c>
      <c r="I6888">
        <v>132.90979999999999</v>
      </c>
      <c r="J6888">
        <v>-184.3329</v>
      </c>
      <c r="K6888">
        <v>1.111186</v>
      </c>
      <c r="L6888">
        <v>129.28020000000001</v>
      </c>
      <c r="M6888">
        <v>0.42420479999999999</v>
      </c>
      <c r="N6888">
        <v>-1.4109419999999999E-2</v>
      </c>
      <c r="O6888">
        <v>0.90545640000000005</v>
      </c>
      <c r="P6888">
        <v>0.75950600000000001</v>
      </c>
      <c r="Q6888">
        <v>0.1384881</v>
      </c>
      <c r="R6888">
        <v>0.63558780000000004</v>
      </c>
      <c r="S6888">
        <v>2.915314</v>
      </c>
      <c r="T6888">
        <v>-0.39164870000000002</v>
      </c>
      <c r="U6888">
        <v>1.329315</v>
      </c>
      <c r="V6888">
        <v>0.42148469999999999</v>
      </c>
      <c r="W6888">
        <v>0.14149210000000001</v>
      </c>
      <c r="X6888">
        <v>0.89572909999999994</v>
      </c>
      <c r="Y6888">
        <v>0.64077869999999904</v>
      </c>
      <c r="Z6888">
        <v>-0.1182179</v>
      </c>
      <c r="AA6888">
        <v>0.75856919999999906</v>
      </c>
      <c r="AB6888">
        <v>28</v>
      </c>
      <c r="AC6888">
        <v>8.1995000000000005</v>
      </c>
      <c r="AD6888">
        <v>-1.1111900730390001</v>
      </c>
      <c r="AE6888">
        <v>3.62959999999998</v>
      </c>
      <c r="AF6888">
        <v>5.79617325966686</v>
      </c>
      <c r="AG6888">
        <v>-1.1111900730390001</v>
      </c>
      <c r="AH6888">
        <v>6.6630643158090699</v>
      </c>
      <c r="AI6888">
        <v>97.1714920462029</v>
      </c>
      <c r="AJ6888">
        <v>48.9801214930377</v>
      </c>
      <c r="AK6888">
        <v>8.9009434281488193</v>
      </c>
      <c r="AL6888">
        <v>81.865803102339001</v>
      </c>
      <c r="AM6888">
        <v>64.800702805964207</v>
      </c>
      <c r="AN6888">
        <v>0.99999999364165404</v>
      </c>
    </row>
    <row r="6889" spans="1:40" x14ac:dyDescent="0.25">
      <c r="A6889" t="str">
        <f>"20190303162437997"</f>
        <v>20190303162437997</v>
      </c>
      <c r="B6889" t="str">
        <f>"1551601477991353"</f>
        <v>1551601477991353</v>
      </c>
      <c r="C6889" t="s">
        <v>40</v>
      </c>
      <c r="D6889">
        <v>5.6392850000000001</v>
      </c>
      <c r="E6889">
        <v>0.61713030000000002</v>
      </c>
      <c r="F6889" t="s">
        <v>55</v>
      </c>
      <c r="G6889">
        <v>-175.90299999999999</v>
      </c>
      <c r="H6889" s="1">
        <v>-3.9655329999999998E-6</v>
      </c>
      <c r="I6889">
        <v>133.04069999999999</v>
      </c>
      <c r="J6889">
        <v>-184.2517</v>
      </c>
      <c r="K6889">
        <v>1.1110799999999901</v>
      </c>
      <c r="L6889">
        <v>129.435</v>
      </c>
      <c r="M6889">
        <v>0.43119429999999997</v>
      </c>
      <c r="N6889">
        <v>-1.413648E-2</v>
      </c>
      <c r="O6889">
        <v>0.90214839999999996</v>
      </c>
      <c r="P6889">
        <v>0.76379980000000003</v>
      </c>
      <c r="Q6889">
        <v>0.13831360000000001</v>
      </c>
      <c r="R6889">
        <v>0.63045949999999995</v>
      </c>
      <c r="S6889">
        <v>2.92746</v>
      </c>
      <c r="T6889">
        <v>-0.38588260000000002</v>
      </c>
      <c r="U6889">
        <v>1.3059080000000001</v>
      </c>
      <c r="V6889">
        <v>0.42064679999999999</v>
      </c>
      <c r="W6889">
        <v>0.14126420000000001</v>
      </c>
      <c r="X6889">
        <v>0.89615889999999998</v>
      </c>
      <c r="Y6889">
        <v>0.64132889999999998</v>
      </c>
      <c r="Z6889">
        <v>-0.1162822</v>
      </c>
      <c r="AA6889">
        <v>0.75840339999999995</v>
      </c>
      <c r="AB6889">
        <v>28</v>
      </c>
      <c r="AC6889">
        <v>8.3486999999999991</v>
      </c>
      <c r="AD6889">
        <v>-1.11108396553299</v>
      </c>
      <c r="AE6889">
        <v>3.6056999999999801</v>
      </c>
      <c r="AF6889">
        <v>5.8896894780180604</v>
      </c>
      <c r="AG6889">
        <v>-1.11108396553299</v>
      </c>
      <c r="AH6889">
        <v>6.7526742838859004</v>
      </c>
      <c r="AI6889">
        <v>97.068634409861701</v>
      </c>
      <c r="AJ6889">
        <v>48.9050294169582</v>
      </c>
      <c r="AK6889">
        <v>9.0289290455842597</v>
      </c>
      <c r="AL6889">
        <v>81.878993670641705</v>
      </c>
      <c r="AM6889">
        <v>64.855173204460101</v>
      </c>
      <c r="AN6889">
        <v>1.0000000393005399</v>
      </c>
    </row>
    <row r="6890" spans="1:40" x14ac:dyDescent="0.25">
      <c r="A6890" t="str">
        <f>"20190303162438012"</f>
        <v>20190303162438012</v>
      </c>
      <c r="B6890" t="str">
        <f>"1551601478002090"</f>
        <v>1551601478002090</v>
      </c>
      <c r="C6890" t="s">
        <v>40</v>
      </c>
      <c r="D6890">
        <v>5.6278129999999997</v>
      </c>
      <c r="E6890">
        <v>0.61704989999999904</v>
      </c>
      <c r="F6890" t="s">
        <v>55</v>
      </c>
      <c r="G6890">
        <v>-175.7681</v>
      </c>
      <c r="H6890" s="1">
        <v>-3.9133920000000003E-6</v>
      </c>
      <c r="I6890">
        <v>133.14580000000001</v>
      </c>
      <c r="J6890">
        <v>-184.155</v>
      </c>
      <c r="K6890">
        <v>1.1109579999999999</v>
      </c>
      <c r="L6890">
        <v>129.61609999999999</v>
      </c>
      <c r="M6890">
        <v>0.43944329999999998</v>
      </c>
      <c r="N6890">
        <v>-1.4167590000000001E-2</v>
      </c>
      <c r="O6890">
        <v>0.89815859999999903</v>
      </c>
      <c r="P6890">
        <v>0.76915869999999997</v>
      </c>
      <c r="Q6890">
        <v>0.138034299999999</v>
      </c>
      <c r="R6890">
        <v>0.62397239999999998</v>
      </c>
      <c r="S6890">
        <v>2.9370120000000002</v>
      </c>
      <c r="T6890">
        <v>-0.3846561</v>
      </c>
      <c r="U6890">
        <v>1.284653</v>
      </c>
      <c r="V6890">
        <v>0.42009570000000002</v>
      </c>
      <c r="W6890">
        <v>0.14091579999999901</v>
      </c>
      <c r="X6890">
        <v>0.89647219999999905</v>
      </c>
      <c r="Y6890">
        <v>0.63989940000000001</v>
      </c>
      <c r="Z6890">
        <v>-0.1157772</v>
      </c>
      <c r="AA6890">
        <v>0.75968709999999995</v>
      </c>
      <c r="AB6890">
        <v>28</v>
      </c>
      <c r="AC6890">
        <v>8.38689999999999</v>
      </c>
      <c r="AD6890">
        <v>-1.1109619133919999</v>
      </c>
      <c r="AE6890">
        <v>3.52970000000002</v>
      </c>
      <c r="AF6890">
        <v>5.8943992388664501</v>
      </c>
      <c r="AG6890">
        <v>-1.1109619133919999</v>
      </c>
      <c r="AH6890">
        <v>6.7557809213498397</v>
      </c>
      <c r="AI6890">
        <v>97.063622899753099</v>
      </c>
      <c r="AJ6890">
        <v>48.895396635601401</v>
      </c>
      <c r="AK6890">
        <v>9.0343098583915893</v>
      </c>
      <c r="AL6890">
        <v>81.899157165522197</v>
      </c>
      <c r="AM6890">
        <v>64.891749080241297</v>
      </c>
      <c r="AN6890">
        <v>1.0000000326104801</v>
      </c>
    </row>
    <row r="6891" spans="1:40" x14ac:dyDescent="0.25">
      <c r="A6891" t="str">
        <f>"20190303162438026"</f>
        <v>20190303162438026</v>
      </c>
      <c r="B6891" t="str">
        <f>"1551601478011850"</f>
        <v>1551601478011850</v>
      </c>
      <c r="C6891" t="s">
        <v>40</v>
      </c>
      <c r="D6891">
        <v>5.6389999999999896</v>
      </c>
      <c r="E6891">
        <v>0.61695869999999997</v>
      </c>
      <c r="F6891" t="s">
        <v>55</v>
      </c>
      <c r="G6891">
        <v>-175.624</v>
      </c>
      <c r="H6891" s="1">
        <v>-3.8574739999999996E-6</v>
      </c>
      <c r="I6891">
        <v>133.25739999999999</v>
      </c>
      <c r="J6891">
        <v>-184.07339999999999</v>
      </c>
      <c r="K6891">
        <v>1.1108420000000001</v>
      </c>
      <c r="L6891">
        <v>129.76589999999999</v>
      </c>
      <c r="M6891">
        <v>0.44633339999999999</v>
      </c>
      <c r="N6891">
        <v>-1.41928E-2</v>
      </c>
      <c r="O6891">
        <v>0.89475419999999894</v>
      </c>
      <c r="P6891">
        <v>0.77368979999999998</v>
      </c>
      <c r="Q6891">
        <v>0.13523070000000001</v>
      </c>
      <c r="R6891">
        <v>0.61896430000000002</v>
      </c>
      <c r="S6891">
        <v>2.9483489999999999</v>
      </c>
      <c r="T6891">
        <v>-0.38395479999999998</v>
      </c>
      <c r="U6891">
        <v>1.2584690000000001</v>
      </c>
      <c r="V6891">
        <v>0.41943269999999999</v>
      </c>
      <c r="W6891">
        <v>0.13806949999999901</v>
      </c>
      <c r="X6891">
        <v>0.89722519999999994</v>
      </c>
      <c r="Y6891">
        <v>0.64080769999999998</v>
      </c>
      <c r="Z6891">
        <v>-0.11555</v>
      </c>
      <c r="AA6891">
        <v>0.75895559999999995</v>
      </c>
      <c r="AB6891">
        <v>28</v>
      </c>
      <c r="AC6891">
        <v>8.4493999999999598</v>
      </c>
      <c r="AD6891">
        <v>-1.1108458574740001</v>
      </c>
      <c r="AE6891">
        <v>3.4914999999999998</v>
      </c>
      <c r="AF6891">
        <v>5.9150407549552098</v>
      </c>
      <c r="AG6891">
        <v>-1.1108458574740001</v>
      </c>
      <c r="AH6891">
        <v>6.79565049991621</v>
      </c>
      <c r="AI6891">
        <v>97.029040264514407</v>
      </c>
      <c r="AJ6891">
        <v>48.963177647231198</v>
      </c>
      <c r="AK6891">
        <v>9.0775851066712505</v>
      </c>
      <c r="AL6891">
        <v>82.063848249133002</v>
      </c>
      <c r="AM6891">
        <v>64.944963527242095</v>
      </c>
      <c r="AN6891">
        <v>1.0000000180872799</v>
      </c>
    </row>
    <row r="6892" spans="1:40" x14ac:dyDescent="0.25">
      <c r="A6892" t="str">
        <f>"20190303162438042"</f>
        <v>20190303162438042</v>
      </c>
      <c r="B6892" t="str">
        <f>"1551601478031370"</f>
        <v>1551601478031370</v>
      </c>
      <c r="C6892" t="s">
        <v>40</v>
      </c>
      <c r="D6892">
        <v>5.6431449999999996</v>
      </c>
      <c r="E6892">
        <v>0.61675570000000002</v>
      </c>
      <c r="F6892" t="s">
        <v>55</v>
      </c>
      <c r="G6892">
        <v>-175.65719999999999</v>
      </c>
      <c r="H6892" s="1">
        <v>-3.8898670000000004E-6</v>
      </c>
      <c r="I6892">
        <v>133.28319999999999</v>
      </c>
      <c r="J6892">
        <v>-183.97319999999999</v>
      </c>
      <c r="K6892">
        <v>1.1107309999999999</v>
      </c>
      <c r="L6892">
        <v>129.9462</v>
      </c>
      <c r="M6892">
        <v>0.45471309999999898</v>
      </c>
      <c r="N6892">
        <v>-1.42224E-2</v>
      </c>
      <c r="O6892">
        <v>0.89052439999999999</v>
      </c>
      <c r="P6892">
        <v>0.77951990000000004</v>
      </c>
      <c r="Q6892">
        <v>0.1333308</v>
      </c>
      <c r="R6892">
        <v>0.61202259999999997</v>
      </c>
      <c r="S6892">
        <v>2.9570919999999998</v>
      </c>
      <c r="T6892">
        <v>-0.39030169999999997</v>
      </c>
      <c r="U6892">
        <v>1.2357940000000001</v>
      </c>
      <c r="V6892">
        <v>0.4193112</v>
      </c>
      <c r="W6892">
        <v>0.13610129999999901</v>
      </c>
      <c r="X6892">
        <v>0.89758269999999996</v>
      </c>
      <c r="Y6892">
        <v>0.63914910000000003</v>
      </c>
      <c r="Z6892">
        <v>-0.1175085</v>
      </c>
      <c r="AA6892">
        <v>0.76005279999999997</v>
      </c>
      <c r="AB6892">
        <v>28</v>
      </c>
      <c r="AC6892">
        <v>8.3160000000000007</v>
      </c>
      <c r="AD6892">
        <v>-1.110734889867</v>
      </c>
      <c r="AE6892">
        <v>3.3369999999999802</v>
      </c>
      <c r="AF6892">
        <v>5.7997026003787502</v>
      </c>
      <c r="AG6892">
        <v>-1.110734889867</v>
      </c>
      <c r="AH6892">
        <v>6.6515516197989903</v>
      </c>
      <c r="AI6892">
        <v>97.173700471301103</v>
      </c>
      <c r="AJ6892">
        <v>48.913775839256502</v>
      </c>
      <c r="AK6892">
        <v>8.8945725697898794</v>
      </c>
      <c r="AL6892">
        <v>82.177693044519501</v>
      </c>
      <c r="AM6892">
        <v>64.960085028667606</v>
      </c>
      <c r="AN6892">
        <v>1.0000000748232001</v>
      </c>
    </row>
    <row r="6893" spans="1:40" x14ac:dyDescent="0.25">
      <c r="A6893" t="str">
        <f>"20190303162438059"</f>
        <v>20190303162438059</v>
      </c>
      <c r="B6893" t="str">
        <f>"1551601478051867"</f>
        <v>1551601478051867</v>
      </c>
      <c r="C6893" t="s">
        <v>40</v>
      </c>
      <c r="D6893">
        <v>5.6660789999999999</v>
      </c>
      <c r="E6893">
        <v>0.61669869999999904</v>
      </c>
      <c r="F6893" t="s">
        <v>55</v>
      </c>
      <c r="G6893">
        <v>-175.65440000000001</v>
      </c>
      <c r="H6893" s="1">
        <v>-3.9074909999999998E-6</v>
      </c>
      <c r="I6893">
        <v>133.33459999999999</v>
      </c>
      <c r="J6893">
        <v>-183.86060000000001</v>
      </c>
      <c r="K6893">
        <v>1.1106130000000001</v>
      </c>
      <c r="L6893">
        <v>130.1431</v>
      </c>
      <c r="M6893">
        <v>0.46399839999999998</v>
      </c>
      <c r="N6893">
        <v>-1.425412E-2</v>
      </c>
      <c r="O6893">
        <v>0.88572139999999999</v>
      </c>
      <c r="P6893">
        <v>0.78540750000000004</v>
      </c>
      <c r="Q6893">
        <v>0.1309371</v>
      </c>
      <c r="R6893">
        <v>0.6049715</v>
      </c>
      <c r="S6893">
        <v>2.9673159999999998</v>
      </c>
      <c r="T6893">
        <v>-0.39619670000000001</v>
      </c>
      <c r="U6893">
        <v>1.2086490000000001</v>
      </c>
      <c r="V6893">
        <v>0.41834840000000001</v>
      </c>
      <c r="W6893">
        <v>0.13366520000000001</v>
      </c>
      <c r="X6893">
        <v>0.89839760000000002</v>
      </c>
      <c r="Y6893">
        <v>0.63779929999999996</v>
      </c>
      <c r="Z6893">
        <v>-0.11931360000000001</v>
      </c>
      <c r="AA6893">
        <v>0.7609049</v>
      </c>
      <c r="AB6893">
        <v>28</v>
      </c>
      <c r="AC6893">
        <v>8.2061999999999902</v>
      </c>
      <c r="AD6893">
        <v>-1.1106169074909999</v>
      </c>
      <c r="AE6893">
        <v>3.1914999999999898</v>
      </c>
      <c r="AF6893">
        <v>5.6974960031857202</v>
      </c>
      <c r="AG6893">
        <v>-1.1106169074909999</v>
      </c>
      <c r="AH6893">
        <v>6.5312050617442496</v>
      </c>
      <c r="AI6893">
        <v>97.302209074423203</v>
      </c>
      <c r="AJ6893">
        <v>48.900185874353703</v>
      </c>
      <c r="AK6893">
        <v>8.7379385543774504</v>
      </c>
      <c r="AL6893">
        <v>82.318558107840403</v>
      </c>
      <c r="AM6893">
        <v>65.030457844263907</v>
      </c>
      <c r="AN6893">
        <v>1.0000000085796801</v>
      </c>
    </row>
    <row r="6894" spans="1:40" x14ac:dyDescent="0.25">
      <c r="A6894" t="str">
        <f>"20190303162438073"</f>
        <v>20190303162438073</v>
      </c>
      <c r="B6894" t="str">
        <f>"1551601478061627"</f>
        <v>1551601478061627</v>
      </c>
      <c r="C6894" t="s">
        <v>40</v>
      </c>
      <c r="D6894">
        <v>5.6129569999999998</v>
      </c>
      <c r="E6894">
        <v>0.61657489999999904</v>
      </c>
      <c r="F6894" t="s">
        <v>55</v>
      </c>
      <c r="G6894">
        <v>-175.60059999999999</v>
      </c>
      <c r="H6894" s="1">
        <v>-3.9004510000000003E-6</v>
      </c>
      <c r="I6894">
        <v>133.4127</v>
      </c>
      <c r="J6894">
        <v>-183.77520000000001</v>
      </c>
      <c r="K6894">
        <v>1.110535</v>
      </c>
      <c r="L6894">
        <v>130.2893</v>
      </c>
      <c r="M6894">
        <v>0.47097060000000002</v>
      </c>
      <c r="N6894">
        <v>-1.42776E-2</v>
      </c>
      <c r="O6894">
        <v>0.88203339999999997</v>
      </c>
      <c r="P6894">
        <v>0.7896687</v>
      </c>
      <c r="Q6894">
        <v>0.13026879999999999</v>
      </c>
      <c r="R6894">
        <v>0.59954449999999904</v>
      </c>
      <c r="S6894">
        <v>2.9783629999999999</v>
      </c>
      <c r="T6894">
        <v>-0.40046189999999998</v>
      </c>
      <c r="U6894">
        <v>1.178909</v>
      </c>
      <c r="V6894">
        <v>0.41755730000000002</v>
      </c>
      <c r="W6894">
        <v>0.13296759999999999</v>
      </c>
      <c r="X6894">
        <v>0.89886900000000003</v>
      </c>
      <c r="Y6894">
        <v>0.63910849999999997</v>
      </c>
      <c r="Z6894">
        <v>-0.1207218</v>
      </c>
      <c r="AA6894">
        <v>0.75958319999999901</v>
      </c>
      <c r="AB6894">
        <v>28</v>
      </c>
      <c r="AC6894">
        <v>8.1746000000000194</v>
      </c>
      <c r="AD6894">
        <v>-1.110538900451</v>
      </c>
      <c r="AE6894">
        <v>3.1234000000000002</v>
      </c>
      <c r="AF6894">
        <v>5.6488521895334198</v>
      </c>
      <c r="AG6894">
        <v>-1.110538900451</v>
      </c>
      <c r="AH6894">
        <v>6.5009168526568297</v>
      </c>
      <c r="AI6894">
        <v>97.347643752618794</v>
      </c>
      <c r="AJ6894">
        <v>49.011591388438902</v>
      </c>
      <c r="AK6894">
        <v>8.6835907108620098</v>
      </c>
      <c r="AL6894">
        <v>82.358887427237505</v>
      </c>
      <c r="AM6894">
        <v>65.083419825039698</v>
      </c>
      <c r="AN6894">
        <v>0.99999998029702397</v>
      </c>
    </row>
    <row r="6895" spans="1:40" x14ac:dyDescent="0.25">
      <c r="A6895" t="str">
        <f>"20190303162438086"</f>
        <v>20190303162438086</v>
      </c>
      <c r="B6895" t="str">
        <f>"1551601478071386"</f>
        <v>1551601478071386</v>
      </c>
      <c r="C6895" t="s">
        <v>40</v>
      </c>
      <c r="D6895">
        <v>5.62338</v>
      </c>
      <c r="E6895">
        <v>0.61643819999999905</v>
      </c>
      <c r="F6895" t="s">
        <v>55</v>
      </c>
      <c r="G6895">
        <v>-175.5145</v>
      </c>
      <c r="H6895" s="1">
        <v>-3.8716289999999997E-6</v>
      </c>
      <c r="I6895">
        <v>133.49160000000001</v>
      </c>
      <c r="J6895">
        <v>-183.69290000000001</v>
      </c>
      <c r="K6895">
        <v>1.110471</v>
      </c>
      <c r="L6895">
        <v>130.4282</v>
      </c>
      <c r="M6895">
        <v>0.47762670000000002</v>
      </c>
      <c r="N6895">
        <v>-1.4299549999999999E-2</v>
      </c>
      <c r="O6895">
        <v>0.87844650000000002</v>
      </c>
      <c r="P6895">
        <v>0.79357440000000001</v>
      </c>
      <c r="Q6895">
        <v>0.13018769999999999</v>
      </c>
      <c r="R6895">
        <v>0.59438290000000005</v>
      </c>
      <c r="S6895">
        <v>2.9863430000000002</v>
      </c>
      <c r="T6895">
        <v>-0.40147260000000001</v>
      </c>
      <c r="U6895">
        <v>1.1576690000000001</v>
      </c>
      <c r="V6895">
        <v>0.41665249999999998</v>
      </c>
      <c r="W6895">
        <v>0.13286319999999999</v>
      </c>
      <c r="X6895">
        <v>0.8993042</v>
      </c>
      <c r="Y6895">
        <v>0.63866789999999996</v>
      </c>
      <c r="Z6895">
        <v>-0.1209677</v>
      </c>
      <c r="AA6895">
        <v>0.75991450000000005</v>
      </c>
      <c r="AB6895">
        <v>28</v>
      </c>
      <c r="AC6895">
        <v>8.1783999999999999</v>
      </c>
      <c r="AD6895">
        <v>-1.110474871629</v>
      </c>
      <c r="AE6895">
        <v>3.0634000000000001</v>
      </c>
      <c r="AF6895">
        <v>5.6306727443597397</v>
      </c>
      <c r="AG6895">
        <v>-1.110474871629</v>
      </c>
      <c r="AH6895">
        <v>6.4929508898238204</v>
      </c>
      <c r="AI6895">
        <v>97.362387339513205</v>
      </c>
      <c r="AJ6895">
        <v>49.068242753046903</v>
      </c>
      <c r="AK6895">
        <v>8.6657972081199208</v>
      </c>
      <c r="AL6895">
        <v>82.364922728772001</v>
      </c>
      <c r="AM6895">
        <v>65.141455432434896</v>
      </c>
      <c r="AN6895">
        <v>0.99999998990406502</v>
      </c>
    </row>
    <row r="6896" spans="1:40" x14ac:dyDescent="0.25">
      <c r="A6896" t="str">
        <f>"20190303162438098"</f>
        <v>20190303162438098</v>
      </c>
      <c r="B6896" t="str">
        <f>"1551601478091882"</f>
        <v>1551601478091882</v>
      </c>
      <c r="C6896" t="s">
        <v>40</v>
      </c>
      <c r="D6896">
        <v>5.5985870000000002</v>
      </c>
      <c r="E6896">
        <v>0.61618260000000002</v>
      </c>
      <c r="F6896" t="s">
        <v>55</v>
      </c>
      <c r="G6896">
        <v>-175.4033</v>
      </c>
      <c r="H6896" s="1">
        <v>-3.8291499999999996E-6</v>
      </c>
      <c r="I6896">
        <v>133.57939999999999</v>
      </c>
      <c r="J6896">
        <v>-183.6009</v>
      </c>
      <c r="K6896">
        <v>1.110392</v>
      </c>
      <c r="L6896">
        <v>130.58000000000001</v>
      </c>
      <c r="M6896">
        <v>0.484985</v>
      </c>
      <c r="N6896">
        <v>-1.432421E-2</v>
      </c>
      <c r="O6896">
        <v>0.87440509999999905</v>
      </c>
      <c r="P6896">
        <v>0.79795839999999996</v>
      </c>
      <c r="Q6896">
        <v>0.13075329999999999</v>
      </c>
      <c r="R6896">
        <v>0.58835879999999996</v>
      </c>
      <c r="S6896">
        <v>2.9937589999999998</v>
      </c>
      <c r="T6896">
        <v>-0.4010456</v>
      </c>
      <c r="U6896">
        <v>1.1380619999999999</v>
      </c>
      <c r="V6896">
        <v>0.41586659999999998</v>
      </c>
      <c r="W6896">
        <v>0.13339719999999999</v>
      </c>
      <c r="X6896">
        <v>0.89958890000000002</v>
      </c>
      <c r="Y6896">
        <v>0.63724479999999994</v>
      </c>
      <c r="Z6896">
        <v>-0.12067460000000001</v>
      </c>
      <c r="AA6896">
        <v>0.76115489999999997</v>
      </c>
      <c r="AB6896">
        <v>28</v>
      </c>
      <c r="AC6896">
        <v>8.1975999999999907</v>
      </c>
      <c r="AD6896">
        <v>-1.11039582915</v>
      </c>
      <c r="AE6896">
        <v>2.9993999999999699</v>
      </c>
      <c r="AF6896">
        <v>5.6229580917845396</v>
      </c>
      <c r="AG6896">
        <v>-1.11039582915</v>
      </c>
      <c r="AH6896">
        <v>6.4939986945631603</v>
      </c>
      <c r="AI6896">
        <v>97.3654800748524</v>
      </c>
      <c r="AJ6896">
        <v>49.111696544352803</v>
      </c>
      <c r="AK6896">
        <v>8.6615619633151102</v>
      </c>
      <c r="AL6896">
        <v>82.334052184935302</v>
      </c>
      <c r="AM6896">
        <v>65.189599762110007</v>
      </c>
      <c r="AN6896">
        <v>1.0000000154833</v>
      </c>
    </row>
    <row r="6897" spans="1:40" x14ac:dyDescent="0.25">
      <c r="A6897" t="str">
        <f>"20190303162438110"</f>
        <v>20190303162438110</v>
      </c>
      <c r="B6897" t="str">
        <f>"1551601478101643"</f>
        <v>1551601478101643</v>
      </c>
      <c r="C6897" t="s">
        <v>40</v>
      </c>
      <c r="D6897">
        <v>5.5938480000000004</v>
      </c>
      <c r="E6897">
        <v>0.61606380000000005</v>
      </c>
      <c r="F6897" t="s">
        <v>55</v>
      </c>
      <c r="G6897">
        <v>-175.25729999999999</v>
      </c>
      <c r="H6897" s="1">
        <v>-3.7693960000000002E-6</v>
      </c>
      <c r="I6897">
        <v>133.68440000000001</v>
      </c>
      <c r="J6897">
        <v>-183.52199999999999</v>
      </c>
      <c r="K6897">
        <v>1.110336</v>
      </c>
      <c r="L6897">
        <v>130.70779999999999</v>
      </c>
      <c r="M6897">
        <v>0.49123030000000001</v>
      </c>
      <c r="N6897">
        <v>-1.4345129999999999E-2</v>
      </c>
      <c r="O6897">
        <v>0.87091160000000001</v>
      </c>
      <c r="P6897">
        <v>0.80161340000000003</v>
      </c>
      <c r="Q6897">
        <v>0.13150479999999901</v>
      </c>
      <c r="R6897">
        <v>0.58320019999999995</v>
      </c>
      <c r="S6897">
        <v>3.001617</v>
      </c>
      <c r="T6897">
        <v>-0.3994664</v>
      </c>
      <c r="U6897">
        <v>1.116806</v>
      </c>
      <c r="V6897">
        <v>0.41516170000000002</v>
      </c>
      <c r="W6897">
        <v>0.13412589999999999</v>
      </c>
      <c r="X6897">
        <v>0.89980609999999905</v>
      </c>
      <c r="Y6897">
        <v>0.63721359999999905</v>
      </c>
      <c r="Z6897">
        <v>-0.1200871</v>
      </c>
      <c r="AA6897">
        <v>0.76127389999999995</v>
      </c>
      <c r="AB6897">
        <v>28</v>
      </c>
      <c r="AC6897">
        <v>8.2647000000000297</v>
      </c>
      <c r="AD6897">
        <v>-1.110339769396</v>
      </c>
      <c r="AE6897">
        <v>2.9766000000000101</v>
      </c>
      <c r="AF6897">
        <v>5.6460121494511002</v>
      </c>
      <c r="AG6897">
        <v>-1.110339769396</v>
      </c>
      <c r="AH6897">
        <v>6.5482905133058296</v>
      </c>
      <c r="AI6897">
        <v>97.317799123594099</v>
      </c>
      <c r="AJ6897">
        <v>49.2317063511451</v>
      </c>
      <c r="AK6897">
        <v>8.7172482035274701</v>
      </c>
      <c r="AL6897">
        <v>82.291922076102793</v>
      </c>
      <c r="AM6897">
        <v>65.231863686923404</v>
      </c>
      <c r="AN6897">
        <v>1.0000000058974501</v>
      </c>
    </row>
    <row r="6898" spans="1:40" x14ac:dyDescent="0.25">
      <c r="A6898" t="str">
        <f>"20190303162438127"</f>
        <v>20190303162438127</v>
      </c>
      <c r="B6898" t="str">
        <f>"1551601478122137"</f>
        <v>1551601478122137</v>
      </c>
      <c r="C6898" t="s">
        <v>40</v>
      </c>
      <c r="D6898">
        <v>5.3927969999999998</v>
      </c>
      <c r="E6898">
        <v>0.61599059999999894</v>
      </c>
      <c r="F6898" t="s">
        <v>55</v>
      </c>
      <c r="G6898">
        <v>-175.11709999999999</v>
      </c>
      <c r="H6898" s="1">
        <v>-3.7090279999999999E-6</v>
      </c>
      <c r="I6898">
        <v>133.7774</v>
      </c>
      <c r="J6898">
        <v>-183.40629999999999</v>
      </c>
      <c r="K6898">
        <v>1.110255</v>
      </c>
      <c r="L6898">
        <v>130.89189999999999</v>
      </c>
      <c r="M6898">
        <v>0.50028909999999904</v>
      </c>
      <c r="N6898">
        <v>-1.4374899999999999E-2</v>
      </c>
      <c r="O6898">
        <v>0.86573899999999904</v>
      </c>
      <c r="P6898">
        <v>0.80696029999999996</v>
      </c>
      <c r="Q6898">
        <v>0.13406119999999999</v>
      </c>
      <c r="R6898">
        <v>0.57518939999999996</v>
      </c>
      <c r="S6898">
        <v>3.0083009999999999</v>
      </c>
      <c r="T6898">
        <v>-0.39741680000000001</v>
      </c>
      <c r="U6898">
        <v>1.0986940000000001</v>
      </c>
      <c r="V6898">
        <v>0.41446339999999998</v>
      </c>
      <c r="W6898">
        <v>0.13663689999999901</v>
      </c>
      <c r="X6898">
        <v>0.89975019999999994</v>
      </c>
      <c r="Y6898">
        <v>0.63390859999999905</v>
      </c>
      <c r="Z6898">
        <v>-0.1191292</v>
      </c>
      <c r="AA6898">
        <v>0.76417809999999997</v>
      </c>
      <c r="AB6898">
        <v>28</v>
      </c>
      <c r="AC6898">
        <v>8.2891999999999904</v>
      </c>
      <c r="AD6898">
        <v>-1.1102587090279901</v>
      </c>
      <c r="AE6898">
        <v>2.8855</v>
      </c>
      <c r="AF6898">
        <v>5.6429983036739797</v>
      </c>
      <c r="AG6898">
        <v>-1.1102587090279901</v>
      </c>
      <c r="AH6898">
        <v>6.5411086939123102</v>
      </c>
      <c r="AI6898">
        <v>97.323476397686207</v>
      </c>
      <c r="AJ6898">
        <v>49.215741071811301</v>
      </c>
      <c r="AK6898">
        <v>8.70989134271003</v>
      </c>
      <c r="AL6898">
        <v>82.146715351900099</v>
      </c>
      <c r="AM6898">
        <v>65.267182297606098</v>
      </c>
      <c r="AN6898">
        <v>0.99999998739060503</v>
      </c>
    </row>
    <row r="6899" spans="1:40" x14ac:dyDescent="0.25">
      <c r="A6899" t="str">
        <f>"20190303162438139"</f>
        <v>20190303162438139</v>
      </c>
      <c r="B6899" t="str">
        <f>"1551601478131898"</f>
        <v>1551601478131898</v>
      </c>
      <c r="C6899" t="s">
        <v>40</v>
      </c>
      <c r="D6899">
        <v>5.6715900000000001</v>
      </c>
      <c r="E6899">
        <v>0.61595390000000005</v>
      </c>
      <c r="F6899" t="s">
        <v>55</v>
      </c>
      <c r="G6899">
        <v>-174.81710000000001</v>
      </c>
      <c r="H6899" s="1">
        <v>-3.5993520000000002E-6</v>
      </c>
      <c r="I6899">
        <v>133.9392</v>
      </c>
      <c r="J6899">
        <v>-183.3218</v>
      </c>
      <c r="K6899">
        <v>1.1101970000000001</v>
      </c>
      <c r="L6899">
        <v>131.02369999999999</v>
      </c>
      <c r="M6899">
        <v>0.50682510000000003</v>
      </c>
      <c r="N6899">
        <v>-1.4395979999999999E-2</v>
      </c>
      <c r="O6899">
        <v>0.86192869999999999</v>
      </c>
      <c r="P6899">
        <v>0.81105890000000003</v>
      </c>
      <c r="Q6899">
        <v>0.13500619999999999</v>
      </c>
      <c r="R6899">
        <v>0.56917200000000001</v>
      </c>
      <c r="S6899">
        <v>3.0189970000000002</v>
      </c>
      <c r="T6899">
        <v>-0.3902427</v>
      </c>
      <c r="U6899">
        <v>1.0711059999999999</v>
      </c>
      <c r="V6899">
        <v>0.4142576</v>
      </c>
      <c r="W6899">
        <v>0.13754149999999901</v>
      </c>
      <c r="X6899">
        <v>0.89970709999999998</v>
      </c>
      <c r="Y6899">
        <v>0.63543530000000004</v>
      </c>
      <c r="Z6899">
        <v>-0.116773</v>
      </c>
      <c r="AA6899">
        <v>0.76327330000000004</v>
      </c>
      <c r="AB6899">
        <v>28</v>
      </c>
      <c r="AC6899">
        <v>8.5046999999999802</v>
      </c>
      <c r="AD6899">
        <v>-1.1102005993520001</v>
      </c>
      <c r="AE6899">
        <v>2.9155000000000002</v>
      </c>
      <c r="AF6899">
        <v>5.7654873632216397</v>
      </c>
      <c r="AG6899">
        <v>-1.1102005993520001</v>
      </c>
      <c r="AH6899">
        <v>6.7215612720168698</v>
      </c>
      <c r="AI6899">
        <v>97.145787314787299</v>
      </c>
      <c r="AJ6899">
        <v>49.378323007074499</v>
      </c>
      <c r="AK6899">
        <v>8.9248403817517694</v>
      </c>
      <c r="AL6899">
        <v>82.094391242563105</v>
      </c>
      <c r="AM6899">
        <v>65.276951785683295</v>
      </c>
      <c r="AN6899">
        <v>0.99999994458520802</v>
      </c>
    </row>
    <row r="6900" spans="1:40" x14ac:dyDescent="0.25">
      <c r="A6900" t="str">
        <f>"20190303162438151"</f>
        <v>20190303162438151</v>
      </c>
      <c r="B6900" t="str">
        <f>"1551601478141657"</f>
        <v>1551601478141657</v>
      </c>
      <c r="C6900" t="s">
        <v>40</v>
      </c>
      <c r="D6900">
        <v>5.6251429999999996</v>
      </c>
      <c r="E6900">
        <v>0.61605529999999997</v>
      </c>
      <c r="F6900" t="s">
        <v>55</v>
      </c>
      <c r="G6900">
        <v>-174.6771</v>
      </c>
      <c r="H6900" s="1">
        <v>-3.568002E-6</v>
      </c>
      <c r="I6900">
        <v>134.02019999999999</v>
      </c>
      <c r="J6900">
        <v>-183.24299999999999</v>
      </c>
      <c r="K6900">
        <v>1.110144</v>
      </c>
      <c r="L6900">
        <v>131.1439</v>
      </c>
      <c r="M6900">
        <v>0.51285179999999997</v>
      </c>
      <c r="N6900">
        <v>-1.4415229999999999E-2</v>
      </c>
      <c r="O6900">
        <v>0.85835609999999996</v>
      </c>
      <c r="P6900">
        <v>0.81470730000000002</v>
      </c>
      <c r="Q6900">
        <v>0.13640169999999999</v>
      </c>
      <c r="R6900">
        <v>0.56360159999999904</v>
      </c>
      <c r="S6900">
        <v>3.0271910000000002</v>
      </c>
      <c r="T6900">
        <v>-0.38877030000000001</v>
      </c>
      <c r="U6900">
        <v>1.0493159999999999</v>
      </c>
      <c r="V6900">
        <v>0.41397319999999999</v>
      </c>
      <c r="W6900">
        <v>0.1389049</v>
      </c>
      <c r="X6900">
        <v>0.8996286</v>
      </c>
      <c r="Y6900">
        <v>0.63566339999999999</v>
      </c>
      <c r="Z6900">
        <v>-0.1161951</v>
      </c>
      <c r="AA6900">
        <v>0.7631715</v>
      </c>
      <c r="AB6900">
        <v>28</v>
      </c>
      <c r="AC6900">
        <v>8.5658999999999992</v>
      </c>
      <c r="AD6900">
        <v>-1.1101475680020001</v>
      </c>
      <c r="AE6900">
        <v>2.8762999999999801</v>
      </c>
      <c r="AF6900">
        <v>5.7906806310590397</v>
      </c>
      <c r="AG6900">
        <v>-1.1101475680020001</v>
      </c>
      <c r="AH6900">
        <v>6.7605926623015096</v>
      </c>
      <c r="AI6900">
        <v>97.108879013807595</v>
      </c>
      <c r="AJ6900">
        <v>49.418806124205702</v>
      </c>
      <c r="AK6900">
        <v>8.9705085106268196</v>
      </c>
      <c r="AL6900">
        <v>82.0155175041089</v>
      </c>
      <c r="AM6900">
        <v>65.289998499599804</v>
      </c>
      <c r="AN6900">
        <v>0.99999999975010501</v>
      </c>
    </row>
    <row r="6901" spans="1:40" x14ac:dyDescent="0.25">
      <c r="A6901" t="str">
        <f>"20190303162438164"</f>
        <v>20190303162438164</v>
      </c>
      <c r="B6901" t="str">
        <f>"1551601478162154"</f>
        <v>1551601478162154</v>
      </c>
      <c r="C6901" t="s">
        <v>40</v>
      </c>
      <c r="D6901">
        <v>5.5774569999999999</v>
      </c>
      <c r="E6901">
        <v>0.61627200000000004</v>
      </c>
      <c r="F6901" t="s">
        <v>55</v>
      </c>
      <c r="G6901">
        <v>-174.49459999999999</v>
      </c>
      <c r="H6901" s="1">
        <v>-3.5203410000000001E-6</v>
      </c>
      <c r="I6901">
        <v>134.1078</v>
      </c>
      <c r="J6901">
        <v>-183.15280000000001</v>
      </c>
      <c r="K6901">
        <v>1.110082</v>
      </c>
      <c r="L6901">
        <v>131.28020000000001</v>
      </c>
      <c r="M6901">
        <v>0.51969500000000002</v>
      </c>
      <c r="N6901">
        <v>-1.443643E-2</v>
      </c>
      <c r="O6901">
        <v>0.85422989999999999</v>
      </c>
      <c r="P6901">
        <v>0.81899580000000005</v>
      </c>
      <c r="Q6901">
        <v>0.13735710000000001</v>
      </c>
      <c r="R6901">
        <v>0.55711659999999996</v>
      </c>
      <c r="S6901">
        <v>3.0353850000000002</v>
      </c>
      <c r="T6901">
        <v>-0.3851831</v>
      </c>
      <c r="U6901">
        <v>1.028381</v>
      </c>
      <c r="V6901">
        <v>0.41383490000000001</v>
      </c>
      <c r="W6901">
        <v>0.1398181</v>
      </c>
      <c r="X6901">
        <v>0.89955079999999998</v>
      </c>
      <c r="Y6901">
        <v>0.63503269999999901</v>
      </c>
      <c r="Z6901">
        <v>-0.11486010000000001</v>
      </c>
      <c r="AA6901">
        <v>0.76389839999999998</v>
      </c>
      <c r="AB6901">
        <v>28</v>
      </c>
      <c r="AC6901">
        <v>8.6582000000000203</v>
      </c>
      <c r="AD6901">
        <v>-1.1100855203410001</v>
      </c>
      <c r="AE6901">
        <v>2.8275999999999799</v>
      </c>
      <c r="AF6901">
        <v>5.8404666457116496</v>
      </c>
      <c r="AG6901">
        <v>-1.1100855203410001</v>
      </c>
      <c r="AH6901">
        <v>6.8145406628888399</v>
      </c>
      <c r="AI6901">
        <v>97.050968832885602</v>
      </c>
      <c r="AJ6901">
        <v>49.401459511301802</v>
      </c>
      <c r="AK6901">
        <v>9.0433016619101299</v>
      </c>
      <c r="AL6901">
        <v>81.962679653652401</v>
      </c>
      <c r="AM6901">
        <v>65.2953864747859</v>
      </c>
      <c r="AN6901">
        <v>1.0000000336631201</v>
      </c>
    </row>
    <row r="6902" spans="1:40" x14ac:dyDescent="0.25">
      <c r="A6902" t="str">
        <f>"20190303162438175"</f>
        <v>20190303162438175</v>
      </c>
      <c r="B6902" t="str">
        <f>"1551601478171913"</f>
        <v>1551601478171913</v>
      </c>
      <c r="C6902" t="s">
        <v>40</v>
      </c>
      <c r="D6902">
        <v>5.5522980000000004</v>
      </c>
      <c r="E6902">
        <v>0.61633709999999997</v>
      </c>
      <c r="F6902" t="s">
        <v>55</v>
      </c>
      <c r="G6902">
        <v>-174.3329</v>
      </c>
      <c r="H6902" s="1">
        <v>-3.4773850000000002E-6</v>
      </c>
      <c r="I6902">
        <v>134.18360000000001</v>
      </c>
      <c r="J6902">
        <v>-183.0692</v>
      </c>
      <c r="K6902">
        <v>1.1100239999999999</v>
      </c>
      <c r="L6902">
        <v>131.40350000000001</v>
      </c>
      <c r="M6902">
        <v>0.52595829999999999</v>
      </c>
      <c r="N6902">
        <v>-1.445604E-2</v>
      </c>
      <c r="O6902">
        <v>0.85038749999999996</v>
      </c>
      <c r="P6902">
        <v>0.8226947</v>
      </c>
      <c r="Q6902">
        <v>0.1382968</v>
      </c>
      <c r="R6902">
        <v>0.55140519999999904</v>
      </c>
      <c r="S6902">
        <v>3.0453640000000002</v>
      </c>
      <c r="T6902">
        <v>-0.38329340000000001</v>
      </c>
      <c r="U6902">
        <v>1.0024869999999999</v>
      </c>
      <c r="V6902">
        <v>0.4133925</v>
      </c>
      <c r="W6902">
        <v>0.14073069999999999</v>
      </c>
      <c r="X6902">
        <v>0.89961190000000002</v>
      </c>
      <c r="Y6902">
        <v>0.63607190000000002</v>
      </c>
      <c r="Z6902">
        <v>-0.1141498</v>
      </c>
      <c r="AA6902">
        <v>0.76313980000000003</v>
      </c>
      <c r="AB6902">
        <v>28</v>
      </c>
      <c r="AC6902">
        <v>8.7363</v>
      </c>
      <c r="AD6902">
        <v>-1.1100274773849901</v>
      </c>
      <c r="AE6902">
        <v>2.7801</v>
      </c>
      <c r="AF6902">
        <v>5.88142824238599</v>
      </c>
      <c r="AG6902">
        <v>-1.1100274773849901</v>
      </c>
      <c r="AH6902">
        <v>6.8592654212870103</v>
      </c>
      <c r="AI6902">
        <v>97.003775970915996</v>
      </c>
      <c r="AJ6902">
        <v>49.388797534834701</v>
      </c>
      <c r="AK6902">
        <v>9.1034543603265803</v>
      </c>
      <c r="AL6902">
        <v>81.909869340785406</v>
      </c>
      <c r="AM6902">
        <v>65.320123469976593</v>
      </c>
      <c r="AN6902">
        <v>1.0000000298001701</v>
      </c>
    </row>
    <row r="6903" spans="1:40" x14ac:dyDescent="0.25">
      <c r="A6903" t="str">
        <f>"20190303162438193"</f>
        <v>20190303162438193</v>
      </c>
      <c r="B6903" t="str">
        <f>"1551601478181674"</f>
        <v>1551601478181674</v>
      </c>
      <c r="C6903" t="s">
        <v>40</v>
      </c>
      <c r="D6903">
        <v>5.5483779999999996</v>
      </c>
      <c r="E6903">
        <v>0.61636329999999995</v>
      </c>
      <c r="F6903" t="s">
        <v>55</v>
      </c>
      <c r="G6903">
        <v>-174.167</v>
      </c>
      <c r="H6903" s="1">
        <v>-3.4337950000000001E-6</v>
      </c>
      <c r="I6903">
        <v>134.26259999999999</v>
      </c>
      <c r="J6903">
        <v>-182.94450000000001</v>
      </c>
      <c r="K6903">
        <v>1.1099429999999999</v>
      </c>
      <c r="L6903">
        <v>131.58420000000001</v>
      </c>
      <c r="M6903">
        <v>0.53519729999999999</v>
      </c>
      <c r="N6903">
        <v>-1.448459E-2</v>
      </c>
      <c r="O6903">
        <v>0.84460290000000005</v>
      </c>
      <c r="P6903">
        <v>0.8283703</v>
      </c>
      <c r="Q6903">
        <v>0.13907059999999999</v>
      </c>
      <c r="R6903">
        <v>0.5426436</v>
      </c>
      <c r="S6903">
        <v>3.0532840000000001</v>
      </c>
      <c r="T6903">
        <v>-0.38071680000000002</v>
      </c>
      <c r="U6903">
        <v>0.98063659999999997</v>
      </c>
      <c r="V6903">
        <v>0.41307169999999999</v>
      </c>
      <c r="W6903">
        <v>0.14145579999999999</v>
      </c>
      <c r="X6903">
        <v>0.89964549999999999</v>
      </c>
      <c r="Y6903">
        <v>0.63335649999999999</v>
      </c>
      <c r="Z6903">
        <v>-0.1129817</v>
      </c>
      <c r="AA6903">
        <v>0.76556829999999998</v>
      </c>
      <c r="AB6903">
        <v>28</v>
      </c>
      <c r="AC6903">
        <v>8.7774999999999999</v>
      </c>
      <c r="AD6903">
        <v>-1.109946433795</v>
      </c>
      <c r="AE6903">
        <v>2.6783999999999799</v>
      </c>
      <c r="AF6903">
        <v>5.8944306808887701</v>
      </c>
      <c r="AG6903">
        <v>-1.109946433795</v>
      </c>
      <c r="AH6903">
        <v>6.8602542091533998</v>
      </c>
      <c r="AI6903">
        <v>96.996202344782304</v>
      </c>
      <c r="AJ6903">
        <v>49.330346579789698</v>
      </c>
      <c r="AK6903">
        <v>9.1125946882270608</v>
      </c>
      <c r="AL6903">
        <v>81.867904116096298</v>
      </c>
      <c r="AM6903">
        <v>65.337806638066297</v>
      </c>
      <c r="AN6903">
        <v>0.99999999918238902</v>
      </c>
    </row>
    <row r="6904" spans="1:40" x14ac:dyDescent="0.25">
      <c r="A6904" t="str">
        <f>"20190303162438206"</f>
        <v>20190303162438206</v>
      </c>
      <c r="B6904" t="str">
        <f>"1551601478202169"</f>
        <v>1551601478202169</v>
      </c>
      <c r="C6904" t="s">
        <v>40</v>
      </c>
      <c r="D6904">
        <v>5.5429919999999999</v>
      </c>
      <c r="E6904">
        <v>0.61640130000000004</v>
      </c>
      <c r="F6904" t="s">
        <v>55</v>
      </c>
      <c r="G6904">
        <v>-173.93709999999999</v>
      </c>
      <c r="H6904" s="1">
        <v>-3.3716029999999999E-6</v>
      </c>
      <c r="I6904">
        <v>134.3674</v>
      </c>
      <c r="J6904">
        <v>-182.8526</v>
      </c>
      <c r="K6904">
        <v>1.109883</v>
      </c>
      <c r="L6904">
        <v>131.71510000000001</v>
      </c>
      <c r="M6904">
        <v>0.5419311</v>
      </c>
      <c r="N6904">
        <v>-1.4505199999999999E-2</v>
      </c>
      <c r="O6904">
        <v>0.84029769999999904</v>
      </c>
      <c r="P6904">
        <v>0.8326365</v>
      </c>
      <c r="Q6904">
        <v>0.13945839999999901</v>
      </c>
      <c r="R6904">
        <v>0.535973699999999</v>
      </c>
      <c r="S6904">
        <v>3.064651</v>
      </c>
      <c r="T6904">
        <v>-0.37764140000000002</v>
      </c>
      <c r="U6904">
        <v>0.94694520000000004</v>
      </c>
      <c r="V6904">
        <v>0.41308230000000001</v>
      </c>
      <c r="W6904">
        <v>0.14180079999999901</v>
      </c>
      <c r="X6904">
        <v>0.89958629999999995</v>
      </c>
      <c r="Y6904">
        <v>0.63580269999999905</v>
      </c>
      <c r="Z6904">
        <v>-0.1119691</v>
      </c>
      <c r="AA6904">
        <v>0.763687</v>
      </c>
      <c r="AB6904">
        <v>28</v>
      </c>
      <c r="AC6904">
        <v>8.9154999999999998</v>
      </c>
      <c r="AD6904">
        <v>-1.1098863716030001</v>
      </c>
      <c r="AE6904">
        <v>2.6522999999999901</v>
      </c>
      <c r="AF6904">
        <v>5.9699498097182904</v>
      </c>
      <c r="AG6904">
        <v>-1.1098863716030001</v>
      </c>
      <c r="AH6904">
        <v>6.96193030395888</v>
      </c>
      <c r="AI6904">
        <v>96.9003898225195</v>
      </c>
      <c r="AJ6904">
        <v>49.386462722241099</v>
      </c>
      <c r="AK6904">
        <v>9.2379988117344194</v>
      </c>
      <c r="AL6904">
        <v>81.847935650920107</v>
      </c>
      <c r="AM6904">
        <v>65.335819285989203</v>
      </c>
      <c r="AN6904">
        <v>0.99999998230081</v>
      </c>
    </row>
    <row r="6905" spans="1:40" x14ac:dyDescent="0.25">
      <c r="A6905" t="str">
        <f>"20190303162438218"</f>
        <v>20190303162438218</v>
      </c>
      <c r="B6905" t="str">
        <f>"1551601478211931"</f>
        <v>1551601478211931</v>
      </c>
      <c r="C6905" t="s">
        <v>40</v>
      </c>
      <c r="D6905">
        <v>5.499485</v>
      </c>
      <c r="E6905">
        <v>0.61638899999999996</v>
      </c>
      <c r="F6905" t="s">
        <v>55</v>
      </c>
      <c r="G6905">
        <v>-173.84649999999999</v>
      </c>
      <c r="H6905" s="1">
        <v>-3.350861E-6</v>
      </c>
      <c r="I6905">
        <v>134.41849999999999</v>
      </c>
      <c r="J6905">
        <v>-182.7518</v>
      </c>
      <c r="K6905">
        <v>1.1098170000000001</v>
      </c>
      <c r="L6905">
        <v>131.85570000000001</v>
      </c>
      <c r="M6905">
        <v>0.54923279999999997</v>
      </c>
      <c r="N6905">
        <v>-1.452788E-2</v>
      </c>
      <c r="O6905">
        <v>0.83554319999999904</v>
      </c>
      <c r="P6905">
        <v>0.83722489999999905</v>
      </c>
      <c r="Q6905">
        <v>0.13964370000000001</v>
      </c>
      <c r="R6905">
        <v>0.5287288</v>
      </c>
      <c r="S6905">
        <v>3.0726930000000001</v>
      </c>
      <c r="T6905">
        <v>-0.37867060000000002</v>
      </c>
      <c r="U6905">
        <v>0.92234799999999995</v>
      </c>
      <c r="V6905">
        <v>0.4130509</v>
      </c>
      <c r="W6905">
        <v>0.14194289999999901</v>
      </c>
      <c r="X6905">
        <v>0.89957830000000005</v>
      </c>
      <c r="Y6905">
        <v>0.63524179999999997</v>
      </c>
      <c r="Z6905">
        <v>-0.112094</v>
      </c>
      <c r="AA6905">
        <v>0.76413540000000002</v>
      </c>
      <c r="AB6905">
        <v>28</v>
      </c>
      <c r="AC6905">
        <v>8.9053000000000093</v>
      </c>
      <c r="AD6905">
        <v>-1.1098203508610001</v>
      </c>
      <c r="AE6905">
        <v>2.5627999999999802</v>
      </c>
      <c r="AF6905">
        <v>5.9485035306461196</v>
      </c>
      <c r="AG6905">
        <v>-1.1098203508610001</v>
      </c>
      <c r="AH6905">
        <v>6.9337017439242796</v>
      </c>
      <c r="AI6905">
        <v>96.926452733001895</v>
      </c>
      <c r="AJ6905">
        <v>49.373322156644001</v>
      </c>
      <c r="AK6905">
        <v>9.2028590850340208</v>
      </c>
      <c r="AL6905">
        <v>81.839710668466694</v>
      </c>
      <c r="AM6905">
        <v>65.337277732587907</v>
      </c>
      <c r="AN6905">
        <v>0.999999975341054</v>
      </c>
    </row>
    <row r="6906" spans="1:40" x14ac:dyDescent="0.25">
      <c r="A6906" t="str">
        <f>"20190303162438232"</f>
        <v>20190303162438232</v>
      </c>
      <c r="B6906" t="str">
        <f>"1551601478221690"</f>
        <v>1551601478221690</v>
      </c>
      <c r="C6906" t="s">
        <v>40</v>
      </c>
      <c r="D6906">
        <v>5.4931099999999997</v>
      </c>
      <c r="E6906">
        <v>0.61638990000000005</v>
      </c>
      <c r="F6906" t="s">
        <v>55</v>
      </c>
      <c r="G6906">
        <v>-173.73269999999999</v>
      </c>
      <c r="H6906" s="1">
        <v>-3.3228729999999999E-6</v>
      </c>
      <c r="I6906">
        <v>134.4778</v>
      </c>
      <c r="J6906">
        <v>-182.6541</v>
      </c>
      <c r="K6906">
        <v>1.109753</v>
      </c>
      <c r="L6906">
        <v>131.98920000000001</v>
      </c>
      <c r="M6906">
        <v>0.55622150000000004</v>
      </c>
      <c r="N6906">
        <v>-1.4549680000000001E-2</v>
      </c>
      <c r="O6906">
        <v>0.83090659999999905</v>
      </c>
      <c r="P6906">
        <v>0.84162549999999903</v>
      </c>
      <c r="Q6906">
        <v>0.1394658</v>
      </c>
      <c r="R6906">
        <v>0.52174319999999996</v>
      </c>
      <c r="S6906">
        <v>3.0808409999999999</v>
      </c>
      <c r="T6906">
        <v>-0.37910719999999998</v>
      </c>
      <c r="U6906">
        <v>0.89567569999999996</v>
      </c>
      <c r="V6906">
        <v>0.41303339999999999</v>
      </c>
      <c r="W6906">
        <v>0.14172390000000001</v>
      </c>
      <c r="X6906">
        <v>0.89962089999999995</v>
      </c>
      <c r="Y6906">
        <v>0.63542900000000002</v>
      </c>
      <c r="Z6906">
        <v>-0.1120776</v>
      </c>
      <c r="AA6906">
        <v>0.7639821</v>
      </c>
      <c r="AB6906">
        <v>28</v>
      </c>
      <c r="AC6906">
        <v>8.9214000000000002</v>
      </c>
      <c r="AD6906">
        <v>-1.1097563228730001</v>
      </c>
      <c r="AE6906">
        <v>2.4885999999999902</v>
      </c>
      <c r="AF6906">
        <v>5.9439422683497698</v>
      </c>
      <c r="AG6906">
        <v>-1.1097563228730001</v>
      </c>
      <c r="AH6906">
        <v>6.9313047102312098</v>
      </c>
      <c r="AI6906">
        <v>96.929654324905201</v>
      </c>
      <c r="AJ6906">
        <v>49.385251286131698</v>
      </c>
      <c r="AK6906">
        <v>9.1980972908371097</v>
      </c>
      <c r="AL6906">
        <v>81.852386863485094</v>
      </c>
      <c r="AM6906">
        <v>65.339227108093397</v>
      </c>
      <c r="AN6906">
        <v>1.0000000085317899</v>
      </c>
    </row>
    <row r="6907" spans="1:40" x14ac:dyDescent="0.25">
      <c r="A6907" t="str">
        <f>"20190303162438248"</f>
        <v>20190303162438248</v>
      </c>
      <c r="B6907" t="str">
        <f>"1551601478242185"</f>
        <v>1551601478242185</v>
      </c>
      <c r="C6907" t="s">
        <v>40</v>
      </c>
      <c r="D6907">
        <v>5.4790910000000004</v>
      </c>
      <c r="E6907">
        <v>0.61625839999999998</v>
      </c>
      <c r="F6907" t="s">
        <v>55</v>
      </c>
      <c r="G6907">
        <v>-173.6507</v>
      </c>
      <c r="H6907" s="1">
        <v>-3.304612E-6</v>
      </c>
      <c r="I6907">
        <v>134.52549999999999</v>
      </c>
      <c r="J6907">
        <v>-182.536</v>
      </c>
      <c r="K6907">
        <v>1.1096729999999999</v>
      </c>
      <c r="L6907">
        <v>132.14789999999999</v>
      </c>
      <c r="M6907">
        <v>0.56457950000000001</v>
      </c>
      <c r="N6907">
        <v>-1.4575619999999999E-2</v>
      </c>
      <c r="O6907">
        <v>0.82525000000000004</v>
      </c>
      <c r="P6907">
        <v>0.84677400000000003</v>
      </c>
      <c r="Q6907">
        <v>0.139318</v>
      </c>
      <c r="R6907">
        <v>0.51338490000000003</v>
      </c>
      <c r="S6907">
        <v>3.0882869999999998</v>
      </c>
      <c r="T6907">
        <v>-0.38066299999999997</v>
      </c>
      <c r="U6907">
        <v>0.86999509999999902</v>
      </c>
      <c r="V6907">
        <v>0.4129023</v>
      </c>
      <c r="W6907">
        <v>0.141530399999999</v>
      </c>
      <c r="X6907">
        <v>0.8997115</v>
      </c>
      <c r="Y6907">
        <v>0.63399680000000003</v>
      </c>
      <c r="Z6907">
        <v>-0.11229</v>
      </c>
      <c r="AA6907">
        <v>0.76513980000000004</v>
      </c>
      <c r="AB6907">
        <v>28</v>
      </c>
      <c r="AC6907">
        <v>8.8852999999999707</v>
      </c>
      <c r="AD6907">
        <v>-1.109676304612</v>
      </c>
      <c r="AE6907">
        <v>2.3776000000000002</v>
      </c>
      <c r="AF6907">
        <v>5.9049391325402301</v>
      </c>
      <c r="AG6907">
        <v>-1.109676304612</v>
      </c>
      <c r="AH6907">
        <v>6.8791869006983699</v>
      </c>
      <c r="AI6907">
        <v>96.978314674527596</v>
      </c>
      <c r="AJ6907">
        <v>49.357951377827398</v>
      </c>
      <c r="AK6907">
        <v>9.1336137467468106</v>
      </c>
      <c r="AL6907">
        <v>81.863586199958704</v>
      </c>
      <c r="AM6907">
        <v>65.348310849151304</v>
      </c>
      <c r="AN6907">
        <v>0.999999973350849</v>
      </c>
    </row>
    <row r="6908" spans="1:40" x14ac:dyDescent="0.25">
      <c r="A6908" t="str">
        <f>"20190303162438259"</f>
        <v>20190303162438259</v>
      </c>
      <c r="B6908" t="str">
        <f>"1551601478251946"</f>
        <v>1551601478251946</v>
      </c>
      <c r="C6908" t="s">
        <v>40</v>
      </c>
      <c r="D6908">
        <v>5.4886439999999999</v>
      </c>
      <c r="E6908">
        <v>0.616174</v>
      </c>
      <c r="F6908" t="s">
        <v>55</v>
      </c>
      <c r="G6908">
        <v>-173.5898</v>
      </c>
      <c r="H6908" s="1">
        <v>-3.2969569999999998E-6</v>
      </c>
      <c r="I6908">
        <v>134.57650000000001</v>
      </c>
      <c r="J6908">
        <v>-182.43559999999999</v>
      </c>
      <c r="K6908">
        <v>1.1096090000000001</v>
      </c>
      <c r="L6908">
        <v>132.2801</v>
      </c>
      <c r="M6908">
        <v>0.57160040000000001</v>
      </c>
      <c r="N6908">
        <v>-1.4597550000000001E-2</v>
      </c>
      <c r="O6908">
        <v>0.82040219999999897</v>
      </c>
      <c r="P6908">
        <v>0.85104230000000003</v>
      </c>
      <c r="Q6908">
        <v>0.14030689999999901</v>
      </c>
      <c r="R6908">
        <v>0.50600489999999998</v>
      </c>
      <c r="S6908">
        <v>3.0964200000000002</v>
      </c>
      <c r="T6908">
        <v>-0.38407920000000001</v>
      </c>
      <c r="U6908">
        <v>0.840576199999999</v>
      </c>
      <c r="V6908">
        <v>0.41296179999999899</v>
      </c>
      <c r="W6908">
        <v>0.14247199999999999</v>
      </c>
      <c r="X6908">
        <v>0.89953559999999999</v>
      </c>
      <c r="Y6908">
        <v>0.63457719999999995</v>
      </c>
      <c r="Z6908">
        <v>-0.1132235</v>
      </c>
      <c r="AA6908">
        <v>0.76452089999999995</v>
      </c>
      <c r="AB6908">
        <v>28</v>
      </c>
      <c r="AC6908">
        <v>8.8457999999999899</v>
      </c>
      <c r="AD6908">
        <v>-1.1096122969569999</v>
      </c>
      <c r="AE6908">
        <v>2.2964000000000002</v>
      </c>
      <c r="AF6908">
        <v>5.8587572014503797</v>
      </c>
      <c r="AG6908">
        <v>-1.1096122969569999</v>
      </c>
      <c r="AH6908">
        <v>6.8401400612878103</v>
      </c>
      <c r="AI6908">
        <v>97.0237127091697</v>
      </c>
      <c r="AJ6908">
        <v>49.4190888669849</v>
      </c>
      <c r="AK6908">
        <v>9.0743479905246698</v>
      </c>
      <c r="AL6908">
        <v>81.809084473912193</v>
      </c>
      <c r="AM6908">
        <v>65.3409335181491</v>
      </c>
      <c r="AN6908">
        <v>1.0000000073552999</v>
      </c>
    </row>
    <row r="6909" spans="1:40" x14ac:dyDescent="0.25">
      <c r="A6909" t="str">
        <f>"20190303162438275"</f>
        <v>20190303162438275</v>
      </c>
      <c r="B6909" t="str">
        <f>"1551601478261706"</f>
        <v>1551601478261706</v>
      </c>
      <c r="C6909" t="s">
        <v>40</v>
      </c>
      <c r="D6909">
        <v>5.4832349999999996</v>
      </c>
      <c r="E6909">
        <v>0.61609919999999996</v>
      </c>
      <c r="F6909" t="s">
        <v>55</v>
      </c>
      <c r="G6909">
        <v>-173.41239999999999</v>
      </c>
      <c r="H6909" s="1">
        <v>-3.2451270000000002E-6</v>
      </c>
      <c r="I6909">
        <v>134.6472</v>
      </c>
      <c r="J6909">
        <v>-182.32689999999999</v>
      </c>
      <c r="K6909">
        <v>1.1095520000000001</v>
      </c>
      <c r="L6909">
        <v>132.41999999999999</v>
      </c>
      <c r="M6909">
        <v>0.5791075</v>
      </c>
      <c r="N6909">
        <v>-1.462161E-2</v>
      </c>
      <c r="O6909">
        <v>0.81512010000000001</v>
      </c>
      <c r="P6909">
        <v>0.85575429999999997</v>
      </c>
      <c r="Q6909">
        <v>0.14100019999999999</v>
      </c>
      <c r="R6909">
        <v>0.49779889999999999</v>
      </c>
      <c r="S6909">
        <v>3.103882</v>
      </c>
      <c r="T6909">
        <v>-0.38169599999999998</v>
      </c>
      <c r="U6909">
        <v>0.81426999999999905</v>
      </c>
      <c r="V6909">
        <v>0.41330319999999998</v>
      </c>
      <c r="W6909">
        <v>0.14310729999999999</v>
      </c>
      <c r="X6909">
        <v>0.89927789999999996</v>
      </c>
      <c r="Y6909">
        <v>0.63414559999999998</v>
      </c>
      <c r="Z6909">
        <v>-0.11223089999999999</v>
      </c>
      <c r="AA6909">
        <v>0.76502530000000002</v>
      </c>
      <c r="AB6909">
        <v>28</v>
      </c>
      <c r="AC6909">
        <v>8.9145000000000003</v>
      </c>
      <c r="AD6909">
        <v>-1.1095552451270001</v>
      </c>
      <c r="AE6909">
        <v>2.2272000000000101</v>
      </c>
      <c r="AF6909">
        <v>5.8913331444490504</v>
      </c>
      <c r="AG6909">
        <v>-1.1095552451270001</v>
      </c>
      <c r="AH6909">
        <v>6.8783373692883698</v>
      </c>
      <c r="AI6909">
        <v>96.984808945215804</v>
      </c>
      <c r="AJ6909">
        <v>49.419766556921601</v>
      </c>
      <c r="AK6909">
        <v>9.1241681279238591</v>
      </c>
      <c r="AL6909">
        <v>81.772307453568004</v>
      </c>
      <c r="AM6909">
        <v>65.316747336838006</v>
      </c>
      <c r="AN6909">
        <v>0.999999987935969</v>
      </c>
    </row>
    <row r="6910" spans="1:40" x14ac:dyDescent="0.25">
      <c r="A6910" t="str">
        <f>"20190303162438290"</f>
        <v>20190303162438290</v>
      </c>
      <c r="B6910" t="str">
        <f>"1551601478282202"</f>
        <v>1551601478282202</v>
      </c>
      <c r="C6910" t="s">
        <v>40</v>
      </c>
      <c r="D6910">
        <v>5.4433730000000002</v>
      </c>
      <c r="E6910">
        <v>0.6158401</v>
      </c>
      <c r="F6910" t="s">
        <v>55</v>
      </c>
      <c r="G6910">
        <v>-173.25620000000001</v>
      </c>
      <c r="H6910" s="1">
        <v>-3.1993999999999998E-6</v>
      </c>
      <c r="I6910">
        <v>134.70930000000001</v>
      </c>
      <c r="J6910">
        <v>-182.19990000000001</v>
      </c>
      <c r="K6910">
        <v>1.1094759999999999</v>
      </c>
      <c r="L6910">
        <v>132.5805</v>
      </c>
      <c r="M6910">
        <v>0.58777919999999995</v>
      </c>
      <c r="N6910">
        <v>-1.4649509999999999E-2</v>
      </c>
      <c r="O6910">
        <v>0.80888870000000002</v>
      </c>
      <c r="P6910">
        <v>0.8612322</v>
      </c>
      <c r="Q6910">
        <v>0.1414147</v>
      </c>
      <c r="R6910">
        <v>0.48814020000000002</v>
      </c>
      <c r="S6910">
        <v>3.1115569999999999</v>
      </c>
      <c r="T6910">
        <v>-0.38061329999999999</v>
      </c>
      <c r="U6910">
        <v>0.78532409999999997</v>
      </c>
      <c r="V6910">
        <v>0.4138018</v>
      </c>
      <c r="W6910">
        <v>0.1434503</v>
      </c>
      <c r="X6910">
        <v>0.89899390000000001</v>
      </c>
      <c r="Y6910">
        <v>0.63313280000000005</v>
      </c>
      <c r="Z6910">
        <v>-0.11158029999999999</v>
      </c>
      <c r="AA6910">
        <v>0.76595869999999999</v>
      </c>
      <c r="AB6910">
        <v>28</v>
      </c>
      <c r="AC6910">
        <v>8.9436999999999998</v>
      </c>
      <c r="AD6910">
        <v>-1.1094791993999999</v>
      </c>
      <c r="AE6910">
        <v>2.1288000000000098</v>
      </c>
      <c r="AF6910">
        <v>5.89794019914246</v>
      </c>
      <c r="AG6910">
        <v>-1.1094791993999999</v>
      </c>
      <c r="AH6910">
        <v>6.8794424112600803</v>
      </c>
      <c r="AI6910">
        <v>96.980413656609201</v>
      </c>
      <c r="AJ6910">
        <v>49.392583110304301</v>
      </c>
      <c r="AK6910">
        <v>9.1292590376440703</v>
      </c>
      <c r="AL6910">
        <v>81.752450014752796</v>
      </c>
      <c r="AM6910">
        <v>65.283652383012196</v>
      </c>
      <c r="AN6910">
        <v>0.99999997524526896</v>
      </c>
    </row>
    <row r="6911" spans="1:40" x14ac:dyDescent="0.25">
      <c r="A6911" t="str">
        <f>"20190303162438305"</f>
        <v>20190303162438305</v>
      </c>
      <c r="B6911" t="str">
        <f>"1551601478291963"</f>
        <v>1551601478291963</v>
      </c>
      <c r="C6911" t="s">
        <v>40</v>
      </c>
      <c r="D6911">
        <v>5.4303499999999998</v>
      </c>
      <c r="E6911">
        <v>0.6156973</v>
      </c>
      <c r="F6911" t="s">
        <v>55</v>
      </c>
      <c r="G6911">
        <v>-173.1241</v>
      </c>
      <c r="H6911" s="1">
        <v>-3.1630110000000001E-6</v>
      </c>
      <c r="I6911">
        <v>134.76779999999999</v>
      </c>
      <c r="J6911">
        <v>-182.07769999999999</v>
      </c>
      <c r="K6911">
        <v>1.109405</v>
      </c>
      <c r="L6911">
        <v>132.73169999999999</v>
      </c>
      <c r="M6911">
        <v>0.59601359999999903</v>
      </c>
      <c r="N6911">
        <v>-1.467625E-2</v>
      </c>
      <c r="O6911">
        <v>0.802840199999999</v>
      </c>
      <c r="P6911">
        <v>0.86674110000000004</v>
      </c>
      <c r="Q6911">
        <v>0.14176610000000001</v>
      </c>
      <c r="R6911">
        <v>0.47818660000000002</v>
      </c>
      <c r="S6911">
        <v>3.1198579999999998</v>
      </c>
      <c r="T6911">
        <v>-0.38138909999999998</v>
      </c>
      <c r="U6911">
        <v>0.75190729999999995</v>
      </c>
      <c r="V6911">
        <v>0.41496450000000001</v>
      </c>
      <c r="W6911">
        <v>0.14371039999999999</v>
      </c>
      <c r="X6911">
        <v>0.8984162</v>
      </c>
      <c r="Y6911">
        <v>0.63346139999999995</v>
      </c>
      <c r="Z6911">
        <v>-0.111594899999999</v>
      </c>
      <c r="AA6911">
        <v>0.76568480000000005</v>
      </c>
      <c r="AB6911">
        <v>28</v>
      </c>
      <c r="AC6911">
        <v>8.9535999999999891</v>
      </c>
      <c r="AD6911">
        <v>-1.109408163011</v>
      </c>
      <c r="AE6911">
        <v>2.0360999999999998</v>
      </c>
      <c r="AF6911">
        <v>5.8894369908848896</v>
      </c>
      <c r="AG6911">
        <v>-1.109408163011</v>
      </c>
      <c r="AH6911">
        <v>6.8715708171316701</v>
      </c>
      <c r="AI6911">
        <v>96.988760926678793</v>
      </c>
      <c r="AJ6911">
        <v>49.401016730670101</v>
      </c>
      <c r="AK6911">
        <v>9.1178254006432002</v>
      </c>
      <c r="AL6911">
        <v>81.737391076571697</v>
      </c>
      <c r="AM6911">
        <v>65.208517685219903</v>
      </c>
      <c r="AN6911">
        <v>0.99999994187542296</v>
      </c>
    </row>
    <row r="6912" spans="1:40" x14ac:dyDescent="0.25">
      <c r="A6912" t="str">
        <f>"20190303162438319"</f>
        <v>20190303162438319</v>
      </c>
      <c r="B6912" t="str">
        <f>"1551601478311482"</f>
        <v>1551601478311482</v>
      </c>
      <c r="C6912" t="s">
        <v>40</v>
      </c>
      <c r="D6912">
        <v>5.425376</v>
      </c>
      <c r="E6912">
        <v>0.61544140000000003</v>
      </c>
      <c r="F6912" t="s">
        <v>55</v>
      </c>
      <c r="G6912">
        <v>-172.96029999999999</v>
      </c>
      <c r="H6912" s="1">
        <v>-3.1100089999999999E-6</v>
      </c>
      <c r="I6912">
        <v>134.81950000000001</v>
      </c>
      <c r="J6912">
        <v>-181.96600000000001</v>
      </c>
      <c r="K6912">
        <v>1.1093390000000001</v>
      </c>
      <c r="L6912">
        <v>132.86699999999999</v>
      </c>
      <c r="M6912">
        <v>0.60345209999999905</v>
      </c>
      <c r="N6912">
        <v>-1.470101E-2</v>
      </c>
      <c r="O6912">
        <v>0.79726370000000002</v>
      </c>
      <c r="P6912">
        <v>0.87134859999999903</v>
      </c>
      <c r="Q6912">
        <v>0.14142569999999999</v>
      </c>
      <c r="R6912">
        <v>0.46984090000000001</v>
      </c>
      <c r="S6912">
        <v>3.1283110000000001</v>
      </c>
      <c r="T6912">
        <v>-0.38065369999999998</v>
      </c>
      <c r="U6912">
        <v>0.71633910000000001</v>
      </c>
      <c r="V6912">
        <v>0.41529929999999898</v>
      </c>
      <c r="W6912">
        <v>0.14331259999999901</v>
      </c>
      <c r="X6912">
        <v>0.89832509999999999</v>
      </c>
      <c r="Y6912">
        <v>0.63505800000000001</v>
      </c>
      <c r="Z6912">
        <v>-0.11122319999999999</v>
      </c>
      <c r="AA6912">
        <v>0.76441530000000002</v>
      </c>
      <c r="AB6912">
        <v>28</v>
      </c>
      <c r="AC6912">
        <v>9.0056999999999903</v>
      </c>
      <c r="AD6912">
        <v>-1.109342110009</v>
      </c>
      <c r="AE6912">
        <v>1.9524999999999799</v>
      </c>
      <c r="AF6912">
        <v>5.9165794447982298</v>
      </c>
      <c r="AG6912">
        <v>-1.109342110009</v>
      </c>
      <c r="AH6912">
        <v>6.89203792021297</v>
      </c>
      <c r="AI6912">
        <v>96.963052335453298</v>
      </c>
      <c r="AJ6912">
        <v>49.355035127808598</v>
      </c>
      <c r="AK6912">
        <v>9.1507780509255898</v>
      </c>
      <c r="AL6912">
        <v>81.760422199917599</v>
      </c>
      <c r="AM6912">
        <v>65.188709777625107</v>
      </c>
      <c r="AN6912">
        <v>0.99999999759462899</v>
      </c>
    </row>
    <row r="6913" spans="1:40" x14ac:dyDescent="0.25">
      <c r="A6913" t="str">
        <f>"20190303162438331"</f>
        <v>20190303162438331</v>
      </c>
      <c r="B6913" t="str">
        <f>"1551601478322217"</f>
        <v>1551601478322217</v>
      </c>
      <c r="C6913" t="s">
        <v>40</v>
      </c>
      <c r="D6913">
        <v>5.3735019999999896</v>
      </c>
      <c r="E6913">
        <v>0.61530010000000002</v>
      </c>
      <c r="F6913" t="s">
        <v>55</v>
      </c>
      <c r="G6913">
        <v>-172.8948</v>
      </c>
      <c r="H6913" s="1">
        <v>-3.0954E-6</v>
      </c>
      <c r="I6913">
        <v>134.85749999999999</v>
      </c>
      <c r="J6913">
        <v>-181.8698</v>
      </c>
      <c r="K6913">
        <v>1.1092820000000001</v>
      </c>
      <c r="L6913">
        <v>132.98089999999999</v>
      </c>
      <c r="M6913">
        <v>0.60977789999999998</v>
      </c>
      <c r="N6913">
        <v>-1.4722280000000001E-2</v>
      </c>
      <c r="O6913">
        <v>0.79243560000000002</v>
      </c>
      <c r="P6913">
        <v>0.87523009999999901</v>
      </c>
      <c r="Q6913">
        <v>0.14155490000000001</v>
      </c>
      <c r="R6913">
        <v>0.46253070000000002</v>
      </c>
      <c r="S6913">
        <v>3.134293</v>
      </c>
      <c r="T6913">
        <v>-0.38330379999999997</v>
      </c>
      <c r="U6913">
        <v>0.68778989999999995</v>
      </c>
      <c r="V6913">
        <v>0.41567779999999999</v>
      </c>
      <c r="W6913">
        <v>0.14338999999999999</v>
      </c>
      <c r="X6913">
        <v>0.89813770000000004</v>
      </c>
      <c r="Y6913">
        <v>0.63578429999999997</v>
      </c>
      <c r="Z6913">
        <v>-0.1119018</v>
      </c>
      <c r="AA6913">
        <v>0.76371230000000001</v>
      </c>
      <c r="AB6913">
        <v>28</v>
      </c>
      <c r="AC6913">
        <v>8.9749999999999908</v>
      </c>
      <c r="AD6913">
        <v>-1.1092850954</v>
      </c>
      <c r="AE6913">
        <v>1.8765999999999901</v>
      </c>
      <c r="AF6913">
        <v>5.8823507955882599</v>
      </c>
      <c r="AG6913">
        <v>-1.1092850954</v>
      </c>
      <c r="AH6913">
        <v>6.8601873265475</v>
      </c>
      <c r="AI6913">
        <v>96.998141182905997</v>
      </c>
      <c r="AJ6913">
        <v>49.388161849745302</v>
      </c>
      <c r="AK6913">
        <v>9.1046545492158799</v>
      </c>
      <c r="AL6913">
        <v>81.755941469236504</v>
      </c>
      <c r="AM6913">
        <v>65.164266836539895</v>
      </c>
      <c r="AN6913">
        <v>1.0000000268370599</v>
      </c>
    </row>
    <row r="6914" spans="1:40" x14ac:dyDescent="0.25">
      <c r="A6914" t="str">
        <f>"20190303162438343"</f>
        <v>20190303162438343</v>
      </c>
      <c r="B6914" t="str">
        <f>"1551601478331979"</f>
        <v>1551601478331979</v>
      </c>
      <c r="C6914" t="s">
        <v>40</v>
      </c>
      <c r="D6914">
        <v>5.3804509999999999</v>
      </c>
      <c r="E6914">
        <v>0.61513130000000005</v>
      </c>
      <c r="F6914" t="s">
        <v>55</v>
      </c>
      <c r="G6914">
        <v>-172.79400000000001</v>
      </c>
      <c r="H6914" s="1">
        <v>-3.0651990000000001E-6</v>
      </c>
      <c r="I6914">
        <v>134.89580000000001</v>
      </c>
      <c r="J6914">
        <v>-181.7696</v>
      </c>
      <c r="K6914">
        <v>1.109224</v>
      </c>
      <c r="L6914">
        <v>133.09870000000001</v>
      </c>
      <c r="M6914">
        <v>0.61631910000000001</v>
      </c>
      <c r="N6914">
        <v>-1.4743859999999999E-2</v>
      </c>
      <c r="O6914">
        <v>0.78735849999999996</v>
      </c>
      <c r="P6914">
        <v>0.87911430000000002</v>
      </c>
      <c r="Q6914">
        <v>0.14187549999999999</v>
      </c>
      <c r="R6914">
        <v>0.45500489999999999</v>
      </c>
      <c r="S6914">
        <v>3.1396639999999998</v>
      </c>
      <c r="T6914">
        <v>-0.38374229999999998</v>
      </c>
      <c r="U6914">
        <v>0.66241459999999996</v>
      </c>
      <c r="V6914">
        <v>0.41593560000000002</v>
      </c>
      <c r="W6914">
        <v>0.14366080000000001</v>
      </c>
      <c r="X6914">
        <v>0.89797499999999997</v>
      </c>
      <c r="Y6914">
        <v>0.63559390000000004</v>
      </c>
      <c r="Z6914">
        <v>-0.1118072</v>
      </c>
      <c r="AA6914">
        <v>0.76388449999999997</v>
      </c>
      <c r="AB6914">
        <v>28</v>
      </c>
      <c r="AC6914">
        <v>8.9755999999999805</v>
      </c>
      <c r="AD6914">
        <v>-1.1092270651989999</v>
      </c>
      <c r="AE6914">
        <v>1.7970999999999999</v>
      </c>
      <c r="AF6914">
        <v>5.8738245610046196</v>
      </c>
      <c r="AG6914">
        <v>-1.1092270651989999</v>
      </c>
      <c r="AH6914">
        <v>6.8470094362254601</v>
      </c>
      <c r="AI6914">
        <v>97.009723654194303</v>
      </c>
      <c r="AJ6914">
        <v>49.3747905724641</v>
      </c>
      <c r="AK6914">
        <v>9.0892099698153999</v>
      </c>
      <c r="AL6914">
        <v>81.740263018739199</v>
      </c>
      <c r="AM6914">
        <v>65.146765090895798</v>
      </c>
      <c r="AN6914">
        <v>0.99999997471449897</v>
      </c>
    </row>
    <row r="6915" spans="1:40" x14ac:dyDescent="0.25">
      <c r="A6915" t="str">
        <f>"20190303162438356"</f>
        <v>20190303162438356</v>
      </c>
      <c r="B6915" t="str">
        <f>"1551601478351498"</f>
        <v>1551601478351498</v>
      </c>
      <c r="C6915" t="s">
        <v>40</v>
      </c>
      <c r="D6915">
        <v>5.0031470000000002</v>
      </c>
      <c r="E6915">
        <v>0.64810590000000001</v>
      </c>
      <c r="F6915" t="s">
        <v>55</v>
      </c>
      <c r="G6915">
        <v>-172.67449999999999</v>
      </c>
      <c r="H6915" s="1">
        <v>-3.0289049999999998E-6</v>
      </c>
      <c r="I6915">
        <v>134.93969999999999</v>
      </c>
      <c r="J6915">
        <v>-181.66300000000001</v>
      </c>
      <c r="K6915">
        <v>1.109162</v>
      </c>
      <c r="L6915">
        <v>133.22049999999999</v>
      </c>
      <c r="M6915">
        <v>0.6231892</v>
      </c>
      <c r="N6915">
        <v>-1.476717E-2</v>
      </c>
      <c r="O6915">
        <v>0.78193159999999995</v>
      </c>
      <c r="P6915">
        <v>0.88307230000000003</v>
      </c>
      <c r="Q6915">
        <v>0.14265910000000001</v>
      </c>
      <c r="R6915">
        <v>0.44702530000000001</v>
      </c>
      <c r="S6915">
        <v>3.1449280000000002</v>
      </c>
      <c r="T6915">
        <v>-0.38355329999999999</v>
      </c>
      <c r="U6915">
        <v>0.63661190000000001</v>
      </c>
      <c r="V6915">
        <v>0.41615079999999999</v>
      </c>
      <c r="W6915">
        <v>0.14439360000000001</v>
      </c>
      <c r="X6915">
        <v>0.89775780000000005</v>
      </c>
      <c r="Y6915">
        <v>0.63516280000000003</v>
      </c>
      <c r="Z6915">
        <v>-0.1114805</v>
      </c>
      <c r="AA6915">
        <v>0.76429080000000005</v>
      </c>
      <c r="AB6915">
        <v>28</v>
      </c>
      <c r="AC6915">
        <v>8.9884999999999806</v>
      </c>
      <c r="AD6915">
        <v>-1.1091650289049999</v>
      </c>
      <c r="AE6915">
        <v>1.7192000000000001</v>
      </c>
      <c r="AF6915">
        <v>5.8714059378032699</v>
      </c>
      <c r="AG6915">
        <v>-1.1091650289049999</v>
      </c>
      <c r="AH6915">
        <v>6.8460245650650604</v>
      </c>
      <c r="AI6915">
        <v>97.011122328914297</v>
      </c>
      <c r="AJ6915">
        <v>49.382378641513696</v>
      </c>
      <c r="AK6915">
        <v>9.0868975505004794</v>
      </c>
      <c r="AL6915">
        <v>81.697834789733704</v>
      </c>
      <c r="AM6915">
        <v>65.130172649222899</v>
      </c>
      <c r="AN6915">
        <v>1.00000003376121</v>
      </c>
    </row>
    <row r="6916" spans="1:40" x14ac:dyDescent="0.25">
      <c r="A6916" t="str">
        <f>"20190303162438369"</f>
        <v>20190303162438369</v>
      </c>
      <c r="B6916" t="str">
        <f>"1551601478362235"</f>
        <v>1551601478362235</v>
      </c>
      <c r="C6916" t="s">
        <v>40</v>
      </c>
      <c r="D6916">
        <v>5.1044720000000003</v>
      </c>
      <c r="E6916">
        <v>0.64506079999999999</v>
      </c>
      <c r="F6916" t="s">
        <v>41</v>
      </c>
      <c r="G6916">
        <v>-166.196</v>
      </c>
      <c r="H6916" s="1">
        <v>-2.6941420000000001E-6</v>
      </c>
      <c r="I6916">
        <v>134.92160000000001</v>
      </c>
      <c r="J6916">
        <v>-181.5566</v>
      </c>
      <c r="K6916">
        <v>1.1091</v>
      </c>
      <c r="L6916">
        <v>133.34049999999999</v>
      </c>
      <c r="M6916">
        <v>0.62997720000000001</v>
      </c>
      <c r="N6916">
        <v>-1.4790040000000001E-2</v>
      </c>
      <c r="O6916">
        <v>0.77647279999999996</v>
      </c>
      <c r="P6916">
        <v>0.886986099999999</v>
      </c>
      <c r="Q6916">
        <v>0.14309069999999999</v>
      </c>
      <c r="R6916">
        <v>0.43906810000000002</v>
      </c>
      <c r="S6916">
        <v>3.253784</v>
      </c>
      <c r="T6916">
        <v>-0.23333499999999999</v>
      </c>
      <c r="U6916">
        <v>0.35786440000000003</v>
      </c>
      <c r="V6916">
        <v>0.41638229999999998</v>
      </c>
      <c r="W6916">
        <v>0.14477490000000001</v>
      </c>
      <c r="X6916">
        <v>0.89758899999999997</v>
      </c>
      <c r="Y6916">
        <v>0.70022340000000005</v>
      </c>
      <c r="Z6916">
        <v>-6.5946969999999994E-2</v>
      </c>
      <c r="AA6916">
        <v>0.71087149999999999</v>
      </c>
      <c r="AB6916">
        <v>28</v>
      </c>
      <c r="AC6916">
        <v>15.3606</v>
      </c>
      <c r="AD6916">
        <v>-1.1091026941419999</v>
      </c>
      <c r="AE6916">
        <v>1.5811000000000199</v>
      </c>
      <c r="AF6916">
        <v>10.8761188542054</v>
      </c>
      <c r="AG6916">
        <v>-1.1091026941419999</v>
      </c>
      <c r="AH6916">
        <v>10.8497298708199</v>
      </c>
      <c r="AI6916">
        <v>94.129328915891193</v>
      </c>
      <c r="AJ6916">
        <v>44.930406556300298</v>
      </c>
      <c r="AK6916">
        <v>15.4024903306809</v>
      </c>
      <c r="AL6916">
        <v>81.675755650881001</v>
      </c>
      <c r="AM6916">
        <v>65.113899822841503</v>
      </c>
      <c r="AN6916">
        <v>1.00000000217215</v>
      </c>
    </row>
    <row r="6917" spans="1:40" x14ac:dyDescent="0.25">
      <c r="A6917" t="str">
        <f>"20190303162438383"</f>
        <v>20190303162438383</v>
      </c>
      <c r="B6917" t="str">
        <f>"1551601478371994"</f>
        <v>1551601478371994</v>
      </c>
      <c r="C6917" t="s">
        <v>40</v>
      </c>
      <c r="D6917">
        <v>5.038265</v>
      </c>
      <c r="E6917">
        <v>0.64107530000000001</v>
      </c>
      <c r="F6917" t="s">
        <v>41</v>
      </c>
      <c r="G6917">
        <v>-166.8604</v>
      </c>
      <c r="H6917" s="1">
        <v>-2.4353440000000002E-6</v>
      </c>
      <c r="I6917">
        <v>134.93539999999999</v>
      </c>
      <c r="J6917">
        <v>-181.43510000000001</v>
      </c>
      <c r="K6917">
        <v>1.109029</v>
      </c>
      <c r="L6917">
        <v>133.47540000000001</v>
      </c>
      <c r="M6917">
        <v>0.63764379999999998</v>
      </c>
      <c r="N6917">
        <v>-1.481581E-2</v>
      </c>
      <c r="O6917">
        <v>0.77018889999999995</v>
      </c>
      <c r="P6917">
        <v>0.89133660000000003</v>
      </c>
      <c r="Q6917">
        <v>0.14282249999999999</v>
      </c>
      <c r="R6917">
        <v>0.430257</v>
      </c>
      <c r="S6917">
        <v>3.2473299999999998</v>
      </c>
      <c r="T6917">
        <v>-0.24507190000000001</v>
      </c>
      <c r="U6917">
        <v>0.35241699999999998</v>
      </c>
      <c r="V6917">
        <v>0.41642869999999998</v>
      </c>
      <c r="W6917">
        <v>0.1444597</v>
      </c>
      <c r="X6917">
        <v>0.89761829999999998</v>
      </c>
      <c r="Y6917">
        <v>0.69386519999999996</v>
      </c>
      <c r="Z6917">
        <v>-6.9401039999999997E-2</v>
      </c>
      <c r="AA6917">
        <v>0.71675269999999902</v>
      </c>
      <c r="AB6917">
        <v>28</v>
      </c>
      <c r="AC6917">
        <v>14.5747</v>
      </c>
      <c r="AD6917">
        <v>-1.1090314353440001</v>
      </c>
      <c r="AE6917">
        <v>1.45999999999997</v>
      </c>
      <c r="AF6917">
        <v>10.2367585930403</v>
      </c>
      <c r="AG6917">
        <v>-1.1090314353440001</v>
      </c>
      <c r="AH6917">
        <v>10.3596980695529</v>
      </c>
      <c r="AI6917">
        <v>94.354556376979005</v>
      </c>
      <c r="AJ6917">
        <v>45.341992295188597</v>
      </c>
      <c r="AK6917">
        <v>14.606317855950699</v>
      </c>
      <c r="AL6917">
        <v>81.694007461240901</v>
      </c>
      <c r="AM6917">
        <v>65.112176528140907</v>
      </c>
      <c r="AN6917">
        <v>1.00000003980133</v>
      </c>
    </row>
    <row r="6918" spans="1:40" x14ac:dyDescent="0.25">
      <c r="A6918" t="str">
        <f>"20190303162438397"</f>
        <v>20190303162438397</v>
      </c>
      <c r="B6918" t="str">
        <f>"1551601478391516"</f>
        <v>1551601478391516</v>
      </c>
      <c r="C6918" t="s">
        <v>40</v>
      </c>
      <c r="D6918">
        <v>5.280913</v>
      </c>
      <c r="E6918">
        <v>0.62935160000000001</v>
      </c>
      <c r="F6918" t="s">
        <v>41</v>
      </c>
      <c r="G6918">
        <v>-167.09139999999999</v>
      </c>
      <c r="H6918" s="1">
        <v>-2.322784E-6</v>
      </c>
      <c r="I6918">
        <v>135.02500000000001</v>
      </c>
      <c r="J6918">
        <v>-181.30969999999999</v>
      </c>
      <c r="K6918">
        <v>1.108962</v>
      </c>
      <c r="L6918">
        <v>133.61070000000001</v>
      </c>
      <c r="M6918">
        <v>0.64544619999999997</v>
      </c>
      <c r="N6918">
        <v>-1.4842609999999999E-2</v>
      </c>
      <c r="O6918">
        <v>0.76366149999999999</v>
      </c>
      <c r="P6918">
        <v>0.89556049999999998</v>
      </c>
      <c r="Q6918">
        <v>0.14274020000000001</v>
      </c>
      <c r="R6918">
        <v>0.42142220000000002</v>
      </c>
      <c r="S6918">
        <v>3.237015</v>
      </c>
      <c r="T6918">
        <v>-0.2502819</v>
      </c>
      <c r="U6918">
        <v>0.34971619999999998</v>
      </c>
      <c r="V6918">
        <v>0.41620430000000003</v>
      </c>
      <c r="W6918">
        <v>0.14434129999999901</v>
      </c>
      <c r="X6918">
        <v>0.89774140000000002</v>
      </c>
      <c r="Y6918">
        <v>0.68673680000000004</v>
      </c>
      <c r="Z6918">
        <v>-7.0819850000000004E-2</v>
      </c>
      <c r="AA6918">
        <v>0.72344809999999904</v>
      </c>
      <c r="AB6918">
        <v>28</v>
      </c>
      <c r="AC6918">
        <v>14.218299999999999</v>
      </c>
      <c r="AD6918">
        <v>-1.108964322784</v>
      </c>
      <c r="AE6918">
        <v>1.4142999999999899</v>
      </c>
      <c r="AF6918">
        <v>9.8866551453234592</v>
      </c>
      <c r="AG6918">
        <v>-1.108964322784</v>
      </c>
      <c r="AH6918">
        <v>10.1969011184226</v>
      </c>
      <c r="AI6918">
        <v>94.464599843311504</v>
      </c>
      <c r="AJ6918">
        <v>45.885021102522401</v>
      </c>
      <c r="AK6918">
        <v>14.2461413811125</v>
      </c>
      <c r="AL6918">
        <v>81.700863015887094</v>
      </c>
      <c r="AM6918">
        <v>65.126962794607394</v>
      </c>
      <c r="AN6918">
        <v>1.00000002574906</v>
      </c>
    </row>
    <row r="6919" spans="1:40" x14ac:dyDescent="0.25">
      <c r="A6919" t="str">
        <f>"20190303162438416"</f>
        <v>20190303162438416</v>
      </c>
      <c r="B6919" t="str">
        <f>"1551601478412011"</f>
        <v>1551601478412011</v>
      </c>
      <c r="C6919" t="s">
        <v>40</v>
      </c>
      <c r="D6919">
        <v>5.275417</v>
      </c>
      <c r="E6919">
        <v>0.62048570000000003</v>
      </c>
      <c r="F6919" t="s">
        <v>41</v>
      </c>
      <c r="G6919">
        <v>-168.2747</v>
      </c>
      <c r="H6919" s="1">
        <v>-1.8069720000000001E-6</v>
      </c>
      <c r="I6919">
        <v>135.25579999999999</v>
      </c>
      <c r="J6919">
        <v>-181.13929999999999</v>
      </c>
      <c r="K6919">
        <v>1.1088709999999999</v>
      </c>
      <c r="L6919">
        <v>133.79060000000001</v>
      </c>
      <c r="M6919">
        <v>0.65588440000000003</v>
      </c>
      <c r="N6919">
        <v>-1.487779E-2</v>
      </c>
      <c r="O6919">
        <v>0.75471480000000002</v>
      </c>
      <c r="P6919">
        <v>0.90077779999999996</v>
      </c>
      <c r="Q6919">
        <v>0.14293459999999999</v>
      </c>
      <c r="R6919">
        <v>0.41008450000000002</v>
      </c>
      <c r="S6919">
        <v>3.2030789999999998</v>
      </c>
      <c r="T6919">
        <v>-0.27250649999999998</v>
      </c>
      <c r="U6919">
        <v>0.40425109999999997</v>
      </c>
      <c r="V6919">
        <v>0.41520489999999999</v>
      </c>
      <c r="W6919">
        <v>0.144514</v>
      </c>
      <c r="X6919">
        <v>0.89817630000000004</v>
      </c>
      <c r="Y6919">
        <v>0.66285749999999999</v>
      </c>
      <c r="Z6919">
        <v>-7.7032379999999998E-2</v>
      </c>
      <c r="AA6919">
        <v>0.7447724</v>
      </c>
      <c r="AB6919">
        <v>28</v>
      </c>
      <c r="AC6919">
        <v>12.8645999999999</v>
      </c>
      <c r="AD6919">
        <v>-1.108872806972</v>
      </c>
      <c r="AE6919">
        <v>1.4651999999999801</v>
      </c>
      <c r="AF6919">
        <v>8.6853667370025995</v>
      </c>
      <c r="AG6919">
        <v>-1.108872806972</v>
      </c>
      <c r="AH6919">
        <v>9.4750590775533805</v>
      </c>
      <c r="AI6919">
        <v>94.930706661554794</v>
      </c>
      <c r="AJ6919">
        <v>47.489894936123399</v>
      </c>
      <c r="AK6919">
        <v>12.9012378778704</v>
      </c>
      <c r="AL6919">
        <v>81.690863272326794</v>
      </c>
      <c r="AM6919">
        <v>65.190055764540404</v>
      </c>
      <c r="AN6919">
        <v>1.00000003553084</v>
      </c>
    </row>
    <row r="6920" spans="1:40" x14ac:dyDescent="0.25">
      <c r="A6920" t="str">
        <f>"20190303162438433"</f>
        <v>20190303162438433</v>
      </c>
      <c r="B6920" t="str">
        <f>"1551601478421770"</f>
        <v>1551601478421770</v>
      </c>
      <c r="C6920" t="s">
        <v>40</v>
      </c>
      <c r="D6920">
        <v>5.2359499999999999</v>
      </c>
      <c r="E6920">
        <v>0.6180409</v>
      </c>
      <c r="F6920" t="s">
        <v>41</v>
      </c>
      <c r="G6920">
        <v>-168.93010000000001</v>
      </c>
      <c r="H6920" s="1">
        <v>-1.5060230000000001E-6</v>
      </c>
      <c r="I6920">
        <v>135.4409</v>
      </c>
      <c r="J6920">
        <v>-181.00200000000001</v>
      </c>
      <c r="K6920">
        <v>1.108803</v>
      </c>
      <c r="L6920">
        <v>133.93190000000001</v>
      </c>
      <c r="M6920">
        <v>0.66416390000000003</v>
      </c>
      <c r="N6920">
        <v>-1.490526E-2</v>
      </c>
      <c r="O6920">
        <v>0.74743839999999995</v>
      </c>
      <c r="P6920">
        <v>0.90526209999999996</v>
      </c>
      <c r="Q6920">
        <v>0.14240169999999999</v>
      </c>
      <c r="R6920">
        <v>0.40027800000000002</v>
      </c>
      <c r="S6920">
        <v>3.1805569999999999</v>
      </c>
      <c r="T6920">
        <v>-0.28886699999999998</v>
      </c>
      <c r="U6920">
        <v>0.42993160000000002</v>
      </c>
      <c r="V6920">
        <v>0.41512929999999998</v>
      </c>
      <c r="W6920">
        <v>0.14394299999999999</v>
      </c>
      <c r="X6920">
        <v>0.89830290000000002</v>
      </c>
      <c r="Y6920">
        <v>0.64744990000000002</v>
      </c>
      <c r="Z6920">
        <v>-8.1577410000000003E-2</v>
      </c>
      <c r="AA6920">
        <v>0.7577294</v>
      </c>
      <c r="AB6920">
        <v>28</v>
      </c>
      <c r="AC6920">
        <v>12.071899999999999</v>
      </c>
      <c r="AD6920">
        <v>-1.1088045060230001</v>
      </c>
      <c r="AE6920">
        <v>1.5089999999999799</v>
      </c>
      <c r="AF6920">
        <v>7.9555852054311096</v>
      </c>
      <c r="AG6920">
        <v>-1.1088045060230001</v>
      </c>
      <c r="AH6920">
        <v>9.0712690216538299</v>
      </c>
      <c r="AI6920">
        <v>95.250609815356398</v>
      </c>
      <c r="AJ6920">
        <v>48.748943978341003</v>
      </c>
      <c r="AK6920">
        <v>12.116464214310501</v>
      </c>
      <c r="AL6920">
        <v>81.723924640119805</v>
      </c>
      <c r="AM6920">
        <v>65.197104649343402</v>
      </c>
      <c r="AN6920">
        <v>1.0000000115579499</v>
      </c>
    </row>
    <row r="6921" spans="1:40" x14ac:dyDescent="0.25">
      <c r="A6921" t="str">
        <f>"20190303162438451"</f>
        <v>20190303162438451</v>
      </c>
      <c r="B6921" t="str">
        <f>"1551601478441290"</f>
        <v>1551601478441290</v>
      </c>
      <c r="C6921" t="s">
        <v>40</v>
      </c>
      <c r="D6921">
        <v>5.1977760000000002</v>
      </c>
      <c r="E6921">
        <v>0.61256239999999995</v>
      </c>
      <c r="F6921" t="s">
        <v>41</v>
      </c>
      <c r="G6921">
        <v>-168.8235</v>
      </c>
      <c r="H6921" s="1">
        <v>-1.5265459999999999E-6</v>
      </c>
      <c r="I6921">
        <v>135.51769999999999</v>
      </c>
      <c r="J6921">
        <v>-180.84100000000001</v>
      </c>
      <c r="K6921">
        <v>1.108716</v>
      </c>
      <c r="L6921">
        <v>134.09370000000001</v>
      </c>
      <c r="M6921">
        <v>0.67371780000000003</v>
      </c>
      <c r="N6921">
        <v>-1.4936390000000001E-2</v>
      </c>
      <c r="O6921">
        <v>0.73883779999999999</v>
      </c>
      <c r="P6921">
        <v>0.91063799999999995</v>
      </c>
      <c r="Q6921">
        <v>0.14083479999999901</v>
      </c>
      <c r="R6921">
        <v>0.38846370000000002</v>
      </c>
      <c r="S6921">
        <v>3.1765590000000001</v>
      </c>
      <c r="T6921">
        <v>-0.28921390000000002</v>
      </c>
      <c r="U6921">
        <v>0.41363529999999998</v>
      </c>
      <c r="V6921">
        <v>0.41543259999999999</v>
      </c>
      <c r="W6921">
        <v>0.142321</v>
      </c>
      <c r="X6921">
        <v>0.89842109999999997</v>
      </c>
      <c r="Y6921">
        <v>0.64136510000000002</v>
      </c>
      <c r="Z6921">
        <v>-8.1241830000000001E-2</v>
      </c>
      <c r="AA6921">
        <v>0.7629224</v>
      </c>
      <c r="AB6921">
        <v>28</v>
      </c>
      <c r="AC6921">
        <v>12.017499999999901</v>
      </c>
      <c r="AD6921">
        <v>-1.1087175265459901</v>
      </c>
      <c r="AE6921">
        <v>1.42399999999997</v>
      </c>
      <c r="AF6921">
        <v>7.8545628653494903</v>
      </c>
      <c r="AG6921">
        <v>-1.1087175265459901</v>
      </c>
      <c r="AH6921">
        <v>9.0733690997249798</v>
      </c>
      <c r="AI6921">
        <v>95.278381786466198</v>
      </c>
      <c r="AJ6921">
        <v>49.118173315295799</v>
      </c>
      <c r="AK6921">
        <v>12.0519475264059</v>
      </c>
      <c r="AL6921">
        <v>81.8178250853489</v>
      </c>
      <c r="AM6921">
        <v>65.184037811525201</v>
      </c>
      <c r="AN6921">
        <v>0.99999999255448402</v>
      </c>
    </row>
    <row r="6922" spans="1:40" x14ac:dyDescent="0.25">
      <c r="A6922" t="str">
        <f>"20190303162438472"</f>
        <v>20190303162438472</v>
      </c>
      <c r="B6922" t="str">
        <f>"1551601478461786"</f>
        <v>1551601478461786</v>
      </c>
      <c r="C6922" t="s">
        <v>40</v>
      </c>
      <c r="D6922">
        <v>5.2139850000000001</v>
      </c>
      <c r="E6922">
        <v>0.60963619999999996</v>
      </c>
      <c r="F6922" t="s">
        <v>41</v>
      </c>
      <c r="G6922">
        <v>-169.69059999999999</v>
      </c>
      <c r="H6922" s="1">
        <v>-1.1842180000000001E-6</v>
      </c>
      <c r="I6922">
        <v>135.55279999999999</v>
      </c>
      <c r="J6922">
        <v>-180.64750000000001</v>
      </c>
      <c r="K6922">
        <v>1.108627</v>
      </c>
      <c r="L6922">
        <v>134.2824</v>
      </c>
      <c r="M6922">
        <v>0.68497759999999996</v>
      </c>
      <c r="N6922">
        <v>-1.497269E-2</v>
      </c>
      <c r="O6922">
        <v>0.72841029999999996</v>
      </c>
      <c r="P6922">
        <v>0.91666069999999999</v>
      </c>
      <c r="Q6922">
        <v>0.13913320000000001</v>
      </c>
      <c r="R6922">
        <v>0.37466690000000002</v>
      </c>
      <c r="S6922">
        <v>3.1663209999999999</v>
      </c>
      <c r="T6922">
        <v>-0.3148376</v>
      </c>
      <c r="U6922">
        <v>0.41435240000000001</v>
      </c>
      <c r="V6922">
        <v>0.41538170000000002</v>
      </c>
      <c r="W6922">
        <v>0.1405711</v>
      </c>
      <c r="X6922">
        <v>0.89872009999999902</v>
      </c>
      <c r="Y6922">
        <v>0.62825799999999998</v>
      </c>
      <c r="Z6922">
        <v>-8.8192899999999894E-2</v>
      </c>
      <c r="AA6922">
        <v>0.77299019999999996</v>
      </c>
      <c r="AB6922">
        <v>28</v>
      </c>
      <c r="AC6922">
        <v>10.956899999999999</v>
      </c>
      <c r="AD6922">
        <v>-1.1086281842179999</v>
      </c>
      <c r="AE6922">
        <v>1.27039999999999</v>
      </c>
      <c r="AF6922">
        <v>7.0405978460953396</v>
      </c>
      <c r="AG6922">
        <v>-1.1086281842179999</v>
      </c>
      <c r="AH6922">
        <v>8.3472267437981298</v>
      </c>
      <c r="AI6922">
        <v>95.796966619191195</v>
      </c>
      <c r="AJ6922">
        <v>49.8535233267934</v>
      </c>
      <c r="AK6922">
        <v>10.976122666664301</v>
      </c>
      <c r="AL6922">
        <v>81.919105356027202</v>
      </c>
      <c r="AM6922">
        <v>65.193973679162895</v>
      </c>
      <c r="AN6922">
        <v>1.0000000044970501</v>
      </c>
    </row>
    <row r="6923" spans="1:40" x14ac:dyDescent="0.25">
      <c r="A6923" t="str">
        <f>"20190303162438494"</f>
        <v>20190303162438494</v>
      </c>
      <c r="B6923" t="str">
        <f>"1551601478482228"</f>
        <v>1551601478482228</v>
      </c>
      <c r="C6923" t="s">
        <v>40</v>
      </c>
      <c r="D6923">
        <v>5.2469239999999999</v>
      </c>
      <c r="E6923">
        <v>0.58465649999999902</v>
      </c>
      <c r="F6923" t="s">
        <v>41</v>
      </c>
      <c r="G6923">
        <v>-169.47669999999999</v>
      </c>
      <c r="H6923" s="1">
        <v>-1.241311E-6</v>
      </c>
      <c r="I6923">
        <v>135.64699999999999</v>
      </c>
      <c r="J6923">
        <v>-180.4401</v>
      </c>
      <c r="K6923">
        <v>1.108533</v>
      </c>
      <c r="L6923">
        <v>134.47839999999999</v>
      </c>
      <c r="M6923">
        <v>0.69679139999999995</v>
      </c>
      <c r="N6923">
        <v>-1.501017E-2</v>
      </c>
      <c r="O6923">
        <v>0.71711669999999905</v>
      </c>
      <c r="P6923">
        <v>0.92240429999999995</v>
      </c>
      <c r="Q6923">
        <v>0.1383451</v>
      </c>
      <c r="R6923">
        <v>0.36059790000000003</v>
      </c>
      <c r="S6923">
        <v>3.1624759999999998</v>
      </c>
      <c r="T6923">
        <v>-0.3138534</v>
      </c>
      <c r="U6923">
        <v>0.386322</v>
      </c>
      <c r="V6923">
        <v>0.41453279999999998</v>
      </c>
      <c r="W6923">
        <v>0.13976469999999999</v>
      </c>
      <c r="X6923">
        <v>0.89923759999999997</v>
      </c>
      <c r="Y6923">
        <v>0.62225059999999999</v>
      </c>
      <c r="Z6923">
        <v>-8.7289359999999996E-2</v>
      </c>
      <c r="AA6923">
        <v>0.77793630000000003</v>
      </c>
      <c r="AB6923">
        <v>28</v>
      </c>
      <c r="AC6923">
        <v>10.9634</v>
      </c>
      <c r="AD6923">
        <v>-1.108534241311</v>
      </c>
      <c r="AE6923">
        <v>1.1686000000000201</v>
      </c>
      <c r="AF6923">
        <v>6.9780214712139204</v>
      </c>
      <c r="AG6923">
        <v>-1.108534241311</v>
      </c>
      <c r="AH6923">
        <v>8.3933340332043596</v>
      </c>
      <c r="AI6923">
        <v>95.799024020948707</v>
      </c>
      <c r="AJ6923">
        <v>50.260657563623703</v>
      </c>
      <c r="AK6923">
        <v>10.97131204596</v>
      </c>
      <c r="AL6923">
        <v>81.965768810195101</v>
      </c>
      <c r="AM6923">
        <v>65.251125157530097</v>
      </c>
      <c r="AN6923">
        <v>0.99999993744784299</v>
      </c>
    </row>
    <row r="6924" spans="1:40" x14ac:dyDescent="0.25">
      <c r="A6924" t="str">
        <f>"20190303162438508"</f>
        <v>20190303162438508</v>
      </c>
      <c r="B6924" t="str">
        <f>"1551601478501543"</f>
        <v>1551601478501543</v>
      </c>
      <c r="C6924" t="s">
        <v>40</v>
      </c>
      <c r="D6924">
        <v>5.2095560000000001</v>
      </c>
      <c r="E6924">
        <v>0.58347990000000005</v>
      </c>
      <c r="F6924" t="s">
        <v>55</v>
      </c>
      <c r="G6924">
        <v>-172.23070000000001</v>
      </c>
      <c r="H6924" s="1">
        <v>-3.1919840000000001E-6</v>
      </c>
      <c r="I6924">
        <v>135.88820000000001</v>
      </c>
      <c r="J6924">
        <v>-180.316</v>
      </c>
      <c r="K6924">
        <v>1.1084769999999999</v>
      </c>
      <c r="L6924">
        <v>134.59270000000001</v>
      </c>
      <c r="M6924">
        <v>0.70372679999999999</v>
      </c>
      <c r="N6924">
        <v>-1.5031600000000001E-2</v>
      </c>
      <c r="O6924">
        <v>0.71031169999999899</v>
      </c>
      <c r="P6924">
        <v>0.92581389999999997</v>
      </c>
      <c r="Q6924">
        <v>0.13766139999999999</v>
      </c>
      <c r="R6924">
        <v>0.35202020000000001</v>
      </c>
      <c r="S6924">
        <v>3.1067200000000001</v>
      </c>
      <c r="T6924">
        <v>-0.41950730000000003</v>
      </c>
      <c r="U6924">
        <v>0.53350830000000005</v>
      </c>
      <c r="V6924">
        <v>0.41420980000000002</v>
      </c>
      <c r="W6924">
        <v>0.13906589999999999</v>
      </c>
      <c r="X6924">
        <v>0.89949480000000004</v>
      </c>
      <c r="Y6924">
        <v>0.57194129999999999</v>
      </c>
      <c r="Z6924">
        <v>-0.11606660000000001</v>
      </c>
      <c r="AA6924">
        <v>0.81204169999999998</v>
      </c>
      <c r="AB6924">
        <v>28</v>
      </c>
      <c r="AC6924">
        <v>8.0852999999999593</v>
      </c>
      <c r="AD6924">
        <v>-1.1084801919839999</v>
      </c>
      <c r="AE6924">
        <v>1.2955000000000001</v>
      </c>
      <c r="AF6924">
        <v>4.7449966945532998</v>
      </c>
      <c r="AG6924">
        <v>-1.1084801919839999</v>
      </c>
      <c r="AH6924">
        <v>6.4918320584628804</v>
      </c>
      <c r="AI6924">
        <v>97.848883490810195</v>
      </c>
      <c r="AJ6924">
        <v>53.8362596314158</v>
      </c>
      <c r="AK6924">
        <v>8.1171180503075799</v>
      </c>
      <c r="AL6924">
        <v>82.006202390190296</v>
      </c>
      <c r="AM6924">
        <v>65.274326647229699</v>
      </c>
      <c r="AN6924">
        <v>0.99999998909294496</v>
      </c>
    </row>
    <row r="6925" spans="1:40" x14ac:dyDescent="0.25">
      <c r="A6925" t="str">
        <f>"20190303162438520"</f>
        <v>20190303162438520</v>
      </c>
      <c r="B6925" t="str">
        <f>"1551601478511304"</f>
        <v>1551601478511304</v>
      </c>
      <c r="C6925" t="s">
        <v>40</v>
      </c>
      <c r="D6925">
        <v>5.2384570000000004</v>
      </c>
      <c r="E6925">
        <v>0.5836076</v>
      </c>
      <c r="F6925" t="s">
        <v>55</v>
      </c>
      <c r="G6925">
        <v>-172.01220000000001</v>
      </c>
      <c r="H6925" s="1">
        <v>-3.1236430000000002E-6</v>
      </c>
      <c r="I6925">
        <v>135.9633</v>
      </c>
      <c r="J6925">
        <v>-180.19800000000001</v>
      </c>
      <c r="K6925">
        <v>1.1084290000000001</v>
      </c>
      <c r="L6925">
        <v>134.69919999999999</v>
      </c>
      <c r="M6925">
        <v>0.71023349999999996</v>
      </c>
      <c r="N6925">
        <v>-1.505136E-2</v>
      </c>
      <c r="O6925">
        <v>0.70380529999999997</v>
      </c>
      <c r="P6925">
        <v>0.92884469999999997</v>
      </c>
      <c r="Q6925">
        <v>0.13735220000000001</v>
      </c>
      <c r="R6925">
        <v>0.34406679999999901</v>
      </c>
      <c r="S6925">
        <v>3.1070709999999999</v>
      </c>
      <c r="T6925">
        <v>-0.41476639999999998</v>
      </c>
      <c r="U6925">
        <v>0.51286319999999996</v>
      </c>
      <c r="V6925">
        <v>0.413684</v>
      </c>
      <c r="W6925">
        <v>0.1387514</v>
      </c>
      <c r="X6925">
        <v>0.89978530000000001</v>
      </c>
      <c r="Y6925">
        <v>0.56992940000000003</v>
      </c>
      <c r="Z6925">
        <v>-0.1142016</v>
      </c>
      <c r="AA6925">
        <v>0.81371890000000002</v>
      </c>
      <c r="AB6925">
        <v>28</v>
      </c>
      <c r="AC6925">
        <v>8.1857999999999702</v>
      </c>
      <c r="AD6925">
        <v>-1.1084321236429999</v>
      </c>
      <c r="AE6925">
        <v>1.26410000000001</v>
      </c>
      <c r="AF6925">
        <v>4.7783801514654103</v>
      </c>
      <c r="AG6925">
        <v>-1.1084321236429999</v>
      </c>
      <c r="AH6925">
        <v>6.5863174054269003</v>
      </c>
      <c r="AI6925">
        <v>97.757055555117205</v>
      </c>
      <c r="AJ6925">
        <v>54.039075607946501</v>
      </c>
      <c r="AK6925">
        <v>8.2122539908158991</v>
      </c>
      <c r="AL6925">
        <v>82.024398362259703</v>
      </c>
      <c r="AM6925">
        <v>65.308988036090199</v>
      </c>
      <c r="AN6925">
        <v>0.99999999447702503</v>
      </c>
    </row>
    <row r="6926" spans="1:40" x14ac:dyDescent="0.25">
      <c r="A6926" t="str">
        <f>"20190303162438532"</f>
        <v>20190303162438532</v>
      </c>
      <c r="B6926" t="str">
        <f>"1551601478522039"</f>
        <v>1551601478522039</v>
      </c>
      <c r="C6926" t="s">
        <v>40</v>
      </c>
      <c r="D6926">
        <v>5.0970019999999998</v>
      </c>
      <c r="E6926">
        <v>0.5836076</v>
      </c>
      <c r="F6926" t="s">
        <v>55</v>
      </c>
      <c r="G6926">
        <v>-171.77510000000001</v>
      </c>
      <c r="H6926" s="1">
        <v>-3.036744E-6</v>
      </c>
      <c r="I6926">
        <v>136.01150000000001</v>
      </c>
      <c r="J6926">
        <v>-180.08580000000001</v>
      </c>
      <c r="K6926">
        <v>1.1083860000000001</v>
      </c>
      <c r="L6926">
        <v>134.79830000000001</v>
      </c>
      <c r="M6926">
        <v>0.71633579999999997</v>
      </c>
      <c r="N6926">
        <v>-1.5069829999999999E-2</v>
      </c>
      <c r="O6926">
        <v>0.69759300000000002</v>
      </c>
      <c r="P6926">
        <v>0.93166110000000002</v>
      </c>
      <c r="Q6926">
        <v>0.1369349</v>
      </c>
      <c r="R6926">
        <v>0.3365359</v>
      </c>
      <c r="S6926">
        <v>3.1108250000000002</v>
      </c>
      <c r="T6926">
        <v>-0.40937220000000002</v>
      </c>
      <c r="U6926">
        <v>0.48464970000000002</v>
      </c>
      <c r="V6926">
        <v>0.41317549999999997</v>
      </c>
      <c r="W6926">
        <v>0.1383307</v>
      </c>
      <c r="X6926">
        <v>0.90008369999999904</v>
      </c>
      <c r="Y6926">
        <v>0.57041649999999999</v>
      </c>
      <c r="Z6926">
        <v>-0.1122607</v>
      </c>
      <c r="AA6926">
        <v>0.81364769999999997</v>
      </c>
      <c r="AB6926">
        <v>28</v>
      </c>
      <c r="AC6926">
        <v>8.31069999999999</v>
      </c>
      <c r="AD6926">
        <v>-1.1083890367439999</v>
      </c>
      <c r="AE6926">
        <v>1.2132000000000001</v>
      </c>
      <c r="AF6926">
        <v>4.8446127152976599</v>
      </c>
      <c r="AG6926">
        <v>-1.1083890367439999</v>
      </c>
      <c r="AH6926">
        <v>6.6839354863388802</v>
      </c>
      <c r="AI6926">
        <v>97.647286250680196</v>
      </c>
      <c r="AJ6926">
        <v>54.0648589180445</v>
      </c>
      <c r="AK6926">
        <v>8.3290931201144804</v>
      </c>
      <c r="AL6926">
        <v>82.048737623652997</v>
      </c>
      <c r="AM6926">
        <v>65.342927396981295</v>
      </c>
      <c r="AN6926">
        <v>1.00000002168421</v>
      </c>
    </row>
    <row r="6927" spans="1:40" x14ac:dyDescent="0.25">
      <c r="A6927" t="str">
        <f>"20190303162438545"</f>
        <v>20190303162438545</v>
      </c>
      <c r="B6927" t="str">
        <f>"1551601478541560"</f>
        <v>1551601478541560</v>
      </c>
      <c r="C6927" t="s">
        <v>40</v>
      </c>
      <c r="D6927">
        <v>5.1125759999999998</v>
      </c>
      <c r="E6927">
        <v>0.59295140000000002</v>
      </c>
      <c r="F6927" t="s">
        <v>55</v>
      </c>
      <c r="G6927">
        <v>-171.68099999999899</v>
      </c>
      <c r="H6927" s="1">
        <v>-2.9968409999999999E-6</v>
      </c>
      <c r="I6927">
        <v>136.03819999999999</v>
      </c>
      <c r="J6927">
        <v>-179.9573</v>
      </c>
      <c r="K6927">
        <v>1.1083369999999999</v>
      </c>
      <c r="L6927">
        <v>134.91030000000001</v>
      </c>
      <c r="M6927">
        <v>0.72324290000000002</v>
      </c>
      <c r="N6927">
        <v>-1.5090320000000001E-2</v>
      </c>
      <c r="O6927">
        <v>0.69042890000000001</v>
      </c>
      <c r="P6927">
        <v>0.93480549999999996</v>
      </c>
      <c r="Q6927">
        <v>0.1364514</v>
      </c>
      <c r="R6927">
        <v>0.32790229999999998</v>
      </c>
      <c r="S6927">
        <v>3.1144560000000001</v>
      </c>
      <c r="T6927">
        <v>-0.4107189</v>
      </c>
      <c r="U6927">
        <v>0.45947270000000001</v>
      </c>
      <c r="V6927">
        <v>0.4125934</v>
      </c>
      <c r="W6927">
        <v>0.1378433</v>
      </c>
      <c r="X6927">
        <v>0.90042540000000004</v>
      </c>
      <c r="Y6927">
        <v>0.56883779999999995</v>
      </c>
      <c r="Z6927">
        <v>-0.11203299999999999</v>
      </c>
      <c r="AA6927">
        <v>0.81478359999999905</v>
      </c>
      <c r="AB6927">
        <v>28</v>
      </c>
      <c r="AC6927">
        <v>8.2763000000000098</v>
      </c>
      <c r="AD6927">
        <v>-1.1083399968409999</v>
      </c>
      <c r="AE6927">
        <v>1.1278999999999799</v>
      </c>
      <c r="AF6927">
        <v>4.8142449932812497</v>
      </c>
      <c r="AG6927">
        <v>-1.1083399968409999</v>
      </c>
      <c r="AH6927">
        <v>6.6482257349017404</v>
      </c>
      <c r="AI6927">
        <v>97.689971007148699</v>
      </c>
      <c r="AJ6927">
        <v>54.090205885931603</v>
      </c>
      <c r="AK6927">
        <v>8.2827699368110501</v>
      </c>
      <c r="AL6927">
        <v>82.076933489187994</v>
      </c>
      <c r="AM6927">
        <v>65.381776796907502</v>
      </c>
      <c r="AN6927">
        <v>0.99999999502180503</v>
      </c>
    </row>
    <row r="6928" spans="1:40" x14ac:dyDescent="0.25">
      <c r="A6928" t="str">
        <f>"20190303162438557"</f>
        <v>20190303162438557</v>
      </c>
      <c r="B6928" t="str">
        <f>"1551601478551319"</f>
        <v>1551601478551319</v>
      </c>
      <c r="C6928" t="s">
        <v>40</v>
      </c>
      <c r="D6928">
        <v>5.1391359999999997</v>
      </c>
      <c r="E6928">
        <v>0.59295140000000002</v>
      </c>
      <c r="F6928" t="s">
        <v>41</v>
      </c>
      <c r="G6928">
        <v>-163.80779999999999</v>
      </c>
      <c r="H6928" s="1">
        <v>-3.428821E-6</v>
      </c>
      <c r="I6928">
        <v>136.67769999999999</v>
      </c>
      <c r="J6928">
        <v>-179.84180000000001</v>
      </c>
      <c r="K6928">
        <v>1.1082989999999999</v>
      </c>
      <c r="L6928">
        <v>135.00839999999999</v>
      </c>
      <c r="M6928">
        <v>0.72935499999999998</v>
      </c>
      <c r="N6928">
        <v>-1.5108419999999999E-2</v>
      </c>
      <c r="O6928">
        <v>0.68396869999999999</v>
      </c>
      <c r="P6928">
        <v>0.93731469999999995</v>
      </c>
      <c r="Q6928">
        <v>0.13607540000000001</v>
      </c>
      <c r="R6928">
        <v>0.32081870000000001</v>
      </c>
      <c r="S6928">
        <v>3.1206969999999998</v>
      </c>
      <c r="T6928">
        <v>-0.21417420000000001</v>
      </c>
      <c r="U6928">
        <v>0.34153749999999999</v>
      </c>
      <c r="V6928">
        <v>0.41143570000000002</v>
      </c>
      <c r="W6928">
        <v>0.137489</v>
      </c>
      <c r="X6928">
        <v>0.90100910000000001</v>
      </c>
      <c r="Y6928">
        <v>0.59830190000000005</v>
      </c>
      <c r="Z6928">
        <v>-5.6460219999999998E-2</v>
      </c>
      <c r="AA6928">
        <v>0.79927910000000002</v>
      </c>
      <c r="AB6928">
        <v>28</v>
      </c>
      <c r="AC6928">
        <v>16.033999999999999</v>
      </c>
      <c r="AD6928">
        <v>-1.1083024288209999</v>
      </c>
      <c r="AE6928">
        <v>1.66929999999999</v>
      </c>
      <c r="AF6928">
        <v>9.7044845029826696</v>
      </c>
      <c r="AG6928">
        <v>-1.1083024288209999</v>
      </c>
      <c r="AH6928">
        <v>12.7772977959093</v>
      </c>
      <c r="AI6928">
        <v>93.951451605511593</v>
      </c>
      <c r="AJ6928">
        <v>52.782968885968003</v>
      </c>
      <c r="AK6928">
        <v>16.083056074879199</v>
      </c>
      <c r="AL6928">
        <v>82.097428398823297</v>
      </c>
      <c r="AM6928">
        <v>65.456722180263696</v>
      </c>
      <c r="AN6928">
        <v>0.99999997931914897</v>
      </c>
    </row>
    <row r="6929" spans="1:40" x14ac:dyDescent="0.25">
      <c r="A6929" t="str">
        <f>"20190303162438572"</f>
        <v>20190303162438572</v>
      </c>
      <c r="B6929" t="str">
        <f>"1551601478562055"</f>
        <v>1551601478562055</v>
      </c>
      <c r="C6929" t="s">
        <v>40</v>
      </c>
      <c r="D6929">
        <v>4.9847900000000003</v>
      </c>
      <c r="E6929">
        <v>0.59157219999999999</v>
      </c>
      <c r="F6929" t="s">
        <v>41</v>
      </c>
      <c r="G6929">
        <v>-163.72380000000001</v>
      </c>
      <c r="H6929" s="1">
        <v>-3.474125E-6</v>
      </c>
      <c r="I6929">
        <v>136.6463</v>
      </c>
      <c r="J6929">
        <v>-179.69640000000001</v>
      </c>
      <c r="K6929">
        <v>1.108252</v>
      </c>
      <c r="L6929">
        <v>135.12960000000001</v>
      </c>
      <c r="M6929">
        <v>0.73693500000000001</v>
      </c>
      <c r="N6929">
        <v>-1.5130630000000001E-2</v>
      </c>
      <c r="O6929">
        <v>0.67579419999999901</v>
      </c>
      <c r="P6929">
        <v>0.9402952</v>
      </c>
      <c r="Q6929">
        <v>0.13525570000000001</v>
      </c>
      <c r="R6929">
        <v>0.31233159999999999</v>
      </c>
      <c r="S6929">
        <v>3.1231689999999999</v>
      </c>
      <c r="T6929">
        <v>-0.21475449999999999</v>
      </c>
      <c r="U6929">
        <v>0.31736760000000003</v>
      </c>
      <c r="V6929">
        <v>0.4096031</v>
      </c>
      <c r="W6929">
        <v>0.13671249999999999</v>
      </c>
      <c r="X6929">
        <v>0.90196169999999998</v>
      </c>
      <c r="Y6929">
        <v>0.59556249999999999</v>
      </c>
      <c r="Z6929">
        <v>-5.6282039999999998E-2</v>
      </c>
      <c r="AA6929">
        <v>0.80133489999999996</v>
      </c>
      <c r="AB6929">
        <v>28</v>
      </c>
      <c r="AC6929">
        <v>15.9726</v>
      </c>
      <c r="AD6929">
        <v>-1.1082554741249999</v>
      </c>
      <c r="AE6929">
        <v>1.51669999999998</v>
      </c>
      <c r="AF6929">
        <v>9.6316345706020297</v>
      </c>
      <c r="AG6929">
        <v>-1.1082554741249999</v>
      </c>
      <c r="AH6929">
        <v>12.736441970906499</v>
      </c>
      <c r="AI6929">
        <v>93.970169523082703</v>
      </c>
      <c r="AJ6929">
        <v>52.902463558061399</v>
      </c>
      <c r="AK6929">
        <v>16.006672632868302</v>
      </c>
      <c r="AL6929">
        <v>82.142342523858204</v>
      </c>
      <c r="AM6929">
        <v>65.576027141134503</v>
      </c>
      <c r="AN6929">
        <v>0.99999995772637396</v>
      </c>
    </row>
    <row r="6930" spans="1:40" x14ac:dyDescent="0.25">
      <c r="A6930" t="str">
        <f>"20190303162438595"</f>
        <v>20190303162438595</v>
      </c>
      <c r="B6930" t="str">
        <f>"1551601478581575"</f>
        <v>1551601478581575</v>
      </c>
      <c r="C6930" t="s">
        <v>40</v>
      </c>
      <c r="D6930">
        <v>5.0113799999999999</v>
      </c>
      <c r="E6930">
        <v>0.59163929999999998</v>
      </c>
      <c r="F6930" t="s">
        <v>41</v>
      </c>
      <c r="G6930">
        <v>-163.35659999999999</v>
      </c>
      <c r="H6930" s="1">
        <v>-3.639919E-6</v>
      </c>
      <c r="I6930">
        <v>136.69</v>
      </c>
      <c r="J6930">
        <v>-179.47280000000001</v>
      </c>
      <c r="K6930">
        <v>1.1081810000000001</v>
      </c>
      <c r="L6930">
        <v>135.3108</v>
      </c>
      <c r="M6930">
        <v>0.74834669999999903</v>
      </c>
      <c r="N6930">
        <v>-1.516323E-2</v>
      </c>
      <c r="O6930">
        <v>0.66313440000000001</v>
      </c>
      <c r="P6930">
        <v>0.94529229999999997</v>
      </c>
      <c r="Q6930">
        <v>0.13530619999999999</v>
      </c>
      <c r="R6930">
        <v>0.29684139999999998</v>
      </c>
      <c r="S6930">
        <v>3.121918</v>
      </c>
      <c r="T6930">
        <v>-0.2117465</v>
      </c>
      <c r="U6930">
        <v>0.29812620000000001</v>
      </c>
      <c r="V6930">
        <v>0.40906550000000003</v>
      </c>
      <c r="W6930">
        <v>0.13674700000000001</v>
      </c>
      <c r="X6930">
        <v>0.90220049999999996</v>
      </c>
      <c r="Y6930">
        <v>0.58680829999999995</v>
      </c>
      <c r="Z6930">
        <v>-5.4729769999999997E-2</v>
      </c>
      <c r="AA6930">
        <v>0.80787419999999899</v>
      </c>
      <c r="AB6930">
        <v>28</v>
      </c>
      <c r="AC6930">
        <v>16.116199999999999</v>
      </c>
      <c r="AD6930">
        <v>-1.1081846399189901</v>
      </c>
      <c r="AE6930">
        <v>1.37919999999999</v>
      </c>
      <c r="AF6930">
        <v>9.6110842374060805</v>
      </c>
      <c r="AG6930">
        <v>-1.1081846399189901</v>
      </c>
      <c r="AH6930">
        <v>12.915966633349401</v>
      </c>
      <c r="AI6930">
        <v>93.937647552947894</v>
      </c>
      <c r="AJ6930">
        <v>53.346169631969403</v>
      </c>
      <c r="AK6930">
        <v>16.137633267876101</v>
      </c>
      <c r="AL6930">
        <v>82.140347680226</v>
      </c>
      <c r="AM6930">
        <v>65.610049899050793</v>
      </c>
      <c r="AN6930">
        <v>1.0000000337497399</v>
      </c>
    </row>
    <row r="6931" spans="1:40" x14ac:dyDescent="0.25">
      <c r="A6931" t="str">
        <f>"20190303162438617"</f>
        <v>20190303162438617</v>
      </c>
      <c r="B6931" t="str">
        <f>"1551601478611920"</f>
        <v>1551601478611920</v>
      </c>
      <c r="C6931" t="s">
        <v>40</v>
      </c>
      <c r="D6931">
        <v>5.0231729999999999</v>
      </c>
      <c r="E6931">
        <v>0.58850570000000002</v>
      </c>
      <c r="F6931" t="s">
        <v>41</v>
      </c>
      <c r="G6931">
        <v>-161.5796</v>
      </c>
      <c r="H6931" s="1">
        <v>-4.4746280000000002E-6</v>
      </c>
      <c r="I6931">
        <v>136.72</v>
      </c>
      <c r="J6931">
        <v>-179.25020000000001</v>
      </c>
      <c r="K6931">
        <v>1.1081179999999999</v>
      </c>
      <c r="L6931">
        <v>135.48500000000001</v>
      </c>
      <c r="M6931">
        <v>0.75941259999999999</v>
      </c>
      <c r="N6931">
        <v>-1.519354E-2</v>
      </c>
      <c r="O6931">
        <v>0.65043189999999995</v>
      </c>
      <c r="P6931">
        <v>0.95000830000000003</v>
      </c>
      <c r="Q6931">
        <v>0.13493859999999999</v>
      </c>
      <c r="R6931">
        <v>0.28156009999999998</v>
      </c>
      <c r="S6931">
        <v>3.1240540000000001</v>
      </c>
      <c r="T6931">
        <v>-0.19348280000000001</v>
      </c>
      <c r="U6931">
        <v>0.24603269999999999</v>
      </c>
      <c r="V6931">
        <v>0.40845530000000002</v>
      </c>
      <c r="W6931">
        <v>0.13637199999999999</v>
      </c>
      <c r="X6931">
        <v>0.90253369999999999</v>
      </c>
      <c r="Y6931">
        <v>0.58700109999999905</v>
      </c>
      <c r="Z6931">
        <v>-4.9192409999999999E-2</v>
      </c>
      <c r="AA6931">
        <v>0.80809030000000004</v>
      </c>
      <c r="AB6931">
        <v>28</v>
      </c>
      <c r="AC6931">
        <v>17.6706</v>
      </c>
      <c r="AD6931">
        <v>-1.1081224746279901</v>
      </c>
      <c r="AE6931">
        <v>1.2349999999999799</v>
      </c>
      <c r="AF6931">
        <v>10.515713519459601</v>
      </c>
      <c r="AG6931">
        <v>-1.1081224746279901</v>
      </c>
      <c r="AH6931">
        <v>14.1687532667047</v>
      </c>
      <c r="AI6931">
        <v>93.593579558610102</v>
      </c>
      <c r="AJ6931">
        <v>53.418069282397298</v>
      </c>
      <c r="AK6931">
        <v>17.679415583521902</v>
      </c>
      <c r="AL6931">
        <v>82.162037045981506</v>
      </c>
      <c r="AM6931">
        <v>65.650149782598803</v>
      </c>
      <c r="AN6931">
        <v>1.00000006705888</v>
      </c>
    </row>
    <row r="6932" spans="1:40" x14ac:dyDescent="0.25">
      <c r="A6932" t="str">
        <f>"20190303162438641"</f>
        <v>20190303162438641</v>
      </c>
      <c r="B6932" t="str">
        <f>"1551601478631441"</f>
        <v>1551601478631441</v>
      </c>
      <c r="C6932" t="s">
        <v>40</v>
      </c>
      <c r="D6932">
        <v>5.2227699999999997</v>
      </c>
      <c r="E6932">
        <v>0.5820246</v>
      </c>
      <c r="F6932" t="s">
        <v>41</v>
      </c>
      <c r="G6932">
        <v>-153.4777</v>
      </c>
      <c r="H6932" s="1">
        <v>-3.1960139999999999E-6</v>
      </c>
      <c r="I6932">
        <v>137.27279999999999</v>
      </c>
      <c r="J6932">
        <v>-179.0223</v>
      </c>
      <c r="K6932">
        <v>1.1080639999999999</v>
      </c>
      <c r="L6932">
        <v>135.65700000000001</v>
      </c>
      <c r="M6932">
        <v>0.77042909999999998</v>
      </c>
      <c r="N6932">
        <v>-1.5222070000000001E-2</v>
      </c>
      <c r="O6932">
        <v>0.63734389999999996</v>
      </c>
      <c r="P6932">
        <v>0.95463659999999995</v>
      </c>
      <c r="Q6932">
        <v>0.13345479999999901</v>
      </c>
      <c r="R6932">
        <v>0.26619310000000002</v>
      </c>
      <c r="S6932">
        <v>3.1128849999999999</v>
      </c>
      <c r="T6932">
        <v>-0.13384270000000001</v>
      </c>
      <c r="U6932">
        <v>0.21594240000000001</v>
      </c>
      <c r="V6932">
        <v>0.40768300000000002</v>
      </c>
      <c r="W6932">
        <v>0.13489279999999901</v>
      </c>
      <c r="X6932">
        <v>0.90310489999999999</v>
      </c>
      <c r="Y6932">
        <v>0.58170529999999998</v>
      </c>
      <c r="Z6932">
        <v>-3.1989389999999999E-2</v>
      </c>
      <c r="AA6932">
        <v>0.81277029999999995</v>
      </c>
      <c r="AB6932">
        <v>27</v>
      </c>
      <c r="AC6932">
        <v>25.544599999999999</v>
      </c>
      <c r="AD6932">
        <v>-1.1080671960139901</v>
      </c>
      <c r="AE6932">
        <v>1.6157999999999699</v>
      </c>
      <c r="AF6932">
        <v>15.009448602339001</v>
      </c>
      <c r="AG6932">
        <v>-1.1080671960139901</v>
      </c>
      <c r="AH6932">
        <v>20.673778359716199</v>
      </c>
      <c r="AI6932">
        <v>92.483496731349703</v>
      </c>
      <c r="AJ6932">
        <v>54.0198321993295</v>
      </c>
      <c r="AK6932">
        <v>25.571790549818999</v>
      </c>
      <c r="AL6932">
        <v>82.2475787500032</v>
      </c>
      <c r="AM6932">
        <v>65.7044531433571</v>
      </c>
      <c r="AN6932">
        <v>0.99999997819242403</v>
      </c>
    </row>
    <row r="6933" spans="1:40" x14ac:dyDescent="0.25">
      <c r="A6933" t="str">
        <f>"20190303162438661"</f>
        <v>20190303162438661</v>
      </c>
      <c r="B6933" t="str">
        <f>"1551601478651936"</f>
        <v>1551601478651936</v>
      </c>
      <c r="C6933" t="s">
        <v>40</v>
      </c>
      <c r="D6933">
        <v>5.2734059999999996</v>
      </c>
      <c r="E6933">
        <v>0.57922209999999996</v>
      </c>
      <c r="F6933" t="s">
        <v>41</v>
      </c>
      <c r="G6933">
        <v>-161.0461</v>
      </c>
      <c r="H6933" s="1">
        <v>-4.6893869999999998E-6</v>
      </c>
      <c r="I6933">
        <v>136.93100000000001</v>
      </c>
      <c r="J6933">
        <v>-178.80549999999999</v>
      </c>
      <c r="K6933">
        <v>1.108012</v>
      </c>
      <c r="L6933">
        <v>135.815</v>
      </c>
      <c r="M6933">
        <v>0.78062749999999903</v>
      </c>
      <c r="N6933">
        <v>-1.524694E-2</v>
      </c>
      <c r="O6933">
        <v>0.62481059999999999</v>
      </c>
      <c r="P6933">
        <v>0.95862979999999998</v>
      </c>
      <c r="Q6933">
        <v>0.13263639999999999</v>
      </c>
      <c r="R6933">
        <v>0.25186619999999998</v>
      </c>
      <c r="S6933">
        <v>3.1079409999999998</v>
      </c>
      <c r="T6933">
        <v>-0.19157540000000001</v>
      </c>
      <c r="U6933">
        <v>0.2202606</v>
      </c>
      <c r="V6933">
        <v>0.40667310000000001</v>
      </c>
      <c r="W6933">
        <v>0.13409370000000001</v>
      </c>
      <c r="X6933">
        <v>0.90367909999999996</v>
      </c>
      <c r="Y6933">
        <v>0.5663224</v>
      </c>
      <c r="Z6933">
        <v>-4.7452349999999997E-2</v>
      </c>
      <c r="AA6933">
        <v>0.82281659999999901</v>
      </c>
      <c r="AB6933">
        <v>27</v>
      </c>
      <c r="AC6933">
        <v>17.759399999999999</v>
      </c>
      <c r="AD6933">
        <v>-1.108016689387</v>
      </c>
      <c r="AE6933">
        <v>1.1160000000000101</v>
      </c>
      <c r="AF6933">
        <v>10.186772823168599</v>
      </c>
      <c r="AG6933">
        <v>-1.108016689387</v>
      </c>
      <c r="AH6933">
        <v>14.5062127622733</v>
      </c>
      <c r="AI6933">
        <v>93.5768503366115</v>
      </c>
      <c r="AJ6933">
        <v>54.9221197187317</v>
      </c>
      <c r="AK6933">
        <v>17.760299835282801</v>
      </c>
      <c r="AL6933">
        <v>82.293783952505095</v>
      </c>
      <c r="AM6933">
        <v>65.771331723328402</v>
      </c>
      <c r="AN6933">
        <v>1.0000000232100501</v>
      </c>
    </row>
    <row r="6934" spans="1:40" x14ac:dyDescent="0.25">
      <c r="A6934" t="str">
        <f>"20190303162438684"</f>
        <v>20190303162438684</v>
      </c>
      <c r="B6934" t="str">
        <f>"1551601478671457"</f>
        <v>1551601478671457</v>
      </c>
      <c r="C6934" t="s">
        <v>40</v>
      </c>
      <c r="D6934">
        <v>5.0391459999999997</v>
      </c>
      <c r="E6934">
        <v>0.57862040000000003</v>
      </c>
      <c r="F6934" t="s">
        <v>41</v>
      </c>
      <c r="G6934">
        <v>-162.22110000000001</v>
      </c>
      <c r="H6934" s="1">
        <v>-4.1465839999999998E-6</v>
      </c>
      <c r="I6934">
        <v>136.85980000000001</v>
      </c>
      <c r="J6934">
        <v>-178.5711</v>
      </c>
      <c r="K6934">
        <v>1.107969</v>
      </c>
      <c r="L6934">
        <v>135.97970000000001</v>
      </c>
      <c r="M6934">
        <v>0.79133739999999997</v>
      </c>
      <c r="N6934">
        <v>-1.5271130000000001E-2</v>
      </c>
      <c r="O6934">
        <v>0.61118909999999904</v>
      </c>
      <c r="P6934">
        <v>0.96281719999999904</v>
      </c>
      <c r="Q6934">
        <v>0.13144719999999999</v>
      </c>
      <c r="R6934">
        <v>0.2360189</v>
      </c>
      <c r="S6934">
        <v>3.1067499999999999</v>
      </c>
      <c r="T6934">
        <v>-0.2075639</v>
      </c>
      <c r="U6934">
        <v>0.1957092</v>
      </c>
      <c r="V6934">
        <v>0.40599449999999998</v>
      </c>
      <c r="W6934">
        <v>0.1329166</v>
      </c>
      <c r="X6934">
        <v>0.90415789999999996</v>
      </c>
      <c r="Y6934">
        <v>0.55817359999999905</v>
      </c>
      <c r="Z6934">
        <v>-5.1157910000000001E-2</v>
      </c>
      <c r="AA6934">
        <v>0.82814560000000004</v>
      </c>
      <c r="AB6934">
        <v>27</v>
      </c>
      <c r="AC6934">
        <v>16.349999999999898</v>
      </c>
      <c r="AD6934">
        <v>-1.1079731465839999</v>
      </c>
      <c r="AE6934">
        <v>0.880099999999998</v>
      </c>
      <c r="AF6934">
        <v>9.2551898853480701</v>
      </c>
      <c r="AG6934">
        <v>-1.1079731465839999</v>
      </c>
      <c r="AH6934">
        <v>13.41641115489</v>
      </c>
      <c r="AI6934">
        <v>93.8888597791926</v>
      </c>
      <c r="AJ6934">
        <v>55.4004983376458</v>
      </c>
      <c r="AK6934">
        <v>16.336653041074801</v>
      </c>
      <c r="AL6934">
        <v>82.361835312985704</v>
      </c>
      <c r="AM6934">
        <v>65.818464039764095</v>
      </c>
      <c r="AN6934">
        <v>0.999999932359107</v>
      </c>
    </row>
    <row r="6935" spans="1:40" x14ac:dyDescent="0.25">
      <c r="A6935" t="str">
        <f>"20190303162438707"</f>
        <v>20190303162438707</v>
      </c>
      <c r="B6935" t="str">
        <f>"1551601478701243"</f>
        <v>1551601478701243</v>
      </c>
      <c r="C6935" t="s">
        <v>40</v>
      </c>
      <c r="D6935">
        <v>5.0871659999999999</v>
      </c>
      <c r="E6935">
        <v>0.55310700000000002</v>
      </c>
      <c r="F6935" t="s">
        <v>41</v>
      </c>
      <c r="G6935">
        <v>-162.2508</v>
      </c>
      <c r="H6935" s="1">
        <v>-4.1491779999999998E-6</v>
      </c>
      <c r="I6935">
        <v>136.76589999999999</v>
      </c>
      <c r="J6935">
        <v>-178.34119999999999</v>
      </c>
      <c r="K6935">
        <v>1.1079300000000001</v>
      </c>
      <c r="L6935">
        <v>136.1352</v>
      </c>
      <c r="M6935">
        <v>0.80152730000000005</v>
      </c>
      <c r="N6935">
        <v>-1.529226E-2</v>
      </c>
      <c r="O6935">
        <v>0.59776280000000004</v>
      </c>
      <c r="P6935">
        <v>0.96618280000000001</v>
      </c>
      <c r="Q6935">
        <v>0.130242</v>
      </c>
      <c r="R6935">
        <v>0.22254930000000001</v>
      </c>
      <c r="S6935">
        <v>3.1079409999999998</v>
      </c>
      <c r="T6935">
        <v>-0.21099570000000001</v>
      </c>
      <c r="U6935">
        <v>0.1497192</v>
      </c>
      <c r="V6935">
        <v>0.4034451</v>
      </c>
      <c r="W6935">
        <v>0.13179969999999999</v>
      </c>
      <c r="X6935">
        <v>0.90546170000000004</v>
      </c>
      <c r="Y6935">
        <v>0.55637669999999995</v>
      </c>
      <c r="Z6935">
        <v>-5.158898E-2</v>
      </c>
      <c r="AA6935">
        <v>0.82932719999999904</v>
      </c>
      <c r="AB6935">
        <v>27</v>
      </c>
      <c r="AC6935">
        <v>16.090399999999899</v>
      </c>
      <c r="AD6935">
        <v>-1.1079341491779999</v>
      </c>
      <c r="AE6935">
        <v>0.63069999999999005</v>
      </c>
      <c r="AF6935">
        <v>9.0708426514811595</v>
      </c>
      <c r="AG6935">
        <v>-1.1079341491779999</v>
      </c>
      <c r="AH6935">
        <v>13.212904899144</v>
      </c>
      <c r="AI6935">
        <v>93.954549989712007</v>
      </c>
      <c r="AJ6935">
        <v>55.529860947034599</v>
      </c>
      <c r="AK6935">
        <v>16.065134931293599</v>
      </c>
      <c r="AL6935">
        <v>82.426397508051195</v>
      </c>
      <c r="AM6935">
        <v>65.983758994648795</v>
      </c>
      <c r="AN6935">
        <v>0.99999999990049404</v>
      </c>
    </row>
    <row r="6936" spans="1:40" x14ac:dyDescent="0.25">
      <c r="A6936" t="str">
        <f>"20190303162438728"</f>
        <v>20190303162438728</v>
      </c>
      <c r="B6936" t="str">
        <f>"1551601478721739"</f>
        <v>1551601478721739</v>
      </c>
      <c r="C6936" t="s">
        <v>40</v>
      </c>
      <c r="D6936">
        <v>5.2241669999999996</v>
      </c>
      <c r="E6936">
        <v>0.5425392</v>
      </c>
      <c r="F6936" t="s">
        <v>41</v>
      </c>
      <c r="G6936">
        <v>-157.2638</v>
      </c>
      <c r="H6936" s="1">
        <v>-1.405671E-6</v>
      </c>
      <c r="I6936">
        <v>138.20939999999999</v>
      </c>
      <c r="J6936">
        <v>-178.10910000000001</v>
      </c>
      <c r="K6936">
        <v>1.1079030000000001</v>
      </c>
      <c r="L6936">
        <v>136.28649999999999</v>
      </c>
      <c r="M6936">
        <v>0.81150239999999996</v>
      </c>
      <c r="N6936">
        <v>-1.5310580000000001E-2</v>
      </c>
      <c r="O6936">
        <v>0.58414840000000001</v>
      </c>
      <c r="P6936">
        <v>0.96902999999999995</v>
      </c>
      <c r="Q6936">
        <v>0.1292605</v>
      </c>
      <c r="R6936">
        <v>0.21041070000000001</v>
      </c>
      <c r="S6936">
        <v>3.0573579999999998</v>
      </c>
      <c r="T6936">
        <v>-0.1607094</v>
      </c>
      <c r="U6936">
        <v>0.3008728</v>
      </c>
      <c r="V6936">
        <v>0.39956459999999999</v>
      </c>
      <c r="W6936">
        <v>0.1309612</v>
      </c>
      <c r="X6936">
        <v>0.90730219999999995</v>
      </c>
      <c r="Y6936">
        <v>0.50075639999999999</v>
      </c>
      <c r="Z6936">
        <v>-3.632444E-2</v>
      </c>
      <c r="AA6936">
        <v>0.86482569999999903</v>
      </c>
      <c r="AB6936">
        <v>27</v>
      </c>
      <c r="AC6936">
        <v>20.845300000000002</v>
      </c>
      <c r="AD6936">
        <v>-1.1079044056709999</v>
      </c>
      <c r="AE6936">
        <v>1.9228999999999901</v>
      </c>
      <c r="AF6936">
        <v>10.587899286750901</v>
      </c>
      <c r="AG6936">
        <v>-1.1079044056709999</v>
      </c>
      <c r="AH6936">
        <v>17.990993208595</v>
      </c>
      <c r="AI6936">
        <v>93.037975659535405</v>
      </c>
      <c r="AJ6936">
        <v>59.522716127819002</v>
      </c>
      <c r="AK6936">
        <v>20.904709998232399</v>
      </c>
      <c r="AL6936">
        <v>82.474860047160305</v>
      </c>
      <c r="AM6936">
        <v>66.231904425777799</v>
      </c>
      <c r="AN6936">
        <v>0.99999999380172</v>
      </c>
    </row>
    <row r="6937" spans="1:40" x14ac:dyDescent="0.25">
      <c r="A6937" t="str">
        <f>"20190303162438751"</f>
        <v>20190303162438751</v>
      </c>
      <c r="B6937" t="str">
        <f>"1551601478741259"</f>
        <v>1551601478741259</v>
      </c>
      <c r="C6937" t="s">
        <v>40</v>
      </c>
      <c r="D6937">
        <v>5.2014990000000001</v>
      </c>
      <c r="E6937">
        <v>0.53867449999999995</v>
      </c>
      <c r="F6937" t="s">
        <v>41</v>
      </c>
      <c r="G6937">
        <v>-160.44630000000001</v>
      </c>
      <c r="H6937" s="1">
        <v>-4.7308490000000004E-6</v>
      </c>
      <c r="I6937">
        <v>138.2955</v>
      </c>
      <c r="J6937">
        <v>-177.87090000000001</v>
      </c>
      <c r="K6937">
        <v>1.10788</v>
      </c>
      <c r="L6937">
        <v>136.43610000000001</v>
      </c>
      <c r="M6937">
        <v>0.82141690000000001</v>
      </c>
      <c r="N6937">
        <v>-1.532647E-2</v>
      </c>
      <c r="O6937">
        <v>0.57012240000000003</v>
      </c>
      <c r="P6937">
        <v>0.97170849999999998</v>
      </c>
      <c r="Q6937">
        <v>0.12899920000000001</v>
      </c>
      <c r="R6937">
        <v>0.1978432</v>
      </c>
      <c r="S6937">
        <v>3.0461429999999998</v>
      </c>
      <c r="T6937">
        <v>-0.19107089999999999</v>
      </c>
      <c r="U6937">
        <v>0.34648129999999999</v>
      </c>
      <c r="V6937">
        <v>0.39573599999999998</v>
      </c>
      <c r="W6937">
        <v>0.13084489999999999</v>
      </c>
      <c r="X6937">
        <v>0.90899540000000001</v>
      </c>
      <c r="Y6937">
        <v>0.47207539999999998</v>
      </c>
      <c r="Z6937">
        <v>-4.2761189999999998E-2</v>
      </c>
      <c r="AA6937">
        <v>0.88052050000000004</v>
      </c>
      <c r="AB6937">
        <v>27</v>
      </c>
      <c r="AC6937">
        <v>17.424599999999899</v>
      </c>
      <c r="AD6937">
        <v>-1.1078847308490001</v>
      </c>
      <c r="AE6937">
        <v>1.8593999999999899</v>
      </c>
      <c r="AF6937">
        <v>8.3743259105658705</v>
      </c>
      <c r="AG6937">
        <v>-1.1078847308490001</v>
      </c>
      <c r="AH6937">
        <v>15.3135411358149</v>
      </c>
      <c r="AI6937">
        <v>93.632000090921807</v>
      </c>
      <c r="AJ6937">
        <v>61.327622220214501</v>
      </c>
      <c r="AK6937">
        <v>17.488890335053199</v>
      </c>
      <c r="AL6937">
        <v>82.4815814547608</v>
      </c>
      <c r="AM6937">
        <v>66.473842118573501</v>
      </c>
      <c r="AN6937">
        <v>1.0000000033865799</v>
      </c>
    </row>
    <row r="6938" spans="1:40" x14ac:dyDescent="0.25">
      <c r="A6938" t="str">
        <f>"20190303162438774"</f>
        <v>20190303162438774</v>
      </c>
      <c r="B6938" t="str">
        <f>"1551601478761755"</f>
        <v>1551601478761755</v>
      </c>
      <c r="C6938" t="s">
        <v>40</v>
      </c>
      <c r="D6938">
        <v>5.2494189999999996</v>
      </c>
      <c r="E6938">
        <v>0.53691529999999998</v>
      </c>
      <c r="F6938" t="s">
        <v>41</v>
      </c>
      <c r="G6938">
        <v>-161.4135</v>
      </c>
      <c r="H6938" s="1">
        <v>-4.2804270000000002E-6</v>
      </c>
      <c r="I6938">
        <v>138.25720000000001</v>
      </c>
      <c r="J6938">
        <v>-177.62780000000001</v>
      </c>
      <c r="K6938">
        <v>1.107872</v>
      </c>
      <c r="L6938">
        <v>136.5829</v>
      </c>
      <c r="M6938">
        <v>0.83120319999999903</v>
      </c>
      <c r="N6938">
        <v>-1.534026E-2</v>
      </c>
      <c r="O6938">
        <v>0.5557571</v>
      </c>
      <c r="P6938">
        <v>0.97439410000000004</v>
      </c>
      <c r="Q6938">
        <v>0.12887750000000001</v>
      </c>
      <c r="R6938">
        <v>0.18424689999999999</v>
      </c>
      <c r="S6938">
        <v>3.045944</v>
      </c>
      <c r="T6938">
        <v>-0.20504829999999999</v>
      </c>
      <c r="U6938">
        <v>0.3370667</v>
      </c>
      <c r="V6938">
        <v>0.39263629999999999</v>
      </c>
      <c r="W6938">
        <v>0.1308425</v>
      </c>
      <c r="X6938">
        <v>0.91033889999999995</v>
      </c>
      <c r="Y6938">
        <v>0.459177</v>
      </c>
      <c r="Z6938">
        <v>-4.5240170000000003E-2</v>
      </c>
      <c r="AA6938">
        <v>0.88719210000000004</v>
      </c>
      <c r="AB6938">
        <v>27</v>
      </c>
      <c r="AC6938">
        <v>16.214300000000001</v>
      </c>
      <c r="AD6938">
        <v>-1.1078762804269999</v>
      </c>
      <c r="AE6938">
        <v>1.6743000000000099</v>
      </c>
      <c r="AF6938">
        <v>7.5853859013923799</v>
      </c>
      <c r="AG6938">
        <v>-1.1078762804269999</v>
      </c>
      <c r="AH6938">
        <v>14.3433207811694</v>
      </c>
      <c r="AI6938">
        <v>93.906074674435303</v>
      </c>
      <c r="AJ6938">
        <v>62.1281227879496</v>
      </c>
      <c r="AK6938">
        <v>16.2633428346481</v>
      </c>
      <c r="AL6938">
        <v>82.481719892256805</v>
      </c>
      <c r="AM6938">
        <v>66.669084924801595</v>
      </c>
      <c r="AN6938">
        <v>0.99999996836857397</v>
      </c>
    </row>
    <row r="6939" spans="1:40" x14ac:dyDescent="0.25">
      <c r="A6939" t="str">
        <f>"20190303162438796"</f>
        <v>20190303162438796</v>
      </c>
      <c r="B6939" t="str">
        <f>"1551601478791543"</f>
        <v>1551601478791543</v>
      </c>
      <c r="C6939" t="s">
        <v>40</v>
      </c>
      <c r="D6939">
        <v>5.2439359999999997</v>
      </c>
      <c r="E6939">
        <v>0.53482369999999901</v>
      </c>
      <c r="F6939" t="s">
        <v>41</v>
      </c>
      <c r="G6939">
        <v>-161.83750000000001</v>
      </c>
      <c r="H6939" s="1">
        <v>-4.0936750000000002E-6</v>
      </c>
      <c r="I6939">
        <v>138.18020000000001</v>
      </c>
      <c r="J6939">
        <v>-177.38210000000001</v>
      </c>
      <c r="K6939">
        <v>1.107866</v>
      </c>
      <c r="L6939">
        <v>136.72569999999999</v>
      </c>
      <c r="M6939">
        <v>0.84076329999999999</v>
      </c>
      <c r="N6939">
        <v>-1.53522E-2</v>
      </c>
      <c r="O6939">
        <v>0.54118529999999998</v>
      </c>
      <c r="P6939">
        <v>0.97692789999999996</v>
      </c>
      <c r="Q6939">
        <v>0.12846579999999999</v>
      </c>
      <c r="R6939">
        <v>0.1706116</v>
      </c>
      <c r="S6939">
        <v>3.048813</v>
      </c>
      <c r="T6939">
        <v>-0.21391009999999999</v>
      </c>
      <c r="U6939">
        <v>0.30841059999999998</v>
      </c>
      <c r="V6939">
        <v>0.38950309999999999</v>
      </c>
      <c r="W6939">
        <v>0.13055369999999999</v>
      </c>
      <c r="X6939">
        <v>0.91172529999999996</v>
      </c>
      <c r="Y6939">
        <v>0.45188970000000001</v>
      </c>
      <c r="Z6939">
        <v>-4.6519640000000001E-2</v>
      </c>
      <c r="AA6939">
        <v>0.89086010000000004</v>
      </c>
      <c r="AB6939">
        <v>27</v>
      </c>
      <c r="AC6939">
        <v>15.544600000000001</v>
      </c>
      <c r="AD6939">
        <v>-1.1078700936749999</v>
      </c>
      <c r="AE6939">
        <v>1.4545000000000201</v>
      </c>
      <c r="AF6939">
        <v>7.1544403127841099</v>
      </c>
      <c r="AG6939">
        <v>-1.1078700936749999</v>
      </c>
      <c r="AH6939">
        <v>13.788684062218699</v>
      </c>
      <c r="AI6939">
        <v>94.0793003407193</v>
      </c>
      <c r="AJ6939">
        <v>62.576863956300699</v>
      </c>
      <c r="AK6939">
        <v>15.5737343145866</v>
      </c>
      <c r="AL6939">
        <v>82.498410152066199</v>
      </c>
      <c r="AM6939">
        <v>66.867079739185598</v>
      </c>
      <c r="AN6939">
        <v>0.99999997807669405</v>
      </c>
    </row>
    <row r="6940" spans="1:40" x14ac:dyDescent="0.25">
      <c r="A6940" t="str">
        <f>"20190303162438819"</f>
        <v>20190303162438819</v>
      </c>
      <c r="B6940" t="str">
        <f>"1551601478812038"</f>
        <v>1551601478812038</v>
      </c>
      <c r="C6940" t="s">
        <v>40</v>
      </c>
      <c r="D6940">
        <v>5.2985290000000003</v>
      </c>
      <c r="E6940">
        <v>0.53365810000000002</v>
      </c>
      <c r="F6940" t="s">
        <v>41</v>
      </c>
      <c r="G6940">
        <v>-161.8528</v>
      </c>
      <c r="H6940" s="1">
        <v>-4.089969E-6</v>
      </c>
      <c r="I6940">
        <v>138.1602</v>
      </c>
      <c r="J6940">
        <v>-177.1317</v>
      </c>
      <c r="K6940">
        <v>1.107864</v>
      </c>
      <c r="L6940">
        <v>136.86529999999999</v>
      </c>
      <c r="M6940">
        <v>0.85016849999999999</v>
      </c>
      <c r="N6940">
        <v>-1.5362880000000001E-2</v>
      </c>
      <c r="O6940">
        <v>0.52628649999999999</v>
      </c>
      <c r="P6940">
        <v>0.97906970000000004</v>
      </c>
      <c r="Q6940">
        <v>0.1289372</v>
      </c>
      <c r="R6940">
        <v>0.15747269999999999</v>
      </c>
      <c r="S6940">
        <v>3.050262</v>
      </c>
      <c r="T6940">
        <v>-0.21760860000000001</v>
      </c>
      <c r="U6940">
        <v>0.28178409999999998</v>
      </c>
      <c r="V6940">
        <v>0.38565919999999998</v>
      </c>
      <c r="W6940">
        <v>0.1311734</v>
      </c>
      <c r="X6940">
        <v>0.9132692</v>
      </c>
      <c r="Y6940">
        <v>0.4438763</v>
      </c>
      <c r="Z6940">
        <v>-4.6446519999999998E-2</v>
      </c>
      <c r="AA6940">
        <v>0.894883599999999</v>
      </c>
      <c r="AB6940">
        <v>27</v>
      </c>
      <c r="AC6940">
        <v>15.278899999999901</v>
      </c>
      <c r="AD6940">
        <v>-1.1078680899690001</v>
      </c>
      <c r="AE6940">
        <v>1.2949000000000099</v>
      </c>
      <c r="AF6940">
        <v>6.9049698113030997</v>
      </c>
      <c r="AG6940">
        <v>-1.1078680899690001</v>
      </c>
      <c r="AH6940">
        <v>13.601738419142899</v>
      </c>
      <c r="AI6940">
        <v>94.153974154787903</v>
      </c>
      <c r="AJ6940">
        <v>63.085214277249598</v>
      </c>
      <c r="AK6940">
        <v>15.2942233481327</v>
      </c>
      <c r="AL6940">
        <v>82.462596555317404</v>
      </c>
      <c r="AM6940">
        <v>67.106432143639097</v>
      </c>
      <c r="AN6940">
        <v>1.00000005554041</v>
      </c>
    </row>
    <row r="6941" spans="1:40" x14ac:dyDescent="0.25">
      <c r="A6941" t="str">
        <f>"20190303162438841"</f>
        <v>20190303162438841</v>
      </c>
      <c r="B6941" t="str">
        <f>"1551601478831559"</f>
        <v>1551601478831559</v>
      </c>
      <c r="C6941" t="s">
        <v>40</v>
      </c>
      <c r="D6941">
        <v>5.271954</v>
      </c>
      <c r="E6941">
        <v>0.53299859999999999</v>
      </c>
      <c r="F6941" t="s">
        <v>41</v>
      </c>
      <c r="G6941">
        <v>-161.65539999999999</v>
      </c>
      <c r="H6941" s="1">
        <v>-4.1884109999999997E-6</v>
      </c>
      <c r="I6941">
        <v>138.13149999999999</v>
      </c>
      <c r="J6941">
        <v>-176.8982</v>
      </c>
      <c r="K6941">
        <v>1.1078650000000001</v>
      </c>
      <c r="L6941">
        <v>136.99029999999999</v>
      </c>
      <c r="M6941">
        <v>0.858633599999999</v>
      </c>
      <c r="N6941">
        <v>-1.5371950000000001E-2</v>
      </c>
      <c r="O6941">
        <v>0.51235929999999996</v>
      </c>
      <c r="P6941">
        <v>0.98072590000000004</v>
      </c>
      <c r="Q6941">
        <v>0.13059580000000001</v>
      </c>
      <c r="R6941">
        <v>0.14533309999999999</v>
      </c>
      <c r="S6941">
        <v>3.0527340000000001</v>
      </c>
      <c r="T6941">
        <v>-0.2185298</v>
      </c>
      <c r="U6941">
        <v>0.2497559</v>
      </c>
      <c r="V6941">
        <v>0.38201669999999999</v>
      </c>
      <c r="W6941">
        <v>0.13297</v>
      </c>
      <c r="X6941">
        <v>0.91453930000000005</v>
      </c>
      <c r="Y6941">
        <v>0.43867089999999997</v>
      </c>
      <c r="Z6941">
        <v>-4.5832589999999999E-2</v>
      </c>
      <c r="AA6941">
        <v>0.89747829999999995</v>
      </c>
      <c r="AB6941">
        <v>27</v>
      </c>
      <c r="AC6941">
        <v>15.242800000000001</v>
      </c>
      <c r="AD6941">
        <v>-1.1078691884109999</v>
      </c>
      <c r="AE6941">
        <v>1.14119999999999</v>
      </c>
      <c r="AF6941">
        <v>6.79502941275405</v>
      </c>
      <c r="AG6941">
        <v>-1.1078691884109999</v>
      </c>
      <c r="AH6941">
        <v>13.602842513002701</v>
      </c>
      <c r="AI6941">
        <v>94.167171027624207</v>
      </c>
      <c r="AJ6941">
        <v>63.456491055714203</v>
      </c>
      <c r="AK6941">
        <v>15.2458887340941</v>
      </c>
      <c r="AL6941">
        <v>82.358748495613995</v>
      </c>
      <c r="AM6941">
        <v>67.328978862422503</v>
      </c>
      <c r="AN6941">
        <v>0.99999995561168897</v>
      </c>
    </row>
    <row r="6942" spans="1:40" x14ac:dyDescent="0.25">
      <c r="A6942" t="str">
        <f>"20190303162438863"</f>
        <v>20190303162438863</v>
      </c>
      <c r="B6942" t="str">
        <f>"1551601478852055"</f>
        <v>1551601478852055</v>
      </c>
      <c r="C6942" t="s">
        <v>40</v>
      </c>
      <c r="D6942">
        <v>5.3205019999999896</v>
      </c>
      <c r="E6942">
        <v>0.53172410000000003</v>
      </c>
      <c r="F6942" t="s">
        <v>41</v>
      </c>
      <c r="G6942">
        <v>-161.16</v>
      </c>
      <c r="H6942" s="1">
        <v>-4.427219E-6</v>
      </c>
      <c r="I6942">
        <v>138.1052</v>
      </c>
      <c r="J6942">
        <v>-176.6489</v>
      </c>
      <c r="K6942">
        <v>1.1078669999999999</v>
      </c>
      <c r="L6942">
        <v>137.11850000000001</v>
      </c>
      <c r="M6942">
        <v>0.86736420000000003</v>
      </c>
      <c r="N6942">
        <v>-1.538084E-2</v>
      </c>
      <c r="O6942">
        <v>0.4974363</v>
      </c>
      <c r="P6942">
        <v>0.98225070000000003</v>
      </c>
      <c r="Q6942">
        <v>0.1332721</v>
      </c>
      <c r="R6942">
        <v>0.13199340000000001</v>
      </c>
      <c r="S6942">
        <v>3.055542</v>
      </c>
      <c r="T6942">
        <v>-0.21509110000000001</v>
      </c>
      <c r="U6942">
        <v>0.21646119999999999</v>
      </c>
      <c r="V6942">
        <v>0.37852750000000002</v>
      </c>
      <c r="W6942">
        <v>0.135774799999999</v>
      </c>
      <c r="X6942">
        <v>0.91557750000000004</v>
      </c>
      <c r="Y6942">
        <v>0.43302429999999997</v>
      </c>
      <c r="Z6942">
        <v>-4.4140909999999998E-2</v>
      </c>
      <c r="AA6942">
        <v>0.90030080000000001</v>
      </c>
      <c r="AB6942">
        <v>27</v>
      </c>
      <c r="AC6942">
        <v>15.488899999999999</v>
      </c>
      <c r="AD6942">
        <v>-1.107871427219</v>
      </c>
      <c r="AE6942">
        <v>0.98669999999998403</v>
      </c>
      <c r="AF6942">
        <v>6.81499761029281</v>
      </c>
      <c r="AG6942">
        <v>-1.107871427219</v>
      </c>
      <c r="AH6942">
        <v>13.8563806527578</v>
      </c>
      <c r="AI6942">
        <v>94.103701435292507</v>
      </c>
      <c r="AJ6942">
        <v>63.810610155961903</v>
      </c>
      <c r="AK6942">
        <v>15.4813066735875</v>
      </c>
      <c r="AL6942">
        <v>82.196574896720705</v>
      </c>
      <c r="AM6942">
        <v>67.538315014453005</v>
      </c>
      <c r="AN6942">
        <v>1.0000000115387699</v>
      </c>
    </row>
    <row r="6943" spans="1:40" x14ac:dyDescent="0.25">
      <c r="A6943" t="str">
        <f>"20190303162438908"</f>
        <v>20190303162438908</v>
      </c>
      <c r="B6943" t="str">
        <f>"1551601478901362"</f>
        <v>1551601478901362</v>
      </c>
      <c r="C6943" t="s">
        <v>40</v>
      </c>
      <c r="D6943">
        <v>5.2981119999999997</v>
      </c>
      <c r="E6943">
        <v>0.52970130000000004</v>
      </c>
      <c r="F6943" t="s">
        <v>41</v>
      </c>
      <c r="G6943">
        <v>-160.43960000000001</v>
      </c>
      <c r="H6943" s="1">
        <v>-4.7694499999999997E-6</v>
      </c>
      <c r="I6943">
        <v>138.0959</v>
      </c>
      <c r="J6943">
        <v>-176.1448</v>
      </c>
      <c r="K6943">
        <v>1.1078840000000001</v>
      </c>
      <c r="L6943">
        <v>137.3604</v>
      </c>
      <c r="M6943">
        <v>0.88405199999999995</v>
      </c>
      <c r="N6943">
        <v>-1.53975E-2</v>
      </c>
      <c r="O6943">
        <v>0.46713500000000002</v>
      </c>
      <c r="P6943">
        <v>0.98470630000000003</v>
      </c>
      <c r="Q6943">
        <v>0.1373675</v>
      </c>
      <c r="R6943">
        <v>0.1071628</v>
      </c>
      <c r="S6943">
        <v>3.057785</v>
      </c>
      <c r="T6943">
        <v>-0.20899280000000001</v>
      </c>
      <c r="U6943">
        <v>0.1843872</v>
      </c>
      <c r="V6943">
        <v>0.3697954</v>
      </c>
      <c r="W6943">
        <v>0.14019110000000001</v>
      </c>
      <c r="X6943">
        <v>0.91847579999999995</v>
      </c>
      <c r="Y6943">
        <v>0.4113927</v>
      </c>
      <c r="Z6943">
        <v>-4.0548689999999998E-2</v>
      </c>
      <c r="AA6943">
        <v>0.91055580000000003</v>
      </c>
      <c r="AB6943">
        <v>27</v>
      </c>
      <c r="AC6943">
        <v>15.7051999999999</v>
      </c>
      <c r="AD6943">
        <v>-1.1078887694499999</v>
      </c>
      <c r="AE6943">
        <v>0.73550000000000104</v>
      </c>
      <c r="AF6943">
        <v>6.6539810046362797</v>
      </c>
      <c r="AG6943">
        <v>-1.1078887694499999</v>
      </c>
      <c r="AH6943">
        <v>14.159171323592499</v>
      </c>
      <c r="AI6943">
        <v>94.050664790991306</v>
      </c>
      <c r="AJ6943">
        <v>64.829224888737102</v>
      </c>
      <c r="AK6943">
        <v>15.6839093757385</v>
      </c>
      <c r="AL6943">
        <v>81.941095381323095</v>
      </c>
      <c r="AM6943">
        <v>68.069369320621107</v>
      </c>
      <c r="AN6943">
        <v>0.999999988783004</v>
      </c>
    </row>
    <row r="6944" spans="1:40" x14ac:dyDescent="0.25">
      <c r="A6944" t="str">
        <f>"20190303162438929"</f>
        <v>20190303162438929</v>
      </c>
      <c r="B6944" t="str">
        <f>"1551601478921859"</f>
        <v>1551601478921859</v>
      </c>
      <c r="C6944" t="s">
        <v>40</v>
      </c>
      <c r="D6944">
        <v>5.3330270000000004</v>
      </c>
      <c r="E6944">
        <v>0.52931729999999999</v>
      </c>
      <c r="F6944" t="s">
        <v>41</v>
      </c>
      <c r="G6944">
        <v>-158.70650000000001</v>
      </c>
      <c r="H6944" s="1">
        <v>-8.4172689999999999E-7</v>
      </c>
      <c r="I6944">
        <v>138.05459999999999</v>
      </c>
      <c r="J6944">
        <v>-175.89949999999999</v>
      </c>
      <c r="K6944">
        <v>1.107893</v>
      </c>
      <c r="L6944">
        <v>137.47059999999999</v>
      </c>
      <c r="M6944">
        <v>0.89172269999999898</v>
      </c>
      <c r="N6944">
        <v>-1.5404569999999999E-2</v>
      </c>
      <c r="O6944">
        <v>0.4523199</v>
      </c>
      <c r="P6944">
        <v>0.98560360000000002</v>
      </c>
      <c r="Q6944">
        <v>0.1393421</v>
      </c>
      <c r="R6944">
        <v>9.5756820000000006E-2</v>
      </c>
      <c r="S6944">
        <v>3.0604550000000001</v>
      </c>
      <c r="T6944">
        <v>-0.1944352</v>
      </c>
      <c r="U6944">
        <v>0.1218414</v>
      </c>
      <c r="V6944">
        <v>0.36502669999999998</v>
      </c>
      <c r="W6944">
        <v>0.142341299999999</v>
      </c>
      <c r="X6944">
        <v>0.92005130000000002</v>
      </c>
      <c r="Y6944">
        <v>0.41504799999999997</v>
      </c>
      <c r="Z6944">
        <v>-3.70044E-2</v>
      </c>
      <c r="AA6944">
        <v>0.90904660000000004</v>
      </c>
      <c r="AB6944">
        <v>27</v>
      </c>
      <c r="AC6944">
        <v>17.192999999999898</v>
      </c>
      <c r="AD6944">
        <v>-1.1078938417269</v>
      </c>
      <c r="AE6944">
        <v>0.58400000000000296</v>
      </c>
      <c r="AF6944">
        <v>7.2268573924339599</v>
      </c>
      <c r="AG6944">
        <v>-1.1078938417269</v>
      </c>
      <c r="AH6944">
        <v>15.532970358688999</v>
      </c>
      <c r="AI6944">
        <v>93.700087043006405</v>
      </c>
      <c r="AJ6944">
        <v>65.049362676217896</v>
      </c>
      <c r="AK6944">
        <v>17.1676458694552</v>
      </c>
      <c r="AL6944">
        <v>81.816649799096496</v>
      </c>
      <c r="AM6944">
        <v>68.359493728383796</v>
      </c>
      <c r="AN6944">
        <v>0.99999996601513397</v>
      </c>
    </row>
    <row r="6945" spans="1:40" x14ac:dyDescent="0.25">
      <c r="A6945" t="str">
        <f>"20190303162438952"</f>
        <v>20190303162438952</v>
      </c>
      <c r="B6945" t="str">
        <f>"1551601478941379"</f>
        <v>1551601478941379</v>
      </c>
      <c r="C6945" t="s">
        <v>40</v>
      </c>
      <c r="D6945">
        <v>5.4599529999999996</v>
      </c>
      <c r="E6945">
        <v>0.51309199999999999</v>
      </c>
      <c r="F6945" t="s">
        <v>41</v>
      </c>
      <c r="G6945">
        <v>-157.79750000000001</v>
      </c>
      <c r="H6945" s="1">
        <v>-1.2148490000000001E-6</v>
      </c>
      <c r="I6945">
        <v>137.99449999999999</v>
      </c>
      <c r="J6945">
        <v>-175.6396</v>
      </c>
      <c r="K6945">
        <v>1.1079030000000001</v>
      </c>
      <c r="L6945">
        <v>137.58189999999999</v>
      </c>
      <c r="M6945">
        <v>0.89953629999999996</v>
      </c>
      <c r="N6945">
        <v>-1.541126E-2</v>
      </c>
      <c r="O6945">
        <v>0.43657420000000002</v>
      </c>
      <c r="P6945">
        <v>0.98649350000000002</v>
      </c>
      <c r="Q6945">
        <v>0.14106250000000001</v>
      </c>
      <c r="R6945">
        <v>8.3261420000000003E-2</v>
      </c>
      <c r="S6945">
        <v>3.0617220000000001</v>
      </c>
      <c r="T6945">
        <v>-0.187385</v>
      </c>
      <c r="U6945">
        <v>8.8623049999999995E-2</v>
      </c>
      <c r="V6945">
        <v>0.3604445</v>
      </c>
      <c r="W6945">
        <v>0.14423179999999999</v>
      </c>
      <c r="X6945">
        <v>0.92156229999999995</v>
      </c>
      <c r="Y6945">
        <v>0.40905649999999999</v>
      </c>
      <c r="Z6945">
        <v>-3.4690680000000002E-2</v>
      </c>
      <c r="AA6945">
        <v>0.91184940000000003</v>
      </c>
      <c r="AB6945">
        <v>27</v>
      </c>
      <c r="AC6945">
        <v>17.842099999999899</v>
      </c>
      <c r="AD6945">
        <v>-1.1079042148489999</v>
      </c>
      <c r="AE6945">
        <v>0.41259999999999702</v>
      </c>
      <c r="AF6945">
        <v>7.3906510978267796</v>
      </c>
      <c r="AG6945">
        <v>-1.1079042148489999</v>
      </c>
      <c r="AH6945">
        <v>16.169361837308799</v>
      </c>
      <c r="AI6945">
        <v>93.565923080233105</v>
      </c>
      <c r="AJ6945">
        <v>65.435927287268598</v>
      </c>
      <c r="AK6945">
        <v>17.812844737012298</v>
      </c>
      <c r="AL6945">
        <v>81.7072035445496</v>
      </c>
      <c r="AM6945">
        <v>68.638373473801494</v>
      </c>
      <c r="AN6945">
        <v>1.00000006124638</v>
      </c>
    </row>
    <row r="6946" spans="1:40" x14ac:dyDescent="0.25">
      <c r="A6946" t="str">
        <f>"20190303162438976"</f>
        <v>20190303162438976</v>
      </c>
      <c r="B6946" t="str">
        <f>"1551601478961875"</f>
        <v>1551601478961875</v>
      </c>
      <c r="C6946" t="s">
        <v>40</v>
      </c>
      <c r="D6946">
        <v>5.5267920000000004</v>
      </c>
      <c r="E6946">
        <v>0.51213529999999996</v>
      </c>
      <c r="F6946" t="s">
        <v>41</v>
      </c>
      <c r="G6946">
        <v>-156.6893</v>
      </c>
      <c r="H6946" s="1">
        <v>-1.5667650000000001E-6</v>
      </c>
      <c r="I6946">
        <v>138.69069999999999</v>
      </c>
      <c r="J6946">
        <v>-175.38299999999899</v>
      </c>
      <c r="K6946">
        <v>1.1079129999999999</v>
      </c>
      <c r="L6946">
        <v>137.6866</v>
      </c>
      <c r="M6946">
        <v>0.90693360000000001</v>
      </c>
      <c r="N6946">
        <v>-1.54171E-2</v>
      </c>
      <c r="O6946">
        <v>0.42099130000000001</v>
      </c>
      <c r="P6946">
        <v>0.98738099999999995</v>
      </c>
      <c r="Q6946">
        <v>0.14123189999999999</v>
      </c>
      <c r="R6946">
        <v>7.1640259999999997E-2</v>
      </c>
      <c r="S6946">
        <v>3.0515289999999999</v>
      </c>
      <c r="T6946">
        <v>-0.1784037</v>
      </c>
      <c r="U6946">
        <v>0.17854310000000001</v>
      </c>
      <c r="V6946">
        <v>0.35537750000000001</v>
      </c>
      <c r="W6946">
        <v>0.14459269999999999</v>
      </c>
      <c r="X6946">
        <v>0.92347159999999995</v>
      </c>
      <c r="Y6946">
        <v>0.36621599999999999</v>
      </c>
      <c r="Z6946">
        <v>-3.0752850000000002E-2</v>
      </c>
      <c r="AA6946">
        <v>0.9300216</v>
      </c>
      <c r="AB6946">
        <v>27</v>
      </c>
      <c r="AC6946">
        <v>18.6936999999999</v>
      </c>
      <c r="AD6946">
        <v>-1.1079145667650001</v>
      </c>
      <c r="AE6946">
        <v>1.00409999999999</v>
      </c>
      <c r="AF6946">
        <v>6.9357684155582797</v>
      </c>
      <c r="AG6946">
        <v>-1.1079145667650001</v>
      </c>
      <c r="AH6946">
        <v>17.318072673263998</v>
      </c>
      <c r="AI6946">
        <v>93.398730013663993</v>
      </c>
      <c r="AJ6946">
        <v>68.174239567186902</v>
      </c>
      <c r="AK6946">
        <v>18.6881780630953</v>
      </c>
      <c r="AL6946">
        <v>81.686305986536595</v>
      </c>
      <c r="AM6946">
        <v>68.951889976302098</v>
      </c>
      <c r="AN6946">
        <v>1.0000000062030401</v>
      </c>
    </row>
    <row r="6947" spans="1:40" x14ac:dyDescent="0.25">
      <c r="A6947" t="str">
        <f>"20190303162438997"</f>
        <v>20190303162438997</v>
      </c>
      <c r="B6947" t="str">
        <f>"1551601478991660"</f>
        <v>1551601478991660</v>
      </c>
      <c r="C6947" t="s">
        <v>40</v>
      </c>
      <c r="D6947">
        <v>5.5272709999999998</v>
      </c>
      <c r="E6947">
        <v>0.51071440000000001</v>
      </c>
      <c r="F6947" t="s">
        <v>41</v>
      </c>
      <c r="G6947">
        <v>-154.76480000000001</v>
      </c>
      <c r="H6947" s="1">
        <v>-2.3920300000000001E-6</v>
      </c>
      <c r="I6947">
        <v>138.6926</v>
      </c>
      <c r="J6947">
        <v>-175.12360000000001</v>
      </c>
      <c r="K6947">
        <v>1.1079209999999999</v>
      </c>
      <c r="L6947">
        <v>137.78729999999999</v>
      </c>
      <c r="M6947">
        <v>0.91410219999999998</v>
      </c>
      <c r="N6947">
        <v>-1.542193E-2</v>
      </c>
      <c r="O6947">
        <v>0.40519060000000001</v>
      </c>
      <c r="P6947">
        <v>0.98802659999999998</v>
      </c>
      <c r="Q6947">
        <v>0.14180400000000001</v>
      </c>
      <c r="R6947">
        <v>6.0789089999999997E-2</v>
      </c>
      <c r="S6947">
        <v>3.05098</v>
      </c>
      <c r="T6947">
        <v>-0.16394339999999999</v>
      </c>
      <c r="U6947">
        <v>0.14886469999999999</v>
      </c>
      <c r="V6947">
        <v>0.34946240000000001</v>
      </c>
      <c r="W6947">
        <v>0.14538909999999999</v>
      </c>
      <c r="X6947">
        <v>0.92560140000000002</v>
      </c>
      <c r="Y6947">
        <v>0.359278599999999</v>
      </c>
      <c r="Z6947">
        <v>-2.7220629999999999E-2</v>
      </c>
      <c r="AA6947">
        <v>0.93283329999999998</v>
      </c>
      <c r="AB6947">
        <v>27</v>
      </c>
      <c r="AC6947">
        <v>20.358799999999999</v>
      </c>
      <c r="AD6947">
        <v>-1.10792339203</v>
      </c>
      <c r="AE6947">
        <v>0.90530000000001098</v>
      </c>
      <c r="AF6947">
        <v>7.4006660656696903</v>
      </c>
      <c r="AG6947">
        <v>-1.10792339203</v>
      </c>
      <c r="AH6947">
        <v>18.923168348058201</v>
      </c>
      <c r="AI6947">
        <v>93.121067222881393</v>
      </c>
      <c r="AJ6947">
        <v>68.640018029985299</v>
      </c>
      <c r="AK6947">
        <v>20.3490455006399</v>
      </c>
      <c r="AL6947">
        <v>81.6401878740933</v>
      </c>
      <c r="AM6947">
        <v>69.315884682015906</v>
      </c>
      <c r="AN6947">
        <v>0.99999995554726395</v>
      </c>
    </row>
    <row r="6948" spans="1:40" x14ac:dyDescent="0.25">
      <c r="A6948" t="str">
        <f>"20190303162439019"</f>
        <v>20190303162439019</v>
      </c>
      <c r="B6948" t="str">
        <f>"1551601479011180"</f>
        <v>1551601479011180</v>
      </c>
      <c r="C6948" t="s">
        <v>40</v>
      </c>
      <c r="D6948">
        <v>5.4060100000000002</v>
      </c>
      <c r="E6948">
        <v>0.51060950000000005</v>
      </c>
      <c r="F6948" t="s">
        <v>41</v>
      </c>
      <c r="G6948">
        <v>-153.53399999999999</v>
      </c>
      <c r="H6948" s="1">
        <v>-2.9231399999999998E-6</v>
      </c>
      <c r="I6948">
        <v>138.67519999999999</v>
      </c>
      <c r="J6948">
        <v>-174.8638</v>
      </c>
      <c r="K6948">
        <v>1.1079319999999999</v>
      </c>
      <c r="L6948">
        <v>137.88290000000001</v>
      </c>
      <c r="M6948">
        <v>0.92096739999999999</v>
      </c>
      <c r="N6948">
        <v>-1.542545E-2</v>
      </c>
      <c r="O6948">
        <v>0.38933430000000002</v>
      </c>
      <c r="P6948">
        <v>0.98863210000000001</v>
      </c>
      <c r="Q6948">
        <v>0.14177000000000001</v>
      </c>
      <c r="R6948">
        <v>5.0081870000000001E-2</v>
      </c>
      <c r="S6948">
        <v>3.0511020000000002</v>
      </c>
      <c r="T6948">
        <v>-0.15657449999999901</v>
      </c>
      <c r="U6948">
        <v>0.1254883</v>
      </c>
      <c r="V6948">
        <v>0.34347470000000002</v>
      </c>
      <c r="W6948">
        <v>0.14558399999999999</v>
      </c>
      <c r="X6948">
        <v>0.92780949999999995</v>
      </c>
      <c r="Y6948">
        <v>0.35038170000000002</v>
      </c>
      <c r="Z6948">
        <v>-2.5058779999999999E-2</v>
      </c>
      <c r="AA6948">
        <v>0.93627169999999904</v>
      </c>
      <c r="AB6948">
        <v>27</v>
      </c>
      <c r="AC6948">
        <v>21.329799999999999</v>
      </c>
      <c r="AD6948">
        <v>-1.10793492314</v>
      </c>
      <c r="AE6948">
        <v>0.79229999999998302</v>
      </c>
      <c r="AF6948">
        <v>7.5552845913939599</v>
      </c>
      <c r="AG6948">
        <v>-1.10793492314</v>
      </c>
      <c r="AH6948">
        <v>19.901272047582498</v>
      </c>
      <c r="AI6948">
        <v>92.979391499278506</v>
      </c>
      <c r="AJ6948">
        <v>69.211321362403595</v>
      </c>
      <c r="AK6948">
        <v>21.315967586829299</v>
      </c>
      <c r="AL6948">
        <v>81.628901373348199</v>
      </c>
      <c r="AM6948">
        <v>69.685468116077104</v>
      </c>
      <c r="AN6948">
        <v>1.00000001944316</v>
      </c>
    </row>
    <row r="6949" spans="1:40" x14ac:dyDescent="0.25">
      <c r="A6949" t="str">
        <f>"20190303162439064"</f>
        <v>20190303162439064</v>
      </c>
      <c r="B6949" t="str">
        <f>"1551601479052174"</f>
        <v>1551601479052174</v>
      </c>
      <c r="C6949" t="s">
        <v>40</v>
      </c>
      <c r="D6949">
        <v>5.5948529999999996</v>
      </c>
      <c r="E6949">
        <v>0.50869179999999903</v>
      </c>
      <c r="F6949" t="s">
        <v>41</v>
      </c>
      <c r="G6949">
        <v>-153.98220000000001</v>
      </c>
      <c r="H6949" s="1">
        <v>-2.7578999999999999E-6</v>
      </c>
      <c r="I6949">
        <v>138.52260000000001</v>
      </c>
      <c r="J6949">
        <v>-174.33609999999999</v>
      </c>
      <c r="K6949">
        <v>1.1079490000000001</v>
      </c>
      <c r="L6949">
        <v>138.0617</v>
      </c>
      <c r="M6949">
        <v>0.93396570000000001</v>
      </c>
      <c r="N6949">
        <v>-1.542897E-2</v>
      </c>
      <c r="O6949">
        <v>0.3570296</v>
      </c>
      <c r="P6949">
        <v>0.98972649999999995</v>
      </c>
      <c r="Q6949">
        <v>0.13973959999999999</v>
      </c>
      <c r="R6949">
        <v>3.0242769999999999E-2</v>
      </c>
      <c r="S6949">
        <v>3.052994</v>
      </c>
      <c r="T6949">
        <v>-0.16198589999999999</v>
      </c>
      <c r="U6949">
        <v>9.3521119999999999E-2</v>
      </c>
      <c r="V6949">
        <v>0.32974179999999997</v>
      </c>
      <c r="W6949">
        <v>0.14407979999999901</v>
      </c>
      <c r="X6949">
        <v>0.93301190000000001</v>
      </c>
      <c r="Y6949">
        <v>0.3274822</v>
      </c>
      <c r="Z6949">
        <v>-2.4179840000000001E-2</v>
      </c>
      <c r="AA6949">
        <v>0.94454800000000005</v>
      </c>
      <c r="AB6949">
        <v>27</v>
      </c>
      <c r="AC6949">
        <v>20.3538999999999</v>
      </c>
      <c r="AD6949">
        <v>-1.1079517579</v>
      </c>
      <c r="AE6949">
        <v>0.46090000000000902</v>
      </c>
      <c r="AF6949">
        <v>6.8171040374971597</v>
      </c>
      <c r="AG6949">
        <v>-1.1079517579</v>
      </c>
      <c r="AH6949">
        <v>19.120055334426301</v>
      </c>
      <c r="AI6949">
        <v>93.124194816393299</v>
      </c>
      <c r="AJ6949">
        <v>70.376710547626402</v>
      </c>
      <c r="AK6949">
        <v>20.329214951576901</v>
      </c>
      <c r="AL6949">
        <v>81.716003286828894</v>
      </c>
      <c r="AM6949">
        <v>70.535751454619302</v>
      </c>
      <c r="AN6949">
        <v>0.99999992448844199</v>
      </c>
    </row>
    <row r="6950" spans="1:40" x14ac:dyDescent="0.25">
      <c r="A6950" t="str">
        <f>"20190303162439086"</f>
        <v>20190303162439086</v>
      </c>
      <c r="B6950" t="str">
        <f>"1551601479071693"</f>
        <v>1551601479071693</v>
      </c>
      <c r="C6950" t="s">
        <v>40</v>
      </c>
      <c r="D6950">
        <v>5.5862669999999897</v>
      </c>
      <c r="E6950">
        <v>0.50768199999999997</v>
      </c>
      <c r="F6950" t="s">
        <v>41</v>
      </c>
      <c r="G6950">
        <v>-154.51689999999999</v>
      </c>
      <c r="H6950" s="1">
        <v>-2.5583569999999998E-6</v>
      </c>
      <c r="I6950">
        <v>138.3544</v>
      </c>
      <c r="J6950">
        <v>-174.07560000000001</v>
      </c>
      <c r="K6950">
        <v>1.1079589999999999</v>
      </c>
      <c r="L6950">
        <v>138.1421</v>
      </c>
      <c r="M6950">
        <v>0.93991910000000001</v>
      </c>
      <c r="N6950">
        <v>-1.5429190000000001E-2</v>
      </c>
      <c r="O6950">
        <v>0.34104839999999997</v>
      </c>
      <c r="P6950">
        <v>0.98994420000000005</v>
      </c>
      <c r="Q6950">
        <v>0.14031589999999999</v>
      </c>
      <c r="R6950">
        <v>1.794948E-2</v>
      </c>
      <c r="S6950">
        <v>3.0538479999999999</v>
      </c>
      <c r="T6950">
        <v>-0.1707195</v>
      </c>
      <c r="U6950">
        <v>4.5104980000000003E-2</v>
      </c>
      <c r="V6950">
        <v>0.32538820000000002</v>
      </c>
      <c r="W6950">
        <v>0.14482439999999999</v>
      </c>
      <c r="X6950">
        <v>0.93442409999999998</v>
      </c>
      <c r="Y6950">
        <v>0.326262</v>
      </c>
      <c r="Z6950">
        <v>-2.5031080000000001E-2</v>
      </c>
      <c r="AA6950">
        <v>0.94494789999999995</v>
      </c>
      <c r="AB6950">
        <v>27</v>
      </c>
      <c r="AC6950">
        <v>19.558700000000002</v>
      </c>
      <c r="AD6950">
        <v>-1.1079615583569999</v>
      </c>
      <c r="AE6950">
        <v>0.21229999999999899</v>
      </c>
      <c r="AF6950">
        <v>6.4509901592055501</v>
      </c>
      <c r="AG6950">
        <v>-1.1079615583569999</v>
      </c>
      <c r="AH6950">
        <v>18.399161705526801</v>
      </c>
      <c r="AI6950">
        <v>93.252416710421798</v>
      </c>
      <c r="AJ6950">
        <v>70.678656875493004</v>
      </c>
      <c r="AK6950">
        <v>19.528748150229401</v>
      </c>
      <c r="AL6950">
        <v>81.672889225229397</v>
      </c>
      <c r="AM6950">
        <v>70.800694479356807</v>
      </c>
      <c r="AN6950">
        <v>0.99999999309770404</v>
      </c>
    </row>
    <row r="6951" spans="1:40" x14ac:dyDescent="0.25">
      <c r="A6951" t="str">
        <f>"20190303162439108"</f>
        <v>20190303162439108</v>
      </c>
      <c r="B6951" t="str">
        <f>"1551601479101480"</f>
        <v>1551601479101480</v>
      </c>
      <c r="C6951" t="s">
        <v>40</v>
      </c>
      <c r="D6951">
        <v>5.6596169999999999</v>
      </c>
      <c r="E6951">
        <v>0.50674640000000004</v>
      </c>
      <c r="F6951" t="s">
        <v>41</v>
      </c>
      <c r="G6951">
        <v>-154.19759999999999</v>
      </c>
      <c r="H6951" s="1">
        <v>-2.7164840000000001E-6</v>
      </c>
      <c r="I6951">
        <v>138.23519999999999</v>
      </c>
      <c r="J6951">
        <v>-173.8091</v>
      </c>
      <c r="K6951">
        <v>1.107977</v>
      </c>
      <c r="L6951">
        <v>138.21950000000001</v>
      </c>
      <c r="M6951">
        <v>0.94570240000000005</v>
      </c>
      <c r="N6951">
        <v>-1.5428590000000001E-2</v>
      </c>
      <c r="O6951">
        <v>0.3246675</v>
      </c>
      <c r="P6951">
        <v>0.99004780000000003</v>
      </c>
      <c r="Q6951">
        <v>0.1404648</v>
      </c>
      <c r="R6951">
        <v>8.6797119999999992E-3</v>
      </c>
      <c r="S6951">
        <v>3.0543369999999999</v>
      </c>
      <c r="T6951">
        <v>-0.17024239999999999</v>
      </c>
      <c r="U6951">
        <v>1.4312739999999999E-2</v>
      </c>
      <c r="V6951">
        <v>0.317870599999999</v>
      </c>
      <c r="W6951">
        <v>0.1452561</v>
      </c>
      <c r="X6951">
        <v>0.93694129999999998</v>
      </c>
      <c r="Y6951">
        <v>0.31939200000000001</v>
      </c>
      <c r="Z6951">
        <v>-2.411015E-2</v>
      </c>
      <c r="AA6951">
        <v>0.94731589999999999</v>
      </c>
      <c r="AB6951">
        <v>27</v>
      </c>
      <c r="AC6951">
        <v>19.611499999999999</v>
      </c>
      <c r="AD6951">
        <v>-1.107979716484</v>
      </c>
      <c r="AE6951">
        <v>1.5699999999981101E-2</v>
      </c>
      <c r="AF6951">
        <v>6.3329114996926901</v>
      </c>
      <c r="AG6951">
        <v>-1.107979716484</v>
      </c>
      <c r="AH6951">
        <v>18.494914918740601</v>
      </c>
      <c r="AI6951">
        <v>93.243867515028995</v>
      </c>
      <c r="AJ6951">
        <v>71.0980956466489</v>
      </c>
      <c r="AK6951">
        <v>19.580481734792301</v>
      </c>
      <c r="AL6951">
        <v>81.647890571195703</v>
      </c>
      <c r="AM6951">
        <v>71.259767214864496</v>
      </c>
      <c r="AN6951">
        <v>1.0000000262886199</v>
      </c>
    </row>
    <row r="6952" spans="1:40" x14ac:dyDescent="0.25">
      <c r="A6952" t="str">
        <f>"20190303162439130"</f>
        <v>20190303162439130</v>
      </c>
      <c r="B6952" t="str">
        <f>"1551601479121976"</f>
        <v>1551601479121976</v>
      </c>
      <c r="C6952" t="s">
        <v>40</v>
      </c>
      <c r="D6952">
        <v>5.6630949999999904</v>
      </c>
      <c r="E6952">
        <v>0.50637330000000003</v>
      </c>
      <c r="F6952" t="s">
        <v>41</v>
      </c>
      <c r="G6952">
        <v>-154.41030000000001</v>
      </c>
      <c r="H6952" s="1">
        <v>-2.6357800000000001E-6</v>
      </c>
      <c r="I6952">
        <v>138.17570000000001</v>
      </c>
      <c r="J6952">
        <v>-173.5506</v>
      </c>
      <c r="K6952">
        <v>1.1079939999999999</v>
      </c>
      <c r="L6952">
        <v>138.28980000000001</v>
      </c>
      <c r="M6952">
        <v>0.95101599999999997</v>
      </c>
      <c r="N6952">
        <v>-1.5427430000000001E-2</v>
      </c>
      <c r="O6952">
        <v>0.30875639999999999</v>
      </c>
      <c r="P6952">
        <v>0.99024829999999997</v>
      </c>
      <c r="Q6952">
        <v>0.1393141</v>
      </c>
      <c r="R6952">
        <v>-1.1069280000000001E-4</v>
      </c>
      <c r="S6952">
        <v>3.0549620000000002</v>
      </c>
      <c r="T6952">
        <v>-0.1744869</v>
      </c>
      <c r="U6952">
        <v>-6.8817139999999997E-3</v>
      </c>
      <c r="V6952">
        <v>0.31045590000000001</v>
      </c>
      <c r="W6952">
        <v>0.1443847</v>
      </c>
      <c r="X6952">
        <v>0.93955849999999996</v>
      </c>
      <c r="Y6952">
        <v>0.3100407</v>
      </c>
      <c r="Z6952">
        <v>-2.3822309999999999E-2</v>
      </c>
      <c r="AA6952">
        <v>0.95042479999999996</v>
      </c>
      <c r="AB6952">
        <v>27</v>
      </c>
      <c r="AC6952">
        <v>19.1403</v>
      </c>
      <c r="AD6952">
        <v>-1.10799663578</v>
      </c>
      <c r="AE6952">
        <v>-0.114100000000007</v>
      </c>
      <c r="AF6952">
        <v>5.9988159542706496</v>
      </c>
      <c r="AG6952">
        <v>-1.10799663578</v>
      </c>
      <c r="AH6952">
        <v>18.108983499393801</v>
      </c>
      <c r="AI6952">
        <v>93.324067473661898</v>
      </c>
      <c r="AJ6952">
        <v>71.671934353550697</v>
      </c>
      <c r="AK6952">
        <v>19.108865292827499</v>
      </c>
      <c r="AL6952">
        <v>81.698349766349295</v>
      </c>
      <c r="AM6952">
        <v>71.715028004191495</v>
      </c>
      <c r="AN6952">
        <v>0.99999999118057403</v>
      </c>
    </row>
    <row r="6953" spans="1:40" x14ac:dyDescent="0.25">
      <c r="A6953" t="str">
        <f>"20190303162439164"</f>
        <v>20190303162439164</v>
      </c>
      <c r="B6953" t="str">
        <f>"1551601479152231"</f>
        <v>1551601479152231</v>
      </c>
      <c r="C6953" t="s">
        <v>40</v>
      </c>
      <c r="D6953">
        <v>5.7234910000000001</v>
      </c>
      <c r="E6953">
        <v>0.4971506</v>
      </c>
      <c r="F6953" t="s">
        <v>41</v>
      </c>
      <c r="G6953">
        <v>-154.71010000000001</v>
      </c>
      <c r="H6953" s="1">
        <v>-2.5212550000000001E-6</v>
      </c>
      <c r="I6953">
        <v>138.09630000000001</v>
      </c>
      <c r="J6953">
        <v>-173.14189999999999</v>
      </c>
      <c r="K6953">
        <v>1.108025</v>
      </c>
      <c r="L6953">
        <v>138.39189999999999</v>
      </c>
      <c r="M6953">
        <v>0.95883209999999996</v>
      </c>
      <c r="N6953">
        <v>-1.54244E-2</v>
      </c>
      <c r="O6953">
        <v>0.28355449999999999</v>
      </c>
      <c r="P6953">
        <v>0.9904596</v>
      </c>
      <c r="Q6953">
        <v>0.13721939999999999</v>
      </c>
      <c r="R6953">
        <v>-1.2688980000000001E-2</v>
      </c>
      <c r="S6953">
        <v>3.0548099999999998</v>
      </c>
      <c r="T6953">
        <v>-0.17965149999999999</v>
      </c>
      <c r="U6953">
        <v>-3.1372070000000002E-2</v>
      </c>
      <c r="V6953">
        <v>0.29755340000000002</v>
      </c>
      <c r="W6953">
        <v>0.142769799999999</v>
      </c>
      <c r="X6953">
        <v>0.94396970000000002</v>
      </c>
      <c r="Y6953">
        <v>0.29252850000000002</v>
      </c>
      <c r="Z6953">
        <v>-2.2929689999999999E-2</v>
      </c>
      <c r="AA6953">
        <v>0.95598190000000005</v>
      </c>
      <c r="AB6953">
        <v>27</v>
      </c>
      <c r="AC6953">
        <v>18.4317999999999</v>
      </c>
      <c r="AD6953">
        <v>-1.1080275212549999</v>
      </c>
      <c r="AE6953">
        <v>-0.29559999999997899</v>
      </c>
      <c r="AF6953">
        <v>5.4906688318513304</v>
      </c>
      <c r="AG6953">
        <v>-1.1080275212549999</v>
      </c>
      <c r="AH6953">
        <v>17.527948524297798</v>
      </c>
      <c r="AI6953">
        <v>93.452151440564194</v>
      </c>
      <c r="AJ6953">
        <v>72.606719046247804</v>
      </c>
      <c r="AK6953">
        <v>18.401199653266001</v>
      </c>
      <c r="AL6953">
        <v>81.791845652800802</v>
      </c>
      <c r="AM6953">
        <v>72.504367247322506</v>
      </c>
      <c r="AN6953">
        <v>1.0000000180808399</v>
      </c>
    </row>
    <row r="6954" spans="1:40" x14ac:dyDescent="0.25">
      <c r="A6954" t="str">
        <f>"20190303162439187"</f>
        <v>20190303162439187</v>
      </c>
      <c r="B6954" t="str">
        <f>"1551601479181512"</f>
        <v>1551601479181512</v>
      </c>
      <c r="C6954" t="s">
        <v>40</v>
      </c>
      <c r="D6954">
        <v>5.7243769999999996</v>
      </c>
      <c r="E6954">
        <v>0.49627840000000001</v>
      </c>
      <c r="F6954" t="s">
        <v>41</v>
      </c>
      <c r="G6954">
        <v>-156.93680000000001</v>
      </c>
      <c r="H6954" s="1">
        <v>-1.5117479999999999E-6</v>
      </c>
      <c r="I6954">
        <v>138.4023</v>
      </c>
      <c r="J6954">
        <v>-172.8717</v>
      </c>
      <c r="K6954">
        <v>1.1080410000000001</v>
      </c>
      <c r="L6954">
        <v>138.45269999999999</v>
      </c>
      <c r="M6954">
        <v>0.96360840000000003</v>
      </c>
      <c r="N6954">
        <v>-1.5421560000000001E-2</v>
      </c>
      <c r="O6954">
        <v>0.26687260000000002</v>
      </c>
      <c r="P6954">
        <v>0.99035039999999996</v>
      </c>
      <c r="Q6954">
        <v>0.1370606</v>
      </c>
      <c r="R6954">
        <v>-2.0502010000000001E-2</v>
      </c>
      <c r="S6954">
        <v>3.0579070000000002</v>
      </c>
      <c r="T6954">
        <v>-0.20908499999999999</v>
      </c>
      <c r="U6954">
        <v>1.9683840000000001E-3</v>
      </c>
      <c r="V6954">
        <v>0.2885837</v>
      </c>
      <c r="W6954">
        <v>0.1429388</v>
      </c>
      <c r="X6954">
        <v>0.94672489999999998</v>
      </c>
      <c r="Y6954">
        <v>0.26516529999999999</v>
      </c>
      <c r="Z6954">
        <v>-2.500952E-2</v>
      </c>
      <c r="AA6954">
        <v>0.96387860000000003</v>
      </c>
      <c r="AB6954">
        <v>27</v>
      </c>
      <c r="AC6954">
        <v>15.934900000000001</v>
      </c>
      <c r="AD6954">
        <v>-1.1080425117479999</v>
      </c>
      <c r="AE6954">
        <v>-5.0399999999996198E-2</v>
      </c>
      <c r="AF6954">
        <v>4.2809665901126301</v>
      </c>
      <c r="AG6954">
        <v>-1.1080425117479999</v>
      </c>
      <c r="AH6954">
        <v>15.2695475330795</v>
      </c>
      <c r="AI6954">
        <v>93.996843145745203</v>
      </c>
      <c r="AJ6954">
        <v>74.338641469261205</v>
      </c>
      <c r="AK6954">
        <v>15.8969655915358</v>
      </c>
      <c r="AL6954">
        <v>81.782062543275202</v>
      </c>
      <c r="AM6954">
        <v>73.047563080681897</v>
      </c>
      <c r="AN6954">
        <v>1.0000000443655599</v>
      </c>
    </row>
    <row r="6955" spans="1:40" x14ac:dyDescent="0.25">
      <c r="A6955" t="str">
        <f>"20190303162439208"</f>
        <v>20190303162439208</v>
      </c>
      <c r="B6955" t="str">
        <f>"1551601479202008"</f>
        <v>1551601479202008</v>
      </c>
      <c r="C6955" t="s">
        <v>40</v>
      </c>
      <c r="D6955">
        <v>5.7871949999999996</v>
      </c>
      <c r="E6955">
        <v>0.4958148</v>
      </c>
      <c r="F6955" t="s">
        <v>41</v>
      </c>
      <c r="G6955">
        <v>-156.96940000000001</v>
      </c>
      <c r="H6955" s="1">
        <v>-1.5029029999999999E-6</v>
      </c>
      <c r="I6955">
        <v>138.3732</v>
      </c>
      <c r="J6955">
        <v>-172.6069</v>
      </c>
      <c r="K6955">
        <v>1.108066</v>
      </c>
      <c r="L6955">
        <v>138.5077</v>
      </c>
      <c r="M6955">
        <v>0.96799159999999995</v>
      </c>
      <c r="N6955">
        <v>-1.541823E-2</v>
      </c>
      <c r="O6955">
        <v>0.25050850000000002</v>
      </c>
      <c r="P6955">
        <v>0.99007860000000003</v>
      </c>
      <c r="Q6955">
        <v>0.13761300000000001</v>
      </c>
      <c r="R6955">
        <v>-2.8408249999999999E-2</v>
      </c>
      <c r="S6955">
        <v>3.058395</v>
      </c>
      <c r="T6955">
        <v>-0.2131034</v>
      </c>
      <c r="U6955">
        <v>-1.528931E-2</v>
      </c>
      <c r="V6955">
        <v>0.28006599999999998</v>
      </c>
      <c r="W6955">
        <v>0.1437996</v>
      </c>
      <c r="X6955">
        <v>0.94914949999999998</v>
      </c>
      <c r="Y6955">
        <v>0.25426500000000002</v>
      </c>
      <c r="Z6955">
        <v>-2.4216169999999999E-2</v>
      </c>
      <c r="AA6955">
        <v>0.96683140000000001</v>
      </c>
      <c r="AB6955">
        <v>27</v>
      </c>
      <c r="AC6955">
        <v>15.6374999999999</v>
      </c>
      <c r="AD6955">
        <v>-1.108067502903</v>
      </c>
      <c r="AE6955">
        <v>-0.13450000000000201</v>
      </c>
      <c r="AF6955">
        <v>4.0277804394465404</v>
      </c>
      <c r="AG6955">
        <v>-1.108067502903</v>
      </c>
      <c r="AH6955">
        <v>15.0296115895054</v>
      </c>
      <c r="AI6955">
        <v>94.0733145304376</v>
      </c>
      <c r="AJ6955">
        <v>74.997836933807704</v>
      </c>
      <c r="AK6955">
        <v>15.599360672501</v>
      </c>
      <c r="AL6955">
        <v>81.732227396235601</v>
      </c>
      <c r="AM6955">
        <v>73.560225850302601</v>
      </c>
      <c r="AN6955">
        <v>1.0000000313332</v>
      </c>
    </row>
    <row r="6956" spans="1:40" x14ac:dyDescent="0.25">
      <c r="A6956" t="str">
        <f>"20190303162439232"</f>
        <v>20190303162439232</v>
      </c>
      <c r="B6956" t="str">
        <f>"1551601479221527"</f>
        <v>1551601479221527</v>
      </c>
      <c r="C6956" t="s">
        <v>40</v>
      </c>
      <c r="D6956">
        <v>5.5063570000000004</v>
      </c>
      <c r="E6956">
        <v>0.49523889999999998</v>
      </c>
      <c r="F6956" t="s">
        <v>41</v>
      </c>
      <c r="G6956">
        <v>-156.27180000000001</v>
      </c>
      <c r="H6956" s="1">
        <v>-1.811087E-6</v>
      </c>
      <c r="I6956">
        <v>138.3229</v>
      </c>
      <c r="J6956">
        <v>-172.339</v>
      </c>
      <c r="K6956">
        <v>1.1080920000000001</v>
      </c>
      <c r="L6956">
        <v>138.55850000000001</v>
      </c>
      <c r="M6956">
        <v>0.97213240000000001</v>
      </c>
      <c r="N6956">
        <v>-1.541417E-2</v>
      </c>
      <c r="O6956">
        <v>0.23392540000000001</v>
      </c>
      <c r="P6956">
        <v>0.98980089999999998</v>
      </c>
      <c r="Q6956">
        <v>0.13772989999999999</v>
      </c>
      <c r="R6956">
        <v>-3.6399609999999999E-2</v>
      </c>
      <c r="S6956">
        <v>3.0579070000000002</v>
      </c>
      <c r="T6956">
        <v>-0.2074281</v>
      </c>
      <c r="U6956">
        <v>-3.4576419999999997E-2</v>
      </c>
      <c r="V6956">
        <v>0.2714685</v>
      </c>
      <c r="W6956">
        <v>0.14422660000000001</v>
      </c>
      <c r="X6956">
        <v>0.95157950000000002</v>
      </c>
      <c r="Y6956">
        <v>0.24393049999999999</v>
      </c>
      <c r="Z6956">
        <v>-2.2262359999999998E-2</v>
      </c>
      <c r="AA6956">
        <v>0.96953710000000004</v>
      </c>
      <c r="AB6956">
        <v>27</v>
      </c>
      <c r="AC6956">
        <v>16.0672</v>
      </c>
      <c r="AD6956">
        <v>-1.108093811087</v>
      </c>
      <c r="AE6956">
        <v>-0.235600000000005</v>
      </c>
      <c r="AF6956">
        <v>3.96915959161411</v>
      </c>
      <c r="AG6956">
        <v>-1.108093811087</v>
      </c>
      <c r="AH6956">
        <v>15.4925097351483</v>
      </c>
      <c r="AI6956">
        <v>93.963501853022805</v>
      </c>
      <c r="AJ6956">
        <v>75.629983891660004</v>
      </c>
      <c r="AK6956">
        <v>16.0312182210691</v>
      </c>
      <c r="AL6956">
        <v>81.707504133633606</v>
      </c>
      <c r="AM6956">
        <v>74.077505728336106</v>
      </c>
      <c r="AN6956">
        <v>1.0000000017300299</v>
      </c>
    </row>
    <row r="6957" spans="1:40" x14ac:dyDescent="0.25">
      <c r="A6957" t="str">
        <f>"20190303162439277"</f>
        <v>20190303162439277</v>
      </c>
      <c r="B6957" t="str">
        <f>"1551601479261545"</f>
        <v>1551601479261545</v>
      </c>
      <c r="C6957" t="s">
        <v>40</v>
      </c>
      <c r="D6957">
        <v>5.7196730000000002</v>
      </c>
      <c r="E6957">
        <v>0.49420649999999999</v>
      </c>
      <c r="F6957" t="s">
        <v>41</v>
      </c>
      <c r="G6957">
        <v>-156.07570000000001</v>
      </c>
      <c r="H6957" s="1">
        <v>-1.9048599999999999E-6</v>
      </c>
      <c r="I6957">
        <v>138.26849999999999</v>
      </c>
      <c r="J6957">
        <v>-171.7901</v>
      </c>
      <c r="K6957">
        <v>1.1081490000000001</v>
      </c>
      <c r="L6957">
        <v>138.6482</v>
      </c>
      <c r="M6957">
        <v>0.97968719999999998</v>
      </c>
      <c r="N6957">
        <v>-1.540245E-2</v>
      </c>
      <c r="O6957">
        <v>0.1999397</v>
      </c>
      <c r="P6957">
        <v>0.98931100000000005</v>
      </c>
      <c r="Q6957">
        <v>0.1363962</v>
      </c>
      <c r="R6957">
        <v>-5.1576950000000003E-2</v>
      </c>
      <c r="S6957">
        <v>3.0578919999999998</v>
      </c>
      <c r="T6957">
        <v>-0.20834910000000001</v>
      </c>
      <c r="U6957">
        <v>-5.4534909999999999E-2</v>
      </c>
      <c r="V6957">
        <v>0.25282349999999998</v>
      </c>
      <c r="W6957">
        <v>0.14356269999999999</v>
      </c>
      <c r="X6957">
        <v>0.95680200000000004</v>
      </c>
      <c r="Y6957">
        <v>0.21651480000000001</v>
      </c>
      <c r="Z6957">
        <v>-1.948853E-2</v>
      </c>
      <c r="AA6957">
        <v>0.97608479999999997</v>
      </c>
      <c r="AB6957">
        <v>27</v>
      </c>
      <c r="AC6957">
        <v>15.7143999999999</v>
      </c>
      <c r="AD6957">
        <v>-1.10815090486</v>
      </c>
      <c r="AE6957">
        <v>-0.37970000000001303</v>
      </c>
      <c r="AF6957">
        <v>3.4969567439634401</v>
      </c>
      <c r="AG6957">
        <v>-1.10815090486</v>
      </c>
      <c r="AH6957">
        <v>15.245327962404</v>
      </c>
      <c r="AI6957">
        <v>94.052518368272999</v>
      </c>
      <c r="AJ6957">
        <v>77.081037875162494</v>
      </c>
      <c r="AK6957">
        <v>15.6804569314274</v>
      </c>
      <c r="AL6957">
        <v>81.745942977746395</v>
      </c>
      <c r="AM6957">
        <v>75.198572244488304</v>
      </c>
      <c r="AN6957">
        <v>1.0000000190937699</v>
      </c>
    </row>
    <row r="6958" spans="1:40" x14ac:dyDescent="0.25">
      <c r="A6958" t="str">
        <f>"20190303162439298"</f>
        <v>20190303162439298</v>
      </c>
      <c r="B6958" t="str">
        <f>"1551601479291799"</f>
        <v>1551601479291799</v>
      </c>
      <c r="C6958" t="s">
        <v>40</v>
      </c>
      <c r="D6958">
        <v>5.7885200000000001</v>
      </c>
      <c r="E6958">
        <v>0.4935871</v>
      </c>
      <c r="F6958" t="s">
        <v>41</v>
      </c>
      <c r="G6958">
        <v>-155.9316</v>
      </c>
      <c r="H6958" s="1">
        <v>-1.9881469999999999E-6</v>
      </c>
      <c r="I6958">
        <v>138.14760000000001</v>
      </c>
      <c r="J6958">
        <v>-171.52590000000001</v>
      </c>
      <c r="K6958">
        <v>1.108185</v>
      </c>
      <c r="L6958">
        <v>138.68450000000001</v>
      </c>
      <c r="M6958">
        <v>0.98288419999999999</v>
      </c>
      <c r="N6958">
        <v>-1.5394339999999999E-2</v>
      </c>
      <c r="O6958">
        <v>0.18358050000000001</v>
      </c>
      <c r="P6958">
        <v>0.98907279999999997</v>
      </c>
      <c r="Q6958">
        <v>0.13589960000000001</v>
      </c>
      <c r="R6958">
        <v>-5.7154759999999999E-2</v>
      </c>
      <c r="S6958">
        <v>3.0568390000000001</v>
      </c>
      <c r="T6958">
        <v>-0.21360290000000001</v>
      </c>
      <c r="U6958">
        <v>-9.6496579999999998E-2</v>
      </c>
      <c r="V6958">
        <v>0.24221970000000001</v>
      </c>
      <c r="W6958">
        <v>0.14344279999999901</v>
      </c>
      <c r="X6958">
        <v>0.9595591</v>
      </c>
      <c r="Y6958">
        <v>0.21362249999999999</v>
      </c>
      <c r="Z6958">
        <v>-1.9030579999999998E-2</v>
      </c>
      <c r="AA6958">
        <v>0.97673089999999996</v>
      </c>
      <c r="AB6958">
        <v>27</v>
      </c>
      <c r="AC6958">
        <v>15.5943</v>
      </c>
      <c r="AD6958">
        <v>-1.1081869881469999</v>
      </c>
      <c r="AE6958">
        <v>-0.53690000000000204</v>
      </c>
      <c r="AF6958">
        <v>3.3739033561521201</v>
      </c>
      <c r="AG6958">
        <v>-1.1081869881469999</v>
      </c>
      <c r="AH6958">
        <v>15.154191919376901</v>
      </c>
      <c r="AI6958">
        <v>94.082833615896007</v>
      </c>
      <c r="AJ6958">
        <v>77.448477266501598</v>
      </c>
      <c r="AK6958">
        <v>15.5647304823007</v>
      </c>
      <c r="AL6958">
        <v>81.752883957269304</v>
      </c>
      <c r="AM6958">
        <v>75.832894066033404</v>
      </c>
      <c r="AN6958">
        <v>0.99999994316636798</v>
      </c>
    </row>
    <row r="6959" spans="1:40" x14ac:dyDescent="0.25">
      <c r="A6959" t="str">
        <f>"20190303162439321"</f>
        <v>20190303162439321</v>
      </c>
      <c r="B6959" t="str">
        <f>"1551601479312295"</f>
        <v>1551601479312295</v>
      </c>
      <c r="C6959" t="s">
        <v>40</v>
      </c>
      <c r="D6959">
        <v>5.7222939999999998</v>
      </c>
      <c r="E6959">
        <v>0.4881006</v>
      </c>
      <c r="F6959" t="s">
        <v>41</v>
      </c>
      <c r="G6959">
        <v>-155.89689999999999</v>
      </c>
      <c r="H6959" s="1">
        <v>-2.0070820000000002E-6</v>
      </c>
      <c r="I6959">
        <v>138.12469999999999</v>
      </c>
      <c r="J6959">
        <v>-171.25110000000001</v>
      </c>
      <c r="K6959">
        <v>1.1082289999999999</v>
      </c>
      <c r="L6959">
        <v>138.7176</v>
      </c>
      <c r="M6959">
        <v>0.98590809999999995</v>
      </c>
      <c r="N6959">
        <v>-1.5383910000000001E-2</v>
      </c>
      <c r="O6959">
        <v>0.16657910000000001</v>
      </c>
      <c r="P6959">
        <v>0.98897029999999997</v>
      </c>
      <c r="Q6959">
        <v>0.13482820000000001</v>
      </c>
      <c r="R6959">
        <v>-6.1311930000000001E-2</v>
      </c>
      <c r="S6959">
        <v>3.0565950000000002</v>
      </c>
      <c r="T6959">
        <v>-0.21673049999999999</v>
      </c>
      <c r="U6959">
        <v>-0.1094818</v>
      </c>
      <c r="V6959">
        <v>0.22961619999999999</v>
      </c>
      <c r="W6959">
        <v>0.1428142</v>
      </c>
      <c r="X6959">
        <v>0.96274630000000005</v>
      </c>
      <c r="Y6959">
        <v>0.20091990000000001</v>
      </c>
      <c r="Z6959">
        <v>-1.785395E-2</v>
      </c>
      <c r="AA6959">
        <v>0.97944500000000001</v>
      </c>
      <c r="AB6959">
        <v>27</v>
      </c>
      <c r="AC6959">
        <v>15.354200000000001</v>
      </c>
      <c r="AD6959">
        <v>-1.1082310070819901</v>
      </c>
      <c r="AE6959">
        <v>-0.59290000000001397</v>
      </c>
      <c r="AF6959">
        <v>3.1263427420473202</v>
      </c>
      <c r="AG6959">
        <v>-1.1082310070819901</v>
      </c>
      <c r="AH6959">
        <v>14.963009440667401</v>
      </c>
      <c r="AI6959">
        <v>94.146639679076799</v>
      </c>
      <c r="AJ6959">
        <v>78.198505951679905</v>
      </c>
      <c r="AK6959">
        <v>15.326246977891</v>
      </c>
      <c r="AL6959">
        <v>81.789274956286405</v>
      </c>
      <c r="AM6959">
        <v>76.585489268960202</v>
      </c>
      <c r="AN6959">
        <v>0.99999996659388402</v>
      </c>
    </row>
    <row r="6960" spans="1:40" x14ac:dyDescent="0.25">
      <c r="A6960" t="str">
        <f>"20190303162439365"</f>
        <v>20190303162439365</v>
      </c>
      <c r="B6960" t="str">
        <f>"1551601479352312"</f>
        <v>1551601479352312</v>
      </c>
      <c r="C6960" t="s">
        <v>40</v>
      </c>
      <c r="D6960">
        <v>5.7855400000000001</v>
      </c>
      <c r="E6960">
        <v>0.48698269999999999</v>
      </c>
      <c r="F6960" t="s">
        <v>41</v>
      </c>
      <c r="G6960">
        <v>-156.1925</v>
      </c>
      <c r="H6960" s="1">
        <v>-1.843455E-6</v>
      </c>
      <c r="I6960">
        <v>138.3323</v>
      </c>
      <c r="J6960">
        <v>-170.7116</v>
      </c>
      <c r="K6960">
        <v>1.1083559999999999</v>
      </c>
      <c r="L6960">
        <v>138.76830000000001</v>
      </c>
      <c r="M6960">
        <v>0.99095730000000004</v>
      </c>
      <c r="N6960">
        <v>-1.535653E-2</v>
      </c>
      <c r="O6960">
        <v>0.13329639999999901</v>
      </c>
      <c r="P6960">
        <v>0.98855470000000001</v>
      </c>
      <c r="Q6960">
        <v>0.13377069999999999</v>
      </c>
      <c r="R6960">
        <v>-6.9748950000000004E-2</v>
      </c>
      <c r="S6960">
        <v>3.0593110000000001</v>
      </c>
      <c r="T6960">
        <v>-0.22514870000000001</v>
      </c>
      <c r="U6960">
        <v>-7.8277589999999994E-2</v>
      </c>
      <c r="V6960">
        <v>0.20525560000000001</v>
      </c>
      <c r="W6960">
        <v>0.14260129999999999</v>
      </c>
      <c r="X6960">
        <v>0.96826389999999996</v>
      </c>
      <c r="Y6960">
        <v>0.1578783</v>
      </c>
      <c r="Z6960">
        <v>-1.4744129999999999E-2</v>
      </c>
      <c r="AA6960">
        <v>0.98734849999999996</v>
      </c>
      <c r="AB6960">
        <v>27</v>
      </c>
      <c r="AC6960">
        <v>14.5191</v>
      </c>
      <c r="AD6960">
        <v>-1.1083578434550001</v>
      </c>
      <c r="AE6960">
        <v>-0.43600000000000699</v>
      </c>
      <c r="AF6960">
        <v>2.3539748145712198</v>
      </c>
      <c r="AG6960">
        <v>-1.1083578434550001</v>
      </c>
      <c r="AH6960">
        <v>14.2484223992192</v>
      </c>
      <c r="AI6960">
        <v>94.388720343084003</v>
      </c>
      <c r="AJ6960">
        <v>80.618929673786496</v>
      </c>
      <c r="AK6960">
        <v>14.4840324289666</v>
      </c>
      <c r="AL6960">
        <v>81.801599530918907</v>
      </c>
      <c r="AM6960">
        <v>78.031439326608705</v>
      </c>
      <c r="AN6960">
        <v>0.99999998606812901</v>
      </c>
    </row>
    <row r="6961" spans="1:40" x14ac:dyDescent="0.25">
      <c r="A6961" t="str">
        <f>"20190303162439388"</f>
        <v>20190303162439388</v>
      </c>
      <c r="B6961" t="str">
        <f>"1551601479381591"</f>
        <v>1551601479381591</v>
      </c>
      <c r="C6961" t="s">
        <v>40</v>
      </c>
      <c r="D6961">
        <v>5.792046</v>
      </c>
      <c r="E6961">
        <v>0.48700070000000001</v>
      </c>
      <c r="F6961" t="s">
        <v>42</v>
      </c>
      <c r="G6961">
        <v>-169.75649999999999</v>
      </c>
      <c r="H6961">
        <v>1.036969</v>
      </c>
      <c r="I6961">
        <v>138.73779999999999</v>
      </c>
      <c r="J6961">
        <v>-170.4341</v>
      </c>
      <c r="K6961">
        <v>1.1084240000000001</v>
      </c>
      <c r="L6961">
        <v>138.78720000000001</v>
      </c>
      <c r="M6961">
        <v>0.99310330000000002</v>
      </c>
      <c r="N6961">
        <v>-1.533881E-2</v>
      </c>
      <c r="O6961">
        <v>0.1162348</v>
      </c>
      <c r="P6961">
        <v>0.98796799999999996</v>
      </c>
      <c r="Q6961">
        <v>0.13508499999999901</v>
      </c>
      <c r="R6961">
        <v>-7.5307529999999998E-2</v>
      </c>
      <c r="S6961">
        <v>3.0587309999999999</v>
      </c>
      <c r="T6961">
        <v>-0.22836429999999999</v>
      </c>
      <c r="U6961">
        <v>-9.7427369999999999E-2</v>
      </c>
      <c r="V6961">
        <v>0.19401170000000001</v>
      </c>
      <c r="W6961">
        <v>0.14429600000000001</v>
      </c>
      <c r="X6961">
        <v>0.97032890000000005</v>
      </c>
      <c r="Y6961">
        <v>0.1471132</v>
      </c>
      <c r="Z6961">
        <v>-1.3483490000000001E-2</v>
      </c>
      <c r="AA6961">
        <v>0.98902769999999995</v>
      </c>
      <c r="AB6961">
        <v>27</v>
      </c>
      <c r="AC6961">
        <v>0.67760000000001197</v>
      </c>
      <c r="AD6961">
        <v>-7.1455000000000005E-2</v>
      </c>
      <c r="AE6961">
        <v>-4.9400000000019803E-2</v>
      </c>
      <c r="AF6961">
        <v>0.12643646047214699</v>
      </c>
      <c r="AG6961">
        <v>-7.1455000000000005E-2</v>
      </c>
      <c r="AH6961">
        <v>0.65996308792494895</v>
      </c>
      <c r="AI6961">
        <v>96.069869923334593</v>
      </c>
      <c r="AJ6961">
        <v>79.154623819730602</v>
      </c>
      <c r="AK6961">
        <v>0.67575385532393295</v>
      </c>
      <c r="AL6961">
        <v>81.703485965447399</v>
      </c>
      <c r="AM6961">
        <v>78.693138044094994</v>
      </c>
      <c r="AN6961">
        <v>1.0000000247640499</v>
      </c>
    </row>
    <row r="6962" spans="1:40" x14ac:dyDescent="0.25">
      <c r="A6962" t="str">
        <f>"20190303162439410"</f>
        <v>20190303162439410</v>
      </c>
      <c r="B6962" t="str">
        <f>"1551601479402088"</f>
        <v>1551601479402088</v>
      </c>
      <c r="C6962" t="s">
        <v>40</v>
      </c>
      <c r="D6962">
        <v>5.8478909999999997</v>
      </c>
      <c r="E6962">
        <v>0.48712840000000002</v>
      </c>
      <c r="F6962" t="s">
        <v>42</v>
      </c>
      <c r="G6962">
        <v>-169.51329999999999</v>
      </c>
      <c r="H6962">
        <v>1.040287</v>
      </c>
      <c r="I6962">
        <v>138.75210000000001</v>
      </c>
      <c r="J6962">
        <v>-170.15969999999999</v>
      </c>
      <c r="K6962">
        <v>1.108509</v>
      </c>
      <c r="L6962">
        <v>138.8013</v>
      </c>
      <c r="M6962">
        <v>0.99492670000000005</v>
      </c>
      <c r="N6962">
        <v>-1.531941E-2</v>
      </c>
      <c r="O6962">
        <v>9.9430039999999997E-2</v>
      </c>
      <c r="P6962">
        <v>0.9877262</v>
      </c>
      <c r="Q6962">
        <v>0.13524659999999999</v>
      </c>
      <c r="R6962">
        <v>-7.8136960000000005E-2</v>
      </c>
      <c r="S6962">
        <v>3.0585779999999998</v>
      </c>
      <c r="T6962">
        <v>-0.2262082</v>
      </c>
      <c r="U6962">
        <v>-0.1165009</v>
      </c>
      <c r="V6962">
        <v>0.18032219999999999</v>
      </c>
      <c r="W6962">
        <v>0.14491409999999999</v>
      </c>
      <c r="X6962">
        <v>0.97287400000000002</v>
      </c>
      <c r="Y6962">
        <v>0.13662299999999999</v>
      </c>
      <c r="Z6962">
        <v>-1.1905260000000001E-2</v>
      </c>
      <c r="AA6962">
        <v>0.99055159999999998</v>
      </c>
      <c r="AB6962">
        <v>27</v>
      </c>
      <c r="AC6962">
        <v>0.64639999999999898</v>
      </c>
      <c r="AD6962">
        <v>-6.82219999999997E-2</v>
      </c>
      <c r="AE6962">
        <v>-4.9199999999984798E-2</v>
      </c>
      <c r="AF6962">
        <v>0.11199492488829201</v>
      </c>
      <c r="AG6962">
        <v>-6.82219999999997E-2</v>
      </c>
      <c r="AH6962">
        <v>0.63131183811730496</v>
      </c>
      <c r="AI6962">
        <v>96.073565109410296</v>
      </c>
      <c r="AJ6962">
        <v>79.940367296531093</v>
      </c>
      <c r="AK6962">
        <v>0.64478813685720404</v>
      </c>
      <c r="AL6962">
        <v>81.667695107429196</v>
      </c>
      <c r="AM6962">
        <v>79.499392933652999</v>
      </c>
      <c r="AN6962">
        <v>1.0000000060338201</v>
      </c>
    </row>
    <row r="6963" spans="1:40" x14ac:dyDescent="0.25">
      <c r="A6963" t="str">
        <f>"20190303162439433"</f>
        <v>20190303162439433</v>
      </c>
      <c r="B6963" t="str">
        <f>"1551601479421608"</f>
        <v>1551601479421608</v>
      </c>
      <c r="C6963" t="s">
        <v>40</v>
      </c>
      <c r="D6963">
        <v>5.5301479999999996</v>
      </c>
      <c r="E6963">
        <v>0.4876355</v>
      </c>
      <c r="F6963" t="s">
        <v>42</v>
      </c>
      <c r="G6963">
        <v>-169.2706</v>
      </c>
      <c r="H6963">
        <v>1.0424009999999999</v>
      </c>
      <c r="I6963">
        <v>138.76419999999999</v>
      </c>
      <c r="J6963">
        <v>-169.89359999999999</v>
      </c>
      <c r="K6963">
        <v>1.1085910000000001</v>
      </c>
      <c r="L6963">
        <v>138.8107</v>
      </c>
      <c r="M6963">
        <v>0.99641440000000003</v>
      </c>
      <c r="N6963">
        <v>-1.5296840000000001E-2</v>
      </c>
      <c r="O6963">
        <v>8.3212830000000002E-2</v>
      </c>
      <c r="P6963">
        <v>0.9879194</v>
      </c>
      <c r="Q6963">
        <v>0.1335394</v>
      </c>
      <c r="R6963">
        <v>-7.8630190000000003E-2</v>
      </c>
      <c r="S6963">
        <v>3.0582729999999998</v>
      </c>
      <c r="T6963">
        <v>-0.2270597</v>
      </c>
      <c r="U6963">
        <v>-0.12767029999999999</v>
      </c>
      <c r="V6963">
        <v>0.16485279999999899</v>
      </c>
      <c r="W6963">
        <v>0.1437184</v>
      </c>
      <c r="X6963">
        <v>0.97579130000000003</v>
      </c>
      <c r="Y6963">
        <v>0.124159199999999</v>
      </c>
      <c r="Z6963">
        <v>-1.0445050000000001E-2</v>
      </c>
      <c r="AA6963">
        <v>0.99220730000000001</v>
      </c>
      <c r="AB6963">
        <v>27</v>
      </c>
      <c r="AC6963">
        <v>0.62299999999999001</v>
      </c>
      <c r="AD6963">
        <v>-6.6189999999999902E-2</v>
      </c>
      <c r="AE6963">
        <v>-4.6500000000008798E-2</v>
      </c>
      <c r="AF6963">
        <v>9.7096418232142004E-2</v>
      </c>
      <c r="AG6963">
        <v>-6.6189999999999902E-2</v>
      </c>
      <c r="AH6963">
        <v>0.61012020380652698</v>
      </c>
      <c r="AI6963">
        <v>96.1152611749106</v>
      </c>
      <c r="AJ6963">
        <v>80.957600935336899</v>
      </c>
      <c r="AK6963">
        <v>0.62133364115137701</v>
      </c>
      <c r="AL6963">
        <v>81.736928740811095</v>
      </c>
      <c r="AM6963">
        <v>80.410843187239706</v>
      </c>
      <c r="AN6963">
        <v>1.00000004266104</v>
      </c>
    </row>
    <row r="6964" spans="1:40" x14ac:dyDescent="0.25">
      <c r="A6964" t="str">
        <f>"20190303162439455"</f>
        <v>20190303162439455</v>
      </c>
      <c r="B6964" t="str">
        <f>"1551601479442104"</f>
        <v>1551601479442104</v>
      </c>
      <c r="C6964" t="s">
        <v>40</v>
      </c>
      <c r="D6964">
        <v>5.841183</v>
      </c>
      <c r="E6964">
        <v>0.48728559999999999</v>
      </c>
      <c r="F6964" t="s">
        <v>42</v>
      </c>
      <c r="G6964">
        <v>-169.02969999999999</v>
      </c>
      <c r="H6964">
        <v>1.042152</v>
      </c>
      <c r="I6964">
        <v>138.77250000000001</v>
      </c>
      <c r="J6964">
        <v>-169.61449999999999</v>
      </c>
      <c r="K6964">
        <v>1.1087009999999999</v>
      </c>
      <c r="L6964">
        <v>138.816</v>
      </c>
      <c r="M6964">
        <v>0.99767950000000005</v>
      </c>
      <c r="N6964">
        <v>-1.5265900000000001E-2</v>
      </c>
      <c r="O6964">
        <v>6.6352099999999997E-2</v>
      </c>
      <c r="P6964">
        <v>0.98813200000000001</v>
      </c>
      <c r="Q6964">
        <v>0.131288299999999</v>
      </c>
      <c r="R6964">
        <v>-7.9741309999999996E-2</v>
      </c>
      <c r="S6964">
        <v>3.057693</v>
      </c>
      <c r="T6964">
        <v>-0.23503650000000001</v>
      </c>
      <c r="U6964">
        <v>-0.13510129999999901</v>
      </c>
      <c r="V6964">
        <v>0.14931649999999999</v>
      </c>
      <c r="W6964">
        <v>0.14197460000000001</v>
      </c>
      <c r="X6964">
        <v>0.97854370000000002</v>
      </c>
      <c r="Y6964">
        <v>0.10982550000000001</v>
      </c>
      <c r="Z6964">
        <v>-9.1308429999999996E-3</v>
      </c>
      <c r="AA6964">
        <v>0.99390889999999998</v>
      </c>
      <c r="AB6964">
        <v>27</v>
      </c>
      <c r="AC6964">
        <v>0.58480000000000099</v>
      </c>
      <c r="AD6964">
        <v>-6.65489999999999E-2</v>
      </c>
      <c r="AE6964">
        <v>-4.3499999999994501E-2</v>
      </c>
      <c r="AF6964">
        <v>8.1166032187726903E-2</v>
      </c>
      <c r="AG6964">
        <v>-6.65489999999999E-2</v>
      </c>
      <c r="AH6964">
        <v>0.57324169869603503</v>
      </c>
      <c r="AI6964">
        <v>96.557136394878299</v>
      </c>
      <c r="AJ6964">
        <v>81.940987616003895</v>
      </c>
      <c r="AK6964">
        <v>0.58277160132080497</v>
      </c>
      <c r="AL6964">
        <v>81.837875918064498</v>
      </c>
      <c r="AM6964">
        <v>81.324129619755297</v>
      </c>
      <c r="AN6964">
        <v>0.99999998851354999</v>
      </c>
    </row>
    <row r="6965" spans="1:40" x14ac:dyDescent="0.25">
      <c r="A6965" t="str">
        <f>"20190303162439478"</f>
        <v>20190303162439478</v>
      </c>
      <c r="B6965" t="str">
        <f>"1551601479471385"</f>
        <v>1551601479471385</v>
      </c>
      <c r="C6965" t="s">
        <v>40</v>
      </c>
      <c r="D6965">
        <v>5.5758219999999996</v>
      </c>
      <c r="E6965">
        <v>0.48716470000000001</v>
      </c>
      <c r="F6965" t="s">
        <v>42</v>
      </c>
      <c r="G6965">
        <v>-168.78829999999999</v>
      </c>
      <c r="H6965">
        <v>1.0420640000000001</v>
      </c>
      <c r="I6965">
        <v>138.7784</v>
      </c>
      <c r="J6965">
        <v>-169.34540000000001</v>
      </c>
      <c r="K6965">
        <v>1.1088549999999999</v>
      </c>
      <c r="L6965">
        <v>138.8169</v>
      </c>
      <c r="M6965">
        <v>0.99861889999999998</v>
      </c>
      <c r="N6965">
        <v>-1.522923E-2</v>
      </c>
      <c r="O6965">
        <v>5.028494E-2</v>
      </c>
      <c r="P6965">
        <v>0.9878924</v>
      </c>
      <c r="Q6965">
        <v>0.1321078</v>
      </c>
      <c r="R6965">
        <v>-8.1343570000000004E-2</v>
      </c>
      <c r="S6965">
        <v>3.0575260000000002</v>
      </c>
      <c r="T6965">
        <v>-0.24613599999999999</v>
      </c>
      <c r="U6965">
        <v>-0.1390991</v>
      </c>
      <c r="V6965">
        <v>0.135076799999999</v>
      </c>
      <c r="W6965">
        <v>0.14324979999999901</v>
      </c>
      <c r="X6965">
        <v>0.98042530000000006</v>
      </c>
      <c r="Y6965">
        <v>9.5155859999999995E-2</v>
      </c>
      <c r="Z6965">
        <v>-7.8231380000000003E-3</v>
      </c>
      <c r="AA6965">
        <v>0.99543170000000003</v>
      </c>
      <c r="AB6965">
        <v>27</v>
      </c>
      <c r="AC6965">
        <v>0.55710000000001902</v>
      </c>
      <c r="AD6965">
        <v>-6.6791000000000003E-2</v>
      </c>
      <c r="AE6965">
        <v>-3.8499999999999E-2</v>
      </c>
      <c r="AF6965">
        <v>6.5530823675498701E-2</v>
      </c>
      <c r="AG6965">
        <v>-6.6791000000000003E-2</v>
      </c>
      <c r="AH6965">
        <v>0.54663896605891005</v>
      </c>
      <c r="AI6965">
        <v>96.917105977233206</v>
      </c>
      <c r="AJ6965">
        <v>83.1640309840068</v>
      </c>
      <c r="AK6965">
        <v>0.55458947496913702</v>
      </c>
      <c r="AL6965">
        <v>81.764057974044803</v>
      </c>
      <c r="AM6965">
        <v>82.1555344008041</v>
      </c>
      <c r="AN6965">
        <v>1.00000000798918</v>
      </c>
    </row>
    <row r="6966" spans="1:40" x14ac:dyDescent="0.25">
      <c r="A6966" t="str">
        <f>"20190303162439501"</f>
        <v>20190303162439501</v>
      </c>
      <c r="B6966" t="str">
        <f>"1551601479491879"</f>
        <v>1551601479491879</v>
      </c>
      <c r="C6966" t="s">
        <v>40</v>
      </c>
      <c r="D6966">
        <v>5.9018470000000001</v>
      </c>
      <c r="E6966">
        <v>0.48785840000000003</v>
      </c>
      <c r="F6966" t="s">
        <v>42</v>
      </c>
      <c r="G6966">
        <v>-168.54419999999999</v>
      </c>
      <c r="H6966">
        <v>1.0445519999999999</v>
      </c>
      <c r="I6966">
        <v>138.77889999999999</v>
      </c>
      <c r="J6966">
        <v>-169.05</v>
      </c>
      <c r="K6966">
        <v>1.109103</v>
      </c>
      <c r="L6966">
        <v>138.8133</v>
      </c>
      <c r="M6966">
        <v>0.99934040000000002</v>
      </c>
      <c r="N6966">
        <v>-1.519274E-2</v>
      </c>
      <c r="O6966">
        <v>3.2982640000000001E-2</v>
      </c>
      <c r="P6966">
        <v>0.98727359999999997</v>
      </c>
      <c r="Q6966">
        <v>0.13431290000000001</v>
      </c>
      <c r="R6966">
        <v>-8.5152160000000005E-2</v>
      </c>
      <c r="S6966">
        <v>3.0576629999999998</v>
      </c>
      <c r="T6966">
        <v>-0.2455968</v>
      </c>
      <c r="U6966">
        <v>-0.14520259999999999</v>
      </c>
      <c r="V6966">
        <v>0.1218099</v>
      </c>
      <c r="W6966">
        <v>0.14588870000000001</v>
      </c>
      <c r="X6966">
        <v>0.98177329999999996</v>
      </c>
      <c r="Y6966">
        <v>7.9982499999999998E-2</v>
      </c>
      <c r="Z6966">
        <v>-5.9577939999999998E-3</v>
      </c>
      <c r="AA6966">
        <v>0.99677850000000001</v>
      </c>
      <c r="AB6966">
        <v>26</v>
      </c>
      <c r="AC6966">
        <v>0.50580000000002201</v>
      </c>
      <c r="AD6966">
        <v>-6.4550999999999997E-2</v>
      </c>
      <c r="AE6966">
        <v>-3.4400000000005003E-2</v>
      </c>
      <c r="AF6966">
        <v>5.0251139674096598E-2</v>
      </c>
      <c r="AG6966">
        <v>-6.4550999999999997E-2</v>
      </c>
      <c r="AH6966">
        <v>0.496343155044215</v>
      </c>
      <c r="AI6966">
        <v>97.3726368374288</v>
      </c>
      <c r="AJ6966">
        <v>84.218916953230803</v>
      </c>
      <c r="AK6966">
        <v>0.50303929886122301</v>
      </c>
      <c r="AL6966">
        <v>81.611254685951195</v>
      </c>
      <c r="AM6966">
        <v>82.927380995971703</v>
      </c>
      <c r="AN6966">
        <v>0.99999998855929395</v>
      </c>
    </row>
    <row r="6967" spans="1:40" x14ac:dyDescent="0.25">
      <c r="A6967" t="str">
        <f>"20190303162439522"</f>
        <v>20190303162439522</v>
      </c>
      <c r="B6967" t="str">
        <f>"1551601479511399"</f>
        <v>1551601479511399</v>
      </c>
      <c r="C6967" t="s">
        <v>40</v>
      </c>
      <c r="D6967">
        <v>5.2783939999999996</v>
      </c>
      <c r="E6967">
        <v>0.48830170000000001</v>
      </c>
      <c r="F6967" t="s">
        <v>41</v>
      </c>
      <c r="G6967">
        <v>-154.86959999999999</v>
      </c>
      <c r="H6967" s="1">
        <v>-2.4595540000000001E-6</v>
      </c>
      <c r="I6967">
        <v>138.0583</v>
      </c>
      <c r="J6967">
        <v>-168.8115</v>
      </c>
      <c r="K6967">
        <v>1.109383</v>
      </c>
      <c r="L6967">
        <v>138.80680000000001</v>
      </c>
      <c r="M6967">
        <v>0.9996969</v>
      </c>
      <c r="N6967">
        <v>-1.5170919999999999E-2</v>
      </c>
      <c r="O6967">
        <v>1.939169E-2</v>
      </c>
      <c r="P6967">
        <v>0.987259</v>
      </c>
      <c r="Q6967">
        <v>0.13417750000000001</v>
      </c>
      <c r="R6967">
        <v>-8.5536689999999999E-2</v>
      </c>
      <c r="S6967">
        <v>3.057159</v>
      </c>
      <c r="T6967">
        <v>-0.23911250000000001</v>
      </c>
      <c r="U6967">
        <v>-0.16276550000000001</v>
      </c>
      <c r="V6967">
        <v>0.1087086</v>
      </c>
      <c r="W6967">
        <v>0.1461916</v>
      </c>
      <c r="X6967">
        <v>0.98326519999999995</v>
      </c>
      <c r="Y6967">
        <v>7.2220699999999999E-2</v>
      </c>
      <c r="Z6967">
        <v>-4.5871139999999998E-3</v>
      </c>
      <c r="AA6967">
        <v>0.99737810000000005</v>
      </c>
      <c r="AB6967">
        <v>26</v>
      </c>
      <c r="AC6967">
        <v>13.9419</v>
      </c>
      <c r="AD6967">
        <v>-1.109385459554</v>
      </c>
      <c r="AE6967">
        <v>-0.74850000000000705</v>
      </c>
      <c r="AF6967">
        <v>1.0123558099979599</v>
      </c>
      <c r="AG6967">
        <v>-1.109385459554</v>
      </c>
      <c r="AH6967">
        <v>13.8373988700067</v>
      </c>
      <c r="AI6967">
        <v>94.571602497152796</v>
      </c>
      <c r="AJ6967">
        <v>85.815647259033099</v>
      </c>
      <c r="AK6967">
        <v>13.9186640117351</v>
      </c>
      <c r="AL6967">
        <v>81.593711794744905</v>
      </c>
      <c r="AM6967">
        <v>83.691070511390095</v>
      </c>
      <c r="AN6967">
        <v>0.99999999857777999</v>
      </c>
    </row>
    <row r="6968" spans="1:40" x14ac:dyDescent="0.25">
      <c r="A6968" t="str">
        <f>"20190303162439544"</f>
        <v>20190303162439544</v>
      </c>
      <c r="B6968" t="str">
        <f>"1551601479531896"</f>
        <v>1551601479531896</v>
      </c>
      <c r="C6968" t="s">
        <v>40</v>
      </c>
      <c r="D6968">
        <v>5.8373200000000001</v>
      </c>
      <c r="E6968">
        <v>0.48893799999999998</v>
      </c>
      <c r="F6968" t="s">
        <v>41</v>
      </c>
      <c r="G6968">
        <v>-154.6781</v>
      </c>
      <c r="H6968" s="1">
        <v>-2.5462810000000002E-6</v>
      </c>
      <c r="I6968">
        <v>138.0326</v>
      </c>
      <c r="J6968">
        <v>-168.53639999999999</v>
      </c>
      <c r="K6968">
        <v>1.1098170000000001</v>
      </c>
      <c r="L6968">
        <v>138.79570000000001</v>
      </c>
      <c r="M6968">
        <v>0.99987599999999999</v>
      </c>
      <c r="N6968">
        <v>-1.51541E-2</v>
      </c>
      <c r="O6968">
        <v>4.2657750000000003E-3</v>
      </c>
      <c r="P6968">
        <v>0.98733439999999995</v>
      </c>
      <c r="Q6968">
        <v>0.13246920000000001</v>
      </c>
      <c r="R6968">
        <v>-8.7307010000000004E-2</v>
      </c>
      <c r="S6968">
        <v>3.0568240000000002</v>
      </c>
      <c r="T6968">
        <v>-0.23994090000000001</v>
      </c>
      <c r="U6968">
        <v>-0.16743469999999999</v>
      </c>
      <c r="V6968">
        <v>9.5369350000000006E-2</v>
      </c>
      <c r="W6968">
        <v>0.14494899999999999</v>
      </c>
      <c r="X6968">
        <v>0.98483220000000005</v>
      </c>
      <c r="Y6968">
        <v>5.8727880000000003E-2</v>
      </c>
      <c r="Z6968">
        <v>-3.015345E-3</v>
      </c>
      <c r="AA6968">
        <v>0.99826950000000003</v>
      </c>
      <c r="AB6968">
        <v>26</v>
      </c>
      <c r="AC6968">
        <v>13.8582999999999</v>
      </c>
      <c r="AD6968">
        <v>-1.1098195462809901</v>
      </c>
      <c r="AE6968">
        <v>-0.76310000000000799</v>
      </c>
      <c r="AF6968">
        <v>0.81699242056045995</v>
      </c>
      <c r="AG6968">
        <v>-1.1098195462809901</v>
      </c>
      <c r="AH6968">
        <v>13.7668933142323</v>
      </c>
      <c r="AI6968">
        <v>94.600878614335699</v>
      </c>
      <c r="AJ6968">
        <v>86.603781234904801</v>
      </c>
      <c r="AK6968">
        <v>13.835697581474401</v>
      </c>
      <c r="AL6968">
        <v>81.665674044433501</v>
      </c>
      <c r="AM6968">
        <v>84.468828185517594</v>
      </c>
      <c r="AN6968">
        <v>0.99999999383863103</v>
      </c>
    </row>
    <row r="6969" spans="1:40" x14ac:dyDescent="0.25">
      <c r="A6969" t="str">
        <f>"20190303162439568"</f>
        <v>20190303162439568</v>
      </c>
      <c r="B6969" t="str">
        <f>"1551601479562151"</f>
        <v>1551601479562151</v>
      </c>
      <c r="C6969" t="s">
        <v>40</v>
      </c>
      <c r="D6969">
        <v>5.8958589999999997</v>
      </c>
      <c r="E6969">
        <v>0.48972199999999999</v>
      </c>
      <c r="F6969" t="s">
        <v>42</v>
      </c>
      <c r="G6969">
        <v>-167.58760000000001</v>
      </c>
      <c r="H6969">
        <v>1.0331539999999999</v>
      </c>
      <c r="I6969">
        <v>138.74019999999999</v>
      </c>
      <c r="J6969">
        <v>-168.25980000000001</v>
      </c>
      <c r="K6969">
        <v>1.110365</v>
      </c>
      <c r="L6969">
        <v>138.78100000000001</v>
      </c>
      <c r="M6969">
        <v>0.99983319999999998</v>
      </c>
      <c r="N6969">
        <v>-1.5136210000000001E-2</v>
      </c>
      <c r="O6969">
        <v>-1.0232420000000001E-2</v>
      </c>
      <c r="P6969">
        <v>0.98755269999999995</v>
      </c>
      <c r="Q6969">
        <v>0.13067590000000001</v>
      </c>
      <c r="R6969">
        <v>-8.7541740000000007E-2</v>
      </c>
      <c r="S6969">
        <v>3.0558010000000002</v>
      </c>
      <c r="T6969">
        <v>-0.24686520000000001</v>
      </c>
      <c r="U6969">
        <v>-0.17890929999999999</v>
      </c>
      <c r="V6969">
        <v>8.1056589999999998E-2</v>
      </c>
      <c r="W6969">
        <v>0.14363489999999901</v>
      </c>
      <c r="X6969">
        <v>0.98630569999999895</v>
      </c>
      <c r="Y6969">
        <v>4.8064660000000002E-2</v>
      </c>
      <c r="Z6969">
        <v>-1.6315050000000001E-3</v>
      </c>
      <c r="AA6969">
        <v>0.99884289999999998</v>
      </c>
      <c r="AB6969">
        <v>26</v>
      </c>
      <c r="AC6969">
        <v>0.67220000000000302</v>
      </c>
      <c r="AD6969">
        <v>-7.7210999999999905E-2</v>
      </c>
      <c r="AE6969">
        <v>-4.0800000000018599E-2</v>
      </c>
      <c r="AF6969">
        <v>3.3478761454562599E-2</v>
      </c>
      <c r="AG6969">
        <v>-7.7210999999999905E-2</v>
      </c>
      <c r="AH6969">
        <v>0.66385587062476203</v>
      </c>
      <c r="AI6969">
        <v>96.625741188934597</v>
      </c>
      <c r="AJ6969">
        <v>87.112975660123297</v>
      </c>
      <c r="AK6969">
        <v>0.66916887476368203</v>
      </c>
      <c r="AL6969">
        <v>81.741763111990707</v>
      </c>
      <c r="AM6969">
        <v>85.301875259223706</v>
      </c>
      <c r="AN6969">
        <v>1.0000000445664601</v>
      </c>
    </row>
    <row r="6970" spans="1:40" x14ac:dyDescent="0.25">
      <c r="A6970" t="str">
        <f>"20190303162439589"</f>
        <v>20190303162439589</v>
      </c>
      <c r="B6970" t="str">
        <f>"1551601479581672"</f>
        <v>1551601479581672</v>
      </c>
      <c r="C6970" t="s">
        <v>40</v>
      </c>
      <c r="D6970">
        <v>5.6056900000000001</v>
      </c>
      <c r="E6970">
        <v>0.49019269999999998</v>
      </c>
      <c r="F6970" t="s">
        <v>42</v>
      </c>
      <c r="G6970">
        <v>-167.3468</v>
      </c>
      <c r="H6970">
        <v>1.0343329999999999</v>
      </c>
      <c r="I6970">
        <v>138.72460000000001</v>
      </c>
      <c r="J6970">
        <v>-167.99520000000001</v>
      </c>
      <c r="K6970">
        <v>1.1109089999999999</v>
      </c>
      <c r="L6970">
        <v>138.76400000000001</v>
      </c>
      <c r="M6970">
        <v>0.99960990000000005</v>
      </c>
      <c r="N6970">
        <v>-1.511449E-2</v>
      </c>
      <c r="O6970">
        <v>-2.3490710000000001E-2</v>
      </c>
      <c r="P6970">
        <v>0.98879439999999996</v>
      </c>
      <c r="Q6970">
        <v>0.1279672</v>
      </c>
      <c r="R6970">
        <v>-7.6878349999999998E-2</v>
      </c>
      <c r="S6970">
        <v>3.0547179999999998</v>
      </c>
      <c r="T6970">
        <v>-0.25416800000000001</v>
      </c>
      <c r="U6970">
        <v>-0.1886139</v>
      </c>
      <c r="V6970">
        <v>5.7015240000000002E-2</v>
      </c>
      <c r="W6970">
        <v>0.14160309999999901</v>
      </c>
      <c r="X6970">
        <v>0.98828020000000005</v>
      </c>
      <c r="Y6970">
        <v>3.8061169999999998E-2</v>
      </c>
      <c r="Z6970">
        <v>-2.732074E-4</v>
      </c>
      <c r="AA6970">
        <v>0.99927540000000004</v>
      </c>
      <c r="AB6970">
        <v>26</v>
      </c>
      <c r="AC6970">
        <v>0.64840000000000897</v>
      </c>
      <c r="AD6970">
        <v>-7.6575999999999894E-2</v>
      </c>
      <c r="AE6970">
        <v>-3.9400000000000497E-2</v>
      </c>
      <c r="AF6970">
        <v>2.3824932416799002E-2</v>
      </c>
      <c r="AG6970">
        <v>-7.6575999999999894E-2</v>
      </c>
      <c r="AH6970">
        <v>0.64024958540368504</v>
      </c>
      <c r="AI6970">
        <v>96.815696133305295</v>
      </c>
      <c r="AJ6970">
        <v>87.868895902940395</v>
      </c>
      <c r="AK6970">
        <v>0.64525269684849496</v>
      </c>
      <c r="AL6970">
        <v>81.859378347318199</v>
      </c>
      <c r="AM6970">
        <v>86.698187796986502</v>
      </c>
      <c r="AN6970">
        <v>0.99999996461695295</v>
      </c>
    </row>
    <row r="6971" spans="1:40" x14ac:dyDescent="0.25">
      <c r="A6971" t="str">
        <f>"20190303162439621"</f>
        <v>20190303162439621</v>
      </c>
      <c r="B6971" t="str">
        <f>"1551601479611927"</f>
        <v>1551601479611927</v>
      </c>
      <c r="C6971" t="s">
        <v>40</v>
      </c>
      <c r="D6971">
        <v>5.9026880000000004</v>
      </c>
      <c r="E6971">
        <v>0.4906761</v>
      </c>
      <c r="F6971" t="s">
        <v>42</v>
      </c>
      <c r="G6971">
        <v>-167.1053</v>
      </c>
      <c r="H6971">
        <v>1.033922</v>
      </c>
      <c r="I6971">
        <v>138.71619999999999</v>
      </c>
      <c r="J6971">
        <v>-167.60390000000001</v>
      </c>
      <c r="K6971">
        <v>1.1117379999999999</v>
      </c>
      <c r="L6971">
        <v>138.73400000000001</v>
      </c>
      <c r="M6971">
        <v>0.99901249999999997</v>
      </c>
      <c r="N6971">
        <v>-1.507329E-2</v>
      </c>
      <c r="O6971">
        <v>-4.179749E-2</v>
      </c>
      <c r="P6971">
        <v>0.98988030000000005</v>
      </c>
      <c r="Q6971">
        <v>0.1253764</v>
      </c>
      <c r="R6971">
        <v>-6.6469639999999997E-2</v>
      </c>
      <c r="S6971">
        <v>3.0554350000000001</v>
      </c>
      <c r="T6971">
        <v>-0.26430049999999999</v>
      </c>
      <c r="U6971">
        <v>-0.16403199999999901</v>
      </c>
      <c r="V6971">
        <v>2.8092889999999999E-2</v>
      </c>
      <c r="W6971">
        <v>0.1397312</v>
      </c>
      <c r="X6971">
        <v>0.98979090000000003</v>
      </c>
      <c r="Y6971">
        <v>1.1873160000000001E-2</v>
      </c>
      <c r="Z6971">
        <v>2.3735309999999999E-3</v>
      </c>
      <c r="AA6971">
        <v>0.99992669999999995</v>
      </c>
      <c r="AB6971">
        <v>26</v>
      </c>
      <c r="AC6971">
        <v>0.49860000000000998</v>
      </c>
      <c r="AD6971">
        <v>-7.7815999999999802E-2</v>
      </c>
      <c r="AE6971">
        <v>-1.7800000000022399E-2</v>
      </c>
      <c r="AF6971">
        <v>-2.9855256560666101E-3</v>
      </c>
      <c r="AG6971">
        <v>-7.7815999999999802E-2</v>
      </c>
      <c r="AH6971">
        <v>0.48705978293753499</v>
      </c>
      <c r="AI6971">
        <v>99.077082856378794</v>
      </c>
      <c r="AJ6971">
        <v>90.351200988806099</v>
      </c>
      <c r="AK6971">
        <v>0.49324585692593598</v>
      </c>
      <c r="AL6971">
        <v>81.967707925967602</v>
      </c>
      <c r="AM6971">
        <v>88.374230333650203</v>
      </c>
      <c r="AN6971">
        <v>1.0000000222223999</v>
      </c>
    </row>
    <row r="6972" spans="1:40" x14ac:dyDescent="0.25">
      <c r="A6972" t="str">
        <f>"20190303162439646"</f>
        <v>20190303162439646</v>
      </c>
      <c r="B6972" t="str">
        <f>"1551601479631449"</f>
        <v>1551601479631449</v>
      </c>
      <c r="C6972" t="s">
        <v>40</v>
      </c>
      <c r="D6972">
        <v>5.9029129999999999</v>
      </c>
      <c r="E6972">
        <v>0.49770589999999998</v>
      </c>
      <c r="F6972" t="s">
        <v>41</v>
      </c>
      <c r="G6972">
        <v>-155.19540000000001</v>
      </c>
      <c r="H6972" s="1">
        <v>-2.2991780000000002E-6</v>
      </c>
      <c r="I6972">
        <v>138.1747</v>
      </c>
      <c r="J6972">
        <v>-167.33410000000001</v>
      </c>
      <c r="K6972">
        <v>1.112403</v>
      </c>
      <c r="L6972">
        <v>138.71</v>
      </c>
      <c r="M6972">
        <v>0.99847509999999995</v>
      </c>
      <c r="N6972">
        <v>-1.5018739999999999E-2</v>
      </c>
      <c r="O6972">
        <v>-5.312157E-2</v>
      </c>
      <c r="P6972">
        <v>0.98969649999999998</v>
      </c>
      <c r="Q6972">
        <v>0.12811069999999999</v>
      </c>
      <c r="R6972">
        <v>-6.3941579999999998E-2</v>
      </c>
      <c r="S6972">
        <v>3.0560909999999999</v>
      </c>
      <c r="T6972">
        <v>-0.27380919999999997</v>
      </c>
      <c r="U6972">
        <v>-0.1377563</v>
      </c>
      <c r="V6972">
        <v>1.416387E-2</v>
      </c>
      <c r="W6972">
        <v>0.14273259999999999</v>
      </c>
      <c r="X6972">
        <v>0.98965999999999998</v>
      </c>
      <c r="Y6972">
        <v>-7.9231609999999997E-3</v>
      </c>
      <c r="Z6972">
        <v>4.361462E-3</v>
      </c>
      <c r="AA6972">
        <v>0.99995909999999999</v>
      </c>
      <c r="AB6972">
        <v>26</v>
      </c>
      <c r="AC6972">
        <v>12.1387</v>
      </c>
      <c r="AD6972">
        <v>-1.112405299178</v>
      </c>
      <c r="AE6972">
        <v>-0.53530000000000599</v>
      </c>
      <c r="AF6972">
        <v>-0.109438237175831</v>
      </c>
      <c r="AG6972">
        <v>-1.112405299178</v>
      </c>
      <c r="AH6972">
        <v>12.0490036072552</v>
      </c>
      <c r="AI6972">
        <v>95.274573508049301</v>
      </c>
      <c r="AJ6972">
        <v>90.520389643243803</v>
      </c>
      <c r="AK6972">
        <v>12.100740068485299</v>
      </c>
      <c r="AL6972">
        <v>81.793999480969703</v>
      </c>
      <c r="AM6972">
        <v>89.180047116140301</v>
      </c>
      <c r="AN6972">
        <v>1.0000000629580601</v>
      </c>
    </row>
    <row r="6973" spans="1:40" x14ac:dyDescent="0.25">
      <c r="A6973" t="str">
        <f>"20190303162439667"</f>
        <v>20190303162439667</v>
      </c>
      <c r="B6973" t="str">
        <f>"1551601479661704"</f>
        <v>1551601479661704</v>
      </c>
      <c r="C6973" t="s">
        <v>40</v>
      </c>
      <c r="D6973">
        <v>5.8980139999999999</v>
      </c>
      <c r="E6973">
        <v>0.49900899999999998</v>
      </c>
      <c r="F6973" t="s">
        <v>42</v>
      </c>
      <c r="G6973">
        <v>-166.39410000000001</v>
      </c>
      <c r="H6973">
        <v>1.026875</v>
      </c>
      <c r="I6973">
        <v>138.65369999999999</v>
      </c>
      <c r="J6973">
        <v>-167.06299999999999</v>
      </c>
      <c r="K6973">
        <v>1.113226</v>
      </c>
      <c r="L6973">
        <v>138.68389999999999</v>
      </c>
      <c r="M6973">
        <v>0.99788460000000001</v>
      </c>
      <c r="N6973">
        <v>-1.493976E-2</v>
      </c>
      <c r="O6973">
        <v>-6.3273300000000005E-2</v>
      </c>
      <c r="P6973">
        <v>0.98969269999999998</v>
      </c>
      <c r="Q6973">
        <v>0.12819439999999999</v>
      </c>
      <c r="R6973">
        <v>-6.3833799999999996E-2</v>
      </c>
      <c r="S6973">
        <v>3.0553590000000002</v>
      </c>
      <c r="T6973">
        <v>-0.27781060000000002</v>
      </c>
      <c r="U6973">
        <v>-0.18260190000000001</v>
      </c>
      <c r="V6973">
        <v>3.6926680000000001E-3</v>
      </c>
      <c r="W6973">
        <v>0.14295289999999999</v>
      </c>
      <c r="X6973">
        <v>0.98972260000000001</v>
      </c>
      <c r="Y6973">
        <v>-3.431623E-3</v>
      </c>
      <c r="Z6973">
        <v>4.9681289999999999E-3</v>
      </c>
      <c r="AA6973">
        <v>0.99998180000000003</v>
      </c>
      <c r="AB6973">
        <v>26</v>
      </c>
      <c r="AC6973">
        <v>0.66889999999997896</v>
      </c>
      <c r="AD6973">
        <v>-8.6350999999999997E-2</v>
      </c>
      <c r="AE6973">
        <v>-3.02000000000077E-2</v>
      </c>
      <c r="AF6973">
        <v>-1.19893540780475E-2</v>
      </c>
      <c r="AG6973">
        <v>-8.6350999999999997E-2</v>
      </c>
      <c r="AH6973">
        <v>0.65851838877495406</v>
      </c>
      <c r="AI6973">
        <v>97.469303105009601</v>
      </c>
      <c r="AJ6973">
        <v>91.043043767057299</v>
      </c>
      <c r="AK6973">
        <v>0.66426403497929198</v>
      </c>
      <c r="AL6973">
        <v>81.781245891580994</v>
      </c>
      <c r="AM6973">
        <v>89.786229687172806</v>
      </c>
      <c r="AN6973">
        <v>0.99999999618306401</v>
      </c>
    </row>
    <row r="6974" spans="1:40" x14ac:dyDescent="0.25">
      <c r="A6974" t="str">
        <f>"20190303162439690"</f>
        <v>20190303162439690</v>
      </c>
      <c r="B6974" t="str">
        <f>"1551601479682199"</f>
        <v>1551601479682199</v>
      </c>
      <c r="C6974" t="s">
        <v>40</v>
      </c>
      <c r="D6974">
        <v>5.839626</v>
      </c>
      <c r="E6974">
        <v>0.49996669999999999</v>
      </c>
      <c r="F6974" t="s">
        <v>42</v>
      </c>
      <c r="G6974">
        <v>-166.15389999999999</v>
      </c>
      <c r="H6974">
        <v>1.030761</v>
      </c>
      <c r="I6974">
        <v>138.62729999999999</v>
      </c>
      <c r="J6974">
        <v>-166.7859</v>
      </c>
      <c r="K6974">
        <v>1.1141160000000001</v>
      </c>
      <c r="L6974">
        <v>138.65559999999999</v>
      </c>
      <c r="M6974">
        <v>0.99725629999999998</v>
      </c>
      <c r="N6974">
        <v>-1.485357E-2</v>
      </c>
      <c r="O6974">
        <v>-7.2521950000000002E-2</v>
      </c>
      <c r="P6974">
        <v>0.99041009999999996</v>
      </c>
      <c r="Q6974">
        <v>0.123844</v>
      </c>
      <c r="R6974">
        <v>-6.1241150000000001E-2</v>
      </c>
      <c r="S6974">
        <v>3.0548549999999999</v>
      </c>
      <c r="T6974">
        <v>-0.27718169999999998</v>
      </c>
      <c r="U6974">
        <v>-0.1902924</v>
      </c>
      <c r="V6974">
        <v>-8.5125530000000008E-3</v>
      </c>
      <c r="W6974">
        <v>0.13872499999999999</v>
      </c>
      <c r="X6974">
        <v>0.99029429999999996</v>
      </c>
      <c r="Y6974">
        <v>-1.012705E-2</v>
      </c>
      <c r="Z6974">
        <v>6.0102530000000001E-3</v>
      </c>
      <c r="AA6974">
        <v>0.99993069999999895</v>
      </c>
      <c r="AB6974">
        <v>26</v>
      </c>
      <c r="AC6974">
        <v>0.632000000000005</v>
      </c>
      <c r="AD6974">
        <v>-8.3354999999999804E-2</v>
      </c>
      <c r="AE6974">
        <v>-2.8300000000001501E-2</v>
      </c>
      <c r="AF6974">
        <v>-1.7312902011448399E-2</v>
      </c>
      <c r="AG6974">
        <v>-8.3354999999999804E-2</v>
      </c>
      <c r="AH6974">
        <v>0.62159689992852796</v>
      </c>
      <c r="AI6974">
        <v>97.634769079206805</v>
      </c>
      <c r="AJ6974">
        <v>91.5954066571244</v>
      </c>
      <c r="AK6974">
        <v>0.62739979168136095</v>
      </c>
      <c r="AL6974">
        <v>82.0259253440762</v>
      </c>
      <c r="AM6974">
        <v>90.492501418306702</v>
      </c>
      <c r="AN6974">
        <v>0.99999994489803201</v>
      </c>
    </row>
    <row r="6975" spans="1:40" x14ac:dyDescent="0.25">
      <c r="A6975" t="str">
        <f>"20190303162439712"</f>
        <v>20190303162439712</v>
      </c>
      <c r="B6975" t="str">
        <f>"1551601479701721"</f>
        <v>1551601479701721</v>
      </c>
      <c r="C6975" t="s">
        <v>40</v>
      </c>
      <c r="D6975">
        <v>5.8842359999999996</v>
      </c>
      <c r="E6975">
        <v>0.50073120000000004</v>
      </c>
      <c r="F6975" t="s">
        <v>41</v>
      </c>
      <c r="G6975">
        <v>-155.1584</v>
      </c>
      <c r="H6975" s="1">
        <v>-2.358511E-6</v>
      </c>
      <c r="I6975">
        <v>137.9297</v>
      </c>
      <c r="J6975">
        <v>-166.53870000000001</v>
      </c>
      <c r="K6975">
        <v>1.1149230000000001</v>
      </c>
      <c r="L6975">
        <v>138.6293</v>
      </c>
      <c r="M6975">
        <v>0.99670769999999997</v>
      </c>
      <c r="N6975">
        <v>-1.477821E-2</v>
      </c>
      <c r="O6975">
        <v>-7.9720589999999994E-2</v>
      </c>
      <c r="P6975">
        <v>0.991232</v>
      </c>
      <c r="Q6975">
        <v>0.1190686</v>
      </c>
      <c r="R6975">
        <v>-5.7285919999999997E-2</v>
      </c>
      <c r="S6975">
        <v>3.0538639999999999</v>
      </c>
      <c r="T6975">
        <v>-0.29261300000000001</v>
      </c>
      <c r="U6975">
        <v>-0.19065860000000001</v>
      </c>
      <c r="V6975">
        <v>-2.0025459999999998E-2</v>
      </c>
      <c r="W6975">
        <v>0.1340229</v>
      </c>
      <c r="X6975">
        <v>0.99077590000000004</v>
      </c>
      <c r="Y6975">
        <v>-1.7112889999999999E-2</v>
      </c>
      <c r="Z6975">
        <v>7.3706569999999897E-3</v>
      </c>
      <c r="AA6975">
        <v>0.9998264</v>
      </c>
      <c r="AB6975">
        <v>26</v>
      </c>
      <c r="AC6975">
        <v>11.3803</v>
      </c>
      <c r="AD6975">
        <v>-1.1149253585109999</v>
      </c>
      <c r="AE6975">
        <v>-0.699600000000003</v>
      </c>
      <c r="AF6975">
        <v>-0.207981743357459</v>
      </c>
      <c r="AG6975">
        <v>-1.1149253585109999</v>
      </c>
      <c r="AH6975">
        <v>11.291877773185799</v>
      </c>
      <c r="AI6975">
        <v>95.637982124877993</v>
      </c>
      <c r="AJ6975">
        <v>91.055194634085694</v>
      </c>
      <c r="AK6975">
        <v>11.3486923742424</v>
      </c>
      <c r="AL6975">
        <v>82.2978774219158</v>
      </c>
      <c r="AM6975">
        <v>91.157898710509201</v>
      </c>
      <c r="AN6975">
        <v>1.0000000203967101</v>
      </c>
    </row>
    <row r="6976" spans="1:40" x14ac:dyDescent="0.25">
      <c r="A6976" t="str">
        <f>"20190303162439733"</f>
        <v>20190303162439733</v>
      </c>
      <c r="B6976" t="str">
        <f>"1551601479722217"</f>
        <v>1551601479722217</v>
      </c>
      <c r="C6976" t="s">
        <v>40</v>
      </c>
      <c r="D6976">
        <v>5.6246150000000004</v>
      </c>
      <c r="E6976">
        <v>0.50110940000000004</v>
      </c>
      <c r="F6976" t="s">
        <v>41</v>
      </c>
      <c r="G6976">
        <v>-155.44710000000001</v>
      </c>
      <c r="H6976" s="1">
        <v>-2.2305500000000002E-6</v>
      </c>
      <c r="I6976">
        <v>137.95269999999999</v>
      </c>
      <c r="J6976">
        <v>-166.2782</v>
      </c>
      <c r="K6976">
        <v>1.115826</v>
      </c>
      <c r="L6976">
        <v>138.6009</v>
      </c>
      <c r="M6976">
        <v>0.99617990000000001</v>
      </c>
      <c r="N6976">
        <v>-1.4697089999999999E-2</v>
      </c>
      <c r="O6976">
        <v>-8.6078360000000007E-2</v>
      </c>
      <c r="P6976">
        <v>0.99114259999999998</v>
      </c>
      <c r="Q6976">
        <v>0.1202009</v>
      </c>
      <c r="R6976">
        <v>-5.6464029999999998E-2</v>
      </c>
      <c r="S6976">
        <v>3.0526119999999999</v>
      </c>
      <c r="T6976">
        <v>-0.30684800000000001</v>
      </c>
      <c r="U6976">
        <v>-0.1862183</v>
      </c>
      <c r="V6976">
        <v>-2.7448400000000001E-2</v>
      </c>
      <c r="W6976">
        <v>0.13511199999999901</v>
      </c>
      <c r="X6976">
        <v>0.9904501</v>
      </c>
      <c r="Y6976">
        <v>-2.4807860000000001E-2</v>
      </c>
      <c r="Z6976">
        <v>8.7714799999999999E-3</v>
      </c>
      <c r="AA6976">
        <v>0.99965380000000004</v>
      </c>
      <c r="AB6976">
        <v>26</v>
      </c>
      <c r="AC6976">
        <v>10.8310999999999</v>
      </c>
      <c r="AD6976">
        <v>-1.11582823055</v>
      </c>
      <c r="AE6976">
        <v>-0.648200000000002</v>
      </c>
      <c r="AF6976">
        <v>-0.28363097758271499</v>
      </c>
      <c r="AG6976">
        <v>-1.11582823055</v>
      </c>
      <c r="AH6976">
        <v>10.733184539019</v>
      </c>
      <c r="AI6976">
        <v>95.933125955747499</v>
      </c>
      <c r="AJ6976">
        <v>91.513723792899597</v>
      </c>
      <c r="AK6976">
        <v>10.794756575308799</v>
      </c>
      <c r="AL6976">
        <v>82.234903911366004</v>
      </c>
      <c r="AM6976">
        <v>91.587434891762001</v>
      </c>
      <c r="AN6976">
        <v>1.00000003389828</v>
      </c>
    </row>
    <row r="6977" spans="1:40" x14ac:dyDescent="0.25">
      <c r="A6977" t="str">
        <f>"20190303162439758"</f>
        <v>20190303162439758</v>
      </c>
      <c r="B6977" t="str">
        <f>"1551601479751496"</f>
        <v>1551601479751496</v>
      </c>
      <c r="C6977" t="s">
        <v>40</v>
      </c>
      <c r="D6977">
        <v>5.8926280000000002</v>
      </c>
      <c r="E6977">
        <v>0.50089259999999902</v>
      </c>
      <c r="F6977" t="s">
        <v>41</v>
      </c>
      <c r="G6977">
        <v>-155.02350000000001</v>
      </c>
      <c r="H6977" s="1">
        <v>-2.4174259999999998E-6</v>
      </c>
      <c r="I6977">
        <v>137.92359999999999</v>
      </c>
      <c r="J6977">
        <v>-166.00139999999999</v>
      </c>
      <c r="K6977">
        <v>1.116854</v>
      </c>
      <c r="L6977">
        <v>138.5703</v>
      </c>
      <c r="M6977">
        <v>0.99570910000000001</v>
      </c>
      <c r="N6977">
        <v>-1.460945E-2</v>
      </c>
      <c r="O6977">
        <v>-9.13794E-2</v>
      </c>
      <c r="P6977">
        <v>0.99064680000000005</v>
      </c>
      <c r="Q6977">
        <v>0.1232422</v>
      </c>
      <c r="R6977">
        <v>-5.8572369999999999E-2</v>
      </c>
      <c r="S6977">
        <v>3.0530550000000001</v>
      </c>
      <c r="T6977">
        <v>-0.30269040000000003</v>
      </c>
      <c r="U6977">
        <v>-0.18371580000000001</v>
      </c>
      <c r="V6977">
        <v>-3.08867E-2</v>
      </c>
      <c r="W6977">
        <v>0.138021799999999</v>
      </c>
      <c r="X6977">
        <v>0.98994749999999998</v>
      </c>
      <c r="Y6977">
        <v>-3.0913550000000001E-2</v>
      </c>
      <c r="Z6977">
        <v>9.4343150000000004E-3</v>
      </c>
      <c r="AA6977">
        <v>0.99947759999999997</v>
      </c>
      <c r="AB6977">
        <v>26</v>
      </c>
      <c r="AC6977">
        <v>10.977899999999901</v>
      </c>
      <c r="AD6977">
        <v>-1.1168564174259901</v>
      </c>
      <c r="AE6977">
        <v>-0.64670000000000905</v>
      </c>
      <c r="AF6977">
        <v>-0.35559928116191503</v>
      </c>
      <c r="AG6977">
        <v>-1.1168564174259901</v>
      </c>
      <c r="AH6977">
        <v>10.8788508634906</v>
      </c>
      <c r="AI6977">
        <v>95.858518744102895</v>
      </c>
      <c r="AJ6977">
        <v>91.872172582085796</v>
      </c>
      <c r="AK6977">
        <v>10.9418104176585</v>
      </c>
      <c r="AL6977">
        <v>82.066607765097103</v>
      </c>
      <c r="AM6977">
        <v>91.787068153323403</v>
      </c>
      <c r="AN6977">
        <v>1.00000002913418</v>
      </c>
    </row>
    <row r="6978" spans="1:40" x14ac:dyDescent="0.25">
      <c r="A6978" t="str">
        <f>"20190303162439778"</f>
        <v>20190303162439778</v>
      </c>
      <c r="B6978" t="str">
        <f>"1551601479771992"</f>
        <v>1551601479771992</v>
      </c>
      <c r="C6978" t="s">
        <v>40</v>
      </c>
      <c r="D6978">
        <v>5.6943840000000003</v>
      </c>
      <c r="E6978">
        <v>0.50083619999999995</v>
      </c>
      <c r="F6978" t="s">
        <v>41</v>
      </c>
      <c r="G6978">
        <v>-154.4392</v>
      </c>
      <c r="H6978" s="1">
        <v>-2.6745239999999998E-6</v>
      </c>
      <c r="I6978">
        <v>137.88730000000001</v>
      </c>
      <c r="J6978">
        <v>-165.7527</v>
      </c>
      <c r="K6978">
        <v>1.11781</v>
      </c>
      <c r="L6978">
        <v>138.5429</v>
      </c>
      <c r="M6978">
        <v>0.99539080000000002</v>
      </c>
      <c r="N6978">
        <v>-1.453581E-2</v>
      </c>
      <c r="O6978">
        <v>-9.4793589999999997E-2</v>
      </c>
      <c r="P6978">
        <v>0.99095909999999998</v>
      </c>
      <c r="Q6978">
        <v>0.12008249999999999</v>
      </c>
      <c r="R6978">
        <v>-5.9837099999999997E-2</v>
      </c>
      <c r="S6978">
        <v>3.0543520000000002</v>
      </c>
      <c r="T6978">
        <v>-0.29503760000000001</v>
      </c>
      <c r="U6978">
        <v>-0.1804047</v>
      </c>
      <c r="V6978">
        <v>-3.3400840000000001E-2</v>
      </c>
      <c r="W6978">
        <v>0.13473829999999901</v>
      </c>
      <c r="X6978">
        <v>0.99031809999999998</v>
      </c>
      <c r="Y6978">
        <v>-3.5437459999999997E-2</v>
      </c>
      <c r="Z6978">
        <v>9.6988249999999995E-3</v>
      </c>
      <c r="AA6978">
        <v>0.99932489999999996</v>
      </c>
      <c r="AB6978">
        <v>26</v>
      </c>
      <c r="AC6978">
        <v>11.313499999999999</v>
      </c>
      <c r="AD6978">
        <v>-1.117812674524</v>
      </c>
      <c r="AE6978">
        <v>-0.65559999999999197</v>
      </c>
      <c r="AF6978">
        <v>-0.41586728577856102</v>
      </c>
      <c r="AG6978">
        <v>-1.117812674524</v>
      </c>
      <c r="AH6978">
        <v>11.2155758304395</v>
      </c>
      <c r="AI6978">
        <v>95.687767711670702</v>
      </c>
      <c r="AJ6978">
        <v>92.123522650610198</v>
      </c>
      <c r="AK6978">
        <v>11.2788116387785</v>
      </c>
      <c r="AL6978">
        <v>82.256512539717704</v>
      </c>
      <c r="AM6978">
        <v>91.931704584838002</v>
      </c>
      <c r="AN6978">
        <v>0.99999998239360199</v>
      </c>
    </row>
    <row r="6979" spans="1:40" x14ac:dyDescent="0.25">
      <c r="A6979" t="str">
        <f>"20190303162439801"</f>
        <v>20190303162439801</v>
      </c>
      <c r="B6979" t="str">
        <f>"1551601479791511"</f>
        <v>1551601479791511</v>
      </c>
      <c r="C6979" t="s">
        <v>40</v>
      </c>
      <c r="D6979">
        <v>5.944331</v>
      </c>
      <c r="E6979">
        <v>0.50087929999999903</v>
      </c>
      <c r="F6979" t="s">
        <v>41</v>
      </c>
      <c r="G6979">
        <v>-154.59909999999999</v>
      </c>
      <c r="H6979" s="1">
        <v>-2.6059439999999998E-6</v>
      </c>
      <c r="I6979">
        <v>137.88730000000001</v>
      </c>
      <c r="J6979">
        <v>-165.50040000000001</v>
      </c>
      <c r="K6979">
        <v>1.118787</v>
      </c>
      <c r="L6979">
        <v>138.51560000000001</v>
      </c>
      <c r="M6979">
        <v>0.99518419999999996</v>
      </c>
      <c r="N6979">
        <v>-1.4471929999999999E-2</v>
      </c>
      <c r="O6979">
        <v>-9.6947439999999996E-2</v>
      </c>
      <c r="P6979">
        <v>0.99155519999999997</v>
      </c>
      <c r="Q6979">
        <v>0.1130954</v>
      </c>
      <c r="R6979">
        <v>-6.3464519999999996E-2</v>
      </c>
      <c r="S6979">
        <v>3.0536189999999999</v>
      </c>
      <c r="T6979">
        <v>-0.30603370000000002</v>
      </c>
      <c r="U6979">
        <v>-0.17948910000000001</v>
      </c>
      <c r="V6979">
        <v>-3.2357740000000003E-2</v>
      </c>
      <c r="W6979">
        <v>0.127613</v>
      </c>
      <c r="X6979">
        <v>0.99129610000000001</v>
      </c>
      <c r="Y6979">
        <v>-3.7820689999999997E-2</v>
      </c>
      <c r="Z6979">
        <v>1.0427179999999999E-2</v>
      </c>
      <c r="AA6979">
        <v>0.99923010000000001</v>
      </c>
      <c r="AB6979">
        <v>26</v>
      </c>
      <c r="AC6979">
        <v>10.901300000000001</v>
      </c>
      <c r="AD6979">
        <v>-1.1187896059439999</v>
      </c>
      <c r="AE6979">
        <v>-0.62829999999999497</v>
      </c>
      <c r="AF6979">
        <v>-0.42714008302972301</v>
      </c>
      <c r="AG6979">
        <v>-1.1187896059439999</v>
      </c>
      <c r="AH6979">
        <v>10.797506614082501</v>
      </c>
      <c r="AI6979">
        <v>95.911033095543701</v>
      </c>
      <c r="AJ6979">
        <v>92.265390571715002</v>
      </c>
      <c r="AK6979">
        <v>10.8637142780016</v>
      </c>
      <c r="AL6979">
        <v>82.668321819315693</v>
      </c>
      <c r="AM6979">
        <v>91.869576504561294</v>
      </c>
      <c r="AN6979">
        <v>1.00000002949105</v>
      </c>
    </row>
    <row r="6980" spans="1:40" x14ac:dyDescent="0.25">
      <c r="A6980" t="str">
        <f>"20190303162439828"</f>
        <v>20190303162439828</v>
      </c>
      <c r="B6980" t="str">
        <f>"1551601479814936"</f>
        <v>1551601479814936</v>
      </c>
      <c r="C6980" t="s">
        <v>40</v>
      </c>
      <c r="D6980">
        <v>5.9381620000000002</v>
      </c>
      <c r="E6980">
        <v>0.50083710000000004</v>
      </c>
      <c r="F6980" t="s">
        <v>41</v>
      </c>
      <c r="G6980">
        <v>-155.15</v>
      </c>
      <c r="H6980" s="1">
        <v>-2.3711519999999998E-6</v>
      </c>
      <c r="I6980">
        <v>137.87870000000001</v>
      </c>
      <c r="J6980">
        <v>-165.18530000000001</v>
      </c>
      <c r="K6980">
        <v>1.1200460000000001</v>
      </c>
      <c r="L6980">
        <v>138.4829</v>
      </c>
      <c r="M6980">
        <v>0.99511400000000005</v>
      </c>
      <c r="N6980">
        <v>-1.442351E-2</v>
      </c>
      <c r="O6980">
        <v>-9.7673720000000006E-2</v>
      </c>
      <c r="P6980">
        <v>0.9918709</v>
      </c>
      <c r="Q6980">
        <v>0.1074213</v>
      </c>
      <c r="R6980">
        <v>-6.8211350000000004E-2</v>
      </c>
      <c r="S6980">
        <v>3.0511629999999998</v>
      </c>
      <c r="T6980">
        <v>-0.3298044</v>
      </c>
      <c r="U6980">
        <v>-0.1877441</v>
      </c>
      <c r="V6980">
        <v>-2.879106E-2</v>
      </c>
      <c r="W6980">
        <v>0.12179470000000001</v>
      </c>
      <c r="X6980">
        <v>0.99213770000000001</v>
      </c>
      <c r="Y6980">
        <v>-3.5719130000000002E-2</v>
      </c>
      <c r="Z6980">
        <v>1.1271679999999999E-2</v>
      </c>
      <c r="AA6980">
        <v>0.99929829999999997</v>
      </c>
      <c r="AB6980">
        <v>26</v>
      </c>
      <c r="AC6980">
        <v>10.035299999999999</v>
      </c>
      <c r="AD6980">
        <v>-1.120048371152</v>
      </c>
      <c r="AE6980">
        <v>-0.60419999999999097</v>
      </c>
      <c r="AF6980">
        <v>-0.374330428441151</v>
      </c>
      <c r="AG6980">
        <v>-1.120048371152</v>
      </c>
      <c r="AH6980">
        <v>9.9231605518691701</v>
      </c>
      <c r="AI6980">
        <v>96.435302740620997</v>
      </c>
      <c r="AJ6980">
        <v>92.160338819863796</v>
      </c>
      <c r="AK6980">
        <v>9.9931850258838697</v>
      </c>
      <c r="AL6980">
        <v>83.004309165691495</v>
      </c>
      <c r="AM6980">
        <v>91.662212217938105</v>
      </c>
      <c r="AN6980">
        <v>1.00000004492265</v>
      </c>
    </row>
    <row r="6981" spans="1:40" x14ac:dyDescent="0.25">
      <c r="A6981" t="str">
        <f>"20190303162439848"</f>
        <v>20190303162439848</v>
      </c>
      <c r="B6981" t="str">
        <f>"1551601479842263"</f>
        <v>1551601479842263</v>
      </c>
      <c r="C6981" t="s">
        <v>40</v>
      </c>
      <c r="D6981">
        <v>5.9386710000000003</v>
      </c>
      <c r="E6981">
        <v>0.50052680000000005</v>
      </c>
      <c r="F6981" t="s">
        <v>42</v>
      </c>
      <c r="G6981">
        <v>-164.29480000000001</v>
      </c>
      <c r="H6981">
        <v>1.018256</v>
      </c>
      <c r="I6981">
        <v>138.4248</v>
      </c>
      <c r="J6981">
        <v>-164.95590000000001</v>
      </c>
      <c r="K6981">
        <v>1.1209519999999999</v>
      </c>
      <c r="L6981">
        <v>138.46029999999999</v>
      </c>
      <c r="M6981">
        <v>0.99517820000000001</v>
      </c>
      <c r="N6981">
        <v>-1.446014E-2</v>
      </c>
      <c r="O6981">
        <v>-9.7013189999999999E-2</v>
      </c>
      <c r="P6981">
        <v>0.99175150000000001</v>
      </c>
      <c r="Q6981">
        <v>0.10596460000000001</v>
      </c>
      <c r="R6981">
        <v>-7.2114590000000006E-2</v>
      </c>
      <c r="S6981">
        <v>3.0486909999999998</v>
      </c>
      <c r="T6981">
        <v>-0.34862589999999999</v>
      </c>
      <c r="U6981">
        <v>-0.1986542</v>
      </c>
      <c r="V6981">
        <v>-2.4495820000000001E-2</v>
      </c>
      <c r="W6981">
        <v>0.1203183</v>
      </c>
      <c r="X6981">
        <v>0.99243309999999996</v>
      </c>
      <c r="Y6981">
        <v>-3.1394859999999997E-2</v>
      </c>
      <c r="Z6981">
        <v>1.1639500000000001E-2</v>
      </c>
      <c r="AA6981">
        <v>0.99943930000000003</v>
      </c>
      <c r="AB6981">
        <v>26</v>
      </c>
      <c r="AC6981">
        <v>0.66110000000000402</v>
      </c>
      <c r="AD6981">
        <v>-0.102695999999999</v>
      </c>
      <c r="AE6981">
        <v>-3.5499999999984697E-2</v>
      </c>
      <c r="AF6981">
        <v>-2.81326875988775E-2</v>
      </c>
      <c r="AG6981">
        <v>-0.102695999999999</v>
      </c>
      <c r="AH6981">
        <v>0.64588439838025002</v>
      </c>
      <c r="AI6981">
        <v>99.026018602495697</v>
      </c>
      <c r="AJ6981">
        <v>92.494047036265897</v>
      </c>
      <c r="AK6981">
        <v>0.65460260662370795</v>
      </c>
      <c r="AL6981">
        <v>83.089527062017396</v>
      </c>
      <c r="AM6981">
        <v>91.413921186401296</v>
      </c>
      <c r="AN6981">
        <v>0.999999998243986</v>
      </c>
    </row>
    <row r="6982" spans="1:40" x14ac:dyDescent="0.25">
      <c r="A6982" t="str">
        <f>"20190303162439894"</f>
        <v>20190303162439894</v>
      </c>
      <c r="B6982" t="str">
        <f>"1551601479882280"</f>
        <v>1551601479882280</v>
      </c>
      <c r="C6982" t="s">
        <v>40</v>
      </c>
      <c r="D6982">
        <v>5.8975710000000001</v>
      </c>
      <c r="E6982">
        <v>0.50044239999999995</v>
      </c>
      <c r="F6982" t="s">
        <v>42</v>
      </c>
      <c r="G6982">
        <v>-164.06659999999999</v>
      </c>
      <c r="H6982">
        <v>1.0184799999999901</v>
      </c>
      <c r="I6982">
        <v>138.3997</v>
      </c>
      <c r="J6982">
        <v>-164.4222</v>
      </c>
      <c r="K6982">
        <v>1.122817</v>
      </c>
      <c r="L6982">
        <v>138.4128</v>
      </c>
      <c r="M6982">
        <v>0.99563979999999996</v>
      </c>
      <c r="N6982">
        <v>-1.489278E-2</v>
      </c>
      <c r="O6982">
        <v>-9.2084739999999998E-2</v>
      </c>
      <c r="P6982">
        <v>0.99205920000000003</v>
      </c>
      <c r="Q6982">
        <v>0.1050003</v>
      </c>
      <c r="R6982">
        <v>-6.9237660000000006E-2</v>
      </c>
      <c r="S6982">
        <v>3.0474399999999999</v>
      </c>
      <c r="T6982">
        <v>-0.35140169999999998</v>
      </c>
      <c r="U6982">
        <v>-0.20732120000000001</v>
      </c>
      <c r="V6982">
        <v>-2.2962389999999999E-2</v>
      </c>
      <c r="W6982">
        <v>0.11969249999999999</v>
      </c>
      <c r="X6982">
        <v>0.99254540000000002</v>
      </c>
      <c r="Y6982">
        <v>-2.366213E-2</v>
      </c>
      <c r="Z6982">
        <v>1.0718409999999999E-2</v>
      </c>
      <c r="AA6982">
        <v>0.99966259999999996</v>
      </c>
      <c r="AB6982">
        <v>26</v>
      </c>
      <c r="AC6982">
        <v>0.35560000000000902</v>
      </c>
      <c r="AD6982">
        <v>-0.104337</v>
      </c>
      <c r="AE6982">
        <v>-1.3100000000008501E-2</v>
      </c>
      <c r="AF6982">
        <v>-1.81446774771243E-2</v>
      </c>
      <c r="AG6982">
        <v>-0.104337</v>
      </c>
      <c r="AH6982">
        <v>0.32716751580365899</v>
      </c>
      <c r="AI6982">
        <v>107.662551996492</v>
      </c>
      <c r="AJ6982">
        <v>93.174366254273295</v>
      </c>
      <c r="AK6982">
        <v>0.343880825704031</v>
      </c>
      <c r="AL6982">
        <v>83.125643562772098</v>
      </c>
      <c r="AM6982">
        <v>91.3252929174988</v>
      </c>
      <c r="AN6982">
        <v>0.99999996848595996</v>
      </c>
    </row>
    <row r="6983" spans="1:40" x14ac:dyDescent="0.25">
      <c r="A6983" t="str">
        <f>"20190303162439918"</f>
        <v>20190303162439918</v>
      </c>
      <c r="B6983" t="str">
        <f>"1551601479911560"</f>
        <v>1551601479911560</v>
      </c>
      <c r="C6983" t="s">
        <v>40</v>
      </c>
      <c r="D6983">
        <v>5.9634260000000001</v>
      </c>
      <c r="E6983">
        <v>0.49480220000000003</v>
      </c>
      <c r="F6983" t="s">
        <v>42</v>
      </c>
      <c r="G6983">
        <v>-163.6037</v>
      </c>
      <c r="H6983">
        <v>1.028813</v>
      </c>
      <c r="I6983">
        <v>138.358</v>
      </c>
      <c r="J6983">
        <v>-164.1576</v>
      </c>
      <c r="K6983">
        <v>1.123561</v>
      </c>
      <c r="L6983">
        <v>138.392</v>
      </c>
      <c r="M6983">
        <v>0.99599610000000005</v>
      </c>
      <c r="N6983">
        <v>-1.5171489999999999E-2</v>
      </c>
      <c r="O6983">
        <v>-8.8100109999999995E-2</v>
      </c>
      <c r="P6983">
        <v>0.99291320000000005</v>
      </c>
      <c r="Q6983">
        <v>0.10080550000000001</v>
      </c>
      <c r="R6983">
        <v>-6.2940940000000001E-2</v>
      </c>
      <c r="S6983">
        <v>3.0469210000000002</v>
      </c>
      <c r="T6983">
        <v>-0.35033880000000001</v>
      </c>
      <c r="U6983">
        <v>-0.20343020000000001</v>
      </c>
      <c r="V6983">
        <v>-2.5503600000000001E-2</v>
      </c>
      <c r="W6983">
        <v>0.1157282</v>
      </c>
      <c r="X6983">
        <v>0.99295339999999999</v>
      </c>
      <c r="Y6983">
        <v>-2.0967E-2</v>
      </c>
      <c r="Z6983">
        <v>1.0094519999999999E-2</v>
      </c>
      <c r="AA6983">
        <v>0.99972919999999998</v>
      </c>
      <c r="AB6983">
        <v>26</v>
      </c>
      <c r="AC6983">
        <v>0.55389999999999795</v>
      </c>
      <c r="AD6983">
        <v>-9.4747999999999999E-2</v>
      </c>
      <c r="AE6983">
        <v>-3.3999999999991801E-2</v>
      </c>
      <c r="AF6983">
        <v>-1.45134304846582E-2</v>
      </c>
      <c r="AG6983">
        <v>-9.4747999999999999E-2</v>
      </c>
      <c r="AH6983">
        <v>0.539028597577628</v>
      </c>
      <c r="AI6983">
        <v>99.9658108579154</v>
      </c>
      <c r="AJ6983">
        <v>91.542325312857599</v>
      </c>
      <c r="AK6983">
        <v>0.547484841959061</v>
      </c>
      <c r="AL6983">
        <v>83.354371400641995</v>
      </c>
      <c r="AM6983">
        <v>91.471295069698101</v>
      </c>
      <c r="AN6983">
        <v>0.99999995222987803</v>
      </c>
    </row>
    <row r="6984" spans="1:40" x14ac:dyDescent="0.25">
      <c r="A6984" t="str">
        <f>"20190303162439936"</f>
        <v>20190303162439936</v>
      </c>
      <c r="B6984" t="str">
        <f>"1551601479932056"</f>
        <v>1551601479932056</v>
      </c>
      <c r="C6984" t="s">
        <v>40</v>
      </c>
      <c r="D6984">
        <v>5.9661819999999999</v>
      </c>
      <c r="E6984">
        <v>0.4946566</v>
      </c>
      <c r="F6984" t="s">
        <v>41</v>
      </c>
      <c r="G6984">
        <v>-153.3006</v>
      </c>
      <c r="H6984" s="1">
        <v>-3.1657020000000001E-6</v>
      </c>
      <c r="I6984">
        <v>137.87209999999999</v>
      </c>
      <c r="J6984">
        <v>-163.94730000000001</v>
      </c>
      <c r="K6984">
        <v>1.124066</v>
      </c>
      <c r="L6984">
        <v>138.37700000000001</v>
      </c>
      <c r="M6984">
        <v>0.99631510000000001</v>
      </c>
      <c r="N6984">
        <v>-1.541727E-2</v>
      </c>
      <c r="O6984">
        <v>-8.4371979999999999E-2</v>
      </c>
      <c r="P6984">
        <v>0.99376059999999999</v>
      </c>
      <c r="Q6984">
        <v>9.6622330000000006E-2</v>
      </c>
      <c r="R6984">
        <v>-5.5714600000000003E-2</v>
      </c>
      <c r="S6984">
        <v>3.0441590000000001</v>
      </c>
      <c r="T6984">
        <v>-0.31503130000000001</v>
      </c>
      <c r="U6984">
        <v>-0.14575199999999999</v>
      </c>
      <c r="V6984">
        <v>-2.915216E-2</v>
      </c>
      <c r="W6984">
        <v>0.1117412</v>
      </c>
      <c r="X6984">
        <v>0.99330969999999996</v>
      </c>
      <c r="Y6984">
        <v>-3.608637E-2</v>
      </c>
      <c r="Z6984">
        <v>9.5324629999999997E-3</v>
      </c>
      <c r="AA6984">
        <v>0.99930319999999995</v>
      </c>
      <c r="AB6984">
        <v>26</v>
      </c>
      <c r="AC6984">
        <v>10.646699999999999</v>
      </c>
      <c r="AD6984">
        <v>-1.1240691657019899</v>
      </c>
      <c r="AE6984">
        <v>-0.50490000000002</v>
      </c>
      <c r="AF6984">
        <v>-0.39094258814453697</v>
      </c>
      <c r="AG6984">
        <v>-1.1240691657019899</v>
      </c>
      <c r="AH6984">
        <v>10.5341723908828</v>
      </c>
      <c r="AI6984">
        <v>96.086650337579499</v>
      </c>
      <c r="AJ6984">
        <v>92.125376776283105</v>
      </c>
      <c r="AK6984">
        <v>10.601186516486999</v>
      </c>
      <c r="AL6984">
        <v>83.584302470315606</v>
      </c>
      <c r="AM6984">
        <v>91.681063235314497</v>
      </c>
      <c r="AN6984">
        <v>1.00000005216209</v>
      </c>
    </row>
    <row r="6985" spans="1:40" x14ac:dyDescent="0.25">
      <c r="A6985" t="str">
        <f>"20190303162439958"</f>
        <v>20190303162439958</v>
      </c>
      <c r="B6985" t="str">
        <f>"1551601479951577"</f>
        <v>1551601479951577</v>
      </c>
      <c r="C6985" t="s">
        <v>40</v>
      </c>
      <c r="D6985">
        <v>5.9149209999999997</v>
      </c>
      <c r="E6985">
        <v>0.49426809999999899</v>
      </c>
      <c r="F6985" t="s">
        <v>41</v>
      </c>
      <c r="G6985">
        <v>-153.41849999999999</v>
      </c>
      <c r="H6985" s="1">
        <v>-3.1032330000000001E-6</v>
      </c>
      <c r="I6985">
        <v>137.93899999999999</v>
      </c>
      <c r="J6985">
        <v>-163.7072</v>
      </c>
      <c r="K6985">
        <v>1.1245510000000001</v>
      </c>
      <c r="L6985">
        <v>138.36150000000001</v>
      </c>
      <c r="M6985">
        <v>0.99669300000000005</v>
      </c>
      <c r="N6985">
        <v>-1.575124E-2</v>
      </c>
      <c r="O6985">
        <v>-7.9718799999999895E-2</v>
      </c>
      <c r="P6985">
        <v>0.9941837</v>
      </c>
      <c r="Q6985">
        <v>9.7793699999999997E-2</v>
      </c>
      <c r="R6985">
        <v>-4.5115639999999999E-2</v>
      </c>
      <c r="S6985">
        <v>3.0433349999999999</v>
      </c>
      <c r="T6985">
        <v>-0.3249109</v>
      </c>
      <c r="U6985">
        <v>-0.1265869</v>
      </c>
      <c r="V6985">
        <v>-3.52313E-2</v>
      </c>
      <c r="W6985">
        <v>0.1131602</v>
      </c>
      <c r="X6985">
        <v>0.9929519</v>
      </c>
      <c r="Y6985">
        <v>-3.7660529999999998E-2</v>
      </c>
      <c r="Z6985">
        <v>9.520667E-3</v>
      </c>
      <c r="AA6985">
        <v>0.99924519999999994</v>
      </c>
      <c r="AB6985">
        <v>26</v>
      </c>
      <c r="AC6985">
        <v>10.2887</v>
      </c>
      <c r="AD6985">
        <v>-1.124554103233</v>
      </c>
      <c r="AE6985">
        <v>-0.42250000000001298</v>
      </c>
      <c r="AF6985">
        <v>-0.39444522168951801</v>
      </c>
      <c r="AG6985">
        <v>-1.124554103233</v>
      </c>
      <c r="AH6985">
        <v>10.168360788511199</v>
      </c>
      <c r="AI6985">
        <v>96.306187348806901</v>
      </c>
      <c r="AJ6985">
        <v>92.221471203892904</v>
      </c>
      <c r="AK6985">
        <v>10.237957320156401</v>
      </c>
      <c r="AL6985">
        <v>83.502480286326403</v>
      </c>
      <c r="AM6985">
        <v>92.0320806509351</v>
      </c>
      <c r="AN6985">
        <v>0.99999997553866904</v>
      </c>
    </row>
    <row r="6986" spans="1:40" x14ac:dyDescent="0.25">
      <c r="A6986" t="str">
        <f>"20190303162439980"</f>
        <v>20190303162439980</v>
      </c>
      <c r="B6986" t="str">
        <f>"1551601479972073"</f>
        <v>1551601479972073</v>
      </c>
      <c r="C6986" t="s">
        <v>40</v>
      </c>
      <c r="D6986">
        <v>5.9668570000000001</v>
      </c>
      <c r="E6986">
        <v>0.493894</v>
      </c>
      <c r="F6986" t="s">
        <v>41</v>
      </c>
      <c r="G6986">
        <v>-153.02099999999999</v>
      </c>
      <c r="H6986" s="1">
        <v>-3.2563640000000001E-6</v>
      </c>
      <c r="I6986">
        <v>138.03720000000001</v>
      </c>
      <c r="J6986">
        <v>-163.45269999999999</v>
      </c>
      <c r="K6986">
        <v>1.1249439999999999</v>
      </c>
      <c r="L6986">
        <v>138.3468</v>
      </c>
      <c r="M6986">
        <v>0.99709320000000001</v>
      </c>
      <c r="N6986">
        <v>-1.6186900000000001E-2</v>
      </c>
      <c r="O6986">
        <v>-7.4453549999999993E-2</v>
      </c>
      <c r="P6986">
        <v>0.99430479999999999</v>
      </c>
      <c r="Q6986">
        <v>0.10104920000000001</v>
      </c>
      <c r="R6986">
        <v>-3.3873639999999997E-2</v>
      </c>
      <c r="S6986">
        <v>3.0449069999999998</v>
      </c>
      <c r="T6986">
        <v>-0.32042920000000003</v>
      </c>
      <c r="U6986">
        <v>-9.2391970000000004E-2</v>
      </c>
      <c r="V6986">
        <v>-4.1316859999999997E-2</v>
      </c>
      <c r="W6986">
        <v>0.11675779999999999</v>
      </c>
      <c r="X6986">
        <v>0.99230059999999998</v>
      </c>
      <c r="Y6986">
        <v>-4.3613119999999998E-2</v>
      </c>
      <c r="Z6986">
        <v>9.2429069999999999E-3</v>
      </c>
      <c r="AA6986">
        <v>0.9990057</v>
      </c>
      <c r="AB6986">
        <v>25</v>
      </c>
      <c r="AC6986">
        <v>10.4316999999999</v>
      </c>
      <c r="AD6986">
        <v>-1.1249472563639999</v>
      </c>
      <c r="AE6986">
        <v>-0.309599999999989</v>
      </c>
      <c r="AF6986">
        <v>-0.46266260339729898</v>
      </c>
      <c r="AG6986">
        <v>-1.1249472563639999</v>
      </c>
      <c r="AH6986">
        <v>10.3060460976707</v>
      </c>
      <c r="AI6986">
        <v>96.223188956744906</v>
      </c>
      <c r="AJ6986">
        <v>92.570416235149196</v>
      </c>
      <c r="AK6986">
        <v>10.3775791580453</v>
      </c>
      <c r="AL6986">
        <v>83.294977159340604</v>
      </c>
      <c r="AM6986">
        <v>92.384272556432094</v>
      </c>
      <c r="AN6986">
        <v>0.99999997377072902</v>
      </c>
    </row>
    <row r="6987" spans="1:40" x14ac:dyDescent="0.25">
      <c r="A6987" t="str">
        <f>"20190303162440002"</f>
        <v>20190303162440002</v>
      </c>
      <c r="B6987" t="str">
        <f>"1551601479991593"</f>
        <v>1551601479991593</v>
      </c>
      <c r="C6987" t="s">
        <v>40</v>
      </c>
      <c r="D6987">
        <v>5.5774160000000004</v>
      </c>
      <c r="E6987">
        <v>0.49390970000000001</v>
      </c>
      <c r="F6987" t="s">
        <v>41</v>
      </c>
      <c r="G6987">
        <v>-152.3168</v>
      </c>
      <c r="H6987" s="1">
        <v>-3.5400879999999999E-6</v>
      </c>
      <c r="I6987">
        <v>138.14070000000001</v>
      </c>
      <c r="J6987">
        <v>-163.214</v>
      </c>
      <c r="K6987">
        <v>1.1251869999999999</v>
      </c>
      <c r="L6987">
        <v>138.3347</v>
      </c>
      <c r="M6987">
        <v>0.99745989999999995</v>
      </c>
      <c r="N6987">
        <v>-1.6654499999999999E-2</v>
      </c>
      <c r="O6987">
        <v>-6.9257460000000007E-2</v>
      </c>
      <c r="P6987">
        <v>0.99450249999999996</v>
      </c>
      <c r="Q6987">
        <v>0.1019178</v>
      </c>
      <c r="R6987">
        <v>-2.404121E-2</v>
      </c>
      <c r="S6987">
        <v>3.0465239999999998</v>
      </c>
      <c r="T6987">
        <v>-0.30775789999999997</v>
      </c>
      <c r="U6987">
        <v>-5.6350709999999998E-2</v>
      </c>
      <c r="V6987">
        <v>-4.6022649999999998E-2</v>
      </c>
      <c r="W6987">
        <v>0.11802410000000001</v>
      </c>
      <c r="X6987">
        <v>0.99194369999999998</v>
      </c>
      <c r="Y6987">
        <v>-5.0262880000000003E-2</v>
      </c>
      <c r="Z6987">
        <v>8.7727659999999996E-3</v>
      </c>
      <c r="AA6987">
        <v>0.99869750000000002</v>
      </c>
      <c r="AB6987">
        <v>25</v>
      </c>
      <c r="AC6987">
        <v>10.8971999999999</v>
      </c>
      <c r="AD6987">
        <v>-1.125190540088</v>
      </c>
      <c r="AE6987">
        <v>-0.19399999999998799</v>
      </c>
      <c r="AF6987">
        <v>-0.55536376907849005</v>
      </c>
      <c r="AG6987">
        <v>-1.125190540088</v>
      </c>
      <c r="AH6987">
        <v>10.7696787948235</v>
      </c>
      <c r="AI6987">
        <v>95.956630616137602</v>
      </c>
      <c r="AJ6987">
        <v>92.951976602895698</v>
      </c>
      <c r="AK6987">
        <v>10.8425303324998</v>
      </c>
      <c r="AL6987">
        <v>83.221918801008499</v>
      </c>
      <c r="AM6987">
        <v>92.656414830066396</v>
      </c>
      <c r="AN6987">
        <v>1.00000003823176</v>
      </c>
    </row>
    <row r="6988" spans="1:40" x14ac:dyDescent="0.25">
      <c r="A6988" t="str">
        <f>"20190303162440024"</f>
        <v>20190303162440024</v>
      </c>
      <c r="B6988" t="str">
        <f>"1551601480012114"</f>
        <v>1551601480012114</v>
      </c>
      <c r="C6988" t="s">
        <v>40</v>
      </c>
      <c r="D6988">
        <v>5.9611210000000003</v>
      </c>
      <c r="E6988">
        <v>0.49369560000000001</v>
      </c>
      <c r="F6988" t="s">
        <v>41</v>
      </c>
      <c r="G6988">
        <v>-151.95920000000001</v>
      </c>
      <c r="H6988" s="1">
        <v>-3.6766070000000001E-6</v>
      </c>
      <c r="I6988">
        <v>138.23609999999999</v>
      </c>
      <c r="J6988">
        <v>-162.96420000000001</v>
      </c>
      <c r="K6988">
        <v>1.125335</v>
      </c>
      <c r="L6988">
        <v>138.3237</v>
      </c>
      <c r="M6988">
        <v>0.99782740000000003</v>
      </c>
      <c r="N6988">
        <v>-1.715034E-2</v>
      </c>
      <c r="O6988">
        <v>-6.361261E-2</v>
      </c>
      <c r="P6988">
        <v>0.99500750000000004</v>
      </c>
      <c r="Q6988">
        <v>9.8346020000000006E-2</v>
      </c>
      <c r="R6988">
        <v>-1.697601E-2</v>
      </c>
      <c r="S6988">
        <v>3.0471949999999999</v>
      </c>
      <c r="T6988">
        <v>-0.3046392</v>
      </c>
      <c r="U6988">
        <v>-2.6672359999999999E-2</v>
      </c>
      <c r="V6988">
        <v>-4.7478810000000003E-2</v>
      </c>
      <c r="W6988">
        <v>0.11492529999999999</v>
      </c>
      <c r="X6988">
        <v>0.99223879999999998</v>
      </c>
      <c r="Y6988">
        <v>-5.4349740000000001E-2</v>
      </c>
      <c r="Z6988">
        <v>8.4279939999999994E-3</v>
      </c>
      <c r="AA6988">
        <v>0.9984864</v>
      </c>
      <c r="AB6988">
        <v>25</v>
      </c>
      <c r="AC6988">
        <v>11.0049999999999</v>
      </c>
      <c r="AD6988">
        <v>-1.1253386766069999</v>
      </c>
      <c r="AE6988">
        <v>-8.7600000000008907E-2</v>
      </c>
      <c r="AF6988">
        <v>-0.60639675917048996</v>
      </c>
      <c r="AG6988">
        <v>-1.1253386766069999</v>
      </c>
      <c r="AH6988">
        <v>10.8745751289424</v>
      </c>
      <c r="AI6988">
        <v>95.899036146469697</v>
      </c>
      <c r="AJ6988">
        <v>93.191667685865198</v>
      </c>
      <c r="AK6988">
        <v>10.9494515114508</v>
      </c>
      <c r="AL6988">
        <v>83.400683175172205</v>
      </c>
      <c r="AM6988">
        <v>92.739524074697698</v>
      </c>
      <c r="AN6988">
        <v>0.99999994910227097</v>
      </c>
    </row>
    <row r="6989" spans="1:40" x14ac:dyDescent="0.25">
      <c r="A6989" t="str">
        <f>"20190303162440048"</f>
        <v>20190303162440048</v>
      </c>
      <c r="B6989" t="str">
        <f>"1551601480041393"</f>
        <v>1551601480041393</v>
      </c>
      <c r="C6989" t="s">
        <v>40</v>
      </c>
      <c r="D6989">
        <v>5.9626729999999997</v>
      </c>
      <c r="E6989">
        <v>0.49328680000000003</v>
      </c>
      <c r="F6989" t="s">
        <v>41</v>
      </c>
      <c r="G6989">
        <v>-152.10159999999999</v>
      </c>
      <c r="H6989" s="1">
        <v>-3.600526E-6</v>
      </c>
      <c r="I6989">
        <v>138.32050000000001</v>
      </c>
      <c r="J6989">
        <v>-162.7105</v>
      </c>
      <c r="K6989">
        <v>1.1254189999999999</v>
      </c>
      <c r="L6989">
        <v>138.31440000000001</v>
      </c>
      <c r="M6989">
        <v>0.99817529999999999</v>
      </c>
      <c r="N6989">
        <v>-1.762319E-2</v>
      </c>
      <c r="O6989">
        <v>-5.7754439999999997E-2</v>
      </c>
      <c r="P6989">
        <v>0.9955735</v>
      </c>
      <c r="Q6989">
        <v>9.2928659999999996E-2</v>
      </c>
      <c r="R6989">
        <v>-1.407601E-2</v>
      </c>
      <c r="S6989">
        <v>3.0462340000000001</v>
      </c>
      <c r="T6989">
        <v>-0.31558180000000002</v>
      </c>
      <c r="U6989">
        <v>-9.0026859999999995E-4</v>
      </c>
      <c r="V6989">
        <v>-4.4536010000000001E-2</v>
      </c>
      <c r="W6989">
        <v>0.11001329999999999</v>
      </c>
      <c r="X6989">
        <v>0.99293180000000003</v>
      </c>
      <c r="Y6989">
        <v>-5.6899199999999997E-2</v>
      </c>
      <c r="Z6989">
        <v>8.3910730000000006E-3</v>
      </c>
      <c r="AA6989">
        <v>0.99834469999999997</v>
      </c>
      <c r="AB6989">
        <v>25</v>
      </c>
      <c r="AC6989">
        <v>10.6089</v>
      </c>
      <c r="AD6989">
        <v>-1.125422600526</v>
      </c>
      <c r="AE6989">
        <v>6.1000000000035401E-3</v>
      </c>
      <c r="AF6989">
        <v>-0.61200875259751797</v>
      </c>
      <c r="AG6989">
        <v>-1.125422600526</v>
      </c>
      <c r="AH6989">
        <v>10.472975577942901</v>
      </c>
      <c r="AI6989">
        <v>96.123083211149094</v>
      </c>
      <c r="AJ6989">
        <v>93.344387185769705</v>
      </c>
      <c r="AK6989">
        <v>10.5510354088696</v>
      </c>
      <c r="AL6989">
        <v>83.683917559138493</v>
      </c>
      <c r="AM6989">
        <v>92.5681686183528</v>
      </c>
      <c r="AN6989">
        <v>0.99999997090742399</v>
      </c>
    </row>
    <row r="6990" spans="1:40" x14ac:dyDescent="0.25">
      <c r="A6990" t="str">
        <f>"20190303162440072"</f>
        <v>20190303162440072</v>
      </c>
      <c r="B6990" t="str">
        <f>"1551601480061889"</f>
        <v>1551601480061889</v>
      </c>
      <c r="C6990" t="s">
        <v>40</v>
      </c>
      <c r="D6990">
        <v>5.9530859999999999</v>
      </c>
      <c r="E6990">
        <v>0.49345660000000002</v>
      </c>
      <c r="F6990" t="s">
        <v>41</v>
      </c>
      <c r="G6990">
        <v>-152.34280000000001</v>
      </c>
      <c r="H6990" s="1">
        <v>-3.4890629999999998E-6</v>
      </c>
      <c r="I6990">
        <v>138.3657</v>
      </c>
      <c r="J6990">
        <v>-162.45089999999999</v>
      </c>
      <c r="K6990">
        <v>1.12548</v>
      </c>
      <c r="L6990">
        <v>138.3065</v>
      </c>
      <c r="M6990">
        <v>0.99849889999999997</v>
      </c>
      <c r="N6990">
        <v>-1.806893E-2</v>
      </c>
      <c r="O6990">
        <v>-5.1709110000000003E-2</v>
      </c>
      <c r="P6990">
        <v>0.99574510000000005</v>
      </c>
      <c r="Q6990">
        <v>9.0817809999999999E-2</v>
      </c>
      <c r="R6990">
        <v>-1.562494E-2</v>
      </c>
      <c r="S6990">
        <v>3.044403</v>
      </c>
      <c r="T6990">
        <v>-0.33046890000000001</v>
      </c>
      <c r="U6990">
        <v>1.5075679999999999E-2</v>
      </c>
      <c r="V6990">
        <v>-3.6961059999999997E-2</v>
      </c>
      <c r="W6990">
        <v>0.10842739999999999</v>
      </c>
      <c r="X6990">
        <v>0.99341699999999999</v>
      </c>
      <c r="Y6990">
        <v>-5.6066829999999998E-2</v>
      </c>
      <c r="Z6990">
        <v>8.2048299999999998E-3</v>
      </c>
      <c r="AA6990">
        <v>0.99839330000000004</v>
      </c>
      <c r="AB6990">
        <v>25</v>
      </c>
      <c r="AC6990">
        <v>10.108099999999901</v>
      </c>
      <c r="AD6990">
        <v>-1.1254834890629899</v>
      </c>
      <c r="AE6990">
        <v>5.9200000000004097E-2</v>
      </c>
      <c r="AF6990">
        <v>-0.57476143449800199</v>
      </c>
      <c r="AG6990">
        <v>-1.1254834890629899</v>
      </c>
      <c r="AH6990">
        <v>9.9679364814068805</v>
      </c>
      <c r="AI6990">
        <v>96.431411847662005</v>
      </c>
      <c r="AJ6990">
        <v>93.300079250019806</v>
      </c>
      <c r="AK6990">
        <v>10.0477271802185</v>
      </c>
      <c r="AL6990">
        <v>83.775329863805894</v>
      </c>
      <c r="AM6990">
        <v>92.130763196267395</v>
      </c>
      <c r="AN6990">
        <v>0.99999997845804101</v>
      </c>
    </row>
    <row r="6991" spans="1:40" x14ac:dyDescent="0.25">
      <c r="A6991" t="str">
        <f>"20190303162440098"</f>
        <v>20190303162440098</v>
      </c>
      <c r="B6991" t="str">
        <f>"1551601480092146"</f>
        <v>1551601480092146</v>
      </c>
      <c r="C6991" t="s">
        <v>40</v>
      </c>
      <c r="D6991">
        <v>5.7006550000000002</v>
      </c>
      <c r="E6991">
        <v>0.49342720000000001</v>
      </c>
      <c r="F6991" t="s">
        <v>41</v>
      </c>
      <c r="G6991">
        <v>-152.23089999999999</v>
      </c>
      <c r="H6991" s="1">
        <v>-3.5396610000000002E-6</v>
      </c>
      <c r="I6991">
        <v>138.351</v>
      </c>
      <c r="J6991">
        <v>-162.16460000000001</v>
      </c>
      <c r="K6991">
        <v>1.125534</v>
      </c>
      <c r="L6991">
        <v>138.2998</v>
      </c>
      <c r="M6991">
        <v>0.99881609999999998</v>
      </c>
      <c r="N6991">
        <v>-1.851595E-2</v>
      </c>
      <c r="O6991">
        <v>-4.4984629999999998E-2</v>
      </c>
      <c r="P6991">
        <v>0.99535770000000001</v>
      </c>
      <c r="Q6991">
        <v>9.4339210000000007E-2</v>
      </c>
      <c r="R6991">
        <v>-1.9063750000000001E-2</v>
      </c>
      <c r="S6991">
        <v>3.0435940000000001</v>
      </c>
      <c r="T6991">
        <v>-0.33517550000000002</v>
      </c>
      <c r="U6991">
        <v>1.325989E-2</v>
      </c>
      <c r="V6991">
        <v>-2.684077E-2</v>
      </c>
      <c r="W6991">
        <v>0.1124931</v>
      </c>
      <c r="X6991">
        <v>0.99328989999999995</v>
      </c>
      <c r="Y6991">
        <v>-4.8811069999999998E-2</v>
      </c>
      <c r="Z6991">
        <v>7.2398069999999896E-3</v>
      </c>
      <c r="AA6991">
        <v>0.99878180000000005</v>
      </c>
      <c r="AB6991">
        <v>25</v>
      </c>
      <c r="AC6991">
        <v>9.9337000000000106</v>
      </c>
      <c r="AD6991">
        <v>-1.1255375396609999</v>
      </c>
      <c r="AE6991">
        <v>5.1199999999994299E-2</v>
      </c>
      <c r="AF6991">
        <v>-0.49177532697415099</v>
      </c>
      <c r="AG6991">
        <v>-1.1255375396609999</v>
      </c>
      <c r="AH6991">
        <v>9.7955843295739893</v>
      </c>
      <c r="AI6991">
        <v>96.5465122079368</v>
      </c>
      <c r="AJ6991">
        <v>92.8740515284873</v>
      </c>
      <c r="AK6991">
        <v>9.8722920379819694</v>
      </c>
      <c r="AL6991">
        <v>83.540947926723206</v>
      </c>
      <c r="AM6991">
        <v>91.547875087984906</v>
      </c>
      <c r="AN6991">
        <v>0.99999997496190596</v>
      </c>
    </row>
    <row r="6992" spans="1:40" x14ac:dyDescent="0.25">
      <c r="A6992" t="str">
        <f>"20190303162440121"</f>
        <v>20190303162440121</v>
      </c>
      <c r="B6992" t="str">
        <f>"1551601480111665"</f>
        <v>1551601480111665</v>
      </c>
      <c r="C6992" t="s">
        <v>40</v>
      </c>
      <c r="D6992">
        <v>5.9010150000000001</v>
      </c>
      <c r="E6992">
        <v>0.49336360000000001</v>
      </c>
      <c r="F6992" t="s">
        <v>41</v>
      </c>
      <c r="G6992">
        <v>-151.46170000000001</v>
      </c>
      <c r="H6992" s="1">
        <v>-3.8752090000000002E-6</v>
      </c>
      <c r="I6992">
        <v>138.31960000000001</v>
      </c>
      <c r="J6992">
        <v>-161.91759999999999</v>
      </c>
      <c r="K6992">
        <v>1.1255710000000001</v>
      </c>
      <c r="L6992">
        <v>138.29570000000001</v>
      </c>
      <c r="M6992">
        <v>0.99905739999999998</v>
      </c>
      <c r="N6992">
        <v>-1.885502E-2</v>
      </c>
      <c r="O6992">
        <v>-3.9099269999999998E-2</v>
      </c>
      <c r="P6992">
        <v>0.99454909999999996</v>
      </c>
      <c r="Q6992">
        <v>0.1013298</v>
      </c>
      <c r="R6992">
        <v>-2.4582320000000001E-2</v>
      </c>
      <c r="S6992">
        <v>3.0444490000000002</v>
      </c>
      <c r="T6992">
        <v>-0.32015749999999998</v>
      </c>
      <c r="U6992">
        <v>5.6457520000000004E-3</v>
      </c>
      <c r="V6992">
        <v>-1.5494870000000001E-2</v>
      </c>
      <c r="W6992">
        <v>0.1199231</v>
      </c>
      <c r="X6992">
        <v>0.9926623</v>
      </c>
      <c r="Y6992">
        <v>-4.0550139999999998E-2</v>
      </c>
      <c r="Z6992">
        <v>5.8737559999999999E-3</v>
      </c>
      <c r="AA6992">
        <v>0.99916020000000005</v>
      </c>
      <c r="AB6992">
        <v>24</v>
      </c>
      <c r="AC6992">
        <v>10.4558999999999</v>
      </c>
      <c r="AD6992">
        <v>-1.12557487520899</v>
      </c>
      <c r="AE6992">
        <v>2.38999999999975E-2</v>
      </c>
      <c r="AF6992">
        <v>-0.42781478285646202</v>
      </c>
      <c r="AG6992">
        <v>-1.12557487520899</v>
      </c>
      <c r="AH6992">
        <v>10.327290390805199</v>
      </c>
      <c r="AI6992">
        <v>96.214845948555705</v>
      </c>
      <c r="AJ6992">
        <v>92.372158951245595</v>
      </c>
      <c r="AK6992">
        <v>10.3972530556946</v>
      </c>
      <c r="AL6992">
        <v>83.112335801993297</v>
      </c>
      <c r="AM6992">
        <v>90.894280523378995</v>
      </c>
      <c r="AN6992">
        <v>1.0000000413756001</v>
      </c>
    </row>
    <row r="6993" spans="1:40" x14ac:dyDescent="0.25">
      <c r="A6993" t="str">
        <f>"20190303162440139"</f>
        <v>20190303162440139</v>
      </c>
      <c r="B6993" t="str">
        <f>"1551601480132161"</f>
        <v>1551601480132161</v>
      </c>
      <c r="C6993" t="s">
        <v>40</v>
      </c>
      <c r="D6993">
        <v>5.907438</v>
      </c>
      <c r="E6993">
        <v>0.4931489</v>
      </c>
      <c r="F6993" t="s">
        <v>41</v>
      </c>
      <c r="G6993">
        <v>-150.41290000000001</v>
      </c>
      <c r="H6993" s="1">
        <v>-4.3367140000000003E-6</v>
      </c>
      <c r="I6993">
        <v>138.2542</v>
      </c>
      <c r="J6993">
        <v>-161.71879999999999</v>
      </c>
      <c r="K6993">
        <v>1.12558799999999</v>
      </c>
      <c r="L6993">
        <v>138.2936</v>
      </c>
      <c r="M6993">
        <v>0.99922920000000004</v>
      </c>
      <c r="N6993">
        <v>-1.908367E-2</v>
      </c>
      <c r="O6993">
        <v>-3.4304590000000003E-2</v>
      </c>
      <c r="P6993">
        <v>0.99376359999999997</v>
      </c>
      <c r="Q6993">
        <v>0.1066839</v>
      </c>
      <c r="R6993">
        <v>-3.2446299999999997E-2</v>
      </c>
      <c r="S6993">
        <v>3.0465390000000001</v>
      </c>
      <c r="T6993">
        <v>-0.2980623</v>
      </c>
      <c r="U6993">
        <v>-1.0971069999999999E-2</v>
      </c>
      <c r="V6993">
        <v>-2.882178E-3</v>
      </c>
      <c r="W6993">
        <v>0.12561739999999999</v>
      </c>
      <c r="X6993">
        <v>0.99207449999999997</v>
      </c>
      <c r="Y6993">
        <v>-3.043177E-2</v>
      </c>
      <c r="Z6993">
        <v>4.4704660000000002E-3</v>
      </c>
      <c r="AA6993">
        <v>0.9995269</v>
      </c>
      <c r="AB6993">
        <v>24</v>
      </c>
      <c r="AC6993">
        <v>11.3058999999999</v>
      </c>
      <c r="AD6993">
        <v>-1.1255923367139899</v>
      </c>
      <c r="AE6993">
        <v>-3.9400000000000497E-2</v>
      </c>
      <c r="AF6993">
        <v>-0.34511741941339402</v>
      </c>
      <c r="AG6993">
        <v>-1.1255923367139899</v>
      </c>
      <c r="AH6993">
        <v>11.1896865973362</v>
      </c>
      <c r="AI6993">
        <v>95.741459403907498</v>
      </c>
      <c r="AJ6993">
        <v>91.766582557323403</v>
      </c>
      <c r="AK6993">
        <v>11.251451030345301</v>
      </c>
      <c r="AL6993">
        <v>82.783588222223898</v>
      </c>
      <c r="AM6993">
        <v>90.166455412987702</v>
      </c>
      <c r="AN6993">
        <v>0.99999992584151398</v>
      </c>
    </row>
    <row r="6994" spans="1:40" x14ac:dyDescent="0.25">
      <c r="A6994" t="str">
        <f>"20190303162440158"</f>
        <v>20190303162440158</v>
      </c>
      <c r="B6994" t="str">
        <f>"1551601480151682"</f>
        <v>1551601480151682</v>
      </c>
      <c r="C6994" t="s">
        <v>40</v>
      </c>
      <c r="D6994">
        <v>5.847601</v>
      </c>
      <c r="E6994">
        <v>0.49285970000000001</v>
      </c>
      <c r="F6994" t="s">
        <v>41</v>
      </c>
      <c r="G6994">
        <v>-149.47620000000001</v>
      </c>
      <c r="H6994" s="1">
        <v>-5.5064979999999999E-7</v>
      </c>
      <c r="I6994">
        <v>138.16419999999999</v>
      </c>
      <c r="J6994">
        <v>-161.52080000000001</v>
      </c>
      <c r="K6994">
        <v>1.1255839999999999</v>
      </c>
      <c r="L6994">
        <v>138.29249999999999</v>
      </c>
      <c r="M6994">
        <v>0.99937889999999996</v>
      </c>
      <c r="N6994">
        <v>-1.9278139999999999E-2</v>
      </c>
      <c r="O6994">
        <v>-2.949883E-2</v>
      </c>
      <c r="P6994">
        <v>0.99315200000000003</v>
      </c>
      <c r="Q6994">
        <v>0.1096266</v>
      </c>
      <c r="R6994">
        <v>-4.0390540000000003E-2</v>
      </c>
      <c r="S6994">
        <v>3.0478519999999998</v>
      </c>
      <c r="T6994">
        <v>-0.28021859999999998</v>
      </c>
      <c r="U6994">
        <v>-3.2196040000000002E-2</v>
      </c>
      <c r="V6994">
        <v>9.8392310000000004E-3</v>
      </c>
      <c r="W6994">
        <v>0.1288667</v>
      </c>
      <c r="X6994">
        <v>0.99161310000000003</v>
      </c>
      <c r="Y6994">
        <v>-1.877086E-2</v>
      </c>
      <c r="Z6994">
        <v>3.1805449999999999E-3</v>
      </c>
      <c r="AA6994">
        <v>0.99981869999999995</v>
      </c>
      <c r="AB6994">
        <v>24</v>
      </c>
      <c r="AC6994">
        <v>12.044600000000001</v>
      </c>
      <c r="AD6994">
        <v>-1.1255845506497999</v>
      </c>
      <c r="AE6994">
        <v>-0.128299999999995</v>
      </c>
      <c r="AF6994">
        <v>-0.22515738947292899</v>
      </c>
      <c r="AG6994">
        <v>-1.1255845506497999</v>
      </c>
      <c r="AH6994">
        <v>11.9388894046063</v>
      </c>
      <c r="AI6994">
        <v>95.384907525392506</v>
      </c>
      <c r="AJ6994">
        <v>91.080422021951193</v>
      </c>
      <c r="AK6994">
        <v>11.993944999295101</v>
      </c>
      <c r="AL6994">
        <v>82.595891752909907</v>
      </c>
      <c r="AM6994">
        <v>89.431504172516</v>
      </c>
      <c r="AN6994">
        <v>0.99999998846358495</v>
      </c>
    </row>
    <row r="6995" spans="1:40" x14ac:dyDescent="0.25">
      <c r="A6995" t="str">
        <f>"20190303162440180"</f>
        <v>20190303162440180</v>
      </c>
      <c r="B6995" t="str">
        <f>"1551601480172178"</f>
        <v>1551601480172178</v>
      </c>
      <c r="C6995" t="s">
        <v>40</v>
      </c>
      <c r="D6995">
        <v>5.913602</v>
      </c>
      <c r="E6995">
        <v>0.49268030000000002</v>
      </c>
      <c r="F6995" t="s">
        <v>41</v>
      </c>
      <c r="G6995">
        <v>-148.82390000000001</v>
      </c>
      <c r="H6995" s="1">
        <v>-7.9655499999999995E-7</v>
      </c>
      <c r="I6995">
        <v>138.07419999999999</v>
      </c>
      <c r="J6995">
        <v>-161.28129999999999</v>
      </c>
      <c r="K6995">
        <v>1.1255329999999999</v>
      </c>
      <c r="L6995">
        <v>138.29239999999999</v>
      </c>
      <c r="M6995">
        <v>0.99952949999999996</v>
      </c>
      <c r="N6995">
        <v>-1.9472659999999999E-2</v>
      </c>
      <c r="O6995">
        <v>-2.36933E-2</v>
      </c>
      <c r="P6995">
        <v>0.99263959999999996</v>
      </c>
      <c r="Q6995">
        <v>0.1123335</v>
      </c>
      <c r="R6995">
        <v>-4.5257159999999998E-2</v>
      </c>
      <c r="S6995">
        <v>3.0483699999999998</v>
      </c>
      <c r="T6995">
        <v>-0.2702407</v>
      </c>
      <c r="U6995">
        <v>-5.2398680000000003E-2</v>
      </c>
      <c r="V6995">
        <v>2.0483149999999999E-2</v>
      </c>
      <c r="W6995">
        <v>0.13185549999999999</v>
      </c>
      <c r="X6995">
        <v>0.99105730000000003</v>
      </c>
      <c r="Y6995">
        <v>-6.4253060000000004E-3</v>
      </c>
      <c r="Z6995">
        <v>1.9821259999999999E-3</v>
      </c>
      <c r="AA6995">
        <v>0.99997740000000002</v>
      </c>
      <c r="AB6995">
        <v>24</v>
      </c>
      <c r="AC6995">
        <v>12.4573999999999</v>
      </c>
      <c r="AD6995">
        <v>-1.1255337965550001</v>
      </c>
      <c r="AE6995">
        <v>-0.21819999999999501</v>
      </c>
      <c r="AF6995">
        <v>-7.6450310732066706E-2</v>
      </c>
      <c r="AG6995">
        <v>-1.1255337965550001</v>
      </c>
      <c r="AH6995">
        <v>12.358220313612099</v>
      </c>
      <c r="AI6995">
        <v>95.2037985538974</v>
      </c>
      <c r="AJ6995">
        <v>90.354438111741402</v>
      </c>
      <c r="AK6995">
        <v>12.4096043569879</v>
      </c>
      <c r="AL6995">
        <v>82.423172272428801</v>
      </c>
      <c r="AM6995">
        <v>88.815980688337007</v>
      </c>
      <c r="AN6995">
        <v>1.0000000020987301</v>
      </c>
    </row>
    <row r="6996" spans="1:40" x14ac:dyDescent="0.25">
      <c r="A6996" t="str">
        <f>"20190303162440204"</f>
        <v>20190303162440204</v>
      </c>
      <c r="B6996" t="str">
        <f>"1551601480191698"</f>
        <v>1551601480191698</v>
      </c>
      <c r="C6996" t="s">
        <v>40</v>
      </c>
      <c r="D6996">
        <v>5.9150600000000004</v>
      </c>
      <c r="E6996">
        <v>0.49228250000000001</v>
      </c>
      <c r="F6996" t="s">
        <v>41</v>
      </c>
      <c r="G6996">
        <v>-148.07919999999999</v>
      </c>
      <c r="H6996" s="1">
        <v>-1.0895169999999999E-6</v>
      </c>
      <c r="I6996">
        <v>138.0197</v>
      </c>
      <c r="J6996">
        <v>-161.04079999999999</v>
      </c>
      <c r="K6996">
        <v>1.1254109999999999</v>
      </c>
      <c r="L6996">
        <v>138.2938</v>
      </c>
      <c r="M6996">
        <v>0.99964679999999995</v>
      </c>
      <c r="N6996">
        <v>-1.962465E-2</v>
      </c>
      <c r="O6996">
        <v>-1.7927579999999999E-2</v>
      </c>
      <c r="P6996">
        <v>0.99245870000000003</v>
      </c>
      <c r="Q6996">
        <v>0.1127364</v>
      </c>
      <c r="R6996">
        <v>-4.8127509999999998E-2</v>
      </c>
      <c r="S6996">
        <v>3.0487820000000001</v>
      </c>
      <c r="T6996">
        <v>-0.25992009999999999</v>
      </c>
      <c r="U6996">
        <v>-6.2973020000000005E-2</v>
      </c>
      <c r="V6996">
        <v>2.9117790000000001E-2</v>
      </c>
      <c r="W6996">
        <v>0.13247610000000001</v>
      </c>
      <c r="X6996">
        <v>0.99075840000000004</v>
      </c>
      <c r="Y6996">
        <v>2.746451E-3</v>
      </c>
      <c r="Z6996">
        <v>1.0301100000000001E-3</v>
      </c>
      <c r="AA6996">
        <v>0.99999570000000004</v>
      </c>
      <c r="AB6996">
        <v>24</v>
      </c>
      <c r="AC6996">
        <v>12.961600000000001</v>
      </c>
      <c r="AD6996">
        <v>-1.1254120895169999</v>
      </c>
      <c r="AE6996">
        <v>-0.27410000000000401</v>
      </c>
      <c r="AF6996">
        <v>4.1329641789723003E-2</v>
      </c>
      <c r="AG6996">
        <v>-1.1254120895169999</v>
      </c>
      <c r="AH6996">
        <v>12.867468274315501</v>
      </c>
      <c r="AI6996">
        <v>94.998447543875699</v>
      </c>
      <c r="AJ6996">
        <v>89.815969555967499</v>
      </c>
      <c r="AK6996">
        <v>12.916655925627101</v>
      </c>
      <c r="AL6996">
        <v>82.387299693319903</v>
      </c>
      <c r="AM6996">
        <v>88.316596263014404</v>
      </c>
      <c r="AN6996">
        <v>0.99999998496812703</v>
      </c>
    </row>
    <row r="6997" spans="1:40" x14ac:dyDescent="0.25">
      <c r="A6997" t="str">
        <f>"20190303162440225"</f>
        <v>20190303162440225</v>
      </c>
      <c r="B6997" t="str">
        <f>"1551601480212194"</f>
        <v>1551601480212194</v>
      </c>
      <c r="C6997" t="s">
        <v>40</v>
      </c>
      <c r="D6997">
        <v>5.8521000000000001</v>
      </c>
      <c r="E6997">
        <v>0.4917974</v>
      </c>
      <c r="F6997" t="s">
        <v>41</v>
      </c>
      <c r="G6997">
        <v>-147.77180000000001</v>
      </c>
      <c r="H6997" s="1">
        <v>-1.226238E-6</v>
      </c>
      <c r="I6997">
        <v>137.9923</v>
      </c>
      <c r="J6997">
        <v>-160.81460000000001</v>
      </c>
      <c r="K6997">
        <v>1.1252420000000001</v>
      </c>
      <c r="L6997">
        <v>138.2962</v>
      </c>
      <c r="M6997">
        <v>0.99972530000000004</v>
      </c>
      <c r="N6997">
        <v>-1.9738140000000001E-2</v>
      </c>
      <c r="O6997">
        <v>-1.264326E-2</v>
      </c>
      <c r="P6997">
        <v>0.9926876</v>
      </c>
      <c r="Q6997">
        <v>0.1096554</v>
      </c>
      <c r="R6997">
        <v>-5.0471500000000002E-2</v>
      </c>
      <c r="S6997">
        <v>3.048813</v>
      </c>
      <c r="T6997">
        <v>-0.25858520000000002</v>
      </c>
      <c r="U6997">
        <v>-6.9259639999999997E-2</v>
      </c>
      <c r="V6997">
        <v>3.6785489999999997E-2</v>
      </c>
      <c r="W6997">
        <v>0.1295646</v>
      </c>
      <c r="X6997">
        <v>0.9908884</v>
      </c>
      <c r="Y6997">
        <v>1.0049000000000001E-2</v>
      </c>
      <c r="Z6997">
        <v>2.9625160000000002E-4</v>
      </c>
      <c r="AA6997">
        <v>0.99994950000000005</v>
      </c>
      <c r="AB6997">
        <v>24</v>
      </c>
      <c r="AC6997">
        <v>13.0428</v>
      </c>
      <c r="AD6997">
        <v>-1.1252432262379899</v>
      </c>
      <c r="AE6997">
        <v>-0.30389999999999801</v>
      </c>
      <c r="AF6997">
        <v>0.13791412123840299</v>
      </c>
      <c r="AG6997">
        <v>-1.1252432262379899</v>
      </c>
      <c r="AH6997">
        <v>12.949270313099101</v>
      </c>
      <c r="AI6997">
        <v>94.966033938469494</v>
      </c>
      <c r="AJ6997">
        <v>89.389803584179504</v>
      </c>
      <c r="AK6997">
        <v>12.998799724003</v>
      </c>
      <c r="AL6997">
        <v>82.555566972997994</v>
      </c>
      <c r="AM6997">
        <v>87.873942325387404</v>
      </c>
      <c r="AN6997">
        <v>0.99999998955113001</v>
      </c>
    </row>
    <row r="6998" spans="1:40" x14ac:dyDescent="0.25">
      <c r="A6998" t="str">
        <f>"20190303162440248"</f>
        <v>20190303162440248</v>
      </c>
      <c r="B6998" t="str">
        <f>"1551601480241473"</f>
        <v>1551601480241473</v>
      </c>
      <c r="C6998" t="s">
        <v>40</v>
      </c>
      <c r="D6998">
        <v>5.8452729999999997</v>
      </c>
      <c r="E6998">
        <v>0.48092689999999999</v>
      </c>
      <c r="F6998" t="s">
        <v>42</v>
      </c>
      <c r="G6998">
        <v>-159.90710000000001</v>
      </c>
      <c r="H6998">
        <v>1.045086</v>
      </c>
      <c r="I6998">
        <v>138.27369999999999</v>
      </c>
      <c r="J6998">
        <v>-160.5857</v>
      </c>
      <c r="K6998">
        <v>1.125041</v>
      </c>
      <c r="L6998">
        <v>138.2997</v>
      </c>
      <c r="M6998">
        <v>0.99977519999999998</v>
      </c>
      <c r="N6998">
        <v>-1.984822E-2</v>
      </c>
      <c r="O6998">
        <v>-7.4614599999999996E-3</v>
      </c>
      <c r="P6998">
        <v>0.9929692</v>
      </c>
      <c r="Q6998">
        <v>0.10750029999999999</v>
      </c>
      <c r="R6998">
        <v>-4.9560489999999999E-2</v>
      </c>
      <c r="S6998">
        <v>3.048035</v>
      </c>
      <c r="T6998">
        <v>-0.26934180000000002</v>
      </c>
      <c r="U6998">
        <v>-7.5408939999999994E-2</v>
      </c>
      <c r="V6998">
        <v>4.1098410000000002E-2</v>
      </c>
      <c r="W6998">
        <v>0.12753780000000001</v>
      </c>
      <c r="X6998">
        <v>0.99098189999999997</v>
      </c>
      <c r="Y6998">
        <v>1.7206610000000001E-2</v>
      </c>
      <c r="Z6998">
        <v>-4.1978840000000001E-4</v>
      </c>
      <c r="AA6998">
        <v>0.99985190000000002</v>
      </c>
      <c r="AB6998">
        <v>23</v>
      </c>
      <c r="AC6998">
        <v>0.67859999999998799</v>
      </c>
      <c r="AD6998">
        <v>-7.9954999999999998E-2</v>
      </c>
      <c r="AE6998">
        <v>-2.60000000000104E-2</v>
      </c>
      <c r="AF6998">
        <v>2.06486990831194E-2</v>
      </c>
      <c r="AG6998">
        <v>-7.9954999999999998E-2</v>
      </c>
      <c r="AH6998">
        <v>0.66949459198434402</v>
      </c>
      <c r="AI6998">
        <v>96.807138683529004</v>
      </c>
      <c r="AJ6998">
        <v>88.233431001566998</v>
      </c>
      <c r="AK6998">
        <v>0.67456814295896605</v>
      </c>
      <c r="AL6998">
        <v>82.672666094162906</v>
      </c>
      <c r="AM6998">
        <v>87.625166721715303</v>
      </c>
      <c r="AN6998">
        <v>1.00000004793048</v>
      </c>
    </row>
    <row r="6999" spans="1:40" x14ac:dyDescent="0.25">
      <c r="A6999" t="str">
        <f>"20190303162440272"</f>
        <v>20190303162440272</v>
      </c>
      <c r="B6999" t="str">
        <f>"1551601480261970"</f>
        <v>1551601480261970</v>
      </c>
      <c r="C6999" t="s">
        <v>40</v>
      </c>
      <c r="D6999">
        <v>5.7913870000000003</v>
      </c>
      <c r="E6999">
        <v>0.47938009999999898</v>
      </c>
      <c r="F6999" t="s">
        <v>42</v>
      </c>
      <c r="G6999">
        <v>-159.69970000000001</v>
      </c>
      <c r="H6999">
        <v>1.038384</v>
      </c>
      <c r="I6999">
        <v>138.30289999999999</v>
      </c>
      <c r="J6999">
        <v>-160.34039999999999</v>
      </c>
      <c r="K6999">
        <v>1.124817</v>
      </c>
      <c r="L6999">
        <v>138.30439999999999</v>
      </c>
      <c r="M6999">
        <v>0.99979830000000003</v>
      </c>
      <c r="N6999">
        <v>-1.9964530000000001E-2</v>
      </c>
      <c r="O6999">
        <v>-2.1771289999999999E-3</v>
      </c>
      <c r="P6999">
        <v>0.9930601</v>
      </c>
      <c r="Q6999">
        <v>0.1084854</v>
      </c>
      <c r="R6999">
        <v>-4.5417520000000003E-2</v>
      </c>
      <c r="S6999">
        <v>3.0541839999999998</v>
      </c>
      <c r="T6999">
        <v>-0.29897669999999998</v>
      </c>
      <c r="U6999">
        <v>1.152039E-2</v>
      </c>
      <c r="V6999">
        <v>4.227094E-2</v>
      </c>
      <c r="W6999">
        <v>0.12861889999999901</v>
      </c>
      <c r="X6999">
        <v>0.99079280000000003</v>
      </c>
      <c r="Y6999">
        <v>-5.9088860000000003E-3</v>
      </c>
      <c r="Z6999">
        <v>5.1690730000000004E-4</v>
      </c>
      <c r="AA6999">
        <v>0.99998240000000005</v>
      </c>
      <c r="AB6999">
        <v>23</v>
      </c>
      <c r="AC6999">
        <v>0.64069999999998095</v>
      </c>
      <c r="AD6999">
        <v>-8.6432999999999899E-2</v>
      </c>
      <c r="AE6999">
        <v>-1.4999999999929499E-3</v>
      </c>
      <c r="AF6999">
        <v>1.0295806275916E-4</v>
      </c>
      <c r="AG6999">
        <v>-8.6432999999999899E-2</v>
      </c>
      <c r="AH6999">
        <v>0.629250030725789</v>
      </c>
      <c r="AI6999">
        <v>97.821133605437097</v>
      </c>
      <c r="AJ6999">
        <v>89.990625248911797</v>
      </c>
      <c r="AK6999">
        <v>0.63515846468245196</v>
      </c>
      <c r="AL6999">
        <v>82.610208977016896</v>
      </c>
      <c r="AM6999">
        <v>87.557028484178105</v>
      </c>
      <c r="AN6999">
        <v>1.0000000131687601</v>
      </c>
    </row>
    <row r="7000" spans="1:40" x14ac:dyDescent="0.25">
      <c r="A7000" t="str">
        <f>"20190303162440298"</f>
        <v>20190303162440298</v>
      </c>
      <c r="B7000" t="str">
        <f>"1551601480292227"</f>
        <v>1551601480292227</v>
      </c>
      <c r="C7000" t="s">
        <v>40</v>
      </c>
      <c r="D7000">
        <v>5.8627279999999997</v>
      </c>
      <c r="E7000">
        <v>0.47843200000000002</v>
      </c>
      <c r="F7000" t="s">
        <v>41</v>
      </c>
      <c r="G7000">
        <v>-148.9468</v>
      </c>
      <c r="H7000" s="1">
        <v>-6.6139769999999995E-7</v>
      </c>
      <c r="I7000">
        <v>138.42509999999999</v>
      </c>
      <c r="J7000">
        <v>-160.07830000000001</v>
      </c>
      <c r="K7000">
        <v>1.124565</v>
      </c>
      <c r="L7000">
        <v>138.31039999999999</v>
      </c>
      <c r="M7000">
        <v>0.9997935</v>
      </c>
      <c r="N7000">
        <v>-2.009317E-2</v>
      </c>
      <c r="O7000">
        <v>3.055056E-3</v>
      </c>
      <c r="P7000">
        <v>0.99300710000000003</v>
      </c>
      <c r="Q7000">
        <v>0.111329399999999</v>
      </c>
      <c r="R7000">
        <v>-3.9277909999999999E-2</v>
      </c>
      <c r="S7000">
        <v>3.0554049999999999</v>
      </c>
      <c r="T7000">
        <v>-0.3016393</v>
      </c>
      <c r="U7000">
        <v>3.2379150000000002E-2</v>
      </c>
      <c r="V7000">
        <v>4.1400439999999997E-2</v>
      </c>
      <c r="W7000">
        <v>0.13154730000000001</v>
      </c>
      <c r="X7000">
        <v>0.99044500000000002</v>
      </c>
      <c r="Y7000">
        <v>-7.5066530000000003E-3</v>
      </c>
      <c r="Z7000">
        <v>2.056863E-4</v>
      </c>
      <c r="AA7000">
        <v>0.99997179999999997</v>
      </c>
      <c r="AB7000">
        <v>23</v>
      </c>
      <c r="AC7000">
        <v>11.131500000000001</v>
      </c>
      <c r="AD7000">
        <v>-1.1245656613977</v>
      </c>
      <c r="AE7000">
        <v>0.114699999999999</v>
      </c>
      <c r="AF7000">
        <v>-7.9870162581664406E-2</v>
      </c>
      <c r="AG7000">
        <v>-1.1245656613977</v>
      </c>
      <c r="AH7000">
        <v>11.019345286308999</v>
      </c>
      <c r="AI7000">
        <v>95.826924214578696</v>
      </c>
      <c r="AJ7000">
        <v>90.415282666043893</v>
      </c>
      <c r="AK7000">
        <v>11.0768676848902</v>
      </c>
      <c r="AL7000">
        <v>82.440985932443198</v>
      </c>
      <c r="AM7000">
        <v>87.606439111975206</v>
      </c>
      <c r="AN7000">
        <v>0.99999999329724099</v>
      </c>
    </row>
    <row r="7001" spans="1:40" x14ac:dyDescent="0.25">
      <c r="A7001" t="str">
        <f>"20190303162440316"</f>
        <v>20190303162440316</v>
      </c>
      <c r="B7001" t="str">
        <f>"1551601480302962"</f>
        <v>1551601480302962</v>
      </c>
      <c r="C7001" t="s">
        <v>40</v>
      </c>
      <c r="D7001">
        <v>5.8645569999999996</v>
      </c>
      <c r="E7001">
        <v>0.47802719999999999</v>
      </c>
      <c r="F7001" t="s">
        <v>41</v>
      </c>
      <c r="G7001">
        <v>-148.36439999999999</v>
      </c>
      <c r="H7001" s="1">
        <v>-8.7663369999999996E-7</v>
      </c>
      <c r="I7001">
        <v>138.5301</v>
      </c>
      <c r="J7001">
        <v>-159.88730000000001</v>
      </c>
      <c r="K7001">
        <v>1.1243590000000001</v>
      </c>
      <c r="L7001">
        <v>138.31530000000001</v>
      </c>
      <c r="M7001">
        <v>0.99977470000000002</v>
      </c>
      <c r="N7001">
        <v>-2.0203309999999999E-2</v>
      </c>
      <c r="O7001">
        <v>6.5248850000000002E-3</v>
      </c>
      <c r="P7001">
        <v>0.99291309999999999</v>
      </c>
      <c r="Q7001">
        <v>0.1130627</v>
      </c>
      <c r="R7001">
        <v>-3.6612560000000002E-2</v>
      </c>
      <c r="S7001">
        <v>3.0562900000000002</v>
      </c>
      <c r="T7001">
        <v>-0.29341220000000001</v>
      </c>
      <c r="U7001">
        <v>5.732727E-2</v>
      </c>
      <c r="V7001">
        <v>4.2247479999999997E-2</v>
      </c>
      <c r="W7001">
        <v>0.13336509999999999</v>
      </c>
      <c r="X7001">
        <v>0.99016610000000005</v>
      </c>
      <c r="Y7001">
        <v>-1.2179250000000001E-2</v>
      </c>
      <c r="Z7001">
        <v>2.1331219999999999E-4</v>
      </c>
      <c r="AA7001">
        <v>0.99992579999999998</v>
      </c>
      <c r="AB7001">
        <v>23</v>
      </c>
      <c r="AC7001">
        <v>11.5229</v>
      </c>
      <c r="AD7001">
        <v>-1.1243598766337</v>
      </c>
      <c r="AE7001">
        <v>0.21479999999999599</v>
      </c>
      <c r="AF7001">
        <v>-0.13827838177544</v>
      </c>
      <c r="AG7001">
        <v>-1.1243598766337</v>
      </c>
      <c r="AH7001">
        <v>11.415406971908</v>
      </c>
      <c r="AI7001">
        <v>95.624790937982894</v>
      </c>
      <c r="AJ7001">
        <v>90.694007687903806</v>
      </c>
      <c r="AK7001">
        <v>11.4714786482535</v>
      </c>
      <c r="AL7001">
        <v>82.335907861234702</v>
      </c>
      <c r="AM7001">
        <v>87.556839184097299</v>
      </c>
      <c r="AN7001">
        <v>1.0000000025267799</v>
      </c>
    </row>
    <row r="7002" spans="1:40" x14ac:dyDescent="0.25">
      <c r="A7002" t="str">
        <f>"20190303162440339"</f>
        <v>20190303162440339</v>
      </c>
      <c r="B7002" t="str">
        <f>"1551601480332241"</f>
        <v>1551601480332241</v>
      </c>
      <c r="C7002" t="s">
        <v>40</v>
      </c>
      <c r="D7002">
        <v>5.8101589999999996</v>
      </c>
      <c r="E7002">
        <v>0.477464</v>
      </c>
      <c r="F7002" t="s">
        <v>41</v>
      </c>
      <c r="G7002">
        <v>-147.98580000000001</v>
      </c>
      <c r="H7002" s="1">
        <v>-1.028371E-6</v>
      </c>
      <c r="I7002">
        <v>138.59030000000001</v>
      </c>
      <c r="J7002">
        <v>-159.66579999999999</v>
      </c>
      <c r="K7002">
        <v>1.124091</v>
      </c>
      <c r="L7002">
        <v>138.32149999999999</v>
      </c>
      <c r="M7002">
        <v>0.99974079999999999</v>
      </c>
      <c r="N7002">
        <v>-2.0363019999999999E-2</v>
      </c>
      <c r="O7002">
        <v>1.0188890000000001E-2</v>
      </c>
      <c r="P7002">
        <v>0.992761</v>
      </c>
      <c r="Q7002">
        <v>0.11480079999999999</v>
      </c>
      <c r="R7002">
        <v>-3.5306360000000002E-2</v>
      </c>
      <c r="S7002">
        <v>3.0569000000000002</v>
      </c>
      <c r="T7002">
        <v>-0.28879110000000002</v>
      </c>
      <c r="U7002">
        <v>7.064819E-2</v>
      </c>
      <c r="V7002">
        <v>4.4667409999999998E-2</v>
      </c>
      <c r="W7002">
        <v>0.13523579999999999</v>
      </c>
      <c r="X7002">
        <v>0.98980610000000002</v>
      </c>
      <c r="Y7002">
        <v>-1.2873600000000001E-2</v>
      </c>
      <c r="Z7002" s="1">
        <v>-1.5015919999999999E-5</v>
      </c>
      <c r="AA7002">
        <v>0.9999171</v>
      </c>
      <c r="AB7002">
        <v>23</v>
      </c>
      <c r="AC7002">
        <v>11.6799999999999</v>
      </c>
      <c r="AD7002">
        <v>-1.1240920283710001</v>
      </c>
      <c r="AE7002">
        <v>0.26880000000002702</v>
      </c>
      <c r="AF7002">
        <v>-0.14838150922594301</v>
      </c>
      <c r="AG7002">
        <v>-1.1240920283710001</v>
      </c>
      <c r="AH7002">
        <v>11.574978824952501</v>
      </c>
      <c r="AI7002">
        <v>95.546373212455507</v>
      </c>
      <c r="AJ7002">
        <v>90.734443554260295</v>
      </c>
      <c r="AK7002">
        <v>11.630379820050001</v>
      </c>
      <c r="AL7002">
        <v>82.227744781162798</v>
      </c>
      <c r="AM7002">
        <v>87.416141504880599</v>
      </c>
      <c r="AN7002">
        <v>1.00000000735747</v>
      </c>
    </row>
    <row r="7003" spans="1:40" x14ac:dyDescent="0.25">
      <c r="A7003" t="str">
        <f>"20190303162440360"</f>
        <v>20190303162440360</v>
      </c>
      <c r="B7003" t="str">
        <f>"1551601480351762"</f>
        <v>1551601480351762</v>
      </c>
      <c r="C7003" t="s">
        <v>40</v>
      </c>
      <c r="D7003">
        <v>5.7581379999999998</v>
      </c>
      <c r="E7003">
        <v>0.46419129999999997</v>
      </c>
      <c r="F7003" t="s">
        <v>41</v>
      </c>
      <c r="G7003">
        <v>-147.53190000000001</v>
      </c>
      <c r="H7003" s="1">
        <v>-1.2121419999999999E-6</v>
      </c>
      <c r="I7003">
        <v>138.65209999999999</v>
      </c>
      <c r="J7003">
        <v>-159.44749999999999</v>
      </c>
      <c r="K7003">
        <v>1.1238319999999999</v>
      </c>
      <c r="L7003">
        <v>138.3279</v>
      </c>
      <c r="M7003">
        <v>0.99969850000000005</v>
      </c>
      <c r="N7003">
        <v>-2.0560539999999999E-2</v>
      </c>
      <c r="O7003">
        <v>1.341728E-2</v>
      </c>
      <c r="P7003">
        <v>0.99243440000000005</v>
      </c>
      <c r="Q7003">
        <v>0.1178612</v>
      </c>
      <c r="R7003">
        <v>-3.4389660000000002E-2</v>
      </c>
      <c r="S7003">
        <v>3.0576020000000002</v>
      </c>
      <c r="T7003">
        <v>-0.2832577</v>
      </c>
      <c r="U7003">
        <v>8.3328250000000006E-2</v>
      </c>
      <c r="V7003">
        <v>4.703765E-2</v>
      </c>
      <c r="W7003">
        <v>0.13845859999999999</v>
      </c>
      <c r="X7003">
        <v>0.98925050000000003</v>
      </c>
      <c r="Y7003">
        <v>-1.378769E-2</v>
      </c>
      <c r="Z7003">
        <v>-1.852902E-4</v>
      </c>
      <c r="AA7003">
        <v>0.99990489999999999</v>
      </c>
      <c r="AB7003">
        <v>23</v>
      </c>
      <c r="AC7003">
        <v>11.9155999999999</v>
      </c>
      <c r="AD7003">
        <v>-1.123833212142</v>
      </c>
      <c r="AE7003">
        <v>0.32419999999999</v>
      </c>
      <c r="AF7003">
        <v>-0.16281479509751401</v>
      </c>
      <c r="AG7003">
        <v>-1.123833212142</v>
      </c>
      <c r="AH7003">
        <v>11.813864890111001</v>
      </c>
      <c r="AI7003">
        <v>95.433586389610198</v>
      </c>
      <c r="AJ7003">
        <v>90.789581576216406</v>
      </c>
      <c r="AK7003">
        <v>11.868315524454699</v>
      </c>
      <c r="AL7003">
        <v>82.041337621419302</v>
      </c>
      <c r="AM7003">
        <v>87.277706202475102</v>
      </c>
      <c r="AN7003">
        <v>0.99999993809086396</v>
      </c>
    </row>
    <row r="7004" spans="1:40" x14ac:dyDescent="0.25">
      <c r="A7004" t="str">
        <f>"20190303162440385"</f>
        <v>20190303162440385</v>
      </c>
      <c r="B7004" t="str">
        <f>"1551601480372257"</f>
        <v>1551601480372257</v>
      </c>
      <c r="C7004" t="s">
        <v>40</v>
      </c>
      <c r="D7004">
        <v>5.7590729999999999</v>
      </c>
      <c r="E7004">
        <v>0.46239439999999998</v>
      </c>
      <c r="F7004" t="s">
        <v>41</v>
      </c>
      <c r="G7004">
        <v>-144.2824</v>
      </c>
      <c r="H7004" s="1">
        <v>-2.4931610000000001E-6</v>
      </c>
      <c r="I7004">
        <v>139.28909999999999</v>
      </c>
      <c r="J7004">
        <v>-159.21430000000001</v>
      </c>
      <c r="K7004">
        <v>1.123591</v>
      </c>
      <c r="L7004">
        <v>138.33500000000001</v>
      </c>
      <c r="M7004">
        <v>0.99964790000000003</v>
      </c>
      <c r="N7004">
        <v>-2.0817579999999999E-2</v>
      </c>
      <c r="O7004">
        <v>1.6452700000000001E-2</v>
      </c>
      <c r="P7004">
        <v>0.99209769999999997</v>
      </c>
      <c r="Q7004">
        <v>0.1211898</v>
      </c>
      <c r="R7004">
        <v>-3.248409E-2</v>
      </c>
      <c r="S7004">
        <v>3.0565030000000002</v>
      </c>
      <c r="T7004">
        <v>-0.22650729999999999</v>
      </c>
      <c r="U7004">
        <v>0.19374079999999999</v>
      </c>
      <c r="V7004">
        <v>4.8228449999999999E-2</v>
      </c>
      <c r="W7004">
        <v>0.14199999999999999</v>
      </c>
      <c r="X7004">
        <v>0.98869099999999999</v>
      </c>
      <c r="Y7004">
        <v>-4.6687289999999999E-2</v>
      </c>
      <c r="Z7004">
        <v>1.338924E-3</v>
      </c>
      <c r="AA7004">
        <v>0.99890860000000004</v>
      </c>
      <c r="AB7004">
        <v>23</v>
      </c>
      <c r="AC7004">
        <v>14.931900000000001</v>
      </c>
      <c r="AD7004">
        <v>-1.1235934931610001</v>
      </c>
      <c r="AE7004">
        <v>0.95409999999998196</v>
      </c>
      <c r="AF7004">
        <v>-0.70427591441952497</v>
      </c>
      <c r="AG7004">
        <v>-1.1235934931610001</v>
      </c>
      <c r="AH7004">
        <v>14.8617702044833</v>
      </c>
      <c r="AI7004">
        <v>94.318676296248697</v>
      </c>
      <c r="AJ7004">
        <v>92.713127164206696</v>
      </c>
      <c r="AK7004">
        <v>14.920813667906099</v>
      </c>
      <c r="AL7004">
        <v>81.836405298193995</v>
      </c>
      <c r="AM7004">
        <v>87.207319561144701</v>
      </c>
      <c r="AN7004">
        <v>0.99999993843519897</v>
      </c>
    </row>
    <row r="7005" spans="1:40" x14ac:dyDescent="0.25">
      <c r="A7005" t="str">
        <f>"20190303162440405"</f>
        <v>20190303162440405</v>
      </c>
      <c r="B7005" t="str">
        <f>"1551601480391778"</f>
        <v>1551601480391778</v>
      </c>
      <c r="C7005" t="s">
        <v>40</v>
      </c>
      <c r="D7005">
        <v>5.873869</v>
      </c>
      <c r="E7005">
        <v>0.46187339999999999</v>
      </c>
      <c r="F7005" t="s">
        <v>41</v>
      </c>
      <c r="G7005">
        <v>-141.8605</v>
      </c>
      <c r="H7005" s="1">
        <v>-3.4853669999999998E-6</v>
      </c>
      <c r="I7005">
        <v>139.553</v>
      </c>
      <c r="J7005">
        <v>-159.01349999999999</v>
      </c>
      <c r="K7005">
        <v>1.1234120000000001</v>
      </c>
      <c r="L7005">
        <v>138.34139999999999</v>
      </c>
      <c r="M7005">
        <v>0.9996024</v>
      </c>
      <c r="N7005">
        <v>-2.1065750000000001E-2</v>
      </c>
      <c r="O7005">
        <v>1.874226E-2</v>
      </c>
      <c r="P7005">
        <v>0.99197469999999999</v>
      </c>
      <c r="Q7005">
        <v>0.1224744</v>
      </c>
      <c r="R7005">
        <v>-3.1410460000000001E-2</v>
      </c>
      <c r="S7005">
        <v>3.055069</v>
      </c>
      <c r="T7005">
        <v>-0.19780349999999999</v>
      </c>
      <c r="U7005">
        <v>0.21441650000000001</v>
      </c>
      <c r="V7005">
        <v>4.9498430000000003E-2</v>
      </c>
      <c r="W7005">
        <v>0.1435023</v>
      </c>
      <c r="X7005">
        <v>0.98841140000000005</v>
      </c>
      <c r="Y7005">
        <v>-5.1175150000000003E-2</v>
      </c>
      <c r="Z7005">
        <v>1.3771250000000001E-3</v>
      </c>
      <c r="AA7005">
        <v>0.99868880000000004</v>
      </c>
      <c r="AB7005">
        <v>22</v>
      </c>
      <c r="AC7005">
        <v>17.152999999999899</v>
      </c>
      <c r="AD7005">
        <v>-1.123415485367</v>
      </c>
      <c r="AE7005">
        <v>1.2116</v>
      </c>
      <c r="AF7005">
        <v>-0.88604796213841597</v>
      </c>
      <c r="AG7005">
        <v>-1.123415485367</v>
      </c>
      <c r="AH7005">
        <v>17.099714804170599</v>
      </c>
      <c r="AI7005">
        <v>93.753789531091101</v>
      </c>
      <c r="AJ7005">
        <v>92.966215917060197</v>
      </c>
      <c r="AK7005">
        <v>17.159469389463698</v>
      </c>
      <c r="AL7005">
        <v>81.749440108902505</v>
      </c>
      <c r="AM7005">
        <v>87.133092693995806</v>
      </c>
      <c r="AN7005">
        <v>1.00000005016385</v>
      </c>
    </row>
    <row r="7006" spans="1:40" x14ac:dyDescent="0.25">
      <c r="A7006" t="str">
        <f>"20190303162440427"</f>
        <v>20190303162440427</v>
      </c>
      <c r="B7006" t="str">
        <f>"1551601480422035"</f>
        <v>1551601480422035</v>
      </c>
      <c r="C7006" t="s">
        <v>40</v>
      </c>
      <c r="D7006">
        <v>5.8730609999999999</v>
      </c>
      <c r="E7006">
        <v>0.4614878</v>
      </c>
      <c r="F7006" t="s">
        <v>41</v>
      </c>
      <c r="G7006">
        <v>-140.8989</v>
      </c>
      <c r="H7006" s="1">
        <v>-3.8983849999999996E-6</v>
      </c>
      <c r="I7006">
        <v>139.66040000000001</v>
      </c>
      <c r="J7006">
        <v>-158.79040000000001</v>
      </c>
      <c r="K7006">
        <v>1.1232580000000001</v>
      </c>
      <c r="L7006">
        <v>138.34870000000001</v>
      </c>
      <c r="M7006">
        <v>0.99955110000000003</v>
      </c>
      <c r="N7006">
        <v>-2.1359119999999999E-2</v>
      </c>
      <c r="O7006">
        <v>2.1008260000000001E-2</v>
      </c>
      <c r="P7006">
        <v>0.99222049999999995</v>
      </c>
      <c r="Q7006">
        <v>0.1206237</v>
      </c>
      <c r="R7006">
        <v>-3.080082E-2</v>
      </c>
      <c r="S7006">
        <v>3.0546880000000001</v>
      </c>
      <c r="T7006">
        <v>-0.18944279999999999</v>
      </c>
      <c r="U7006">
        <v>0.2224274</v>
      </c>
      <c r="V7006">
        <v>5.1217360000000003E-2</v>
      </c>
      <c r="W7006">
        <v>0.14192550000000001</v>
      </c>
      <c r="X7006">
        <v>0.98855139999999997</v>
      </c>
      <c r="Y7006">
        <v>-5.1533870000000002E-2</v>
      </c>
      <c r="Z7006">
        <v>1.29463E-3</v>
      </c>
      <c r="AA7006">
        <v>0.99867039999999996</v>
      </c>
      <c r="AB7006">
        <v>22</v>
      </c>
      <c r="AC7006">
        <v>17.891500000000001</v>
      </c>
      <c r="AD7006">
        <v>-1.123261898385</v>
      </c>
      <c r="AE7006">
        <v>1.3117000000000001</v>
      </c>
      <c r="AF7006">
        <v>-0.93180219755476901</v>
      </c>
      <c r="AG7006">
        <v>-1.123261898385</v>
      </c>
      <c r="AH7006">
        <v>17.845150648881098</v>
      </c>
      <c r="AI7006">
        <v>93.596840353547606</v>
      </c>
      <c r="AJ7006">
        <v>92.989041239578896</v>
      </c>
      <c r="AK7006">
        <v>17.9047305008758</v>
      </c>
      <c r="AL7006">
        <v>81.840717750793601</v>
      </c>
      <c r="AM7006">
        <v>87.034127886175398</v>
      </c>
      <c r="AN7006">
        <v>0.99999996797878898</v>
      </c>
    </row>
    <row r="7007" spans="1:40" x14ac:dyDescent="0.25">
      <c r="A7007" t="str">
        <f>"20190303162440449"</f>
        <v>20190303162440449</v>
      </c>
      <c r="B7007" t="str">
        <f>"1551601480441555"</f>
        <v>1551601480441555</v>
      </c>
      <c r="C7007" t="s">
        <v>40</v>
      </c>
      <c r="D7007">
        <v>5.6225829999999997</v>
      </c>
      <c r="E7007">
        <v>0.46149509999999999</v>
      </c>
      <c r="F7007" t="s">
        <v>41</v>
      </c>
      <c r="G7007">
        <v>-141.60429999999999</v>
      </c>
      <c r="H7007" s="1">
        <v>-3.589312E-6</v>
      </c>
      <c r="I7007">
        <v>139.636</v>
      </c>
      <c r="J7007">
        <v>-158.58510000000001</v>
      </c>
      <c r="K7007">
        <v>1.123154</v>
      </c>
      <c r="L7007">
        <v>138.35570000000001</v>
      </c>
      <c r="M7007">
        <v>0.9995039</v>
      </c>
      <c r="N7007">
        <v>-2.1630119999999999E-2</v>
      </c>
      <c r="O7007">
        <v>2.2898160000000001E-2</v>
      </c>
      <c r="P7007">
        <v>0.99249600000000004</v>
      </c>
      <c r="Q7007">
        <v>0.1185503</v>
      </c>
      <c r="R7007">
        <v>-2.9961979999999999E-2</v>
      </c>
      <c r="S7007">
        <v>3.054916</v>
      </c>
      <c r="T7007">
        <v>-0.19966519999999999</v>
      </c>
      <c r="U7007">
        <v>0.22883609999999999</v>
      </c>
      <c r="V7007">
        <v>5.2316410000000001E-2</v>
      </c>
      <c r="W7007">
        <v>0.1401085</v>
      </c>
      <c r="X7007">
        <v>0.98875310000000005</v>
      </c>
      <c r="Y7007">
        <v>-5.1714540000000003E-2</v>
      </c>
      <c r="Z7007">
        <v>1.248723E-3</v>
      </c>
      <c r="AA7007">
        <v>0.99866109999999997</v>
      </c>
      <c r="AB7007">
        <v>22</v>
      </c>
      <c r="AC7007">
        <v>16.980799999999999</v>
      </c>
      <c r="AD7007">
        <v>-1.123157589312</v>
      </c>
      <c r="AE7007">
        <v>1.28029999999998</v>
      </c>
      <c r="AF7007">
        <v>-0.88718475277770303</v>
      </c>
      <c r="AG7007">
        <v>-1.123157589312</v>
      </c>
      <c r="AH7007">
        <v>16.9320123410001</v>
      </c>
      <c r="AI7007">
        <v>93.789879241260707</v>
      </c>
      <c r="AJ7007">
        <v>92.999377679375002</v>
      </c>
      <c r="AK7007">
        <v>16.9923989381067</v>
      </c>
      <c r="AL7007">
        <v>81.945875648972205</v>
      </c>
      <c r="AM7007">
        <v>86.971218720794099</v>
      </c>
      <c r="AN7007">
        <v>1.00000004564357</v>
      </c>
    </row>
    <row r="7008" spans="1:40" x14ac:dyDescent="0.25">
      <c r="A7008" t="str">
        <f>"20190303162440472"</f>
        <v>20190303162440472</v>
      </c>
      <c r="B7008" t="str">
        <f>"1551601480462050"</f>
        <v>1551601480462050</v>
      </c>
      <c r="C7008" t="s">
        <v>40</v>
      </c>
      <c r="D7008">
        <v>5.9308370000000004</v>
      </c>
      <c r="E7008">
        <v>0.46135779999999899</v>
      </c>
      <c r="F7008" t="s">
        <v>41</v>
      </c>
      <c r="G7008">
        <v>-142.0352</v>
      </c>
      <c r="H7008" s="1">
        <v>-3.3992879999999999E-6</v>
      </c>
      <c r="I7008">
        <v>139.6157</v>
      </c>
      <c r="J7008">
        <v>-158.36340000000001</v>
      </c>
      <c r="K7008">
        <v>1.123068</v>
      </c>
      <c r="L7008">
        <v>138.36330000000001</v>
      </c>
      <c r="M7008">
        <v>0.99945289999999998</v>
      </c>
      <c r="N7008">
        <v>-2.1922469999999999E-2</v>
      </c>
      <c r="O7008">
        <v>2.4767870000000001E-2</v>
      </c>
      <c r="P7008">
        <v>0.99253449999999999</v>
      </c>
      <c r="Q7008">
        <v>0.1184557</v>
      </c>
      <c r="R7008">
        <v>-2.9050599999999999E-2</v>
      </c>
      <c r="S7008">
        <v>3.054459</v>
      </c>
      <c r="T7008">
        <v>-0.20729049999999999</v>
      </c>
      <c r="U7008">
        <v>0.23255919999999999</v>
      </c>
      <c r="V7008">
        <v>5.3307430000000003E-2</v>
      </c>
      <c r="W7008">
        <v>0.14028689999999999</v>
      </c>
      <c r="X7008">
        <v>0.98867479999999996</v>
      </c>
      <c r="Y7008">
        <v>-5.1063459999999998E-2</v>
      </c>
      <c r="Z7008">
        <v>1.155674E-3</v>
      </c>
      <c r="AA7008">
        <v>0.99869470000000005</v>
      </c>
      <c r="AB7008">
        <v>22</v>
      </c>
      <c r="AC7008">
        <v>16.328199999999999</v>
      </c>
      <c r="AD7008">
        <v>-1.1230713992879999</v>
      </c>
      <c r="AE7008">
        <v>1.25239999999999</v>
      </c>
      <c r="AF7008">
        <v>-0.84353640023818599</v>
      </c>
      <c r="AG7008">
        <v>-1.1230713992879999</v>
      </c>
      <c r="AH7008">
        <v>16.2776587330994</v>
      </c>
      <c r="AI7008">
        <v>93.941575340659099</v>
      </c>
      <c r="AJ7008">
        <v>92.966512674739704</v>
      </c>
      <c r="AK7008">
        <v>16.3381460655018</v>
      </c>
      <c r="AL7008">
        <v>81.935551575502203</v>
      </c>
      <c r="AM7008">
        <v>86.913711020442307</v>
      </c>
      <c r="AN7008">
        <v>0.99999997827992704</v>
      </c>
    </row>
    <row r="7009" spans="1:40" x14ac:dyDescent="0.25">
      <c r="A7009" t="str">
        <f>"20190303162440501"</f>
        <v>20190303162440501</v>
      </c>
      <c r="B7009" t="str">
        <f>"1551601480492306"</f>
        <v>1551601480492306</v>
      </c>
      <c r="C7009" t="s">
        <v>40</v>
      </c>
      <c r="D7009">
        <v>5.9265330000000001</v>
      </c>
      <c r="E7009">
        <v>0.4614354</v>
      </c>
      <c r="F7009" t="s">
        <v>41</v>
      </c>
      <c r="G7009">
        <v>-141.96100000000001</v>
      </c>
      <c r="H7009" s="1">
        <v>-3.437418E-6</v>
      </c>
      <c r="I7009">
        <v>139.6403</v>
      </c>
      <c r="J7009">
        <v>-158.12309999999999</v>
      </c>
      <c r="K7009">
        <v>1.122994</v>
      </c>
      <c r="L7009">
        <v>138.37190000000001</v>
      </c>
      <c r="M7009">
        <v>0.99939719999999999</v>
      </c>
      <c r="N7009">
        <v>-2.2261889999999999E-2</v>
      </c>
      <c r="O7009">
        <v>2.663985E-2</v>
      </c>
      <c r="P7009">
        <v>0.99243910000000002</v>
      </c>
      <c r="Q7009">
        <v>0.1196532</v>
      </c>
      <c r="R7009">
        <v>-2.7347429999999999E-2</v>
      </c>
      <c r="S7009">
        <v>3.0544739999999999</v>
      </c>
      <c r="T7009">
        <v>-0.20913970000000001</v>
      </c>
      <c r="U7009">
        <v>0.2378082</v>
      </c>
      <c r="V7009">
        <v>5.3502699999999903E-2</v>
      </c>
      <c r="W7009">
        <v>0.14179900000000001</v>
      </c>
      <c r="X7009">
        <v>0.98844860000000001</v>
      </c>
      <c r="Y7009">
        <v>-5.0898180000000001E-2</v>
      </c>
      <c r="Z7009">
        <v>1.079637E-3</v>
      </c>
      <c r="AA7009">
        <v>0.99870320000000001</v>
      </c>
      <c r="AB7009">
        <v>21</v>
      </c>
      <c r="AC7009">
        <v>16.162099999999899</v>
      </c>
      <c r="AD7009">
        <v>-1.1229974374179901</v>
      </c>
      <c r="AE7009">
        <v>1.26839999999998</v>
      </c>
      <c r="AF7009">
        <v>-0.83328853431075101</v>
      </c>
      <c r="AG7009">
        <v>-1.1229974374179901</v>
      </c>
      <c r="AH7009">
        <v>16.112843861913301</v>
      </c>
      <c r="AI7009">
        <v>93.981524172838107</v>
      </c>
      <c r="AJ7009">
        <v>92.960459409865607</v>
      </c>
      <c r="AK7009">
        <v>16.173411215456699</v>
      </c>
      <c r="AL7009">
        <v>81.848040515443699</v>
      </c>
      <c r="AM7009">
        <v>86.901720158734804</v>
      </c>
      <c r="AN7009">
        <v>1.00000006507512</v>
      </c>
    </row>
    <row r="7010" spans="1:40" x14ac:dyDescent="0.25">
      <c r="A7010" t="str">
        <f>"20190303162440521"</f>
        <v>20190303162440521</v>
      </c>
      <c r="B7010" t="str">
        <f>"1551601480512332"</f>
        <v>1551601480512332</v>
      </c>
      <c r="C7010" t="s">
        <v>40</v>
      </c>
      <c r="D7010">
        <v>5.9287190000000001</v>
      </c>
      <c r="E7010">
        <v>0.46142879999999997</v>
      </c>
      <c r="F7010" t="s">
        <v>41</v>
      </c>
      <c r="G7010">
        <v>-141.89490000000001</v>
      </c>
      <c r="H7010" s="1">
        <v>-3.4725569999999999E-6</v>
      </c>
      <c r="I7010">
        <v>139.66579999999999</v>
      </c>
      <c r="J7010">
        <v>-157.90940000000001</v>
      </c>
      <c r="K7010">
        <v>1.1229530000000001</v>
      </c>
      <c r="L7010">
        <v>138.37960000000001</v>
      </c>
      <c r="M7010">
        <v>0.99934719999999999</v>
      </c>
      <c r="N7010">
        <v>-2.2614039999999998E-2</v>
      </c>
      <c r="O7010">
        <v>2.8179070000000001E-2</v>
      </c>
      <c r="P7010">
        <v>0.99238119999999996</v>
      </c>
      <c r="Q7010">
        <v>0.1206121</v>
      </c>
      <c r="R7010">
        <v>-2.5155360000000002E-2</v>
      </c>
      <c r="S7010">
        <v>3.0550540000000002</v>
      </c>
      <c r="T7010">
        <v>-0.21141019999999999</v>
      </c>
      <c r="U7010">
        <v>0.24359130000000001</v>
      </c>
      <c r="V7010">
        <v>5.2873249999999997E-2</v>
      </c>
      <c r="W7010">
        <v>0.1430884</v>
      </c>
      <c r="X7010">
        <v>0.98829659999999997</v>
      </c>
      <c r="Y7010">
        <v>-5.1221490000000001E-2</v>
      </c>
      <c r="Z7010">
        <v>1.0406180000000001E-3</v>
      </c>
      <c r="AA7010">
        <v>0.99868679999999999</v>
      </c>
      <c r="AB7010">
        <v>21</v>
      </c>
      <c r="AC7010">
        <v>16.014499999999899</v>
      </c>
      <c r="AD7010">
        <v>-1.122956472557</v>
      </c>
      <c r="AE7010">
        <v>1.28619999999997</v>
      </c>
      <c r="AF7010">
        <v>-0.83024375647640003</v>
      </c>
      <c r="AG7010">
        <v>-1.122956472557</v>
      </c>
      <c r="AH7010">
        <v>15.9663870697037</v>
      </c>
      <c r="AI7010">
        <v>94.017722060621495</v>
      </c>
      <c r="AJ7010">
        <v>92.976669509045493</v>
      </c>
      <c r="AK7010">
        <v>16.027347004230901</v>
      </c>
      <c r="AL7010">
        <v>81.773401871277798</v>
      </c>
      <c r="AM7010">
        <v>86.937631090139604</v>
      </c>
      <c r="AN7010">
        <v>1.0000000201758401</v>
      </c>
    </row>
    <row r="7011" spans="1:40" x14ac:dyDescent="0.25">
      <c r="A7011" t="str">
        <f>"20190303162440540"</f>
        <v>20190303162440540</v>
      </c>
      <c r="B7011" t="str">
        <f>"1551601480531853"</f>
        <v>1551601480531853</v>
      </c>
      <c r="C7011" t="s">
        <v>40</v>
      </c>
      <c r="D7011">
        <v>5.6986220000000003</v>
      </c>
      <c r="E7011">
        <v>0.46156779999999997</v>
      </c>
      <c r="F7011" t="s">
        <v>41</v>
      </c>
      <c r="G7011">
        <v>-141.76660000000001</v>
      </c>
      <c r="H7011" s="1">
        <v>-3.5339219999999999E-6</v>
      </c>
      <c r="I7011">
        <v>139.68960000000001</v>
      </c>
      <c r="J7011">
        <v>-157.73949999999999</v>
      </c>
      <c r="K7011">
        <v>1.12293</v>
      </c>
      <c r="L7011">
        <v>138.38589999999999</v>
      </c>
      <c r="M7011">
        <v>0.99930750000000002</v>
      </c>
      <c r="N7011">
        <v>-2.2939370000000001E-2</v>
      </c>
      <c r="O7011">
        <v>2.9299829999999999E-2</v>
      </c>
      <c r="P7011">
        <v>0.99234160000000005</v>
      </c>
      <c r="Q7011">
        <v>0.1214322</v>
      </c>
      <c r="R7011">
        <v>-2.2647819999999999E-2</v>
      </c>
      <c r="S7011">
        <v>3.0551759999999999</v>
      </c>
      <c r="T7011">
        <v>-0.21252969999999999</v>
      </c>
      <c r="U7011">
        <v>0.2479248</v>
      </c>
      <c r="V7011">
        <v>5.150453E-2</v>
      </c>
      <c r="W7011">
        <v>0.14421619999999999</v>
      </c>
      <c r="X7011">
        <v>0.98820490000000005</v>
      </c>
      <c r="Y7011">
        <v>-5.1503809999999997E-2</v>
      </c>
      <c r="Z7011">
        <v>1.018276E-3</v>
      </c>
      <c r="AA7011">
        <v>0.99867229999999996</v>
      </c>
      <c r="AB7011">
        <v>21</v>
      </c>
      <c r="AC7011">
        <v>15.9728999999999</v>
      </c>
      <c r="AD7011">
        <v>-1.1229335339219999</v>
      </c>
      <c r="AE7011">
        <v>1.3037000000000201</v>
      </c>
      <c r="AF7011">
        <v>-0.83093393201009103</v>
      </c>
      <c r="AG7011">
        <v>-1.1229335339219999</v>
      </c>
      <c r="AH7011">
        <v>15.926054432822101</v>
      </c>
      <c r="AI7011">
        <v>94.027744964225505</v>
      </c>
      <c r="AJ7011">
        <v>92.986670547265405</v>
      </c>
      <c r="AK7011">
        <v>15.987202404366601</v>
      </c>
      <c r="AL7011">
        <v>81.708106095904199</v>
      </c>
      <c r="AM7011">
        <v>87.016484640896607</v>
      </c>
      <c r="AN7011">
        <v>0.99999997666848495</v>
      </c>
    </row>
    <row r="7012" spans="1:40" x14ac:dyDescent="0.25">
      <c r="A7012" t="str">
        <f>"20190303162440561"</f>
        <v>20190303162440561</v>
      </c>
      <c r="B7012" t="str">
        <f>"1551601480551373"</f>
        <v>1551601480551373</v>
      </c>
      <c r="C7012" t="s">
        <v>40</v>
      </c>
      <c r="D7012">
        <v>5.8639489999999999</v>
      </c>
      <c r="E7012">
        <v>0.46169080000000001</v>
      </c>
      <c r="F7012" t="s">
        <v>41</v>
      </c>
      <c r="G7012">
        <v>-141.6122</v>
      </c>
      <c r="H7012" s="1">
        <v>-3.6069230000000001E-6</v>
      </c>
      <c r="I7012">
        <v>139.715</v>
      </c>
      <c r="J7012">
        <v>-157.5522</v>
      </c>
      <c r="K7012">
        <v>1.1229129999999901</v>
      </c>
      <c r="L7012">
        <v>138.3929</v>
      </c>
      <c r="M7012">
        <v>0.9992645</v>
      </c>
      <c r="N7012">
        <v>-2.333963E-2</v>
      </c>
      <c r="O7012">
        <v>3.0427860000000001E-2</v>
      </c>
      <c r="P7012">
        <v>0.99249960000000004</v>
      </c>
      <c r="Q7012">
        <v>0.1206141</v>
      </c>
      <c r="R7012">
        <v>-1.9922889999999999E-2</v>
      </c>
      <c r="S7012">
        <v>3.0549469999999999</v>
      </c>
      <c r="T7012">
        <v>-0.21271419999999999</v>
      </c>
      <c r="U7012">
        <v>0.25178529999999999</v>
      </c>
      <c r="V7012">
        <v>4.993479E-2</v>
      </c>
      <c r="W7012">
        <v>0.14378629999999901</v>
      </c>
      <c r="X7012">
        <v>0.98834809999999995</v>
      </c>
      <c r="Y7012">
        <v>-5.1635210000000001E-2</v>
      </c>
      <c r="Z7012">
        <v>9.9427679999999994E-4</v>
      </c>
      <c r="AA7012">
        <v>0.99866549999999998</v>
      </c>
      <c r="AB7012">
        <v>21</v>
      </c>
      <c r="AC7012">
        <v>15.9399999999999</v>
      </c>
      <c r="AD7012">
        <v>-1.1229166069230001</v>
      </c>
      <c r="AE7012">
        <v>1.3221000000000001</v>
      </c>
      <c r="AF7012">
        <v>-0.83223336488001198</v>
      </c>
      <c r="AG7012">
        <v>-1.1229166069230001</v>
      </c>
      <c r="AH7012">
        <v>15.8945140102611</v>
      </c>
      <c r="AI7012">
        <v>94.035611592864001</v>
      </c>
      <c r="AJ7012">
        <v>92.997257758199197</v>
      </c>
      <c r="AK7012">
        <v>15.9558493882999</v>
      </c>
      <c r="AL7012">
        <v>81.732996963877298</v>
      </c>
      <c r="AM7012">
        <v>87.107676896731903</v>
      </c>
      <c r="AN7012">
        <v>0.99999997504682103</v>
      </c>
    </row>
    <row r="7013" spans="1:40" x14ac:dyDescent="0.25">
      <c r="A7013" t="str">
        <f>"20190303162440583"</f>
        <v>20190303162440583</v>
      </c>
      <c r="B7013" t="str">
        <f>"1551601480571868"</f>
        <v>1551601480571868</v>
      </c>
      <c r="C7013" t="s">
        <v>40</v>
      </c>
      <c r="D7013">
        <v>5.9812690000000002</v>
      </c>
      <c r="E7013">
        <v>0.4618466</v>
      </c>
      <c r="F7013" t="s">
        <v>41</v>
      </c>
      <c r="G7013">
        <v>-142.03389999999999</v>
      </c>
      <c r="H7013" s="1">
        <v>-3.4239150000000001E-6</v>
      </c>
      <c r="I7013">
        <v>139.7071</v>
      </c>
      <c r="J7013">
        <v>-157.34950000000001</v>
      </c>
      <c r="K7013">
        <v>1.1229039999999999</v>
      </c>
      <c r="L7013">
        <v>138.4006</v>
      </c>
      <c r="M7013">
        <v>0.99921939999999998</v>
      </c>
      <c r="N7013">
        <v>-2.3818829999999999E-2</v>
      </c>
      <c r="O7013">
        <v>3.1518919999999999E-2</v>
      </c>
      <c r="P7013">
        <v>0.99272760000000004</v>
      </c>
      <c r="Q7013">
        <v>0.1190794</v>
      </c>
      <c r="R7013">
        <v>-1.7667530000000001E-2</v>
      </c>
      <c r="S7013">
        <v>3.0547330000000001</v>
      </c>
      <c r="T7013">
        <v>-0.22104299999999999</v>
      </c>
      <c r="U7013">
        <v>0.25871280000000002</v>
      </c>
      <c r="V7013">
        <v>4.8799679999999998E-2</v>
      </c>
      <c r="W7013">
        <v>0.14272029999999999</v>
      </c>
      <c r="X7013">
        <v>0.98855930000000003</v>
      </c>
      <c r="Y7013">
        <v>-5.2787239999999999E-2</v>
      </c>
      <c r="Z7013">
        <v>1.0114760000000001E-3</v>
      </c>
      <c r="AA7013">
        <v>0.99860530000000003</v>
      </c>
      <c r="AB7013">
        <v>20</v>
      </c>
      <c r="AC7013">
        <v>15.3156</v>
      </c>
      <c r="AD7013">
        <v>-1.1229074239149901</v>
      </c>
      <c r="AE7013">
        <v>1.30649999999999</v>
      </c>
      <c r="AF7013">
        <v>-0.81861370713561799</v>
      </c>
      <c r="AG7013">
        <v>-1.1229074239149901</v>
      </c>
      <c r="AH7013">
        <v>15.2676985737371</v>
      </c>
      <c r="AI7013">
        <v>94.2003998312302</v>
      </c>
      <c r="AJ7013">
        <v>93.069109701787795</v>
      </c>
      <c r="AK7013">
        <v>15.330807846381999</v>
      </c>
      <c r="AL7013">
        <v>81.7947109158427</v>
      </c>
      <c r="AM7013">
        <v>87.173919799132406</v>
      </c>
      <c r="AN7013">
        <v>0.99999999120834104</v>
      </c>
    </row>
    <row r="7014" spans="1:40" x14ac:dyDescent="0.25">
      <c r="A7014" t="str">
        <f>"20190303162440606"</f>
        <v>20190303162440606</v>
      </c>
      <c r="B7014" t="str">
        <f>"1551601480591389"</f>
        <v>1551601480591389</v>
      </c>
      <c r="C7014" t="s">
        <v>40</v>
      </c>
      <c r="D7014">
        <v>5.8637090000000001</v>
      </c>
      <c r="E7014">
        <v>0.4620243</v>
      </c>
      <c r="F7014" t="s">
        <v>41</v>
      </c>
      <c r="G7014">
        <v>-142.37860000000001</v>
      </c>
      <c r="H7014" s="1">
        <v>-3.273181E-6</v>
      </c>
      <c r="I7014">
        <v>139.69630000000001</v>
      </c>
      <c r="J7014">
        <v>-157.15559999999999</v>
      </c>
      <c r="K7014">
        <v>1.1229089999999999</v>
      </c>
      <c r="L7014">
        <v>138.40790000000001</v>
      </c>
      <c r="M7014">
        <v>0.99917789999999995</v>
      </c>
      <c r="N7014">
        <v>-2.4310950000000001E-2</v>
      </c>
      <c r="O7014">
        <v>3.2446509999999998E-2</v>
      </c>
      <c r="P7014">
        <v>0.99292760000000002</v>
      </c>
      <c r="Q7014">
        <v>0.11780939999999999</v>
      </c>
      <c r="R7014">
        <v>-1.469411E-2</v>
      </c>
      <c r="S7014">
        <v>3.0541689999999999</v>
      </c>
      <c r="T7014">
        <v>-0.2290809</v>
      </c>
      <c r="U7014">
        <v>0.2643585</v>
      </c>
      <c r="V7014">
        <v>4.6778819999999999E-2</v>
      </c>
      <c r="W7014">
        <v>0.141934</v>
      </c>
      <c r="X7014">
        <v>0.98877020000000004</v>
      </c>
      <c r="Y7014">
        <v>-5.3696189999999998E-2</v>
      </c>
      <c r="Z7014">
        <v>1.024935E-3</v>
      </c>
      <c r="AA7014">
        <v>0.99855680000000002</v>
      </c>
      <c r="AB7014">
        <v>20</v>
      </c>
      <c r="AC7014">
        <v>14.7769999999999</v>
      </c>
      <c r="AD7014">
        <v>-1.122912273181</v>
      </c>
      <c r="AE7014">
        <v>1.28839999999999</v>
      </c>
      <c r="AF7014">
        <v>-0.80351253342874795</v>
      </c>
      <c r="AG7014">
        <v>-1.122912273181</v>
      </c>
      <c r="AH7014">
        <v>14.726633081939401</v>
      </c>
      <c r="AI7014">
        <v>94.353939856573305</v>
      </c>
      <c r="AJ7014">
        <v>93.123067795108199</v>
      </c>
      <c r="AK7014">
        <v>14.791223285946</v>
      </c>
      <c r="AL7014">
        <v>81.8402261290653</v>
      </c>
      <c r="AM7014">
        <v>87.291350439842802</v>
      </c>
      <c r="AN7014">
        <v>1.0000000133823099</v>
      </c>
    </row>
    <row r="7015" spans="1:40" x14ac:dyDescent="0.25">
      <c r="A7015" t="str">
        <f>"20190303162440627"</f>
        <v>20190303162440627</v>
      </c>
      <c r="B7015" t="str">
        <f>"1551601480621644"</f>
        <v>1551601480621644</v>
      </c>
      <c r="C7015" t="s">
        <v>40</v>
      </c>
      <c r="D7015">
        <v>5.917249</v>
      </c>
      <c r="E7015">
        <v>0.46233099999999999</v>
      </c>
      <c r="F7015" t="s">
        <v>41</v>
      </c>
      <c r="G7015">
        <v>-142.70150000000001</v>
      </c>
      <c r="H7015" s="1">
        <v>-3.134439E-6</v>
      </c>
      <c r="I7015">
        <v>139.69550000000001</v>
      </c>
      <c r="J7015">
        <v>-156.96420000000001</v>
      </c>
      <c r="K7015">
        <v>1.1229260000000001</v>
      </c>
      <c r="L7015">
        <v>138.4153</v>
      </c>
      <c r="M7015">
        <v>0.99913759999999996</v>
      </c>
      <c r="N7015">
        <v>-2.4814900000000001E-2</v>
      </c>
      <c r="O7015">
        <v>3.3291309999999998E-2</v>
      </c>
      <c r="P7015">
        <v>0.9930407</v>
      </c>
      <c r="Q7015">
        <v>0.1172116</v>
      </c>
      <c r="R7015">
        <v>-1.147392E-2</v>
      </c>
      <c r="S7015">
        <v>3.0535429999999999</v>
      </c>
      <c r="T7015">
        <v>-0.23722360000000001</v>
      </c>
      <c r="U7015">
        <v>0.27201839999999999</v>
      </c>
      <c r="V7015">
        <v>4.4421259999999997E-2</v>
      </c>
      <c r="W7015">
        <v>0.14183099999999901</v>
      </c>
      <c r="X7015">
        <v>0.98889369999999999</v>
      </c>
      <c r="Y7015">
        <v>-5.5339380000000001E-2</v>
      </c>
      <c r="Z7015">
        <v>1.0797300000000001E-3</v>
      </c>
      <c r="AA7015">
        <v>0.99846699999999999</v>
      </c>
      <c r="AB7015">
        <v>20</v>
      </c>
      <c r="AC7015">
        <v>14.262699999999899</v>
      </c>
      <c r="AD7015">
        <v>-1.122929134439</v>
      </c>
      <c r="AE7015">
        <v>1.2802</v>
      </c>
      <c r="AF7015">
        <v>-0.79960282473162203</v>
      </c>
      <c r="AG7015">
        <v>-1.122929134439</v>
      </c>
      <c r="AH7015">
        <v>14.2100419228001</v>
      </c>
      <c r="AI7015">
        <v>94.511224121701503</v>
      </c>
      <c r="AJ7015">
        <v>93.220652332606605</v>
      </c>
      <c r="AK7015">
        <v>14.2767512399015</v>
      </c>
      <c r="AL7015">
        <v>81.846187923127999</v>
      </c>
      <c r="AM7015">
        <v>87.427993623087701</v>
      </c>
      <c r="AN7015">
        <v>1.0000000154003299</v>
      </c>
    </row>
    <row r="7016" spans="1:40" x14ac:dyDescent="0.25">
      <c r="A7016" t="str">
        <f>"20190303162440649"</f>
        <v>20190303162440649</v>
      </c>
      <c r="B7016" t="str">
        <f>"1551601480642141"</f>
        <v>1551601480642141</v>
      </c>
      <c r="C7016" t="s">
        <v>40</v>
      </c>
      <c r="D7016">
        <v>5.9272390000000001</v>
      </c>
      <c r="E7016">
        <v>0.46251310000000001</v>
      </c>
      <c r="F7016" t="s">
        <v>41</v>
      </c>
      <c r="G7016">
        <v>-142.92869999999999</v>
      </c>
      <c r="H7016" s="1">
        <v>-3.0384029999999999E-6</v>
      </c>
      <c r="I7016">
        <v>139.70089999999999</v>
      </c>
      <c r="J7016">
        <v>-156.77869999999999</v>
      </c>
      <c r="K7016">
        <v>1.1229819999999999</v>
      </c>
      <c r="L7016">
        <v>138.42259999999999</v>
      </c>
      <c r="M7016">
        <v>0.99909599999999998</v>
      </c>
      <c r="N7016">
        <v>-2.5444620000000001E-2</v>
      </c>
      <c r="O7016">
        <v>3.4056280000000001E-2</v>
      </c>
      <c r="P7016">
        <v>0.9931991</v>
      </c>
      <c r="Q7016">
        <v>0.1161074</v>
      </c>
      <c r="R7016">
        <v>-8.6437559999999903E-3</v>
      </c>
      <c r="S7016">
        <v>3.0530849999999998</v>
      </c>
      <c r="T7016">
        <v>-0.24426600000000001</v>
      </c>
      <c r="U7016">
        <v>0.2796631</v>
      </c>
      <c r="V7016">
        <v>4.2372279999999998E-2</v>
      </c>
      <c r="W7016">
        <v>0.14135</v>
      </c>
      <c r="X7016">
        <v>0.9890525</v>
      </c>
      <c r="Y7016">
        <v>-5.7051350000000001E-2</v>
      </c>
      <c r="Z7016">
        <v>1.1539759999999999E-3</v>
      </c>
      <c r="AA7016">
        <v>0.9983706</v>
      </c>
      <c r="AB7016">
        <v>19</v>
      </c>
      <c r="AC7016">
        <v>13.8499999999999</v>
      </c>
      <c r="AD7016">
        <v>-1.122985038403</v>
      </c>
      <c r="AE7016">
        <v>1.2783</v>
      </c>
      <c r="AF7016">
        <v>-0.80050746521843197</v>
      </c>
      <c r="AG7016">
        <v>-1.122985038403</v>
      </c>
      <c r="AH7016">
        <v>13.7955789142167</v>
      </c>
      <c r="AI7016">
        <v>94.645938412415006</v>
      </c>
      <c r="AJ7016">
        <v>93.320942581002299</v>
      </c>
      <c r="AK7016">
        <v>13.864339334304001</v>
      </c>
      <c r="AL7016">
        <v>81.874027872345195</v>
      </c>
      <c r="AM7016">
        <v>87.546875250475495</v>
      </c>
      <c r="AN7016">
        <v>1.0000000401843201</v>
      </c>
    </row>
    <row r="7017" spans="1:40" x14ac:dyDescent="0.25">
      <c r="A7017" t="str">
        <f>"20190303162440672"</f>
        <v>20190303162440672</v>
      </c>
      <c r="B7017" t="str">
        <f>"1551601480661661"</f>
        <v>1551601480661661</v>
      </c>
      <c r="C7017" t="s">
        <v>40</v>
      </c>
      <c r="D7017">
        <v>5.9897580000000001</v>
      </c>
      <c r="E7017">
        <v>0.46266990000000002</v>
      </c>
      <c r="F7017" t="s">
        <v>41</v>
      </c>
      <c r="G7017">
        <v>-143.08510000000001</v>
      </c>
      <c r="H7017" s="1">
        <v>-2.9735800000000001E-6</v>
      </c>
      <c r="I7017">
        <v>139.70949999999999</v>
      </c>
      <c r="J7017">
        <v>-156.5924</v>
      </c>
      <c r="K7017">
        <v>1.123135</v>
      </c>
      <c r="L7017">
        <v>138.4299</v>
      </c>
      <c r="M7017">
        <v>0.99904409999999999</v>
      </c>
      <c r="N7017">
        <v>-2.6491069999999999E-2</v>
      </c>
      <c r="O7017">
        <v>3.4775670000000002E-2</v>
      </c>
      <c r="P7017">
        <v>0.99349050000000005</v>
      </c>
      <c r="Q7017">
        <v>0.1137223</v>
      </c>
      <c r="R7017">
        <v>-6.6623719999999997E-3</v>
      </c>
      <c r="S7017">
        <v>3.0523069999999999</v>
      </c>
      <c r="T7017">
        <v>-0.25031379999999998</v>
      </c>
      <c r="U7017">
        <v>0.28686519999999999</v>
      </c>
      <c r="V7017">
        <v>4.113083E-2</v>
      </c>
      <c r="W7017">
        <v>0.14000509999999999</v>
      </c>
      <c r="X7017">
        <v>0.98929610000000001</v>
      </c>
      <c r="Y7017">
        <v>-5.86729E-2</v>
      </c>
      <c r="Z7017">
        <v>1.256823E-3</v>
      </c>
      <c r="AA7017">
        <v>0.99827650000000001</v>
      </c>
      <c r="AB7017">
        <v>19</v>
      </c>
      <c r="AC7017">
        <v>13.507299999999899</v>
      </c>
      <c r="AD7017">
        <v>-1.12313797358</v>
      </c>
      <c r="AE7017">
        <v>1.2795999999999801</v>
      </c>
      <c r="AF7017">
        <v>-0.80342972184095596</v>
      </c>
      <c r="AG7017">
        <v>-1.12313797358</v>
      </c>
      <c r="AH7017">
        <v>13.451462724214901</v>
      </c>
      <c r="AI7017">
        <v>94.764423097144899</v>
      </c>
      <c r="AJ7017">
        <v>93.418104770810899</v>
      </c>
      <c r="AK7017">
        <v>13.522159134050201</v>
      </c>
      <c r="AL7017">
        <v>81.9518584216721</v>
      </c>
      <c r="AM7017">
        <v>87.619250166605497</v>
      </c>
      <c r="AN7017">
        <v>0.99999997333885404</v>
      </c>
    </row>
    <row r="7018" spans="1:40" x14ac:dyDescent="0.25">
      <c r="A7018" t="str">
        <f>"20190303162440695"</f>
        <v>20190303162440695</v>
      </c>
      <c r="B7018" t="str">
        <f>"1551601480682156"</f>
        <v>1551601480682156</v>
      </c>
      <c r="C7018" t="s">
        <v>40</v>
      </c>
      <c r="D7018">
        <v>5.8544790000000004</v>
      </c>
      <c r="E7018">
        <v>0.46282509999999999</v>
      </c>
      <c r="F7018" t="s">
        <v>41</v>
      </c>
      <c r="G7018">
        <v>-143.4068</v>
      </c>
      <c r="H7018" s="1">
        <v>-2.8309190000000002E-6</v>
      </c>
      <c r="I7018">
        <v>139.69200000000001</v>
      </c>
      <c r="J7018">
        <v>-156.40780000000001</v>
      </c>
      <c r="K7018">
        <v>1.1232569999999999</v>
      </c>
      <c r="L7018">
        <v>138.43729999999999</v>
      </c>
      <c r="M7018">
        <v>0.99899210000000005</v>
      </c>
      <c r="N7018">
        <v>-2.7492949999999999E-2</v>
      </c>
      <c r="O7018">
        <v>3.5483460000000001E-2</v>
      </c>
      <c r="P7018">
        <v>0.99376830000000005</v>
      </c>
      <c r="Q7018">
        <v>0.1112988</v>
      </c>
      <c r="R7018">
        <v>-6.1091919999999899E-3</v>
      </c>
      <c r="S7018">
        <v>3.0513759999999999</v>
      </c>
      <c r="T7018">
        <v>-0.259914799999999</v>
      </c>
      <c r="U7018">
        <v>0.2920837</v>
      </c>
      <c r="V7018">
        <v>4.1301499999999998E-2</v>
      </c>
      <c r="W7018">
        <v>0.13857900000000001</v>
      </c>
      <c r="X7018">
        <v>0.98948979999999997</v>
      </c>
      <c r="Y7018">
        <v>-5.96654E-2</v>
      </c>
      <c r="Z7018">
        <v>1.319434E-3</v>
      </c>
      <c r="AA7018">
        <v>0.99821760000000004</v>
      </c>
      <c r="AB7018">
        <v>19</v>
      </c>
      <c r="AC7018">
        <v>13.000999999999999</v>
      </c>
      <c r="AD7018">
        <v>-1.1232598309190001</v>
      </c>
      <c r="AE7018">
        <v>1.2547000000000099</v>
      </c>
      <c r="AF7018">
        <v>-0.78659694361191501</v>
      </c>
      <c r="AG7018">
        <v>-1.1232598309190001</v>
      </c>
      <c r="AH7018">
        <v>12.941631789076901</v>
      </c>
      <c r="AI7018">
        <v>94.951423631255295</v>
      </c>
      <c r="AJ7018">
        <v>93.478178804868094</v>
      </c>
      <c r="AK7018">
        <v>13.0140800967069</v>
      </c>
      <c r="AL7018">
        <v>82.034372626036202</v>
      </c>
      <c r="AM7018">
        <v>87.6098502589238</v>
      </c>
      <c r="AN7018">
        <v>1.00000000872364</v>
      </c>
    </row>
    <row r="7019" spans="1:40" x14ac:dyDescent="0.25">
      <c r="A7019" t="str">
        <f>"20190303162440717"</f>
        <v>20190303162440717</v>
      </c>
      <c r="B7019" t="str">
        <f>"1551601480711944"</f>
        <v>1551601480711944</v>
      </c>
      <c r="C7019" t="s">
        <v>40</v>
      </c>
      <c r="D7019">
        <v>5.9171100000000001</v>
      </c>
      <c r="E7019">
        <v>0.46320230000000001</v>
      </c>
      <c r="F7019" t="s">
        <v>41</v>
      </c>
      <c r="G7019">
        <v>-143.64670000000001</v>
      </c>
      <c r="H7019" s="1">
        <v>-2.7211839999999999E-6</v>
      </c>
      <c r="I7019">
        <v>139.66640000000001</v>
      </c>
      <c r="J7019">
        <v>-156.2346</v>
      </c>
      <c r="K7019">
        <v>1.1232439999999999</v>
      </c>
      <c r="L7019">
        <v>138.4443</v>
      </c>
      <c r="M7019">
        <v>0.99895579999999995</v>
      </c>
      <c r="N7019">
        <v>-2.7908280000000001E-2</v>
      </c>
      <c r="O7019">
        <v>3.6168989999999998E-2</v>
      </c>
      <c r="P7019">
        <v>0.99388149999999997</v>
      </c>
      <c r="Q7019">
        <v>0.1102563</v>
      </c>
      <c r="R7019">
        <v>-6.5552850000000001E-3</v>
      </c>
      <c r="S7019">
        <v>3.0506899999999999</v>
      </c>
      <c r="T7019">
        <v>-0.26852819999999999</v>
      </c>
      <c r="U7019">
        <v>0.2938385</v>
      </c>
      <c r="V7019">
        <v>4.2432629999999999E-2</v>
      </c>
      <c r="W7019">
        <v>0.13795099999999999</v>
      </c>
      <c r="X7019">
        <v>0.98952969999999896</v>
      </c>
      <c r="Y7019">
        <v>-5.9559069999999999E-2</v>
      </c>
      <c r="Z7019">
        <v>1.2837E-3</v>
      </c>
      <c r="AA7019">
        <v>0.998224</v>
      </c>
      <c r="AB7019">
        <v>18</v>
      </c>
      <c r="AC7019">
        <v>12.5878999999999</v>
      </c>
      <c r="AD7019">
        <v>-1.12324672118399</v>
      </c>
      <c r="AE7019">
        <v>1.22210000000001</v>
      </c>
      <c r="AF7019">
        <v>-0.75983701707391205</v>
      </c>
      <c r="AG7019">
        <v>-1.12324672118399</v>
      </c>
      <c r="AH7019">
        <v>12.5250781168785</v>
      </c>
      <c r="AI7019">
        <v>95.115212323388704</v>
      </c>
      <c r="AJ7019">
        <v>93.471608237871806</v>
      </c>
      <c r="AK7019">
        <v>12.5982783475789</v>
      </c>
      <c r="AL7019">
        <v>82.070703387175897</v>
      </c>
      <c r="AM7019">
        <v>87.544568841096705</v>
      </c>
      <c r="AN7019">
        <v>1.0000000168359</v>
      </c>
    </row>
    <row r="7020" spans="1:40" x14ac:dyDescent="0.25">
      <c r="A7020" t="str">
        <f>"20190303162440740"</f>
        <v>20190303162440740</v>
      </c>
      <c r="B7020" t="str">
        <f>"1551601480731464"</f>
        <v>1551601480731464</v>
      </c>
      <c r="C7020" t="s">
        <v>40</v>
      </c>
      <c r="D7020">
        <v>5.9125959999999997</v>
      </c>
      <c r="E7020">
        <v>0.46343250000000002</v>
      </c>
      <c r="F7020" t="s">
        <v>41</v>
      </c>
      <c r="G7020">
        <v>-143.67529999999999</v>
      </c>
      <c r="H7020" s="1">
        <v>-2.7017860000000002E-6</v>
      </c>
      <c r="I7020">
        <v>139.6396</v>
      </c>
      <c r="J7020">
        <v>-156.05789999999999</v>
      </c>
      <c r="K7020">
        <v>1.1231469999999999</v>
      </c>
      <c r="L7020">
        <v>138.45160000000001</v>
      </c>
      <c r="M7020">
        <v>0.99893080000000001</v>
      </c>
      <c r="N7020">
        <v>-2.7877209999999999E-2</v>
      </c>
      <c r="O7020">
        <v>3.6882030000000003E-2</v>
      </c>
      <c r="P7020">
        <v>0.99394309999999997</v>
      </c>
      <c r="Q7020">
        <v>0.1096751</v>
      </c>
      <c r="R7020">
        <v>-6.9712960000000001E-3</v>
      </c>
      <c r="S7020">
        <v>3.050659</v>
      </c>
      <c r="T7020">
        <v>-0.27283639999999998</v>
      </c>
      <c r="U7020">
        <v>0.2903442</v>
      </c>
      <c r="V7020">
        <v>4.3552029999999999E-2</v>
      </c>
      <c r="W7020">
        <v>0.13734260000000001</v>
      </c>
      <c r="X7020">
        <v>0.98956569999999999</v>
      </c>
      <c r="Y7020">
        <v>-5.772E-2</v>
      </c>
      <c r="Z7020">
        <v>1.1214549999999999E-3</v>
      </c>
      <c r="AA7020">
        <v>0.9983322</v>
      </c>
      <c r="AB7020">
        <v>18</v>
      </c>
      <c r="AC7020">
        <v>12.382599999999901</v>
      </c>
      <c r="AD7020">
        <v>-1.1231497017859999</v>
      </c>
      <c r="AE7020">
        <v>1.18799999999998</v>
      </c>
      <c r="AF7020">
        <v>-0.724412616686681</v>
      </c>
      <c r="AG7020">
        <v>-1.1231497017859999</v>
      </c>
      <c r="AH7020">
        <v>12.3175866807797</v>
      </c>
      <c r="AI7020">
        <v>95.201034162475196</v>
      </c>
      <c r="AJ7020">
        <v>93.365759284868702</v>
      </c>
      <c r="AK7020">
        <v>12.3898821838772</v>
      </c>
      <c r="AL7020">
        <v>82.1058971752975</v>
      </c>
      <c r="AM7020">
        <v>87.479966996498405</v>
      </c>
      <c r="AN7020">
        <v>1.00000002185418</v>
      </c>
    </row>
    <row r="7021" spans="1:40" x14ac:dyDescent="0.25">
      <c r="A7021" t="str">
        <f>"20190303162440762"</f>
        <v>20190303162440762</v>
      </c>
      <c r="B7021" t="str">
        <f>"1551601480742200"</f>
        <v>1551601480742200</v>
      </c>
      <c r="C7021" t="s">
        <v>40</v>
      </c>
      <c r="D7021">
        <v>5.9131489999999998</v>
      </c>
      <c r="E7021">
        <v>0.46355600000000002</v>
      </c>
      <c r="F7021" t="s">
        <v>41</v>
      </c>
      <c r="G7021">
        <v>-143.66810000000001</v>
      </c>
      <c r="H7021" s="1">
        <v>-2.698774E-6</v>
      </c>
      <c r="I7021">
        <v>139.6156</v>
      </c>
      <c r="J7021">
        <v>-155.8877</v>
      </c>
      <c r="K7021">
        <v>1.123097</v>
      </c>
      <c r="L7021">
        <v>138.4588</v>
      </c>
      <c r="M7021">
        <v>0.99890500000000004</v>
      </c>
      <c r="N7021">
        <v>-2.7870989999999998E-2</v>
      </c>
      <c r="O7021">
        <v>3.7579920000000003E-2</v>
      </c>
      <c r="P7021">
        <v>0.99387300000000001</v>
      </c>
      <c r="Q7021">
        <v>0.110333399999999</v>
      </c>
      <c r="R7021">
        <v>-6.5724329999999999E-3</v>
      </c>
      <c r="S7021">
        <v>3.0507970000000002</v>
      </c>
      <c r="T7021">
        <v>-0.27655950000000001</v>
      </c>
      <c r="U7021">
        <v>0.28662110000000002</v>
      </c>
      <c r="V7021">
        <v>4.38384E-2</v>
      </c>
      <c r="W7021">
        <v>0.13799439999999999</v>
      </c>
      <c r="X7021">
        <v>0.98946239999999996</v>
      </c>
      <c r="Y7021">
        <v>-5.5817650000000003E-2</v>
      </c>
      <c r="Z7021">
        <v>9.5534259999999996E-4</v>
      </c>
      <c r="AA7021">
        <v>0.99844049999999995</v>
      </c>
      <c r="AB7021">
        <v>18</v>
      </c>
      <c r="AC7021">
        <v>12.2195999999999</v>
      </c>
      <c r="AD7021">
        <v>-1.1230996987740001</v>
      </c>
      <c r="AE7021">
        <v>1.1568000000000001</v>
      </c>
      <c r="AF7021">
        <v>-0.69080853842599199</v>
      </c>
      <c r="AG7021">
        <v>-1.1230996987740001</v>
      </c>
      <c r="AH7021">
        <v>12.152704209155999</v>
      </c>
      <c r="AI7021">
        <v>95.271565549789301</v>
      </c>
      <c r="AJ7021">
        <v>93.253421146460596</v>
      </c>
      <c r="AK7021">
        <v>12.224025072184199</v>
      </c>
      <c r="AL7021">
        <v>82.068193006402694</v>
      </c>
      <c r="AM7021">
        <v>87.463153987164802</v>
      </c>
      <c r="AN7021">
        <v>1.0000000503798301</v>
      </c>
    </row>
    <row r="7022" spans="1:40" x14ac:dyDescent="0.25">
      <c r="A7022" t="str">
        <f>"20190303162440785"</f>
        <v>20190303162440785</v>
      </c>
      <c r="B7022" t="str">
        <f>"1551601480771480"</f>
        <v>1551601480771480</v>
      </c>
      <c r="C7022" t="s">
        <v>40</v>
      </c>
      <c r="D7022">
        <v>5.9758199999999997</v>
      </c>
      <c r="E7022">
        <v>0.46380710000000003</v>
      </c>
      <c r="F7022" t="s">
        <v>41</v>
      </c>
      <c r="G7022">
        <v>-143.47649999999999</v>
      </c>
      <c r="H7022" s="1">
        <v>-2.7817029999999999E-6</v>
      </c>
      <c r="I7022">
        <v>139.61930000000001</v>
      </c>
      <c r="J7022">
        <v>-155.71870000000001</v>
      </c>
      <c r="K7022">
        <v>1.123113</v>
      </c>
      <c r="L7022">
        <v>138.46600000000001</v>
      </c>
      <c r="M7022">
        <v>0.99887190000000003</v>
      </c>
      <c r="N7022">
        <v>-2.8078180000000001E-2</v>
      </c>
      <c r="O7022">
        <v>3.8300929999999997E-2</v>
      </c>
      <c r="P7022">
        <v>0.99364390000000002</v>
      </c>
      <c r="Q7022">
        <v>0.112414899999999</v>
      </c>
      <c r="R7022">
        <v>-5.952906E-3</v>
      </c>
      <c r="S7022">
        <v>3.0510250000000001</v>
      </c>
      <c r="T7022">
        <v>-0.27608969999999999</v>
      </c>
      <c r="U7022">
        <v>0.28530879999999997</v>
      </c>
      <c r="V7022">
        <v>4.3926779999999999E-2</v>
      </c>
      <c r="W7022">
        <v>0.140272799999999</v>
      </c>
      <c r="X7022">
        <v>0.98913799999999996</v>
      </c>
      <c r="Y7022">
        <v>-5.4671089999999999E-2</v>
      </c>
      <c r="Z7022">
        <v>8.5793939999999997E-4</v>
      </c>
      <c r="AA7022">
        <v>0.99850399999999995</v>
      </c>
      <c r="AB7022">
        <v>17</v>
      </c>
      <c r="AC7022">
        <v>12.2422</v>
      </c>
      <c r="AD7022">
        <v>-1.123115781703</v>
      </c>
      <c r="AE7022">
        <v>1.1533</v>
      </c>
      <c r="AF7022">
        <v>-0.67772672000276601</v>
      </c>
      <c r="AG7022">
        <v>-1.123115781703</v>
      </c>
      <c r="AH7022">
        <v>12.175824068369399</v>
      </c>
      <c r="AI7022">
        <v>95.262033790645901</v>
      </c>
      <c r="AJ7022">
        <v>93.185891374487497</v>
      </c>
      <c r="AK7022">
        <v>12.2462808358293</v>
      </c>
      <c r="AL7022">
        <v>81.936367704469603</v>
      </c>
      <c r="AM7022">
        <v>87.457213732963595</v>
      </c>
      <c r="AN7022">
        <v>1.0000000017324999</v>
      </c>
    </row>
    <row r="7023" spans="1:40" x14ac:dyDescent="0.25">
      <c r="A7023" t="str">
        <f>"20190303162440807"</f>
        <v>20190303162440807</v>
      </c>
      <c r="B7023" t="str">
        <f>"1551601480802242"</f>
        <v>1551601480802242</v>
      </c>
      <c r="C7023" t="s">
        <v>40</v>
      </c>
      <c r="D7023">
        <v>5.9751209999999997</v>
      </c>
      <c r="E7023">
        <v>0.4641016</v>
      </c>
      <c r="F7023" t="s">
        <v>41</v>
      </c>
      <c r="G7023">
        <v>-143.02440000000001</v>
      </c>
      <c r="H7023" s="1">
        <v>-2.9843879999999998E-6</v>
      </c>
      <c r="I7023">
        <v>139.65209999999999</v>
      </c>
      <c r="J7023">
        <v>-155.5598</v>
      </c>
      <c r="K7023">
        <v>1.123127</v>
      </c>
      <c r="L7023">
        <v>138.47290000000001</v>
      </c>
      <c r="M7023">
        <v>0.99883849999999996</v>
      </c>
      <c r="N7023">
        <v>-2.8304070000000001E-2</v>
      </c>
      <c r="O7023">
        <v>3.8995839999999997E-2</v>
      </c>
      <c r="P7023">
        <v>0.99353639999999999</v>
      </c>
      <c r="Q7023">
        <v>0.1133744</v>
      </c>
      <c r="R7023">
        <v>-5.639514E-3</v>
      </c>
      <c r="S7023">
        <v>3.051437</v>
      </c>
      <c r="T7023">
        <v>-0.26997270000000001</v>
      </c>
      <c r="U7023">
        <v>0.28512569999999998</v>
      </c>
      <c r="V7023">
        <v>4.4303090000000003E-2</v>
      </c>
      <c r="W7023">
        <v>0.14145060000000001</v>
      </c>
      <c r="X7023">
        <v>0.98895350000000004</v>
      </c>
      <c r="Y7023">
        <v>-5.3914919999999998E-2</v>
      </c>
      <c r="Z7023">
        <v>8.0910070000000001E-4</v>
      </c>
      <c r="AA7023">
        <v>0.99854520000000002</v>
      </c>
      <c r="AB7023">
        <v>17</v>
      </c>
      <c r="AC7023">
        <v>12.5353999999999</v>
      </c>
      <c r="AD7023">
        <v>-1.123129984388</v>
      </c>
      <c r="AE7023">
        <v>1.17919999999998</v>
      </c>
      <c r="AF7023">
        <v>-0.68383661982369903</v>
      </c>
      <c r="AG7023">
        <v>-1.123129984388</v>
      </c>
      <c r="AH7023">
        <v>12.472613477862399</v>
      </c>
      <c r="AI7023">
        <v>95.137799868074097</v>
      </c>
      <c r="AJ7023">
        <v>93.138216664198694</v>
      </c>
      <c r="AK7023">
        <v>12.5417359425479</v>
      </c>
      <c r="AL7023">
        <v>81.868205337516699</v>
      </c>
      <c r="AM7023">
        <v>87.434981459322998</v>
      </c>
      <c r="AN7023">
        <v>1.0000000305930701</v>
      </c>
    </row>
    <row r="7024" spans="1:40" x14ac:dyDescent="0.25">
      <c r="A7024" t="str">
        <f>"20190303162440852"</f>
        <v>20190303162440852</v>
      </c>
      <c r="B7024" t="str">
        <f>"1551601480842258"</f>
        <v>1551601480842258</v>
      </c>
      <c r="C7024" t="s">
        <v>40</v>
      </c>
      <c r="D7024">
        <v>5.9103320000000004</v>
      </c>
      <c r="E7024">
        <v>0.46423530000000002</v>
      </c>
      <c r="F7024" t="s">
        <v>41</v>
      </c>
      <c r="G7024">
        <v>-142.7627</v>
      </c>
      <c r="H7024" s="1">
        <v>-3.0993940000000002E-6</v>
      </c>
      <c r="I7024">
        <v>139.66249999999999</v>
      </c>
      <c r="J7024">
        <v>-155.2286</v>
      </c>
      <c r="K7024">
        <v>1.1227720000000001</v>
      </c>
      <c r="L7024">
        <v>138.48769999999999</v>
      </c>
      <c r="M7024">
        <v>0.99881730000000002</v>
      </c>
      <c r="N7024">
        <v>-2.7076490000000002E-2</v>
      </c>
      <c r="O7024">
        <v>4.0385610000000002E-2</v>
      </c>
      <c r="P7024">
        <v>0.99350059999999996</v>
      </c>
      <c r="Q7024">
        <v>0.113789</v>
      </c>
      <c r="R7024">
        <v>-2.9446099999999998E-3</v>
      </c>
      <c r="S7024">
        <v>3.0517120000000002</v>
      </c>
      <c r="T7024">
        <v>-0.26783119999999999</v>
      </c>
      <c r="U7024">
        <v>0.28369139999999998</v>
      </c>
      <c r="V7024">
        <v>4.2987249999999998E-2</v>
      </c>
      <c r="W7024">
        <v>0.1406509</v>
      </c>
      <c r="X7024">
        <v>0.98912560000000005</v>
      </c>
      <c r="Y7024">
        <v>-5.2072930000000003E-2</v>
      </c>
      <c r="Z7024">
        <v>5.4716439999999997E-4</v>
      </c>
      <c r="AA7024">
        <v>0.99864319999999895</v>
      </c>
      <c r="AB7024">
        <v>16</v>
      </c>
      <c r="AC7024">
        <v>12.4659</v>
      </c>
      <c r="AD7024">
        <v>-1.12277509939399</v>
      </c>
      <c r="AE7024">
        <v>1.1748000000000001</v>
      </c>
      <c r="AF7024">
        <v>-0.66486721701111196</v>
      </c>
      <c r="AG7024">
        <v>-1.12277509939399</v>
      </c>
      <c r="AH7024">
        <v>12.4034514555768</v>
      </c>
      <c r="AI7024">
        <v>95.1650099685843</v>
      </c>
      <c r="AJ7024">
        <v>93.068312301484895</v>
      </c>
      <c r="AK7024">
        <v>12.4718996288025</v>
      </c>
      <c r="AL7024">
        <v>81.914487365065696</v>
      </c>
      <c r="AM7024">
        <v>87.511499965630904</v>
      </c>
      <c r="AN7024">
        <v>1.0000000159543601</v>
      </c>
    </row>
    <row r="7025" spans="1:40" x14ac:dyDescent="0.25">
      <c r="A7025" t="str">
        <f>"20190303162440874"</f>
        <v>20190303162440874</v>
      </c>
      <c r="B7025" t="str">
        <f>"1551601480861779"</f>
        <v>1551601480861779</v>
      </c>
      <c r="C7025" t="s">
        <v>40</v>
      </c>
      <c r="D7025">
        <v>5.9662459999999999</v>
      </c>
      <c r="E7025">
        <v>0.46437240000000002</v>
      </c>
      <c r="F7025" t="s">
        <v>41</v>
      </c>
      <c r="G7025">
        <v>-142.43690000000001</v>
      </c>
      <c r="H7025" s="1">
        <v>-3.2504240000000001E-6</v>
      </c>
      <c r="I7025">
        <v>139.70480000000001</v>
      </c>
      <c r="J7025">
        <v>-155.07230000000001</v>
      </c>
      <c r="K7025">
        <v>1.1226529999999999</v>
      </c>
      <c r="L7025">
        <v>138.4949</v>
      </c>
      <c r="M7025">
        <v>0.99880899999999995</v>
      </c>
      <c r="N7025">
        <v>-2.6488580000000001E-2</v>
      </c>
      <c r="O7025">
        <v>4.0977989999999999E-2</v>
      </c>
      <c r="P7025">
        <v>0.9933573</v>
      </c>
      <c r="Q7025">
        <v>0.11505369999999999</v>
      </c>
      <c r="R7025">
        <v>-2.079685E-3</v>
      </c>
      <c r="S7025">
        <v>3.0511629999999998</v>
      </c>
      <c r="T7025">
        <v>-0.26781139999999998</v>
      </c>
      <c r="U7025">
        <v>0.29031370000000001</v>
      </c>
      <c r="V7025">
        <v>4.2712029999999998E-2</v>
      </c>
      <c r="W7025">
        <v>0.14132739999999999</v>
      </c>
      <c r="X7025">
        <v>0.98904110000000001</v>
      </c>
      <c r="Y7025">
        <v>-5.3642370000000002E-2</v>
      </c>
      <c r="Z7025">
        <v>5.6151699999999998E-4</v>
      </c>
      <c r="AA7025">
        <v>0.99856009999999995</v>
      </c>
      <c r="AB7025">
        <v>16</v>
      </c>
      <c r="AC7025">
        <v>12.635400000000001</v>
      </c>
      <c r="AD7025">
        <v>-1.1226562504240001</v>
      </c>
      <c r="AE7025">
        <v>1.2099</v>
      </c>
      <c r="AF7025">
        <v>-0.68556515108331495</v>
      </c>
      <c r="AG7025">
        <v>-1.1226562504240001</v>
      </c>
      <c r="AH7025">
        <v>12.575998958939399</v>
      </c>
      <c r="AI7025">
        <v>95.093734485359093</v>
      </c>
      <c r="AJ7025">
        <v>93.120320618369306</v>
      </c>
      <c r="AK7025">
        <v>12.644607801282</v>
      </c>
      <c r="AL7025">
        <v>81.875335759339805</v>
      </c>
      <c r="AM7025">
        <v>87.527201423850997</v>
      </c>
      <c r="AN7025">
        <v>1.00000002449334</v>
      </c>
    </row>
    <row r="7026" spans="1:40" x14ac:dyDescent="0.25">
      <c r="A7026" t="str">
        <f>"20190303162440897"</f>
        <v>20190303162440897</v>
      </c>
      <c r="B7026" t="str">
        <f>"1551601480892035"</f>
        <v>1551601480892035</v>
      </c>
      <c r="C7026" t="s">
        <v>40</v>
      </c>
      <c r="D7026">
        <v>5.7122590000000004</v>
      </c>
      <c r="E7026">
        <v>0.46447840000000001</v>
      </c>
      <c r="F7026" t="s">
        <v>41</v>
      </c>
      <c r="G7026">
        <v>-142.12790000000001</v>
      </c>
      <c r="H7026" s="1">
        <v>-3.3909250000000001E-6</v>
      </c>
      <c r="I7026">
        <v>139.7346</v>
      </c>
      <c r="J7026">
        <v>-154.90530000000001</v>
      </c>
      <c r="K7026">
        <v>1.1227370000000001</v>
      </c>
      <c r="L7026">
        <v>138.5025</v>
      </c>
      <c r="M7026">
        <v>0.9987779</v>
      </c>
      <c r="N7026">
        <v>-2.6735120000000001E-2</v>
      </c>
      <c r="O7026">
        <v>4.1570679999999999E-2</v>
      </c>
      <c r="P7026">
        <v>0.99324259999999998</v>
      </c>
      <c r="Q7026">
        <v>0.1160569</v>
      </c>
      <c r="R7026">
        <v>-4.232498E-4</v>
      </c>
      <c r="S7026">
        <v>3.0513309999999998</v>
      </c>
      <c r="T7026">
        <v>-0.26463880000000001</v>
      </c>
      <c r="U7026">
        <v>0.292251599999999</v>
      </c>
      <c r="V7026">
        <v>4.1661009999999998E-2</v>
      </c>
      <c r="W7026">
        <v>0.142566</v>
      </c>
      <c r="X7026">
        <v>0.98890809999999996</v>
      </c>
      <c r="Y7026">
        <v>-5.3675519999999997E-2</v>
      </c>
      <c r="Z7026">
        <v>5.5952699999999998E-4</v>
      </c>
      <c r="AA7026">
        <v>0.99855830000000001</v>
      </c>
      <c r="AB7026">
        <v>16</v>
      </c>
      <c r="AC7026">
        <v>12.7774</v>
      </c>
      <c r="AD7026">
        <v>-1.122740390925</v>
      </c>
      <c r="AE7026">
        <v>1.2321</v>
      </c>
      <c r="AF7026">
        <v>-0.69436725844238401</v>
      </c>
      <c r="AG7026">
        <v>-1.122740390925</v>
      </c>
      <c r="AH7026">
        <v>12.7202759434907</v>
      </c>
      <c r="AI7026">
        <v>95.036614159866105</v>
      </c>
      <c r="AJ7026">
        <v>93.124528724137605</v>
      </c>
      <c r="AK7026">
        <v>12.7885930404232</v>
      </c>
      <c r="AL7026">
        <v>81.803642794182196</v>
      </c>
      <c r="AM7026">
        <v>87.587653087878905</v>
      </c>
      <c r="AN7026">
        <v>0.99999996717791395</v>
      </c>
    </row>
    <row r="7027" spans="1:40" x14ac:dyDescent="0.25">
      <c r="A7027" t="str">
        <f>"20190303162440923"</f>
        <v>20190303162440923</v>
      </c>
      <c r="B7027" t="str">
        <f>"1551601480911555"</f>
        <v>1551601480911555</v>
      </c>
      <c r="C7027" t="s">
        <v>40</v>
      </c>
      <c r="D7027">
        <v>5.9685269999999999</v>
      </c>
      <c r="E7027">
        <v>0.4646441</v>
      </c>
      <c r="F7027" t="s">
        <v>41</v>
      </c>
      <c r="G7027">
        <v>-141.84809999999999</v>
      </c>
      <c r="H7027" s="1">
        <v>-3.520769E-6</v>
      </c>
      <c r="I7027">
        <v>139.7715</v>
      </c>
      <c r="J7027">
        <v>-154.74039999999999</v>
      </c>
      <c r="K7027">
        <v>1.122868</v>
      </c>
      <c r="L7027">
        <v>138.51009999999999</v>
      </c>
      <c r="M7027">
        <v>0.99874050000000003</v>
      </c>
      <c r="N7027">
        <v>-2.730985E-2</v>
      </c>
      <c r="O7027">
        <v>4.2095109999999998E-2</v>
      </c>
      <c r="P7027">
        <v>0.99326020000000004</v>
      </c>
      <c r="Q7027">
        <v>0.1159017</v>
      </c>
      <c r="R7027">
        <v>1.1128679999999999E-3</v>
      </c>
      <c r="S7027">
        <v>3.051193</v>
      </c>
      <c r="T7027">
        <v>-0.26235999999999998</v>
      </c>
      <c r="U7027">
        <v>0.2965546</v>
      </c>
      <c r="V7027">
        <v>4.0674780000000001E-2</v>
      </c>
      <c r="W7027">
        <v>0.14297279999999901</v>
      </c>
      <c r="X7027">
        <v>0.98889050000000001</v>
      </c>
      <c r="Y7027">
        <v>-5.4546150000000002E-2</v>
      </c>
      <c r="Z7027">
        <v>6.2851559999999897E-4</v>
      </c>
      <c r="AA7027">
        <v>0.99851109999999998</v>
      </c>
      <c r="AB7027">
        <v>16</v>
      </c>
      <c r="AC7027">
        <v>12.892300000000001</v>
      </c>
      <c r="AD7027">
        <v>-1.1228715207690001</v>
      </c>
      <c r="AE7027">
        <v>1.2614000000000001</v>
      </c>
      <c r="AF7027">
        <v>-0.71202585687657005</v>
      </c>
      <c r="AG7027">
        <v>-1.1228715207690001</v>
      </c>
      <c r="AH7027">
        <v>12.837523385703401</v>
      </c>
      <c r="AI7027">
        <v>94.991188273615194</v>
      </c>
      <c r="AJ7027">
        <v>93.174624780417204</v>
      </c>
      <c r="AK7027">
        <v>12.906193395091201</v>
      </c>
      <c r="AL7027">
        <v>81.780094235814602</v>
      </c>
      <c r="AM7027">
        <v>87.644652971005598</v>
      </c>
      <c r="AN7027">
        <v>1.0000000401290601</v>
      </c>
    </row>
    <row r="7028" spans="1:40" x14ac:dyDescent="0.25">
      <c r="A7028" t="str">
        <f>"20190303162440942"</f>
        <v>20190303162440942</v>
      </c>
      <c r="B7028" t="str">
        <f>"1551601480922291"</f>
        <v>1551601480922291</v>
      </c>
      <c r="C7028" t="s">
        <v>40</v>
      </c>
      <c r="D7028">
        <v>6.032165</v>
      </c>
      <c r="E7028">
        <v>0.46472730000000001</v>
      </c>
      <c r="F7028" t="s">
        <v>41</v>
      </c>
      <c r="G7028">
        <v>-141.7568</v>
      </c>
      <c r="H7028" s="1">
        <v>-3.5638589999999998E-6</v>
      </c>
      <c r="I7028">
        <v>139.78620000000001</v>
      </c>
      <c r="J7028">
        <v>-154.6071</v>
      </c>
      <c r="K7028">
        <v>1.1227640000000001</v>
      </c>
      <c r="L7028">
        <v>138.51609999999999</v>
      </c>
      <c r="M7028">
        <v>0.99873420000000002</v>
      </c>
      <c r="N7028">
        <v>-2.7097369999999999E-2</v>
      </c>
      <c r="O7028">
        <v>4.237556E-2</v>
      </c>
      <c r="P7028">
        <v>0.99334659999999997</v>
      </c>
      <c r="Q7028">
        <v>0.1151327</v>
      </c>
      <c r="R7028">
        <v>2.6879439999999998E-3</v>
      </c>
      <c r="S7028">
        <v>3.0508120000000001</v>
      </c>
      <c r="T7028">
        <v>-0.26384370000000001</v>
      </c>
      <c r="U7028">
        <v>0.29986570000000001</v>
      </c>
      <c r="V7028">
        <v>3.9400449999999997E-2</v>
      </c>
      <c r="W7028">
        <v>0.14199289999999901</v>
      </c>
      <c r="X7028">
        <v>0.98908320000000005</v>
      </c>
      <c r="Y7028">
        <v>-5.5347649999999998E-2</v>
      </c>
      <c r="Z7028">
        <v>6.3543479999999999E-4</v>
      </c>
      <c r="AA7028">
        <v>0.99846699999999999</v>
      </c>
      <c r="AB7028">
        <v>15</v>
      </c>
      <c r="AC7028">
        <v>12.850300000000001</v>
      </c>
      <c r="AD7028">
        <v>-1.12276756385899</v>
      </c>
      <c r="AE7028">
        <v>1.27010000000001</v>
      </c>
      <c r="AF7028">
        <v>-0.71878546308581404</v>
      </c>
      <c r="AG7028">
        <v>-1.12276756385899</v>
      </c>
      <c r="AH7028">
        <v>12.7958510162458</v>
      </c>
      <c r="AI7028">
        <v>95.006702884572604</v>
      </c>
      <c r="AJ7028">
        <v>93.215115425617</v>
      </c>
      <c r="AK7028">
        <v>12.8651102900191</v>
      </c>
      <c r="AL7028">
        <v>81.836816586155905</v>
      </c>
      <c r="AM7028">
        <v>87.718810171418795</v>
      </c>
      <c r="AN7028">
        <v>0.99999997781642602</v>
      </c>
    </row>
    <row r="7029" spans="1:40" x14ac:dyDescent="0.25">
      <c r="A7029" t="str">
        <f>"20190303162440964"</f>
        <v>20190303162440964</v>
      </c>
      <c r="B7029" t="str">
        <f>"1551601480951571"</f>
        <v>1551601480951571</v>
      </c>
      <c r="C7029" t="s">
        <v>40</v>
      </c>
      <c r="D7029">
        <v>5.9719319999999998</v>
      </c>
      <c r="E7029">
        <v>0.46487820000000002</v>
      </c>
      <c r="F7029" t="s">
        <v>41</v>
      </c>
      <c r="G7029">
        <v>-141.7741</v>
      </c>
      <c r="H7029" s="1">
        <v>-3.5586640000000002E-6</v>
      </c>
      <c r="I7029">
        <v>139.7946</v>
      </c>
      <c r="J7029">
        <v>-154.4676</v>
      </c>
      <c r="K7029">
        <v>1.122557</v>
      </c>
      <c r="L7029">
        <v>138.5224</v>
      </c>
      <c r="M7029">
        <v>0.99874410000000002</v>
      </c>
      <c r="N7029">
        <v>-2.6479659999999999E-2</v>
      </c>
      <c r="O7029">
        <v>4.2534080000000002E-2</v>
      </c>
      <c r="P7029">
        <v>0.99336610000000003</v>
      </c>
      <c r="Q7029">
        <v>0.1149331</v>
      </c>
      <c r="R7029">
        <v>3.7843149999999999E-3</v>
      </c>
      <c r="S7029">
        <v>3.0502009999999999</v>
      </c>
      <c r="T7029">
        <v>-0.26686199999999999</v>
      </c>
      <c r="U7029">
        <v>0.3038788</v>
      </c>
      <c r="V7029">
        <v>3.8483879999999998E-2</v>
      </c>
      <c r="W7029">
        <v>0.14117779999999999</v>
      </c>
      <c r="X7029">
        <v>0.989236</v>
      </c>
      <c r="Y7029">
        <v>-5.6504850000000002E-2</v>
      </c>
      <c r="Z7029">
        <v>6.3375089999999996E-4</v>
      </c>
      <c r="AA7029">
        <v>0.99840209999999996</v>
      </c>
      <c r="AB7029">
        <v>15</v>
      </c>
      <c r="AC7029">
        <v>12.6935</v>
      </c>
      <c r="AD7029">
        <v>-1.122560558664</v>
      </c>
      <c r="AE7029">
        <v>1.27219999999999</v>
      </c>
      <c r="AF7029">
        <v>-0.72533580716330004</v>
      </c>
      <c r="AG7029">
        <v>-1.122560558664</v>
      </c>
      <c r="AH7029">
        <v>12.6382756588985</v>
      </c>
      <c r="AI7029">
        <v>95.067526369740193</v>
      </c>
      <c r="AJ7029">
        <v>93.284715600626399</v>
      </c>
      <c r="AK7029">
        <v>12.708747612228599</v>
      </c>
      <c r="AL7029">
        <v>81.8839939983731</v>
      </c>
      <c r="AM7029">
        <v>87.772167035124298</v>
      </c>
      <c r="AN7029">
        <v>1.0000000219643399</v>
      </c>
    </row>
    <row r="7030" spans="1:40" x14ac:dyDescent="0.25">
      <c r="A7030" t="str">
        <f>"20190303162440996"</f>
        <v>20190303162440996</v>
      </c>
      <c r="B7030" t="str">
        <f>"1551601480991587"</f>
        <v>1551601480991587</v>
      </c>
      <c r="C7030" t="s">
        <v>40</v>
      </c>
      <c r="D7030">
        <v>6.0945429999999998</v>
      </c>
      <c r="E7030">
        <v>0.46514729999999999</v>
      </c>
      <c r="F7030" t="s">
        <v>41</v>
      </c>
      <c r="G7030">
        <v>-141.71690000000001</v>
      </c>
      <c r="H7030" s="1">
        <v>-3.5857740000000002E-6</v>
      </c>
      <c r="I7030">
        <v>139.80430000000001</v>
      </c>
      <c r="J7030">
        <v>-154.2501</v>
      </c>
      <c r="K7030">
        <v>1.1224229999999999</v>
      </c>
      <c r="L7030">
        <v>138.53200000000001</v>
      </c>
      <c r="M7030">
        <v>0.99874989999999997</v>
      </c>
      <c r="N7030">
        <v>-2.6121689999999999E-2</v>
      </c>
      <c r="O7030">
        <v>4.2621949999999999E-2</v>
      </c>
      <c r="P7030">
        <v>0.99351630000000002</v>
      </c>
      <c r="Q7030">
        <v>0.1136315</v>
      </c>
      <c r="R7030">
        <v>3.737462E-3</v>
      </c>
      <c r="S7030">
        <v>3.0499269999999998</v>
      </c>
      <c r="T7030">
        <v>-0.268513</v>
      </c>
      <c r="U7030">
        <v>0.30662539999999999</v>
      </c>
      <c r="V7030">
        <v>3.8663839999999998E-2</v>
      </c>
      <c r="W7030">
        <v>0.139515</v>
      </c>
      <c r="X7030">
        <v>0.98946480000000003</v>
      </c>
      <c r="Y7030">
        <v>-5.7312759999999997E-2</v>
      </c>
      <c r="Z7030">
        <v>6.4129360000000002E-4</v>
      </c>
      <c r="AA7030">
        <v>0.99835600000000002</v>
      </c>
      <c r="AB7030">
        <v>15</v>
      </c>
      <c r="AC7030">
        <v>12.5331999999999</v>
      </c>
      <c r="AD7030">
        <v>-1.1224265857739999</v>
      </c>
      <c r="AE7030">
        <v>1.2723</v>
      </c>
      <c r="AF7030">
        <v>-0.73096855213861101</v>
      </c>
      <c r="AG7030">
        <v>-1.1224265857739999</v>
      </c>
      <c r="AH7030">
        <v>12.4770004802123</v>
      </c>
      <c r="AI7030">
        <v>95.131719205787704</v>
      </c>
      <c r="AJ7030">
        <v>93.352856792646094</v>
      </c>
      <c r="AK7030">
        <v>12.548693057362099</v>
      </c>
      <c r="AL7030">
        <v>81.980217301445293</v>
      </c>
      <c r="AM7030">
        <v>87.7622767520743</v>
      </c>
      <c r="AN7030">
        <v>0.99999995909379102</v>
      </c>
    </row>
    <row r="7031" spans="1:40" x14ac:dyDescent="0.25">
      <c r="A7031" t="str">
        <f>"20190303162441019"</f>
        <v>20190303162441019</v>
      </c>
      <c r="B7031" t="str">
        <f>"1551601481012083"</f>
        <v>1551601481012083</v>
      </c>
      <c r="C7031" t="s">
        <v>40</v>
      </c>
      <c r="D7031">
        <v>6.0347780000000002</v>
      </c>
      <c r="E7031">
        <v>0.47039199999999998</v>
      </c>
      <c r="F7031" t="s">
        <v>41</v>
      </c>
      <c r="G7031">
        <v>-141.76499999999999</v>
      </c>
      <c r="H7031" s="1">
        <v>-3.5594979999999999E-6</v>
      </c>
      <c r="I7031">
        <v>139.78319999999999</v>
      </c>
      <c r="J7031">
        <v>-154.10659999999999</v>
      </c>
      <c r="K7031">
        <v>1.1224270000000001</v>
      </c>
      <c r="L7031">
        <v>138.53809999999999</v>
      </c>
      <c r="M7031">
        <v>0.99874960000000002</v>
      </c>
      <c r="N7031">
        <v>-2.617653E-2</v>
      </c>
      <c r="O7031">
        <v>4.2593590000000001E-2</v>
      </c>
      <c r="P7031">
        <v>0.99364600000000003</v>
      </c>
      <c r="Q7031">
        <v>0.1124827</v>
      </c>
      <c r="R7031">
        <v>3.9421650000000001E-3</v>
      </c>
      <c r="S7031">
        <v>3.0497890000000001</v>
      </c>
      <c r="T7031">
        <v>-0.27417979999999997</v>
      </c>
      <c r="U7031">
        <v>0.3056488</v>
      </c>
      <c r="V7031">
        <v>3.8456440000000001E-2</v>
      </c>
      <c r="W7031">
        <v>0.1384194</v>
      </c>
      <c r="X7031">
        <v>0.98962680000000003</v>
      </c>
      <c r="Y7031">
        <v>-5.7024310000000002E-2</v>
      </c>
      <c r="Z7031">
        <v>6.0453920000000003E-4</v>
      </c>
      <c r="AA7031">
        <v>0.99837260000000005</v>
      </c>
      <c r="AB7031">
        <v>15</v>
      </c>
      <c r="AC7031">
        <v>12.3416</v>
      </c>
      <c r="AD7031">
        <v>-1.122430559498</v>
      </c>
      <c r="AE7031">
        <v>1.2451000000000001</v>
      </c>
      <c r="AF7031">
        <v>-0.71228389757023303</v>
      </c>
      <c r="AG7031">
        <v>-1.122430559498</v>
      </c>
      <c r="AH7031">
        <v>12.2828713274178</v>
      </c>
      <c r="AI7031">
        <v>95.212579638090702</v>
      </c>
      <c r="AJ7031">
        <v>93.318866193194694</v>
      </c>
      <c r="AK7031">
        <v>12.354599417121401</v>
      </c>
      <c r="AL7031">
        <v>82.043606074452001</v>
      </c>
      <c r="AM7031">
        <v>87.774632191012202</v>
      </c>
      <c r="AN7031">
        <v>1.00000001567603</v>
      </c>
    </row>
    <row r="7032" spans="1:40" x14ac:dyDescent="0.25">
      <c r="A7032" t="str">
        <f>"20190303162441041"</f>
        <v>20190303162441041</v>
      </c>
      <c r="B7032" t="str">
        <f>"1551601481031603"</f>
        <v>1551601481031603</v>
      </c>
      <c r="C7032" t="s">
        <v>40</v>
      </c>
      <c r="D7032">
        <v>6.0343369999999998</v>
      </c>
      <c r="E7032">
        <v>0.47032990000000002</v>
      </c>
      <c r="F7032" t="s">
        <v>41</v>
      </c>
      <c r="G7032">
        <v>-143.8997</v>
      </c>
      <c r="H7032" s="1">
        <v>-2.6332609999999998E-6</v>
      </c>
      <c r="I7032">
        <v>139.42490000000001</v>
      </c>
      <c r="J7032">
        <v>-153.97329999999999</v>
      </c>
      <c r="K7032">
        <v>1.1224130000000001</v>
      </c>
      <c r="L7032">
        <v>138.5437</v>
      </c>
      <c r="M7032">
        <v>0.99875579999999997</v>
      </c>
      <c r="N7032">
        <v>-2.613441E-2</v>
      </c>
      <c r="O7032">
        <v>4.2475249999999999E-2</v>
      </c>
      <c r="P7032">
        <v>0.99366299999999996</v>
      </c>
      <c r="Q7032">
        <v>0.1123446</v>
      </c>
      <c r="R7032">
        <v>3.5929069999999998E-3</v>
      </c>
      <c r="S7032">
        <v>3.0561980000000002</v>
      </c>
      <c r="T7032">
        <v>-0.33608209999999999</v>
      </c>
      <c r="U7032">
        <v>0.26553339999999998</v>
      </c>
      <c r="V7032">
        <v>3.8698660000000003E-2</v>
      </c>
      <c r="W7032">
        <v>0.1382362</v>
      </c>
      <c r="X7032">
        <v>0.98964300000000005</v>
      </c>
      <c r="Y7032">
        <v>-4.3970200000000001E-2</v>
      </c>
      <c r="Z7032">
        <v>-5.5482579999999995E-4</v>
      </c>
      <c r="AA7032">
        <v>0.9990327</v>
      </c>
      <c r="AB7032">
        <v>14</v>
      </c>
      <c r="AC7032">
        <v>10.073600000000001</v>
      </c>
      <c r="AD7032">
        <v>-1.12241563326099</v>
      </c>
      <c r="AE7032">
        <v>0.88120000000000598</v>
      </c>
      <c r="AF7032">
        <v>-0.44687368433372598</v>
      </c>
      <c r="AG7032">
        <v>-1.12241563326099</v>
      </c>
      <c r="AH7032">
        <v>9.9789985420107392</v>
      </c>
      <c r="AI7032">
        <v>96.4111581080072</v>
      </c>
      <c r="AJ7032">
        <v>92.5640730731687</v>
      </c>
      <c r="AK7032">
        <v>10.0518617601413</v>
      </c>
      <c r="AL7032">
        <v>82.054204826938303</v>
      </c>
      <c r="AM7032">
        <v>87.760666435209203</v>
      </c>
      <c r="AN7032">
        <v>1.0000000503626101</v>
      </c>
    </row>
    <row r="7033" spans="1:40" x14ac:dyDescent="0.25">
      <c r="A7033" t="str">
        <f>"20190303162441087"</f>
        <v>20190303162441087</v>
      </c>
      <c r="B7033" t="str">
        <f>"1551601481071619"</f>
        <v>1551601481071619</v>
      </c>
      <c r="C7033" t="s">
        <v>40</v>
      </c>
      <c r="D7033">
        <v>6.0920899999999998</v>
      </c>
      <c r="E7033">
        <v>0.4708677</v>
      </c>
      <c r="F7033" t="s">
        <v>41</v>
      </c>
      <c r="G7033">
        <v>-143.62190000000001</v>
      </c>
      <c r="H7033" s="1">
        <v>-2.7492420000000002E-6</v>
      </c>
      <c r="I7033">
        <v>139.44280000000001</v>
      </c>
      <c r="J7033">
        <v>-153.69919999999999</v>
      </c>
      <c r="K7033">
        <v>1.1223240000000001</v>
      </c>
      <c r="L7033">
        <v>138.5549</v>
      </c>
      <c r="M7033">
        <v>0.99878619999999996</v>
      </c>
      <c r="N7033">
        <v>-2.5700259999999999E-2</v>
      </c>
      <c r="O7033">
        <v>4.201767E-2</v>
      </c>
      <c r="P7033">
        <v>0.99399939999999998</v>
      </c>
      <c r="Q7033">
        <v>0.109384</v>
      </c>
      <c r="R7033">
        <v>8.0412110000000001E-4</v>
      </c>
      <c r="S7033">
        <v>3.055634</v>
      </c>
      <c r="T7033">
        <v>-0.33132519999999999</v>
      </c>
      <c r="U7033">
        <v>0.26541140000000002</v>
      </c>
      <c r="V7033">
        <v>4.1052640000000001E-2</v>
      </c>
      <c r="W7033">
        <v>0.13484879999999999</v>
      </c>
      <c r="X7033">
        <v>0.99001539999999999</v>
      </c>
      <c r="Y7033">
        <v>-4.4405340000000001E-2</v>
      </c>
      <c r="Z7033">
        <v>-4.8503659999999998E-4</v>
      </c>
      <c r="AA7033">
        <v>0.9990135</v>
      </c>
      <c r="AB7033">
        <v>14</v>
      </c>
      <c r="AC7033">
        <v>10.0772999999999</v>
      </c>
      <c r="AD7033">
        <v>-1.1223267492419999</v>
      </c>
      <c r="AE7033">
        <v>0.88790000000000102</v>
      </c>
      <c r="AF7033">
        <v>-0.45791467759221399</v>
      </c>
      <c r="AG7033">
        <v>-1.1223267492419999</v>
      </c>
      <c r="AH7033">
        <v>9.9828442864534495</v>
      </c>
      <c r="AI7033">
        <v>96.407892619901403</v>
      </c>
      <c r="AJ7033">
        <v>92.626325687591503</v>
      </c>
      <c r="AK7033">
        <v>10.056166428196899</v>
      </c>
      <c r="AL7033">
        <v>82.250123221172203</v>
      </c>
      <c r="AM7033">
        <v>87.625495278981603</v>
      </c>
      <c r="AN7033">
        <v>1.0000000051747799</v>
      </c>
    </row>
    <row r="7034" spans="1:40" x14ac:dyDescent="0.25">
      <c r="A7034" t="str">
        <f>"20190303162441110"</f>
        <v>20190303162441110</v>
      </c>
      <c r="B7034" t="str">
        <f>"1551601481101875"</f>
        <v>1551601481101875</v>
      </c>
      <c r="C7034" t="s">
        <v>40</v>
      </c>
      <c r="D7034">
        <v>5.825577</v>
      </c>
      <c r="E7034">
        <v>0.47111839999999999</v>
      </c>
      <c r="F7034" t="s">
        <v>41</v>
      </c>
      <c r="G7034">
        <v>-143.5438</v>
      </c>
      <c r="H7034" s="1">
        <v>-2.7902220000000002E-6</v>
      </c>
      <c r="I7034">
        <v>139.4006</v>
      </c>
      <c r="J7034">
        <v>-153.55449999999999</v>
      </c>
      <c r="K7034">
        <v>1.1223110000000001</v>
      </c>
      <c r="L7034">
        <v>138.5607</v>
      </c>
      <c r="M7034">
        <v>0.998803</v>
      </c>
      <c r="N7034">
        <v>-2.5527620000000001E-2</v>
      </c>
      <c r="O7034">
        <v>4.1724270000000001E-2</v>
      </c>
      <c r="P7034">
        <v>0.99401589999999995</v>
      </c>
      <c r="Q7034">
        <v>0.10923570000000001</v>
      </c>
      <c r="R7034">
        <v>-2.8420430000000003E-4</v>
      </c>
      <c r="S7034">
        <v>3.055069</v>
      </c>
      <c r="T7034">
        <v>-0.33763179999999998</v>
      </c>
      <c r="U7034">
        <v>0.25442500000000001</v>
      </c>
      <c r="V7034">
        <v>4.1851840000000001E-2</v>
      </c>
      <c r="W7034">
        <v>0.13452800000000001</v>
      </c>
      <c r="X7034">
        <v>0.99002559999999995</v>
      </c>
      <c r="Y7034">
        <v>-4.1168070000000001E-2</v>
      </c>
      <c r="Z7034">
        <v>-7.3216380000000003E-4</v>
      </c>
      <c r="AA7034">
        <v>0.99915189999999998</v>
      </c>
      <c r="AB7034">
        <v>13</v>
      </c>
      <c r="AC7034">
        <v>10.0106999999999</v>
      </c>
      <c r="AD7034">
        <v>-1.122313790222</v>
      </c>
      <c r="AE7034">
        <v>0.83989999999999998</v>
      </c>
      <c r="AF7034">
        <v>-0.416148796848264</v>
      </c>
      <c r="AG7034">
        <v>-1.122313790222</v>
      </c>
      <c r="AH7034">
        <v>9.9133032123043492</v>
      </c>
      <c r="AI7034">
        <v>96.453483387847101</v>
      </c>
      <c r="AJ7034">
        <v>92.403798018146901</v>
      </c>
      <c r="AK7034">
        <v>9.9853066374510693</v>
      </c>
      <c r="AL7034">
        <v>82.268672876537593</v>
      </c>
      <c r="AM7034">
        <v>87.579348535294102</v>
      </c>
      <c r="AN7034">
        <v>1.0000000239753699</v>
      </c>
    </row>
    <row r="7035" spans="1:40" x14ac:dyDescent="0.25">
      <c r="A7035" t="str">
        <f>"20190303162441132"</f>
        <v>20190303162441132</v>
      </c>
      <c r="B7035" t="str">
        <f>"1551601481121395"</f>
        <v>1551601481121395</v>
      </c>
      <c r="C7035" t="s">
        <v>40</v>
      </c>
      <c r="D7035">
        <v>5.7957589999999897</v>
      </c>
      <c r="E7035">
        <v>0.47104970000000002</v>
      </c>
      <c r="F7035" t="s">
        <v>41</v>
      </c>
      <c r="G7035">
        <v>-143.38550000000001</v>
      </c>
      <c r="H7035" s="1">
        <v>-2.860217E-6</v>
      </c>
      <c r="I7035">
        <v>139.38900000000001</v>
      </c>
      <c r="J7035">
        <v>-153.43029999999999</v>
      </c>
      <c r="K7035">
        <v>1.1223069999999999</v>
      </c>
      <c r="L7035">
        <v>138.56549999999999</v>
      </c>
      <c r="M7035">
        <v>0.99881850000000005</v>
      </c>
      <c r="N7035">
        <v>-2.5397050000000001E-2</v>
      </c>
      <c r="O7035">
        <v>4.1436229999999998E-2</v>
      </c>
      <c r="P7035">
        <v>0.9938517</v>
      </c>
      <c r="Q7035">
        <v>0.1107119</v>
      </c>
      <c r="R7035">
        <v>-1.582927E-3</v>
      </c>
      <c r="S7035">
        <v>3.0551910000000002</v>
      </c>
      <c r="T7035">
        <v>-0.33718920000000002</v>
      </c>
      <c r="U7035">
        <v>0.2488861</v>
      </c>
      <c r="V7035">
        <v>4.2857149999999997E-2</v>
      </c>
      <c r="W7035">
        <v>0.13586790000000001</v>
      </c>
      <c r="X7035">
        <v>0.9897996</v>
      </c>
      <c r="Y7035">
        <v>-3.9664890000000001E-2</v>
      </c>
      <c r="Z7035">
        <v>-8.1482899999999999E-4</v>
      </c>
      <c r="AA7035">
        <v>0.99921269999999995</v>
      </c>
      <c r="AB7035">
        <v>13</v>
      </c>
      <c r="AC7035">
        <v>10.044799999999899</v>
      </c>
      <c r="AD7035">
        <v>-1.1223098602170001</v>
      </c>
      <c r="AE7035">
        <v>0.82350000000002399</v>
      </c>
      <c r="AF7035">
        <v>-0.40146116000648402</v>
      </c>
      <c r="AG7035">
        <v>-1.1223098602170001</v>
      </c>
      <c r="AH7035">
        <v>9.9469555210810192</v>
      </c>
      <c r="AI7035">
        <v>96.432235349991899</v>
      </c>
      <c r="AJ7035">
        <v>92.311214980474205</v>
      </c>
      <c r="AK7035">
        <v>10.018117319321901</v>
      </c>
      <c r="AL7035">
        <v>82.191190950068602</v>
      </c>
      <c r="AM7035">
        <v>87.520709236308093</v>
      </c>
      <c r="AN7035">
        <v>1.00000003485834</v>
      </c>
    </row>
    <row r="7036" spans="1:40" x14ac:dyDescent="0.25">
      <c r="A7036" t="str">
        <f>"20190303162441153"</f>
        <v>20190303162441153</v>
      </c>
      <c r="B7036" t="str">
        <f>"1551601481133107"</f>
        <v>1551601481133107</v>
      </c>
      <c r="C7036" t="s">
        <v>40</v>
      </c>
      <c r="D7036">
        <v>6.0984949999999998</v>
      </c>
      <c r="E7036">
        <v>0.47107890000000002</v>
      </c>
      <c r="F7036" t="s">
        <v>41</v>
      </c>
      <c r="G7036">
        <v>-143.0701</v>
      </c>
      <c r="H7036" s="1">
        <v>-2.994173E-6</v>
      </c>
      <c r="I7036">
        <v>139.3965</v>
      </c>
      <c r="J7036">
        <v>-153.3126</v>
      </c>
      <c r="K7036">
        <v>1.1222970000000001</v>
      </c>
      <c r="L7036">
        <v>138.57</v>
      </c>
      <c r="M7036">
        <v>0.99883549999999999</v>
      </c>
      <c r="N7036">
        <v>-2.5245759999999999E-2</v>
      </c>
      <c r="O7036">
        <v>4.1115270000000002E-2</v>
      </c>
      <c r="P7036">
        <v>0.99372479999999996</v>
      </c>
      <c r="Q7036">
        <v>0.11183120000000001</v>
      </c>
      <c r="R7036">
        <v>-2.2456500000000001E-3</v>
      </c>
      <c r="S7036">
        <v>3.0558320000000001</v>
      </c>
      <c r="T7036">
        <v>-0.33103510000000003</v>
      </c>
      <c r="U7036">
        <v>0.24511720000000001</v>
      </c>
      <c r="V7036">
        <v>4.3196329999999998E-2</v>
      </c>
      <c r="W7036">
        <v>0.13683339999999999</v>
      </c>
      <c r="X7036">
        <v>0.98965179999999997</v>
      </c>
      <c r="Y7036">
        <v>-3.8753799999999998E-2</v>
      </c>
      <c r="Z7036">
        <v>-8.1490670000000003E-4</v>
      </c>
      <c r="AA7036">
        <v>0.99924840000000004</v>
      </c>
      <c r="AB7036">
        <v>13</v>
      </c>
      <c r="AC7036">
        <v>10.2425</v>
      </c>
      <c r="AD7036">
        <v>-1.1222999941730001</v>
      </c>
      <c r="AE7036">
        <v>0.82650000000001</v>
      </c>
      <c r="AF7036">
        <v>-0.39977456467593903</v>
      </c>
      <c r="AG7036">
        <v>-1.1222999941730001</v>
      </c>
      <c r="AH7036">
        <v>10.1467897351418</v>
      </c>
      <c r="AI7036">
        <v>96.306772019951097</v>
      </c>
      <c r="AJ7036">
        <v>92.256236208114998</v>
      </c>
      <c r="AK7036">
        <v>10.216492495404699</v>
      </c>
      <c r="AL7036">
        <v>82.135350033869798</v>
      </c>
      <c r="AM7036">
        <v>87.500739687716305</v>
      </c>
      <c r="AN7036">
        <v>0.999999993762134</v>
      </c>
    </row>
    <row r="7037" spans="1:40" x14ac:dyDescent="0.25">
      <c r="A7037" t="str">
        <f>"20190303162441176"</f>
        <v>20190303162441176</v>
      </c>
      <c r="B7037" t="str">
        <f>"1551601481161411"</f>
        <v>1551601481161411</v>
      </c>
      <c r="C7037" t="s">
        <v>40</v>
      </c>
      <c r="D7037">
        <v>6.0845060000000002</v>
      </c>
      <c r="E7037">
        <v>0.4711592</v>
      </c>
      <c r="F7037" t="s">
        <v>41</v>
      </c>
      <c r="G7037">
        <v>-142.8177</v>
      </c>
      <c r="H7037" s="1">
        <v>-3.101389E-6</v>
      </c>
      <c r="I7037">
        <v>139.40260000000001</v>
      </c>
      <c r="J7037">
        <v>-153.18459999999999</v>
      </c>
      <c r="K7037">
        <v>1.1222620000000001</v>
      </c>
      <c r="L7037">
        <v>138.57480000000001</v>
      </c>
      <c r="M7037">
        <v>0.99885749999999995</v>
      </c>
      <c r="N7037">
        <v>-2.5041790000000001E-2</v>
      </c>
      <c r="O7037">
        <v>4.0704230000000001E-2</v>
      </c>
      <c r="P7037">
        <v>0.99377110000000002</v>
      </c>
      <c r="Q7037">
        <v>0.1114144</v>
      </c>
      <c r="R7037">
        <v>-2.480248E-3</v>
      </c>
      <c r="S7037">
        <v>3.0562900000000002</v>
      </c>
      <c r="T7037">
        <v>-0.32683289999999998</v>
      </c>
      <c r="U7037">
        <v>0.24246219999999999</v>
      </c>
      <c r="V7037">
        <v>4.3026559999999998E-2</v>
      </c>
      <c r="W7037">
        <v>0.13621510000000001</v>
      </c>
      <c r="X7037">
        <v>0.98974450000000003</v>
      </c>
      <c r="Y7037">
        <v>-3.829544E-2</v>
      </c>
      <c r="Z7037">
        <v>-7.9415390000000001E-4</v>
      </c>
      <c r="AA7037">
        <v>0.99926610000000005</v>
      </c>
      <c r="AB7037">
        <v>13</v>
      </c>
      <c r="AC7037">
        <v>10.3668999999999</v>
      </c>
      <c r="AD7037">
        <v>-1.1222651013889999</v>
      </c>
      <c r="AE7037">
        <v>0.82779999999999598</v>
      </c>
      <c r="AF7037">
        <v>-0.40034259936417099</v>
      </c>
      <c r="AG7037">
        <v>-1.1222651013889999</v>
      </c>
      <c r="AH7037">
        <v>10.2723883402395</v>
      </c>
      <c r="AI7037">
        <v>96.230181348435195</v>
      </c>
      <c r="AJ7037">
        <v>92.231841112429606</v>
      </c>
      <c r="AK7037">
        <v>10.341262754971</v>
      </c>
      <c r="AL7037">
        <v>82.171110956180499</v>
      </c>
      <c r="AM7037">
        <v>87.510782756156004</v>
      </c>
      <c r="AN7037">
        <v>1.00000000680684</v>
      </c>
    </row>
    <row r="7038" spans="1:40" x14ac:dyDescent="0.25">
      <c r="A7038" t="str">
        <f>"20190303162441197"</f>
        <v>20190303162441197</v>
      </c>
      <c r="B7038" t="str">
        <f>"1551601481191667"</f>
        <v>1551601481191667</v>
      </c>
      <c r="C7038" t="s">
        <v>40</v>
      </c>
      <c r="D7038">
        <v>5.7669129999999997</v>
      </c>
      <c r="E7038">
        <v>0.50186179999999903</v>
      </c>
      <c r="F7038" t="s">
        <v>41</v>
      </c>
      <c r="G7038">
        <v>-142.74680000000001</v>
      </c>
      <c r="H7038" s="1">
        <v>-3.133427E-6</v>
      </c>
      <c r="I7038">
        <v>139.39340000000001</v>
      </c>
      <c r="J7038">
        <v>-153.06229999999999</v>
      </c>
      <c r="K7038">
        <v>1.1222160000000001</v>
      </c>
      <c r="L7038">
        <v>138.57929999999999</v>
      </c>
      <c r="M7038">
        <v>0.99888120000000002</v>
      </c>
      <c r="N7038">
        <v>-2.4837439999999999E-2</v>
      </c>
      <c r="O7038">
        <v>4.0244509999999997E-2</v>
      </c>
      <c r="P7038">
        <v>0.99384150000000004</v>
      </c>
      <c r="Q7038">
        <v>0.1107828</v>
      </c>
      <c r="R7038">
        <v>-2.5778670000000002E-3</v>
      </c>
      <c r="S7038">
        <v>3.056244</v>
      </c>
      <c r="T7038">
        <v>-0.32860260000000002</v>
      </c>
      <c r="U7038">
        <v>0.23970030000000001</v>
      </c>
      <c r="V7038">
        <v>4.2675909999999997E-2</v>
      </c>
      <c r="W7038">
        <v>0.1353818</v>
      </c>
      <c r="X7038">
        <v>0.98987400000000003</v>
      </c>
      <c r="Y7038">
        <v>-3.7861180000000001E-2</v>
      </c>
      <c r="Z7038">
        <v>-8.0978140000000001E-4</v>
      </c>
      <c r="AA7038">
        <v>0.99928269999999997</v>
      </c>
      <c r="AB7038">
        <v>13</v>
      </c>
      <c r="AC7038">
        <v>10.315499999999901</v>
      </c>
      <c r="AD7038">
        <v>-1.122219133427</v>
      </c>
      <c r="AE7038">
        <v>0.81410000000002403</v>
      </c>
      <c r="AF7038">
        <v>-0.39354094511210702</v>
      </c>
      <c r="AG7038">
        <v>-1.122219133427</v>
      </c>
      <c r="AH7038">
        <v>10.2197076401223</v>
      </c>
      <c r="AI7038">
        <v>96.261899487493807</v>
      </c>
      <c r="AJ7038">
        <v>92.205258756630002</v>
      </c>
      <c r="AK7038">
        <v>10.2886672853428</v>
      </c>
      <c r="AL7038">
        <v>82.219301898821698</v>
      </c>
      <c r="AM7038">
        <v>87.531366319002203</v>
      </c>
      <c r="AN7038">
        <v>1.0000000004707801</v>
      </c>
    </row>
    <row r="7039" spans="1:40" x14ac:dyDescent="0.25">
      <c r="A7039" t="str">
        <f>"20190303162441220"</f>
        <v>20190303162441220</v>
      </c>
      <c r="B7039" t="str">
        <f>"1551601481212163"</f>
        <v>1551601481212163</v>
      </c>
      <c r="C7039" t="s">
        <v>40</v>
      </c>
      <c r="D7039">
        <v>5.6793969999999998</v>
      </c>
      <c r="E7039">
        <v>0.51077539999999999</v>
      </c>
      <c r="F7039" t="s">
        <v>41</v>
      </c>
      <c r="G7039">
        <v>-141.26310000000001</v>
      </c>
      <c r="H7039" s="1">
        <v>-3.919704E-6</v>
      </c>
      <c r="I7039">
        <v>138.54920000000001</v>
      </c>
      <c r="J7039">
        <v>-152.94</v>
      </c>
      <c r="K7039">
        <v>1.1221730000000001</v>
      </c>
      <c r="L7039">
        <v>138.58359999999999</v>
      </c>
      <c r="M7039">
        <v>0.99890769999999995</v>
      </c>
      <c r="N7039">
        <v>-2.4639069999999999E-2</v>
      </c>
      <c r="O7039">
        <v>3.9704719999999999E-2</v>
      </c>
      <c r="P7039">
        <v>0.99375440000000004</v>
      </c>
      <c r="Q7039">
        <v>0.111541</v>
      </c>
      <c r="R7039">
        <v>-3.3186000000000001E-3</v>
      </c>
      <c r="S7039">
        <v>3.0509029999999999</v>
      </c>
      <c r="T7039">
        <v>-0.29016920000000002</v>
      </c>
      <c r="U7039">
        <v>-7.7819819999999998E-3</v>
      </c>
      <c r="V7039">
        <v>4.2886180000000003E-2</v>
      </c>
      <c r="W7039">
        <v>0.13593729999999901</v>
      </c>
      <c r="X7039">
        <v>0.98978880000000002</v>
      </c>
      <c r="Y7039">
        <v>4.1928600000000003E-2</v>
      </c>
      <c r="Z7039">
        <v>-5.2975929999999997E-3</v>
      </c>
      <c r="AA7039">
        <v>0.99910659999999896</v>
      </c>
      <c r="AB7039">
        <v>12</v>
      </c>
      <c r="AC7039">
        <v>11.6768999999999</v>
      </c>
      <c r="AD7039">
        <v>-1.1221769197039999</v>
      </c>
      <c r="AE7039">
        <v>-3.4399999999976602E-2</v>
      </c>
      <c r="AF7039">
        <v>0.49358314198334002</v>
      </c>
      <c r="AG7039">
        <v>-1.1221769197039999</v>
      </c>
      <c r="AH7039">
        <v>11.5595612535257</v>
      </c>
      <c r="AI7039">
        <v>95.539757982938298</v>
      </c>
      <c r="AJ7039">
        <v>87.555005588091305</v>
      </c>
      <c r="AK7039">
        <v>11.6243865098843</v>
      </c>
      <c r="AL7039">
        <v>82.187177279376797</v>
      </c>
      <c r="AM7039">
        <v>87.519004908332306</v>
      </c>
      <c r="AN7039">
        <v>1.00000002128586</v>
      </c>
    </row>
    <row r="7040" spans="1:40" x14ac:dyDescent="0.25">
      <c r="A7040" t="str">
        <f>"20190303162441242"</f>
        <v>20190303162441242</v>
      </c>
      <c r="B7040" t="str">
        <f>"1551601481232659"</f>
        <v>1551601481232659</v>
      </c>
      <c r="C7040" t="s">
        <v>40</v>
      </c>
      <c r="D7040">
        <v>5.6962409999999997</v>
      </c>
      <c r="E7040">
        <v>0.51308209999999999</v>
      </c>
      <c r="F7040" t="s">
        <v>41</v>
      </c>
      <c r="G7040">
        <v>-141.34729999999999</v>
      </c>
      <c r="H7040" s="1">
        <v>-3.9329650000000004E-6</v>
      </c>
      <c r="I7040">
        <v>138.27070000000001</v>
      </c>
      <c r="J7040">
        <v>-152.82220000000001</v>
      </c>
      <c r="K7040">
        <v>1.1221239999999999</v>
      </c>
      <c r="L7040">
        <v>138.58760000000001</v>
      </c>
      <c r="M7040">
        <v>0.99893690000000002</v>
      </c>
      <c r="N7040">
        <v>-2.4446200000000001E-2</v>
      </c>
      <c r="O7040">
        <v>3.9086299999999997E-2</v>
      </c>
      <c r="P7040">
        <v>0.99354339999999997</v>
      </c>
      <c r="Q7040">
        <v>0.1133945</v>
      </c>
      <c r="R7040">
        <v>-3.6782120000000001E-3</v>
      </c>
      <c r="S7040">
        <v>3.0517430000000001</v>
      </c>
      <c r="T7040">
        <v>-0.29540850000000002</v>
      </c>
      <c r="U7040">
        <v>-8.236694E-2</v>
      </c>
      <c r="V7040">
        <v>4.2635659999999999E-2</v>
      </c>
      <c r="W7040">
        <v>0.13759109999999999</v>
      </c>
      <c r="X7040">
        <v>0.98957110000000004</v>
      </c>
      <c r="Y7040">
        <v>6.5557459999999998E-2</v>
      </c>
      <c r="Z7040">
        <v>-6.7888779999999999E-3</v>
      </c>
      <c r="AA7040">
        <v>0.99782570000000004</v>
      </c>
      <c r="AB7040">
        <v>12</v>
      </c>
      <c r="AC7040">
        <v>11.4749</v>
      </c>
      <c r="AD7040">
        <v>-1.12212793296499</v>
      </c>
      <c r="AE7040">
        <v>-0.31690000000000401</v>
      </c>
      <c r="AF7040">
        <v>0.75805941437651403</v>
      </c>
      <c r="AG7040">
        <v>-1.12212793296499</v>
      </c>
      <c r="AH7040">
        <v>11.3453250775357</v>
      </c>
      <c r="AI7040">
        <v>95.636075597090397</v>
      </c>
      <c r="AJ7040">
        <v>86.177355787611106</v>
      </c>
      <c r="AK7040">
        <v>11.4258577922459</v>
      </c>
      <c r="AL7040">
        <v>82.091522822083306</v>
      </c>
      <c r="AM7040">
        <v>87.532937761844394</v>
      </c>
      <c r="AN7040">
        <v>1.00000003612902</v>
      </c>
    </row>
    <row r="7041" spans="1:40" x14ac:dyDescent="0.25">
      <c r="A7041" t="str">
        <f>"20190303162441311"</f>
        <v>20190303162441311</v>
      </c>
      <c r="B7041" t="str">
        <f>"1551601481301956"</f>
        <v>1551601481301956</v>
      </c>
      <c r="C7041" t="s">
        <v>40</v>
      </c>
      <c r="D7041">
        <v>5.4339069999999996</v>
      </c>
      <c r="E7041">
        <v>0.51735050000000005</v>
      </c>
      <c r="F7041" t="s">
        <v>41</v>
      </c>
      <c r="G7041">
        <v>-141.10640000000001</v>
      </c>
      <c r="H7041" s="1">
        <v>-4.0507580000000004E-6</v>
      </c>
      <c r="I7041">
        <v>138.1893</v>
      </c>
      <c r="J7041">
        <v>-152.48609999999999</v>
      </c>
      <c r="K7041">
        <v>1.12287</v>
      </c>
      <c r="L7041">
        <v>138.59809999999999</v>
      </c>
      <c r="M7041">
        <v>0.99894050000000001</v>
      </c>
      <c r="N7041">
        <v>-2.718841E-2</v>
      </c>
      <c r="O7041">
        <v>3.7133239999999998E-2</v>
      </c>
      <c r="P7041">
        <v>0.9936159</v>
      </c>
      <c r="Q7041">
        <v>0.1128144</v>
      </c>
      <c r="R7041">
        <v>6.5203570000000005E-4</v>
      </c>
      <c r="S7041">
        <v>3.0524749999999998</v>
      </c>
      <c r="T7041">
        <v>-0.2923617</v>
      </c>
      <c r="U7041">
        <v>-0.1037598</v>
      </c>
      <c r="V7041">
        <v>3.6358439999999999E-2</v>
      </c>
      <c r="W7041">
        <v>0.13974400000000001</v>
      </c>
      <c r="X7041">
        <v>0.98951999999999996</v>
      </c>
      <c r="Y7041">
        <v>7.0572679999999999E-2</v>
      </c>
      <c r="Z7041">
        <v>-6.8731620000000004E-3</v>
      </c>
      <c r="AA7041">
        <v>0.99748300000000001</v>
      </c>
      <c r="AB7041">
        <v>11</v>
      </c>
      <c r="AC7041">
        <v>11.3796999999999</v>
      </c>
      <c r="AD7041">
        <v>-1.122874050758</v>
      </c>
      <c r="AE7041">
        <v>-0.40879999999998501</v>
      </c>
      <c r="AF7041">
        <v>0.82323416274626604</v>
      </c>
      <c r="AG7041">
        <v>-1.122874050758</v>
      </c>
      <c r="AH7041">
        <v>11.2472926807808</v>
      </c>
      <c r="AI7041">
        <v>95.686124851829803</v>
      </c>
      <c r="AJ7041">
        <v>85.813758702477401</v>
      </c>
      <c r="AK7041">
        <v>11.333144015132</v>
      </c>
      <c r="AL7041">
        <v>81.966967708377894</v>
      </c>
      <c r="AM7041">
        <v>87.895698492652201</v>
      </c>
      <c r="AN7041">
        <v>1.00000007604761</v>
      </c>
    </row>
    <row r="7042" spans="1:40" x14ac:dyDescent="0.25">
      <c r="A7042" t="str">
        <f>"20190303162441334"</f>
        <v>20190303162441334</v>
      </c>
      <c r="B7042" t="str">
        <f>"1551601481321476"</f>
        <v>1551601481321476</v>
      </c>
      <c r="C7042" t="s">
        <v>40</v>
      </c>
      <c r="D7042">
        <v>5.6470690000000001</v>
      </c>
      <c r="E7042">
        <v>0.51730229999999999</v>
      </c>
      <c r="F7042" t="s">
        <v>42</v>
      </c>
      <c r="G7042">
        <v>-151.69540000000001</v>
      </c>
      <c r="H7042">
        <v>1.0453170000000001</v>
      </c>
      <c r="I7042">
        <v>138.5658</v>
      </c>
      <c r="J7042">
        <v>-152.38220000000001</v>
      </c>
      <c r="K7042">
        <v>1.1228469999999999</v>
      </c>
      <c r="L7042">
        <v>138.6011</v>
      </c>
      <c r="M7042">
        <v>0.99895809999999996</v>
      </c>
      <c r="N7042">
        <v>-2.7631699999999999E-2</v>
      </c>
      <c r="O7042">
        <v>3.6322590000000002E-2</v>
      </c>
      <c r="P7042">
        <v>0.9937338</v>
      </c>
      <c r="Q7042">
        <v>0.1117533</v>
      </c>
      <c r="R7042">
        <v>2.1606730000000001E-3</v>
      </c>
      <c r="S7042">
        <v>3.0533450000000002</v>
      </c>
      <c r="T7042">
        <v>-0.29945240000000001</v>
      </c>
      <c r="U7042">
        <v>-0.1249237</v>
      </c>
      <c r="V7042">
        <v>3.4063419999999997E-2</v>
      </c>
      <c r="W7042">
        <v>0.1391249</v>
      </c>
      <c r="X7042">
        <v>0.98968880000000004</v>
      </c>
      <c r="Y7042">
        <v>7.6597849999999995E-2</v>
      </c>
      <c r="Z7042">
        <v>-7.3583939999999999E-3</v>
      </c>
      <c r="AA7042">
        <v>0.99703489999999995</v>
      </c>
      <c r="AB7042">
        <v>10</v>
      </c>
      <c r="AC7042">
        <v>0.68680000000000496</v>
      </c>
      <c r="AD7042">
        <v>-7.7529999999999794E-2</v>
      </c>
      <c r="AE7042">
        <v>-3.53000000000065E-2</v>
      </c>
      <c r="AF7042">
        <v>5.9476643742967197E-2</v>
      </c>
      <c r="AG7042">
        <v>-7.7529999999999794E-2</v>
      </c>
      <c r="AH7042">
        <v>0.67646612855810395</v>
      </c>
      <c r="AI7042">
        <v>96.513250536841397</v>
      </c>
      <c r="AJ7042">
        <v>84.975328499468404</v>
      </c>
      <c r="AK7042">
        <v>0.68348723114431098</v>
      </c>
      <c r="AL7042">
        <v>82.0027887432596</v>
      </c>
      <c r="AM7042">
        <v>88.028754009898407</v>
      </c>
      <c r="AN7042">
        <v>0.99999998761377296</v>
      </c>
    </row>
    <row r="7043" spans="1:40" x14ac:dyDescent="0.25">
      <c r="A7043" t="str">
        <f>"20190303162441401"</f>
        <v>20190303162441401</v>
      </c>
      <c r="B7043" t="str">
        <f>"1551601481391747"</f>
        <v>1551601481391747</v>
      </c>
      <c r="C7043" t="s">
        <v>40</v>
      </c>
      <c r="D7043">
        <v>5.4870289999999997</v>
      </c>
      <c r="E7043">
        <v>0.51879649999999999</v>
      </c>
      <c r="F7043" t="s">
        <v>42</v>
      </c>
      <c r="G7043">
        <v>-151.6036</v>
      </c>
      <c r="H7043">
        <v>1.04532</v>
      </c>
      <c r="I7043">
        <v>138.57060000000001</v>
      </c>
      <c r="J7043">
        <v>-152.08930000000001</v>
      </c>
      <c r="K7043">
        <v>1.122096</v>
      </c>
      <c r="L7043">
        <v>138.608</v>
      </c>
      <c r="M7043">
        <v>0.99910429999999995</v>
      </c>
      <c r="N7043">
        <v>-2.5922779999999999E-2</v>
      </c>
      <c r="O7043">
        <v>3.3443540000000001E-2</v>
      </c>
      <c r="P7043">
        <v>0.99353029999999998</v>
      </c>
      <c r="Q7043">
        <v>0.1135675</v>
      </c>
      <c r="R7043">
        <v>2.5832049999999999E-4</v>
      </c>
      <c r="S7043">
        <v>3.053391</v>
      </c>
      <c r="T7043">
        <v>-0.30403859999999999</v>
      </c>
      <c r="U7043">
        <v>-0.1190491</v>
      </c>
      <c r="V7043">
        <v>3.31481E-2</v>
      </c>
      <c r="W7043">
        <v>0.1392302</v>
      </c>
      <c r="X7043">
        <v>0.9897051</v>
      </c>
      <c r="Y7043">
        <v>7.1829069999999995E-2</v>
      </c>
      <c r="Z7043">
        <v>-6.955953E-3</v>
      </c>
      <c r="AA7043">
        <v>0.99739270000000002</v>
      </c>
      <c r="AB7043">
        <v>10</v>
      </c>
      <c r="AC7043">
        <v>0.48570000000000801</v>
      </c>
      <c r="AD7043">
        <v>-7.67759999999999E-2</v>
      </c>
      <c r="AE7043">
        <v>-3.7399999999991003E-2</v>
      </c>
      <c r="AF7043">
        <v>5.2328233265795498E-2</v>
      </c>
      <c r="AG7043">
        <v>-7.67759999999999E-2</v>
      </c>
      <c r="AH7043">
        <v>0.4724415794772</v>
      </c>
      <c r="AI7043">
        <v>99.175240918647901</v>
      </c>
      <c r="AJ7043">
        <v>83.679608518734199</v>
      </c>
      <c r="AK7043">
        <v>0.48149127114791102</v>
      </c>
      <c r="AL7043">
        <v>81.996696422577699</v>
      </c>
      <c r="AM7043">
        <v>88.081714915892903</v>
      </c>
      <c r="AN7043">
        <v>1.0000000150458199</v>
      </c>
    </row>
    <row r="7044" spans="1:40" x14ac:dyDescent="0.25">
      <c r="A7044" t="str">
        <f>"20190303162441422"</f>
        <v>20190303162441422</v>
      </c>
      <c r="B7044" t="str">
        <f>"1551601481411267"</f>
        <v>1551601481411267</v>
      </c>
      <c r="C7044" t="s">
        <v>40</v>
      </c>
      <c r="D7044">
        <v>5.5057130000000001</v>
      </c>
      <c r="E7044">
        <v>0.51933589999999996</v>
      </c>
      <c r="F7044" t="s">
        <v>41</v>
      </c>
      <c r="G7044">
        <v>-140.7576</v>
      </c>
      <c r="H7044" s="1">
        <v>-4.2153790000000004E-6</v>
      </c>
      <c r="I7044">
        <v>138.10470000000001</v>
      </c>
      <c r="J7044">
        <v>-151.9941</v>
      </c>
      <c r="K7044">
        <v>1.1220460000000001</v>
      </c>
      <c r="L7044">
        <v>138.60980000000001</v>
      </c>
      <c r="M7044">
        <v>0.99914919999999996</v>
      </c>
      <c r="N7044">
        <v>-2.5487409999999999E-2</v>
      </c>
      <c r="O7044">
        <v>3.2420289999999997E-2</v>
      </c>
      <c r="P7044">
        <v>0.99351659999999997</v>
      </c>
      <c r="Q7044">
        <v>0.11366900000000001</v>
      </c>
      <c r="R7044">
        <v>-2.0094560000000002E-3</v>
      </c>
      <c r="S7044">
        <v>3.054138</v>
      </c>
      <c r="T7044">
        <v>-0.30242940000000001</v>
      </c>
      <c r="U7044">
        <v>-0.13563539999999999</v>
      </c>
      <c r="V7044">
        <v>3.4384489999999997E-2</v>
      </c>
      <c r="W7044">
        <v>0.1389011</v>
      </c>
      <c r="X7044">
        <v>0.98970910000000001</v>
      </c>
      <c r="Y7044">
        <v>7.6186550000000006E-2</v>
      </c>
      <c r="Z7044">
        <v>-7.1121759999999996E-3</v>
      </c>
      <c r="AA7044">
        <v>0.99706819999999896</v>
      </c>
      <c r="AB7044">
        <v>10</v>
      </c>
      <c r="AC7044">
        <v>11.236499999999999</v>
      </c>
      <c r="AD7044">
        <v>-1.122050215379</v>
      </c>
      <c r="AE7044">
        <v>-0.505099999999998</v>
      </c>
      <c r="AF7044">
        <v>0.86067832677456002</v>
      </c>
      <c r="AG7044">
        <v>-1.122050215379</v>
      </c>
      <c r="AH7044">
        <v>11.103710712915101</v>
      </c>
      <c r="AI7044">
        <v>95.753114453733303</v>
      </c>
      <c r="AJ7044">
        <v>85.5677133602494</v>
      </c>
      <c r="AK7044">
        <v>11.193397851596201</v>
      </c>
      <c r="AL7044">
        <v>82.015737005173193</v>
      </c>
      <c r="AM7044">
        <v>88.0102293746246</v>
      </c>
      <c r="AN7044">
        <v>0.99999995567828903</v>
      </c>
    </row>
    <row r="7045" spans="1:40" x14ac:dyDescent="0.25">
      <c r="A7045" t="str">
        <f>"20190303162441444"</f>
        <v>20190303162441444</v>
      </c>
      <c r="B7045" t="str">
        <f>"1551601481431763"</f>
        <v>1551601481431763</v>
      </c>
      <c r="C7045" t="s">
        <v>40</v>
      </c>
      <c r="D7045">
        <v>5.5661350000000001</v>
      </c>
      <c r="E7045">
        <v>0.5196385</v>
      </c>
      <c r="F7045" t="s">
        <v>41</v>
      </c>
      <c r="G7045">
        <v>-140.68010000000001</v>
      </c>
      <c r="H7045" s="1">
        <v>-4.2558830000000004E-6</v>
      </c>
      <c r="I7045">
        <v>138.06370000000001</v>
      </c>
      <c r="J7045">
        <v>-151.90039999999999</v>
      </c>
      <c r="K7045">
        <v>1.1220619999999999</v>
      </c>
      <c r="L7045">
        <v>138.61150000000001</v>
      </c>
      <c r="M7045">
        <v>0.99919219999999997</v>
      </c>
      <c r="N7045">
        <v>-2.5123510000000002E-2</v>
      </c>
      <c r="O7045">
        <v>3.136365E-2</v>
      </c>
      <c r="P7045">
        <v>0.99362890000000004</v>
      </c>
      <c r="Q7045">
        <v>0.11260249999999999</v>
      </c>
      <c r="R7045">
        <v>-4.7286120000000001E-3</v>
      </c>
      <c r="S7045">
        <v>3.053909</v>
      </c>
      <c r="T7045">
        <v>-0.30286649999999998</v>
      </c>
      <c r="U7045">
        <v>-0.1473846</v>
      </c>
      <c r="V7045">
        <v>3.6030300000000001E-2</v>
      </c>
      <c r="W7045">
        <v>0.13748050000000001</v>
      </c>
      <c r="X7045">
        <v>0.98984890000000003</v>
      </c>
      <c r="Y7045">
        <v>7.8947539999999997E-2</v>
      </c>
      <c r="Z7045">
        <v>-7.2135009999999998E-3</v>
      </c>
      <c r="AA7045">
        <v>0.99685270000000004</v>
      </c>
      <c r="AB7045">
        <v>10</v>
      </c>
      <c r="AC7045">
        <v>11.2202999999999</v>
      </c>
      <c r="AD7045">
        <v>-1.1220662558829999</v>
      </c>
      <c r="AE7045">
        <v>-0.54779999999999496</v>
      </c>
      <c r="AF7045">
        <v>0.89066497884471396</v>
      </c>
      <c r="AG7045">
        <v>-1.1220662558829999</v>
      </c>
      <c r="AH7045">
        <v>11.0869768625529</v>
      </c>
      <c r="AI7045">
        <v>95.760554737759804</v>
      </c>
      <c r="AJ7045">
        <v>85.407044744898997</v>
      </c>
      <c r="AK7045">
        <v>11.179149016714801</v>
      </c>
      <c r="AL7045">
        <v>82.097919909434907</v>
      </c>
      <c r="AM7045">
        <v>87.915365550548202</v>
      </c>
      <c r="AN7045">
        <v>0.999999957614774</v>
      </c>
    </row>
    <row r="7046" spans="1:40" x14ac:dyDescent="0.25">
      <c r="A7046" t="str">
        <f>"20190303162441467"</f>
        <v>20190303162441467</v>
      </c>
      <c r="B7046" t="str">
        <f>"1551601481462021"</f>
        <v>1551601481462021</v>
      </c>
      <c r="C7046" t="s">
        <v>40</v>
      </c>
      <c r="D7046">
        <v>5.45214</v>
      </c>
      <c r="E7046">
        <v>0.51987129999999904</v>
      </c>
      <c r="F7046" t="s">
        <v>42</v>
      </c>
      <c r="G7046">
        <v>-151.08869999999999</v>
      </c>
      <c r="H7046">
        <v>1.0408539999999999</v>
      </c>
      <c r="I7046">
        <v>138.56909999999999</v>
      </c>
      <c r="J7046">
        <v>-151.80260000000001</v>
      </c>
      <c r="K7046">
        <v>1.12207099999999</v>
      </c>
      <c r="L7046">
        <v>138.61330000000001</v>
      </c>
      <c r="M7046">
        <v>0.99923830000000002</v>
      </c>
      <c r="N7046">
        <v>-2.466546E-2</v>
      </c>
      <c r="O7046">
        <v>3.0242129999999999E-2</v>
      </c>
      <c r="P7046">
        <v>0.99368290000000004</v>
      </c>
      <c r="Q7046">
        <v>0.1120076</v>
      </c>
      <c r="R7046">
        <v>-6.9725890000000004E-3</v>
      </c>
      <c r="S7046">
        <v>3.0530849999999998</v>
      </c>
      <c r="T7046">
        <v>-0.3054653</v>
      </c>
      <c r="U7046">
        <v>-0.1592712</v>
      </c>
      <c r="V7046">
        <v>3.7135620000000001E-2</v>
      </c>
      <c r="W7046">
        <v>0.13643759999999999</v>
      </c>
      <c r="X7046">
        <v>0.98995239999999995</v>
      </c>
      <c r="Y7046">
        <v>8.1689460000000005E-2</v>
      </c>
      <c r="Z7046">
        <v>-7.3574199999999999E-3</v>
      </c>
      <c r="AA7046">
        <v>0.99663069999999998</v>
      </c>
      <c r="AB7046">
        <v>9</v>
      </c>
      <c r="AC7046">
        <v>0.71390000000002296</v>
      </c>
      <c r="AD7046">
        <v>-8.1216999999999595E-2</v>
      </c>
      <c r="AE7046">
        <v>-4.4200000000017697E-2</v>
      </c>
      <c r="AF7046">
        <v>6.4938931652395795E-2</v>
      </c>
      <c r="AG7046">
        <v>-8.1216999999999595E-2</v>
      </c>
      <c r="AH7046">
        <v>0.703170109669921</v>
      </c>
      <c r="AI7046">
        <v>96.560863405498594</v>
      </c>
      <c r="AJ7046">
        <v>84.723605788468504</v>
      </c>
      <c r="AK7046">
        <v>0.710817465363902</v>
      </c>
      <c r="AL7046">
        <v>82.158242558948899</v>
      </c>
      <c r="AM7046">
        <v>87.851697612262498</v>
      </c>
      <c r="AN7046">
        <v>1.00000001361615</v>
      </c>
    </row>
    <row r="7047" spans="1:40" x14ac:dyDescent="0.25">
      <c r="A7047" t="str">
        <f>"20190303162441554"</f>
        <v>20190303162441554</v>
      </c>
      <c r="B7047" t="str">
        <f>"1551601481542051"</f>
        <v>1551601481542051</v>
      </c>
      <c r="C7047" t="s">
        <v>40</v>
      </c>
      <c r="D7047">
        <v>5.3734789999999997</v>
      </c>
      <c r="E7047">
        <v>0.51986589999999999</v>
      </c>
      <c r="F7047" t="s">
        <v>42</v>
      </c>
      <c r="G7047">
        <v>-151.006</v>
      </c>
      <c r="H7047">
        <v>1.042033</v>
      </c>
      <c r="I7047">
        <v>138.56909999999999</v>
      </c>
      <c r="J7047">
        <v>-151.45599999999999</v>
      </c>
      <c r="K7047">
        <v>1.1220559999999999</v>
      </c>
      <c r="L7047">
        <v>138.6189</v>
      </c>
      <c r="M7047">
        <v>0.99937770000000004</v>
      </c>
      <c r="N7047">
        <v>-2.314971E-2</v>
      </c>
      <c r="O7047">
        <v>2.6614410000000002E-2</v>
      </c>
      <c r="P7047">
        <v>0.99289609999999995</v>
      </c>
      <c r="Q7047">
        <v>0.118677</v>
      </c>
      <c r="R7047">
        <v>-8.5435770000000001E-3</v>
      </c>
      <c r="S7047">
        <v>3.0524749999999998</v>
      </c>
      <c r="T7047">
        <v>-0.30668390000000001</v>
      </c>
      <c r="U7047">
        <v>-0.1692352</v>
      </c>
      <c r="V7047">
        <v>3.5048320000000001E-2</v>
      </c>
      <c r="W7047">
        <v>0.14159840000000001</v>
      </c>
      <c r="X7047">
        <v>0.9893035</v>
      </c>
      <c r="Y7047">
        <v>8.1335760000000007E-2</v>
      </c>
      <c r="Z7047">
        <v>-7.0687569999999898E-3</v>
      </c>
      <c r="AA7047">
        <v>0.99666169999999998</v>
      </c>
      <c r="AB7047">
        <v>9</v>
      </c>
      <c r="AC7047">
        <v>0.450000000000017</v>
      </c>
      <c r="AD7047">
        <v>-8.00229999999999E-2</v>
      </c>
      <c r="AE7047">
        <v>-4.9800000000004702E-2</v>
      </c>
      <c r="AF7047">
        <v>5.9891019038221999E-2</v>
      </c>
      <c r="AG7047">
        <v>-8.00229999999999E-2</v>
      </c>
      <c r="AH7047">
        <v>0.43492740683403602</v>
      </c>
      <c r="AI7047">
        <v>100.329992084445</v>
      </c>
      <c r="AJ7047">
        <v>82.159481385505799</v>
      </c>
      <c r="AK7047">
        <v>0.44626501532812901</v>
      </c>
      <c r="AL7047">
        <v>81.859650286301303</v>
      </c>
      <c r="AM7047">
        <v>87.971015646737001</v>
      </c>
      <c r="AN7047">
        <v>0.99999995336481495</v>
      </c>
    </row>
    <row r="7048" spans="1:40" x14ac:dyDescent="0.25">
      <c r="A7048" t="str">
        <f>"20190303162441578"</f>
        <v>20190303162441578</v>
      </c>
      <c r="B7048" t="str">
        <f>"1551601481572307"</f>
        <v>1551601481572307</v>
      </c>
      <c r="C7048" t="s">
        <v>40</v>
      </c>
      <c r="D7048">
        <v>5.3370360000000003</v>
      </c>
      <c r="E7048">
        <v>0.52164659999999996</v>
      </c>
      <c r="F7048" t="s">
        <v>42</v>
      </c>
      <c r="G7048">
        <v>-150.67779999999999</v>
      </c>
      <c r="H7048">
        <v>1.04863</v>
      </c>
      <c r="I7048">
        <v>138.5745</v>
      </c>
      <c r="J7048">
        <v>-151.37039999999999</v>
      </c>
      <c r="K7048">
        <v>1.122061</v>
      </c>
      <c r="L7048">
        <v>138.62010000000001</v>
      </c>
      <c r="M7048">
        <v>0.9994073</v>
      </c>
      <c r="N7048">
        <v>-2.286237E-2</v>
      </c>
      <c r="O7048">
        <v>2.5741070000000001E-2</v>
      </c>
      <c r="P7048">
        <v>0.99297429999999998</v>
      </c>
      <c r="Q7048">
        <v>0.1179938</v>
      </c>
      <c r="R7048">
        <v>-8.9250409999999999E-3</v>
      </c>
      <c r="S7048">
        <v>3.0544280000000001</v>
      </c>
      <c r="T7048">
        <v>-0.28827700000000001</v>
      </c>
      <c r="U7048">
        <v>-0.1740112</v>
      </c>
      <c r="V7048">
        <v>3.4558180000000001E-2</v>
      </c>
      <c r="W7048">
        <v>0.14063490000000001</v>
      </c>
      <c r="X7048">
        <v>0.98945819999999995</v>
      </c>
      <c r="Y7048">
        <v>8.2047449999999994E-2</v>
      </c>
      <c r="Z7048">
        <v>-6.6367789999999998E-3</v>
      </c>
      <c r="AA7048">
        <v>0.99660629999999994</v>
      </c>
      <c r="AB7048">
        <v>9</v>
      </c>
      <c r="AC7048">
        <v>0.692599999999998</v>
      </c>
      <c r="AD7048">
        <v>-7.3430999999999996E-2</v>
      </c>
      <c r="AE7048">
        <v>-4.5600000000007399E-2</v>
      </c>
      <c r="AF7048">
        <v>6.2715877740702905E-2</v>
      </c>
      <c r="AG7048">
        <v>-7.3430999999999996E-2</v>
      </c>
      <c r="AH7048">
        <v>0.683545901485616</v>
      </c>
      <c r="AI7048">
        <v>96.106122361870803</v>
      </c>
      <c r="AJ7048">
        <v>84.7577441147168</v>
      </c>
      <c r="AK7048">
        <v>0.69033353715401202</v>
      </c>
      <c r="AL7048">
        <v>81.915413059008401</v>
      </c>
      <c r="AM7048">
        <v>87.999679690060901</v>
      </c>
      <c r="AN7048">
        <v>0.99999998622508102</v>
      </c>
    </row>
    <row r="7049" spans="1:40" x14ac:dyDescent="0.25">
      <c r="A7049" t="str">
        <f>"20190303162441599"</f>
        <v>20190303162441599</v>
      </c>
      <c r="B7049" t="str">
        <f>"1551601481591827"</f>
        <v>1551601481591827</v>
      </c>
      <c r="C7049" t="s">
        <v>40</v>
      </c>
      <c r="D7049">
        <v>5.3795219999999997</v>
      </c>
      <c r="E7049">
        <v>0.5218988</v>
      </c>
      <c r="F7049" t="s">
        <v>42</v>
      </c>
      <c r="G7049">
        <v>-150.68180000000001</v>
      </c>
      <c r="H7049">
        <v>0.91783599999999999</v>
      </c>
      <c r="I7049">
        <v>138.58070000000001</v>
      </c>
      <c r="J7049">
        <v>-151.28919999999999</v>
      </c>
      <c r="K7049">
        <v>1.122066</v>
      </c>
      <c r="L7049">
        <v>138.62119999999999</v>
      </c>
      <c r="M7049">
        <v>0.9994345</v>
      </c>
      <c r="N7049">
        <v>-2.259713E-2</v>
      </c>
      <c r="O7049">
        <v>2.4904119999999998E-2</v>
      </c>
      <c r="P7049">
        <v>0.99287919999999996</v>
      </c>
      <c r="Q7049">
        <v>0.1186461</v>
      </c>
      <c r="R7049">
        <v>-1.069093E-2</v>
      </c>
      <c r="S7049">
        <v>3.1299290000000002</v>
      </c>
      <c r="T7049">
        <v>-0.92819050000000003</v>
      </c>
      <c r="U7049">
        <v>-0.17831420000000001</v>
      </c>
      <c r="V7049">
        <v>3.5485530000000001E-2</v>
      </c>
      <c r="W7049">
        <v>0.14102239999999999</v>
      </c>
      <c r="X7049">
        <v>0.98937019999999998</v>
      </c>
      <c r="Y7049">
        <v>7.723903E-2</v>
      </c>
      <c r="Z7049">
        <v>-1.8769790000000001E-2</v>
      </c>
      <c r="AA7049">
        <v>0.9968359</v>
      </c>
      <c r="AB7049">
        <v>9</v>
      </c>
      <c r="AC7049">
        <v>0.60739999999998395</v>
      </c>
      <c r="AD7049">
        <v>-0.204229999999999</v>
      </c>
      <c r="AE7049">
        <v>-4.0499999999980198E-2</v>
      </c>
      <c r="AF7049">
        <v>4.9991309203759299E-2</v>
      </c>
      <c r="AG7049">
        <v>-0.204229999999999</v>
      </c>
      <c r="AH7049">
        <v>0.54487454694637905</v>
      </c>
      <c r="AI7049">
        <v>110.468216742412</v>
      </c>
      <c r="AJ7049">
        <v>84.757886133620005</v>
      </c>
      <c r="AK7049">
        <v>0.58403535492804504</v>
      </c>
      <c r="AL7049">
        <v>81.892987288180393</v>
      </c>
      <c r="AM7049">
        <v>87.945865022569805</v>
      </c>
      <c r="AN7049">
        <v>0.99999996639458899</v>
      </c>
    </row>
    <row r="7050" spans="1:40" x14ac:dyDescent="0.25">
      <c r="A7050" t="str">
        <f>"20190303162441621"</f>
        <v>20190303162441621</v>
      </c>
      <c r="B7050" t="str">
        <f>"1551601481612324"</f>
        <v>1551601481612324</v>
      </c>
      <c r="C7050" t="s">
        <v>40</v>
      </c>
      <c r="D7050">
        <v>5.3907809999999996</v>
      </c>
      <c r="E7050">
        <v>0.5219876</v>
      </c>
      <c r="F7050" t="s">
        <v>42</v>
      </c>
      <c r="G7050">
        <v>-150.60929999999999</v>
      </c>
      <c r="H7050">
        <v>0.91539839999999995</v>
      </c>
      <c r="I7050">
        <v>138.58109999999999</v>
      </c>
      <c r="J7050">
        <v>-151.20959999999999</v>
      </c>
      <c r="K7050">
        <v>1.1220669999999999</v>
      </c>
      <c r="L7050">
        <v>138.62209999999999</v>
      </c>
      <c r="M7050">
        <v>0.99946000000000002</v>
      </c>
      <c r="N7050">
        <v>-2.2356250000000001E-2</v>
      </c>
      <c r="O7050">
        <v>2.4082369999999999E-2</v>
      </c>
      <c r="P7050">
        <v>0.99280380000000001</v>
      </c>
      <c r="Q7050">
        <v>0.11908920000000001</v>
      </c>
      <c r="R7050">
        <v>-1.259045E-2</v>
      </c>
      <c r="S7050">
        <v>3.1333310000000001</v>
      </c>
      <c r="T7050">
        <v>-0.95233069999999997</v>
      </c>
      <c r="U7050">
        <v>-0.18412780000000001</v>
      </c>
      <c r="V7050">
        <v>3.6562820000000003E-2</v>
      </c>
      <c r="W7050">
        <v>0.14122589999999999</v>
      </c>
      <c r="X7050">
        <v>0.98930200000000001</v>
      </c>
      <c r="Y7050">
        <v>7.7979770000000004E-2</v>
      </c>
      <c r="Z7050">
        <v>-1.909835E-2</v>
      </c>
      <c r="AA7050">
        <v>0.99677199999999999</v>
      </c>
      <c r="AB7050">
        <v>8</v>
      </c>
      <c r="AC7050">
        <v>0.60030000000000405</v>
      </c>
      <c r="AD7050">
        <v>-0.20666859999999901</v>
      </c>
      <c r="AE7050">
        <v>-4.0999999999996803E-2</v>
      </c>
      <c r="AF7050">
        <v>4.9597127049218002E-2</v>
      </c>
      <c r="AG7050">
        <v>-0.20666859999999901</v>
      </c>
      <c r="AH7050">
        <v>0.53591361329653298</v>
      </c>
      <c r="AI7050">
        <v>111.00663729588901</v>
      </c>
      <c r="AJ7050">
        <v>84.712516296118594</v>
      </c>
      <c r="AK7050">
        <v>0.57651989224487499</v>
      </c>
      <c r="AL7050">
        <v>81.881210171349196</v>
      </c>
      <c r="AM7050">
        <v>87.883414526300996</v>
      </c>
      <c r="AN7050">
        <v>1.0000000209205799</v>
      </c>
    </row>
    <row r="7051" spans="1:40" x14ac:dyDescent="0.25">
      <c r="A7051" t="str">
        <f>"20190303162441645"</f>
        <v>20190303162441645</v>
      </c>
      <c r="B7051" t="str">
        <f>"1551601481641603"</f>
        <v>1551601481641603</v>
      </c>
      <c r="C7051" t="s">
        <v>40</v>
      </c>
      <c r="D7051">
        <v>5.3797870000000003</v>
      </c>
      <c r="E7051">
        <v>0.52246519999999996</v>
      </c>
      <c r="F7051" t="s">
        <v>42</v>
      </c>
      <c r="G7051">
        <v>-150.53649999999999</v>
      </c>
      <c r="H7051">
        <v>0.91632800000000003</v>
      </c>
      <c r="I7051">
        <v>138.5812</v>
      </c>
      <c r="J7051">
        <v>-151.12790000000001</v>
      </c>
      <c r="K7051">
        <v>1.122082</v>
      </c>
      <c r="L7051">
        <v>138.62309999999999</v>
      </c>
      <c r="M7051">
        <v>0.99948409999999999</v>
      </c>
      <c r="N7051">
        <v>-2.2167989999999999E-2</v>
      </c>
      <c r="O7051">
        <v>2.3243739999999999E-2</v>
      </c>
      <c r="P7051">
        <v>0.99282599999999999</v>
      </c>
      <c r="Q7051">
        <v>0.1187351</v>
      </c>
      <c r="R7051">
        <v>-1.4089529999999999E-2</v>
      </c>
      <c r="S7051">
        <v>3.1342469999999998</v>
      </c>
      <c r="T7051">
        <v>-0.95789329999999995</v>
      </c>
      <c r="U7051">
        <v>-0.1898804</v>
      </c>
      <c r="V7051">
        <v>3.7225630000000003E-2</v>
      </c>
      <c r="W7051">
        <v>0.1406868</v>
      </c>
      <c r="X7051">
        <v>0.98935410000000001</v>
      </c>
      <c r="Y7051">
        <v>7.8888570000000005E-2</v>
      </c>
      <c r="Z7051">
        <v>-1.910792E-2</v>
      </c>
      <c r="AA7051">
        <v>0.99670029999999998</v>
      </c>
      <c r="AB7051">
        <v>8</v>
      </c>
      <c r="AC7051">
        <v>0.59140000000002102</v>
      </c>
      <c r="AD7051">
        <v>-0.20575399999999999</v>
      </c>
      <c r="AE7051">
        <v>-4.1899999999998203E-2</v>
      </c>
      <c r="AF7051">
        <v>4.9657773559726497E-2</v>
      </c>
      <c r="AG7051">
        <v>-0.20575399999999999</v>
      </c>
      <c r="AH7051">
        <v>0.52681771833138702</v>
      </c>
      <c r="AI7051">
        <v>111.247901342144</v>
      </c>
      <c r="AJ7051">
        <v>84.615217031855494</v>
      </c>
      <c r="AK7051">
        <v>0.56774775326618199</v>
      </c>
      <c r="AL7051">
        <v>81.912409896537696</v>
      </c>
      <c r="AM7051">
        <v>87.845194335301997</v>
      </c>
      <c r="AN7051">
        <v>1.00000002920497</v>
      </c>
    </row>
    <row r="7052" spans="1:40" x14ac:dyDescent="0.25">
      <c r="A7052" t="str">
        <f>"20190303162441666"</f>
        <v>20190303162441666</v>
      </c>
      <c r="B7052" t="str">
        <f>"1551601481662100"</f>
        <v>1551601481662100</v>
      </c>
      <c r="C7052" t="s">
        <v>40</v>
      </c>
      <c r="D7052">
        <v>5.3527659999999999</v>
      </c>
      <c r="E7052">
        <v>0.5230032</v>
      </c>
      <c r="F7052" t="s">
        <v>42</v>
      </c>
      <c r="G7052">
        <v>-150.40520000000001</v>
      </c>
      <c r="H7052">
        <v>0.90056619999999998</v>
      </c>
      <c r="I7052">
        <v>138.5772</v>
      </c>
      <c r="J7052">
        <v>-151.05279999999999</v>
      </c>
      <c r="K7052">
        <v>1.1222570000000001</v>
      </c>
      <c r="L7052">
        <v>138.62389999999999</v>
      </c>
      <c r="M7052">
        <v>0.9994923</v>
      </c>
      <c r="N7052">
        <v>-2.2552820000000001E-2</v>
      </c>
      <c r="O7052">
        <v>2.250425E-2</v>
      </c>
      <c r="P7052">
        <v>0.99290699999999998</v>
      </c>
      <c r="Q7052">
        <v>0.1179323</v>
      </c>
      <c r="R7052">
        <v>-1.50809E-2</v>
      </c>
      <c r="S7052">
        <v>3.1337130000000002</v>
      </c>
      <c r="T7052">
        <v>-0.96036840000000001</v>
      </c>
      <c r="U7052">
        <v>-0.19880680000000001</v>
      </c>
      <c r="V7052">
        <v>3.7473529999999998E-2</v>
      </c>
      <c r="W7052">
        <v>0.14026949999999999</v>
      </c>
      <c r="X7052">
        <v>0.98940399999999995</v>
      </c>
      <c r="Y7052">
        <v>8.0893229999999997E-2</v>
      </c>
      <c r="Z7052">
        <v>-1.928096E-2</v>
      </c>
      <c r="AA7052">
        <v>0.99653630000000004</v>
      </c>
      <c r="AB7052">
        <v>8</v>
      </c>
      <c r="AC7052">
        <v>0.64759999999998197</v>
      </c>
      <c r="AD7052">
        <v>-0.22169079999999999</v>
      </c>
      <c r="AE7052">
        <v>-4.6699999999987002E-2</v>
      </c>
      <c r="AF7052">
        <v>5.48689331251501E-2</v>
      </c>
      <c r="AG7052">
        <v>-0.22169079999999999</v>
      </c>
      <c r="AH7052">
        <v>0.57889619232696399</v>
      </c>
      <c r="AI7052">
        <v>110.869131123922</v>
      </c>
      <c r="AJ7052">
        <v>84.5855670835046</v>
      </c>
      <c r="AK7052">
        <v>0.62231681008758599</v>
      </c>
      <c r="AL7052">
        <v>81.936558951995806</v>
      </c>
      <c r="AM7052">
        <v>87.8309676003948</v>
      </c>
      <c r="AN7052">
        <v>1.0000000366484501</v>
      </c>
    </row>
    <row r="7053" spans="1:40" x14ac:dyDescent="0.25">
      <c r="A7053" t="str">
        <f>"20190303162441689"</f>
        <v>20190303162441689</v>
      </c>
      <c r="B7053" t="str">
        <f>"1551601481681620"</f>
        <v>1551601481681620</v>
      </c>
      <c r="C7053" t="s">
        <v>40</v>
      </c>
      <c r="D7053">
        <v>5.3798490000000001</v>
      </c>
      <c r="E7053">
        <v>0.52338479999999998</v>
      </c>
      <c r="F7053" t="s">
        <v>42</v>
      </c>
      <c r="G7053">
        <v>-150.3391</v>
      </c>
      <c r="H7053">
        <v>0.90271970000000001</v>
      </c>
      <c r="I7053">
        <v>138.577</v>
      </c>
      <c r="J7053">
        <v>-150.97989999999999</v>
      </c>
      <c r="K7053">
        <v>1.1224179999999999</v>
      </c>
      <c r="L7053">
        <v>138.62459999999999</v>
      </c>
      <c r="M7053">
        <v>0.99949770000000004</v>
      </c>
      <c r="N7053">
        <v>-2.301593E-2</v>
      </c>
      <c r="O7053">
        <v>2.1790500000000001E-2</v>
      </c>
      <c r="P7053">
        <v>0.99292729999999996</v>
      </c>
      <c r="Q7053">
        <v>0.1175971</v>
      </c>
      <c r="R7053">
        <v>-1.6335220000000001E-2</v>
      </c>
      <c r="S7053">
        <v>3.1327509999999998</v>
      </c>
      <c r="T7053">
        <v>-0.96353889999999998</v>
      </c>
      <c r="U7053">
        <v>-0.20573430000000001</v>
      </c>
      <c r="V7053">
        <v>3.8009790000000002E-2</v>
      </c>
      <c r="W7053">
        <v>0.14039550000000001</v>
      </c>
      <c r="X7053">
        <v>0.98936559999999996</v>
      </c>
      <c r="Y7053">
        <v>8.2316909999999993E-2</v>
      </c>
      <c r="Z7053">
        <v>-1.938635E-2</v>
      </c>
      <c r="AA7053">
        <v>0.99641760000000001</v>
      </c>
      <c r="AB7053">
        <v>8</v>
      </c>
      <c r="AC7053">
        <v>0.64079999999998405</v>
      </c>
      <c r="AD7053">
        <v>-0.21969830000000001</v>
      </c>
      <c r="AE7053">
        <v>-4.7599999999988499E-2</v>
      </c>
      <c r="AF7053">
        <v>5.5112975076641597E-2</v>
      </c>
      <c r="AG7053">
        <v>-0.21969830000000001</v>
      </c>
      <c r="AH7053">
        <v>0.57266508473466604</v>
      </c>
      <c r="AI7053">
        <v>110.90072960639699</v>
      </c>
      <c r="AJ7053">
        <v>84.502815448302201</v>
      </c>
      <c r="AK7053">
        <v>0.61583283634347596</v>
      </c>
      <c r="AL7053">
        <v>81.929266953335002</v>
      </c>
      <c r="AM7053">
        <v>87.799872929231</v>
      </c>
      <c r="AN7053">
        <v>0.99999996550972603</v>
      </c>
    </row>
    <row r="7054" spans="1:40" x14ac:dyDescent="0.25">
      <c r="A7054" t="str">
        <f>"20190303162441711"</f>
        <v>20190303162441711</v>
      </c>
      <c r="B7054" t="str">
        <f>"1551601481702116"</f>
        <v>1551601481702116</v>
      </c>
      <c r="C7054" t="s">
        <v>40</v>
      </c>
      <c r="D7054">
        <v>5.412369</v>
      </c>
      <c r="E7054">
        <v>0.523922</v>
      </c>
      <c r="F7054" t="s">
        <v>42</v>
      </c>
      <c r="G7054">
        <v>-150.27440000000001</v>
      </c>
      <c r="H7054">
        <v>0.90460370000000001</v>
      </c>
      <c r="I7054">
        <v>138.57640000000001</v>
      </c>
      <c r="J7054">
        <v>-150.9093</v>
      </c>
      <c r="K7054">
        <v>1.1224019999999999</v>
      </c>
      <c r="L7054">
        <v>138.62530000000001</v>
      </c>
      <c r="M7054">
        <v>0.99951299999999998</v>
      </c>
      <c r="N7054">
        <v>-2.3009640000000001E-2</v>
      </c>
      <c r="O7054">
        <v>2.1084160000000001E-2</v>
      </c>
      <c r="P7054">
        <v>0.99293100000000001</v>
      </c>
      <c r="Q7054">
        <v>0.1174529</v>
      </c>
      <c r="R7054">
        <v>-1.712495E-2</v>
      </c>
      <c r="S7054">
        <v>3.1323850000000002</v>
      </c>
      <c r="T7054">
        <v>-0.96696090000000001</v>
      </c>
      <c r="U7054">
        <v>-0.213089</v>
      </c>
      <c r="V7054">
        <v>3.809966E-2</v>
      </c>
      <c r="W7054">
        <v>0.14024489999999901</v>
      </c>
      <c r="X7054">
        <v>0.98938349999999997</v>
      </c>
      <c r="Y7054">
        <v>8.3866019999999999E-2</v>
      </c>
      <c r="Z7054">
        <v>-1.950619E-2</v>
      </c>
      <c r="AA7054">
        <v>0.99628609999999895</v>
      </c>
      <c r="AB7054">
        <v>7</v>
      </c>
      <c r="AC7054">
        <v>0.63489999999998703</v>
      </c>
      <c r="AD7054">
        <v>-0.2177983</v>
      </c>
      <c r="AE7054">
        <v>-4.8900000000003198E-2</v>
      </c>
      <c r="AF7054">
        <v>5.5756351759323301E-2</v>
      </c>
      <c r="AG7054">
        <v>-0.2177983</v>
      </c>
      <c r="AH7054">
        <v>0.56735549812062402</v>
      </c>
      <c r="AI7054">
        <v>110.909001077846</v>
      </c>
      <c r="AJ7054">
        <v>84.387331129208505</v>
      </c>
      <c r="AK7054">
        <v>0.61027627472489998</v>
      </c>
      <c r="AL7054">
        <v>81.937981902606197</v>
      </c>
      <c r="AM7054">
        <v>87.794715958595503</v>
      </c>
      <c r="AN7054">
        <v>0.99999996307018701</v>
      </c>
    </row>
    <row r="7055" spans="1:40" x14ac:dyDescent="0.25">
      <c r="A7055" t="str">
        <f>"20190303162441735"</f>
        <v>20190303162441735</v>
      </c>
      <c r="B7055" t="str">
        <f>"1551601481732372"</f>
        <v>1551601481732372</v>
      </c>
      <c r="C7055" t="s">
        <v>40</v>
      </c>
      <c r="D7055">
        <v>5.4436660000000003</v>
      </c>
      <c r="E7055">
        <v>0.52928219999999904</v>
      </c>
      <c r="F7055" t="s">
        <v>42</v>
      </c>
      <c r="G7055">
        <v>-150.21019999999999</v>
      </c>
      <c r="H7055">
        <v>0.90600029999999998</v>
      </c>
      <c r="I7055">
        <v>138.57599999999999</v>
      </c>
      <c r="J7055">
        <v>-150.8338</v>
      </c>
      <c r="K7055">
        <v>1.122255</v>
      </c>
      <c r="L7055">
        <v>138.6259</v>
      </c>
      <c r="M7055">
        <v>0.99953840000000005</v>
      </c>
      <c r="N7055">
        <v>-2.2598940000000001E-2</v>
      </c>
      <c r="O7055">
        <v>2.0308050000000001E-2</v>
      </c>
      <c r="P7055">
        <v>0.99284799999999995</v>
      </c>
      <c r="Q7055">
        <v>0.11799709999999999</v>
      </c>
      <c r="R7055">
        <v>-1.81563E-2</v>
      </c>
      <c r="S7055">
        <v>3.1322480000000001</v>
      </c>
      <c r="T7055">
        <v>-0.96956500000000001</v>
      </c>
      <c r="U7055">
        <v>-0.2204132</v>
      </c>
      <c r="V7055">
        <v>3.8366480000000001E-2</v>
      </c>
      <c r="W7055">
        <v>0.140379</v>
      </c>
      <c r="X7055">
        <v>0.98935419999999996</v>
      </c>
      <c r="Y7055">
        <v>8.5347939999999997E-2</v>
      </c>
      <c r="Z7055">
        <v>-1.9569179999999999E-2</v>
      </c>
      <c r="AA7055">
        <v>0.99615900000000002</v>
      </c>
      <c r="AB7055">
        <v>7</v>
      </c>
      <c r="AC7055">
        <v>0.62360000000001004</v>
      </c>
      <c r="AD7055">
        <v>-0.21625469999999899</v>
      </c>
      <c r="AE7055">
        <v>-4.9900000000008E-2</v>
      </c>
      <c r="AF7055">
        <v>5.5879732382038597E-2</v>
      </c>
      <c r="AG7055">
        <v>-0.21625469999999899</v>
      </c>
      <c r="AH7055">
        <v>0.55601688825385198</v>
      </c>
      <c r="AI7055">
        <v>111.155743211874</v>
      </c>
      <c r="AJ7055">
        <v>84.261040439579503</v>
      </c>
      <c r="AK7055">
        <v>0.59920231957718195</v>
      </c>
      <c r="AL7055">
        <v>81.930222002897395</v>
      </c>
      <c r="AM7055">
        <v>87.779221594344705</v>
      </c>
      <c r="AN7055">
        <v>0.99999999174311505</v>
      </c>
    </row>
    <row r="7056" spans="1:40" x14ac:dyDescent="0.25">
      <c r="A7056" t="str">
        <f>"20190303162441756"</f>
        <v>20190303162441756</v>
      </c>
      <c r="B7056" t="str">
        <f>"1551601481751892"</f>
        <v>1551601481751892</v>
      </c>
      <c r="C7056" t="s">
        <v>40</v>
      </c>
      <c r="D7056">
        <v>5.4335789999999999</v>
      </c>
      <c r="E7056">
        <v>0.52949259999999998</v>
      </c>
      <c r="F7056" t="s">
        <v>42</v>
      </c>
      <c r="G7056">
        <v>-150.15530000000001</v>
      </c>
      <c r="H7056">
        <v>0.88869619999999905</v>
      </c>
      <c r="I7056">
        <v>138.56880000000001</v>
      </c>
      <c r="J7056">
        <v>-150.7697</v>
      </c>
      <c r="K7056">
        <v>1.12219</v>
      </c>
      <c r="L7056">
        <v>138.62639999999999</v>
      </c>
      <c r="M7056">
        <v>0.99955780000000005</v>
      </c>
      <c r="N7056">
        <v>-2.2333749999999999E-2</v>
      </c>
      <c r="O7056">
        <v>1.9638079999999999E-2</v>
      </c>
      <c r="P7056">
        <v>0.99275369999999996</v>
      </c>
      <c r="Q7056">
        <v>0.1185707</v>
      </c>
      <c r="R7056">
        <v>-1.9522439999999999E-2</v>
      </c>
      <c r="S7056">
        <v>3.1454620000000002</v>
      </c>
      <c r="T7056">
        <v>-1.0825309999999999</v>
      </c>
      <c r="U7056">
        <v>-0.26377869999999998</v>
      </c>
      <c r="V7056">
        <v>3.906656E-2</v>
      </c>
      <c r="W7056">
        <v>0.14068729999999999</v>
      </c>
      <c r="X7056">
        <v>0.98928300000000002</v>
      </c>
      <c r="Y7056">
        <v>9.6256919999999996E-2</v>
      </c>
      <c r="Z7056">
        <v>-2.3316690000000001E-2</v>
      </c>
      <c r="AA7056">
        <v>0.99508339999999995</v>
      </c>
      <c r="AB7056">
        <v>7</v>
      </c>
      <c r="AC7056">
        <v>0.61439999999998895</v>
      </c>
      <c r="AD7056">
        <v>-0.2334938</v>
      </c>
      <c r="AE7056">
        <v>-5.7599999999979397E-2</v>
      </c>
      <c r="AF7056">
        <v>6.0933731638149302E-2</v>
      </c>
      <c r="AG7056">
        <v>-0.2334938</v>
      </c>
      <c r="AH7056">
        <v>0.53636007377528006</v>
      </c>
      <c r="AI7056">
        <v>113.390797338184</v>
      </c>
      <c r="AJ7056">
        <v>83.518642882954694</v>
      </c>
      <c r="AK7056">
        <v>0.58814488268624299</v>
      </c>
      <c r="AL7056">
        <v>81.912380587031095</v>
      </c>
      <c r="AM7056">
        <v>87.738577767595402</v>
      </c>
      <c r="AN7056">
        <v>0.99999998329026096</v>
      </c>
    </row>
    <row r="7057" spans="1:40" x14ac:dyDescent="0.25">
      <c r="A7057" t="str">
        <f>"20190303162441778"</f>
        <v>20190303162441778</v>
      </c>
      <c r="B7057" t="str">
        <f>"1551601481772388"</f>
        <v>1551601481772388</v>
      </c>
      <c r="C7057" t="s">
        <v>40</v>
      </c>
      <c r="D7057">
        <v>5.4065349999999999</v>
      </c>
      <c r="E7057">
        <v>0.5293871</v>
      </c>
      <c r="F7057" t="s">
        <v>42</v>
      </c>
      <c r="G7057">
        <v>-150.09399999999999</v>
      </c>
      <c r="H7057">
        <v>0.88989470000000004</v>
      </c>
      <c r="I7057">
        <v>138.56880000000001</v>
      </c>
      <c r="J7057">
        <v>-150.70330000000001</v>
      </c>
      <c r="K7057">
        <v>1.1221969999999999</v>
      </c>
      <c r="L7057">
        <v>138.6268</v>
      </c>
      <c r="M7057">
        <v>0.99957320000000005</v>
      </c>
      <c r="N7057">
        <v>-2.2250530000000001E-2</v>
      </c>
      <c r="O7057">
        <v>1.893384E-2</v>
      </c>
      <c r="P7057">
        <v>0.99277130000000002</v>
      </c>
      <c r="Q7057">
        <v>0.1181377</v>
      </c>
      <c r="R7057">
        <v>-2.1181289999999998E-2</v>
      </c>
      <c r="S7057">
        <v>3.145813</v>
      </c>
      <c r="T7057">
        <v>-1.081467</v>
      </c>
      <c r="U7057">
        <v>-0.2675323</v>
      </c>
      <c r="V7057">
        <v>4.0021569999999999E-2</v>
      </c>
      <c r="W7057">
        <v>0.14017309999999999</v>
      </c>
      <c r="X7057">
        <v>0.98931780000000002</v>
      </c>
      <c r="Y7057">
        <v>9.6747169999999993E-2</v>
      </c>
      <c r="Z7057">
        <v>-2.315731E-2</v>
      </c>
      <c r="AA7057">
        <v>0.99503960000000002</v>
      </c>
      <c r="AB7057">
        <v>7</v>
      </c>
      <c r="AC7057">
        <v>0.60930000000001805</v>
      </c>
      <c r="AD7057">
        <v>-0.23230229999999899</v>
      </c>
      <c r="AE7057">
        <v>-5.7999999999992703E-2</v>
      </c>
      <c r="AF7057">
        <v>6.07740602913312E-2</v>
      </c>
      <c r="AG7057">
        <v>-0.23230229999999899</v>
      </c>
      <c r="AH7057">
        <v>0.53152384123400198</v>
      </c>
      <c r="AI7057">
        <v>113.47147224181001</v>
      </c>
      <c r="AJ7057">
        <v>83.477168003646497</v>
      </c>
      <c r="AK7057">
        <v>0.58324560760431998</v>
      </c>
      <c r="AL7057">
        <v>81.942136811466995</v>
      </c>
      <c r="AM7057">
        <v>87.683436598920196</v>
      </c>
      <c r="AN7057">
        <v>0.99999996671285696</v>
      </c>
    </row>
    <row r="7058" spans="1:40" x14ac:dyDescent="0.25">
      <c r="A7058" t="str">
        <f>"20190303162441800"</f>
        <v>20190303162441800</v>
      </c>
      <c r="B7058" t="str">
        <f>"1551601481791908"</f>
        <v>1551601481791908</v>
      </c>
      <c r="C7058" t="s">
        <v>40</v>
      </c>
      <c r="D7058">
        <v>5.4231439999999997</v>
      </c>
      <c r="E7058">
        <v>0.52910729999999995</v>
      </c>
      <c r="F7058" t="s">
        <v>42</v>
      </c>
      <c r="G7058">
        <v>-150.03389999999999</v>
      </c>
      <c r="H7058">
        <v>0.89256539999999995</v>
      </c>
      <c r="I7058">
        <v>138.56880000000001</v>
      </c>
      <c r="J7058">
        <v>-150.64109999999999</v>
      </c>
      <c r="K7058">
        <v>1.1222160000000001</v>
      </c>
      <c r="L7058">
        <v>138.62719999999999</v>
      </c>
      <c r="M7058">
        <v>0.9995868</v>
      </c>
      <c r="N7058">
        <v>-2.2199489999999999E-2</v>
      </c>
      <c r="O7058">
        <v>1.8260169999999999E-2</v>
      </c>
      <c r="P7058">
        <v>0.99288790000000005</v>
      </c>
      <c r="Q7058">
        <v>0.1169205</v>
      </c>
      <c r="R7058">
        <v>-2.2439460000000001E-2</v>
      </c>
      <c r="S7058">
        <v>3.144409</v>
      </c>
      <c r="T7058">
        <v>-1.0785209999999901</v>
      </c>
      <c r="U7058">
        <v>-0.2716827</v>
      </c>
      <c r="V7058">
        <v>4.0606150000000001E-2</v>
      </c>
      <c r="W7058">
        <v>0.13891010000000001</v>
      </c>
      <c r="X7058">
        <v>0.98947220000000002</v>
      </c>
      <c r="Y7058">
        <v>9.7440819999999997E-2</v>
      </c>
      <c r="Z7058">
        <v>-2.3019629999999999E-2</v>
      </c>
      <c r="AA7058">
        <v>0.9949751</v>
      </c>
      <c r="AB7058">
        <v>7</v>
      </c>
      <c r="AC7058">
        <v>0.60720000000000596</v>
      </c>
      <c r="AD7058">
        <v>-0.22965059999999901</v>
      </c>
      <c r="AE7058">
        <v>-5.8399999999977498E-2</v>
      </c>
      <c r="AF7058">
        <v>6.0855324483493199E-2</v>
      </c>
      <c r="AG7058">
        <v>-0.22965059999999901</v>
      </c>
      <c r="AH7058">
        <v>0.53079989521118498</v>
      </c>
      <c r="AI7058">
        <v>113.259694186134</v>
      </c>
      <c r="AJ7058">
        <v>83.459690291510796</v>
      </c>
      <c r="AK7058">
        <v>0.581542171604567</v>
      </c>
      <c r="AL7058">
        <v>82.015217092902205</v>
      </c>
      <c r="AM7058">
        <v>87.650003450412996</v>
      </c>
      <c r="AN7058">
        <v>1.0000000549363299</v>
      </c>
    </row>
    <row r="7059" spans="1:40" x14ac:dyDescent="0.25">
      <c r="A7059" t="str">
        <f>"20190303162441845"</f>
        <v>20190303162441845</v>
      </c>
      <c r="B7059" t="str">
        <f>"1551601481831924"</f>
        <v>1551601481831924</v>
      </c>
      <c r="C7059" t="s">
        <v>40</v>
      </c>
      <c r="D7059">
        <v>5.3984129999999997</v>
      </c>
      <c r="E7059">
        <v>0.5287229</v>
      </c>
      <c r="F7059" t="s">
        <v>42</v>
      </c>
      <c r="G7059">
        <v>-149.976</v>
      </c>
      <c r="H7059">
        <v>0.89377090000000003</v>
      </c>
      <c r="I7059">
        <v>138.56899999999999</v>
      </c>
      <c r="J7059">
        <v>-150.51519999999999</v>
      </c>
      <c r="K7059">
        <v>1.1221680000000001</v>
      </c>
      <c r="L7059">
        <v>138.62790000000001</v>
      </c>
      <c r="M7059">
        <v>0.99961860000000002</v>
      </c>
      <c r="N7059">
        <v>-2.183274E-2</v>
      </c>
      <c r="O7059">
        <v>1.6910069999999999E-2</v>
      </c>
      <c r="P7059">
        <v>0.99289709999999998</v>
      </c>
      <c r="Q7059">
        <v>0.11644839999999999</v>
      </c>
      <c r="R7059">
        <v>-2.4399110000000002E-2</v>
      </c>
      <c r="S7059">
        <v>3.1423800000000002</v>
      </c>
      <c r="T7059">
        <v>-1.079183</v>
      </c>
      <c r="U7059">
        <v>-0.2740631</v>
      </c>
      <c r="V7059">
        <v>4.1218730000000002E-2</v>
      </c>
      <c r="W7059">
        <v>0.13807749999999999</v>
      </c>
      <c r="X7059">
        <v>0.98956330000000003</v>
      </c>
      <c r="Y7059">
        <v>9.6984169999999995E-2</v>
      </c>
      <c r="Z7059">
        <v>-2.253105E-2</v>
      </c>
      <c r="AA7059">
        <v>0.99503090000000005</v>
      </c>
      <c r="AB7059">
        <v>6</v>
      </c>
      <c r="AC7059">
        <v>0.53919999999999302</v>
      </c>
      <c r="AD7059">
        <v>-0.22839709999999999</v>
      </c>
      <c r="AE7059">
        <v>-5.8900000000022601E-2</v>
      </c>
      <c r="AF7059">
        <v>5.7768758658174602E-2</v>
      </c>
      <c r="AG7059">
        <v>-0.22839709999999999</v>
      </c>
      <c r="AH7059">
        <v>0.457082036577242</v>
      </c>
      <c r="AI7059">
        <v>116.36952272744</v>
      </c>
      <c r="AJ7059">
        <v>82.796808240566307</v>
      </c>
      <c r="AK7059">
        <v>0.51422412713418597</v>
      </c>
      <c r="AL7059">
        <v>82.063384923981602</v>
      </c>
      <c r="AM7059">
        <v>87.614811653177895</v>
      </c>
      <c r="AN7059">
        <v>0.999999952207975</v>
      </c>
    </row>
    <row r="7060" spans="1:40" x14ac:dyDescent="0.25">
      <c r="A7060" t="str">
        <f>"20190303162441868"</f>
        <v>20190303162441868</v>
      </c>
      <c r="B7060" t="str">
        <f>"1551601481862180"</f>
        <v>1551601481862180</v>
      </c>
      <c r="C7060" t="s">
        <v>40</v>
      </c>
      <c r="D7060">
        <v>5.3653409999999999</v>
      </c>
      <c r="E7060">
        <v>0.52861550000000002</v>
      </c>
      <c r="F7060" t="s">
        <v>42</v>
      </c>
      <c r="G7060">
        <v>-149.81540000000001</v>
      </c>
      <c r="H7060">
        <v>0.88244059999999902</v>
      </c>
      <c r="I7060">
        <v>138.56610000000001</v>
      </c>
      <c r="J7060">
        <v>-150.45529999999999</v>
      </c>
      <c r="K7060">
        <v>1.1221509999999999</v>
      </c>
      <c r="L7060">
        <v>138.62809999999999</v>
      </c>
      <c r="M7060">
        <v>0.99963250000000003</v>
      </c>
      <c r="N7060">
        <v>-2.1671960000000001E-2</v>
      </c>
      <c r="O7060">
        <v>1.62904E-2</v>
      </c>
      <c r="P7060">
        <v>0.99294349999999998</v>
      </c>
      <c r="Q7060">
        <v>0.1161061</v>
      </c>
      <c r="R7060">
        <v>-2.414007E-2</v>
      </c>
      <c r="S7060">
        <v>3.1408230000000001</v>
      </c>
      <c r="T7060">
        <v>-1.0757129999999999</v>
      </c>
      <c r="U7060">
        <v>-0.27612300000000001</v>
      </c>
      <c r="V7060">
        <v>4.034331E-2</v>
      </c>
      <c r="W7060">
        <v>0.13757829999999999</v>
      </c>
      <c r="X7060">
        <v>0.98966900000000002</v>
      </c>
      <c r="Y7060">
        <v>9.7118029999999994E-2</v>
      </c>
      <c r="Z7060">
        <v>-2.2299490000000002E-2</v>
      </c>
      <c r="AA7060">
        <v>0.99502299999999999</v>
      </c>
      <c r="AB7060">
        <v>6</v>
      </c>
      <c r="AC7060">
        <v>0.63989999999998204</v>
      </c>
      <c r="AD7060">
        <v>-0.23971039999999999</v>
      </c>
      <c r="AE7060">
        <v>-6.1999999999983402E-2</v>
      </c>
      <c r="AF7060">
        <v>6.3579352345745202E-2</v>
      </c>
      <c r="AG7060">
        <v>-0.23971039999999999</v>
      </c>
      <c r="AH7060">
        <v>0.56083497080491196</v>
      </c>
      <c r="AI7060">
        <v>113.010769537196</v>
      </c>
      <c r="AJ7060">
        <v>83.532246705983695</v>
      </c>
      <c r="AK7060">
        <v>0.61322041256844295</v>
      </c>
      <c r="AL7060">
        <v>82.092263363281603</v>
      </c>
      <c r="AM7060">
        <v>87.665661652451504</v>
      </c>
      <c r="AN7060">
        <v>1.0000000504268201</v>
      </c>
    </row>
    <row r="7061" spans="1:40" x14ac:dyDescent="0.25">
      <c r="A7061" t="str">
        <f>"20190303162441890"</f>
        <v>20190303162441890</v>
      </c>
      <c r="B7061" t="str">
        <f>"1551601481881700"</f>
        <v>1551601481881700</v>
      </c>
      <c r="C7061" t="s">
        <v>40</v>
      </c>
      <c r="D7061">
        <v>5.3698489999999897</v>
      </c>
      <c r="E7061">
        <v>0.52839290000000005</v>
      </c>
      <c r="F7061" t="s">
        <v>42</v>
      </c>
      <c r="G7061">
        <v>-149.7621</v>
      </c>
      <c r="H7061">
        <v>0.88510840000000002</v>
      </c>
      <c r="I7061">
        <v>138.56700000000001</v>
      </c>
      <c r="J7061">
        <v>-150.39760000000001</v>
      </c>
      <c r="K7061">
        <v>1.1221410000000001</v>
      </c>
      <c r="L7061">
        <v>138.6283</v>
      </c>
      <c r="M7061">
        <v>0.99964439999999999</v>
      </c>
      <c r="N7061">
        <v>-2.155878E-2</v>
      </c>
      <c r="O7061">
        <v>1.5697579999999999E-2</v>
      </c>
      <c r="P7061">
        <v>0.99302199999999996</v>
      </c>
      <c r="Q7061">
        <v>0.1155558</v>
      </c>
      <c r="R7061">
        <v>-2.3549560000000001E-2</v>
      </c>
      <c r="S7061">
        <v>3.1401210000000002</v>
      </c>
      <c r="T7061">
        <v>-1.0736250000000001</v>
      </c>
      <c r="U7061">
        <v>-0.276474</v>
      </c>
      <c r="V7061">
        <v>3.9163120000000003E-2</v>
      </c>
      <c r="W7061">
        <v>0.1369194</v>
      </c>
      <c r="X7061">
        <v>0.98980769999999996</v>
      </c>
      <c r="Y7061">
        <v>9.6733890000000003E-2</v>
      </c>
      <c r="Z7061">
        <v>-2.200796E-2</v>
      </c>
      <c r="AA7061">
        <v>0.99506689999999998</v>
      </c>
      <c r="AB7061">
        <v>6</v>
      </c>
      <c r="AC7061">
        <v>0.63550000000000695</v>
      </c>
      <c r="AD7061">
        <v>-0.23703259999999901</v>
      </c>
      <c r="AE7061">
        <v>-6.1299999999988503E-2</v>
      </c>
      <c r="AF7061">
        <v>6.2636944030280806E-2</v>
      </c>
      <c r="AG7061">
        <v>-0.23703259999999901</v>
      </c>
      <c r="AH7061">
        <v>0.557601568568447</v>
      </c>
      <c r="AI7061">
        <v>112.900956126476</v>
      </c>
      <c r="AJ7061">
        <v>83.590673717310807</v>
      </c>
      <c r="AK7061">
        <v>0.60912014372388401</v>
      </c>
      <c r="AL7061">
        <v>82.130375651171207</v>
      </c>
      <c r="AM7061">
        <v>87.734194575906301</v>
      </c>
      <c r="AN7061">
        <v>0.99999997752189096</v>
      </c>
    </row>
    <row r="7062" spans="1:40" x14ac:dyDescent="0.25">
      <c r="A7062" t="str">
        <f>"20190303162441912"</f>
        <v>20190303162441912</v>
      </c>
      <c r="B7062" t="str">
        <f>"1551601481902195"</f>
        <v>1551601481902195</v>
      </c>
      <c r="C7062" t="s">
        <v>40</v>
      </c>
      <c r="D7062">
        <v>5.3409050000000002</v>
      </c>
      <c r="E7062">
        <v>0.52844740000000001</v>
      </c>
      <c r="F7062" t="s">
        <v>42</v>
      </c>
      <c r="G7062">
        <v>-149.71019999999999</v>
      </c>
      <c r="H7062">
        <v>0.88741510000000001</v>
      </c>
      <c r="I7062">
        <v>138.5685</v>
      </c>
      <c r="J7062">
        <v>-150.3407</v>
      </c>
      <c r="K7062">
        <v>1.1221299999999901</v>
      </c>
      <c r="L7062">
        <v>138.6285</v>
      </c>
      <c r="M7062">
        <v>0.99965590000000004</v>
      </c>
      <c r="N7062">
        <v>-2.144544E-2</v>
      </c>
      <c r="O7062">
        <v>1.511124E-2</v>
      </c>
      <c r="P7062">
        <v>0.99307809999999996</v>
      </c>
      <c r="Q7062">
        <v>0.11516709999999999</v>
      </c>
      <c r="R7062">
        <v>-2.3080179999999999E-2</v>
      </c>
      <c r="S7062">
        <v>3.1393589999999998</v>
      </c>
      <c r="T7062">
        <v>-1.071844</v>
      </c>
      <c r="U7062">
        <v>-0.2723083</v>
      </c>
      <c r="V7062">
        <v>3.8110339999999999E-2</v>
      </c>
      <c r="W7062">
        <v>0.1364215</v>
      </c>
      <c r="X7062">
        <v>0.98991759999999995</v>
      </c>
      <c r="Y7062">
        <v>9.501192E-2</v>
      </c>
      <c r="Z7062">
        <v>-2.1489879999999999E-2</v>
      </c>
      <c r="AA7062">
        <v>0.99524409999999996</v>
      </c>
      <c r="AB7062">
        <v>6</v>
      </c>
      <c r="AC7062">
        <v>0.63050000000001205</v>
      </c>
      <c r="AD7062">
        <v>-0.234714899999999</v>
      </c>
      <c r="AE7062">
        <v>-6.0000000000002197E-2</v>
      </c>
      <c r="AF7062">
        <v>6.1127715202376601E-2</v>
      </c>
      <c r="AG7062">
        <v>-0.234714899999999</v>
      </c>
      <c r="AH7062">
        <v>0.55350316680685796</v>
      </c>
      <c r="AI7062">
        <v>112.854976881154</v>
      </c>
      <c r="AJ7062">
        <v>83.697914073169102</v>
      </c>
      <c r="AK7062">
        <v>0.60431236749970096</v>
      </c>
      <c r="AL7062">
        <v>82.159173929746501</v>
      </c>
      <c r="AM7062">
        <v>87.7952873866098</v>
      </c>
      <c r="AN7062">
        <v>1.00000003923346</v>
      </c>
    </row>
    <row r="7063" spans="1:40" x14ac:dyDescent="0.25">
      <c r="A7063" t="str">
        <f>"20190303162441935"</f>
        <v>20190303162441935</v>
      </c>
      <c r="B7063" t="str">
        <f>"1551601481932452"</f>
        <v>1551601481932452</v>
      </c>
      <c r="C7063" t="s">
        <v>40</v>
      </c>
      <c r="D7063">
        <v>5.3017609999999999</v>
      </c>
      <c r="E7063">
        <v>0.52828819999999999</v>
      </c>
      <c r="F7063" t="s">
        <v>42</v>
      </c>
      <c r="G7063">
        <v>-149.65960000000001</v>
      </c>
      <c r="H7063">
        <v>0.88976909999999898</v>
      </c>
      <c r="I7063">
        <v>138.57</v>
      </c>
      <c r="J7063">
        <v>-150.28579999999999</v>
      </c>
      <c r="K7063">
        <v>1.1221190000000001</v>
      </c>
      <c r="L7063">
        <v>138.62870000000001</v>
      </c>
      <c r="M7063">
        <v>0.99966699999999997</v>
      </c>
      <c r="N7063">
        <v>-2.132235E-2</v>
      </c>
      <c r="O7063">
        <v>1.4542920000000001E-2</v>
      </c>
      <c r="P7063">
        <v>0.99314829999999998</v>
      </c>
      <c r="Q7063">
        <v>0.11467869999999999</v>
      </c>
      <c r="R7063">
        <v>-2.2479720000000002E-2</v>
      </c>
      <c r="S7063">
        <v>3.1388400000000001</v>
      </c>
      <c r="T7063">
        <v>-1.0707899999999999</v>
      </c>
      <c r="U7063">
        <v>-0.26942440000000001</v>
      </c>
      <c r="V7063">
        <v>3.6944530000000003E-2</v>
      </c>
      <c r="W7063">
        <v>0.13581409999999999</v>
      </c>
      <c r="X7063">
        <v>0.99004519999999996</v>
      </c>
      <c r="Y7063">
        <v>9.3672179999999994E-2</v>
      </c>
      <c r="Z7063">
        <v>-2.1057139999999998E-2</v>
      </c>
      <c r="AA7063">
        <v>0.99538040000000005</v>
      </c>
      <c r="AB7063">
        <v>6</v>
      </c>
      <c r="AC7063">
        <v>0.62619999999998299</v>
      </c>
      <c r="AD7063">
        <v>-0.2323499</v>
      </c>
      <c r="AE7063">
        <v>-5.8700000000015899E-2</v>
      </c>
      <c r="AF7063">
        <v>5.9660370524874398E-2</v>
      </c>
      <c r="AG7063">
        <v>-0.2323499</v>
      </c>
      <c r="AH7063">
        <v>0.55019143668701098</v>
      </c>
      <c r="AI7063">
        <v>112.77491696119399</v>
      </c>
      <c r="AJ7063">
        <v>83.811275127654298</v>
      </c>
      <c r="AK7063">
        <v>0.60021367265740699</v>
      </c>
      <c r="AL7063">
        <v>82.194301503471394</v>
      </c>
      <c r="AM7063">
        <v>87.862942071405698</v>
      </c>
      <c r="AN7063">
        <v>0.99999993304938295</v>
      </c>
    </row>
    <row r="7064" spans="1:40" x14ac:dyDescent="0.25">
      <c r="A7064" t="str">
        <f>"20190303162441957"</f>
        <v>20190303162441957</v>
      </c>
      <c r="B7064" t="str">
        <f>"1551601481951971"</f>
        <v>1551601481951971</v>
      </c>
      <c r="C7064" t="s">
        <v>40</v>
      </c>
      <c r="D7064">
        <v>5.351261</v>
      </c>
      <c r="E7064">
        <v>0.52850750000000002</v>
      </c>
      <c r="F7064" t="s">
        <v>42</v>
      </c>
      <c r="G7064">
        <v>-149.61060000000001</v>
      </c>
      <c r="H7064">
        <v>0.89158029999999999</v>
      </c>
      <c r="I7064">
        <v>138.57130000000001</v>
      </c>
      <c r="J7064">
        <v>-150.23179999999999</v>
      </c>
      <c r="K7064">
        <v>1.1221129999999999</v>
      </c>
      <c r="L7064">
        <v>138.62880000000001</v>
      </c>
      <c r="M7064">
        <v>0.9996775</v>
      </c>
      <c r="N7064">
        <v>-2.1207340000000002E-2</v>
      </c>
      <c r="O7064">
        <v>1.3985040000000001E-2</v>
      </c>
      <c r="P7064">
        <v>0.99320779999999997</v>
      </c>
      <c r="Q7064">
        <v>0.1143127</v>
      </c>
      <c r="R7064">
        <v>-2.1712579999999999E-2</v>
      </c>
      <c r="S7064">
        <v>3.1383969999999999</v>
      </c>
      <c r="T7064">
        <v>-1.0715140000000001</v>
      </c>
      <c r="U7064">
        <v>-0.26647949999999998</v>
      </c>
      <c r="V7064">
        <v>3.5622479999999998E-2</v>
      </c>
      <c r="W7064">
        <v>0.13533689999999901</v>
      </c>
      <c r="X7064">
        <v>0.99015900000000001</v>
      </c>
      <c r="Y7064">
        <v>9.2302289999999995E-2</v>
      </c>
      <c r="Z7064">
        <v>-2.0654200000000001E-2</v>
      </c>
      <c r="AA7064">
        <v>0.99551679999999998</v>
      </c>
      <c r="AB7064">
        <v>6</v>
      </c>
      <c r="AC7064">
        <v>0.62119999999998698</v>
      </c>
      <c r="AD7064">
        <v>-0.23053269999999901</v>
      </c>
      <c r="AE7064">
        <v>-5.7500000000004499E-2</v>
      </c>
      <c r="AF7064">
        <v>5.8232137217072599E-2</v>
      </c>
      <c r="AG7064">
        <v>-0.23053269999999901</v>
      </c>
      <c r="AH7064">
        <v>0.545804394046565</v>
      </c>
      <c r="AI7064">
        <v>112.781860489994</v>
      </c>
      <c r="AJ7064">
        <v>83.910122335117507</v>
      </c>
      <c r="AK7064">
        <v>0.59534758262270204</v>
      </c>
      <c r="AL7064">
        <v>82.221897913759094</v>
      </c>
      <c r="AM7064">
        <v>87.939585588921204</v>
      </c>
      <c r="AN7064">
        <v>0.99999994143197801</v>
      </c>
    </row>
    <row r="7065" spans="1:40" x14ac:dyDescent="0.25">
      <c r="A7065" t="str">
        <f>"20190303162441979"</f>
        <v>20190303162441979</v>
      </c>
      <c r="B7065" t="str">
        <f>"1551601481971492"</f>
        <v>1551601481971492</v>
      </c>
      <c r="C7065" t="s">
        <v>40</v>
      </c>
      <c r="D7065">
        <v>5.0376849999999997</v>
      </c>
      <c r="E7065">
        <v>0.52323030000000004</v>
      </c>
      <c r="F7065" t="s">
        <v>42</v>
      </c>
      <c r="G7065">
        <v>-149.559</v>
      </c>
      <c r="H7065">
        <v>0.90209410000000001</v>
      </c>
      <c r="I7065">
        <v>138.57140000000001</v>
      </c>
      <c r="J7065">
        <v>-150.18219999999999</v>
      </c>
      <c r="K7065">
        <v>1.1221080000000001</v>
      </c>
      <c r="L7065">
        <v>138.62889999999999</v>
      </c>
      <c r="M7065">
        <v>0.99968619999999997</v>
      </c>
      <c r="N7065">
        <v>-2.111439E-2</v>
      </c>
      <c r="O7065">
        <v>1.3473570000000001E-2</v>
      </c>
      <c r="P7065">
        <v>0.99321689999999996</v>
      </c>
      <c r="Q7065">
        <v>0.11438280000000001</v>
      </c>
      <c r="R7065">
        <v>-2.0897280000000001E-2</v>
      </c>
      <c r="S7065">
        <v>3.1325989999999999</v>
      </c>
      <c r="T7065">
        <v>-1.024302</v>
      </c>
      <c r="U7065">
        <v>-0.26670840000000001</v>
      </c>
      <c r="V7065">
        <v>3.4297929999999997E-2</v>
      </c>
      <c r="W7065">
        <v>0.13531660000000001</v>
      </c>
      <c r="X7065">
        <v>0.99020859999999999</v>
      </c>
      <c r="Y7065">
        <v>9.2527209999999999E-2</v>
      </c>
      <c r="Z7065">
        <v>-1.9733420000000002E-2</v>
      </c>
      <c r="AA7065">
        <v>0.99551460000000003</v>
      </c>
      <c r="AB7065">
        <v>5</v>
      </c>
      <c r="AC7065">
        <v>0.62319999999999698</v>
      </c>
      <c r="AD7065">
        <v>-0.22001390000000001</v>
      </c>
      <c r="AE7065">
        <v>-5.7499999999976098E-2</v>
      </c>
      <c r="AF7065">
        <v>5.8645684734508E-2</v>
      </c>
      <c r="AG7065">
        <v>-0.22001390000000001</v>
      </c>
      <c r="AH7065">
        <v>0.55391341220819201</v>
      </c>
      <c r="AI7065">
        <v>111.553594406778</v>
      </c>
      <c r="AJ7065">
        <v>83.956314003871796</v>
      </c>
      <c r="AK7065">
        <v>0.59888688477483898</v>
      </c>
      <c r="AL7065">
        <v>82.223072282009298</v>
      </c>
      <c r="AM7065">
        <v>88.016234833322301</v>
      </c>
      <c r="AN7065">
        <v>1.0000000008759</v>
      </c>
    </row>
    <row r="7066" spans="1:40" x14ac:dyDescent="0.25">
      <c r="A7066" t="str">
        <f>"20190303162442090"</f>
        <v>20190303162442090</v>
      </c>
      <c r="B7066" t="str">
        <f>"1551601482081780"</f>
        <v>1551601482081780</v>
      </c>
      <c r="C7066" t="s">
        <v>40</v>
      </c>
      <c r="D7066">
        <v>5.0669329999999997</v>
      </c>
      <c r="E7066">
        <v>0.45671539999999999</v>
      </c>
      <c r="F7066" t="s">
        <v>42</v>
      </c>
      <c r="G7066">
        <v>-149.54390000000001</v>
      </c>
      <c r="H7066">
        <v>0.82818959999999997</v>
      </c>
      <c r="I7066">
        <v>138.58619999999999</v>
      </c>
      <c r="J7066">
        <v>-149.9503</v>
      </c>
      <c r="K7066">
        <v>1.1221139999999901</v>
      </c>
      <c r="L7066">
        <v>138.62889999999999</v>
      </c>
      <c r="M7066">
        <v>0.99972399999999995</v>
      </c>
      <c r="N7066">
        <v>-2.0728139999999999E-2</v>
      </c>
      <c r="O7066">
        <v>1.1056679999999999E-2</v>
      </c>
      <c r="P7066">
        <v>0.99324190000000001</v>
      </c>
      <c r="Q7066">
        <v>0.1136733</v>
      </c>
      <c r="R7066">
        <v>-2.3429729999999999E-2</v>
      </c>
      <c r="S7066">
        <v>3.1848749999999999</v>
      </c>
      <c r="T7066">
        <v>-1.4661630000000001</v>
      </c>
      <c r="U7066">
        <v>-0.21192929999999999</v>
      </c>
      <c r="V7066">
        <v>3.4422899999999999E-2</v>
      </c>
      <c r="W7066">
        <v>0.1342275</v>
      </c>
      <c r="X7066">
        <v>0.99035249999999997</v>
      </c>
      <c r="Y7066">
        <v>6.9122580000000003E-2</v>
      </c>
      <c r="Z7066">
        <v>-2.0507979999999999E-2</v>
      </c>
      <c r="AA7066">
        <v>0.99739739999999999</v>
      </c>
      <c r="AB7066">
        <v>5</v>
      </c>
      <c r="AC7066">
        <v>0.40639999999998999</v>
      </c>
      <c r="AD7066">
        <v>-0.29392439999999898</v>
      </c>
      <c r="AE7066">
        <v>-4.2699999999996401E-2</v>
      </c>
      <c r="AF7066">
        <v>3.11011763197373E-2</v>
      </c>
      <c r="AG7066">
        <v>-0.29392439999999898</v>
      </c>
      <c r="AH7066">
        <v>0.26750540039394199</v>
      </c>
      <c r="AI7066">
        <v>137.50262684236799</v>
      </c>
      <c r="AJ7066">
        <v>83.368352422744806</v>
      </c>
      <c r="AK7066">
        <v>0.39864517471525301</v>
      </c>
      <c r="AL7066">
        <v>82.286047784110494</v>
      </c>
      <c r="AM7066">
        <v>88.009301535359299</v>
      </c>
      <c r="AN7066">
        <v>1.0000000160284499</v>
      </c>
    </row>
    <row r="7067" spans="1:40" x14ac:dyDescent="0.25">
      <c r="A7067" t="str">
        <f>"20190303162442113"</f>
        <v>20190303162442113</v>
      </c>
      <c r="B7067" t="str">
        <f>"1551601482102276"</f>
        <v>1551601482102276</v>
      </c>
      <c r="C7067" t="s">
        <v>40</v>
      </c>
      <c r="D7067">
        <v>6.1272029999999997</v>
      </c>
      <c r="E7067">
        <v>0.45793929999999999</v>
      </c>
      <c r="F7067" t="s">
        <v>42</v>
      </c>
      <c r="G7067">
        <v>-149.27099999999999</v>
      </c>
      <c r="H7067">
        <v>0.88170389999999998</v>
      </c>
      <c r="I7067">
        <v>138.69309999999999</v>
      </c>
      <c r="J7067">
        <v>-149.9074</v>
      </c>
      <c r="K7067">
        <v>1.1221219999999901</v>
      </c>
      <c r="L7067">
        <v>138.62880000000001</v>
      </c>
      <c r="M7067">
        <v>0.99973000000000001</v>
      </c>
      <c r="N7067">
        <v>-2.067476E-2</v>
      </c>
      <c r="O7067">
        <v>1.060739E-2</v>
      </c>
      <c r="P7067">
        <v>0.99317129999999998</v>
      </c>
      <c r="Q7067">
        <v>0.11418209999999999</v>
      </c>
      <c r="R7067">
        <v>-2.3944719999999999E-2</v>
      </c>
      <c r="S7067">
        <v>3.1552579999999999</v>
      </c>
      <c r="T7067">
        <v>-1.1165590000000001</v>
      </c>
      <c r="U7067">
        <v>0.2986298</v>
      </c>
      <c r="V7067">
        <v>3.4489400000000003E-2</v>
      </c>
      <c r="W7067">
        <v>0.13468250000000001</v>
      </c>
      <c r="X7067">
        <v>0.99028839999999996</v>
      </c>
      <c r="Y7067">
        <v>-7.9157199999999997E-2</v>
      </c>
      <c r="Z7067">
        <v>1.098845E-2</v>
      </c>
      <c r="AA7067">
        <v>0.99680159999999995</v>
      </c>
      <c r="AB7067">
        <v>4</v>
      </c>
      <c r="AC7067">
        <v>0.63639999999997998</v>
      </c>
      <c r="AD7067">
        <v>-0.240418099999999</v>
      </c>
      <c r="AE7067">
        <v>6.4299999999974405E-2</v>
      </c>
      <c r="AF7067">
        <v>-5.0421181070448698E-2</v>
      </c>
      <c r="AG7067">
        <v>-0.240418099999999</v>
      </c>
      <c r="AH7067">
        <v>0.55818870023251799</v>
      </c>
      <c r="AI7067">
        <v>113.21762125893299</v>
      </c>
      <c r="AJ7067">
        <v>95.161519261025603</v>
      </c>
      <c r="AK7067">
        <v>0.60985062382145405</v>
      </c>
      <c r="AL7067">
        <v>82.259739228765596</v>
      </c>
      <c r="AM7067">
        <v>88.005329901119694</v>
      </c>
      <c r="AN7067">
        <v>1.00000000484658</v>
      </c>
    </row>
    <row r="7068" spans="1:40" x14ac:dyDescent="0.25">
      <c r="A7068" t="str">
        <f>"20190303162442136"</f>
        <v>20190303162442136</v>
      </c>
      <c r="B7068" t="str">
        <f>"1551601482131556"</f>
        <v>1551601482131556</v>
      </c>
      <c r="C7068" t="s">
        <v>40</v>
      </c>
      <c r="D7068">
        <v>5.3730570000000002</v>
      </c>
      <c r="E7068">
        <v>0.4773442</v>
      </c>
      <c r="F7068" t="s">
        <v>42</v>
      </c>
      <c r="G7068">
        <v>-149.2071</v>
      </c>
      <c r="H7068">
        <v>0.94169899999999995</v>
      </c>
      <c r="I7068">
        <v>138.69220000000001</v>
      </c>
      <c r="J7068">
        <v>-149.86689999999999</v>
      </c>
      <c r="K7068">
        <v>1.122125</v>
      </c>
      <c r="L7068">
        <v>138.62880000000001</v>
      </c>
      <c r="M7068">
        <v>0.99973540000000005</v>
      </c>
      <c r="N7068">
        <v>-2.0628179999999999E-2</v>
      </c>
      <c r="O7068">
        <v>1.0183599999999999E-2</v>
      </c>
      <c r="P7068">
        <v>0.9930563</v>
      </c>
      <c r="Q7068">
        <v>0.11514729999999999</v>
      </c>
      <c r="R7068">
        <v>-2.4090090000000002E-2</v>
      </c>
      <c r="S7068">
        <v>3.1198579999999998</v>
      </c>
      <c r="T7068">
        <v>-0.803705</v>
      </c>
      <c r="U7068">
        <v>0.28263850000000001</v>
      </c>
      <c r="V7068">
        <v>3.4211150000000003E-2</v>
      </c>
      <c r="W7068">
        <v>0.1356</v>
      </c>
      <c r="X7068">
        <v>0.99017279999999996</v>
      </c>
      <c r="Y7068">
        <v>-7.7630939999999996E-2</v>
      </c>
      <c r="Z7068">
        <v>8.2664119999999904E-3</v>
      </c>
      <c r="AA7068">
        <v>0.9969479</v>
      </c>
      <c r="AB7068">
        <v>4</v>
      </c>
      <c r="AC7068">
        <v>0.65979999999998995</v>
      </c>
      <c r="AD7068">
        <v>-0.180426</v>
      </c>
      <c r="AE7068">
        <v>6.34000000000014E-2</v>
      </c>
      <c r="AF7068">
        <v>-5.2766471794030899E-2</v>
      </c>
      <c r="AG7068">
        <v>-0.180426</v>
      </c>
      <c r="AH7068">
        <v>0.614854613197376</v>
      </c>
      <c r="AI7068">
        <v>106.29735248687599</v>
      </c>
      <c r="AJ7068">
        <v>94.905072727020595</v>
      </c>
      <c r="AK7068">
        <v>0.64294948276803598</v>
      </c>
      <c r="AL7068">
        <v>82.206683349124305</v>
      </c>
      <c r="AM7068">
        <v>88.021178639359505</v>
      </c>
      <c r="AN7068">
        <v>0.99999996832208005</v>
      </c>
    </row>
    <row r="7069" spans="1:40" x14ac:dyDescent="0.25">
      <c r="A7069" t="str">
        <f>"20190303162442161"</f>
        <v>20190303162442161</v>
      </c>
      <c r="B7069" t="str">
        <f>"1551601482152053"</f>
        <v>1551601482152053</v>
      </c>
      <c r="C7069" t="s">
        <v>40</v>
      </c>
      <c r="D7069">
        <v>5.601102</v>
      </c>
      <c r="E7069">
        <v>0.47250969999999998</v>
      </c>
      <c r="F7069" t="s">
        <v>41</v>
      </c>
      <c r="G7069">
        <v>-133.76490000000001</v>
      </c>
      <c r="H7069" s="1">
        <v>-2.7221609999999999E-6</v>
      </c>
      <c r="I7069">
        <v>139.24969999999999</v>
      </c>
      <c r="J7069">
        <v>-149.82249999999999</v>
      </c>
      <c r="K7069">
        <v>1.122131</v>
      </c>
      <c r="L7069">
        <v>138.62870000000001</v>
      </c>
      <c r="M7069">
        <v>0.99974079999999999</v>
      </c>
      <c r="N7069">
        <v>-2.0582369999999999E-2</v>
      </c>
      <c r="O7069">
        <v>9.7223450000000003E-3</v>
      </c>
      <c r="P7069">
        <v>0.99309709999999995</v>
      </c>
      <c r="Q7069">
        <v>0.1149353</v>
      </c>
      <c r="R7069">
        <v>-2.3411680000000001E-2</v>
      </c>
      <c r="S7069">
        <v>3.0484770000000001</v>
      </c>
      <c r="T7069">
        <v>-0.2124451</v>
      </c>
      <c r="U7069">
        <v>0.1175537</v>
      </c>
      <c r="V7069">
        <v>3.3073289999999998E-2</v>
      </c>
      <c r="W7069">
        <v>0.1353444</v>
      </c>
      <c r="X7069">
        <v>0.99024650000000003</v>
      </c>
      <c r="Y7069">
        <v>-2.873527E-2</v>
      </c>
      <c r="Z7069">
        <v>8.1947529999999995E-4</v>
      </c>
      <c r="AA7069">
        <v>0.99958670000000005</v>
      </c>
      <c r="AB7069">
        <v>4</v>
      </c>
      <c r="AC7069">
        <v>16.057599999999901</v>
      </c>
      <c r="AD7069">
        <v>-1.1221337221609999</v>
      </c>
      <c r="AE7069">
        <v>0.62099999999998001</v>
      </c>
      <c r="AF7069">
        <v>-0.46256447423509101</v>
      </c>
      <c r="AG7069">
        <v>-1.1221337221609999</v>
      </c>
      <c r="AH7069">
        <v>15.984934333400799</v>
      </c>
      <c r="AI7069">
        <v>94.013870423186404</v>
      </c>
      <c r="AJ7069">
        <v>91.657535626494393</v>
      </c>
      <c r="AK7069">
        <v>16.030947433834701</v>
      </c>
      <c r="AL7069">
        <v>82.221464975896893</v>
      </c>
      <c r="AM7069">
        <v>88.087086603339102</v>
      </c>
      <c r="AN7069">
        <v>1.00000003994251</v>
      </c>
    </row>
    <row r="7070" spans="1:40" x14ac:dyDescent="0.25">
      <c r="A7070" t="str">
        <f>"20190303162442192"</f>
        <v>20190303162442192</v>
      </c>
      <c r="B7070" t="str">
        <f>"1551601482182308"</f>
        <v>1551601482182308</v>
      </c>
      <c r="C7070" t="s">
        <v>40</v>
      </c>
      <c r="D7070">
        <v>5.5787820000000004</v>
      </c>
      <c r="E7070">
        <v>0.47019260000000002</v>
      </c>
      <c r="F7070" t="s">
        <v>41</v>
      </c>
      <c r="G7070">
        <v>-128.80629999999999</v>
      </c>
      <c r="H7070" s="1">
        <v>-5.2027759999999997E-7</v>
      </c>
      <c r="I7070">
        <v>139.71340000000001</v>
      </c>
      <c r="J7070">
        <v>-149.77520000000001</v>
      </c>
      <c r="K7070">
        <v>1.122134</v>
      </c>
      <c r="L7070">
        <v>138.6285</v>
      </c>
      <c r="M7070">
        <v>0.99974640000000004</v>
      </c>
      <c r="N7070">
        <v>-2.0540360000000001E-2</v>
      </c>
      <c r="O7070">
        <v>9.2354740000000005E-3</v>
      </c>
      <c r="P7070">
        <v>0.99326709999999996</v>
      </c>
      <c r="Q7070">
        <v>0.11375209999999999</v>
      </c>
      <c r="R7070">
        <v>-2.1934370000000002E-2</v>
      </c>
      <c r="S7070">
        <v>3.0433810000000001</v>
      </c>
      <c r="T7070">
        <v>-0.16249659999999999</v>
      </c>
      <c r="U7070">
        <v>0.15708920000000001</v>
      </c>
      <c r="V7070">
        <v>3.111133E-2</v>
      </c>
      <c r="W7070">
        <v>0.13412489999999999</v>
      </c>
      <c r="X7070">
        <v>0.99047600000000002</v>
      </c>
      <c r="Y7070">
        <v>-4.2242509999999997E-2</v>
      </c>
      <c r="Z7070">
        <v>1.257909E-3</v>
      </c>
      <c r="AA7070">
        <v>0.99910659999999896</v>
      </c>
      <c r="AB7070">
        <v>4</v>
      </c>
      <c r="AC7070">
        <v>20.968900000000001</v>
      </c>
      <c r="AD7070">
        <v>-1.1221345202776001</v>
      </c>
      <c r="AE7070">
        <v>1.0849</v>
      </c>
      <c r="AF7070">
        <v>-0.88861711808024202</v>
      </c>
      <c r="AG7070">
        <v>-1.1221345202776001</v>
      </c>
      <c r="AH7070">
        <v>20.918281748715501</v>
      </c>
      <c r="AI7070">
        <v>93.067854258791499</v>
      </c>
      <c r="AJ7070">
        <v>92.432485515732296</v>
      </c>
      <c r="AK7070">
        <v>20.967196703011702</v>
      </c>
      <c r="AL7070">
        <v>82.291980275982596</v>
      </c>
      <c r="AM7070">
        <v>88.200903384570196</v>
      </c>
      <c r="AN7070">
        <v>1.00000005511518</v>
      </c>
    </row>
    <row r="7071" spans="1:40" x14ac:dyDescent="0.25">
      <c r="A7071" t="str">
        <f>"20190303162442213"</f>
        <v>20190303162442213</v>
      </c>
      <c r="B7071" t="str">
        <f>"1551601482201829"</f>
        <v>1551601482201829</v>
      </c>
      <c r="C7071" t="s">
        <v>40</v>
      </c>
      <c r="D7071">
        <v>5.3896540000000002</v>
      </c>
      <c r="E7071">
        <v>0.46896870000000002</v>
      </c>
      <c r="F7071" t="s">
        <v>41</v>
      </c>
      <c r="G7071">
        <v>-129.88239999999999</v>
      </c>
      <c r="H7071" s="1">
        <v>-8.2633929999999995E-8</v>
      </c>
      <c r="I7071">
        <v>139.80369999999999</v>
      </c>
      <c r="J7071">
        <v>-149.7405</v>
      </c>
      <c r="K7071">
        <v>1.122136</v>
      </c>
      <c r="L7071">
        <v>138.6284</v>
      </c>
      <c r="M7071">
        <v>0.99975009999999997</v>
      </c>
      <c r="N7071">
        <v>-2.051275E-2</v>
      </c>
      <c r="O7071">
        <v>8.8848999999999994E-3</v>
      </c>
      <c r="P7071">
        <v>0.99322969999999999</v>
      </c>
      <c r="Q7071">
        <v>0.11428969999999999</v>
      </c>
      <c r="R7071">
        <v>-2.0803200000000001E-2</v>
      </c>
      <c r="S7071">
        <v>3.0439759999999998</v>
      </c>
      <c r="T7071">
        <v>-0.1717079</v>
      </c>
      <c r="U7071">
        <v>0.17982479999999901</v>
      </c>
      <c r="V7071">
        <v>2.9629220000000001E-2</v>
      </c>
      <c r="W7071">
        <v>0.13463530000000001</v>
      </c>
      <c r="X7071">
        <v>0.9904522</v>
      </c>
      <c r="Y7071">
        <v>-4.9996739999999998E-2</v>
      </c>
      <c r="Z7071">
        <v>1.603349E-3</v>
      </c>
      <c r="AA7071">
        <v>0.99874810000000003</v>
      </c>
      <c r="AB7071">
        <v>4</v>
      </c>
      <c r="AC7071">
        <v>19.8581</v>
      </c>
      <c r="AD7071">
        <v>-1.1221360826339299</v>
      </c>
      <c r="AE7071">
        <v>1.17529999999999</v>
      </c>
      <c r="AF7071">
        <v>-0.995611211033402</v>
      </c>
      <c r="AG7071">
        <v>-1.1221360826339299</v>
      </c>
      <c r="AH7071">
        <v>19.804742224556598</v>
      </c>
      <c r="AI7071">
        <v>93.238828477028804</v>
      </c>
      <c r="AJ7071">
        <v>92.8779136940489</v>
      </c>
      <c r="AK7071">
        <v>19.861476421772402</v>
      </c>
      <c r="AL7071">
        <v>82.262468857792001</v>
      </c>
      <c r="AM7071">
        <v>88.286516879373096</v>
      </c>
      <c r="AN7071">
        <v>1.0000000575843599</v>
      </c>
    </row>
    <row r="7072" spans="1:40" x14ac:dyDescent="0.25">
      <c r="A7072" t="str">
        <f>"20190303162442236"</f>
        <v>20190303162442236</v>
      </c>
      <c r="B7072" t="str">
        <f>"1551601482222324"</f>
        <v>1551601482222324</v>
      </c>
      <c r="C7072" t="s">
        <v>40</v>
      </c>
      <c r="D7072">
        <v>5.6590809999999996</v>
      </c>
      <c r="E7072">
        <v>0.46821669999999999</v>
      </c>
      <c r="F7072" t="s">
        <v>41</v>
      </c>
      <c r="G7072">
        <v>-130.7319</v>
      </c>
      <c r="H7072" s="1">
        <v>-4.0173929999999999E-6</v>
      </c>
      <c r="I7072">
        <v>139.83840000000001</v>
      </c>
      <c r="J7072">
        <v>-149.7072</v>
      </c>
      <c r="K7072">
        <v>1.1221319999999999</v>
      </c>
      <c r="L7072">
        <v>138.6283</v>
      </c>
      <c r="M7072">
        <v>0.99975349999999996</v>
      </c>
      <c r="N7072">
        <v>-2.0488610000000001E-2</v>
      </c>
      <c r="O7072">
        <v>8.554196E-3</v>
      </c>
      <c r="P7072">
        <v>0.99322339999999998</v>
      </c>
      <c r="Q7072">
        <v>0.1143855</v>
      </c>
      <c r="R7072">
        <v>-2.057645E-2</v>
      </c>
      <c r="S7072">
        <v>3.0451969999999999</v>
      </c>
      <c r="T7072">
        <v>-0.17976809999999999</v>
      </c>
      <c r="U7072">
        <v>0.19384770000000001</v>
      </c>
      <c r="V7072">
        <v>2.9071690000000001E-2</v>
      </c>
      <c r="W7072">
        <v>0.13470760000000001</v>
      </c>
      <c r="X7072">
        <v>0.99045879999999997</v>
      </c>
      <c r="Y7072">
        <v>-5.4865249999999997E-2</v>
      </c>
      <c r="Z7072">
        <v>1.8507630000000001E-3</v>
      </c>
      <c r="AA7072">
        <v>0.99849209999999999</v>
      </c>
      <c r="AB7072">
        <v>3</v>
      </c>
      <c r="AC7072">
        <v>18.975300000000001</v>
      </c>
      <c r="AD7072">
        <v>-1.122136017393</v>
      </c>
      <c r="AE7072">
        <v>1.2101000000000099</v>
      </c>
      <c r="AF7072">
        <v>-1.0440667285446701</v>
      </c>
      <c r="AG7072">
        <v>-1.122136017393</v>
      </c>
      <c r="AH7072">
        <v>18.919064317278501</v>
      </c>
      <c r="AI7072">
        <v>93.389231269934797</v>
      </c>
      <c r="AJ7072">
        <v>93.158718586666296</v>
      </c>
      <c r="AK7072">
        <v>18.981050003003102</v>
      </c>
      <c r="AL7072">
        <v>82.258287588401103</v>
      </c>
      <c r="AM7072">
        <v>88.318751830499806</v>
      </c>
      <c r="AN7072">
        <v>0.99999996757732701</v>
      </c>
    </row>
    <row r="7073" spans="1:40" x14ac:dyDescent="0.25">
      <c r="A7073" t="str">
        <f>"20190303162442258"</f>
        <v>20190303162442258</v>
      </c>
      <c r="B7073" t="str">
        <f>"1551601482251605"</f>
        <v>1551601482251605</v>
      </c>
      <c r="C7073" t="s">
        <v>40</v>
      </c>
      <c r="D7073">
        <v>5.6762329999999999</v>
      </c>
      <c r="E7073">
        <v>0.46722619999999998</v>
      </c>
      <c r="F7073" t="s">
        <v>41</v>
      </c>
      <c r="G7073">
        <v>-130.9854</v>
      </c>
      <c r="H7073" s="1">
        <v>-3.9162589999999996E-6</v>
      </c>
      <c r="I7073">
        <v>139.86699999999999</v>
      </c>
      <c r="J7073">
        <v>-149.67590000000001</v>
      </c>
      <c r="K7073">
        <v>1.1221270000000001</v>
      </c>
      <c r="L7073">
        <v>138.62819999999999</v>
      </c>
      <c r="M7073">
        <v>0.99975650000000005</v>
      </c>
      <c r="N7073">
        <v>-2.0468099999999999E-2</v>
      </c>
      <c r="O7073">
        <v>8.2500919999999901E-3</v>
      </c>
      <c r="P7073">
        <v>0.993363</v>
      </c>
      <c r="Q7073">
        <v>0.1132013</v>
      </c>
      <c r="R7073">
        <v>-2.0384909999999999E-2</v>
      </c>
      <c r="S7073">
        <v>3.0456699999999999</v>
      </c>
      <c r="T7073">
        <v>-0.1825494</v>
      </c>
      <c r="U7073">
        <v>0.20150760000000001</v>
      </c>
      <c r="V7073">
        <v>2.857707E-2</v>
      </c>
      <c r="W7073">
        <v>0.13350680000000001</v>
      </c>
      <c r="X7073">
        <v>0.99063579999999996</v>
      </c>
      <c r="Y7073">
        <v>-5.7649600000000002E-2</v>
      </c>
      <c r="Z7073">
        <v>1.9907969999999999E-3</v>
      </c>
      <c r="AA7073">
        <v>0.99833490000000003</v>
      </c>
      <c r="AB7073">
        <v>3</v>
      </c>
      <c r="AC7073">
        <v>18.6905</v>
      </c>
      <c r="AD7073">
        <v>-1.1221309162590001</v>
      </c>
      <c r="AE7073">
        <v>1.2388000000000201</v>
      </c>
      <c r="AF7073">
        <v>-1.08064900876336</v>
      </c>
      <c r="AG7073">
        <v>-1.1221309162590001</v>
      </c>
      <c r="AH7073">
        <v>18.633216303585598</v>
      </c>
      <c r="AI7073">
        <v>93.440541029898299</v>
      </c>
      <c r="AJ7073">
        <v>93.319198729480902</v>
      </c>
      <c r="AK7073">
        <v>18.6982279879558</v>
      </c>
      <c r="AL7073">
        <v>82.327715782575794</v>
      </c>
      <c r="AM7073">
        <v>88.347635377071498</v>
      </c>
      <c r="AN7073">
        <v>1.0000000014088299</v>
      </c>
    </row>
    <row r="7074" spans="1:40" x14ac:dyDescent="0.25">
      <c r="A7074" t="str">
        <f>"20190303162442280"</f>
        <v>20190303162442280</v>
      </c>
      <c r="B7074" t="str">
        <f>"1551601482272100"</f>
        <v>1551601482272100</v>
      </c>
      <c r="C7074" t="s">
        <v>40</v>
      </c>
      <c r="D7074">
        <v>5.6706029999999998</v>
      </c>
      <c r="E7074">
        <v>0.46673019999999998</v>
      </c>
      <c r="F7074" t="s">
        <v>41</v>
      </c>
      <c r="G7074">
        <v>-131.7938</v>
      </c>
      <c r="H7074" s="1">
        <v>-3.567202E-6</v>
      </c>
      <c r="I7074">
        <v>139.85839999999999</v>
      </c>
      <c r="J7074">
        <v>-149.64660000000001</v>
      </c>
      <c r="K7074">
        <v>1.1221190000000001</v>
      </c>
      <c r="L7074">
        <v>138.62819999999999</v>
      </c>
      <c r="M7074">
        <v>0.99975930000000002</v>
      </c>
      <c r="N7074">
        <v>-2.044402E-2</v>
      </c>
      <c r="O7074">
        <v>7.9752169999999997E-3</v>
      </c>
      <c r="P7074">
        <v>0.99368129999999999</v>
      </c>
      <c r="Q7074">
        <v>0.1104849</v>
      </c>
      <c r="R7074">
        <v>-1.9764650000000002E-2</v>
      </c>
      <c r="S7074">
        <v>3.0461269999999998</v>
      </c>
      <c r="T7074">
        <v>-0.19114909999999999</v>
      </c>
      <c r="U7074">
        <v>0.20956420000000001</v>
      </c>
      <c r="V7074">
        <v>2.7684319999999998E-2</v>
      </c>
      <c r="W7074">
        <v>0.13077440000000001</v>
      </c>
      <c r="X7074">
        <v>0.99102559999999995</v>
      </c>
      <c r="Y7074">
        <v>-6.0524210000000002E-2</v>
      </c>
      <c r="Z7074">
        <v>2.1786079999999998E-3</v>
      </c>
      <c r="AA7074">
        <v>0.99816439999999995</v>
      </c>
      <c r="AB7074">
        <v>3</v>
      </c>
      <c r="AC7074">
        <v>17.852799999999998</v>
      </c>
      <c r="AD7074">
        <v>-1.1221225672020001</v>
      </c>
      <c r="AE7074">
        <v>1.23019999999999</v>
      </c>
      <c r="AF7074">
        <v>-1.0834909000353099</v>
      </c>
      <c r="AG7074">
        <v>-1.1221225672020001</v>
      </c>
      <c r="AH7074">
        <v>17.7920871370419</v>
      </c>
      <c r="AI7074">
        <v>93.602131143619502</v>
      </c>
      <c r="AJ7074">
        <v>93.484857355794702</v>
      </c>
      <c r="AK7074">
        <v>17.860332479502599</v>
      </c>
      <c r="AL7074">
        <v>82.485656187801098</v>
      </c>
      <c r="AM7074">
        <v>88.399857396235703</v>
      </c>
      <c r="AN7074">
        <v>1.0000000525622801</v>
      </c>
    </row>
    <row r="7075" spans="1:40" x14ac:dyDescent="0.25">
      <c r="A7075" t="str">
        <f>"20190303162442304"</f>
        <v>20190303162442304</v>
      </c>
      <c r="B7075" t="str">
        <f>"1551601482291621"</f>
        <v>1551601482291621</v>
      </c>
      <c r="C7075" t="s">
        <v>40</v>
      </c>
      <c r="D7075">
        <v>5.6734470000000004</v>
      </c>
      <c r="E7075">
        <v>0.46644740000000001</v>
      </c>
      <c r="F7075" t="s">
        <v>41</v>
      </c>
      <c r="G7075">
        <v>-132.90280000000001</v>
      </c>
      <c r="H7075" s="1">
        <v>-3.0775359999999999E-6</v>
      </c>
      <c r="I7075">
        <v>139.80629999999999</v>
      </c>
      <c r="J7075">
        <v>-149.61850000000001</v>
      </c>
      <c r="K7075">
        <v>1.1221159999999999</v>
      </c>
      <c r="L7075">
        <v>138.62809999999999</v>
      </c>
      <c r="M7075">
        <v>0.99976189999999998</v>
      </c>
      <c r="N7075">
        <v>-2.0411640000000002E-2</v>
      </c>
      <c r="O7075">
        <v>7.7203280000000003E-3</v>
      </c>
      <c r="P7075">
        <v>0.99386549999999996</v>
      </c>
      <c r="Q7075">
        <v>0.10889219999999999</v>
      </c>
      <c r="R7075">
        <v>-1.9339869999999999E-2</v>
      </c>
      <c r="S7075">
        <v>3.046036</v>
      </c>
      <c r="T7075">
        <v>-0.20413629999999999</v>
      </c>
      <c r="U7075">
        <v>0.21432499999999999</v>
      </c>
      <c r="V7075">
        <v>2.7005580000000001E-2</v>
      </c>
      <c r="W7075">
        <v>0.1291542</v>
      </c>
      <c r="X7075">
        <v>0.99125669999999999</v>
      </c>
      <c r="Y7075">
        <v>-6.2310030000000002E-2</v>
      </c>
      <c r="Z7075">
        <v>2.3618710000000002E-3</v>
      </c>
      <c r="AA7075">
        <v>0.998054</v>
      </c>
      <c r="AB7075">
        <v>3</v>
      </c>
      <c r="AC7075">
        <v>16.715699999999998</v>
      </c>
      <c r="AD7075">
        <v>-1.1221190775359999</v>
      </c>
      <c r="AE7075">
        <v>1.1781999999999999</v>
      </c>
      <c r="AF7075">
        <v>-1.0444040746982499</v>
      </c>
      <c r="AG7075">
        <v>-1.1221190775359999</v>
      </c>
      <c r="AH7075">
        <v>16.6496407537633</v>
      </c>
      <c r="AI7075">
        <v>93.848134576389995</v>
      </c>
      <c r="AJ7075">
        <v>93.589365339833293</v>
      </c>
      <c r="AK7075">
        <v>16.720061851703601</v>
      </c>
      <c r="AL7075">
        <v>82.579280313390697</v>
      </c>
      <c r="AM7075">
        <v>88.439432377013802</v>
      </c>
      <c r="AN7075">
        <v>0.99999997701183296</v>
      </c>
    </row>
    <row r="7076" spans="1:40" x14ac:dyDescent="0.25">
      <c r="A7076" t="str">
        <f>"20190303162442325"</f>
        <v>20190303162442325</v>
      </c>
      <c r="B7076" t="str">
        <f>"1551601482311647"</f>
        <v>1551601482311647</v>
      </c>
      <c r="C7076" t="s">
        <v>40</v>
      </c>
      <c r="D7076">
        <v>5.7328710000000003</v>
      </c>
      <c r="E7076">
        <v>0.4661072</v>
      </c>
      <c r="F7076" t="s">
        <v>41</v>
      </c>
      <c r="G7076">
        <v>-133.58160000000001</v>
      </c>
      <c r="H7076" s="1">
        <v>-2.776622E-6</v>
      </c>
      <c r="I7076">
        <v>139.7698</v>
      </c>
      <c r="J7076">
        <v>-149.59209999999999</v>
      </c>
      <c r="K7076">
        <v>1.1221179999999999</v>
      </c>
      <c r="L7076">
        <v>138.62799999999999</v>
      </c>
      <c r="M7076">
        <v>0.99976430000000005</v>
      </c>
      <c r="N7076">
        <v>-2.037798E-2</v>
      </c>
      <c r="O7076">
        <v>7.4922590000000002E-3</v>
      </c>
      <c r="P7076">
        <v>0.99392309999999995</v>
      </c>
      <c r="Q7076">
        <v>0.10829129999999999</v>
      </c>
      <c r="R7076">
        <v>-1.9753199999999999E-2</v>
      </c>
      <c r="S7076">
        <v>3.0460970000000001</v>
      </c>
      <c r="T7076">
        <v>-0.21313850000000001</v>
      </c>
      <c r="U7076">
        <v>0.21685789999999999</v>
      </c>
      <c r="V7076">
        <v>2.7191E-2</v>
      </c>
      <c r="W7076">
        <v>0.12852149999999901</v>
      </c>
      <c r="X7076">
        <v>0.99133389999999999</v>
      </c>
      <c r="Y7076">
        <v>-6.3345319999999997E-2</v>
      </c>
      <c r="Z7076">
        <v>2.4874739999999999E-3</v>
      </c>
      <c r="AA7076">
        <v>0.9979886</v>
      </c>
      <c r="AB7076">
        <v>3</v>
      </c>
      <c r="AC7076">
        <v>16.010499999999901</v>
      </c>
      <c r="AD7076">
        <v>-1.122120776622</v>
      </c>
      <c r="AE7076">
        <v>1.1418000000000099</v>
      </c>
      <c r="AF7076">
        <v>-1.0168187491121401</v>
      </c>
      <c r="AG7076">
        <v>-1.122120776622</v>
      </c>
      <c r="AH7076">
        <v>15.940700391234399</v>
      </c>
      <c r="AI7076">
        <v>94.018464859511298</v>
      </c>
      <c r="AJ7076">
        <v>93.649814460789997</v>
      </c>
      <c r="AK7076">
        <v>16.012464031777601</v>
      </c>
      <c r="AL7076">
        <v>82.615836295439394</v>
      </c>
      <c r="AM7076">
        <v>88.428845192552302</v>
      </c>
      <c r="AN7076">
        <v>1.0000000138662299</v>
      </c>
    </row>
    <row r="7077" spans="1:40" x14ac:dyDescent="0.25">
      <c r="A7077" t="str">
        <f>"20190303162442348"</f>
        <v>20190303162442348</v>
      </c>
      <c r="B7077" t="str">
        <f>"1551601482341904"</f>
        <v>1551601482341904</v>
      </c>
      <c r="C7077" t="s">
        <v>40</v>
      </c>
      <c r="D7077">
        <v>5.6671680000000002</v>
      </c>
      <c r="E7077">
        <v>0.46576699999999999</v>
      </c>
      <c r="F7077" t="s">
        <v>41</v>
      </c>
      <c r="G7077">
        <v>-133.97280000000001</v>
      </c>
      <c r="H7077" s="1">
        <v>-2.602123E-6</v>
      </c>
      <c r="I7077">
        <v>139.74469999999999</v>
      </c>
      <c r="J7077">
        <v>-149.5669</v>
      </c>
      <c r="K7077">
        <v>1.122117</v>
      </c>
      <c r="L7077">
        <v>138.62790000000001</v>
      </c>
      <c r="M7077">
        <v>0.9997665</v>
      </c>
      <c r="N7077">
        <v>-2.034855E-2</v>
      </c>
      <c r="O7077">
        <v>7.2837850000000001E-3</v>
      </c>
      <c r="P7077">
        <v>0.99386479999999999</v>
      </c>
      <c r="Q7077">
        <v>0.1087002</v>
      </c>
      <c r="R7077">
        <v>-2.042281E-2</v>
      </c>
      <c r="S7077">
        <v>3.046494</v>
      </c>
      <c r="T7077">
        <v>-0.2188659</v>
      </c>
      <c r="U7077">
        <v>0.217804</v>
      </c>
      <c r="V7077">
        <v>2.76514E-2</v>
      </c>
      <c r="W7077">
        <v>0.1289003</v>
      </c>
      <c r="X7077">
        <v>0.99127200000000004</v>
      </c>
      <c r="Y7077">
        <v>-6.3841869999999995E-2</v>
      </c>
      <c r="Z7077">
        <v>2.56492E-3</v>
      </c>
      <c r="AA7077">
        <v>0.99795679999999998</v>
      </c>
      <c r="AB7077">
        <v>3</v>
      </c>
      <c r="AC7077">
        <v>15.5940999999999</v>
      </c>
      <c r="AD7077">
        <v>-1.122119602123</v>
      </c>
      <c r="AE7077">
        <v>1.11679999999998</v>
      </c>
      <c r="AF7077">
        <v>-0.99802144431598705</v>
      </c>
      <c r="AG7077">
        <v>-1.122119602123</v>
      </c>
      <c r="AH7077">
        <v>15.521861109567499</v>
      </c>
      <c r="AI7077">
        <v>94.126390627269302</v>
      </c>
      <c r="AJ7077">
        <v>93.678928049139998</v>
      </c>
      <c r="AK7077">
        <v>15.5943378028529</v>
      </c>
      <c r="AL7077">
        <v>82.593950752387698</v>
      </c>
      <c r="AM7077">
        <v>88.402156239552198</v>
      </c>
      <c r="AN7077">
        <v>1.0000000326230201</v>
      </c>
    </row>
    <row r="7078" spans="1:40" x14ac:dyDescent="0.25">
      <c r="A7078" t="str">
        <f>"20190303162442372"</f>
        <v>20190303162442372</v>
      </c>
      <c r="B7078" t="str">
        <f>"1551601482361423"</f>
        <v>1551601482361423</v>
      </c>
      <c r="C7078" t="s">
        <v>40</v>
      </c>
      <c r="D7078">
        <v>5.7227769999999998</v>
      </c>
      <c r="E7078">
        <v>0.46547080000000002</v>
      </c>
      <c r="F7078" t="s">
        <v>41</v>
      </c>
      <c r="G7078">
        <v>-134.03729999999999</v>
      </c>
      <c r="H7078" s="1">
        <v>-2.574489E-6</v>
      </c>
      <c r="I7078">
        <v>139.74469999999999</v>
      </c>
      <c r="J7078">
        <v>-149.54300000000001</v>
      </c>
      <c r="K7078">
        <v>1.122115</v>
      </c>
      <c r="L7078">
        <v>138.62790000000001</v>
      </c>
      <c r="M7078">
        <v>0.9997684</v>
      </c>
      <c r="N7078">
        <v>-2.0322969999999999E-2</v>
      </c>
      <c r="O7078">
        <v>7.0948340000000004E-3</v>
      </c>
      <c r="P7078">
        <v>0.99381719999999896</v>
      </c>
      <c r="Q7078">
        <v>0.1089281</v>
      </c>
      <c r="R7078">
        <v>-2.1503830000000002E-2</v>
      </c>
      <c r="S7078">
        <v>3.047104</v>
      </c>
      <c r="T7078">
        <v>-0.2201737</v>
      </c>
      <c r="U7078">
        <v>0.21913150000000001</v>
      </c>
      <c r="V7078">
        <v>2.8543269999999999E-2</v>
      </c>
      <c r="W7078">
        <v>0.12910170000000001</v>
      </c>
      <c r="X7078">
        <v>0.99122049999999995</v>
      </c>
      <c r="Y7078">
        <v>-6.4444619999999994E-2</v>
      </c>
      <c r="Z7078">
        <v>2.6117190000000002E-3</v>
      </c>
      <c r="AA7078">
        <v>0.99791790000000002</v>
      </c>
      <c r="AB7078">
        <v>2</v>
      </c>
      <c r="AC7078">
        <v>15.505699999999999</v>
      </c>
      <c r="AD7078">
        <v>-1.122117574489</v>
      </c>
      <c r="AE7078">
        <v>1.11679999999998</v>
      </c>
      <c r="AF7078">
        <v>-1.0015207660105401</v>
      </c>
      <c r="AG7078">
        <v>-1.122117574489</v>
      </c>
      <c r="AH7078">
        <v>15.432828005356001</v>
      </c>
      <c r="AI7078">
        <v>94.149946658818706</v>
      </c>
      <c r="AJ7078">
        <v>93.713030517129397</v>
      </c>
      <c r="AK7078">
        <v>15.505946341279101</v>
      </c>
      <c r="AL7078">
        <v>82.582314084019103</v>
      </c>
      <c r="AM7078">
        <v>88.350561661778997</v>
      </c>
      <c r="AN7078">
        <v>1.00000002341271</v>
      </c>
    </row>
    <row r="7079" spans="1:40" x14ac:dyDescent="0.25">
      <c r="A7079" t="str">
        <f>"20190303162442393"</f>
        <v>20190303162442393</v>
      </c>
      <c r="B7079" t="str">
        <f>"1551601482381919"</f>
        <v>1551601482381919</v>
      </c>
      <c r="C7079" t="s">
        <v>40</v>
      </c>
      <c r="D7079">
        <v>5.662191</v>
      </c>
      <c r="E7079">
        <v>0.46526319999999999</v>
      </c>
      <c r="F7079" t="s">
        <v>41</v>
      </c>
      <c r="G7079">
        <v>-134.11940000000001</v>
      </c>
      <c r="H7079" s="1">
        <v>-2.5351990000000001E-6</v>
      </c>
      <c r="I7079">
        <v>139.7294</v>
      </c>
      <c r="J7079">
        <v>-149.5223</v>
      </c>
      <c r="K7079">
        <v>1.12212</v>
      </c>
      <c r="L7079">
        <v>138.62780000000001</v>
      </c>
      <c r="M7079">
        <v>0.99977000000000005</v>
      </c>
      <c r="N7079">
        <v>-2.0296970000000001E-2</v>
      </c>
      <c r="O7079">
        <v>6.9385590000000004E-3</v>
      </c>
      <c r="P7079">
        <v>0.99383429999999995</v>
      </c>
      <c r="Q7079">
        <v>0.10882410000000001</v>
      </c>
      <c r="R7079">
        <v>-2.1234570000000001E-2</v>
      </c>
      <c r="S7079">
        <v>3.0476990000000002</v>
      </c>
      <c r="T7079">
        <v>-0.22172990000000001</v>
      </c>
      <c r="U7079">
        <v>0.21766659999999999</v>
      </c>
      <c r="V7079">
        <v>2.8118540000000001E-2</v>
      </c>
      <c r="W7079">
        <v>0.12897310000000001</v>
      </c>
      <c r="X7079">
        <v>0.99124939999999995</v>
      </c>
      <c r="Y7079">
        <v>-6.4108029999999996E-2</v>
      </c>
      <c r="Z7079">
        <v>2.6156730000000002E-3</v>
      </c>
      <c r="AA7079">
        <v>0.99793949999999998</v>
      </c>
      <c r="AB7079">
        <v>2</v>
      </c>
      <c r="AC7079">
        <v>15.402899999999899</v>
      </c>
      <c r="AD7079">
        <v>-1.1221225351989901</v>
      </c>
      <c r="AE7079">
        <v>1.1015999999999899</v>
      </c>
      <c r="AF7079">
        <v>-0.98945290543056696</v>
      </c>
      <c r="AG7079">
        <v>-1.1221225351989901</v>
      </c>
      <c r="AH7079">
        <v>15.329230988843801</v>
      </c>
      <c r="AI7079">
        <v>94.178005543303001</v>
      </c>
      <c r="AJ7079">
        <v>93.693136382946406</v>
      </c>
      <c r="AK7079">
        <v>15.4020615095965</v>
      </c>
      <c r="AL7079">
        <v>82.589744586176707</v>
      </c>
      <c r="AM7079">
        <v>88.375139750708101</v>
      </c>
      <c r="AN7079">
        <v>1.0000000429078499</v>
      </c>
    </row>
    <row r="7080" spans="1:40" x14ac:dyDescent="0.25">
      <c r="A7080" t="str">
        <f>"20190303162442414"</f>
        <v>20190303162442414</v>
      </c>
      <c r="B7080" t="str">
        <f>"1551601482402417"</f>
        <v>1551601482402417</v>
      </c>
      <c r="C7080" t="s">
        <v>40</v>
      </c>
      <c r="D7080">
        <v>5.7257350000000002</v>
      </c>
      <c r="E7080">
        <v>0.4650881</v>
      </c>
      <c r="F7080" t="s">
        <v>41</v>
      </c>
      <c r="G7080">
        <v>-134.2585</v>
      </c>
      <c r="H7080" s="1">
        <v>-2.474961E-6</v>
      </c>
      <c r="I7080">
        <v>139.72730000000001</v>
      </c>
      <c r="J7080">
        <v>-149.5027</v>
      </c>
      <c r="K7080">
        <v>1.1221190000000001</v>
      </c>
      <c r="L7080">
        <v>138.62780000000001</v>
      </c>
      <c r="M7080">
        <v>0.99977179999999999</v>
      </c>
      <c r="N7080">
        <v>-2.02577E-2</v>
      </c>
      <c r="O7080">
        <v>6.7954950000000004E-3</v>
      </c>
      <c r="P7080">
        <v>0.99381109999999995</v>
      </c>
      <c r="Q7080">
        <v>0.1090694</v>
      </c>
      <c r="R7080">
        <v>-2.1055000000000001E-2</v>
      </c>
      <c r="S7080">
        <v>3.0478360000000002</v>
      </c>
      <c r="T7080">
        <v>-0.2240616</v>
      </c>
      <c r="U7080">
        <v>0.2195435</v>
      </c>
      <c r="V7080">
        <v>2.7796709999999999E-2</v>
      </c>
      <c r="W7080">
        <v>0.12917919999999999</v>
      </c>
      <c r="X7080">
        <v>0.99123159999999999</v>
      </c>
      <c r="Y7080">
        <v>-6.4852580000000007E-2</v>
      </c>
      <c r="Z7080">
        <v>2.6756150000000001E-3</v>
      </c>
      <c r="AA7080">
        <v>0.99789119999999998</v>
      </c>
      <c r="AB7080">
        <v>2</v>
      </c>
      <c r="AC7080">
        <v>15.244199999999999</v>
      </c>
      <c r="AD7080">
        <v>-1.122121474961</v>
      </c>
      <c r="AE7080">
        <v>1.0994999999999999</v>
      </c>
      <c r="AF7080">
        <v>-0.99052220333657603</v>
      </c>
      <c r="AG7080">
        <v>-1.122121474961</v>
      </c>
      <c r="AH7080">
        <v>15.169551838173399</v>
      </c>
      <c r="AI7080">
        <v>94.221618350201098</v>
      </c>
      <c r="AJ7080">
        <v>93.735923769126899</v>
      </c>
      <c r="AK7080">
        <v>15.243214680995001</v>
      </c>
      <c r="AL7080">
        <v>82.577836018267405</v>
      </c>
      <c r="AM7080">
        <v>88.393698416764195</v>
      </c>
      <c r="AN7080">
        <v>1.00000000381901</v>
      </c>
    </row>
    <row r="7081" spans="1:40" x14ac:dyDescent="0.25">
      <c r="A7081" t="str">
        <f>"20190303162442439"</f>
        <v>20190303162442439</v>
      </c>
      <c r="B7081" t="str">
        <f>"1551601482432204"</f>
        <v>1551601482432204</v>
      </c>
      <c r="C7081" t="s">
        <v>40</v>
      </c>
      <c r="D7081">
        <v>5.6662530000000002</v>
      </c>
      <c r="E7081">
        <v>0.46488859999999899</v>
      </c>
      <c r="F7081" t="s">
        <v>41</v>
      </c>
      <c r="G7081">
        <v>-134.3365</v>
      </c>
      <c r="H7081" s="1">
        <v>-2.4417019999999999E-6</v>
      </c>
      <c r="I7081">
        <v>139.72810000000001</v>
      </c>
      <c r="J7081">
        <v>-149.48339999999999</v>
      </c>
      <c r="K7081">
        <v>1.1221030000000001</v>
      </c>
      <c r="L7081">
        <v>138.62780000000001</v>
      </c>
      <c r="M7081">
        <v>0.99977389999999999</v>
      </c>
      <c r="N7081">
        <v>-2.0201259999999999E-2</v>
      </c>
      <c r="O7081">
        <v>6.6589489999999999E-3</v>
      </c>
      <c r="P7081">
        <v>0.99378089999999997</v>
      </c>
      <c r="Q7081">
        <v>0.1092289</v>
      </c>
      <c r="R7081">
        <v>-2.1659910000000001E-2</v>
      </c>
      <c r="S7081">
        <v>3.0481259999999999</v>
      </c>
      <c r="T7081">
        <v>-0.22552449999999999</v>
      </c>
      <c r="U7081">
        <v>0.2211456</v>
      </c>
      <c r="V7081">
        <v>2.8266059999999999E-2</v>
      </c>
      <c r="W7081">
        <v>0.12928139999999999</v>
      </c>
      <c r="X7081">
        <v>0.991205</v>
      </c>
      <c r="Y7081">
        <v>-6.5499180000000004E-2</v>
      </c>
      <c r="Z7081">
        <v>2.7231680000000002E-3</v>
      </c>
      <c r="AA7081">
        <v>0.99784890000000004</v>
      </c>
      <c r="AB7081">
        <v>2</v>
      </c>
      <c r="AC7081">
        <v>15.146899999999899</v>
      </c>
      <c r="AD7081">
        <v>-1.122105441702</v>
      </c>
      <c r="AE7081">
        <v>1.1003000000000001</v>
      </c>
      <c r="AF7081">
        <v>-0.993966263353672</v>
      </c>
      <c r="AG7081">
        <v>-1.122105441702</v>
      </c>
      <c r="AH7081">
        <v>15.071612456964001</v>
      </c>
      <c r="AI7081">
        <v>94.248710348261497</v>
      </c>
      <c r="AJ7081">
        <v>93.773167712324096</v>
      </c>
      <c r="AK7081">
        <v>15.145976086337001</v>
      </c>
      <c r="AL7081">
        <v>82.571930853686197</v>
      </c>
      <c r="AM7081">
        <v>88.366546627830502</v>
      </c>
      <c r="AN7081">
        <v>1.0000000012794401</v>
      </c>
    </row>
    <row r="7082" spans="1:40" x14ac:dyDescent="0.25">
      <c r="A7082" t="str">
        <f>"20190303162442460"</f>
        <v>20190303162442460</v>
      </c>
      <c r="B7082" t="str">
        <f>"1551601482451725"</f>
        <v>1551601482451725</v>
      </c>
      <c r="C7082" t="s">
        <v>40</v>
      </c>
      <c r="D7082">
        <v>5.6654030000000004</v>
      </c>
      <c r="E7082">
        <v>0.46481820000000001</v>
      </c>
      <c r="F7082" t="s">
        <v>41</v>
      </c>
      <c r="G7082">
        <v>-134.4915</v>
      </c>
      <c r="H7082" s="1">
        <v>-2.3716580000000002E-6</v>
      </c>
      <c r="I7082">
        <v>139.71469999999999</v>
      </c>
      <c r="J7082">
        <v>-149.46690000000001</v>
      </c>
      <c r="K7082">
        <v>1.1220920000000001</v>
      </c>
      <c r="L7082">
        <v>138.6277</v>
      </c>
      <c r="M7082">
        <v>0.99977579999999999</v>
      </c>
      <c r="N7082">
        <v>-2.014055E-2</v>
      </c>
      <c r="O7082">
        <v>6.5449590000000004E-3</v>
      </c>
      <c r="P7082">
        <v>0.993614</v>
      </c>
      <c r="Q7082">
        <v>0.11030619999999999</v>
      </c>
      <c r="R7082">
        <v>-2.374793E-2</v>
      </c>
      <c r="S7082">
        <v>3.0486759999999999</v>
      </c>
      <c r="T7082">
        <v>-0.2281841</v>
      </c>
      <c r="U7082">
        <v>0.22103880000000001</v>
      </c>
      <c r="V7082">
        <v>3.0240429999999999E-2</v>
      </c>
      <c r="W7082">
        <v>0.1302951</v>
      </c>
      <c r="X7082">
        <v>0.99101399999999995</v>
      </c>
      <c r="Y7082">
        <v>-6.5560569999999999E-2</v>
      </c>
      <c r="Z7082">
        <v>2.7522100000000002E-3</v>
      </c>
      <c r="AA7082">
        <v>0.99784479999999998</v>
      </c>
      <c r="AB7082">
        <v>2</v>
      </c>
      <c r="AC7082">
        <v>14.9754</v>
      </c>
      <c r="AD7082">
        <v>-1.1220943716580001</v>
      </c>
      <c r="AE7082">
        <v>1.08699999999998</v>
      </c>
      <c r="AF7082">
        <v>-0.98345092069962703</v>
      </c>
      <c r="AG7082">
        <v>-1.1220943716580001</v>
      </c>
      <c r="AH7082">
        <v>14.8989847596398</v>
      </c>
      <c r="AI7082">
        <v>94.297696156094702</v>
      </c>
      <c r="AJ7082">
        <v>93.776496518101695</v>
      </c>
      <c r="AK7082">
        <v>14.973510555655</v>
      </c>
      <c r="AL7082">
        <v>82.513354825788198</v>
      </c>
      <c r="AM7082">
        <v>88.252182584074106</v>
      </c>
      <c r="AN7082">
        <v>1.0000000224432899</v>
      </c>
    </row>
    <row r="7083" spans="1:40" x14ac:dyDescent="0.25">
      <c r="A7083" t="str">
        <f>"20190303162442481"</f>
        <v>20190303162442481</v>
      </c>
      <c r="B7083" t="str">
        <f>"1551601482472220"</f>
        <v>1551601482472220</v>
      </c>
      <c r="C7083" t="s">
        <v>40</v>
      </c>
      <c r="D7083">
        <v>5.6748149999999997</v>
      </c>
      <c r="E7083">
        <v>0.46469100000000002</v>
      </c>
      <c r="F7083" t="s">
        <v>41</v>
      </c>
      <c r="G7083">
        <v>-134.3177</v>
      </c>
      <c r="H7083" s="1">
        <v>-2.4435029999999999E-6</v>
      </c>
      <c r="I7083">
        <v>139.7046</v>
      </c>
      <c r="J7083">
        <v>-149.45169999999999</v>
      </c>
      <c r="K7083">
        <v>1.122077</v>
      </c>
      <c r="L7083">
        <v>138.6277</v>
      </c>
      <c r="M7083">
        <v>0.99977769999999999</v>
      </c>
      <c r="N7083">
        <v>-2.007658E-2</v>
      </c>
      <c r="O7083">
        <v>6.4425419999999999E-3</v>
      </c>
      <c r="P7083">
        <v>0.9934347</v>
      </c>
      <c r="Q7083">
        <v>0.1113073</v>
      </c>
      <c r="R7083">
        <v>-2.642545E-2</v>
      </c>
      <c r="S7083">
        <v>3.0495299999999999</v>
      </c>
      <c r="T7083">
        <v>-0.2258773</v>
      </c>
      <c r="U7083">
        <v>0.2167664</v>
      </c>
      <c r="V7083">
        <v>3.2815730000000001E-2</v>
      </c>
      <c r="W7083">
        <v>0.1312287</v>
      </c>
      <c r="X7083">
        <v>0.99080880000000005</v>
      </c>
      <c r="Y7083">
        <v>-6.4260269999999994E-2</v>
      </c>
      <c r="Z7083">
        <v>2.6738439999999999E-3</v>
      </c>
      <c r="AA7083">
        <v>0.99792959999999997</v>
      </c>
      <c r="AB7083">
        <v>2</v>
      </c>
      <c r="AC7083">
        <v>15.133999999999901</v>
      </c>
      <c r="AD7083">
        <v>-1.1220794435029999</v>
      </c>
      <c r="AE7083">
        <v>1.07689999999999</v>
      </c>
      <c r="AF7083">
        <v>-0.974029120526966</v>
      </c>
      <c r="AG7083">
        <v>-1.1220794435029999</v>
      </c>
      <c r="AH7083">
        <v>15.058264240933299</v>
      </c>
      <c r="AI7083">
        <v>94.252713333771595</v>
      </c>
      <c r="AJ7083">
        <v>93.700965662719796</v>
      </c>
      <c r="AK7083">
        <v>15.1313950762954</v>
      </c>
      <c r="AL7083">
        <v>82.459399754188993</v>
      </c>
      <c r="AM7083">
        <v>88.103048953127598</v>
      </c>
      <c r="AN7083">
        <v>0.99999996099828004</v>
      </c>
    </row>
    <row r="7084" spans="1:40" x14ac:dyDescent="0.25">
      <c r="A7084" t="str">
        <f>"20190303162442504"</f>
        <v>20190303162442504</v>
      </c>
      <c r="B7084" t="str">
        <f>"1551601482491741"</f>
        <v>1551601482491741</v>
      </c>
      <c r="C7084" t="s">
        <v>40</v>
      </c>
      <c r="D7084">
        <v>5.6715970000000002</v>
      </c>
      <c r="E7084">
        <v>0.46458339999999998</v>
      </c>
      <c r="F7084" t="s">
        <v>41</v>
      </c>
      <c r="G7084">
        <v>-134.1318</v>
      </c>
      <c r="H7084" s="1">
        <v>-2.5182770000000001E-6</v>
      </c>
      <c r="I7084">
        <v>139.6859</v>
      </c>
      <c r="J7084">
        <v>-149.43729999999999</v>
      </c>
      <c r="K7084">
        <v>1.1220509999999999</v>
      </c>
      <c r="L7084">
        <v>138.6277</v>
      </c>
      <c r="M7084">
        <v>0.9997798</v>
      </c>
      <c r="N7084">
        <v>-2.0010839999999998E-2</v>
      </c>
      <c r="O7084">
        <v>6.3454929999999998E-3</v>
      </c>
      <c r="P7084">
        <v>0.99353159999999896</v>
      </c>
      <c r="Q7084">
        <v>0.10975509999999999</v>
      </c>
      <c r="R7084">
        <v>-2.9140610000000001E-2</v>
      </c>
      <c r="S7084">
        <v>3.0504609999999999</v>
      </c>
      <c r="T7084">
        <v>-0.22342590000000001</v>
      </c>
      <c r="U7084">
        <v>0.2107086</v>
      </c>
      <c r="V7084">
        <v>3.5436229999999999E-2</v>
      </c>
      <c r="W7084">
        <v>0.12961329999999999</v>
      </c>
      <c r="X7084">
        <v>0.99093120000000001</v>
      </c>
      <c r="Y7084">
        <v>-6.2373999999999999E-2</v>
      </c>
      <c r="Z7084">
        <v>2.567583E-3</v>
      </c>
      <c r="AA7084">
        <v>0.99804959999999998</v>
      </c>
      <c r="AB7084">
        <v>2</v>
      </c>
      <c r="AC7084">
        <v>15.305499999999901</v>
      </c>
      <c r="AD7084">
        <v>-1.122053518277</v>
      </c>
      <c r="AE7084">
        <v>1.05819999999999</v>
      </c>
      <c r="AF7084">
        <v>-0.95592520153441896</v>
      </c>
      <c r="AG7084">
        <v>-1.122053518277</v>
      </c>
      <c r="AH7084">
        <v>15.230442405939099</v>
      </c>
      <c r="AI7084">
        <v>94.205224111114006</v>
      </c>
      <c r="AJ7084">
        <v>93.591407780456095</v>
      </c>
      <c r="AK7084">
        <v>15.301606875404801</v>
      </c>
      <c r="AL7084">
        <v>82.552752932397993</v>
      </c>
      <c r="AM7084">
        <v>87.951944994184799</v>
      </c>
      <c r="AN7084">
        <v>0.99999998853347105</v>
      </c>
    </row>
    <row r="7085" spans="1:40" x14ac:dyDescent="0.25">
      <c r="A7085" t="str">
        <f>"20190303162442527"</f>
        <v>20190303162442527</v>
      </c>
      <c r="B7085" t="str">
        <f>"1551601482521527"</f>
        <v>1551601482521527</v>
      </c>
      <c r="C7085" t="s">
        <v>40</v>
      </c>
      <c r="D7085">
        <v>5.6671940000000003</v>
      </c>
      <c r="E7085">
        <v>0.46429399999999998</v>
      </c>
      <c r="F7085" t="s">
        <v>41</v>
      </c>
      <c r="G7085">
        <v>-134.5284</v>
      </c>
      <c r="H7085" s="1">
        <v>-2.330401E-6</v>
      </c>
      <c r="I7085">
        <v>139.61920000000001</v>
      </c>
      <c r="J7085">
        <v>-149.42429999999999</v>
      </c>
      <c r="K7085">
        <v>1.122028</v>
      </c>
      <c r="L7085">
        <v>138.6277</v>
      </c>
      <c r="M7085">
        <v>0.9997817</v>
      </c>
      <c r="N7085">
        <v>-1.9939760000000001E-2</v>
      </c>
      <c r="O7085">
        <v>6.2575479999999999E-3</v>
      </c>
      <c r="P7085">
        <v>0.9937163</v>
      </c>
      <c r="Q7085">
        <v>0.1077362</v>
      </c>
      <c r="R7085">
        <v>-3.0347699999999998E-2</v>
      </c>
      <c r="S7085">
        <v>3.050827</v>
      </c>
      <c r="T7085">
        <v>-0.22960720000000001</v>
      </c>
      <c r="U7085">
        <v>0.20291139999999999</v>
      </c>
      <c r="V7085">
        <v>3.655862E-2</v>
      </c>
      <c r="W7085">
        <v>0.12752740000000001</v>
      </c>
      <c r="X7085">
        <v>0.99116099999999996</v>
      </c>
      <c r="Y7085">
        <v>-5.9913210000000001E-2</v>
      </c>
      <c r="Z7085">
        <v>2.5027949999999999E-3</v>
      </c>
      <c r="AA7085">
        <v>0.99820050000000005</v>
      </c>
      <c r="AB7085">
        <v>1</v>
      </c>
      <c r="AC7085">
        <v>14.8958999999999</v>
      </c>
      <c r="AD7085">
        <v>-1.122030330401</v>
      </c>
      <c r="AE7085">
        <v>0.99150000000000205</v>
      </c>
      <c r="AF7085">
        <v>-0.89320471404190405</v>
      </c>
      <c r="AG7085">
        <v>-1.122030330401</v>
      </c>
      <c r="AH7085">
        <v>14.8181093733371</v>
      </c>
      <c r="AI7085">
        <v>94.322369630809803</v>
      </c>
      <c r="AJ7085">
        <v>93.449496247060495</v>
      </c>
      <c r="AK7085">
        <v>14.8873480554364</v>
      </c>
      <c r="AL7085">
        <v>82.6732661485389</v>
      </c>
      <c r="AM7085">
        <v>87.887623205805497</v>
      </c>
      <c r="AN7085">
        <v>0.99999994918403001</v>
      </c>
    </row>
    <row r="7086" spans="1:40" x14ac:dyDescent="0.25">
      <c r="A7086" t="str">
        <f>"20190303162442549"</f>
        <v>20190303162442549</v>
      </c>
      <c r="B7086" t="str">
        <f>"1551601482542023"</f>
        <v>1551601482542023</v>
      </c>
      <c r="C7086" t="s">
        <v>40</v>
      </c>
      <c r="D7086">
        <v>5.733193</v>
      </c>
      <c r="E7086">
        <v>0.4640803</v>
      </c>
      <c r="F7086" t="s">
        <v>41</v>
      </c>
      <c r="G7086">
        <v>-134.99279999999999</v>
      </c>
      <c r="H7086" s="1">
        <v>-2.1370850000000001E-6</v>
      </c>
      <c r="I7086">
        <v>139.57849999999999</v>
      </c>
      <c r="J7086">
        <v>-149.41309999999999</v>
      </c>
      <c r="K7086">
        <v>1.1220060000000001</v>
      </c>
      <c r="L7086">
        <v>138.6277</v>
      </c>
      <c r="M7086">
        <v>0.99978359999999999</v>
      </c>
      <c r="N7086">
        <v>-1.9867180000000002E-2</v>
      </c>
      <c r="O7086">
        <v>6.180049E-3</v>
      </c>
      <c r="P7086">
        <v>0.9937395</v>
      </c>
      <c r="Q7086">
        <v>0.1070064</v>
      </c>
      <c r="R7086">
        <v>-3.2125269999999997E-2</v>
      </c>
      <c r="S7086">
        <v>3.050827</v>
      </c>
      <c r="T7086">
        <v>-0.2371964</v>
      </c>
      <c r="U7086">
        <v>0.20100399999999999</v>
      </c>
      <c r="V7086">
        <v>3.8260179999999998E-2</v>
      </c>
      <c r="W7086">
        <v>0.1267257</v>
      </c>
      <c r="X7086">
        <v>0.99119970000000002</v>
      </c>
      <c r="Y7086">
        <v>-5.9359460000000003E-2</v>
      </c>
      <c r="Z7086">
        <v>2.5363569999999999E-3</v>
      </c>
      <c r="AA7086">
        <v>0.99823340000000005</v>
      </c>
      <c r="AB7086">
        <v>1</v>
      </c>
      <c r="AC7086">
        <v>14.4202999999999</v>
      </c>
      <c r="AD7086">
        <v>-1.1220081370849999</v>
      </c>
      <c r="AE7086">
        <v>0.95079999999998599</v>
      </c>
      <c r="AF7086">
        <v>-0.85648337074543102</v>
      </c>
      <c r="AG7086">
        <v>-1.1220081370849999</v>
      </c>
      <c r="AH7086">
        <v>14.339466102849199</v>
      </c>
      <c r="AI7086">
        <v>94.466131525874502</v>
      </c>
      <c r="AJ7086">
        <v>93.418164226771495</v>
      </c>
      <c r="AK7086">
        <v>14.4087735126488</v>
      </c>
      <c r="AL7086">
        <v>82.719576612904604</v>
      </c>
      <c r="AM7086">
        <v>87.789487749095699</v>
      </c>
      <c r="AN7086">
        <v>1.0000000448471</v>
      </c>
    </row>
    <row r="7087" spans="1:40" x14ac:dyDescent="0.25">
      <c r="A7087" t="str">
        <f>"20190303162442574"</f>
        <v>20190303162442574</v>
      </c>
      <c r="B7087" t="str">
        <f>"1551601482561543"</f>
        <v>1551601482561543</v>
      </c>
      <c r="C7087" t="s">
        <v>40</v>
      </c>
      <c r="D7087">
        <v>5.6184159999999999</v>
      </c>
      <c r="E7087">
        <v>0.4638118</v>
      </c>
      <c r="F7087" t="s">
        <v>41</v>
      </c>
      <c r="G7087">
        <v>-135.15770000000001</v>
      </c>
      <c r="H7087" s="1">
        <v>-2.0717910000000002E-6</v>
      </c>
      <c r="I7087">
        <v>139.5478</v>
      </c>
      <c r="J7087">
        <v>-149.4025</v>
      </c>
      <c r="K7087">
        <v>1.1219809999999999</v>
      </c>
      <c r="L7087">
        <v>138.6276</v>
      </c>
      <c r="M7087">
        <v>0.99978549999999999</v>
      </c>
      <c r="N7087">
        <v>-1.978918E-2</v>
      </c>
      <c r="O7087">
        <v>6.1049379999999999E-3</v>
      </c>
      <c r="P7087">
        <v>0.99376089999999995</v>
      </c>
      <c r="Q7087">
        <v>0.1059237</v>
      </c>
      <c r="R7087">
        <v>-3.4922090000000003E-2</v>
      </c>
      <c r="S7087">
        <v>3.051132</v>
      </c>
      <c r="T7087">
        <v>-0.24014630000000001</v>
      </c>
      <c r="U7087">
        <v>0.19694519999999999</v>
      </c>
      <c r="V7087">
        <v>4.0983609999999997E-2</v>
      </c>
      <c r="W7087">
        <v>0.12556589999999901</v>
      </c>
      <c r="X7087">
        <v>0.99123839999999996</v>
      </c>
      <c r="Y7087">
        <v>-5.8105820000000002E-2</v>
      </c>
      <c r="Z7087">
        <v>2.4988039999999999E-3</v>
      </c>
      <c r="AA7087">
        <v>0.99830730000000001</v>
      </c>
      <c r="AB7087">
        <v>1</v>
      </c>
      <c r="AC7087">
        <v>14.2447999999999</v>
      </c>
      <c r="AD7087">
        <v>-1.121983071791</v>
      </c>
      <c r="AE7087">
        <v>0.92019999999999402</v>
      </c>
      <c r="AF7087">
        <v>-0.82808623088175104</v>
      </c>
      <c r="AG7087">
        <v>-1.121983071791</v>
      </c>
      <c r="AH7087">
        <v>14.1626557243163</v>
      </c>
      <c r="AI7087">
        <v>94.521891502785294</v>
      </c>
      <c r="AJ7087">
        <v>93.346257217807207</v>
      </c>
      <c r="AK7087">
        <v>14.231141555921401</v>
      </c>
      <c r="AL7087">
        <v>82.786563105425699</v>
      </c>
      <c r="AM7087">
        <v>87.632404886248494</v>
      </c>
      <c r="AN7087">
        <v>1.0000000085830001</v>
      </c>
    </row>
    <row r="7088" spans="1:40" x14ac:dyDescent="0.25">
      <c r="A7088" t="str">
        <f>"20190303162442593"</f>
        <v>20190303162442593</v>
      </c>
      <c r="B7088" t="str">
        <f>"1551601482582039"</f>
        <v>1551601482582039</v>
      </c>
      <c r="C7088" t="s">
        <v>40</v>
      </c>
      <c r="D7088">
        <v>5.5582159999999998</v>
      </c>
      <c r="E7088">
        <v>0.46363009999999899</v>
      </c>
      <c r="F7088" t="s">
        <v>41</v>
      </c>
      <c r="G7088">
        <v>-135.35990000000001</v>
      </c>
      <c r="H7088" s="1">
        <v>-1.9917100000000002E-6</v>
      </c>
      <c r="I7088">
        <v>139.5102</v>
      </c>
      <c r="J7088">
        <v>-149.3947</v>
      </c>
      <c r="K7088">
        <v>1.1219509999999999</v>
      </c>
      <c r="L7088">
        <v>138.6276</v>
      </c>
      <c r="M7088">
        <v>0.99978730000000005</v>
      </c>
      <c r="N7088">
        <v>-1.9720640000000001E-2</v>
      </c>
      <c r="O7088">
        <v>6.0479380000000001E-3</v>
      </c>
      <c r="P7088">
        <v>0.99410069999999995</v>
      </c>
      <c r="Q7088">
        <v>0.10207629999999999</v>
      </c>
      <c r="R7088">
        <v>-3.6670800000000003E-2</v>
      </c>
      <c r="S7088">
        <v>3.0515439999999998</v>
      </c>
      <c r="T7088">
        <v>-0.24381320000000001</v>
      </c>
      <c r="U7088">
        <v>0.19178770000000001</v>
      </c>
      <c r="V7088">
        <v>4.2678500000000001E-2</v>
      </c>
      <c r="W7088">
        <v>0.1216579</v>
      </c>
      <c r="X7088">
        <v>0.99165409999999998</v>
      </c>
      <c r="Y7088">
        <v>-5.6474379999999998E-2</v>
      </c>
      <c r="Z7088">
        <v>2.4459389999999998E-3</v>
      </c>
      <c r="AA7088">
        <v>0.99840099999999998</v>
      </c>
      <c r="AB7088">
        <v>1</v>
      </c>
      <c r="AC7088">
        <v>14.034799999999899</v>
      </c>
      <c r="AD7088">
        <v>-1.12195299171</v>
      </c>
      <c r="AE7088">
        <v>0.88259999999999605</v>
      </c>
      <c r="AF7088">
        <v>-0.79264030858215495</v>
      </c>
      <c r="AG7088">
        <v>-1.12195299171</v>
      </c>
      <c r="AH7088">
        <v>13.9510785759347</v>
      </c>
      <c r="AI7088">
        <v>94.590489831056402</v>
      </c>
      <c r="AJ7088">
        <v>93.251803915626894</v>
      </c>
      <c r="AK7088">
        <v>14.018546665268101</v>
      </c>
      <c r="AL7088">
        <v>83.012205470441501</v>
      </c>
      <c r="AM7088">
        <v>87.535642881999706</v>
      </c>
      <c r="AN7088">
        <v>0.99999997652073402</v>
      </c>
    </row>
    <row r="7089" spans="1:40" x14ac:dyDescent="0.25">
      <c r="A7089" t="str">
        <f>"20190303162442615"</f>
        <v>20190303162442615</v>
      </c>
      <c r="B7089" t="str">
        <f>"1551601482601559"</f>
        <v>1551601482601559</v>
      </c>
      <c r="C7089" t="s">
        <v>40</v>
      </c>
      <c r="D7089">
        <v>5.4699559999999998</v>
      </c>
      <c r="E7089">
        <v>0.47390880000000002</v>
      </c>
      <c r="F7089" t="s">
        <v>41</v>
      </c>
      <c r="G7089">
        <v>-136.02850000000001</v>
      </c>
      <c r="H7089" s="1">
        <v>-1.715826E-6</v>
      </c>
      <c r="I7089">
        <v>139.4485</v>
      </c>
      <c r="J7089">
        <v>-149.38759999999999</v>
      </c>
      <c r="K7089">
        <v>1.121918</v>
      </c>
      <c r="L7089">
        <v>138.6276</v>
      </c>
      <c r="M7089">
        <v>0.99978920000000004</v>
      </c>
      <c r="N7089">
        <v>-1.9642670000000001E-2</v>
      </c>
      <c r="O7089">
        <v>5.9949209999999899E-3</v>
      </c>
      <c r="P7089">
        <v>0.99452799999999997</v>
      </c>
      <c r="Q7089">
        <v>9.7616060000000004E-2</v>
      </c>
      <c r="R7089">
        <v>-3.721729E-2</v>
      </c>
      <c r="S7089">
        <v>3.0510250000000001</v>
      </c>
      <c r="T7089">
        <v>-0.25610100000000002</v>
      </c>
      <c r="U7089">
        <v>0.18737789999999999</v>
      </c>
      <c r="V7089">
        <v>4.3175390000000001E-2</v>
      </c>
      <c r="W7089">
        <v>0.1171295</v>
      </c>
      <c r="X7089">
        <v>0.99217770000000005</v>
      </c>
      <c r="Y7089">
        <v>-5.5087209999999998E-2</v>
      </c>
      <c r="Z7089">
        <v>2.4642079999999998E-3</v>
      </c>
      <c r="AA7089">
        <v>0.99847850000000005</v>
      </c>
      <c r="AB7089">
        <v>1</v>
      </c>
      <c r="AC7089">
        <v>13.3590999999999</v>
      </c>
      <c r="AD7089">
        <v>-1.1219197158259999</v>
      </c>
      <c r="AE7089">
        <v>0.82089999999999397</v>
      </c>
      <c r="AF7089">
        <v>-0.73561433335794801</v>
      </c>
      <c r="AG7089">
        <v>-1.1219197158259999</v>
      </c>
      <c r="AH7089">
        <v>13.270538026396199</v>
      </c>
      <c r="AI7089">
        <v>94.825044509993603</v>
      </c>
      <c r="AJ7089">
        <v>93.172780688708301</v>
      </c>
      <c r="AK7089">
        <v>13.3381787289805</v>
      </c>
      <c r="AL7089">
        <v>83.273533433743097</v>
      </c>
      <c r="AM7089">
        <v>87.508301248763999</v>
      </c>
      <c r="AN7089">
        <v>1.0000000112245899</v>
      </c>
    </row>
    <row r="7090" spans="1:40" x14ac:dyDescent="0.25">
      <c r="A7090" t="str">
        <f>"20190303162442638"</f>
        <v>20190303162442638</v>
      </c>
      <c r="B7090" t="str">
        <f>"1551601482632203"</f>
        <v>1551601482632203</v>
      </c>
      <c r="C7090" t="s">
        <v>40</v>
      </c>
      <c r="D7090">
        <v>5.3713249999999997</v>
      </c>
      <c r="E7090">
        <v>0.50296459999999998</v>
      </c>
      <c r="F7090" t="s">
        <v>42</v>
      </c>
      <c r="G7090">
        <v>-148.67009999999999</v>
      </c>
      <c r="H7090">
        <v>1.012586</v>
      </c>
      <c r="I7090">
        <v>138.65190000000001</v>
      </c>
      <c r="J7090">
        <v>-149.38159999999999</v>
      </c>
      <c r="K7090">
        <v>1.1218859999999999</v>
      </c>
      <c r="L7090">
        <v>138.6276</v>
      </c>
      <c r="M7090">
        <v>0.9997914</v>
      </c>
      <c r="N7090">
        <v>-1.954405E-2</v>
      </c>
      <c r="O7090">
        <v>5.9491479999999996E-3</v>
      </c>
      <c r="P7090">
        <v>0.99462459999999997</v>
      </c>
      <c r="Q7090">
        <v>9.6117910000000001E-2</v>
      </c>
      <c r="R7090">
        <v>-3.8519360000000002E-2</v>
      </c>
      <c r="S7090">
        <v>3.0662690000000001</v>
      </c>
      <c r="T7090">
        <v>-0.46722520000000001</v>
      </c>
      <c r="U7090">
        <v>0.1044769</v>
      </c>
      <c r="V7090">
        <v>4.4432600000000003E-2</v>
      </c>
      <c r="W7090">
        <v>0.1155349</v>
      </c>
      <c r="X7090">
        <v>0.9923092</v>
      </c>
      <c r="Y7090">
        <v>-2.7795799999999999E-2</v>
      </c>
      <c r="Z7090">
        <v>1.5930860000000001E-3</v>
      </c>
      <c r="AA7090">
        <v>0.99961230000000001</v>
      </c>
      <c r="AB7090">
        <v>1</v>
      </c>
      <c r="AC7090">
        <v>0.71150000000000002</v>
      </c>
      <c r="AD7090">
        <v>-0.10929999999999999</v>
      </c>
      <c r="AE7090">
        <v>2.4300000000010799E-2</v>
      </c>
      <c r="AF7090">
        <v>-1.96038537535346E-2</v>
      </c>
      <c r="AG7090">
        <v>-0.10929999999999999</v>
      </c>
      <c r="AH7090">
        <v>0.69524416118222498</v>
      </c>
      <c r="AI7090">
        <v>98.930905457327199</v>
      </c>
      <c r="AJ7090">
        <v>91.615145593368297</v>
      </c>
      <c r="AK7090">
        <v>0.70405627952598004</v>
      </c>
      <c r="AL7090">
        <v>83.365522177844696</v>
      </c>
      <c r="AM7090">
        <v>87.436181108892399</v>
      </c>
      <c r="AN7090">
        <v>1.0000000587327</v>
      </c>
    </row>
    <row r="7091" spans="1:40" x14ac:dyDescent="0.25">
      <c r="A7091" t="str">
        <f>"20190303162442660"</f>
        <v>20190303162442660</v>
      </c>
      <c r="B7091" t="str">
        <f>"1551601482651723"</f>
        <v>1551601482651723</v>
      </c>
      <c r="C7091" t="s">
        <v>40</v>
      </c>
      <c r="D7091">
        <v>5.378603</v>
      </c>
      <c r="E7091">
        <v>0.50392170000000003</v>
      </c>
      <c r="F7091" t="s">
        <v>42</v>
      </c>
      <c r="G7091">
        <v>-148.71610000000001</v>
      </c>
      <c r="H7091">
        <v>0.90910009999999997</v>
      </c>
      <c r="I7091">
        <v>138.60059999999999</v>
      </c>
      <c r="J7091">
        <v>-149.3768</v>
      </c>
      <c r="K7091">
        <v>1.121842</v>
      </c>
      <c r="L7091">
        <v>138.6275</v>
      </c>
      <c r="M7091">
        <v>0.99979439999999997</v>
      </c>
      <c r="N7091">
        <v>-1.939923E-2</v>
      </c>
      <c r="O7091">
        <v>5.9115060000000004E-3</v>
      </c>
      <c r="P7091">
        <v>0.99459830000000005</v>
      </c>
      <c r="Q7091">
        <v>9.5251879999999997E-2</v>
      </c>
      <c r="R7091">
        <v>-4.1252150000000001E-2</v>
      </c>
      <c r="S7091">
        <v>3.1073460000000002</v>
      </c>
      <c r="T7091">
        <v>-0.99349520000000002</v>
      </c>
      <c r="U7091">
        <v>-0.1256256</v>
      </c>
      <c r="V7091">
        <v>4.7128030000000001E-2</v>
      </c>
      <c r="W7091">
        <v>0.1145251</v>
      </c>
      <c r="X7091">
        <v>0.99230180000000001</v>
      </c>
      <c r="Y7091">
        <v>4.3726689999999999E-2</v>
      </c>
      <c r="Z7091">
        <v>-8.984311E-3</v>
      </c>
      <c r="AA7091">
        <v>0.99900310000000003</v>
      </c>
      <c r="AB7091">
        <v>1</v>
      </c>
      <c r="AC7091">
        <v>0.66069999999999096</v>
      </c>
      <c r="AD7091">
        <v>-0.21274190000000001</v>
      </c>
      <c r="AE7091">
        <v>-2.6900000000011901E-2</v>
      </c>
      <c r="AF7091">
        <v>2.7916398102908E-2</v>
      </c>
      <c r="AG7091">
        <v>-0.21274190000000001</v>
      </c>
      <c r="AH7091">
        <v>0.59857182715551205</v>
      </c>
      <c r="AI7091">
        <v>109.546384540747</v>
      </c>
      <c r="AJ7091">
        <v>87.329754716789594</v>
      </c>
      <c r="AK7091">
        <v>0.63586686779776402</v>
      </c>
      <c r="AL7091">
        <v>83.423765398596402</v>
      </c>
      <c r="AM7091">
        <v>87.280857800536097</v>
      </c>
      <c r="AN7091">
        <v>0.99999995601246405</v>
      </c>
    </row>
    <row r="7092" spans="1:40" x14ac:dyDescent="0.25">
      <c r="A7092" t="str">
        <f>"20190303162442682"</f>
        <v>20190303162442682</v>
      </c>
      <c r="B7092" t="str">
        <f>"1551601482672219"</f>
        <v>1551601482672219</v>
      </c>
      <c r="C7092" t="s">
        <v>40</v>
      </c>
      <c r="D7092">
        <v>5.3704460000000003</v>
      </c>
      <c r="E7092">
        <v>0.50232639999999995</v>
      </c>
      <c r="F7092" t="s">
        <v>42</v>
      </c>
      <c r="G7092">
        <v>-148.7167</v>
      </c>
      <c r="H7092">
        <v>0.8989627</v>
      </c>
      <c r="I7092">
        <v>138.5975</v>
      </c>
      <c r="J7092">
        <v>-149.37289999999999</v>
      </c>
      <c r="K7092">
        <v>1.121775</v>
      </c>
      <c r="L7092">
        <v>138.6275</v>
      </c>
      <c r="M7092">
        <v>0.99979870000000004</v>
      </c>
      <c r="N7092">
        <v>-1.9187949999999999E-2</v>
      </c>
      <c r="O7092">
        <v>5.8814590000000003E-3</v>
      </c>
      <c r="P7092">
        <v>0.99494320000000003</v>
      </c>
      <c r="Q7092">
        <v>9.0837520000000005E-2</v>
      </c>
      <c r="R7092">
        <v>-4.2858350000000003E-2</v>
      </c>
      <c r="S7092">
        <v>3.1110690000000001</v>
      </c>
      <c r="T7092">
        <v>-1.050465</v>
      </c>
      <c r="U7092">
        <v>-0.1413422</v>
      </c>
      <c r="V7092">
        <v>4.870683E-2</v>
      </c>
      <c r="W7092">
        <v>0.10990809999999999</v>
      </c>
      <c r="X7092">
        <v>0.99274759999999995</v>
      </c>
      <c r="Y7092">
        <v>4.8145640000000003E-2</v>
      </c>
      <c r="Z7092">
        <v>-1.0202070000000001E-2</v>
      </c>
      <c r="AA7092">
        <v>0.99878820000000001</v>
      </c>
      <c r="AB7092">
        <v>1</v>
      </c>
      <c r="AC7092">
        <v>0.65619999999998402</v>
      </c>
      <c r="AD7092">
        <v>-0.22281229999999999</v>
      </c>
      <c r="AE7092">
        <v>-3.0000000000001099E-2</v>
      </c>
      <c r="AF7092">
        <v>3.0365906708671501E-2</v>
      </c>
      <c r="AG7092">
        <v>-0.22281229999999999</v>
      </c>
      <c r="AH7092">
        <v>0.58832359660147004</v>
      </c>
      <c r="AI7092">
        <v>110.71765042319601</v>
      </c>
      <c r="AJ7092">
        <v>87.045340738437403</v>
      </c>
      <c r="AK7092">
        <v>0.62983494952218999</v>
      </c>
      <c r="AL7092">
        <v>83.6899818534513</v>
      </c>
      <c r="AM7092">
        <v>87.191169418171</v>
      </c>
      <c r="AN7092">
        <v>0.99999997152000897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2020-05-20T14:49:44Z</dcterms:created>
  <dcterms:modified xsi:type="dcterms:W3CDTF">2020-05-20T14:49:45Z</dcterms:modified>
</cp:coreProperties>
</file>